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hidePivotFieldList="1" defaultThemeVersion="124226"/>
  <xr:revisionPtr revIDLastSave="1057" documentId="8_{7A0BFCB0-A985-4A70-9052-64B699146884}" xr6:coauthVersionLast="47" xr6:coauthVersionMax="47" xr10:uidLastSave="{C003386E-8809-4426-A393-731183DA7326}"/>
  <bookViews>
    <workbookView minimized="1" xWindow="36090" yWindow="3825" windowWidth="13140" windowHeight="7875" tabRatio="924" xr2:uid="{00000000-000D-0000-FFFF-FFFF00000000}"/>
  </bookViews>
  <sheets>
    <sheet name="Estimate Details" sheetId="16" r:id="rId1"/>
    <sheet name="2023 Total Costs" sheetId="102" r:id="rId2"/>
    <sheet name="Global Estimate" sheetId="96" r:id="rId3"/>
    <sheet name="Cost Summary" sheetId="23" state="hidden" r:id="rId4"/>
    <sheet name="Cost Summary New" sheetId="63" state="hidden" r:id="rId5"/>
    <sheet name="1 - Volume Summary" sheetId="26" state="hidden" r:id="rId6"/>
    <sheet name="2018 Total Costs (C2)" sheetId="91" state="hidden" r:id="rId7"/>
    <sheet name="2018 MAY Removed Costs" sheetId="90" state="hidden" r:id="rId8"/>
    <sheet name="2018 Total Costs (C1)" sheetId="89" state="hidden" r:id="rId9"/>
    <sheet name="2017-A Indirect Costs" sheetId="86" state="hidden" r:id="rId10"/>
    <sheet name="2017 Indirect Costs" sheetId="83" state="hidden" r:id="rId11"/>
    <sheet name="2016 Indirect Costs" sheetId="79" state="hidden" r:id="rId12"/>
    <sheet name="2015 R Indirect Costs" sheetId="77" state="hidden" r:id="rId13"/>
    <sheet name="2015-A Indirect Costs" sheetId="71" state="hidden" r:id="rId14"/>
    <sheet name="2015 Indirect Costs" sheetId="60" state="hidden" r:id="rId15"/>
    <sheet name="2014 Indirect Costs" sheetId="61" state="hidden" r:id="rId16"/>
    <sheet name="Project component breakdown" sheetId="1" state="hidden" r:id="rId17"/>
    <sheet name="H349000-MechanicalEquipmentAndM" sheetId="20" state="hidden" r:id="rId18"/>
    <sheet name="Additional Scope" sheetId="25" state="hidden" r:id="rId19"/>
    <sheet name="Indirect List" sheetId="11" state="hidden" r:id="rId20"/>
    <sheet name="H349000-1000-00-144-0001 -  (2)" sheetId="17" state="hidden" r:id="rId21"/>
    <sheet name="Quantities" sheetId="14" state="hidden" r:id="rId22"/>
    <sheet name="Project component checklist" sheetId="2" state="hidden" r:id="rId23"/>
    <sheet name="Labour Rate" sheetId="5" state="hidden" r:id="rId24"/>
    <sheet name="Equipment Rates Contractors" sheetId="3" state="hidden" r:id="rId25"/>
    <sheet name="CC001 Unit Prices" sheetId="13" state="hidden" r:id="rId26"/>
    <sheet name="Buildings Footprints" sheetId="30" state="hidden" r:id="rId27"/>
    <sheet name="Items changed to ft2" sheetId="29" state="hidden" r:id="rId28"/>
    <sheet name="Mary River Exploration " sheetId="48" state="hidden" r:id="rId29"/>
    <sheet name="H349000-1000-00-144-0001 - Qtys" sheetId="15" state="hidden" r:id="rId30"/>
    <sheet name="PIVOT_ESTIMATE DETAILS 1" sheetId="37" state="hidden" r:id="rId31"/>
    <sheet name="Sheet8" sheetId="62" state="hidden" r:id="rId32"/>
    <sheet name="Removed Items 2015 R" sheetId="72" state="hidden" r:id="rId33"/>
    <sheet name="Removed Mob. Equip. 2015 R" sheetId="73" state="hidden" r:id="rId34"/>
    <sheet name="Removed Mech. Equip. 2015 R" sheetId="74" state="hidden" r:id="rId35"/>
    <sheet name="Indirect Cost 2015 R" sheetId="82" state="hidden" r:id="rId36"/>
    <sheet name="Sheet2" sheetId="88" state="hidden" r:id="rId37"/>
    <sheet name="Breakdown per licence" sheetId="64" state="hidden" r:id="rId38"/>
    <sheet name="Breakdown per Year" sheetId="70" state="hidden" r:id="rId39"/>
    <sheet name="PIVOT_ESTIMATE DETAILS " sheetId="47" state="hidden" r:id="rId40"/>
    <sheet name="Unit Rate Analysis" sheetId="84" state="hidden" r:id="rId41"/>
    <sheet name="Indirect cost Analysis" sheetId="85" state="hidden" r:id="rId42"/>
  </sheets>
  <externalReferences>
    <externalReference r:id="rId43"/>
    <externalReference r:id="rId44"/>
    <externalReference r:id="rId45"/>
    <externalReference r:id="rId46"/>
    <externalReference r:id="rId47"/>
    <externalReference r:id="rId48"/>
    <externalReference r:id="rId49"/>
  </externalReferences>
  <definedNames>
    <definedName name="\P" localSheetId="39">#REF!</definedName>
    <definedName name="\z" localSheetId="39">'[1]N-detail'!#REF!</definedName>
    <definedName name="_1" localSheetId="39">'[1]N-detail'!#REF!</definedName>
    <definedName name="_2" localSheetId="39">#REF!</definedName>
    <definedName name="_xlnm._FilterDatabase" localSheetId="5" hidden="1">'1 - Volume Summary'!$A$38:$L$293</definedName>
    <definedName name="_xlnm._FilterDatabase" localSheetId="26" hidden="1">'Buildings Footprints'!$G$1:$G$43</definedName>
    <definedName name="_xlnm._FilterDatabase" localSheetId="3" hidden="1">'Cost Summary'!$D$4:$W$97</definedName>
    <definedName name="_xlnm._FilterDatabase" localSheetId="24" hidden="1">'Equipment Rates Contractors'!$G$29:$N$56</definedName>
    <definedName name="_xlnm._FilterDatabase" localSheetId="0" hidden="1">'Estimate Details'!$A$7:$BX$1718</definedName>
    <definedName name="_xlnm._FilterDatabase" localSheetId="20" hidden="1">'H349000-1000-00-144-0001 -  (2)'!$A$11:$AR$158</definedName>
    <definedName name="_xlnm._FilterDatabase" localSheetId="29" hidden="1">'H349000-1000-00-144-0001 - Qtys'!$A$11:$AR$158</definedName>
    <definedName name="_xlnm._FilterDatabase" localSheetId="17" hidden="1">'H349000-MechanicalEquipmentAndM'!$A$12:$BC$872</definedName>
    <definedName name="_xlnm._FilterDatabase" localSheetId="35" hidden="1">'Indirect Cost 2015 R'!$A$1:$BM$8</definedName>
    <definedName name="_xlnm._FilterDatabase" localSheetId="23" hidden="1">'Labour Rate'!$G$23:$H$55</definedName>
    <definedName name="_xlnm._FilterDatabase" localSheetId="21" hidden="1">Quantities!$A$2:$J$127</definedName>
    <definedName name="_xlnm._FilterDatabase" localSheetId="32" hidden="1">'Removed Items 2015 R'!$A$4:$BK$200</definedName>
    <definedName name="_xlnm._FilterDatabase" localSheetId="34" hidden="1">'Removed Mech. Equip. 2015 R'!$A$4:$BM$362</definedName>
    <definedName name="_xlnm._FilterDatabase" localSheetId="33" hidden="1">'Removed Mob. Equip. 2015 R'!$A$4:$BK$437</definedName>
    <definedName name="_xlnm._FilterDatabase" localSheetId="40" hidden="1">'Unit Rate Analysis'!$A$19:$AB$266</definedName>
    <definedName name="_Key2" localSheetId="5" hidden="1">[2]EQUIP!#REF!</definedName>
    <definedName name="_Key2" localSheetId="15" hidden="1">[2]EQUIP!#REF!</definedName>
    <definedName name="_Key2" localSheetId="14" hidden="1">[2]EQUIP!#REF!</definedName>
    <definedName name="_Key2" localSheetId="12" hidden="1">[2]EQUIP!#REF!</definedName>
    <definedName name="_Key2" localSheetId="13" hidden="1">[2]EQUIP!#REF!</definedName>
    <definedName name="_Key2" localSheetId="11" hidden="1">[2]EQUIP!#REF!</definedName>
    <definedName name="_Key2" localSheetId="10" hidden="1">[2]EQUIP!#REF!</definedName>
    <definedName name="_Key2" localSheetId="9" hidden="1">[2]EQUIP!#REF!</definedName>
    <definedName name="_Key2" localSheetId="7" hidden="1">[2]EQUIP!#REF!</definedName>
    <definedName name="_Key2" localSheetId="8" hidden="1">[2]EQUIP!#REF!</definedName>
    <definedName name="_Key2" localSheetId="6" hidden="1">[2]EQUIP!#REF!</definedName>
    <definedName name="_Key2" localSheetId="1" hidden="1">[2]EQUIP!#REF!</definedName>
    <definedName name="_Key2" localSheetId="25" hidden="1">[2]EQUIP!#REF!</definedName>
    <definedName name="_Key2" localSheetId="0" hidden="1">[2]EQUIP!#REF!</definedName>
    <definedName name="_Key2" localSheetId="2" hidden="1">[2]EQUIP!#REF!</definedName>
    <definedName name="_Key2" localSheetId="20" hidden="1">[2]EQUIP!#REF!</definedName>
    <definedName name="_Key2" localSheetId="35" hidden="1">[2]EQUIP!#REF!</definedName>
    <definedName name="_Key2" localSheetId="41" hidden="1">[2]EQUIP!#REF!</definedName>
    <definedName name="_Key2" localSheetId="39" hidden="1">[2]EQUIP!#REF!</definedName>
    <definedName name="_Key2" localSheetId="34" hidden="1">[2]EQUIP!#REF!</definedName>
    <definedName name="_Key2" localSheetId="33" hidden="1">[2]EQUIP!#REF!</definedName>
    <definedName name="_Key2" localSheetId="40" hidden="1">[2]EQUIP!#REF!</definedName>
    <definedName name="_Key2" hidden="1">[2]EQUIP!#REF!</definedName>
    <definedName name="_Order1" hidden="1">255</definedName>
    <definedName name="_Order2" hidden="1">255</definedName>
    <definedName name="_Sort" localSheetId="5" hidden="1">[2]EQUIP!#REF!</definedName>
    <definedName name="_Sort" localSheetId="15" hidden="1">[2]EQUIP!#REF!</definedName>
    <definedName name="_Sort" localSheetId="14" hidden="1">[2]EQUIP!#REF!</definedName>
    <definedName name="_Sort" localSheetId="12" hidden="1">[2]EQUIP!#REF!</definedName>
    <definedName name="_Sort" localSheetId="13" hidden="1">[2]EQUIP!#REF!</definedName>
    <definedName name="_Sort" localSheetId="11" hidden="1">[2]EQUIP!#REF!</definedName>
    <definedName name="_Sort" localSheetId="10" hidden="1">[2]EQUIP!#REF!</definedName>
    <definedName name="_Sort" localSheetId="9" hidden="1">[2]EQUIP!#REF!</definedName>
    <definedName name="_Sort" localSheetId="7" hidden="1">[2]EQUIP!#REF!</definedName>
    <definedName name="_Sort" localSheetId="8" hidden="1">[2]EQUIP!#REF!</definedName>
    <definedName name="_Sort" localSheetId="6" hidden="1">[2]EQUIP!#REF!</definedName>
    <definedName name="_Sort" localSheetId="1" hidden="1">[2]EQUIP!#REF!</definedName>
    <definedName name="_Sort" localSheetId="25" hidden="1">[2]EQUIP!#REF!</definedName>
    <definedName name="_Sort" localSheetId="0" hidden="1">[2]EQUIP!#REF!</definedName>
    <definedName name="_Sort" localSheetId="2" hidden="1">[2]EQUIP!#REF!</definedName>
    <definedName name="_Sort" localSheetId="20" hidden="1">[2]EQUIP!#REF!</definedName>
    <definedName name="_Sort" localSheetId="35" hidden="1">[2]EQUIP!#REF!</definedName>
    <definedName name="_Sort" localSheetId="41" hidden="1">[2]EQUIP!#REF!</definedName>
    <definedName name="_Sort" localSheetId="39" hidden="1">[2]EQUIP!#REF!</definedName>
    <definedName name="_Sort" localSheetId="34" hidden="1">[2]EQUIP!#REF!</definedName>
    <definedName name="_Sort" localSheetId="33" hidden="1">[2]EQUIP!#REF!</definedName>
    <definedName name="_Sort" localSheetId="40" hidden="1">[2]EQUIP!#REF!</definedName>
    <definedName name="_Sort" hidden="1">[2]EQUIP!#REF!</definedName>
    <definedName name="Admin" localSheetId="39">#REF!</definedName>
    <definedName name="All" localSheetId="39">#REF!</definedName>
    <definedName name="AreaEightThreeZero" localSheetId="39">[3]Estimate!#REF!</definedName>
    <definedName name="AreaFiveOneZero" localSheetId="39">[3]Estimate!#REF!</definedName>
    <definedName name="AreaFiveSevenZero" localSheetId="39">[3]Estimate!#REF!</definedName>
    <definedName name="AreaFiveTwoZero" localSheetId="39">[3]Estimate!#REF!</definedName>
    <definedName name="AreaFourFourZero" localSheetId="39">[3]Estimate!#REF!</definedName>
    <definedName name="AreaFourOneZero" localSheetId="39">[3]Estimate!#REF!</definedName>
    <definedName name="AreaFourTwoZero" localSheetId="39">[3]Estimate!#REF!</definedName>
    <definedName name="AreaNineEightFour" localSheetId="39">[3]Estimate!#REF!</definedName>
    <definedName name="AreaNineEightTwo" localSheetId="39">[3]Estimate!#REF!</definedName>
    <definedName name="AreaNineEightZero" localSheetId="39">[3]Estimate!#REF!</definedName>
    <definedName name="AreaNineFourZero" localSheetId="39">[3]Estimate!#REF!</definedName>
    <definedName name="AreaNineNineZero" localSheetId="39">[3]Estimate!#REF!</definedName>
    <definedName name="AreaNineSixZero" localSheetId="39">[3]Estimate!#REF!</definedName>
    <definedName name="AreaNineThreeZero" localSheetId="39">[3]Estimate!#REF!</definedName>
    <definedName name="AreaNineTwoZero" localSheetId="39">[3]Estimate!#REF!</definedName>
    <definedName name="AreaOneOneZero" localSheetId="39">[3]Estimate!#REF!</definedName>
    <definedName name="AreaOneThreeZero" localSheetId="39">[3]Estimate!#REF!</definedName>
    <definedName name="AreaOneTwoZero" localSheetId="39">[3]Estimate!#REF!</definedName>
    <definedName name="AreaSevenFiveZero" localSheetId="39">[3]Estimate!#REF!</definedName>
    <definedName name="AreaSevenFourZero" localSheetId="39">[3]Estimate!#REF!</definedName>
    <definedName name="AreaThreeFiveFive" localSheetId="39">[3]Estimate!#REF!</definedName>
    <definedName name="AreaThreeFiveFour" localSheetId="39">[3]Estimate!#REF!</definedName>
    <definedName name="AreaThreeFiveOne" localSheetId="39">[3]Estimate!#REF!</definedName>
    <definedName name="AreaThreeFiveSeven" localSheetId="39">[3]Estimate!#REF!</definedName>
    <definedName name="AreaThreeFiveSix" localSheetId="39">[3]Estimate!#REF!</definedName>
    <definedName name="AreaThreeFiveThree" localSheetId="39">[3]Estimate!#REF!</definedName>
    <definedName name="AreaThreeFiveTwo" localSheetId="39">[3]Estimate!#REF!</definedName>
    <definedName name="AreaThreeNineZero" localSheetId="39">[3]Estimate!#REF!</definedName>
    <definedName name="AreaThreeSevenFive" localSheetId="39">[3]Estimate!#REF!</definedName>
    <definedName name="AreaThreeSevenFour" localSheetId="39">[3]Estimate!#REF!</definedName>
    <definedName name="AreaThreeSevenOne" localSheetId="39">[3]Estimate!#REF!</definedName>
    <definedName name="AreaThreeSevenThree" localSheetId="39">[3]Estimate!#REF!</definedName>
    <definedName name="AreaThreeThreeFive" localSheetId="39">[3]Estimate!#REF!</definedName>
    <definedName name="AreaThreeThreeFour" localSheetId="39">[3]Estimate!#REF!</definedName>
    <definedName name="AreaThreeThreeOne" localSheetId="39">[3]Estimate!#REF!</definedName>
    <definedName name="AreaThreeThreeSix" localSheetId="39">[3]Estimate!#REF!</definedName>
    <definedName name="AreaThreeThreeThree" localSheetId="39">[3]Estimate!#REF!</definedName>
    <definedName name="AreaThreeThreeTwo" localSheetId="39">[3]Estimate!#REF!</definedName>
    <definedName name="AreaThreeTwoOne" localSheetId="39">[3]Estimate!#REF!</definedName>
    <definedName name="AreaThreeTwoTwo" localSheetId="39">[3]Estimate!#REF!</definedName>
    <definedName name="AreaTwoEightZero" localSheetId="39">[3]Estimate!#REF!</definedName>
    <definedName name="AreaTwoFiveZero" localSheetId="39">[3]Estimate!#REF!</definedName>
    <definedName name="AreaTwoFourZero" localSheetId="39">[3]Estimate!#REF!</definedName>
    <definedName name="AreaTwoOneZero" localSheetId="39">[3]Estimate!#REF!</definedName>
    <definedName name="AreaTwoThreeZero" localSheetId="39">[3]Estimate!#REF!</definedName>
    <definedName name="AreaTwoTwoZero" localSheetId="39">[3]Estimate!#REF!</definedName>
    <definedName name="Camps" localSheetId="39">#REF!</definedName>
    <definedName name="CONT1" localSheetId="39">[3]Estimate!#REF!</definedName>
    <definedName name="CONT2" localSheetId="39">[3]Estimate!#REF!</definedName>
    <definedName name="CONT3" localSheetId="39">[3]Estimate!#REF!</definedName>
    <definedName name="CONT4" localSheetId="39">[3]Estimate!#REF!</definedName>
    <definedName name="CONT5" localSheetId="39">[3]Estimate!#REF!</definedName>
    <definedName name="CONT6" localSheetId="39">[3]Estimate!#REF!</definedName>
    <definedName name="CONT7" localSheetId="39">[3]Estimate!#REF!</definedName>
    <definedName name="CONT8" localSheetId="39">[3]Estimate!#REF!</definedName>
    <definedName name="CONT9" localSheetId="39">[3]Estimate!#REF!</definedName>
    <definedName name="D" localSheetId="5" hidden="1">[4]EQUIP!#REF!</definedName>
    <definedName name="D" localSheetId="15" hidden="1">[4]EQUIP!#REF!</definedName>
    <definedName name="D" localSheetId="14" hidden="1">[4]EQUIP!#REF!</definedName>
    <definedName name="D" localSheetId="12" hidden="1">[4]EQUIP!#REF!</definedName>
    <definedName name="D" localSheetId="13" hidden="1">[4]EQUIP!#REF!</definedName>
    <definedName name="D" localSheetId="11" hidden="1">[4]EQUIP!#REF!</definedName>
    <definedName name="D" localSheetId="10" hidden="1">[4]EQUIP!#REF!</definedName>
    <definedName name="D" localSheetId="9" hidden="1">[4]EQUIP!#REF!</definedName>
    <definedName name="D" localSheetId="7" hidden="1">[4]EQUIP!#REF!</definedName>
    <definedName name="D" localSheetId="8" hidden="1">[4]EQUIP!#REF!</definedName>
    <definedName name="D" localSheetId="6" hidden="1">[4]EQUIP!#REF!</definedName>
    <definedName name="D" localSheetId="1" hidden="1">[4]EQUIP!#REF!</definedName>
    <definedName name="D" localSheetId="0" hidden="1">[4]EQUIP!#REF!</definedName>
    <definedName name="D" localSheetId="2" hidden="1">[4]EQUIP!#REF!</definedName>
    <definedName name="D" localSheetId="20" hidden="1">[4]EQUIP!#REF!</definedName>
    <definedName name="D" localSheetId="35" hidden="1">[4]EQUIP!#REF!</definedName>
    <definedName name="D" localSheetId="41" hidden="1">[4]EQUIP!#REF!</definedName>
    <definedName name="D" localSheetId="39" hidden="1">[4]EQUIP!#REF!</definedName>
    <definedName name="D" localSheetId="34" hidden="1">[4]EQUIP!#REF!</definedName>
    <definedName name="D" localSheetId="33" hidden="1">[4]EQUIP!#REF!</definedName>
    <definedName name="D" localSheetId="40" hidden="1">[4]EQUIP!#REF!</definedName>
    <definedName name="D" hidden="1">[4]EQUIP!#REF!</definedName>
    <definedName name="_xlnm.Database" localSheetId="39">#REF!</definedName>
    <definedName name="Defest" localSheetId="39">#REF!</definedName>
    <definedName name="Direct" localSheetId="39">#REF!</definedName>
    <definedName name="Fac" localSheetId="39">#REF!</definedName>
    <definedName name="FF" localSheetId="39">[5]Reference!#REF!</definedName>
    <definedName name="fifty" localSheetId="39">[6]Estimate!#REF!</definedName>
    <definedName name="FiveA" localSheetId="39">[3]Estimate!#REF!</definedName>
    <definedName name="FiveB" localSheetId="39">[3]Estimate!#REF!</definedName>
    <definedName name="FiveC" localSheetId="39">[3]Estimate!#REF!</definedName>
    <definedName name="FiveD" localSheetId="39">[3]Estimate!#REF!</definedName>
    <definedName name="FiveE" localSheetId="39">[3]Estimate!#REF!</definedName>
    <definedName name="FiveF" localSheetId="39">[3]Estimate!#REF!</definedName>
    <definedName name="FiveG" localSheetId="39">[3]Estimate!#REF!</definedName>
    <definedName name="FiveH" localSheetId="39">[3]Estimate!#REF!</definedName>
    <definedName name="FiveI" localSheetId="39">[3]Estimate!#REF!</definedName>
    <definedName name="FiveJ" localSheetId="39">[3]Estimate!#REF!</definedName>
    <definedName name="FiveK" localSheetId="39">[3]Estimate!#REF!</definedName>
    <definedName name="FiveL" localSheetId="39">[3]Estimate!#REF!</definedName>
    <definedName name="FiveM" localSheetId="39">[3]Estimate!#REF!</definedName>
    <definedName name="FourA" localSheetId="39">[3]Estimate!#REF!</definedName>
    <definedName name="FourB" localSheetId="39">[3]Estimate!#REF!</definedName>
    <definedName name="FourC" localSheetId="39">[3]Estimate!#REF!</definedName>
    <definedName name="FourD" localSheetId="39">[3]Estimate!#REF!</definedName>
    <definedName name="FourE" localSheetId="39">[3]Estimate!#REF!</definedName>
    <definedName name="FourF" localSheetId="39">[3]Estimate!#REF!</definedName>
    <definedName name="FourG" localSheetId="39">[3]Estimate!#REF!</definedName>
    <definedName name="FourH" localSheetId="39">[3]Estimate!#REF!</definedName>
    <definedName name="FourI" localSheetId="39">[3]Estimate!#REF!</definedName>
    <definedName name="FourJ" localSheetId="39">[3]Estimate!#REF!</definedName>
    <definedName name="FourK" localSheetId="39">[3]Estimate!#REF!</definedName>
    <definedName name="FourL" localSheetId="39">[3]Estimate!#REF!</definedName>
    <definedName name="Fourm" localSheetId="39">[3]Estimate!#REF!</definedName>
    <definedName name="FT" localSheetId="39">[5]Reference!#REF!</definedName>
    <definedName name="HDDR" localSheetId="39">#REF!</definedName>
    <definedName name="HDR" localSheetId="39">'[1]N-detail'!#REF!</definedName>
    <definedName name="Indirect" localSheetId="39">#REF!</definedName>
    <definedName name="Minproc" localSheetId="39">#REF!</definedName>
    <definedName name="myRange" localSheetId="39">#REF!</definedName>
    <definedName name="OneA" localSheetId="39">[3]Estimate!#REF!</definedName>
    <definedName name="OneB" localSheetId="39">[3]Estimate!#REF!</definedName>
    <definedName name="OneC" localSheetId="39">[3]Estimate!#REF!</definedName>
    <definedName name="OneD" localSheetId="39">[3]Estimate!#REF!</definedName>
    <definedName name="OneE" localSheetId="39">[3]Estimate!#REF!</definedName>
    <definedName name="OneF" localSheetId="39">[3]Estimate!#REF!</definedName>
    <definedName name="OneG" localSheetId="39">[3]Estimate!#REF!</definedName>
    <definedName name="OneH" localSheetId="39">[3]Estimate!#REF!</definedName>
    <definedName name="OneI" localSheetId="39">[3]Estimate!#REF!</definedName>
    <definedName name="OneJ" localSheetId="39">[3]Estimate!#REF!</definedName>
    <definedName name="OneK" localSheetId="39">[3]Estimate!#REF!</definedName>
    <definedName name="OneL" localSheetId="39">[3]Estimate!#REF!</definedName>
    <definedName name="OneM" localSheetId="39">[3]Estimate!#REF!</definedName>
    <definedName name="_xlnm.Print_Area" localSheetId="1">'2023 Total Costs'!$B$1:$I$92</definedName>
    <definedName name="_xlnm.Print_Area" localSheetId="0">'Estimate Details'!$A$1:$BR$1715</definedName>
    <definedName name="_xlnm.Print_Area" localSheetId="2">'Global Estimate'!$A$1:$J$101</definedName>
    <definedName name="_xlnm.Print_Area" localSheetId="39">#REF!</definedName>
    <definedName name="Print_Area_MI" localSheetId="39">#REF!</definedName>
    <definedName name="Print_Brief" localSheetId="39">#REF!</definedName>
    <definedName name="_xlnm.Print_Titles" localSheetId="0">'Estimate Details'!$1:$7</definedName>
    <definedName name="ProjName" localSheetId="39">'[7]Plant 1 Bldgs'!#REF!</definedName>
    <definedName name="SixA" localSheetId="39">[3]Estimate!#REF!</definedName>
    <definedName name="SixB" localSheetId="39">[3]Estimate!#REF!</definedName>
    <definedName name="SixC" localSheetId="39">[3]Estimate!#REF!</definedName>
    <definedName name="SixD" localSheetId="39">[3]Estimate!#REF!</definedName>
    <definedName name="SixE" localSheetId="39">[3]Estimate!#REF!</definedName>
    <definedName name="SixF" localSheetId="39">[3]Estimate!#REF!</definedName>
    <definedName name="SixG" localSheetId="39">[3]Estimate!#REF!</definedName>
    <definedName name="SixH" localSheetId="39">[3]Estimate!#REF!</definedName>
    <definedName name="SixI" localSheetId="39">[3]Estimate!#REF!</definedName>
    <definedName name="SixJ" localSheetId="39">[3]Estimate!#REF!</definedName>
    <definedName name="SixK" localSheetId="39">[3]Estimate!#REF!</definedName>
    <definedName name="SixL" localSheetId="39">[3]Estimate!#REF!</definedName>
    <definedName name="SixM" localSheetId="39">[3]Estimate!#REF!</definedName>
    <definedName name="SUM" localSheetId="39">[1]FACSUM!#REF!</definedName>
    <definedName name="test" localSheetId="9" hidden="1">[2]EQUIP!#REF!</definedName>
    <definedName name="test" localSheetId="7" hidden="1">[2]EQUIP!#REF!</definedName>
    <definedName name="test" localSheetId="8" hidden="1">[2]EQUIP!#REF!</definedName>
    <definedName name="test" localSheetId="6" hidden="1">[2]EQUIP!#REF!</definedName>
    <definedName name="test" localSheetId="1" hidden="1">[2]EQUIP!#REF!</definedName>
    <definedName name="test" localSheetId="2" hidden="1">[2]EQUIP!#REF!</definedName>
    <definedName name="test" localSheetId="41" hidden="1">[2]EQUIP!#REF!</definedName>
    <definedName name="test" localSheetId="40" hidden="1">[2]EQUIP!#REF!</definedName>
    <definedName name="test" hidden="1">[2]EQUIP!#REF!</definedName>
    <definedName name="ThreeA" localSheetId="39">[3]Estimate!#REF!</definedName>
    <definedName name="ThreeB" localSheetId="39">[3]Estimate!#REF!</definedName>
    <definedName name="ThreeC" localSheetId="39">[3]Estimate!#REF!</definedName>
    <definedName name="ThreeD" localSheetId="39">[3]Estimate!#REF!</definedName>
    <definedName name="ThreeE" localSheetId="39">[3]Estimate!#REF!</definedName>
    <definedName name="ThreeF" localSheetId="39">[3]Estimate!#REF!</definedName>
    <definedName name="ThreeG" localSheetId="39">[3]Estimate!#REF!</definedName>
    <definedName name="ThreeH" localSheetId="39">[3]Estimate!#REF!</definedName>
    <definedName name="ThreeI" localSheetId="39">[3]Estimate!#REF!</definedName>
    <definedName name="ThreeJ" localSheetId="39">[3]Estimate!#REF!</definedName>
    <definedName name="ThreeK" localSheetId="39">[3]Estimate!#REF!</definedName>
    <definedName name="ThreeL" localSheetId="39">[3]Estimate!#REF!</definedName>
    <definedName name="ThreeM" localSheetId="39">[3]Estimate!#REF!</definedName>
    <definedName name="TOB" localSheetId="39">[5]Reference!#REF!</definedName>
    <definedName name="TwoA" localSheetId="39">[3]Estimate!#REF!</definedName>
    <definedName name="TwoB" localSheetId="39">[3]Estimate!#REF!</definedName>
    <definedName name="TwoC" localSheetId="39">[3]Estimate!#REF!</definedName>
    <definedName name="TwoD" localSheetId="39">[3]Estimate!#REF!</definedName>
    <definedName name="TwoE" localSheetId="39">[3]Estimate!#REF!</definedName>
    <definedName name="TwoF" localSheetId="39">[3]Estimate!#REF!</definedName>
    <definedName name="TwoG" localSheetId="39">[3]Estimate!#REF!</definedName>
    <definedName name="TwoH" localSheetId="39">[3]Estimate!#REF!</definedName>
    <definedName name="TwoI" localSheetId="39">[3]Estimate!#REF!</definedName>
    <definedName name="TwoJ" localSheetId="39">[3]Estimate!#REF!</definedName>
    <definedName name="TwoK" localSheetId="39">[3]Estimate!#REF!</definedName>
    <definedName name="TwoL" localSheetId="39">[3]Estimate!#REF!</definedName>
    <definedName name="TwoM" localSheetId="39">[3]Estimate!#REF!</definedName>
  </definedNames>
  <calcPr calcId="191029" iterate="1" iterateCount="200"/>
  <pivotCaches>
    <pivotCache cacheId="0" r:id="rId50"/>
    <pivotCache cacheId="1" r:id="rId5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96" l="1"/>
  <c r="C92" i="102" l="1"/>
  <c r="C101" i="96"/>
  <c r="C94" i="96"/>
  <c r="N6" i="79" l="1"/>
  <c r="N4" i="61" l="1"/>
  <c r="K6" i="91" l="1"/>
  <c r="K7" i="91"/>
  <c r="K9" i="91"/>
  <c r="K10" i="91"/>
  <c r="K11" i="91"/>
  <c r="K15" i="91"/>
  <c r="K16" i="91"/>
  <c r="K17" i="91"/>
  <c r="K18" i="91"/>
  <c r="K19" i="91"/>
  <c r="K22" i="91"/>
  <c r="K24" i="91"/>
  <c r="H82" i="61" l="1"/>
  <c r="H83" i="61" s="1"/>
  <c r="C110" i="91" l="1"/>
  <c r="C114" i="91" s="1"/>
  <c r="C97" i="91"/>
  <c r="C101" i="91" s="1"/>
  <c r="C88" i="91"/>
  <c r="C92" i="91" s="1"/>
  <c r="C16" i="91" s="1"/>
  <c r="I62" i="91"/>
  <c r="I67" i="91" s="1"/>
  <c r="H62" i="91"/>
  <c r="H67" i="91" s="1"/>
  <c r="G62" i="91"/>
  <c r="G67" i="91" s="1"/>
  <c r="F62" i="91"/>
  <c r="F67" i="91" s="1"/>
  <c r="B62" i="91"/>
  <c r="C67" i="91" s="1"/>
  <c r="I52" i="91"/>
  <c r="H52" i="91"/>
  <c r="G52" i="91"/>
  <c r="F52" i="91"/>
  <c r="C52" i="91"/>
  <c r="H46" i="91"/>
  <c r="O24" i="91"/>
  <c r="C110" i="90" l="1"/>
  <c r="C114" i="90" s="1"/>
  <c r="C97" i="90"/>
  <c r="C101" i="90" s="1"/>
  <c r="C88" i="90"/>
  <c r="C92" i="90" s="1"/>
  <c r="C16" i="90" s="1"/>
  <c r="I62" i="90"/>
  <c r="I67" i="90" s="1"/>
  <c r="H62" i="90"/>
  <c r="H67" i="90" s="1"/>
  <c r="G62" i="90"/>
  <c r="G67" i="90" s="1"/>
  <c r="F62" i="90"/>
  <c r="F67" i="90" s="1"/>
  <c r="B62" i="90"/>
  <c r="C67" i="90" s="1"/>
  <c r="I52" i="90"/>
  <c r="H52" i="90"/>
  <c r="G52" i="90"/>
  <c r="F52" i="90"/>
  <c r="C52" i="90"/>
  <c r="H46" i="90"/>
  <c r="O24" i="90"/>
  <c r="H4" i="90"/>
  <c r="H5" i="90" s="1"/>
  <c r="C18" i="90" l="1"/>
  <c r="H74" i="90"/>
  <c r="H75" i="90" s="1"/>
  <c r="H78" i="90" s="1"/>
  <c r="H47" i="90"/>
  <c r="H48" i="90" s="1"/>
  <c r="H54" i="90" s="1"/>
  <c r="H56" i="90" s="1"/>
  <c r="H8" i="90" s="1"/>
  <c r="H69" i="90"/>
  <c r="H70" i="90"/>
  <c r="H64" i="90"/>
  <c r="H13" i="90" l="1"/>
  <c r="H76" i="90"/>
  <c r="H79" i="90" s="1"/>
  <c r="H81" i="90" s="1"/>
  <c r="H12" i="90" s="1"/>
  <c r="H72" i="90"/>
  <c r="H46" i="89" l="1"/>
  <c r="H4" i="89"/>
  <c r="I62" i="89" l="1"/>
  <c r="I67" i="89" s="1"/>
  <c r="H62" i="89"/>
  <c r="H67" i="89" s="1"/>
  <c r="G62" i="89"/>
  <c r="G67" i="89" s="1"/>
  <c r="F62" i="89"/>
  <c r="F67" i="89" s="1"/>
  <c r="I52" i="89"/>
  <c r="H52" i="89"/>
  <c r="G52" i="89"/>
  <c r="F52" i="89"/>
  <c r="O24" i="89" l="1"/>
  <c r="C97" i="89" l="1"/>
  <c r="C101" i="89" s="1"/>
  <c r="C110" i="89"/>
  <c r="C114" i="89" s="1"/>
  <c r="C88" i="89"/>
  <c r="C92" i="89" s="1"/>
  <c r="C16" i="89" s="1"/>
  <c r="B62" i="89"/>
  <c r="C52" i="89"/>
  <c r="C67" i="89" l="1"/>
  <c r="C18" i="89"/>
  <c r="C49" i="86" l="1"/>
  <c r="C95" i="86"/>
  <c r="C99" i="86" s="1"/>
  <c r="F85" i="86"/>
  <c r="F89" i="86" s="1"/>
  <c r="C83" i="86"/>
  <c r="C87" i="86" s="1"/>
  <c r="N13" i="86" s="1"/>
  <c r="C58" i="86"/>
  <c r="D58" i="86" s="1"/>
  <c r="G57" i="86"/>
  <c r="D56" i="86"/>
  <c r="E53" i="86"/>
  <c r="F67" i="86" s="1"/>
  <c r="K45" i="86"/>
  <c r="K43" i="86"/>
  <c r="M40" i="86"/>
  <c r="M42" i="86" s="1"/>
  <c r="N15" i="86" l="1"/>
  <c r="D155" i="85" l="1"/>
  <c r="C155" i="85"/>
  <c r="B155" i="85"/>
  <c r="D154" i="85"/>
  <c r="C154" i="85"/>
  <c r="B154" i="85"/>
  <c r="D153" i="85"/>
  <c r="C153" i="85"/>
  <c r="B153" i="85"/>
  <c r="D152" i="85"/>
  <c r="C152" i="85"/>
  <c r="B152" i="85"/>
  <c r="D151" i="85"/>
  <c r="C151" i="85"/>
  <c r="B151" i="85"/>
  <c r="D150" i="85"/>
  <c r="C150" i="85"/>
  <c r="B150" i="85"/>
  <c r="D149" i="85"/>
  <c r="C149" i="85"/>
  <c r="B149" i="85"/>
  <c r="D145" i="85"/>
  <c r="C145" i="85"/>
  <c r="B145" i="85"/>
  <c r="D144" i="85"/>
  <c r="C144" i="85"/>
  <c r="B144" i="85"/>
  <c r="B130" i="85"/>
  <c r="G93" i="85"/>
  <c r="F93" i="85"/>
  <c r="E93" i="85"/>
  <c r="D93" i="85"/>
  <c r="C93" i="85"/>
  <c r="B93" i="85"/>
  <c r="I92" i="85"/>
  <c r="E152" i="85" s="1"/>
  <c r="G89" i="85"/>
  <c r="G91" i="85" s="1"/>
  <c r="F89" i="85"/>
  <c r="F91" i="85" s="1"/>
  <c r="E89" i="85"/>
  <c r="E91" i="85" s="1"/>
  <c r="D89" i="85"/>
  <c r="D91" i="85" s="1"/>
  <c r="C89" i="85"/>
  <c r="C91" i="85" s="1"/>
  <c r="B89" i="85"/>
  <c r="B91" i="85" s="1"/>
  <c r="G82" i="85"/>
  <c r="G84" i="85" s="1"/>
  <c r="F82" i="85"/>
  <c r="F84" i="85" s="1"/>
  <c r="E82" i="85"/>
  <c r="E84" i="85" s="1"/>
  <c r="D82" i="85"/>
  <c r="D84" i="85" s="1"/>
  <c r="C82" i="85"/>
  <c r="C84" i="85" s="1"/>
  <c r="B82" i="85"/>
  <c r="B84" i="85" s="1"/>
  <c r="I74" i="85"/>
  <c r="E69" i="85"/>
  <c r="E73" i="85" s="1"/>
  <c r="D69" i="85"/>
  <c r="D73" i="85" s="1"/>
  <c r="C69" i="85"/>
  <c r="C73" i="85" s="1"/>
  <c r="B69" i="85"/>
  <c r="B73" i="85" s="1"/>
  <c r="B63" i="85" s="1"/>
  <c r="I63" i="85" s="1"/>
  <c r="G62" i="85"/>
  <c r="F62" i="85"/>
  <c r="E62" i="85"/>
  <c r="D62" i="85"/>
  <c r="C62" i="85"/>
  <c r="B62" i="85"/>
  <c r="G58" i="85"/>
  <c r="F58" i="85"/>
  <c r="E58" i="85"/>
  <c r="D58" i="85"/>
  <c r="C58" i="85"/>
  <c r="B58" i="85"/>
  <c r="G49" i="85"/>
  <c r="F49" i="85"/>
  <c r="E49" i="85"/>
  <c r="D49" i="85"/>
  <c r="C49" i="85"/>
  <c r="B46" i="85"/>
  <c r="B47" i="85" s="1"/>
  <c r="B49" i="85" s="1"/>
  <c r="G42" i="85"/>
  <c r="F42" i="85"/>
  <c r="F51" i="85" s="1"/>
  <c r="F35" i="85" s="1"/>
  <c r="E42" i="85"/>
  <c r="D42" i="85"/>
  <c r="C42" i="85"/>
  <c r="G38" i="85"/>
  <c r="F38" i="85"/>
  <c r="E38" i="85"/>
  <c r="D38" i="85"/>
  <c r="C38" i="85"/>
  <c r="B38" i="85"/>
  <c r="B40" i="85" s="1"/>
  <c r="B42" i="85" s="1"/>
  <c r="G34" i="85"/>
  <c r="E34" i="85"/>
  <c r="F33" i="85"/>
  <c r="B124" i="85" s="1"/>
  <c r="G28" i="85"/>
  <c r="F28" i="85"/>
  <c r="E28" i="85"/>
  <c r="D28" i="85"/>
  <c r="C28" i="85"/>
  <c r="B28" i="85"/>
  <c r="H24" i="85"/>
  <c r="G24" i="85"/>
  <c r="G53" i="85" s="1"/>
  <c r="F24" i="85"/>
  <c r="F53" i="85" s="1"/>
  <c r="E24" i="85"/>
  <c r="E56" i="85" s="1"/>
  <c r="E59" i="85" s="1"/>
  <c r="E61" i="85" s="1"/>
  <c r="E52" i="85" s="1"/>
  <c r="D24" i="85"/>
  <c r="D53" i="85" s="1"/>
  <c r="C24" i="85"/>
  <c r="C53" i="85" s="1"/>
  <c r="B24" i="85"/>
  <c r="B53" i="85" s="1"/>
  <c r="H19" i="85"/>
  <c r="H16" i="85"/>
  <c r="B14" i="85"/>
  <c r="H14" i="85" s="1"/>
  <c r="H7" i="85"/>
  <c r="I7" i="85" s="1"/>
  <c r="H6" i="85"/>
  <c r="I6" i="85" s="1"/>
  <c r="H5" i="85"/>
  <c r="I5" i="85" s="1"/>
  <c r="H4" i="85"/>
  <c r="I4" i="85" s="1"/>
  <c r="H3" i="85"/>
  <c r="E150" i="85" s="1"/>
  <c r="D403" i="84"/>
  <c r="D406" i="84" s="1"/>
  <c r="D401" i="84"/>
  <c r="J395" i="84"/>
  <c r="J379" i="84"/>
  <c r="D374" i="84"/>
  <c r="D371" i="84"/>
  <c r="D368" i="84"/>
  <c r="J364" i="84"/>
  <c r="J346" i="84"/>
  <c r="D334" i="84"/>
  <c r="D335" i="84" s="1"/>
  <c r="J332" i="84"/>
  <c r="J323" i="84"/>
  <c r="J322" i="84"/>
  <c r="J321" i="84"/>
  <c r="J320" i="84"/>
  <c r="D319" i="84"/>
  <c r="J303" i="84"/>
  <c r="J296" i="84"/>
  <c r="D377" i="84" s="1"/>
  <c r="D296" i="84"/>
  <c r="D299" i="84" s="1"/>
  <c r="J290" i="84"/>
  <c r="J288" i="84"/>
  <c r="J400" i="84" s="1"/>
  <c r="Q265" i="84"/>
  <c r="J265" i="84"/>
  <c r="Q264" i="84"/>
  <c r="J264" i="84"/>
  <c r="M263" i="84"/>
  <c r="Q263" i="84" s="1"/>
  <c r="F263" i="84"/>
  <c r="J263" i="84" s="1"/>
  <c r="M262" i="84"/>
  <c r="F262" i="84"/>
  <c r="E259" i="84"/>
  <c r="E258" i="84" s="1"/>
  <c r="N256" i="84"/>
  <c r="N255" i="84" s="1"/>
  <c r="M256" i="84"/>
  <c r="M255" i="84" s="1"/>
  <c r="G256" i="84"/>
  <c r="G255" i="84" s="1"/>
  <c r="F256" i="84"/>
  <c r="P255" i="84"/>
  <c r="O255" i="84"/>
  <c r="I255" i="84"/>
  <c r="H255" i="84"/>
  <c r="E255" i="84"/>
  <c r="P253" i="84"/>
  <c r="M253" i="84" s="1"/>
  <c r="N253" i="84"/>
  <c r="N252" i="84" s="1"/>
  <c r="I253" i="84"/>
  <c r="G253" i="84"/>
  <c r="G252" i="84" s="1"/>
  <c r="E252" i="84"/>
  <c r="P250" i="84"/>
  <c r="P259" i="84" s="1"/>
  <c r="P258" i="84" s="1"/>
  <c r="N250" i="84"/>
  <c r="N259" i="84" s="1"/>
  <c r="N258" i="84" s="1"/>
  <c r="I250" i="84"/>
  <c r="I259" i="84" s="1"/>
  <c r="I258" i="84" s="1"/>
  <c r="G250" i="84"/>
  <c r="G249" i="84" s="1"/>
  <c r="E249" i="84"/>
  <c r="P247" i="84"/>
  <c r="N247" i="84"/>
  <c r="N246" i="84" s="1"/>
  <c r="I247" i="84"/>
  <c r="F247" i="84" s="1"/>
  <c r="G247" i="84"/>
  <c r="G246" i="84" s="1"/>
  <c r="E246" i="84"/>
  <c r="T244" i="84"/>
  <c r="Q243" i="84"/>
  <c r="R243" i="84" s="1"/>
  <c r="P243" i="84"/>
  <c r="N243" i="84"/>
  <c r="M243" i="84"/>
  <c r="J243" i="84"/>
  <c r="T243" i="84" s="1"/>
  <c r="I243" i="84"/>
  <c r="G243" i="84"/>
  <c r="F243" i="84"/>
  <c r="E243" i="84"/>
  <c r="E241" i="84"/>
  <c r="P241" i="84" s="1"/>
  <c r="E238" i="84"/>
  <c r="P238" i="84" s="1"/>
  <c r="E235" i="84"/>
  <c r="P232" i="84"/>
  <c r="M232" i="84" s="1"/>
  <c r="N232" i="84"/>
  <c r="I232" i="84"/>
  <c r="F232" i="84" s="1"/>
  <c r="G232" i="84"/>
  <c r="P231" i="84"/>
  <c r="M231" i="84" s="1"/>
  <c r="N231" i="84"/>
  <c r="I231" i="84"/>
  <c r="F231" i="84" s="1"/>
  <c r="G231" i="84"/>
  <c r="N230" i="84"/>
  <c r="Q230" i="84" s="1"/>
  <c r="G230" i="84"/>
  <c r="J230" i="84" s="1"/>
  <c r="P229" i="84"/>
  <c r="N229" i="84"/>
  <c r="I229" i="84"/>
  <c r="F229" i="84" s="1"/>
  <c r="G229" i="84"/>
  <c r="E228" i="84"/>
  <c r="P226" i="84"/>
  <c r="M226" i="84" s="1"/>
  <c r="N226" i="84"/>
  <c r="I226" i="84"/>
  <c r="F226" i="84" s="1"/>
  <c r="G226" i="84"/>
  <c r="P225" i="84"/>
  <c r="M225" i="84" s="1"/>
  <c r="N225" i="84"/>
  <c r="I225" i="84"/>
  <c r="F225" i="84" s="1"/>
  <c r="G225" i="84"/>
  <c r="N224" i="84"/>
  <c r="Q224" i="84" s="1"/>
  <c r="G224" i="84"/>
  <c r="J224" i="84" s="1"/>
  <c r="P223" i="84"/>
  <c r="M223" i="84" s="1"/>
  <c r="N223" i="84"/>
  <c r="I223" i="84"/>
  <c r="F223" i="84" s="1"/>
  <c r="G223" i="84"/>
  <c r="E222" i="84"/>
  <c r="P220" i="84"/>
  <c r="M220" i="84" s="1"/>
  <c r="N220" i="84"/>
  <c r="I220" i="84"/>
  <c r="F220" i="84" s="1"/>
  <c r="G220" i="84"/>
  <c r="P219" i="84"/>
  <c r="M219" i="84" s="1"/>
  <c r="N219" i="84"/>
  <c r="I219" i="84"/>
  <c r="G219" i="84"/>
  <c r="N218" i="84"/>
  <c r="Q218" i="84" s="1"/>
  <c r="G218" i="84"/>
  <c r="J218" i="84" s="1"/>
  <c r="P217" i="84"/>
  <c r="M217" i="84" s="1"/>
  <c r="N217" i="84"/>
  <c r="I217" i="84"/>
  <c r="F217" i="84" s="1"/>
  <c r="G217" i="84"/>
  <c r="E216" i="84"/>
  <c r="P214" i="84"/>
  <c r="M214" i="84" s="1"/>
  <c r="N214" i="84"/>
  <c r="I214" i="84"/>
  <c r="F214" i="84" s="1"/>
  <c r="G214" i="84"/>
  <c r="P213" i="84"/>
  <c r="M213" i="84" s="1"/>
  <c r="N213" i="84"/>
  <c r="I213" i="84"/>
  <c r="G213" i="84"/>
  <c r="N212" i="84"/>
  <c r="Q212" i="84" s="1"/>
  <c r="G212" i="84"/>
  <c r="J212" i="84" s="1"/>
  <c r="P211" i="84"/>
  <c r="N211" i="84"/>
  <c r="I211" i="84"/>
  <c r="F211" i="84" s="1"/>
  <c r="G211" i="84"/>
  <c r="E210" i="84"/>
  <c r="E208" i="84"/>
  <c r="I208" i="84" s="1"/>
  <c r="P205" i="84"/>
  <c r="M205" i="84" s="1"/>
  <c r="N205" i="84"/>
  <c r="I205" i="84"/>
  <c r="F205" i="84" s="1"/>
  <c r="G205" i="84"/>
  <c r="P204" i="84"/>
  <c r="M204" i="84" s="1"/>
  <c r="N204" i="84"/>
  <c r="I204" i="84"/>
  <c r="F204" i="84" s="1"/>
  <c r="G204" i="84"/>
  <c r="N203" i="84"/>
  <c r="Q203" i="84" s="1"/>
  <c r="M203" i="84"/>
  <c r="G203" i="84"/>
  <c r="J203" i="84" s="1"/>
  <c r="F203" i="84"/>
  <c r="E202" i="84"/>
  <c r="N202" i="84" s="1"/>
  <c r="E199" i="84"/>
  <c r="P199" i="84" s="1"/>
  <c r="M199" i="84" s="1"/>
  <c r="E198" i="84"/>
  <c r="N197" i="84"/>
  <c r="M197" i="84"/>
  <c r="G197" i="84"/>
  <c r="F197" i="84"/>
  <c r="P196" i="84"/>
  <c r="M196" i="84" s="1"/>
  <c r="N196" i="84"/>
  <c r="I196" i="84"/>
  <c r="F196" i="84" s="1"/>
  <c r="G196" i="84"/>
  <c r="P193" i="84"/>
  <c r="M193" i="84" s="1"/>
  <c r="N193" i="84"/>
  <c r="I193" i="84"/>
  <c r="F193" i="84" s="1"/>
  <c r="G193" i="84"/>
  <c r="P192" i="84"/>
  <c r="M192" i="84" s="1"/>
  <c r="N192" i="84"/>
  <c r="I192" i="84"/>
  <c r="F192" i="84" s="1"/>
  <c r="G192" i="84"/>
  <c r="T191" i="84"/>
  <c r="P190" i="84"/>
  <c r="M190" i="84" s="1"/>
  <c r="N190" i="84"/>
  <c r="I190" i="84"/>
  <c r="G190" i="84"/>
  <c r="E189" i="84"/>
  <c r="P186" i="84"/>
  <c r="M186" i="84" s="1"/>
  <c r="N186" i="84"/>
  <c r="I186" i="84"/>
  <c r="F186" i="84" s="1"/>
  <c r="G186" i="84"/>
  <c r="P185" i="84"/>
  <c r="M185" i="84" s="1"/>
  <c r="N185" i="84"/>
  <c r="I185" i="84"/>
  <c r="F185" i="84" s="1"/>
  <c r="G185" i="84"/>
  <c r="N184" i="84"/>
  <c r="G184" i="84"/>
  <c r="J184" i="84" s="1"/>
  <c r="P183" i="84"/>
  <c r="M183" i="84" s="1"/>
  <c r="N183" i="84"/>
  <c r="I183" i="84"/>
  <c r="F183" i="84" s="1"/>
  <c r="G183" i="84"/>
  <c r="E182" i="84"/>
  <c r="P180" i="84"/>
  <c r="M180" i="84" s="1"/>
  <c r="N180" i="84"/>
  <c r="I180" i="84"/>
  <c r="F180" i="84" s="1"/>
  <c r="G180" i="84"/>
  <c r="P179" i="84"/>
  <c r="M179" i="84" s="1"/>
  <c r="N179" i="84"/>
  <c r="I179" i="84"/>
  <c r="F179" i="84" s="1"/>
  <c r="G179" i="84"/>
  <c r="P178" i="84"/>
  <c r="N178" i="84"/>
  <c r="I178" i="84"/>
  <c r="G178" i="84"/>
  <c r="P177" i="84"/>
  <c r="M177" i="84" s="1"/>
  <c r="N177" i="84"/>
  <c r="I177" i="84"/>
  <c r="G177" i="84"/>
  <c r="P176" i="84"/>
  <c r="M176" i="84" s="1"/>
  <c r="N176" i="84"/>
  <c r="I176" i="84"/>
  <c r="F176" i="84" s="1"/>
  <c r="G176" i="84"/>
  <c r="E175" i="84"/>
  <c r="P173" i="84"/>
  <c r="M173" i="84" s="1"/>
  <c r="N173" i="84"/>
  <c r="I173" i="84"/>
  <c r="F173" i="84" s="1"/>
  <c r="G173" i="84"/>
  <c r="P172" i="84"/>
  <c r="M172" i="84" s="1"/>
  <c r="N172" i="84"/>
  <c r="I172" i="84"/>
  <c r="F172" i="84" s="1"/>
  <c r="G172" i="84"/>
  <c r="N171" i="84"/>
  <c r="Q171" i="84" s="1"/>
  <c r="G171" i="84"/>
  <c r="J171" i="84" s="1"/>
  <c r="P170" i="84"/>
  <c r="M170" i="84" s="1"/>
  <c r="N170" i="84"/>
  <c r="I170" i="84"/>
  <c r="G170" i="84"/>
  <c r="P169" i="84"/>
  <c r="N169" i="84"/>
  <c r="I169" i="84"/>
  <c r="F169" i="84" s="1"/>
  <c r="G169" i="84"/>
  <c r="E168" i="84"/>
  <c r="P166" i="84"/>
  <c r="M166" i="84" s="1"/>
  <c r="N166" i="84"/>
  <c r="I166" i="84"/>
  <c r="F166" i="84" s="1"/>
  <c r="G166" i="84"/>
  <c r="P165" i="84"/>
  <c r="M165" i="84" s="1"/>
  <c r="N165" i="84"/>
  <c r="I165" i="84"/>
  <c r="F165" i="84" s="1"/>
  <c r="G165" i="84"/>
  <c r="P164" i="84"/>
  <c r="N164" i="84"/>
  <c r="I164" i="84"/>
  <c r="G164" i="84"/>
  <c r="P163" i="84"/>
  <c r="M163" i="84" s="1"/>
  <c r="N163" i="84"/>
  <c r="I163" i="84"/>
  <c r="G163" i="84"/>
  <c r="P162" i="84"/>
  <c r="M162" i="84" s="1"/>
  <c r="N162" i="84"/>
  <c r="I162" i="84"/>
  <c r="F162" i="84" s="1"/>
  <c r="G162" i="84"/>
  <c r="E161" i="84"/>
  <c r="P159" i="84"/>
  <c r="N159" i="84"/>
  <c r="I159" i="84"/>
  <c r="F159" i="84" s="1"/>
  <c r="G159" i="84"/>
  <c r="P158" i="84"/>
  <c r="M158" i="84" s="1"/>
  <c r="N158" i="84"/>
  <c r="I158" i="84"/>
  <c r="F158" i="84" s="1"/>
  <c r="G158" i="84"/>
  <c r="N157" i="84"/>
  <c r="Q157" i="84" s="1"/>
  <c r="G157" i="84"/>
  <c r="J157" i="84" s="1"/>
  <c r="P156" i="84"/>
  <c r="M156" i="84" s="1"/>
  <c r="N156" i="84"/>
  <c r="I156" i="84"/>
  <c r="F156" i="84" s="1"/>
  <c r="G156" i="84"/>
  <c r="P155" i="84"/>
  <c r="M155" i="84" s="1"/>
  <c r="N155" i="84"/>
  <c r="I155" i="84"/>
  <c r="F155" i="84" s="1"/>
  <c r="G155" i="84"/>
  <c r="E154" i="84"/>
  <c r="P152" i="84"/>
  <c r="M152" i="84" s="1"/>
  <c r="N152" i="84"/>
  <c r="I152" i="84"/>
  <c r="F152" i="84" s="1"/>
  <c r="G152" i="84"/>
  <c r="P151" i="84"/>
  <c r="M151" i="84" s="1"/>
  <c r="N151" i="84"/>
  <c r="I151" i="84"/>
  <c r="F151" i="84" s="1"/>
  <c r="G151" i="84"/>
  <c r="P150" i="84"/>
  <c r="N150" i="84"/>
  <c r="I150" i="84"/>
  <c r="G150" i="84"/>
  <c r="P149" i="84"/>
  <c r="M149" i="84" s="1"/>
  <c r="N149" i="84"/>
  <c r="I149" i="84"/>
  <c r="F149" i="84" s="1"/>
  <c r="G149" i="84"/>
  <c r="E148" i="84"/>
  <c r="P146" i="84"/>
  <c r="M146" i="84" s="1"/>
  <c r="N146" i="84"/>
  <c r="I146" i="84"/>
  <c r="F146" i="84" s="1"/>
  <c r="G146" i="84"/>
  <c r="P145" i="84"/>
  <c r="M145" i="84" s="1"/>
  <c r="N145" i="84"/>
  <c r="I145" i="84"/>
  <c r="F145" i="84" s="1"/>
  <c r="G145" i="84"/>
  <c r="N144" i="84"/>
  <c r="Q144" i="84" s="1"/>
  <c r="G144" i="84"/>
  <c r="J144" i="84" s="1"/>
  <c r="P143" i="84"/>
  <c r="N143" i="84"/>
  <c r="I143" i="84"/>
  <c r="F143" i="84" s="1"/>
  <c r="G143" i="84"/>
  <c r="E142" i="84"/>
  <c r="P140" i="84"/>
  <c r="M140" i="84" s="1"/>
  <c r="N140" i="84"/>
  <c r="I140" i="84"/>
  <c r="F140" i="84" s="1"/>
  <c r="G140" i="84"/>
  <c r="E138" i="84"/>
  <c r="P138" i="84" s="1"/>
  <c r="M138" i="84" s="1"/>
  <c r="E137" i="84"/>
  <c r="N137" i="84" s="1"/>
  <c r="E136" i="84"/>
  <c r="G136" i="84" s="1"/>
  <c r="E135" i="84"/>
  <c r="N135" i="84" s="1"/>
  <c r="E134" i="84"/>
  <c r="I134" i="84" s="1"/>
  <c r="F134" i="84" s="1"/>
  <c r="E131" i="84"/>
  <c r="E130" i="84"/>
  <c r="P130" i="84" s="1"/>
  <c r="M130" i="84" s="1"/>
  <c r="E129" i="84"/>
  <c r="E128" i="84"/>
  <c r="G128" i="84" s="1"/>
  <c r="J128" i="84" s="1"/>
  <c r="E127" i="84"/>
  <c r="E124" i="84"/>
  <c r="N124" i="84" s="1"/>
  <c r="E123" i="84"/>
  <c r="N123" i="84" s="1"/>
  <c r="E122" i="84"/>
  <c r="N122" i="84" s="1"/>
  <c r="Q122" i="84" s="1"/>
  <c r="E121" i="84"/>
  <c r="N121" i="84" s="1"/>
  <c r="E120" i="84"/>
  <c r="N120" i="84" s="1"/>
  <c r="P117" i="84"/>
  <c r="M117" i="84" s="1"/>
  <c r="N117" i="84"/>
  <c r="I117" i="84"/>
  <c r="F117" i="84" s="1"/>
  <c r="G117" i="84"/>
  <c r="P116" i="84"/>
  <c r="M116" i="84" s="1"/>
  <c r="N116" i="84"/>
  <c r="I116" i="84"/>
  <c r="F116" i="84" s="1"/>
  <c r="G116" i="84"/>
  <c r="P113" i="84"/>
  <c r="M113" i="84" s="1"/>
  <c r="N113" i="84"/>
  <c r="I113" i="84"/>
  <c r="F113" i="84" s="1"/>
  <c r="G113" i="84"/>
  <c r="P110" i="84"/>
  <c r="M110" i="84" s="1"/>
  <c r="N110" i="84"/>
  <c r="I110" i="84"/>
  <c r="F110" i="84" s="1"/>
  <c r="G110" i="84"/>
  <c r="P109" i="84"/>
  <c r="N109" i="84"/>
  <c r="I109" i="84"/>
  <c r="F109" i="84" s="1"/>
  <c r="G109" i="84"/>
  <c r="N108" i="84"/>
  <c r="Q108" i="84" s="1"/>
  <c r="G108" i="84"/>
  <c r="J108" i="84" s="1"/>
  <c r="P107" i="84"/>
  <c r="M107" i="84" s="1"/>
  <c r="N107" i="84"/>
  <c r="I107" i="84"/>
  <c r="G107" i="84"/>
  <c r="P106" i="84"/>
  <c r="M106" i="84" s="1"/>
  <c r="N106" i="84"/>
  <c r="I106" i="84"/>
  <c r="F106" i="84" s="1"/>
  <c r="G106" i="84"/>
  <c r="E105" i="84"/>
  <c r="P103" i="84"/>
  <c r="M103" i="84" s="1"/>
  <c r="N103" i="84"/>
  <c r="I103" i="84"/>
  <c r="F103" i="84" s="1"/>
  <c r="G103" i="84"/>
  <c r="P102" i="84"/>
  <c r="M102" i="84" s="1"/>
  <c r="N102" i="84"/>
  <c r="I102" i="84"/>
  <c r="F102" i="84" s="1"/>
  <c r="G102" i="84"/>
  <c r="P101" i="84"/>
  <c r="M101" i="84" s="1"/>
  <c r="N101" i="84"/>
  <c r="I101" i="84"/>
  <c r="F101" i="84" s="1"/>
  <c r="G101" i="84"/>
  <c r="N100" i="84"/>
  <c r="Q100" i="84" s="1"/>
  <c r="G100" i="84"/>
  <c r="J100" i="84" s="1"/>
  <c r="P99" i="84"/>
  <c r="M99" i="84" s="1"/>
  <c r="N99" i="84"/>
  <c r="I99" i="84"/>
  <c r="F99" i="84" s="1"/>
  <c r="G99" i="84"/>
  <c r="E98" i="84"/>
  <c r="P96" i="84"/>
  <c r="M96" i="84" s="1"/>
  <c r="N96" i="84"/>
  <c r="I96" i="84"/>
  <c r="F96" i="84" s="1"/>
  <c r="G96" i="84"/>
  <c r="P95" i="84"/>
  <c r="M95" i="84" s="1"/>
  <c r="N95" i="84"/>
  <c r="I95" i="84"/>
  <c r="G95" i="84"/>
  <c r="P94" i="84"/>
  <c r="M94" i="84" s="1"/>
  <c r="N94" i="84"/>
  <c r="I94" i="84"/>
  <c r="F94" i="84" s="1"/>
  <c r="G94" i="84"/>
  <c r="N93" i="84"/>
  <c r="Q93" i="84" s="1"/>
  <c r="G93" i="84"/>
  <c r="J93" i="84" s="1"/>
  <c r="P92" i="84"/>
  <c r="M92" i="84" s="1"/>
  <c r="N92" i="84"/>
  <c r="I92" i="84"/>
  <c r="F92" i="84" s="1"/>
  <c r="G92" i="84"/>
  <c r="E91" i="84"/>
  <c r="E89" i="84"/>
  <c r="N89" i="84" s="1"/>
  <c r="P88" i="84"/>
  <c r="M88" i="84" s="1"/>
  <c r="N88" i="84"/>
  <c r="I88" i="84"/>
  <c r="F88" i="84" s="1"/>
  <c r="G88" i="84"/>
  <c r="N87" i="84"/>
  <c r="Q87" i="84" s="1"/>
  <c r="G87" i="84"/>
  <c r="J87" i="84" s="1"/>
  <c r="P86" i="84"/>
  <c r="M86" i="84" s="1"/>
  <c r="N86" i="84"/>
  <c r="I86" i="84"/>
  <c r="F86" i="84" s="1"/>
  <c r="G86" i="84"/>
  <c r="P85" i="84"/>
  <c r="M85" i="84" s="1"/>
  <c r="N85" i="84"/>
  <c r="I85" i="84"/>
  <c r="F85" i="84" s="1"/>
  <c r="G85" i="84"/>
  <c r="P82" i="84"/>
  <c r="M82" i="84" s="1"/>
  <c r="N82" i="84"/>
  <c r="I82" i="84"/>
  <c r="G82" i="84"/>
  <c r="P81" i="84"/>
  <c r="M81" i="84" s="1"/>
  <c r="N81" i="84"/>
  <c r="I81" i="84"/>
  <c r="F81" i="84" s="1"/>
  <c r="G81" i="84"/>
  <c r="N80" i="84"/>
  <c r="Q80" i="84" s="1"/>
  <c r="G80" i="84"/>
  <c r="J80" i="84" s="1"/>
  <c r="P79" i="84"/>
  <c r="M79" i="84" s="1"/>
  <c r="N79" i="84"/>
  <c r="I79" i="84"/>
  <c r="F79" i="84" s="1"/>
  <c r="G79" i="84"/>
  <c r="E78" i="84"/>
  <c r="P76" i="84"/>
  <c r="M76" i="84" s="1"/>
  <c r="N76" i="84"/>
  <c r="I76" i="84"/>
  <c r="G76" i="84"/>
  <c r="P75" i="84"/>
  <c r="N75" i="84"/>
  <c r="I75" i="84"/>
  <c r="F75" i="84" s="1"/>
  <c r="G75" i="84"/>
  <c r="N74" i="84"/>
  <c r="G74" i="84"/>
  <c r="J74" i="84" s="1"/>
  <c r="N73" i="84"/>
  <c r="M73" i="84"/>
  <c r="G73" i="84"/>
  <c r="F73" i="84"/>
  <c r="E72" i="84"/>
  <c r="E70" i="84"/>
  <c r="I70" i="84" s="1"/>
  <c r="F70" i="84" s="1"/>
  <c r="P69" i="84"/>
  <c r="M69" i="84" s="1"/>
  <c r="N69" i="84"/>
  <c r="I69" i="84"/>
  <c r="F69" i="84" s="1"/>
  <c r="G69" i="84"/>
  <c r="N68" i="84"/>
  <c r="Q68" i="84" s="1"/>
  <c r="G68" i="84"/>
  <c r="J68" i="84" s="1"/>
  <c r="N67" i="84"/>
  <c r="M67" i="84"/>
  <c r="G67" i="84"/>
  <c r="F67" i="84"/>
  <c r="E64" i="84"/>
  <c r="N64" i="84" s="1"/>
  <c r="E63" i="84"/>
  <c r="P63" i="84" s="1"/>
  <c r="M63" i="84" s="1"/>
  <c r="N62" i="84"/>
  <c r="Q62" i="84" s="1"/>
  <c r="G62" i="84"/>
  <c r="J62" i="84" s="1"/>
  <c r="E61" i="84"/>
  <c r="P61" i="84" s="1"/>
  <c r="E58" i="84"/>
  <c r="N58" i="84" s="1"/>
  <c r="P57" i="84"/>
  <c r="M57" i="84" s="1"/>
  <c r="N57" i="84"/>
  <c r="I57" i="84"/>
  <c r="F57" i="84" s="1"/>
  <c r="G57" i="84"/>
  <c r="N56" i="84"/>
  <c r="Q56" i="84" s="1"/>
  <c r="G56" i="84"/>
  <c r="J56" i="84" s="1"/>
  <c r="E55" i="84"/>
  <c r="N55" i="84" s="1"/>
  <c r="E52" i="84"/>
  <c r="P52" i="84" s="1"/>
  <c r="P51" i="84"/>
  <c r="M51" i="84" s="1"/>
  <c r="N51" i="84"/>
  <c r="I51" i="84"/>
  <c r="F51" i="84" s="1"/>
  <c r="G51" i="84"/>
  <c r="N50" i="84"/>
  <c r="Q50" i="84" s="1"/>
  <c r="G50" i="84"/>
  <c r="J50" i="84" s="1"/>
  <c r="P49" i="84"/>
  <c r="M49" i="84" s="1"/>
  <c r="N49" i="84"/>
  <c r="I49" i="84"/>
  <c r="F49" i="84" s="1"/>
  <c r="G49" i="84"/>
  <c r="J45" i="84"/>
  <c r="K45" i="84" s="1"/>
  <c r="I45" i="84"/>
  <c r="G45" i="84"/>
  <c r="F45" i="84"/>
  <c r="E45" i="84"/>
  <c r="J42" i="84"/>
  <c r="I42" i="84"/>
  <c r="G42" i="84"/>
  <c r="F42" i="84"/>
  <c r="E42" i="84"/>
  <c r="E40" i="84"/>
  <c r="E39" i="84" s="1"/>
  <c r="E37" i="84"/>
  <c r="N37" i="84" s="1"/>
  <c r="N36" i="84" s="1"/>
  <c r="J31" i="84"/>
  <c r="I31" i="84"/>
  <c r="G31" i="84"/>
  <c r="F31" i="84"/>
  <c r="E31" i="84"/>
  <c r="N28" i="84"/>
  <c r="N31" i="84" s="1"/>
  <c r="Y27" i="84"/>
  <c r="J27" i="84"/>
  <c r="I27" i="84"/>
  <c r="I34" i="84" s="1"/>
  <c r="I33" i="84" s="1"/>
  <c r="G27" i="84"/>
  <c r="G34" i="84" s="1"/>
  <c r="G33" i="84" s="1"/>
  <c r="F27" i="84"/>
  <c r="F34" i="84" s="1"/>
  <c r="F33" i="84" s="1"/>
  <c r="E27" i="84"/>
  <c r="E34" i="84" s="1"/>
  <c r="E33" i="84" s="1"/>
  <c r="J24" i="84"/>
  <c r="K24" i="84" s="1"/>
  <c r="I24" i="84"/>
  <c r="G24" i="84"/>
  <c r="F24" i="84"/>
  <c r="E24" i="84"/>
  <c r="N21" i="84"/>
  <c r="Q21" i="84" s="1"/>
  <c r="G21" i="84"/>
  <c r="J21" i="84" s="1"/>
  <c r="I20" i="84"/>
  <c r="F20" i="84"/>
  <c r="E20" i="84"/>
  <c r="P10" i="84"/>
  <c r="I10" i="84"/>
  <c r="P9" i="84"/>
  <c r="I9" i="84"/>
  <c r="P8" i="84"/>
  <c r="I8" i="84"/>
  <c r="P7" i="84"/>
  <c r="I7" i="84"/>
  <c r="P6" i="84"/>
  <c r="I6" i="84"/>
  <c r="P5" i="84"/>
  <c r="I5" i="84"/>
  <c r="H34" i="85" l="1"/>
  <c r="C20" i="85"/>
  <c r="C25" i="85" s="1"/>
  <c r="C30" i="85" s="1"/>
  <c r="C32" i="85" s="1"/>
  <c r="C15" i="85" s="1"/>
  <c r="G20" i="85"/>
  <c r="G25" i="85" s="1"/>
  <c r="G30" i="85" s="1"/>
  <c r="D51" i="85"/>
  <c r="D35" i="85" s="1"/>
  <c r="B52" i="85"/>
  <c r="D94" i="85"/>
  <c r="B128" i="85"/>
  <c r="D128" i="85" s="1"/>
  <c r="C148" i="85" s="1"/>
  <c r="I93" i="85"/>
  <c r="E153" i="85" s="1"/>
  <c r="B20" i="85"/>
  <c r="B25" i="85" s="1"/>
  <c r="F56" i="85"/>
  <c r="F59" i="85" s="1"/>
  <c r="F61" i="85" s="1"/>
  <c r="F52" i="85" s="1"/>
  <c r="G94" i="85"/>
  <c r="C51" i="85"/>
  <c r="C35" i="85" s="1"/>
  <c r="G51" i="85"/>
  <c r="G35" i="85" s="1"/>
  <c r="G56" i="85"/>
  <c r="G59" i="85" s="1"/>
  <c r="G61" i="85" s="1"/>
  <c r="G52" i="85" s="1"/>
  <c r="H28" i="85"/>
  <c r="B56" i="85"/>
  <c r="B59" i="85" s="1"/>
  <c r="B61" i="85" s="1"/>
  <c r="B122" i="85"/>
  <c r="E122" i="85" s="1"/>
  <c r="F20" i="85"/>
  <c r="F25" i="85" s="1"/>
  <c r="F30" i="85" s="1"/>
  <c r="F32" i="85" s="1"/>
  <c r="F15" i="85" s="1"/>
  <c r="H33" i="85"/>
  <c r="E51" i="85"/>
  <c r="E35" i="85" s="1"/>
  <c r="C56" i="85"/>
  <c r="C59" i="85" s="1"/>
  <c r="C61" i="85" s="1"/>
  <c r="C52" i="85" s="1"/>
  <c r="C94" i="85"/>
  <c r="G32" i="85"/>
  <c r="G15" i="85" s="1"/>
  <c r="B94" i="85"/>
  <c r="B75" i="85"/>
  <c r="E53" i="85"/>
  <c r="E94" i="85"/>
  <c r="D20" i="85"/>
  <c r="D25" i="85" s="1"/>
  <c r="D30" i="85" s="1"/>
  <c r="D32" i="85" s="1"/>
  <c r="D15" i="85" s="1"/>
  <c r="D56" i="85"/>
  <c r="D59" i="85" s="1"/>
  <c r="D61" i="85" s="1"/>
  <c r="D52" i="85" s="1"/>
  <c r="B125" i="85"/>
  <c r="E145" i="85" s="1"/>
  <c r="P252" i="84"/>
  <c r="E20" i="85"/>
  <c r="E25" i="85" s="1"/>
  <c r="E30" i="85" s="1"/>
  <c r="E32" i="85" s="1"/>
  <c r="E15" i="85" s="1"/>
  <c r="I62" i="85"/>
  <c r="N63" i="84"/>
  <c r="Q63" i="84" s="1"/>
  <c r="E240" i="84"/>
  <c r="D298" i="84"/>
  <c r="D301" i="84" s="1"/>
  <c r="J116" i="84"/>
  <c r="P120" i="84"/>
  <c r="M120" i="84" s="1"/>
  <c r="Q120" i="84" s="1"/>
  <c r="Q213" i="84"/>
  <c r="N61" i="84"/>
  <c r="G63" i="84"/>
  <c r="I63" i="84"/>
  <c r="F63" i="84" s="1"/>
  <c r="G91" i="84"/>
  <c r="E114" i="84"/>
  <c r="P114" i="84" s="1"/>
  <c r="M114" i="84" s="1"/>
  <c r="M112" i="84" s="1"/>
  <c r="P137" i="84"/>
  <c r="M137" i="84" s="1"/>
  <c r="Q137" i="84" s="1"/>
  <c r="T80" i="84"/>
  <c r="J67" i="84"/>
  <c r="T68" i="84"/>
  <c r="E195" i="84"/>
  <c r="D405" i="84"/>
  <c r="D417" i="84" s="1"/>
  <c r="M28" i="84" s="1"/>
  <c r="M31" i="84" s="1"/>
  <c r="Q82" i="84"/>
  <c r="G122" i="84"/>
  <c r="J122" i="84" s="1"/>
  <c r="T122" i="84" s="1"/>
  <c r="N130" i="84"/>
  <c r="Q130" i="84" s="1"/>
  <c r="J140" i="84"/>
  <c r="K140" i="84" s="1"/>
  <c r="J145" i="84"/>
  <c r="Q116" i="84"/>
  <c r="G138" i="84"/>
  <c r="P208" i="84"/>
  <c r="M208" i="84" s="1"/>
  <c r="M207" i="84" s="1"/>
  <c r="Q214" i="84"/>
  <c r="N228" i="84"/>
  <c r="G241" i="84"/>
  <c r="G240" i="84" s="1"/>
  <c r="G135" i="84"/>
  <c r="J135" i="84" s="1"/>
  <c r="E115" i="84"/>
  <c r="N115" i="84" s="1"/>
  <c r="Q115" i="84" s="1"/>
  <c r="G121" i="84"/>
  <c r="P121" i="84"/>
  <c r="M121" i="84" s="1"/>
  <c r="Q121" i="84" s="1"/>
  <c r="G123" i="84"/>
  <c r="N138" i="84"/>
  <c r="Q138" i="84" s="1"/>
  <c r="N142" i="84"/>
  <c r="Q145" i="84"/>
  <c r="Q176" i="84"/>
  <c r="Q177" i="84"/>
  <c r="N249" i="84"/>
  <c r="Q253" i="84"/>
  <c r="Q252" i="84" s="1"/>
  <c r="R252" i="84" s="1"/>
  <c r="J325" i="84"/>
  <c r="D307" i="84" s="1"/>
  <c r="D313" i="84" s="1"/>
  <c r="D372" i="84"/>
  <c r="D389" i="84" s="1"/>
  <c r="M43" i="84" s="1"/>
  <c r="M42" i="84" s="1"/>
  <c r="P37" i="84"/>
  <c r="M37" i="84" s="1"/>
  <c r="M36" i="84" s="1"/>
  <c r="I55" i="84"/>
  <c r="J73" i="84"/>
  <c r="I72" i="84"/>
  <c r="G134" i="84"/>
  <c r="J134" i="84" s="1"/>
  <c r="J155" i="84"/>
  <c r="J165" i="84"/>
  <c r="J231" i="84"/>
  <c r="I241" i="84"/>
  <c r="F241" i="84" s="1"/>
  <c r="F240" i="84" s="1"/>
  <c r="T264" i="84"/>
  <c r="J398" i="84"/>
  <c r="J402" i="84" s="1"/>
  <c r="D409" i="84" s="1"/>
  <c r="P134" i="84"/>
  <c r="M134" i="84" s="1"/>
  <c r="M250" i="84"/>
  <c r="Q250" i="84" s="1"/>
  <c r="Q259" i="84" s="1"/>
  <c r="Q258" i="84" s="1"/>
  <c r="R258" i="84" s="1"/>
  <c r="T263" i="84"/>
  <c r="P55" i="84"/>
  <c r="M55" i="84" s="1"/>
  <c r="Q55" i="84" s="1"/>
  <c r="E36" i="84"/>
  <c r="P70" i="84"/>
  <c r="M70" i="84" s="1"/>
  <c r="M66" i="84" s="1"/>
  <c r="Q73" i="84"/>
  <c r="P72" i="84"/>
  <c r="Q113" i="84"/>
  <c r="I121" i="84"/>
  <c r="F121" i="84" s="1"/>
  <c r="I138" i="84"/>
  <c r="F138" i="84" s="1"/>
  <c r="Q155" i="84"/>
  <c r="Q162" i="84"/>
  <c r="Q163" i="84"/>
  <c r="N161" i="84"/>
  <c r="N189" i="84"/>
  <c r="I199" i="84"/>
  <c r="F199" i="84" s="1"/>
  <c r="G208" i="84"/>
  <c r="G207" i="84" s="1"/>
  <c r="T218" i="84"/>
  <c r="Q225" i="84"/>
  <c r="D350" i="84"/>
  <c r="Q110" i="84"/>
  <c r="E48" i="84"/>
  <c r="I37" i="84"/>
  <c r="I36" i="84" s="1"/>
  <c r="N40" i="84"/>
  <c r="N39" i="84" s="1"/>
  <c r="N30" i="84" s="1"/>
  <c r="N54" i="84"/>
  <c r="I58" i="84"/>
  <c r="F58" i="84" s="1"/>
  <c r="G61" i="84"/>
  <c r="E66" i="84"/>
  <c r="J88" i="84"/>
  <c r="J113" i="84"/>
  <c r="I120" i="84"/>
  <c r="P123" i="84"/>
  <c r="M123" i="84" s="1"/>
  <c r="Q123" i="84" s="1"/>
  <c r="G130" i="84"/>
  <c r="N134" i="84"/>
  <c r="I136" i="84"/>
  <c r="F136" i="84" s="1"/>
  <c r="J136" i="84" s="1"/>
  <c r="I137" i="84"/>
  <c r="F137" i="84" s="1"/>
  <c r="Q146" i="84"/>
  <c r="J159" i="84"/>
  <c r="Q165" i="84"/>
  <c r="J166" i="84"/>
  <c r="J169" i="84"/>
  <c r="Q170" i="84"/>
  <c r="J185" i="84"/>
  <c r="G189" i="84"/>
  <c r="G199" i="84"/>
  <c r="P58" i="84"/>
  <c r="M58" i="84" s="1"/>
  <c r="Q58" i="84" s="1"/>
  <c r="I64" i="84"/>
  <c r="F64" i="84" s="1"/>
  <c r="E119" i="84"/>
  <c r="I123" i="84"/>
  <c r="F123" i="84" s="1"/>
  <c r="I124" i="84"/>
  <c r="F124" i="84" s="1"/>
  <c r="P136" i="84"/>
  <c r="M136" i="84" s="1"/>
  <c r="M148" i="84"/>
  <c r="J162" i="84"/>
  <c r="J164" i="84"/>
  <c r="I198" i="84"/>
  <c r="F198" i="84" s="1"/>
  <c r="N199" i="84"/>
  <c r="Q199" i="84" s="1"/>
  <c r="G210" i="84"/>
  <c r="T212" i="84"/>
  <c r="Q219" i="84"/>
  <c r="Q232" i="84"/>
  <c r="G238" i="84"/>
  <c r="G237" i="84" s="1"/>
  <c r="N241" i="84"/>
  <c r="N240" i="84" s="1"/>
  <c r="P249" i="84"/>
  <c r="N136" i="84"/>
  <c r="Q103" i="84"/>
  <c r="G40" i="84"/>
  <c r="G39" i="84" s="1"/>
  <c r="G30" i="84" s="1"/>
  <c r="E54" i="84"/>
  <c r="T56" i="84"/>
  <c r="P64" i="84"/>
  <c r="M64" i="84" s="1"/>
  <c r="Q64" i="84" s="1"/>
  <c r="F76" i="84"/>
  <c r="J76" i="84" s="1"/>
  <c r="J96" i="84"/>
  <c r="Q99" i="84"/>
  <c r="J102" i="84"/>
  <c r="P124" i="84"/>
  <c r="M124" i="84" s="1"/>
  <c r="Q124" i="84" s="1"/>
  <c r="E133" i="84"/>
  <c r="N238" i="84"/>
  <c r="N237" i="84" s="1"/>
  <c r="D336" i="84"/>
  <c r="D343" i="84" s="1"/>
  <c r="P182" i="84"/>
  <c r="T50" i="84"/>
  <c r="Q51" i="84"/>
  <c r="M78" i="84"/>
  <c r="Q107" i="84"/>
  <c r="I148" i="84"/>
  <c r="Q158" i="84"/>
  <c r="Q179" i="84"/>
  <c r="J180" i="84"/>
  <c r="Q193" i="84"/>
  <c r="J204" i="84"/>
  <c r="P210" i="84"/>
  <c r="Q226" i="84"/>
  <c r="F250" i="84"/>
  <c r="F259" i="84" s="1"/>
  <c r="F258" i="84" s="1"/>
  <c r="M252" i="84"/>
  <c r="D305" i="84"/>
  <c r="D309" i="84" s="1"/>
  <c r="D317" i="84" s="1"/>
  <c r="D320" i="84" s="1"/>
  <c r="Q173" i="84"/>
  <c r="P98" i="84"/>
  <c r="N154" i="84"/>
  <c r="J158" i="84"/>
  <c r="I249" i="84"/>
  <c r="D408" i="84"/>
  <c r="Q180" i="84"/>
  <c r="G20" i="84"/>
  <c r="Q76" i="84"/>
  <c r="J79" i="84"/>
  <c r="J81" i="84"/>
  <c r="I78" i="84"/>
  <c r="Q86" i="84"/>
  <c r="J94" i="84"/>
  <c r="J99" i="84"/>
  <c r="J103" i="84"/>
  <c r="I142" i="84"/>
  <c r="G148" i="84"/>
  <c r="J150" i="84"/>
  <c r="J152" i="84"/>
  <c r="Q164" i="84"/>
  <c r="I182" i="84"/>
  <c r="J192" i="84"/>
  <c r="J193" i="84"/>
  <c r="Q205" i="84"/>
  <c r="J211" i="84"/>
  <c r="Q220" i="84"/>
  <c r="J225" i="84"/>
  <c r="J351" i="84"/>
  <c r="J385" i="84"/>
  <c r="T21" i="84"/>
  <c r="F163" i="84"/>
  <c r="I161" i="84"/>
  <c r="M169" i="84"/>
  <c r="Q169" i="84" s="1"/>
  <c r="P168" i="84"/>
  <c r="J51" i="84"/>
  <c r="N72" i="84"/>
  <c r="J86" i="84"/>
  <c r="Q94" i="84"/>
  <c r="J146" i="84"/>
  <c r="G161" i="84"/>
  <c r="J172" i="84"/>
  <c r="P175" i="84"/>
  <c r="Q178" i="84"/>
  <c r="T203" i="84"/>
  <c r="M216" i="84"/>
  <c r="T224" i="84"/>
  <c r="J226" i="84"/>
  <c r="I66" i="84"/>
  <c r="Q81" i="84"/>
  <c r="I105" i="84"/>
  <c r="F107" i="84"/>
  <c r="J107" i="84" s="1"/>
  <c r="N148" i="84"/>
  <c r="M211" i="84"/>
  <c r="M210" i="84" s="1"/>
  <c r="N222" i="84"/>
  <c r="P237" i="84"/>
  <c r="M238" i="84"/>
  <c r="F253" i="84"/>
  <c r="J253" i="84" s="1"/>
  <c r="I252" i="84"/>
  <c r="J256" i="84"/>
  <c r="J255" i="84" s="1"/>
  <c r="F255" i="84"/>
  <c r="E30" i="84"/>
  <c r="J57" i="84"/>
  <c r="T87" i="84"/>
  <c r="Q88" i="84"/>
  <c r="T93" i="84"/>
  <c r="G98" i="84"/>
  <c r="Q102" i="84"/>
  <c r="N105" i="84"/>
  <c r="Q140" i="84"/>
  <c r="R140" i="84" s="1"/>
  <c r="T144" i="84"/>
  <c r="Q152" i="84"/>
  <c r="I154" i="84"/>
  <c r="Q166" i="84"/>
  <c r="J179" i="84"/>
  <c r="Q185" i="84"/>
  <c r="J186" i="84"/>
  <c r="Q204" i="84"/>
  <c r="J217" i="84"/>
  <c r="P222" i="84"/>
  <c r="M222" i="84"/>
  <c r="G222" i="84"/>
  <c r="I228" i="84"/>
  <c r="Q231" i="84"/>
  <c r="J232" i="84"/>
  <c r="G259" i="84"/>
  <c r="G258" i="84" s="1"/>
  <c r="Q67" i="84"/>
  <c r="G72" i="84"/>
  <c r="Q79" i="84"/>
  <c r="P78" i="84"/>
  <c r="N91" i="84"/>
  <c r="Q95" i="84"/>
  <c r="Q96" i="84"/>
  <c r="T96" i="84" s="1"/>
  <c r="N98" i="84"/>
  <c r="G105" i="84"/>
  <c r="J109" i="84"/>
  <c r="J110" i="84"/>
  <c r="G142" i="84"/>
  <c r="G154" i="84"/>
  <c r="T157" i="84"/>
  <c r="P161" i="84"/>
  <c r="Q183" i="84"/>
  <c r="Q186" i="84"/>
  <c r="N210" i="84"/>
  <c r="J214" i="84"/>
  <c r="N216" i="84"/>
  <c r="F222" i="84"/>
  <c r="G228" i="84"/>
  <c r="T230" i="84"/>
  <c r="J49" i="84"/>
  <c r="Q57" i="84"/>
  <c r="Q49" i="84"/>
  <c r="T62" i="84"/>
  <c r="J69" i="84"/>
  <c r="F66" i="84"/>
  <c r="J85" i="84"/>
  <c r="N84" i="84"/>
  <c r="P48" i="84"/>
  <c r="M52" i="84"/>
  <c r="M61" i="84"/>
  <c r="Q69" i="84"/>
  <c r="J75" i="84"/>
  <c r="Q85" i="84"/>
  <c r="J34" i="84"/>
  <c r="J156" i="84"/>
  <c r="F154" i="84"/>
  <c r="K27" i="84"/>
  <c r="G37" i="84"/>
  <c r="G36" i="84" s="1"/>
  <c r="K42" i="84"/>
  <c r="G55" i="84"/>
  <c r="G58" i="84"/>
  <c r="E60" i="84"/>
  <c r="I61" i="84"/>
  <c r="G64" i="84"/>
  <c r="N70" i="84"/>
  <c r="N66" i="84" s="1"/>
  <c r="G70" i="84"/>
  <c r="Q74" i="84"/>
  <c r="T74" i="84" s="1"/>
  <c r="M75" i="84"/>
  <c r="F82" i="84"/>
  <c r="J82" i="84" s="1"/>
  <c r="Q92" i="84"/>
  <c r="T100" i="84"/>
  <c r="Q106" i="84"/>
  <c r="Q117" i="84"/>
  <c r="P131" i="84"/>
  <c r="M131" i="84" s="1"/>
  <c r="I131" i="84"/>
  <c r="F131" i="84" s="1"/>
  <c r="N131" i="84"/>
  <c r="G131" i="84"/>
  <c r="F148" i="84"/>
  <c r="J149" i="84"/>
  <c r="J151" i="84"/>
  <c r="M159" i="84"/>
  <c r="Q159" i="84" s="1"/>
  <c r="P154" i="84"/>
  <c r="J173" i="84"/>
  <c r="G168" i="84"/>
  <c r="J176" i="84"/>
  <c r="G175" i="84"/>
  <c r="J101" i="84"/>
  <c r="F98" i="84"/>
  <c r="M109" i="84"/>
  <c r="P105" i="84"/>
  <c r="J20" i="84"/>
  <c r="G52" i="84"/>
  <c r="G48" i="84" s="1"/>
  <c r="N52" i="84"/>
  <c r="N48" i="84" s="1"/>
  <c r="G78" i="84"/>
  <c r="P89" i="84"/>
  <c r="M89" i="84" s="1"/>
  <c r="Q89" i="84" s="1"/>
  <c r="I89" i="84"/>
  <c r="F89" i="84" s="1"/>
  <c r="F84" i="84" s="1"/>
  <c r="E84" i="84"/>
  <c r="M91" i="84"/>
  <c r="F95" i="84"/>
  <c r="J95" i="84" s="1"/>
  <c r="I91" i="84"/>
  <c r="Q101" i="84"/>
  <c r="M98" i="84"/>
  <c r="T108" i="84"/>
  <c r="N119" i="84"/>
  <c r="P127" i="84"/>
  <c r="I127" i="84"/>
  <c r="E126" i="84"/>
  <c r="N127" i="84"/>
  <c r="G127" i="84"/>
  <c r="Q135" i="84"/>
  <c r="F142" i="84"/>
  <c r="J143" i="84"/>
  <c r="Q156" i="84"/>
  <c r="F177" i="84"/>
  <c r="J177" i="84" s="1"/>
  <c r="I175" i="84"/>
  <c r="I189" i="84"/>
  <c r="F190" i="84"/>
  <c r="M229" i="84"/>
  <c r="P228" i="84"/>
  <c r="M143" i="84"/>
  <c r="P142" i="84"/>
  <c r="N27" i="84"/>
  <c r="N34" i="84" s="1"/>
  <c r="N33" i="84" s="1"/>
  <c r="I52" i="84"/>
  <c r="N78" i="84"/>
  <c r="G89" i="84"/>
  <c r="G84" i="84" s="1"/>
  <c r="P91" i="84"/>
  <c r="J92" i="84"/>
  <c r="J106" i="84"/>
  <c r="J117" i="84"/>
  <c r="P129" i="84"/>
  <c r="M129" i="84" s="1"/>
  <c r="I129" i="84"/>
  <c r="F129" i="84" s="1"/>
  <c r="N129" i="84"/>
  <c r="G129" i="84"/>
  <c r="Q149" i="84"/>
  <c r="P148" i="84"/>
  <c r="Q150" i="84"/>
  <c r="Q151" i="84"/>
  <c r="Q172" i="84"/>
  <c r="M175" i="84"/>
  <c r="N128" i="84"/>
  <c r="Q128" i="84" s="1"/>
  <c r="T128" i="84" s="1"/>
  <c r="I130" i="84"/>
  <c r="F130" i="84" s="1"/>
  <c r="M161" i="84"/>
  <c r="I168" i="84"/>
  <c r="T171" i="84"/>
  <c r="J178" i="84"/>
  <c r="Q192" i="84"/>
  <c r="M189" i="84"/>
  <c r="Q196" i="84"/>
  <c r="I202" i="84"/>
  <c r="E201" i="84"/>
  <c r="P202" i="84"/>
  <c r="G202" i="84"/>
  <c r="G201" i="84" s="1"/>
  <c r="F208" i="84"/>
  <c r="I207" i="84"/>
  <c r="F219" i="84"/>
  <c r="I216" i="84"/>
  <c r="J262" i="84"/>
  <c r="F261" i="84"/>
  <c r="H42" i="85"/>
  <c r="B51" i="85"/>
  <c r="G182" i="84"/>
  <c r="J183" i="84"/>
  <c r="J196" i="84"/>
  <c r="N201" i="84"/>
  <c r="I98" i="84"/>
  <c r="G120" i="84"/>
  <c r="G124" i="84"/>
  <c r="G137" i="84"/>
  <c r="N168" i="84"/>
  <c r="F170" i="84"/>
  <c r="J170" i="84" s="1"/>
  <c r="N175" i="84"/>
  <c r="M182" i="84"/>
  <c r="Q184" i="84"/>
  <c r="N182" i="84"/>
  <c r="J197" i="84"/>
  <c r="M241" i="84"/>
  <c r="P240" i="84"/>
  <c r="F182" i="84"/>
  <c r="Q190" i="84"/>
  <c r="J205" i="84"/>
  <c r="N208" i="84"/>
  <c r="N207" i="84" s="1"/>
  <c r="Q217" i="84"/>
  <c r="F246" i="84"/>
  <c r="J247" i="84"/>
  <c r="Q262" i="84"/>
  <c r="Q261" i="84" s="1"/>
  <c r="R261" i="84" s="1"/>
  <c r="M261" i="84"/>
  <c r="N198" i="84"/>
  <c r="G198" i="84"/>
  <c r="F213" i="84"/>
  <c r="J213" i="84" s="1"/>
  <c r="I210" i="84"/>
  <c r="Q223" i="84"/>
  <c r="F228" i="84"/>
  <c r="J229" i="84"/>
  <c r="K243" i="84"/>
  <c r="U243" i="84" s="1"/>
  <c r="E144" i="85"/>
  <c r="P189" i="84"/>
  <c r="Q197" i="84"/>
  <c r="P198" i="84"/>
  <c r="E207" i="84"/>
  <c r="P216" i="84"/>
  <c r="G216" i="84"/>
  <c r="J220" i="84"/>
  <c r="I222" i="84"/>
  <c r="J223" i="84"/>
  <c r="P235" i="84"/>
  <c r="I235" i="84"/>
  <c r="E234" i="84"/>
  <c r="N235" i="84"/>
  <c r="N234" i="84" s="1"/>
  <c r="G235" i="84"/>
  <c r="G234" i="84" s="1"/>
  <c r="I246" i="84"/>
  <c r="M247" i="84"/>
  <c r="P246" i="84"/>
  <c r="B30" i="85"/>
  <c r="D122" i="85"/>
  <c r="B129" i="85"/>
  <c r="E237" i="84"/>
  <c r="I238" i="84"/>
  <c r="Q256" i="84"/>
  <c r="Q255" i="84" s="1"/>
  <c r="R255" i="84" s="1"/>
  <c r="T265" i="84"/>
  <c r="F95" i="85"/>
  <c r="J383" i="84"/>
  <c r="J349" i="84"/>
  <c r="J367" i="84"/>
  <c r="J335" i="84"/>
  <c r="C128" i="85"/>
  <c r="E128" i="85"/>
  <c r="F94" i="85"/>
  <c r="J308" i="84"/>
  <c r="J310" i="84" s="1"/>
  <c r="D306" i="84" s="1"/>
  <c r="J337" i="84"/>
  <c r="J369" i="84"/>
  <c r="C122" i="85" l="1"/>
  <c r="J138" i="84"/>
  <c r="I52" i="85"/>
  <c r="J121" i="84"/>
  <c r="E95" i="85"/>
  <c r="E13" i="85" s="1"/>
  <c r="E97" i="85" s="1"/>
  <c r="F13" i="85"/>
  <c r="F97" i="85" s="1"/>
  <c r="D413" i="84"/>
  <c r="D416" i="84" s="1"/>
  <c r="B127" i="85"/>
  <c r="E127" i="85" s="1"/>
  <c r="D147" i="85" s="1"/>
  <c r="C95" i="85"/>
  <c r="C13" i="85" s="1"/>
  <c r="C97" i="85" s="1"/>
  <c r="G95" i="85"/>
  <c r="G13" i="85" s="1"/>
  <c r="G97" i="85" s="1"/>
  <c r="I94" i="85"/>
  <c r="E154" i="85" s="1"/>
  <c r="D13" i="85"/>
  <c r="D97" i="85" s="1"/>
  <c r="H25" i="85"/>
  <c r="I75" i="85"/>
  <c r="B131" i="85"/>
  <c r="E151" i="85" s="1"/>
  <c r="H20" i="85"/>
  <c r="T185" i="84"/>
  <c r="T225" i="84"/>
  <c r="N60" i="84"/>
  <c r="T231" i="84"/>
  <c r="T214" i="84"/>
  <c r="J241" i="84"/>
  <c r="J240" i="84" s="1"/>
  <c r="Q249" i="84"/>
  <c r="R249" i="84" s="1"/>
  <c r="J124" i="84"/>
  <c r="T124" i="84" s="1"/>
  <c r="N195" i="84"/>
  <c r="J130" i="84"/>
  <c r="T130" i="84" s="1"/>
  <c r="D375" i="84"/>
  <c r="P112" i="84"/>
  <c r="P60" i="84"/>
  <c r="D344" i="84"/>
  <c r="D348" i="84" s="1"/>
  <c r="D351" i="84" s="1"/>
  <c r="T51" i="84"/>
  <c r="T73" i="84"/>
  <c r="M259" i="84"/>
  <c r="M258" i="84" s="1"/>
  <c r="T213" i="84"/>
  <c r="P66" i="84"/>
  <c r="T116" i="84"/>
  <c r="M249" i="84"/>
  <c r="I240" i="84"/>
  <c r="G114" i="84"/>
  <c r="I114" i="84"/>
  <c r="F114" i="84" s="1"/>
  <c r="T82" i="84"/>
  <c r="P40" i="84"/>
  <c r="P39" i="84" s="1"/>
  <c r="Q37" i="84"/>
  <c r="Q36" i="84" s="1"/>
  <c r="R36" i="84" s="1"/>
  <c r="J63" i="84"/>
  <c r="T63" i="84" s="1"/>
  <c r="J123" i="84"/>
  <c r="T123" i="84" s="1"/>
  <c r="T170" i="84"/>
  <c r="F37" i="84"/>
  <c r="F36" i="84" s="1"/>
  <c r="N133" i="84"/>
  <c r="T135" i="84"/>
  <c r="D412" i="84"/>
  <c r="F133" i="84"/>
  <c r="M27" i="84"/>
  <c r="T192" i="84"/>
  <c r="T146" i="84"/>
  <c r="T169" i="84"/>
  <c r="N114" i="84"/>
  <c r="Q114" i="84" s="1"/>
  <c r="Q112" i="84" s="1"/>
  <c r="R112" i="84" s="1"/>
  <c r="P36" i="84"/>
  <c r="E112" i="84"/>
  <c r="T145" i="84"/>
  <c r="T177" i="84"/>
  <c r="T67" i="84"/>
  <c r="I54" i="84"/>
  <c r="J353" i="84"/>
  <c r="D341" i="84" s="1"/>
  <c r="G195" i="84"/>
  <c r="T205" i="84"/>
  <c r="G133" i="84"/>
  <c r="G115" i="84"/>
  <c r="J115" i="84" s="1"/>
  <c r="T115" i="84" s="1"/>
  <c r="T140" i="84"/>
  <c r="T232" i="84"/>
  <c r="T121" i="84"/>
  <c r="F55" i="84"/>
  <c r="F54" i="84" s="1"/>
  <c r="M46" i="84"/>
  <c r="M45" i="84" s="1"/>
  <c r="J58" i="84"/>
  <c r="T58" i="84" s="1"/>
  <c r="I195" i="84"/>
  <c r="Q136" i="84"/>
  <c r="T136" i="84" s="1"/>
  <c r="T166" i="84"/>
  <c r="D425" i="84"/>
  <c r="M25" i="84" s="1"/>
  <c r="M24" i="84" s="1"/>
  <c r="T165" i="84"/>
  <c r="Q222" i="84"/>
  <c r="R222" i="84" s="1"/>
  <c r="T173" i="84"/>
  <c r="M133" i="84"/>
  <c r="T179" i="84"/>
  <c r="Q238" i="84"/>
  <c r="Q237" i="84" s="1"/>
  <c r="R237" i="84" s="1"/>
  <c r="T226" i="84"/>
  <c r="T76" i="84"/>
  <c r="I119" i="84"/>
  <c r="T155" i="84"/>
  <c r="J387" i="84"/>
  <c r="D379" i="84" s="1"/>
  <c r="P207" i="84"/>
  <c r="P84" i="84"/>
  <c r="T81" i="84"/>
  <c r="J199" i="84"/>
  <c r="T199" i="84" s="1"/>
  <c r="T162" i="84"/>
  <c r="Q134" i="84"/>
  <c r="T95" i="84"/>
  <c r="T88" i="84"/>
  <c r="T94" i="84"/>
  <c r="F120" i="84"/>
  <c r="J120" i="84" s="1"/>
  <c r="Q131" i="84"/>
  <c r="T204" i="84"/>
  <c r="Q161" i="84"/>
  <c r="R161" i="84" s="1"/>
  <c r="T102" i="84"/>
  <c r="T86" i="84"/>
  <c r="T103" i="84"/>
  <c r="T150" i="84"/>
  <c r="Q98" i="84"/>
  <c r="R98" i="84" s="1"/>
  <c r="P54" i="84"/>
  <c r="T159" i="84"/>
  <c r="U140" i="84"/>
  <c r="M54" i="84"/>
  <c r="T110" i="84"/>
  <c r="Q78" i="84"/>
  <c r="R78" i="84" s="1"/>
  <c r="T164" i="84"/>
  <c r="T99" i="84"/>
  <c r="T113" i="84"/>
  <c r="Q216" i="84"/>
  <c r="R216" i="84" s="1"/>
  <c r="T220" i="84"/>
  <c r="F252" i="84"/>
  <c r="I133" i="84"/>
  <c r="M119" i="84"/>
  <c r="I84" i="84"/>
  <c r="P119" i="84"/>
  <c r="T193" i="84"/>
  <c r="T79" i="84"/>
  <c r="T158" i="84"/>
  <c r="P133" i="84"/>
  <c r="I40" i="84"/>
  <c r="J40" i="84" s="1"/>
  <c r="J39" i="84" s="1"/>
  <c r="F72" i="84"/>
  <c r="D411" i="84"/>
  <c r="J250" i="84"/>
  <c r="J259" i="84" s="1"/>
  <c r="J258" i="84" s="1"/>
  <c r="F249" i="84"/>
  <c r="T107" i="84"/>
  <c r="T172" i="84"/>
  <c r="Q119" i="84"/>
  <c r="R119" i="84" s="1"/>
  <c r="G126" i="84"/>
  <c r="J64" i="84"/>
  <c r="T64" i="84" s="1"/>
  <c r="G119" i="84"/>
  <c r="Q91" i="84"/>
  <c r="R91" i="84" s="1"/>
  <c r="Q175" i="84"/>
  <c r="R175" i="84" s="1"/>
  <c r="T186" i="84"/>
  <c r="M237" i="84"/>
  <c r="Q211" i="84"/>
  <c r="Q210" i="84" s="1"/>
  <c r="R210" i="84" s="1"/>
  <c r="T197" i="84"/>
  <c r="Q52" i="84"/>
  <c r="Q48" i="84" s="1"/>
  <c r="R48" i="84" s="1"/>
  <c r="T152" i="84"/>
  <c r="T138" i="84"/>
  <c r="T180" i="84"/>
  <c r="J339" i="84"/>
  <c r="D345" i="84" s="1"/>
  <c r="T178" i="84"/>
  <c r="M168" i="84"/>
  <c r="Q129" i="84"/>
  <c r="M154" i="84"/>
  <c r="T57" i="84"/>
  <c r="J210" i="84"/>
  <c r="K210" i="84" s="1"/>
  <c r="F175" i="84"/>
  <c r="F105" i="84"/>
  <c r="G60" i="84"/>
  <c r="J163" i="84"/>
  <c r="F161" i="84"/>
  <c r="T101" i="84"/>
  <c r="Q182" i="84"/>
  <c r="R182" i="84" s="1"/>
  <c r="F300" i="84"/>
  <c r="D311" i="84"/>
  <c r="D148" i="85"/>
  <c r="B32" i="85"/>
  <c r="H30" i="85"/>
  <c r="P234" i="84"/>
  <c r="M235" i="84"/>
  <c r="P195" i="84"/>
  <c r="M198" i="84"/>
  <c r="M240" i="84"/>
  <c r="Q241" i="84"/>
  <c r="Q240" i="84" s="1"/>
  <c r="R240" i="84" s="1"/>
  <c r="B35" i="85"/>
  <c r="B95" i="85"/>
  <c r="J219" i="84"/>
  <c r="F216" i="84"/>
  <c r="T106" i="84"/>
  <c r="J105" i="84"/>
  <c r="P126" i="84"/>
  <c r="M127" i="84"/>
  <c r="J78" i="84"/>
  <c r="Q54" i="84"/>
  <c r="R54" i="84" s="1"/>
  <c r="C142" i="85"/>
  <c r="J261" i="84"/>
  <c r="T262" i="84"/>
  <c r="M202" i="84"/>
  <c r="P201" i="84"/>
  <c r="J168" i="84"/>
  <c r="Q168" i="84"/>
  <c r="R168" i="84" s="1"/>
  <c r="T149" i="84"/>
  <c r="J148" i="84"/>
  <c r="B148" i="85"/>
  <c r="I237" i="84"/>
  <c r="F238" i="84"/>
  <c r="B142" i="85"/>
  <c r="Q247" i="84"/>
  <c r="Q246" i="84" s="1"/>
  <c r="R246" i="84" s="1"/>
  <c r="M246" i="84"/>
  <c r="T223" i="84"/>
  <c r="J222" i="84"/>
  <c r="T253" i="84"/>
  <c r="J252" i="84"/>
  <c r="K255" i="84"/>
  <c r="U255" i="84" s="1"/>
  <c r="T255" i="84"/>
  <c r="T217" i="84"/>
  <c r="T184" i="84"/>
  <c r="F168" i="84"/>
  <c r="X27" i="84"/>
  <c r="J142" i="84"/>
  <c r="N126" i="84"/>
  <c r="J89" i="84"/>
  <c r="T89" i="84" s="1"/>
  <c r="T176" i="84"/>
  <c r="J175" i="84"/>
  <c r="G66" i="84"/>
  <c r="J70" i="84"/>
  <c r="G54" i="84"/>
  <c r="J33" i="84"/>
  <c r="M60" i="84"/>
  <c r="Q61" i="84"/>
  <c r="Q60" i="84" s="1"/>
  <c r="R60" i="84" s="1"/>
  <c r="T85" i="84"/>
  <c r="D142" i="85"/>
  <c r="Q208" i="84"/>
  <c r="Q207" i="84" s="1"/>
  <c r="R207" i="84" s="1"/>
  <c r="T256" i="84"/>
  <c r="T183" i="84"/>
  <c r="J182" i="84"/>
  <c r="J208" i="84"/>
  <c r="F207" i="84"/>
  <c r="F202" i="84"/>
  <c r="I201" i="84"/>
  <c r="T92" i="84"/>
  <c r="J91" i="84"/>
  <c r="I48" i="84"/>
  <c r="F52" i="84"/>
  <c r="Q229" i="84"/>
  <c r="Q228" i="84" s="1"/>
  <c r="R228" i="84" s="1"/>
  <c r="M228" i="84"/>
  <c r="K20" i="84"/>
  <c r="J198" i="84"/>
  <c r="F78" i="84"/>
  <c r="F61" i="84"/>
  <c r="I60" i="84"/>
  <c r="T156" i="84"/>
  <c r="J154" i="84"/>
  <c r="M84" i="84"/>
  <c r="Q70" i="84"/>
  <c r="Q66" i="84" s="1"/>
  <c r="R66" i="84" s="1"/>
  <c r="T49" i="84"/>
  <c r="J371" i="84"/>
  <c r="D378" i="84" s="1"/>
  <c r="E149" i="85"/>
  <c r="I234" i="84"/>
  <c r="F235" i="84"/>
  <c r="J228" i="84"/>
  <c r="J246" i="84"/>
  <c r="F210" i="84"/>
  <c r="Q189" i="84"/>
  <c r="R189" i="84" s="1"/>
  <c r="F195" i="84"/>
  <c r="T196" i="84"/>
  <c r="Q148" i="84"/>
  <c r="R148" i="84" s="1"/>
  <c r="J129" i="84"/>
  <c r="T117" i="84"/>
  <c r="F91" i="84"/>
  <c r="M142" i="84"/>
  <c r="Q143" i="84"/>
  <c r="Q142" i="84" s="1"/>
  <c r="R142" i="84" s="1"/>
  <c r="J190" i="84"/>
  <c r="F189" i="84"/>
  <c r="Q154" i="84"/>
  <c r="R154" i="84" s="1"/>
  <c r="I126" i="84"/>
  <c r="F127" i="84"/>
  <c r="J98" i="84"/>
  <c r="Q109" i="84"/>
  <c r="T109" i="84" s="1"/>
  <c r="M105" i="84"/>
  <c r="T151" i="84"/>
  <c r="J131" i="84"/>
  <c r="Q75" i="84"/>
  <c r="T75" i="84" s="1"/>
  <c r="M72" i="84"/>
  <c r="J137" i="84"/>
  <c r="T137" i="84" s="1"/>
  <c r="Q84" i="84"/>
  <c r="R84" i="84" s="1"/>
  <c r="J72" i="84"/>
  <c r="T69" i="84"/>
  <c r="M48" i="84"/>
  <c r="I95" i="85" l="1"/>
  <c r="E155" i="85" s="1"/>
  <c r="C127" i="85"/>
  <c r="B147" i="85" s="1"/>
  <c r="Q133" i="84"/>
  <c r="R133" i="84" s="1"/>
  <c r="D127" i="85"/>
  <c r="C147" i="85" s="1"/>
  <c r="E147" i="85" s="1"/>
  <c r="E148" i="85"/>
  <c r="M22" i="84"/>
  <c r="M20" i="84" s="1"/>
  <c r="T131" i="84"/>
  <c r="I112" i="84"/>
  <c r="D381" i="84"/>
  <c r="D384" i="84"/>
  <c r="D382" i="84"/>
  <c r="D346" i="84"/>
  <c r="D347" i="84" s="1"/>
  <c r="D385" i="84"/>
  <c r="Q40" i="84"/>
  <c r="Q39" i="84" s="1"/>
  <c r="R39" i="84" s="1"/>
  <c r="J37" i="84"/>
  <c r="T37" i="84" s="1"/>
  <c r="M40" i="84"/>
  <c r="M39" i="84" s="1"/>
  <c r="M30" i="84" s="1"/>
  <c r="T134" i="84"/>
  <c r="M34" i="84"/>
  <c r="M33" i="84" s="1"/>
  <c r="W27" i="84"/>
  <c r="D414" i="84"/>
  <c r="Q28" i="84" s="1"/>
  <c r="T28" i="84" s="1"/>
  <c r="N112" i="84"/>
  <c r="G112" i="84"/>
  <c r="J84" i="84"/>
  <c r="T84" i="84" s="1"/>
  <c r="J55" i="84"/>
  <c r="J195" i="84"/>
  <c r="K195" i="84" s="1"/>
  <c r="I39" i="84"/>
  <c r="I30" i="84" s="1"/>
  <c r="T259" i="84"/>
  <c r="D340" i="84"/>
  <c r="F40" i="84"/>
  <c r="F39" i="84" s="1"/>
  <c r="F30" i="84" s="1"/>
  <c r="F119" i="84"/>
  <c r="T250" i="84"/>
  <c r="T247" i="84"/>
  <c r="T211" i="84"/>
  <c r="T241" i="84"/>
  <c r="J249" i="84"/>
  <c r="T249" i="84" s="1"/>
  <c r="D418" i="84"/>
  <c r="F418" i="84" s="1"/>
  <c r="D415" i="84"/>
  <c r="T129" i="84"/>
  <c r="U210" i="84"/>
  <c r="T229" i="84"/>
  <c r="Q72" i="84"/>
  <c r="R72" i="84" s="1"/>
  <c r="E416" i="84"/>
  <c r="P28" i="84"/>
  <c r="T163" i="84"/>
  <c r="J161" i="84"/>
  <c r="T40" i="84"/>
  <c r="T143" i="84"/>
  <c r="J133" i="84"/>
  <c r="K133" i="84" s="1"/>
  <c r="U133" i="84" s="1"/>
  <c r="T261" i="84"/>
  <c r="K261" i="84"/>
  <c r="U261" i="84" s="1"/>
  <c r="H35" i="85"/>
  <c r="B126" i="85"/>
  <c r="H32" i="85"/>
  <c r="B15" i="85"/>
  <c r="K228" i="84"/>
  <c r="U228" i="84" s="1"/>
  <c r="T228" i="84"/>
  <c r="J61" i="84"/>
  <c r="F60" i="84"/>
  <c r="T208" i="84"/>
  <c r="J207" i="84"/>
  <c r="T210" i="84"/>
  <c r="K258" i="84"/>
  <c r="U258" i="84" s="1"/>
  <c r="T258" i="84"/>
  <c r="K33" i="84"/>
  <c r="T70" i="84"/>
  <c r="J66" i="84"/>
  <c r="K175" i="84"/>
  <c r="U175" i="84" s="1"/>
  <c r="T175" i="84"/>
  <c r="J114" i="84"/>
  <c r="F112" i="84"/>
  <c r="K222" i="84"/>
  <c r="U222" i="84" s="1"/>
  <c r="T222" i="84"/>
  <c r="E142" i="85"/>
  <c r="K148" i="84"/>
  <c r="U148" i="84" s="1"/>
  <c r="T148" i="84"/>
  <c r="K78" i="84"/>
  <c r="U78" i="84" s="1"/>
  <c r="T78" i="84"/>
  <c r="M126" i="84"/>
  <c r="Q127" i="84"/>
  <c r="Q126" i="84" s="1"/>
  <c r="R126" i="84" s="1"/>
  <c r="Q235" i="84"/>
  <c r="Q234" i="84" s="1"/>
  <c r="R234" i="84" s="1"/>
  <c r="M234" i="84"/>
  <c r="D318" i="84"/>
  <c r="D316" i="84"/>
  <c r="J127" i="84"/>
  <c r="F126" i="84"/>
  <c r="K154" i="84"/>
  <c r="U154" i="84" s="1"/>
  <c r="T154" i="84"/>
  <c r="J52" i="84"/>
  <c r="F48" i="84"/>
  <c r="K182" i="84"/>
  <c r="U182" i="84" s="1"/>
  <c r="T182" i="84"/>
  <c r="M201" i="84"/>
  <c r="Q202" i="84"/>
  <c r="Q201" i="84" s="1"/>
  <c r="R201" i="84" s="1"/>
  <c r="T219" i="84"/>
  <c r="J216" i="84"/>
  <c r="K72" i="84"/>
  <c r="J189" i="84"/>
  <c r="T190" i="84"/>
  <c r="K91" i="84"/>
  <c r="U91" i="84" s="1"/>
  <c r="T91" i="84"/>
  <c r="T168" i="84"/>
  <c r="K168" i="84"/>
  <c r="U168" i="84" s="1"/>
  <c r="T98" i="84"/>
  <c r="K98" i="84"/>
  <c r="U98" i="84" s="1"/>
  <c r="K246" i="84"/>
  <c r="U246" i="84" s="1"/>
  <c r="T246" i="84"/>
  <c r="J235" i="84"/>
  <c r="F234" i="84"/>
  <c r="J202" i="84"/>
  <c r="F201" i="84"/>
  <c r="K240" i="84"/>
  <c r="U240" i="84" s="1"/>
  <c r="T240" i="84"/>
  <c r="Q105" i="84"/>
  <c r="R105" i="84" s="1"/>
  <c r="K39" i="84"/>
  <c r="U39" i="84" s="1"/>
  <c r="J30" i="84"/>
  <c r="K142" i="84"/>
  <c r="U142" i="84" s="1"/>
  <c r="T142" i="84"/>
  <c r="T120" i="84"/>
  <c r="J119" i="84"/>
  <c r="K252" i="84"/>
  <c r="U252" i="84" s="1"/>
  <c r="T252" i="84"/>
  <c r="J238" i="84"/>
  <c r="F237" i="84"/>
  <c r="K105" i="84"/>
  <c r="M195" i="84"/>
  <c r="Q198" i="84"/>
  <c r="Q195" i="84" s="1"/>
  <c r="R195" i="84" s="1"/>
  <c r="J36" i="84" l="1"/>
  <c r="K36" i="84" s="1"/>
  <c r="U36" i="84" s="1"/>
  <c r="D388" i="84"/>
  <c r="P46" i="84" s="1"/>
  <c r="P45" i="84" s="1"/>
  <c r="D349" i="84"/>
  <c r="Q27" i="84"/>
  <c r="T27" i="84" s="1"/>
  <c r="D390" i="84"/>
  <c r="D426" i="84" s="1"/>
  <c r="T39" i="84"/>
  <c r="D386" i="84"/>
  <c r="D422" i="84" s="1"/>
  <c r="D387" i="84"/>
  <c r="D423" i="84" s="1"/>
  <c r="N22" i="84" s="1"/>
  <c r="N20" i="84" s="1"/>
  <c r="Q31" i="84"/>
  <c r="T31" i="84" s="1"/>
  <c r="K84" i="84"/>
  <c r="U84" i="84" s="1"/>
  <c r="U105" i="84"/>
  <c r="J54" i="84"/>
  <c r="T55" i="84"/>
  <c r="K249" i="84"/>
  <c r="U249" i="84" s="1"/>
  <c r="T72" i="84"/>
  <c r="U72" i="84"/>
  <c r="T105" i="84"/>
  <c r="T133" i="84"/>
  <c r="T161" i="84"/>
  <c r="K161" i="84"/>
  <c r="U161" i="84" s="1"/>
  <c r="P27" i="84"/>
  <c r="P31" i="84"/>
  <c r="P30" i="84" s="1"/>
  <c r="T198" i="84"/>
  <c r="T66" i="84"/>
  <c r="K66" i="84"/>
  <c r="U66" i="84" s="1"/>
  <c r="H15" i="85"/>
  <c r="B123" i="85"/>
  <c r="B13" i="85"/>
  <c r="J234" i="84"/>
  <c r="T235" i="84"/>
  <c r="T114" i="84"/>
  <c r="J112" i="84"/>
  <c r="T207" i="84"/>
  <c r="K207" i="84"/>
  <c r="U207" i="84" s="1"/>
  <c r="U195" i="84"/>
  <c r="K30" i="84"/>
  <c r="T216" i="84"/>
  <c r="K216" i="84"/>
  <c r="U216" i="84" s="1"/>
  <c r="T52" i="84"/>
  <c r="J48" i="84"/>
  <c r="J126" i="84"/>
  <c r="T127" i="84"/>
  <c r="T61" i="84"/>
  <c r="J60" i="84"/>
  <c r="T195" i="84"/>
  <c r="C126" i="85"/>
  <c r="E126" i="85"/>
  <c r="D126" i="85"/>
  <c r="T119" i="84"/>
  <c r="K119" i="84"/>
  <c r="U119" i="84" s="1"/>
  <c r="J237" i="84"/>
  <c r="T238" i="84"/>
  <c r="T202" i="84"/>
  <c r="J201" i="84"/>
  <c r="T189" i="84"/>
  <c r="K189" i="84"/>
  <c r="U189" i="84" s="1"/>
  <c r="T36" i="84" l="1"/>
  <c r="Q34" i="84"/>
  <c r="Q33" i="84" s="1"/>
  <c r="Q46" i="84"/>
  <c r="T46" i="84" s="1"/>
  <c r="P43" i="84"/>
  <c r="P42" i="84" s="1"/>
  <c r="R27" i="84"/>
  <c r="AB27" i="84" s="1"/>
  <c r="D424" i="84"/>
  <c r="P22" i="84" s="1"/>
  <c r="P20" i="84" s="1"/>
  <c r="AA27" i="84"/>
  <c r="Q43" i="84"/>
  <c r="T43" i="84" s="1"/>
  <c r="Q30" i="84"/>
  <c r="R30" i="84" s="1"/>
  <c r="U30" i="84" s="1"/>
  <c r="N25" i="84"/>
  <c r="N24" i="84" s="1"/>
  <c r="N43" i="84"/>
  <c r="N42" i="84" s="1"/>
  <c r="N46" i="84"/>
  <c r="N45" i="84" s="1"/>
  <c r="K54" i="84"/>
  <c r="U54" i="84" s="1"/>
  <c r="T54" i="84"/>
  <c r="P34" i="84"/>
  <c r="P33" i="84" s="1"/>
  <c r="Z27" i="84"/>
  <c r="T112" i="84"/>
  <c r="K112" i="84"/>
  <c r="U112" i="84" s="1"/>
  <c r="T234" i="84"/>
  <c r="K234" i="84"/>
  <c r="U234" i="84" s="1"/>
  <c r="K237" i="84"/>
  <c r="U237" i="84" s="1"/>
  <c r="T237" i="84"/>
  <c r="T126" i="84"/>
  <c r="K126" i="84"/>
  <c r="U126" i="84" s="1"/>
  <c r="B97" i="85"/>
  <c r="H13" i="85"/>
  <c r="C146" i="85"/>
  <c r="Q22" i="84"/>
  <c r="Q25" i="84"/>
  <c r="E123" i="85"/>
  <c r="C123" i="85"/>
  <c r="D123" i="85"/>
  <c r="B146" i="85"/>
  <c r="T201" i="84"/>
  <c r="K201" i="84"/>
  <c r="U201" i="84" s="1"/>
  <c r="K60" i="84"/>
  <c r="U60" i="84" s="1"/>
  <c r="T60" i="84"/>
  <c r="T48" i="84"/>
  <c r="K48" i="84"/>
  <c r="U48" i="84" s="1"/>
  <c r="D146" i="85"/>
  <c r="Q45" i="84" l="1"/>
  <c r="R45" i="84" s="1"/>
  <c r="U45" i="84" s="1"/>
  <c r="T34" i="84"/>
  <c r="P25" i="84"/>
  <c r="P24" i="84" s="1"/>
  <c r="U27" i="84"/>
  <c r="Q42" i="84"/>
  <c r="T42" i="84" s="1"/>
  <c r="T30" i="84"/>
  <c r="N23" i="84"/>
  <c r="R33" i="84"/>
  <c r="U33" i="84" s="1"/>
  <c r="T33" i="84"/>
  <c r="T25" i="84"/>
  <c r="Q24" i="84"/>
  <c r="T45" i="84"/>
  <c r="C143" i="85"/>
  <c r="T22" i="84"/>
  <c r="Q20" i="84"/>
  <c r="K266" i="84"/>
  <c r="B143" i="85"/>
  <c r="E146" i="85"/>
  <c r="D143" i="85"/>
  <c r="E143" i="85" l="1"/>
  <c r="E157" i="85" s="1"/>
  <c r="E159" i="85" s="1"/>
  <c r="R42" i="84"/>
  <c r="U42" i="84" s="1"/>
  <c r="R20" i="84"/>
  <c r="T20" i="84"/>
  <c r="R24" i="84"/>
  <c r="U24" i="84" s="1"/>
  <c r="T24" i="84"/>
  <c r="R266" i="84" l="1"/>
  <c r="U20" i="84"/>
  <c r="I3" i="85" l="1"/>
  <c r="U266" i="84"/>
  <c r="H155" i="85" l="1"/>
  <c r="I154" i="85"/>
  <c r="K154" i="85" s="1"/>
  <c r="F153" i="85"/>
  <c r="G151" i="85"/>
  <c r="H150" i="85"/>
  <c r="F144" i="85"/>
  <c r="F155" i="85"/>
  <c r="G154" i="85"/>
  <c r="H153" i="85"/>
  <c r="F150" i="85"/>
  <c r="G149" i="85"/>
  <c r="G145" i="85"/>
  <c r="H144" i="85"/>
  <c r="H145" i="85"/>
  <c r="H154" i="85"/>
  <c r="H151" i="85"/>
  <c r="H149" i="85"/>
  <c r="F145" i="85"/>
  <c r="G150" i="85"/>
  <c r="G144" i="85"/>
  <c r="I155" i="85"/>
  <c r="K155" i="85" s="1"/>
  <c r="F149" i="85"/>
  <c r="G155" i="85"/>
  <c r="F154" i="85"/>
  <c r="I153" i="85"/>
  <c r="K153" i="85" s="1"/>
  <c r="G153" i="85"/>
  <c r="F151" i="85"/>
  <c r="I150" i="85"/>
  <c r="K150" i="85" s="1"/>
  <c r="I144" i="85"/>
  <c r="K144" i="85" s="1"/>
  <c r="I151" i="85"/>
  <c r="K151" i="85" s="1"/>
  <c r="G148" i="85"/>
  <c r="I145" i="85"/>
  <c r="K145" i="85" s="1"/>
  <c r="H142" i="85"/>
  <c r="H147" i="85"/>
  <c r="F148" i="85"/>
  <c r="G142" i="85"/>
  <c r="F147" i="85"/>
  <c r="F142" i="85"/>
  <c r="I149" i="85"/>
  <c r="K149" i="85" s="1"/>
  <c r="H148" i="85"/>
  <c r="G147" i="85"/>
  <c r="G146" i="85"/>
  <c r="H146" i="85"/>
  <c r="F146" i="85"/>
  <c r="G143" i="85"/>
  <c r="H143" i="85"/>
  <c r="F143" i="85"/>
  <c r="I143" i="85" l="1"/>
  <c r="K143" i="85" s="1"/>
  <c r="I146" i="85"/>
  <c r="K146" i="85" s="1"/>
  <c r="I148" i="85"/>
  <c r="K148" i="85" s="1"/>
  <c r="I142" i="85"/>
  <c r="I147" i="85"/>
  <c r="K147" i="85" s="1"/>
  <c r="I157" i="85" l="1"/>
  <c r="K142" i="85"/>
  <c r="K157" i="85" l="1"/>
  <c r="I159" i="85"/>
  <c r="K159" i="85" s="1"/>
  <c r="S14" i="83" l="1"/>
  <c r="N7" i="83"/>
  <c r="N7" i="77" l="1"/>
  <c r="C95" i="83"/>
  <c r="C99" i="83" s="1"/>
  <c r="F85" i="83"/>
  <c r="F89" i="83" s="1"/>
  <c r="C83" i="83"/>
  <c r="C87" i="83" s="1"/>
  <c r="N13" i="83" s="1"/>
  <c r="C58" i="83"/>
  <c r="D58" i="83" s="1"/>
  <c r="G57" i="83"/>
  <c r="D56" i="83"/>
  <c r="E53" i="83"/>
  <c r="F67" i="83" s="1"/>
  <c r="K45" i="83"/>
  <c r="K43" i="83"/>
  <c r="M40" i="83"/>
  <c r="M42" i="83" s="1"/>
  <c r="N15" i="83" l="1"/>
  <c r="C58" i="79" l="1"/>
  <c r="AD15" i="82" l="1"/>
  <c r="H26" i="64" l="1"/>
  <c r="H20" i="64"/>
  <c r="D58" i="79" l="1"/>
  <c r="AF369" i="74"/>
  <c r="AD369" i="74"/>
  <c r="C95" i="79"/>
  <c r="C99" i="79" s="1"/>
  <c r="F85" i="79"/>
  <c r="F89" i="79" s="1"/>
  <c r="C83" i="79"/>
  <c r="C87" i="79" s="1"/>
  <c r="N13" i="79" s="1"/>
  <c r="G57" i="79"/>
  <c r="D56" i="79"/>
  <c r="E53" i="79"/>
  <c r="F67" i="79" s="1"/>
  <c r="K45" i="79"/>
  <c r="K43" i="79"/>
  <c r="M40" i="79"/>
  <c r="M42" i="79" s="1"/>
  <c r="N15" i="79" l="1"/>
  <c r="C95" i="77" l="1"/>
  <c r="C99" i="77" s="1"/>
  <c r="F85" i="77"/>
  <c r="F89" i="77" s="1"/>
  <c r="C83" i="77"/>
  <c r="C87" i="77" s="1"/>
  <c r="N13" i="77" s="1"/>
  <c r="C58" i="77"/>
  <c r="G57" i="77"/>
  <c r="E53" i="77"/>
  <c r="F67" i="77" s="1"/>
  <c r="K45" i="77"/>
  <c r="K43" i="77"/>
  <c r="N15" i="77" l="1"/>
  <c r="AH369" i="74"/>
  <c r="AD444" i="73"/>
  <c r="AF444" i="73"/>
  <c r="AH444" i="73" l="1"/>
  <c r="AH447" i="73" s="1"/>
  <c r="AF447" i="73"/>
  <c r="AD451" i="73" s="1"/>
  <c r="AF372" i="74"/>
  <c r="AD376" i="74" s="1"/>
  <c r="AH372" i="74"/>
  <c r="AU138" i="72"/>
  <c r="AT138" i="72"/>
  <c r="AS138" i="72"/>
  <c r="AJ138" i="72"/>
  <c r="AH138" i="72"/>
  <c r="AE138" i="72"/>
  <c r="AF138" i="72" s="1"/>
  <c r="AU137" i="72"/>
  <c r="AT137" i="72"/>
  <c r="AS137" i="72"/>
  <c r="AJ137" i="72"/>
  <c r="AH137" i="72"/>
  <c r="AE137" i="72"/>
  <c r="AF137" i="72" s="1"/>
  <c r="AU136" i="72"/>
  <c r="AT136" i="72"/>
  <c r="AS136" i="72"/>
  <c r="AJ136" i="72"/>
  <c r="AH136" i="72"/>
  <c r="AE136" i="72"/>
  <c r="AF136" i="72" s="1"/>
  <c r="D136" i="72"/>
  <c r="B136" i="72"/>
  <c r="AF204" i="72" l="1"/>
  <c r="AF207" i="72" s="1"/>
  <c r="AH204" i="72" l="1"/>
  <c r="AH207" i="72" s="1"/>
  <c r="E5" i="64" l="1"/>
  <c r="E8" i="64"/>
  <c r="F26" i="64"/>
  <c r="F28" i="64"/>
  <c r="E7" i="64"/>
  <c r="E6" i="64"/>
  <c r="C83" i="71" l="1"/>
  <c r="C87" i="71" s="1"/>
  <c r="N13" i="71" s="1"/>
  <c r="C58" i="71"/>
  <c r="C95" i="71"/>
  <c r="C99" i="71" s="1"/>
  <c r="F85" i="71"/>
  <c r="F89" i="71" s="1"/>
  <c r="G57" i="71"/>
  <c r="E53" i="71"/>
  <c r="F67" i="71" s="1"/>
  <c r="K45" i="71"/>
  <c r="K43" i="71"/>
  <c r="M40" i="71"/>
  <c r="M42" i="71" s="1"/>
  <c r="N15" i="71" l="1"/>
  <c r="P10" i="64"/>
  <c r="Q10" i="64"/>
  <c r="R10" i="64"/>
  <c r="P11" i="64"/>
  <c r="Q11" i="64"/>
  <c r="R11" i="64"/>
  <c r="P12" i="64"/>
  <c r="Q12" i="64"/>
  <c r="R12" i="64"/>
  <c r="P13" i="64"/>
  <c r="Q13" i="64"/>
  <c r="R13" i="64"/>
  <c r="P14" i="64"/>
  <c r="Q15" i="64"/>
  <c r="Q16" i="64"/>
  <c r="Q17" i="64"/>
  <c r="Q18" i="64"/>
  <c r="Q20" i="64"/>
  <c r="Q21" i="64"/>
  <c r="Q22" i="64"/>
  <c r="Q23" i="64"/>
  <c r="Q25" i="64"/>
  <c r="Q26" i="64"/>
  <c r="Q27" i="64"/>
  <c r="Q28" i="64"/>
  <c r="O28" i="64"/>
  <c r="O27" i="64"/>
  <c r="O26" i="64"/>
  <c r="O25" i="64"/>
  <c r="O23" i="64"/>
  <c r="O22" i="64"/>
  <c r="O21" i="64"/>
  <c r="O20" i="64"/>
  <c r="O17" i="64"/>
  <c r="O18" i="64"/>
  <c r="O16" i="64"/>
  <c r="O15" i="64"/>
  <c r="Q6" i="64"/>
  <c r="Q7" i="64"/>
  <c r="Q8" i="64"/>
  <c r="Q5" i="64"/>
  <c r="N6" i="64"/>
  <c r="N7" i="64"/>
  <c r="N11" i="64"/>
  <c r="N12" i="64"/>
  <c r="N15" i="64"/>
  <c r="N16" i="64"/>
  <c r="N17" i="64"/>
  <c r="N18" i="64"/>
  <c r="N20" i="64"/>
  <c r="N21" i="64"/>
  <c r="N22" i="64"/>
  <c r="N23" i="64"/>
  <c r="N25" i="64"/>
  <c r="N26" i="64"/>
  <c r="N27" i="64"/>
  <c r="N28" i="64"/>
  <c r="N5" i="64"/>
  <c r="D8" i="64"/>
  <c r="D9" i="64" s="1"/>
  <c r="N9" i="64" s="1"/>
  <c r="N8" i="64" l="1"/>
  <c r="D19" i="64"/>
  <c r="N19" i="64" s="1"/>
  <c r="O8" i="64"/>
  <c r="O7" i="64"/>
  <c r="I11" i="64"/>
  <c r="S11" i="64" s="1"/>
  <c r="I12" i="64"/>
  <c r="S12" i="64" s="1"/>
  <c r="I13" i="64"/>
  <c r="S13" i="64" s="1"/>
  <c r="I10" i="64"/>
  <c r="S10" i="64" s="1"/>
  <c r="E19" i="64"/>
  <c r="H15" i="64"/>
  <c r="R15" i="64" s="1"/>
  <c r="F27" i="64"/>
  <c r="F25" i="64"/>
  <c r="F20" i="64"/>
  <c r="F21" i="64"/>
  <c r="F22" i="64"/>
  <c r="F23" i="64"/>
  <c r="F16" i="64"/>
  <c r="F17" i="64"/>
  <c r="F18" i="64"/>
  <c r="F15" i="64"/>
  <c r="G29" i="64"/>
  <c r="Q29" i="64" s="1"/>
  <c r="E29" i="64"/>
  <c r="D29" i="64"/>
  <c r="N29" i="64" s="1"/>
  <c r="H28" i="64"/>
  <c r="R28" i="64" s="1"/>
  <c r="H27" i="64"/>
  <c r="R27" i="64" s="1"/>
  <c r="R26" i="64"/>
  <c r="H25" i="64"/>
  <c r="R25" i="64" s="1"/>
  <c r="G24" i="64"/>
  <c r="Q24" i="64" s="1"/>
  <c r="E24" i="64"/>
  <c r="O24" i="64" s="1"/>
  <c r="D24" i="64"/>
  <c r="N24" i="64" s="1"/>
  <c r="H23" i="64"/>
  <c r="R23" i="64" s="1"/>
  <c r="H22" i="64"/>
  <c r="R22" i="64" s="1"/>
  <c r="H21" i="64"/>
  <c r="R21" i="64" s="1"/>
  <c r="R20" i="64"/>
  <c r="G19" i="64"/>
  <c r="Q19" i="64" s="1"/>
  <c r="H18" i="64"/>
  <c r="R18" i="64" s="1"/>
  <c r="H17" i="64"/>
  <c r="R17" i="64" s="1"/>
  <c r="H16" i="64"/>
  <c r="R16" i="64" s="1"/>
  <c r="H14" i="64"/>
  <c r="R14" i="64" s="1"/>
  <c r="G14" i="64"/>
  <c r="D13" i="64"/>
  <c r="D10" i="64"/>
  <c r="N10" i="64" s="1"/>
  <c r="G9" i="64"/>
  <c r="Q9" i="64" s="1"/>
  <c r="O19" i="64" l="1"/>
  <c r="H19" i="64"/>
  <c r="O29" i="64"/>
  <c r="F29" i="64"/>
  <c r="I21" i="64"/>
  <c r="S21" i="64" s="1"/>
  <c r="P21" i="64"/>
  <c r="I18" i="64"/>
  <c r="S18" i="64" s="1"/>
  <c r="P18" i="64"/>
  <c r="I22" i="64"/>
  <c r="S22" i="64" s="1"/>
  <c r="P22" i="64"/>
  <c r="I28" i="64"/>
  <c r="S28" i="64" s="1"/>
  <c r="P28" i="64"/>
  <c r="I14" i="64"/>
  <c r="S14" i="64" s="1"/>
  <c r="Q14" i="64"/>
  <c r="I15" i="64"/>
  <c r="S15" i="64" s="1"/>
  <c r="P15" i="64"/>
  <c r="I23" i="64"/>
  <c r="S23" i="64" s="1"/>
  <c r="P23" i="64"/>
  <c r="D14" i="64"/>
  <c r="N14" i="64" s="1"/>
  <c r="N13" i="64"/>
  <c r="I16" i="64"/>
  <c r="S16" i="64" s="1"/>
  <c r="P16" i="64"/>
  <c r="I20" i="64"/>
  <c r="S20" i="64" s="1"/>
  <c r="P20" i="64"/>
  <c r="I26" i="64"/>
  <c r="S26" i="64" s="1"/>
  <c r="P26" i="64"/>
  <c r="F6" i="64"/>
  <c r="P6" i="64" s="1"/>
  <c r="O6" i="64"/>
  <c r="I17" i="64"/>
  <c r="S17" i="64" s="1"/>
  <c r="P17" i="64"/>
  <c r="I27" i="64"/>
  <c r="S27" i="64" s="1"/>
  <c r="P27" i="64"/>
  <c r="F5" i="64"/>
  <c r="P5" i="64" s="1"/>
  <c r="O5" i="64"/>
  <c r="I25" i="64"/>
  <c r="S25" i="64" s="1"/>
  <c r="P25" i="64"/>
  <c r="H6" i="64"/>
  <c r="R6" i="64" s="1"/>
  <c r="G30" i="64"/>
  <c r="Q30" i="64" s="1"/>
  <c r="E9" i="64"/>
  <c r="H5" i="64"/>
  <c r="R5" i="64" s="1"/>
  <c r="F8" i="64"/>
  <c r="F19" i="64"/>
  <c r="F7" i="64"/>
  <c r="H7" i="64"/>
  <c r="R7" i="64" s="1"/>
  <c r="H8" i="64"/>
  <c r="R8" i="64" s="1"/>
  <c r="H24" i="64"/>
  <c r="R24" i="64" s="1"/>
  <c r="F24" i="64"/>
  <c r="H29" i="64"/>
  <c r="R29" i="64" s="1"/>
  <c r="R19" i="64"/>
  <c r="J8" i="70"/>
  <c r="J10" i="70"/>
  <c r="J7" i="70"/>
  <c r="C11" i="70"/>
  <c r="D11" i="70"/>
  <c r="E11" i="70"/>
  <c r="F11" i="70"/>
  <c r="G11" i="70"/>
  <c r="H11" i="70"/>
  <c r="I11" i="70"/>
  <c r="B9" i="70"/>
  <c r="J9" i="70" s="1"/>
  <c r="D30" i="64" l="1"/>
  <c r="N30" i="64" s="1"/>
  <c r="B11" i="70"/>
  <c r="I5" i="64"/>
  <c r="S5" i="64" s="1"/>
  <c r="I7" i="64"/>
  <c r="S7" i="64" s="1"/>
  <c r="P7" i="64"/>
  <c r="E30" i="64"/>
  <c r="O30" i="64" s="1"/>
  <c r="O9" i="64"/>
  <c r="I8" i="64"/>
  <c r="S8" i="64" s="1"/>
  <c r="P8" i="64"/>
  <c r="I6" i="64"/>
  <c r="S6" i="64" s="1"/>
  <c r="I19" i="64"/>
  <c r="S19" i="64" s="1"/>
  <c r="P19" i="64"/>
  <c r="I24" i="64"/>
  <c r="S24" i="64" s="1"/>
  <c r="P24" i="64"/>
  <c r="I29" i="64"/>
  <c r="S29" i="64" s="1"/>
  <c r="P29" i="64"/>
  <c r="H9" i="64"/>
  <c r="F9" i="64"/>
  <c r="J11" i="70"/>
  <c r="E53" i="60"/>
  <c r="E68" i="23"/>
  <c r="I68" i="23" s="1"/>
  <c r="Y68" i="23" l="1"/>
  <c r="Z68" i="23" s="1"/>
  <c r="AB68" i="23" s="1"/>
  <c r="F30" i="64"/>
  <c r="P30" i="64" s="1"/>
  <c r="P9" i="64"/>
  <c r="H30" i="64"/>
  <c r="R30" i="64" s="1"/>
  <c r="R9" i="64"/>
  <c r="I9" i="64"/>
  <c r="I30" i="64" l="1"/>
  <c r="S30" i="64" s="1"/>
  <c r="S9" i="64"/>
  <c r="I14" i="23" l="1"/>
  <c r="I10" i="23"/>
  <c r="I9" i="23"/>
  <c r="I8" i="23"/>
  <c r="I6" i="23"/>
  <c r="Q102" i="23" l="1"/>
  <c r="R102" i="23" s="1"/>
  <c r="Q108" i="23"/>
  <c r="R108" i="23" s="1"/>
  <c r="Q103" i="23"/>
  <c r="R103" i="23" s="1"/>
  <c r="C58" i="60"/>
  <c r="G57" i="60"/>
  <c r="C106" i="61"/>
  <c r="C110" i="61" s="1"/>
  <c r="C94" i="61"/>
  <c r="C98" i="61" s="1"/>
  <c r="N13" i="61" s="1"/>
  <c r="F85" i="61"/>
  <c r="F89" i="61" s="1"/>
  <c r="C80" i="61"/>
  <c r="C71" i="61"/>
  <c r="C58" i="61"/>
  <c r="E53" i="61"/>
  <c r="F67" i="61" s="1"/>
  <c r="K45" i="61"/>
  <c r="K43" i="61"/>
  <c r="N15" i="61" l="1"/>
  <c r="AB56" i="23" l="1"/>
  <c r="AB57" i="23"/>
  <c r="AB58" i="23"/>
  <c r="AB18" i="23"/>
  <c r="AB19" i="23"/>
  <c r="AB20" i="23"/>
  <c r="AB21" i="23"/>
  <c r="AB22" i="23"/>
  <c r="AB24" i="23"/>
  <c r="AB25" i="23"/>
  <c r="AB26" i="23"/>
  <c r="AB27" i="23"/>
  <c r="AB28" i="23"/>
  <c r="AB30" i="23"/>
  <c r="AB31" i="23"/>
  <c r="AB32" i="23"/>
  <c r="AB33" i="23"/>
  <c r="F85" i="60" l="1"/>
  <c r="F89" i="60" s="1"/>
  <c r="C83" i="60"/>
  <c r="C87" i="60" s="1"/>
  <c r="F67" i="60"/>
  <c r="C95" i="60"/>
  <c r="C99" i="60" s="1"/>
  <c r="K45" i="60"/>
  <c r="K43" i="60"/>
  <c r="M40" i="60"/>
  <c r="M42" i="60" s="1"/>
  <c r="V77" i="23" l="1"/>
  <c r="V81" i="23"/>
  <c r="V85" i="23"/>
  <c r="V88" i="23"/>
  <c r="S83" i="23"/>
  <c r="V83" i="23" s="1"/>
  <c r="Y45" i="23"/>
  <c r="Y38" i="23"/>
  <c r="Y5" i="23"/>
  <c r="Z5" i="23" s="1"/>
  <c r="AB5" i="23" s="1"/>
  <c r="S75" i="23"/>
  <c r="V75" i="23" s="1"/>
  <c r="S76" i="23"/>
  <c r="V76" i="23" s="1"/>
  <c r="S82" i="23"/>
  <c r="V82" i="23" s="1"/>
  <c r="S84" i="23" l="1"/>
  <c r="V84" i="23" s="1"/>
  <c r="S73" i="23"/>
  <c r="V73" i="23" s="1"/>
  <c r="K66" i="23" l="1"/>
  <c r="K67" i="23"/>
  <c r="K65" i="23"/>
  <c r="W138" i="72"/>
  <c r="AB138" i="72" s="1"/>
  <c r="I46" i="23"/>
  <c r="Z55" i="23"/>
  <c r="AB55" i="23" s="1"/>
  <c r="E53" i="23"/>
  <c r="I53" i="23" s="1"/>
  <c r="E52" i="23"/>
  <c r="I52" i="23" s="1"/>
  <c r="E50" i="23"/>
  <c r="I50" i="23" s="1"/>
  <c r="E51" i="23"/>
  <c r="I51" i="23" s="1"/>
  <c r="H50" i="23"/>
  <c r="Y138" i="72" l="1"/>
  <c r="AD138" i="72" s="1"/>
  <c r="AL138" i="72" s="1"/>
  <c r="I45" i="23"/>
  <c r="I44" i="23"/>
  <c r="I43" i="23"/>
  <c r="I42" i="23"/>
  <c r="I41" i="23"/>
  <c r="I40" i="23"/>
  <c r="I38" i="23"/>
  <c r="I37" i="23"/>
  <c r="I36" i="23"/>
  <c r="I35" i="23"/>
  <c r="BF138" i="72" l="1"/>
  <c r="BE138" i="72"/>
  <c r="AM138" i="72"/>
  <c r="BD138" i="72"/>
  <c r="BH138" i="72"/>
  <c r="AK138" i="72"/>
  <c r="BG138" i="72"/>
  <c r="BA138" i="72"/>
  <c r="BB138" i="72"/>
  <c r="BC138" i="72"/>
  <c r="AN138" i="72"/>
  <c r="Z38" i="23"/>
  <c r="AB38" i="23" s="1"/>
  <c r="Z45" i="23"/>
  <c r="AB45" i="23" s="1"/>
  <c r="I34" i="23"/>
  <c r="F51" i="30" l="1"/>
  <c r="F18" i="30"/>
  <c r="F17" i="30"/>
  <c r="F16" i="30"/>
  <c r="F15" i="30"/>
  <c r="F14" i="30"/>
  <c r="F13" i="30"/>
  <c r="F12" i="30"/>
  <c r="F11" i="30"/>
  <c r="F8" i="30"/>
  <c r="F7" i="30"/>
  <c r="F5" i="30"/>
  <c r="F4" i="30"/>
  <c r="F3" i="30"/>
  <c r="F2" i="30"/>
  <c r="I39" i="23"/>
  <c r="Y8" i="23"/>
  <c r="H8" i="23"/>
  <c r="H38" i="23"/>
  <c r="F54" i="30" l="1"/>
  <c r="F56" i="30" s="1"/>
  <c r="I7" i="23" s="1"/>
  <c r="Q152" i="23" s="1"/>
  <c r="R152" i="23" s="1"/>
  <c r="Z8" i="23"/>
  <c r="AB8" i="23" s="1"/>
  <c r="F39" i="23"/>
  <c r="Y39" i="23" l="1"/>
  <c r="Z39" i="23" s="1"/>
  <c r="AB39" i="23" s="1"/>
  <c r="K39" i="23"/>
  <c r="N39" i="23" s="1"/>
  <c r="P39" i="23" s="1"/>
  <c r="M39" i="23"/>
  <c r="Q39" i="23" s="1"/>
  <c r="L39" i="23" l="1"/>
  <c r="O39" i="23" s="1"/>
  <c r="S39" i="23" s="1"/>
  <c r="T39" i="23" l="1"/>
  <c r="R39" i="23"/>
  <c r="V39" i="23"/>
  <c r="X39" i="23"/>
  <c r="E48" i="23" l="1"/>
  <c r="I48" i="23" s="1"/>
  <c r="Z48" i="23" s="1"/>
  <c r="AB48" i="23" s="1"/>
  <c r="E70" i="23"/>
  <c r="E69" i="23"/>
  <c r="I69" i="23" s="1"/>
  <c r="E67" i="23"/>
  <c r="I67" i="23" s="1"/>
  <c r="E66" i="23"/>
  <c r="I66" i="23" s="1"/>
  <c r="E65" i="23"/>
  <c r="I65" i="23" s="1"/>
  <c r="E64" i="23"/>
  <c r="I64" i="23" s="1"/>
  <c r="E63" i="23"/>
  <c r="E62" i="23"/>
  <c r="I62" i="23" s="1"/>
  <c r="E61" i="23"/>
  <c r="I61" i="23" s="1"/>
  <c r="E60" i="23"/>
  <c r="I60" i="23" s="1"/>
  <c r="E59" i="23"/>
  <c r="I59" i="23" s="1"/>
  <c r="E58" i="23"/>
  <c r="E57" i="23"/>
  <c r="E56" i="23"/>
  <c r="E55" i="23"/>
  <c r="E54" i="23"/>
  <c r="I54" i="23" s="1"/>
  <c r="E49" i="23"/>
  <c r="I49" i="23" s="1"/>
  <c r="E47" i="23"/>
  <c r="I47" i="23" s="1"/>
  <c r="E29" i="23"/>
  <c r="I29" i="23" s="1"/>
  <c r="E23" i="23"/>
  <c r="I23" i="23" s="1"/>
  <c r="E17" i="23"/>
  <c r="I17" i="23" s="1"/>
  <c r="E16" i="23"/>
  <c r="I16" i="23" s="1"/>
  <c r="E15" i="23"/>
  <c r="I15" i="23" s="1"/>
  <c r="E13" i="23"/>
  <c r="I13" i="23" s="1"/>
  <c r="E12" i="23"/>
  <c r="I12" i="23" s="1"/>
  <c r="E11" i="23"/>
  <c r="N66" i="23" l="1"/>
  <c r="N65" i="23"/>
  <c r="I11" i="23"/>
  <c r="Q105" i="23"/>
  <c r="R105" i="23" s="1"/>
  <c r="Q107" i="23"/>
  <c r="R107" i="23" s="1"/>
  <c r="Q109" i="23"/>
  <c r="R109" i="23" s="1"/>
  <c r="Q111" i="23"/>
  <c r="R111" i="23" s="1"/>
  <c r="Q113" i="23"/>
  <c r="R113" i="23" s="1"/>
  <c r="Q115" i="23"/>
  <c r="R115" i="23" s="1"/>
  <c r="Q117" i="23"/>
  <c r="R117" i="23" s="1"/>
  <c r="Q119" i="23"/>
  <c r="R119" i="23" s="1"/>
  <c r="Q121" i="23"/>
  <c r="R121" i="23" s="1"/>
  <c r="Q123" i="23"/>
  <c r="R123" i="23" s="1"/>
  <c r="Q125" i="23"/>
  <c r="R125" i="23" s="1"/>
  <c r="Q127" i="23"/>
  <c r="R127" i="23" s="1"/>
  <c r="Q129" i="23"/>
  <c r="R129" i="23" s="1"/>
  <c r="Q131" i="23"/>
  <c r="R131" i="23" s="1"/>
  <c r="Q133" i="23"/>
  <c r="R133" i="23" s="1"/>
  <c r="Q135" i="23"/>
  <c r="R135" i="23" s="1"/>
  <c r="Q137" i="23"/>
  <c r="R137" i="23" s="1"/>
  <c r="Q139" i="23"/>
  <c r="R139" i="23" s="1"/>
  <c r="Q141" i="23"/>
  <c r="R141" i="23" s="1"/>
  <c r="Q143" i="23"/>
  <c r="R143" i="23" s="1"/>
  <c r="Q148" i="23"/>
  <c r="R148" i="23" s="1"/>
  <c r="Q150" i="23"/>
  <c r="R150" i="23" s="1"/>
  <c r="Q154" i="23"/>
  <c r="R154" i="23" s="1"/>
  <c r="Q156" i="23"/>
  <c r="R156" i="23" s="1"/>
  <c r="Q110" i="23"/>
  <c r="R110" i="23" s="1"/>
  <c r="Q114" i="23"/>
  <c r="R114" i="23" s="1"/>
  <c r="Q118" i="23"/>
  <c r="R118" i="23" s="1"/>
  <c r="Q122" i="23"/>
  <c r="R122" i="23" s="1"/>
  <c r="Q128" i="23"/>
  <c r="R128" i="23" s="1"/>
  <c r="Q132" i="23"/>
  <c r="R132" i="23" s="1"/>
  <c r="Q134" i="23"/>
  <c r="R134" i="23" s="1"/>
  <c r="Q138" i="23"/>
  <c r="R138" i="23" s="1"/>
  <c r="Q147" i="23"/>
  <c r="R147" i="23" s="1"/>
  <c r="Q149" i="23"/>
  <c r="R149" i="23" s="1"/>
  <c r="Q153" i="23"/>
  <c r="R153" i="23" s="1"/>
  <c r="Q104" i="23"/>
  <c r="R104" i="23" s="1"/>
  <c r="Q106" i="23"/>
  <c r="R106" i="23" s="1"/>
  <c r="Q112" i="23"/>
  <c r="R112" i="23" s="1"/>
  <c r="Q116" i="23"/>
  <c r="R116" i="23" s="1"/>
  <c r="Q120" i="23"/>
  <c r="R120" i="23" s="1"/>
  <c r="Q124" i="23"/>
  <c r="R124" i="23" s="1"/>
  <c r="Q126" i="23"/>
  <c r="R126" i="23" s="1"/>
  <c r="Q130" i="23"/>
  <c r="R130" i="23" s="1"/>
  <c r="Q136" i="23"/>
  <c r="R136" i="23" s="1"/>
  <c r="Q140" i="23"/>
  <c r="R140" i="23" s="1"/>
  <c r="Q142" i="23"/>
  <c r="R142" i="23" s="1"/>
  <c r="Q151" i="23"/>
  <c r="R151" i="23" s="1"/>
  <c r="Q155" i="23"/>
  <c r="R155" i="23" s="1"/>
  <c r="N13" i="23"/>
  <c r="O13" i="23"/>
  <c r="Q13" i="23"/>
  <c r="N67" i="23"/>
  <c r="M192" i="20" l="1"/>
  <c r="N192" i="20" s="1"/>
  <c r="M191" i="20"/>
  <c r="N191" i="20" s="1"/>
  <c r="M190" i="20"/>
  <c r="N190" i="20" s="1"/>
  <c r="M189" i="20"/>
  <c r="N189" i="20" s="1"/>
  <c r="M188" i="20"/>
  <c r="N188" i="20" s="1"/>
  <c r="M187" i="20"/>
  <c r="N187" i="20" s="1"/>
  <c r="M186" i="20"/>
  <c r="N186" i="20" s="1"/>
  <c r="M185" i="20"/>
  <c r="N185" i="20" s="1"/>
  <c r="M184" i="20"/>
  <c r="N184" i="20" s="1"/>
  <c r="M183" i="20"/>
  <c r="N183" i="20" s="1"/>
  <c r="M182" i="20"/>
  <c r="N182" i="20" s="1"/>
  <c r="M181" i="20"/>
  <c r="N181" i="20" s="1"/>
  <c r="M180" i="20"/>
  <c r="N180" i="20" s="1"/>
  <c r="M179" i="20"/>
  <c r="N179" i="20" s="1"/>
  <c r="M178" i="20"/>
  <c r="N178" i="20" s="1"/>
  <c r="M177" i="20"/>
  <c r="N177" i="20" s="1"/>
  <c r="M176" i="20"/>
  <c r="N176" i="20" s="1"/>
  <c r="M175" i="20"/>
  <c r="N175" i="20" s="1"/>
  <c r="M174" i="20"/>
  <c r="N174" i="20" s="1"/>
  <c r="M173" i="20"/>
  <c r="N173" i="20" s="1"/>
  <c r="M172" i="20"/>
  <c r="N172" i="20" s="1"/>
  <c r="M171" i="20"/>
  <c r="N171" i="20" s="1"/>
  <c r="M170" i="20"/>
  <c r="N170" i="20" s="1"/>
  <c r="M169" i="20"/>
  <c r="N169" i="20" s="1"/>
  <c r="M168" i="20"/>
  <c r="N168" i="20" s="1"/>
  <c r="M167" i="20"/>
  <c r="N167" i="20" s="1"/>
  <c r="M165" i="20"/>
  <c r="N165" i="20" s="1"/>
  <c r="M164" i="20"/>
  <c r="N164" i="20" s="1"/>
  <c r="M163" i="20"/>
  <c r="N163" i="20" s="1"/>
  <c r="M162" i="20"/>
  <c r="N162" i="20" s="1"/>
  <c r="M161" i="20"/>
  <c r="N161" i="20" s="1"/>
  <c r="M160" i="20"/>
  <c r="N160" i="20" s="1"/>
  <c r="M159" i="20"/>
  <c r="N159" i="20" s="1"/>
  <c r="M158" i="20"/>
  <c r="N158" i="20" s="1"/>
  <c r="M157" i="20"/>
  <c r="N157" i="20" s="1"/>
  <c r="M156" i="20"/>
  <c r="N156" i="20" s="1"/>
  <c r="M155" i="20"/>
  <c r="N155" i="20" s="1"/>
  <c r="M154" i="20"/>
  <c r="N154" i="20" s="1"/>
  <c r="M153" i="20"/>
  <c r="N153" i="20" s="1"/>
  <c r="M152" i="20"/>
  <c r="N152" i="20" s="1"/>
  <c r="M151" i="20"/>
  <c r="N151" i="20" s="1"/>
  <c r="M150" i="20"/>
  <c r="N150" i="20" s="1"/>
  <c r="M149" i="20"/>
  <c r="N149" i="20" s="1"/>
  <c r="M148" i="20"/>
  <c r="N148" i="20" s="1"/>
  <c r="M147" i="20"/>
  <c r="N147" i="20" s="1"/>
  <c r="M146" i="20"/>
  <c r="N146" i="20" s="1"/>
  <c r="M145" i="20"/>
  <c r="N145" i="20" s="1"/>
  <c r="M144" i="20"/>
  <c r="N144" i="20" s="1"/>
  <c r="M143" i="20"/>
  <c r="N143" i="20" s="1"/>
  <c r="M142" i="20"/>
  <c r="N142" i="20" s="1"/>
  <c r="M141" i="20"/>
  <c r="N141" i="20" s="1"/>
  <c r="M140" i="20"/>
  <c r="N140" i="20" s="1"/>
  <c r="M138" i="20"/>
  <c r="N138" i="20" s="1"/>
  <c r="M137" i="20"/>
  <c r="N137" i="20" s="1"/>
  <c r="M136" i="20"/>
  <c r="N136" i="20" s="1"/>
  <c r="M135" i="20"/>
  <c r="N135" i="20" s="1"/>
  <c r="M134" i="20"/>
  <c r="N134" i="20" s="1"/>
  <c r="M133" i="20"/>
  <c r="N133" i="20" s="1"/>
  <c r="M132" i="20"/>
  <c r="N132" i="20" s="1"/>
  <c r="M131" i="20"/>
  <c r="N131" i="20" s="1"/>
  <c r="M130" i="20"/>
  <c r="N130" i="20" s="1"/>
  <c r="M129" i="20"/>
  <c r="N129" i="20" s="1"/>
  <c r="M128" i="20"/>
  <c r="N128" i="20" s="1"/>
  <c r="M127" i="20"/>
  <c r="N127" i="20" s="1"/>
  <c r="M126" i="20"/>
  <c r="N126" i="20" s="1"/>
  <c r="M125" i="20"/>
  <c r="N125" i="20" s="1"/>
  <c r="M166" i="20"/>
  <c r="N166" i="20" s="1"/>
  <c r="H10" i="23"/>
  <c r="H6" i="23"/>
  <c r="Y6" i="23" l="1"/>
  <c r="Z6" i="23" l="1"/>
  <c r="AB6" i="23" s="1"/>
  <c r="K46" i="23" l="1"/>
  <c r="N46" i="23" s="1"/>
  <c r="H45" i="23"/>
  <c r="M46" i="23" l="1"/>
  <c r="Q46" i="23" s="1"/>
  <c r="L46" i="23"/>
  <c r="O46" i="23" s="1"/>
  <c r="AF51" i="23"/>
  <c r="Y50" i="23" l="1"/>
  <c r="Z50" i="23" s="1"/>
  <c r="AB50" i="23" s="1"/>
  <c r="Y69" i="23"/>
  <c r="Z69" i="23" s="1"/>
  <c r="AB69" i="23" s="1"/>
  <c r="Y63" i="23"/>
  <c r="Z63" i="23" s="1"/>
  <c r="AB63" i="23" s="1"/>
  <c r="Y62" i="23"/>
  <c r="Z62" i="23" s="1"/>
  <c r="AB62" i="23" s="1"/>
  <c r="Y61" i="23"/>
  <c r="Z61" i="23" s="1"/>
  <c r="AB61" i="23" s="1"/>
  <c r="Y59" i="23"/>
  <c r="Z59" i="23" s="1"/>
  <c r="AB59" i="23" s="1"/>
  <c r="Y54" i="23"/>
  <c r="Z54" i="23" s="1"/>
  <c r="AB54" i="23" s="1"/>
  <c r="Y46" i="23"/>
  <c r="Z46" i="23" s="1"/>
  <c r="AB46" i="23" s="1"/>
  <c r="Y44" i="23"/>
  <c r="Z44" i="23" s="1"/>
  <c r="AB44" i="23" s="1"/>
  <c r="Y43" i="23"/>
  <c r="Z43" i="23" s="1"/>
  <c r="AB43" i="23" s="1"/>
  <c r="Y42" i="23"/>
  <c r="Z42" i="23" s="1"/>
  <c r="AB42" i="23" s="1"/>
  <c r="Y41" i="23"/>
  <c r="Z41" i="23" s="1"/>
  <c r="AB41" i="23" s="1"/>
  <c r="Y40" i="23"/>
  <c r="Z40" i="23" s="1"/>
  <c r="AB40" i="23" s="1"/>
  <c r="Y37" i="23"/>
  <c r="Z37" i="23" s="1"/>
  <c r="AB37" i="23" s="1"/>
  <c r="Y36" i="23"/>
  <c r="Z36" i="23" s="1"/>
  <c r="AB36" i="23" s="1"/>
  <c r="Y35" i="23"/>
  <c r="Z35" i="23" s="1"/>
  <c r="AB35" i="23" s="1"/>
  <c r="Y34" i="23"/>
  <c r="Z34" i="23" s="1"/>
  <c r="AB34" i="23" s="1"/>
  <c r="Y16" i="23"/>
  <c r="Y14" i="23"/>
  <c r="Y13" i="23"/>
  <c r="Y12" i="23"/>
  <c r="Y10" i="23"/>
  <c r="Y9" i="23"/>
  <c r="Y7" i="23"/>
  <c r="Y65" i="23" l="1"/>
  <c r="Z65" i="23" s="1"/>
  <c r="AB65" i="23" s="1"/>
  <c r="Y11" i="23"/>
  <c r="Z11" i="23" s="1"/>
  <c r="AB11" i="23" s="1"/>
  <c r="Y29" i="23"/>
  <c r="Y52" i="23"/>
  <c r="Z52" i="23" s="1"/>
  <c r="AB52" i="23" s="1"/>
  <c r="Y23" i="23"/>
  <c r="Y66" i="23"/>
  <c r="Z66" i="23" s="1"/>
  <c r="AB66" i="23" s="1"/>
  <c r="Y51" i="23"/>
  <c r="Z51" i="23" s="1"/>
  <c r="AB51" i="23" s="1"/>
  <c r="Y70" i="23"/>
  <c r="Z70" i="23" s="1"/>
  <c r="AB70" i="23" s="1"/>
  <c r="Y17" i="23"/>
  <c r="Y60" i="23"/>
  <c r="Z60" i="23" s="1"/>
  <c r="AB60" i="23" s="1"/>
  <c r="Y64" i="23"/>
  <c r="Z64" i="23" s="1"/>
  <c r="AB64" i="23" s="1"/>
  <c r="Y15" i="23"/>
  <c r="Y53" i="23"/>
  <c r="Z53" i="23" s="1"/>
  <c r="AB53" i="23" s="1"/>
  <c r="Y49" i="23"/>
  <c r="Z49" i="23" s="1"/>
  <c r="AB49" i="23" s="1"/>
  <c r="Y67" i="23"/>
  <c r="Z67" i="23" s="1"/>
  <c r="AB67" i="23" s="1"/>
  <c r="Y47" i="23"/>
  <c r="Z47" i="23" s="1"/>
  <c r="AB47" i="23" s="1"/>
  <c r="K51" i="23"/>
  <c r="N51" i="23" s="1"/>
  <c r="K53" i="23"/>
  <c r="N53" i="23" s="1"/>
  <c r="K52" i="23"/>
  <c r="N52" i="23" s="1"/>
  <c r="Z9" i="23"/>
  <c r="AB9" i="23" s="1"/>
  <c r="M53" i="23" l="1"/>
  <c r="Q53" i="23" s="1"/>
  <c r="M52" i="23"/>
  <c r="Q52" i="23" s="1"/>
  <c r="L51" i="23"/>
  <c r="O51" i="23" s="1"/>
  <c r="L52" i="23"/>
  <c r="O52" i="23" s="1"/>
  <c r="L53" i="23"/>
  <c r="O53" i="23" s="1"/>
  <c r="M51" i="23"/>
  <c r="Q51" i="23" s="1"/>
  <c r="K63" i="23"/>
  <c r="N63" i="23" s="1"/>
  <c r="K61" i="23" l="1"/>
  <c r="N61" i="23" s="1"/>
  <c r="K62" i="23"/>
  <c r="N62" i="23" s="1"/>
  <c r="L63" i="23"/>
  <c r="O63" i="23" s="1"/>
  <c r="M63" i="23"/>
  <c r="Q63" i="23" s="1"/>
  <c r="Z10" i="23"/>
  <c r="AB10" i="23" s="1"/>
  <c r="K45" i="23" l="1"/>
  <c r="N45" i="23" s="1"/>
  <c r="M62" i="23"/>
  <c r="Q62" i="23" s="1"/>
  <c r="K38" i="23"/>
  <c r="N38" i="23" s="1"/>
  <c r="L61" i="23"/>
  <c r="O61" i="23" s="1"/>
  <c r="M61" i="23"/>
  <c r="Q61" i="23" s="1"/>
  <c r="L62" i="23"/>
  <c r="O62" i="23" s="1"/>
  <c r="K29" i="23" l="1"/>
  <c r="N29" i="23" s="1"/>
  <c r="M38" i="23"/>
  <c r="Q38" i="23" s="1"/>
  <c r="M45" i="23"/>
  <c r="Q45" i="23" s="1"/>
  <c r="L38" i="23"/>
  <c r="O38" i="23" s="1"/>
  <c r="L45" i="23"/>
  <c r="O45" i="23" s="1"/>
  <c r="K70" i="23" l="1"/>
  <c r="N70" i="23" s="1"/>
  <c r="H65" i="23"/>
  <c r="M70" i="23" l="1"/>
  <c r="Q70" i="23" s="1"/>
  <c r="L70" i="23" l="1"/>
  <c r="O70" i="23" s="1"/>
  <c r="H42" i="23"/>
  <c r="H35" i="23"/>
  <c r="H43" i="23"/>
  <c r="H37" i="23"/>
  <c r="H44" i="23"/>
  <c r="H36" i="23"/>
  <c r="H46" i="23"/>
  <c r="H34" i="23"/>
  <c r="H41" i="23"/>
  <c r="H40" i="23"/>
  <c r="K15" i="23" l="1"/>
  <c r="N15" i="23" s="1"/>
  <c r="H7" i="23"/>
  <c r="Z7" i="23" s="1"/>
  <c r="AB7" i="23" s="1"/>
  <c r="H66" i="23"/>
  <c r="H67" i="23"/>
  <c r="K17" i="23" l="1"/>
  <c r="N17" i="23" s="1"/>
  <c r="K16" i="23"/>
  <c r="N16" i="23" s="1"/>
  <c r="K43" i="23"/>
  <c r="N43" i="23" s="1"/>
  <c r="K41" i="23"/>
  <c r="N41" i="23" s="1"/>
  <c r="K42" i="23"/>
  <c r="N42" i="23" s="1"/>
  <c r="K23" i="23"/>
  <c r="N23" i="23" s="1"/>
  <c r="K37" i="23"/>
  <c r="N37" i="23" s="1"/>
  <c r="K44" i="23"/>
  <c r="N44" i="23" s="1"/>
  <c r="K14" i="23"/>
  <c r="N14" i="23" s="1"/>
  <c r="K34" i="23"/>
  <c r="N34" i="23" s="1"/>
  <c r="K35" i="23"/>
  <c r="N35" i="23" s="1"/>
  <c r="K40" i="23"/>
  <c r="N40" i="23" s="1"/>
  <c r="K36" i="23"/>
  <c r="N36" i="23" s="1"/>
  <c r="H12" i="23"/>
  <c r="H13" i="23"/>
  <c r="H14" i="23"/>
  <c r="H15" i="23"/>
  <c r="H16" i="23"/>
  <c r="M67" i="23" l="1"/>
  <c r="Q67" i="23" s="1"/>
  <c r="L67" i="23"/>
  <c r="O67" i="23" s="1"/>
  <c r="K64" i="23"/>
  <c r="N64" i="23" s="1"/>
  <c r="L69" i="23"/>
  <c r="O69" i="23" s="1"/>
  <c r="K11" i="23"/>
  <c r="N11" i="23" s="1"/>
  <c r="L37" i="23"/>
  <c r="O37" i="23" s="1"/>
  <c r="K69" i="23"/>
  <c r="N69" i="23" s="1"/>
  <c r="K49" i="23"/>
  <c r="N49" i="23" s="1"/>
  <c r="K59" i="23"/>
  <c r="N59" i="23" s="1"/>
  <c r="K47" i="23"/>
  <c r="N47" i="23" s="1"/>
  <c r="L41" i="23"/>
  <c r="O41" i="23" s="1"/>
  <c r="L43" i="23"/>
  <c r="O43" i="23" s="1"/>
  <c r="L42" i="23"/>
  <c r="O42" i="23" s="1"/>
  <c r="L44" i="23"/>
  <c r="O44" i="23" s="1"/>
  <c r="M41" i="23"/>
  <c r="Q41" i="23" s="1"/>
  <c r="M42" i="23"/>
  <c r="Q42" i="23" s="1"/>
  <c r="M43" i="23"/>
  <c r="Q43" i="23" s="1"/>
  <c r="M37" i="23"/>
  <c r="Q37" i="23" s="1"/>
  <c r="L47" i="23"/>
  <c r="O47" i="23" s="1"/>
  <c r="M44" i="23"/>
  <c r="Q44" i="23" s="1"/>
  <c r="Z12" i="23"/>
  <c r="AB12" i="23" s="1"/>
  <c r="Z15" i="23"/>
  <c r="AB15" i="23" s="1"/>
  <c r="Z13" i="23"/>
  <c r="AB13" i="23" s="1"/>
  <c r="Z14" i="23"/>
  <c r="AB14" i="23" s="1"/>
  <c r="Z16" i="23"/>
  <c r="AB16" i="23" s="1"/>
  <c r="M66" i="23"/>
  <c r="Q66" i="23" s="1"/>
  <c r="L66" i="23" l="1"/>
  <c r="O66" i="23" s="1"/>
  <c r="H4" i="91"/>
  <c r="H5" i="89"/>
  <c r="H70" i="89" s="1"/>
  <c r="K50" i="23"/>
  <c r="N50" i="23" s="1"/>
  <c r="M16" i="23"/>
  <c r="Q16" i="23" s="1"/>
  <c r="M64" i="23"/>
  <c r="Q64" i="23" s="1"/>
  <c r="L59" i="23"/>
  <c r="O59" i="23" s="1"/>
  <c r="L17" i="23"/>
  <c r="O17" i="23" s="1"/>
  <c r="M49" i="23"/>
  <c r="Q49" i="23" s="1"/>
  <c r="L14" i="23"/>
  <c r="O14" i="23" s="1"/>
  <c r="M15" i="23"/>
  <c r="Q15" i="23" s="1"/>
  <c r="L16" i="23"/>
  <c r="O16" i="23" s="1"/>
  <c r="L23" i="23"/>
  <c r="O23" i="23" s="1"/>
  <c r="L15" i="23"/>
  <c r="O15" i="23" s="1"/>
  <c r="M23" i="23"/>
  <c r="Q23" i="23" s="1"/>
  <c r="M29" i="23"/>
  <c r="Q29" i="23" s="1"/>
  <c r="M59" i="23"/>
  <c r="Q59" i="23" s="1"/>
  <c r="M69" i="23"/>
  <c r="Q69" i="23" s="1"/>
  <c r="M17" i="23"/>
  <c r="Q17" i="23" s="1"/>
  <c r="M14" i="23"/>
  <c r="Q14" i="23" s="1"/>
  <c r="M47" i="23"/>
  <c r="Q47" i="23" s="1"/>
  <c r="H59" i="23"/>
  <c r="H61" i="23"/>
  <c r="H60" i="23"/>
  <c r="H64" i="23"/>
  <c r="H54" i="23"/>
  <c r="H62" i="23"/>
  <c r="H5" i="91" l="1"/>
  <c r="H74" i="91" s="1"/>
  <c r="H74" i="89"/>
  <c r="H76" i="89" s="1"/>
  <c r="H79" i="89" s="1"/>
  <c r="H64" i="89"/>
  <c r="H69" i="89"/>
  <c r="H47" i="89"/>
  <c r="H48" i="89" s="1"/>
  <c r="H54" i="89" s="1"/>
  <c r="H56" i="89" s="1"/>
  <c r="H8" i="89" s="1"/>
  <c r="L64" i="23"/>
  <c r="O64" i="23" s="1"/>
  <c r="M11" i="23"/>
  <c r="Q11" i="23" s="1"/>
  <c r="L29" i="23"/>
  <c r="O29" i="23" s="1"/>
  <c r="L49" i="23"/>
  <c r="O49" i="23" s="1"/>
  <c r="M50" i="23"/>
  <c r="Q50" i="23" s="1"/>
  <c r="L11" i="23"/>
  <c r="O11" i="23" s="1"/>
  <c r="H17" i="23"/>
  <c r="H52" i="23"/>
  <c r="H69" i="23"/>
  <c r="H51" i="23"/>
  <c r="H48" i="23"/>
  <c r="H53" i="23"/>
  <c r="H23" i="23"/>
  <c r="H49" i="23"/>
  <c r="H29" i="23"/>
  <c r="H64" i="91" l="1"/>
  <c r="H47" i="91"/>
  <c r="H48" i="91" s="1"/>
  <c r="H54" i="91" s="1"/>
  <c r="H56" i="91" s="1"/>
  <c r="H8" i="91" s="1"/>
  <c r="H70" i="91"/>
  <c r="H69" i="91"/>
  <c r="H75" i="89"/>
  <c r="H78" i="89" s="1"/>
  <c r="H81" i="89" s="1"/>
  <c r="H12" i="89" s="1"/>
  <c r="H75" i="91"/>
  <c r="H78" i="91" s="1"/>
  <c r="H76" i="91"/>
  <c r="H79" i="91" s="1"/>
  <c r="H13" i="89"/>
  <c r="H72" i="89"/>
  <c r="L50" i="23"/>
  <c r="O50" i="23" s="1"/>
  <c r="M112" i="20"/>
  <c r="N112" i="20" s="1"/>
  <c r="Z23" i="23"/>
  <c r="AB23" i="23" s="1"/>
  <c r="Z17" i="23"/>
  <c r="AB17" i="23" s="1"/>
  <c r="Z29" i="23"/>
  <c r="AB29" i="23" s="1"/>
  <c r="AS158" i="17"/>
  <c r="S157" i="17"/>
  <c r="T157" i="17" s="1"/>
  <c r="I157" i="17"/>
  <c r="I156" i="17"/>
  <c r="S155" i="17"/>
  <c r="T155" i="17" s="1"/>
  <c r="I155" i="17"/>
  <c r="S154" i="17"/>
  <c r="T154" i="17" s="1"/>
  <c r="I154" i="17"/>
  <c r="S153" i="17"/>
  <c r="T153" i="17" s="1"/>
  <c r="I153" i="17"/>
  <c r="S152" i="17"/>
  <c r="T152" i="17" s="1"/>
  <c r="I152" i="17"/>
  <c r="S151" i="17"/>
  <c r="T151" i="17" s="1"/>
  <c r="I151" i="17"/>
  <c r="S150" i="17"/>
  <c r="T150" i="17" s="1"/>
  <c r="I150" i="17"/>
  <c r="S149" i="17"/>
  <c r="T149" i="17" s="1"/>
  <c r="I149" i="17"/>
  <c r="S148" i="17"/>
  <c r="T148" i="17" s="1"/>
  <c r="I148" i="17"/>
  <c r="S147" i="17"/>
  <c r="T147" i="17" s="1"/>
  <c r="I147" i="17"/>
  <c r="S146" i="17"/>
  <c r="T146" i="17" s="1"/>
  <c r="I146" i="17"/>
  <c r="S145" i="17"/>
  <c r="T145" i="17" s="1"/>
  <c r="I145" i="17"/>
  <c r="S144" i="17"/>
  <c r="T144" i="17" s="1"/>
  <c r="I144" i="17"/>
  <c r="S143" i="17"/>
  <c r="T143" i="17" s="1"/>
  <c r="I143" i="17"/>
  <c r="S142" i="17"/>
  <c r="T142" i="17" s="1"/>
  <c r="I142" i="17"/>
  <c r="S141" i="17"/>
  <c r="T141" i="17" s="1"/>
  <c r="I141" i="17"/>
  <c r="S140" i="17"/>
  <c r="T140" i="17" s="1"/>
  <c r="I140" i="17"/>
  <c r="S139" i="17"/>
  <c r="T139" i="17" s="1"/>
  <c r="I139" i="17"/>
  <c r="S138" i="17"/>
  <c r="T138" i="17" s="1"/>
  <c r="S137" i="17"/>
  <c r="T137" i="17" s="1"/>
  <c r="I137" i="17"/>
  <c r="S136" i="17"/>
  <c r="T136" i="17" s="1"/>
  <c r="I136" i="17"/>
  <c r="S135" i="17"/>
  <c r="T135" i="17" s="1"/>
  <c r="I135" i="17"/>
  <c r="S134" i="17"/>
  <c r="T134" i="17" s="1"/>
  <c r="S133" i="17"/>
  <c r="T133" i="17" s="1"/>
  <c r="S132" i="17"/>
  <c r="T132" i="17" s="1"/>
  <c r="I132" i="17"/>
  <c r="S131" i="17"/>
  <c r="T131" i="17" s="1"/>
  <c r="I131" i="17"/>
  <c r="S130" i="17"/>
  <c r="T130" i="17" s="1"/>
  <c r="I130" i="17"/>
  <c r="S129" i="17"/>
  <c r="T129" i="17" s="1"/>
  <c r="I129" i="17"/>
  <c r="S128" i="17"/>
  <c r="T128" i="17" s="1"/>
  <c r="I128" i="17"/>
  <c r="S127" i="17"/>
  <c r="T127" i="17" s="1"/>
  <c r="I127" i="17"/>
  <c r="S126" i="17"/>
  <c r="T126" i="17" s="1"/>
  <c r="I126" i="17"/>
  <c r="S125" i="17"/>
  <c r="T125" i="17" s="1"/>
  <c r="I125" i="17"/>
  <c r="S124" i="17"/>
  <c r="T124" i="17" s="1"/>
  <c r="I124" i="17"/>
  <c r="S123" i="17"/>
  <c r="T123" i="17" s="1"/>
  <c r="I123" i="17"/>
  <c r="S122" i="17"/>
  <c r="T122" i="17" s="1"/>
  <c r="I122" i="17"/>
  <c r="S121" i="17"/>
  <c r="T121" i="17" s="1"/>
  <c r="I121" i="17"/>
  <c r="S120" i="17"/>
  <c r="T120" i="17" s="1"/>
  <c r="I120" i="17"/>
  <c r="S119" i="17"/>
  <c r="T119" i="17" s="1"/>
  <c r="I119" i="17"/>
  <c r="S118" i="17"/>
  <c r="T118" i="17" s="1"/>
  <c r="I118" i="17"/>
  <c r="S117" i="17"/>
  <c r="T117" i="17" s="1"/>
  <c r="I117" i="17"/>
  <c r="S116" i="17"/>
  <c r="T116" i="17" s="1"/>
  <c r="I116" i="17"/>
  <c r="S115" i="17"/>
  <c r="T115" i="17" s="1"/>
  <c r="I115" i="17"/>
  <c r="S114" i="17"/>
  <c r="T114" i="17" s="1"/>
  <c r="I114" i="17"/>
  <c r="S113" i="17"/>
  <c r="T113" i="17" s="1"/>
  <c r="I113" i="17"/>
  <c r="S112" i="17"/>
  <c r="T112" i="17" s="1"/>
  <c r="I112" i="17"/>
  <c r="S111" i="17"/>
  <c r="T111" i="17" s="1"/>
  <c r="I111" i="17"/>
  <c r="S110" i="17"/>
  <c r="T110" i="17" s="1"/>
  <c r="I110" i="17"/>
  <c r="S109" i="17"/>
  <c r="T109" i="17" s="1"/>
  <c r="I109" i="17"/>
  <c r="S108" i="17"/>
  <c r="T108" i="17" s="1"/>
  <c r="I108" i="17"/>
  <c r="S107" i="17"/>
  <c r="T107" i="17" s="1"/>
  <c r="I107" i="17"/>
  <c r="S106" i="17"/>
  <c r="T106" i="17" s="1"/>
  <c r="I106" i="17"/>
  <c r="S105" i="17"/>
  <c r="T105" i="17" s="1"/>
  <c r="I105" i="17"/>
  <c r="S104" i="17"/>
  <c r="T104" i="17" s="1"/>
  <c r="I104" i="17"/>
  <c r="S103" i="17"/>
  <c r="T103" i="17" s="1"/>
  <c r="I103" i="17"/>
  <c r="S102" i="17"/>
  <c r="T102" i="17" s="1"/>
  <c r="I102" i="17"/>
  <c r="S101" i="17"/>
  <c r="T101" i="17" s="1"/>
  <c r="I101" i="17"/>
  <c r="S100" i="17"/>
  <c r="T100" i="17" s="1"/>
  <c r="I100" i="17"/>
  <c r="S99" i="17"/>
  <c r="T99" i="17" s="1"/>
  <c r="I99" i="17"/>
  <c r="S98" i="17"/>
  <c r="T98" i="17" s="1"/>
  <c r="S97" i="17"/>
  <c r="T97" i="17" s="1"/>
  <c r="I97" i="17"/>
  <c r="S96" i="17"/>
  <c r="T96" i="17" s="1"/>
  <c r="I96" i="17"/>
  <c r="S95" i="17"/>
  <c r="T95" i="17" s="1"/>
  <c r="I95" i="17"/>
  <c r="S94" i="17"/>
  <c r="T94" i="17" s="1"/>
  <c r="I94" i="17"/>
  <c r="S93" i="17"/>
  <c r="T93" i="17" s="1"/>
  <c r="I93" i="17"/>
  <c r="I92" i="17"/>
  <c r="S91" i="17"/>
  <c r="T91" i="17" s="1"/>
  <c r="I91" i="17"/>
  <c r="S90" i="17"/>
  <c r="T90" i="17" s="1"/>
  <c r="I90" i="17"/>
  <c r="S89" i="17"/>
  <c r="T89" i="17" s="1"/>
  <c r="I89" i="17"/>
  <c r="S88" i="17"/>
  <c r="T88" i="17" s="1"/>
  <c r="I88" i="17"/>
  <c r="S87" i="17"/>
  <c r="T87" i="17" s="1"/>
  <c r="I87" i="17"/>
  <c r="S86" i="17"/>
  <c r="T86" i="17" s="1"/>
  <c r="I86" i="17"/>
  <c r="S85" i="17"/>
  <c r="T85" i="17" s="1"/>
  <c r="I85" i="17"/>
  <c r="S84" i="17"/>
  <c r="T84" i="17" s="1"/>
  <c r="I84" i="17"/>
  <c r="S83" i="17"/>
  <c r="T83" i="17" s="1"/>
  <c r="I83" i="17"/>
  <c r="S82" i="17"/>
  <c r="T82" i="17" s="1"/>
  <c r="I82" i="17"/>
  <c r="S81" i="17"/>
  <c r="T81" i="17" s="1"/>
  <c r="I81" i="17"/>
  <c r="S80" i="17"/>
  <c r="T80" i="17" s="1"/>
  <c r="I80" i="17"/>
  <c r="S79" i="17"/>
  <c r="T79" i="17" s="1"/>
  <c r="I79" i="17"/>
  <c r="S78" i="17"/>
  <c r="T78" i="17" s="1"/>
  <c r="I78" i="17"/>
  <c r="S77" i="17"/>
  <c r="T77" i="17" s="1"/>
  <c r="I77" i="17"/>
  <c r="S76" i="17"/>
  <c r="T76" i="17" s="1"/>
  <c r="I76" i="17"/>
  <c r="S75" i="17"/>
  <c r="T75" i="17" s="1"/>
  <c r="I75" i="17"/>
  <c r="S74" i="17"/>
  <c r="T74" i="17" s="1"/>
  <c r="I74" i="17"/>
  <c r="S73" i="17"/>
  <c r="T73" i="17" s="1"/>
  <c r="I73" i="17"/>
  <c r="S72" i="17"/>
  <c r="T72" i="17" s="1"/>
  <c r="I72" i="17"/>
  <c r="S71" i="17"/>
  <c r="T71" i="17" s="1"/>
  <c r="I71" i="17"/>
  <c r="I70" i="17"/>
  <c r="I69" i="17"/>
  <c r="S68" i="17"/>
  <c r="T68" i="17" s="1"/>
  <c r="I68" i="17"/>
  <c r="S67" i="17"/>
  <c r="T67" i="17" s="1"/>
  <c r="I67" i="17"/>
  <c r="S66" i="17"/>
  <c r="T66" i="17" s="1"/>
  <c r="I66" i="17"/>
  <c r="S65" i="17"/>
  <c r="T65" i="17" s="1"/>
  <c r="I65" i="17"/>
  <c r="S64" i="17"/>
  <c r="T64" i="17" s="1"/>
  <c r="I64" i="17"/>
  <c r="S63" i="17"/>
  <c r="T63" i="17" s="1"/>
  <c r="I63" i="17"/>
  <c r="S62" i="17"/>
  <c r="T62" i="17" s="1"/>
  <c r="I62" i="17"/>
  <c r="S61" i="17"/>
  <c r="T61" i="17" s="1"/>
  <c r="I61" i="17"/>
  <c r="S60" i="17"/>
  <c r="T60" i="17" s="1"/>
  <c r="I60" i="17"/>
  <c r="S59" i="17"/>
  <c r="T59" i="17" s="1"/>
  <c r="I59" i="17"/>
  <c r="S58" i="17"/>
  <c r="T58" i="17" s="1"/>
  <c r="I58" i="17"/>
  <c r="S57" i="17"/>
  <c r="T57" i="17" s="1"/>
  <c r="I57" i="17"/>
  <c r="S56" i="17"/>
  <c r="T56" i="17" s="1"/>
  <c r="I56" i="17"/>
  <c r="S55" i="17"/>
  <c r="T55" i="17" s="1"/>
  <c r="I55" i="17"/>
  <c r="S54" i="17"/>
  <c r="T54" i="17" s="1"/>
  <c r="I54" i="17"/>
  <c r="S53" i="17"/>
  <c r="T53" i="17" s="1"/>
  <c r="I53" i="17"/>
  <c r="S52" i="17"/>
  <c r="T52" i="17" s="1"/>
  <c r="I52" i="17"/>
  <c r="S51" i="17"/>
  <c r="T51" i="17" s="1"/>
  <c r="I51" i="17"/>
  <c r="S50" i="17"/>
  <c r="T50" i="17" s="1"/>
  <c r="S49" i="17"/>
  <c r="T49" i="17" s="1"/>
  <c r="I49" i="17"/>
  <c r="S48" i="17"/>
  <c r="T48" i="17" s="1"/>
  <c r="I48" i="17"/>
  <c r="S47" i="17"/>
  <c r="T47" i="17" s="1"/>
  <c r="I47" i="17"/>
  <c r="S46" i="17"/>
  <c r="T46" i="17" s="1"/>
  <c r="S45" i="17"/>
  <c r="T45" i="17" s="1"/>
  <c r="S44" i="17"/>
  <c r="T44" i="17" s="1"/>
  <c r="S43" i="17"/>
  <c r="T43" i="17" s="1"/>
  <c r="S42" i="17"/>
  <c r="T42" i="17" s="1"/>
  <c r="I42" i="17"/>
  <c r="S41" i="17"/>
  <c r="T41" i="17" s="1"/>
  <c r="I41" i="17"/>
  <c r="S40" i="17"/>
  <c r="T40" i="17" s="1"/>
  <c r="I40" i="17"/>
  <c r="S39" i="17"/>
  <c r="T39" i="17" s="1"/>
  <c r="I39" i="17"/>
  <c r="S38" i="17"/>
  <c r="T38" i="17" s="1"/>
  <c r="I38" i="17"/>
  <c r="S37" i="17"/>
  <c r="T37" i="17" s="1"/>
  <c r="I37" i="17"/>
  <c r="S36" i="17"/>
  <c r="T36" i="17" s="1"/>
  <c r="I36" i="17"/>
  <c r="S35" i="17"/>
  <c r="T35" i="17" s="1"/>
  <c r="I35" i="17"/>
  <c r="S34" i="17"/>
  <c r="T34" i="17" s="1"/>
  <c r="I34" i="17"/>
  <c r="S33" i="17"/>
  <c r="T33" i="17" s="1"/>
  <c r="I33" i="17"/>
  <c r="S32" i="17"/>
  <c r="T32" i="17" s="1"/>
  <c r="I32" i="17"/>
  <c r="S31" i="17"/>
  <c r="T31" i="17" s="1"/>
  <c r="I31" i="17"/>
  <c r="S30" i="17"/>
  <c r="T30" i="17" s="1"/>
  <c r="I30" i="17"/>
  <c r="S29" i="17"/>
  <c r="T29" i="17" s="1"/>
  <c r="I29" i="17"/>
  <c r="S28" i="17"/>
  <c r="T28" i="17" s="1"/>
  <c r="I28" i="17"/>
  <c r="S27" i="17"/>
  <c r="T27" i="17" s="1"/>
  <c r="I27" i="17"/>
  <c r="S26" i="17"/>
  <c r="T26" i="17" s="1"/>
  <c r="I26" i="17"/>
  <c r="S25" i="17"/>
  <c r="T25" i="17" s="1"/>
  <c r="I25" i="17"/>
  <c r="S24" i="17"/>
  <c r="T24" i="17" s="1"/>
  <c r="I24" i="17"/>
  <c r="S23" i="17"/>
  <c r="T23" i="17" s="1"/>
  <c r="I23" i="17"/>
  <c r="S22" i="17"/>
  <c r="T22" i="17" s="1"/>
  <c r="I22" i="17"/>
  <c r="S21" i="17"/>
  <c r="T21" i="17" s="1"/>
  <c r="I21" i="17"/>
  <c r="S20" i="17"/>
  <c r="T20" i="17" s="1"/>
  <c r="I20" i="17"/>
  <c r="S19" i="17"/>
  <c r="T19" i="17" s="1"/>
  <c r="I19" i="17"/>
  <c r="S18" i="17"/>
  <c r="T18" i="17" s="1"/>
  <c r="I18" i="17"/>
  <c r="S15" i="17"/>
  <c r="T15" i="17" s="1"/>
  <c r="I15" i="17"/>
  <c r="S14" i="17"/>
  <c r="T14" i="17" s="1"/>
  <c r="I14" i="17"/>
  <c r="I13" i="17"/>
  <c r="S12" i="17"/>
  <c r="T12" i="17" s="1"/>
  <c r="I12" i="17"/>
  <c r="I12" i="15"/>
  <c r="S12" i="15"/>
  <c r="T12" i="15" s="1"/>
  <c r="I13" i="15"/>
  <c r="I14" i="15"/>
  <c r="S14" i="15"/>
  <c r="T14" i="15" s="1"/>
  <c r="I15" i="15"/>
  <c r="S15" i="15"/>
  <c r="T15" i="15" s="1"/>
  <c r="I18" i="15"/>
  <c r="S18" i="15"/>
  <c r="T18" i="15" s="1"/>
  <c r="I19" i="15"/>
  <c r="S19" i="15"/>
  <c r="T19" i="15" s="1"/>
  <c r="I20" i="15"/>
  <c r="S20" i="15"/>
  <c r="T20" i="15" s="1"/>
  <c r="I21" i="15"/>
  <c r="S21" i="15"/>
  <c r="T21" i="15" s="1"/>
  <c r="I22" i="15"/>
  <c r="S22" i="15"/>
  <c r="T22" i="15" s="1"/>
  <c r="I23" i="15"/>
  <c r="S23" i="15"/>
  <c r="T23" i="15" s="1"/>
  <c r="I24" i="15"/>
  <c r="S24" i="15"/>
  <c r="T24" i="15" s="1"/>
  <c r="I25" i="15"/>
  <c r="S25" i="15"/>
  <c r="T25" i="15" s="1"/>
  <c r="I26" i="15"/>
  <c r="S26" i="15"/>
  <c r="T26" i="15" s="1"/>
  <c r="I27" i="15"/>
  <c r="S27" i="15"/>
  <c r="T27" i="15" s="1"/>
  <c r="I28" i="15"/>
  <c r="S28" i="15"/>
  <c r="T28" i="15" s="1"/>
  <c r="I29" i="15"/>
  <c r="S29" i="15"/>
  <c r="T29" i="15" s="1"/>
  <c r="I30" i="15"/>
  <c r="S30" i="15"/>
  <c r="T30" i="15" s="1"/>
  <c r="I31" i="15"/>
  <c r="S31" i="15"/>
  <c r="T31" i="15" s="1"/>
  <c r="I32" i="15"/>
  <c r="S32" i="15"/>
  <c r="T32" i="15" s="1"/>
  <c r="I33" i="15"/>
  <c r="S33" i="15"/>
  <c r="T33" i="15" s="1"/>
  <c r="I34" i="15"/>
  <c r="S34" i="15"/>
  <c r="T34" i="15" s="1"/>
  <c r="I35" i="15"/>
  <c r="S35" i="15"/>
  <c r="T35" i="15" s="1"/>
  <c r="I36" i="15"/>
  <c r="S36" i="15"/>
  <c r="T36" i="15" s="1"/>
  <c r="I37" i="15"/>
  <c r="S37" i="15"/>
  <c r="T37" i="15" s="1"/>
  <c r="I38" i="15"/>
  <c r="S38" i="15"/>
  <c r="T38" i="15" s="1"/>
  <c r="I39" i="15"/>
  <c r="S39" i="15"/>
  <c r="T39" i="15" s="1"/>
  <c r="I40" i="15"/>
  <c r="S40" i="15"/>
  <c r="T40" i="15" s="1"/>
  <c r="I41" i="15"/>
  <c r="S41" i="15"/>
  <c r="T41" i="15" s="1"/>
  <c r="I42" i="15"/>
  <c r="S42" i="15"/>
  <c r="T42" i="15" s="1"/>
  <c r="S43" i="15"/>
  <c r="T43" i="15" s="1"/>
  <c r="S44" i="15"/>
  <c r="T44" i="15" s="1"/>
  <c r="S45" i="15"/>
  <c r="T45" i="15" s="1"/>
  <c r="S46" i="15"/>
  <c r="T46" i="15" s="1"/>
  <c r="I47" i="15"/>
  <c r="S47" i="15"/>
  <c r="T47" i="15" s="1"/>
  <c r="I48" i="15"/>
  <c r="S48" i="15"/>
  <c r="T48" i="15" s="1"/>
  <c r="I49" i="15"/>
  <c r="S49" i="15"/>
  <c r="T49" i="15" s="1"/>
  <c r="S50" i="15"/>
  <c r="T50" i="15" s="1"/>
  <c r="I51" i="15"/>
  <c r="S51" i="15"/>
  <c r="T51" i="15" s="1"/>
  <c r="I52" i="15"/>
  <c r="S52" i="15"/>
  <c r="T52" i="15" s="1"/>
  <c r="I53" i="15"/>
  <c r="S53" i="15"/>
  <c r="T53" i="15" s="1"/>
  <c r="I54" i="15"/>
  <c r="S54" i="15"/>
  <c r="T54" i="15" s="1"/>
  <c r="I55" i="15"/>
  <c r="S55" i="15"/>
  <c r="T55" i="15" s="1"/>
  <c r="I56" i="15"/>
  <c r="S56" i="15"/>
  <c r="T56" i="15" s="1"/>
  <c r="I57" i="15"/>
  <c r="S57" i="15"/>
  <c r="T57" i="15" s="1"/>
  <c r="I58" i="15"/>
  <c r="S58" i="15"/>
  <c r="T58" i="15" s="1"/>
  <c r="I59" i="15"/>
  <c r="S59" i="15"/>
  <c r="T59" i="15" s="1"/>
  <c r="I60" i="15"/>
  <c r="S60" i="15"/>
  <c r="T60" i="15" s="1"/>
  <c r="I61" i="15"/>
  <c r="S61" i="15"/>
  <c r="T61" i="15" s="1"/>
  <c r="I62" i="15"/>
  <c r="S62" i="15"/>
  <c r="T62" i="15" s="1"/>
  <c r="I63" i="15"/>
  <c r="S63" i="15"/>
  <c r="T63" i="15" s="1"/>
  <c r="I64" i="15"/>
  <c r="S64" i="15"/>
  <c r="T64" i="15" s="1"/>
  <c r="I65" i="15"/>
  <c r="S65" i="15"/>
  <c r="T65" i="15" s="1"/>
  <c r="I66" i="15"/>
  <c r="S66" i="15"/>
  <c r="T66" i="15" s="1"/>
  <c r="I67" i="15"/>
  <c r="S67" i="15"/>
  <c r="T67" i="15" s="1"/>
  <c r="I68" i="15"/>
  <c r="S68" i="15"/>
  <c r="T68" i="15" s="1"/>
  <c r="I69" i="15"/>
  <c r="I70" i="15"/>
  <c r="I71" i="15"/>
  <c r="S71" i="15"/>
  <c r="T71" i="15" s="1"/>
  <c r="I72" i="15"/>
  <c r="S72" i="15"/>
  <c r="T72" i="15" s="1"/>
  <c r="I73" i="15"/>
  <c r="S73" i="15"/>
  <c r="T73" i="15" s="1"/>
  <c r="I74" i="15"/>
  <c r="S74" i="15"/>
  <c r="T74" i="15" s="1"/>
  <c r="I75" i="15"/>
  <c r="S75" i="15"/>
  <c r="T75" i="15" s="1"/>
  <c r="I76" i="15"/>
  <c r="S76" i="15"/>
  <c r="T76" i="15" s="1"/>
  <c r="I77" i="15"/>
  <c r="S77" i="15"/>
  <c r="T77" i="15" s="1"/>
  <c r="I78" i="15"/>
  <c r="S78" i="15"/>
  <c r="T78" i="15" s="1"/>
  <c r="I79" i="15"/>
  <c r="S79" i="15"/>
  <c r="T79" i="15" s="1"/>
  <c r="I80" i="15"/>
  <c r="S80" i="15"/>
  <c r="T80" i="15" s="1"/>
  <c r="I81" i="15"/>
  <c r="S81" i="15"/>
  <c r="T81" i="15" s="1"/>
  <c r="I82" i="15"/>
  <c r="S82" i="15"/>
  <c r="T82" i="15" s="1"/>
  <c r="I83" i="15"/>
  <c r="S83" i="15"/>
  <c r="T83" i="15" s="1"/>
  <c r="I84" i="15"/>
  <c r="S84" i="15"/>
  <c r="T84" i="15" s="1"/>
  <c r="I85" i="15"/>
  <c r="S85" i="15"/>
  <c r="T85" i="15" s="1"/>
  <c r="I86" i="15"/>
  <c r="S86" i="15"/>
  <c r="T86" i="15" s="1"/>
  <c r="I87" i="15"/>
  <c r="S87" i="15"/>
  <c r="T87" i="15" s="1"/>
  <c r="I88" i="15"/>
  <c r="S88" i="15"/>
  <c r="T88" i="15" s="1"/>
  <c r="I89" i="15"/>
  <c r="S89" i="15"/>
  <c r="T89" i="15" s="1"/>
  <c r="I90" i="15"/>
  <c r="S90" i="15"/>
  <c r="T90" i="15" s="1"/>
  <c r="I91" i="15"/>
  <c r="S91" i="15"/>
  <c r="T91" i="15" s="1"/>
  <c r="I92" i="15"/>
  <c r="I93" i="15"/>
  <c r="S93" i="15"/>
  <c r="T93" i="15" s="1"/>
  <c r="I94" i="15"/>
  <c r="S94" i="15"/>
  <c r="T94" i="15" s="1"/>
  <c r="I95" i="15"/>
  <c r="S95" i="15"/>
  <c r="T95" i="15" s="1"/>
  <c r="I96" i="15"/>
  <c r="S96" i="15"/>
  <c r="T96" i="15" s="1"/>
  <c r="I97" i="15"/>
  <c r="S97" i="15"/>
  <c r="T97" i="15" s="1"/>
  <c r="S98" i="15"/>
  <c r="T98" i="15" s="1"/>
  <c r="I99" i="15"/>
  <c r="S99" i="15"/>
  <c r="T99" i="15" s="1"/>
  <c r="I100" i="15"/>
  <c r="S100" i="15"/>
  <c r="T100" i="15" s="1"/>
  <c r="I101" i="15"/>
  <c r="S101" i="15"/>
  <c r="T101" i="15" s="1"/>
  <c r="I102" i="15"/>
  <c r="S102" i="15"/>
  <c r="T102" i="15" s="1"/>
  <c r="I103" i="15"/>
  <c r="S103" i="15"/>
  <c r="T103" i="15" s="1"/>
  <c r="I104" i="15"/>
  <c r="S104" i="15"/>
  <c r="T104" i="15" s="1"/>
  <c r="I105" i="15"/>
  <c r="S105" i="15"/>
  <c r="T105" i="15" s="1"/>
  <c r="I106" i="15"/>
  <c r="S106" i="15"/>
  <c r="T106" i="15" s="1"/>
  <c r="I107" i="15"/>
  <c r="S107" i="15"/>
  <c r="T107" i="15" s="1"/>
  <c r="I108" i="15"/>
  <c r="S108" i="15"/>
  <c r="T108" i="15" s="1"/>
  <c r="I109" i="15"/>
  <c r="S109" i="15"/>
  <c r="T109" i="15" s="1"/>
  <c r="I110" i="15"/>
  <c r="S110" i="15"/>
  <c r="T110" i="15" s="1"/>
  <c r="I111" i="15"/>
  <c r="S111" i="15"/>
  <c r="T111" i="15" s="1"/>
  <c r="I112" i="15"/>
  <c r="S112" i="15"/>
  <c r="T112" i="15" s="1"/>
  <c r="I113" i="15"/>
  <c r="S113" i="15"/>
  <c r="T113" i="15" s="1"/>
  <c r="I114" i="15"/>
  <c r="S114" i="15"/>
  <c r="T114" i="15" s="1"/>
  <c r="I115" i="15"/>
  <c r="S115" i="15"/>
  <c r="T115" i="15" s="1"/>
  <c r="I116" i="15"/>
  <c r="S116" i="15"/>
  <c r="T116" i="15" s="1"/>
  <c r="I117" i="15"/>
  <c r="S117" i="15"/>
  <c r="T117" i="15" s="1"/>
  <c r="I118" i="15"/>
  <c r="S118" i="15"/>
  <c r="T118" i="15" s="1"/>
  <c r="I119" i="15"/>
  <c r="S119" i="15"/>
  <c r="T119" i="15" s="1"/>
  <c r="I120" i="15"/>
  <c r="S120" i="15"/>
  <c r="T120" i="15" s="1"/>
  <c r="I121" i="15"/>
  <c r="S121" i="15"/>
  <c r="T121" i="15" s="1"/>
  <c r="I122" i="15"/>
  <c r="S122" i="15"/>
  <c r="T122" i="15" s="1"/>
  <c r="I123" i="15"/>
  <c r="S123" i="15"/>
  <c r="T123" i="15" s="1"/>
  <c r="I124" i="15"/>
  <c r="S124" i="15"/>
  <c r="T124" i="15" s="1"/>
  <c r="I125" i="15"/>
  <c r="S125" i="15"/>
  <c r="T125" i="15" s="1"/>
  <c r="I126" i="15"/>
  <c r="S126" i="15"/>
  <c r="T126" i="15" s="1"/>
  <c r="I127" i="15"/>
  <c r="S127" i="15"/>
  <c r="T127" i="15" s="1"/>
  <c r="I128" i="15"/>
  <c r="S128" i="15"/>
  <c r="T128" i="15" s="1"/>
  <c r="I129" i="15"/>
  <c r="S129" i="15"/>
  <c r="T129" i="15" s="1"/>
  <c r="I130" i="15"/>
  <c r="S130" i="15"/>
  <c r="T130" i="15" s="1"/>
  <c r="I131" i="15"/>
  <c r="S131" i="15"/>
  <c r="T131" i="15" s="1"/>
  <c r="I132" i="15"/>
  <c r="S132" i="15"/>
  <c r="T132" i="15" s="1"/>
  <c r="S133" i="15"/>
  <c r="T133" i="15" s="1"/>
  <c r="S134" i="15"/>
  <c r="T134" i="15" s="1"/>
  <c r="I135" i="15"/>
  <c r="S135" i="15"/>
  <c r="T135" i="15" s="1"/>
  <c r="I136" i="15"/>
  <c r="S136" i="15"/>
  <c r="T136" i="15" s="1"/>
  <c r="I137" i="15"/>
  <c r="S137" i="15"/>
  <c r="T137" i="15" s="1"/>
  <c r="S138" i="15"/>
  <c r="T138" i="15" s="1"/>
  <c r="I139" i="15"/>
  <c r="S139" i="15"/>
  <c r="T139" i="15" s="1"/>
  <c r="I140" i="15"/>
  <c r="S140" i="15"/>
  <c r="T140" i="15" s="1"/>
  <c r="I141" i="15"/>
  <c r="S141" i="15"/>
  <c r="T141" i="15" s="1"/>
  <c r="I142" i="15"/>
  <c r="S142" i="15"/>
  <c r="T142" i="15" s="1"/>
  <c r="I143" i="15"/>
  <c r="S143" i="15"/>
  <c r="T143" i="15" s="1"/>
  <c r="I144" i="15"/>
  <c r="S144" i="15"/>
  <c r="T144" i="15" s="1"/>
  <c r="I145" i="15"/>
  <c r="S145" i="15"/>
  <c r="T145" i="15" s="1"/>
  <c r="I146" i="15"/>
  <c r="S146" i="15"/>
  <c r="T146" i="15" s="1"/>
  <c r="I147" i="15"/>
  <c r="S147" i="15"/>
  <c r="T147" i="15" s="1"/>
  <c r="I148" i="15"/>
  <c r="S148" i="15"/>
  <c r="T148" i="15" s="1"/>
  <c r="I149" i="15"/>
  <c r="S149" i="15"/>
  <c r="T149" i="15" s="1"/>
  <c r="I150" i="15"/>
  <c r="S150" i="15"/>
  <c r="T150" i="15" s="1"/>
  <c r="I151" i="15"/>
  <c r="S151" i="15"/>
  <c r="T151" i="15" s="1"/>
  <c r="I152" i="15"/>
  <c r="S152" i="15"/>
  <c r="T152" i="15" s="1"/>
  <c r="I153" i="15"/>
  <c r="S153" i="15"/>
  <c r="T153" i="15" s="1"/>
  <c r="I154" i="15"/>
  <c r="S154" i="15"/>
  <c r="T154" i="15" s="1"/>
  <c r="I155" i="15"/>
  <c r="S155" i="15"/>
  <c r="T155" i="15" s="1"/>
  <c r="I156" i="15"/>
  <c r="I157" i="15"/>
  <c r="S157" i="15"/>
  <c r="T157" i="15" s="1"/>
  <c r="AS158" i="15"/>
  <c r="H13" i="91" l="1"/>
  <c r="H72" i="91"/>
  <c r="H81" i="91"/>
  <c r="H12" i="91" s="1"/>
  <c r="Z71" i="23"/>
  <c r="AB71" i="23" l="1"/>
  <c r="M12" i="23" l="1"/>
  <c r="Q12" i="23" s="1"/>
  <c r="L12" i="23"/>
  <c r="O12" i="23" s="1"/>
  <c r="J3" i="14"/>
  <c r="H4" i="14"/>
  <c r="J4" i="14" s="1"/>
  <c r="I5" i="14"/>
  <c r="J6" i="14"/>
  <c r="J7" i="14"/>
  <c r="J8" i="14"/>
  <c r="J9" i="14"/>
  <c r="J10" i="14"/>
  <c r="J11" i="14"/>
  <c r="J12" i="14"/>
  <c r="J13" i="14"/>
  <c r="J14" i="14"/>
  <c r="J15" i="14"/>
  <c r="J16" i="14"/>
  <c r="I17" i="14"/>
  <c r="J17" i="14"/>
  <c r="I18" i="14"/>
  <c r="J19" i="14"/>
  <c r="J20" i="14"/>
  <c r="J21" i="14"/>
  <c r="J22" i="14"/>
  <c r="J23" i="14"/>
  <c r="I24" i="14"/>
  <c r="J24" i="14"/>
  <c r="I25" i="14"/>
  <c r="J25" i="14"/>
  <c r="G26" i="14"/>
  <c r="I26" i="14" s="1"/>
  <c r="J26" i="14"/>
  <c r="J27" i="14"/>
  <c r="J28" i="14"/>
  <c r="I29" i="14"/>
  <c r="I30" i="14"/>
  <c r="J30" i="14"/>
  <c r="I31" i="14"/>
  <c r="I32" i="14"/>
  <c r="J33" i="14"/>
  <c r="I34" i="14"/>
  <c r="J34" i="14"/>
  <c r="I35" i="14"/>
  <c r="J35" i="14"/>
  <c r="I36" i="14"/>
  <c r="I37" i="14"/>
  <c r="J38" i="14"/>
  <c r="I39" i="14"/>
  <c r="J40" i="14"/>
  <c r="I41" i="14"/>
  <c r="J41" i="14"/>
  <c r="I42" i="14"/>
  <c r="J42" i="14"/>
  <c r="I43" i="14"/>
  <c r="I44" i="14"/>
  <c r="I45" i="14"/>
  <c r="J45" i="14"/>
  <c r="I46" i="14"/>
  <c r="J46" i="14"/>
  <c r="J47" i="14"/>
  <c r="J48" i="14"/>
  <c r="I49" i="14"/>
  <c r="J49" i="14"/>
  <c r="I50" i="14"/>
  <c r="J50" i="14"/>
  <c r="I51" i="14"/>
  <c r="I52" i="14"/>
  <c r="I53" i="14"/>
  <c r="J53" i="14"/>
  <c r="I54" i="14"/>
  <c r="J54" i="14"/>
  <c r="I55" i="14"/>
  <c r="J56" i="14"/>
  <c r="J57" i="14"/>
  <c r="H58" i="14"/>
  <c r="J58" i="14" s="1"/>
  <c r="J59" i="14"/>
  <c r="H60" i="14"/>
  <c r="J60" i="14" s="1"/>
  <c r="J61" i="14"/>
  <c r="J62" i="14"/>
  <c r="J63" i="14"/>
  <c r="J64" i="14"/>
  <c r="J65" i="14"/>
  <c r="J66" i="14"/>
  <c r="J67" i="14"/>
  <c r="J68" i="14"/>
  <c r="J69" i="14"/>
  <c r="I70" i="14"/>
  <c r="I71" i="14"/>
  <c r="I72" i="14"/>
  <c r="I73" i="14"/>
  <c r="I74" i="14"/>
  <c r="I75" i="14"/>
  <c r="J76" i="14"/>
  <c r="J77" i="14"/>
  <c r="J78" i="14"/>
  <c r="J79" i="14"/>
  <c r="J80" i="14"/>
  <c r="J81" i="14"/>
  <c r="J82" i="14"/>
  <c r="J83" i="14"/>
  <c r="J84" i="14"/>
  <c r="I85" i="14"/>
  <c r="I86" i="14"/>
  <c r="I87" i="14"/>
  <c r="I88" i="14"/>
  <c r="I89" i="14"/>
  <c r="I90" i="14"/>
  <c r="J91" i="14"/>
  <c r="J92" i="14"/>
  <c r="J93" i="14"/>
  <c r="I94" i="14"/>
  <c r="I95" i="14"/>
  <c r="J96" i="14"/>
  <c r="J97" i="14"/>
  <c r="J98" i="14"/>
  <c r="I99" i="14"/>
  <c r="J100" i="14"/>
  <c r="J101" i="14"/>
  <c r="J102" i="14"/>
  <c r="J103" i="14"/>
  <c r="I104" i="14"/>
  <c r="I105" i="14"/>
  <c r="J105" i="14"/>
  <c r="I106" i="14"/>
  <c r="I107" i="14"/>
  <c r="I108" i="14"/>
  <c r="J109" i="14"/>
  <c r="J110" i="14"/>
  <c r="I111" i="14"/>
  <c r="I112" i="14"/>
  <c r="I113" i="14"/>
  <c r="J114" i="14"/>
  <c r="J115" i="14"/>
  <c r="I116" i="14"/>
  <c r="I117" i="14"/>
  <c r="I118" i="14"/>
  <c r="I119" i="14"/>
  <c r="I120" i="14"/>
  <c r="I121" i="14"/>
  <c r="I122" i="14"/>
  <c r="I123" i="14"/>
  <c r="J124" i="14"/>
  <c r="I125" i="14"/>
  <c r="J126" i="14"/>
  <c r="J127" i="14"/>
  <c r="I130" i="14" l="1"/>
  <c r="J130" i="14"/>
  <c r="E5" i="11"/>
  <c r="E7" i="11"/>
  <c r="L13" i="5"/>
  <c r="K10" i="5"/>
  <c r="K9" i="5"/>
  <c r="K8" i="5"/>
  <c r="C4" i="90" l="1"/>
  <c r="L14" i="5"/>
  <c r="U138" i="72"/>
  <c r="Z138" i="72" s="1"/>
  <c r="K54" i="23"/>
  <c r="N54" i="23" s="1"/>
  <c r="K60" i="23"/>
  <c r="N60" i="23" s="1"/>
  <c r="C46" i="90" l="1"/>
  <c r="M54" i="23"/>
  <c r="Q54" i="23" s="1"/>
  <c r="K10" i="23"/>
  <c r="N10" i="23" s="1"/>
  <c r="L54" i="23"/>
  <c r="O54" i="23" s="1"/>
  <c r="M10" i="23"/>
  <c r="Q10" i="23" s="1"/>
  <c r="M60" i="23"/>
  <c r="Q60" i="23" s="1"/>
  <c r="L60" i="23"/>
  <c r="O60" i="23" s="1"/>
  <c r="M36" i="23"/>
  <c r="Q36" i="23" s="1"/>
  <c r="M34" i="23"/>
  <c r="Q34" i="23" s="1"/>
  <c r="M35" i="23"/>
  <c r="Q35" i="23" s="1"/>
  <c r="M40" i="23"/>
  <c r="Q40" i="23" s="1"/>
  <c r="X138" i="72" l="1"/>
  <c r="AC138" i="72" s="1"/>
  <c r="V138" i="72"/>
  <c r="AA138" i="72" s="1"/>
  <c r="L10" i="23"/>
  <c r="O10" i="23" s="1"/>
  <c r="L35" i="23"/>
  <c r="O35" i="23" s="1"/>
  <c r="L40" i="23"/>
  <c r="O40" i="23" s="1"/>
  <c r="L36" i="23"/>
  <c r="O36" i="23" s="1"/>
  <c r="L34" i="23"/>
  <c r="O34" i="23" s="1"/>
  <c r="H11" i="13" l="1"/>
  <c r="J11" i="13"/>
  <c r="L11" i="13"/>
  <c r="M11" i="13"/>
  <c r="P11" i="13" s="1"/>
  <c r="H12" i="13"/>
  <c r="J12" i="13"/>
  <c r="L12" i="13"/>
  <c r="M12" i="13"/>
  <c r="P12" i="13" s="1"/>
  <c r="H13" i="13"/>
  <c r="J13" i="13"/>
  <c r="L13" i="13"/>
  <c r="M13" i="13"/>
  <c r="N13" i="13" s="1"/>
  <c r="H14" i="13"/>
  <c r="J14" i="13"/>
  <c r="L14" i="13"/>
  <c r="M14" i="13"/>
  <c r="O14" i="13" s="1"/>
  <c r="H15" i="13"/>
  <c r="J15" i="13"/>
  <c r="L15" i="13"/>
  <c r="M15" i="13"/>
  <c r="P15" i="13" s="1"/>
  <c r="H25" i="13"/>
  <c r="J25" i="13"/>
  <c r="L25" i="13"/>
  <c r="M25" i="13"/>
  <c r="N25" i="13" s="1"/>
  <c r="H26" i="13"/>
  <c r="J26" i="13"/>
  <c r="L26" i="13"/>
  <c r="M26" i="13"/>
  <c r="O26" i="13" s="1"/>
  <c r="E27" i="13"/>
  <c r="J27" i="13" s="1"/>
  <c r="M27" i="13"/>
  <c r="O27" i="13" s="1"/>
  <c r="E28" i="13"/>
  <c r="J28" i="13" s="1"/>
  <c r="M28" i="13"/>
  <c r="O28" i="13" s="1"/>
  <c r="H29" i="13"/>
  <c r="J29" i="13"/>
  <c r="L29" i="13"/>
  <c r="M29" i="13"/>
  <c r="P29" i="13" s="1"/>
  <c r="H30" i="13"/>
  <c r="J30" i="13"/>
  <c r="L30" i="13"/>
  <c r="M30" i="13"/>
  <c r="P30" i="13" s="1"/>
  <c r="H34" i="13"/>
  <c r="J34" i="13"/>
  <c r="L34" i="13"/>
  <c r="M34" i="13"/>
  <c r="O34" i="13" s="1"/>
  <c r="E35" i="13"/>
  <c r="J35" i="13" s="1"/>
  <c r="M35" i="13"/>
  <c r="O35" i="13" s="1"/>
  <c r="H38" i="13"/>
  <c r="J38" i="13"/>
  <c r="L38" i="13"/>
  <c r="M38" i="13"/>
  <c r="O38" i="13" s="1"/>
  <c r="H39" i="13"/>
  <c r="J39" i="13"/>
  <c r="L39" i="13"/>
  <c r="M39" i="13"/>
  <c r="P39" i="13" s="1"/>
  <c r="H40" i="13"/>
  <c r="J40" i="13"/>
  <c r="L40" i="13"/>
  <c r="M40" i="13"/>
  <c r="O40" i="13" s="1"/>
  <c r="H41" i="13"/>
  <c r="J41" i="13"/>
  <c r="L41" i="13"/>
  <c r="M41" i="13"/>
  <c r="N41" i="13" s="1"/>
  <c r="H47" i="13"/>
  <c r="J47" i="13"/>
  <c r="L47" i="13"/>
  <c r="M47" i="13"/>
  <c r="O47" i="13" s="1"/>
  <c r="H48" i="13"/>
  <c r="J48" i="13"/>
  <c r="L48" i="13"/>
  <c r="M48" i="13"/>
  <c r="P48" i="13" s="1"/>
  <c r="H49" i="13"/>
  <c r="J49" i="13"/>
  <c r="L49" i="13"/>
  <c r="M49" i="13"/>
  <c r="N49" i="13" s="1"/>
  <c r="E50" i="13"/>
  <c r="H50" i="13" s="1"/>
  <c r="M50" i="13"/>
  <c r="N50" i="13" s="1"/>
  <c r="E51" i="13"/>
  <c r="H51" i="13" s="1"/>
  <c r="M51" i="13"/>
  <c r="N51" i="13" s="1"/>
  <c r="H52" i="13"/>
  <c r="J52" i="13"/>
  <c r="L52" i="13"/>
  <c r="M52" i="13"/>
  <c r="N52" i="13" s="1"/>
  <c r="H53" i="13"/>
  <c r="J53" i="13"/>
  <c r="L53" i="13"/>
  <c r="M53" i="13"/>
  <c r="O53" i="13" s="1"/>
  <c r="H54" i="13"/>
  <c r="J54" i="13"/>
  <c r="L54" i="13"/>
  <c r="M54" i="13"/>
  <c r="P54" i="13" s="1"/>
  <c r="H55" i="13"/>
  <c r="J55" i="13"/>
  <c r="L55" i="13"/>
  <c r="M55" i="13"/>
  <c r="O55" i="13" s="1"/>
  <c r="H56" i="13"/>
  <c r="J56" i="13"/>
  <c r="L56" i="13"/>
  <c r="M56" i="13"/>
  <c r="N56" i="13" s="1"/>
  <c r="H57" i="13"/>
  <c r="J57" i="13"/>
  <c r="L57" i="13"/>
  <c r="M57" i="13"/>
  <c r="O57" i="13" s="1"/>
  <c r="H58" i="13"/>
  <c r="J58" i="13"/>
  <c r="L58" i="13"/>
  <c r="M58" i="13"/>
  <c r="P58" i="13" s="1"/>
  <c r="H59" i="13"/>
  <c r="J59" i="13"/>
  <c r="L59" i="13"/>
  <c r="M59" i="13"/>
  <c r="N59" i="13" s="1"/>
  <c r="H60" i="13"/>
  <c r="J60" i="13"/>
  <c r="L60" i="13"/>
  <c r="M60" i="13"/>
  <c r="N60" i="13" s="1"/>
  <c r="H61" i="13"/>
  <c r="J61" i="13"/>
  <c r="L61" i="13"/>
  <c r="M61" i="13"/>
  <c r="O61" i="13" s="1"/>
  <c r="H62" i="13"/>
  <c r="J62" i="13"/>
  <c r="L62" i="13"/>
  <c r="M62" i="13"/>
  <c r="P62" i="13" s="1"/>
  <c r="H65" i="13"/>
  <c r="J65" i="13"/>
  <c r="L65" i="13"/>
  <c r="M65" i="13"/>
  <c r="O65" i="13" s="1"/>
  <c r="E66" i="13"/>
  <c r="J66" i="13" s="1"/>
  <c r="M66" i="13"/>
  <c r="O66" i="13" s="1"/>
  <c r="H67" i="13"/>
  <c r="J67" i="13"/>
  <c r="L67" i="13"/>
  <c r="M67" i="13"/>
  <c r="N67" i="13" s="1"/>
  <c r="H68" i="13"/>
  <c r="J68" i="13"/>
  <c r="L68" i="13"/>
  <c r="M68" i="13"/>
  <c r="O68" i="13" s="1"/>
  <c r="H69" i="13"/>
  <c r="J69" i="13"/>
  <c r="L69" i="13"/>
  <c r="M69" i="13"/>
  <c r="P69" i="13" s="1"/>
  <c r="H76" i="13"/>
  <c r="J76" i="13"/>
  <c r="L76" i="13"/>
  <c r="H77" i="13"/>
  <c r="J77" i="13"/>
  <c r="L77" i="13"/>
  <c r="H78" i="13"/>
  <c r="J78" i="13"/>
  <c r="L78" i="13"/>
  <c r="H79" i="13"/>
  <c r="J79" i="13"/>
  <c r="L79" i="13"/>
  <c r="H80" i="13"/>
  <c r="J80" i="13"/>
  <c r="L80" i="13"/>
  <c r="H81" i="13"/>
  <c r="J81" i="13"/>
  <c r="L81" i="13"/>
  <c r="H85" i="13"/>
  <c r="M85" i="13"/>
  <c r="L85" i="13"/>
  <c r="H86" i="13"/>
  <c r="M86" i="13"/>
  <c r="L86" i="13"/>
  <c r="H87" i="13"/>
  <c r="M87" i="13"/>
  <c r="L87" i="13"/>
  <c r="H88" i="13"/>
  <c r="M88" i="13"/>
  <c r="L88" i="13"/>
  <c r="H89" i="13"/>
  <c r="M89" i="13"/>
  <c r="L89" i="13"/>
  <c r="H90" i="13"/>
  <c r="M90" i="13"/>
  <c r="L90" i="13"/>
  <c r="H91" i="13"/>
  <c r="M91" i="13"/>
  <c r="L91" i="13"/>
  <c r="H92" i="13"/>
  <c r="M92" i="13"/>
  <c r="L92" i="13"/>
  <c r="H96" i="13"/>
  <c r="M96" i="13"/>
  <c r="L96" i="13"/>
  <c r="H100" i="13"/>
  <c r="J100" i="13"/>
  <c r="L100" i="13"/>
  <c r="H101" i="13"/>
  <c r="J101" i="13"/>
  <c r="L101" i="13"/>
  <c r="H102" i="13"/>
  <c r="J102" i="13"/>
  <c r="L102" i="13"/>
  <c r="H103" i="13"/>
  <c r="J103" i="13"/>
  <c r="L103" i="13"/>
  <c r="E104" i="13"/>
  <c r="H104" i="13" s="1"/>
  <c r="H107" i="13"/>
  <c r="J107" i="13"/>
  <c r="L107" i="13"/>
  <c r="H108" i="13"/>
  <c r="J108" i="13"/>
  <c r="L108" i="13"/>
  <c r="E109" i="13"/>
  <c r="L109" i="13" s="1"/>
  <c r="M109" i="13"/>
  <c r="O109" i="13" s="1"/>
  <c r="H110" i="13"/>
  <c r="J110" i="13"/>
  <c r="L110" i="13"/>
  <c r="H111" i="13"/>
  <c r="J111" i="13"/>
  <c r="L111" i="13"/>
  <c r="H112" i="13"/>
  <c r="J112" i="13"/>
  <c r="L112" i="13"/>
  <c r="H131" i="13"/>
  <c r="H136" i="13" s="1"/>
  <c r="J131" i="13"/>
  <c r="J136" i="13" s="1"/>
  <c r="L131" i="13"/>
  <c r="L136" i="13" s="1"/>
  <c r="M131" i="13"/>
  <c r="P131" i="13" s="1"/>
  <c r="H144" i="13"/>
  <c r="H147" i="13" s="1"/>
  <c r="J144" i="13"/>
  <c r="J147" i="13" s="1"/>
  <c r="L144" i="13"/>
  <c r="M144" i="13"/>
  <c r="N144" i="13" s="1"/>
  <c r="L147" i="13"/>
  <c r="O131" i="13" l="1"/>
  <c r="N12" i="13"/>
  <c r="J50" i="13"/>
  <c r="P41" i="13"/>
  <c r="O59" i="13"/>
  <c r="H35" i="13"/>
  <c r="P25" i="13"/>
  <c r="N35" i="13"/>
  <c r="N34" i="13"/>
  <c r="L27" i="13"/>
  <c r="N131" i="13"/>
  <c r="O56" i="13"/>
  <c r="P50" i="13"/>
  <c r="M136" i="13"/>
  <c r="P61" i="13"/>
  <c r="J51" i="13"/>
  <c r="L50" i="13"/>
  <c r="N40" i="13"/>
  <c r="O12" i="13"/>
  <c r="H66" i="13"/>
  <c r="P59" i="13"/>
  <c r="P53" i="13"/>
  <c r="L51" i="13"/>
  <c r="O50" i="13"/>
  <c r="O41" i="13"/>
  <c r="O30" i="13"/>
  <c r="O25" i="13"/>
  <c r="H17" i="13"/>
  <c r="P67" i="13"/>
  <c r="P51" i="13"/>
  <c r="P49" i="13"/>
  <c r="P13" i="13"/>
  <c r="O67" i="13"/>
  <c r="N65" i="13"/>
  <c r="P56" i="13"/>
  <c r="O51" i="13"/>
  <c r="O49" i="13"/>
  <c r="P38" i="13"/>
  <c r="L28" i="13"/>
  <c r="N66" i="13"/>
  <c r="N55" i="13"/>
  <c r="P14" i="13"/>
  <c r="L17" i="13"/>
  <c r="L104" i="13"/>
  <c r="P66" i="13"/>
  <c r="L66" i="13"/>
  <c r="P65" i="13"/>
  <c r="P60" i="13"/>
  <c r="P55" i="13"/>
  <c r="P52" i="13"/>
  <c r="P40" i="13"/>
  <c r="P35" i="13"/>
  <c r="L35" i="13"/>
  <c r="P34" i="13"/>
  <c r="N30" i="13"/>
  <c r="O13" i="13"/>
  <c r="J17" i="13"/>
  <c r="P144" i="13"/>
  <c r="M147" i="13"/>
  <c r="O144" i="13"/>
  <c r="J104" i="13"/>
  <c r="P68" i="13"/>
  <c r="O60" i="13"/>
  <c r="P57" i="13"/>
  <c r="O52" i="13"/>
  <c r="P47" i="13"/>
  <c r="P28" i="13"/>
  <c r="P27" i="13"/>
  <c r="P26" i="13"/>
  <c r="M102" i="13"/>
  <c r="O102" i="13" s="1"/>
  <c r="M101" i="13"/>
  <c r="O101" i="13" s="1"/>
  <c r="M104" i="13"/>
  <c r="N104" i="13" s="1"/>
  <c r="M110" i="13"/>
  <c r="O110" i="13" s="1"/>
  <c r="M108" i="13"/>
  <c r="P108" i="13" s="1"/>
  <c r="M107" i="13"/>
  <c r="P107" i="13" s="1"/>
  <c r="N96" i="13"/>
  <c r="P96" i="13"/>
  <c r="O96" i="13"/>
  <c r="M112" i="13"/>
  <c r="N112" i="13" s="1"/>
  <c r="M100" i="13"/>
  <c r="N100" i="13" s="1"/>
  <c r="M81" i="13"/>
  <c r="P81" i="13" s="1"/>
  <c r="M80" i="13"/>
  <c r="P80" i="13" s="1"/>
  <c r="M79" i="13"/>
  <c r="P79" i="13" s="1"/>
  <c r="M78" i="13"/>
  <c r="P78" i="13" s="1"/>
  <c r="M77" i="13"/>
  <c r="P77" i="13" s="1"/>
  <c r="M76" i="13"/>
  <c r="P76" i="13" s="1"/>
  <c r="J96" i="13"/>
  <c r="P109" i="13"/>
  <c r="J109" i="13"/>
  <c r="M111" i="13"/>
  <c r="N111" i="13" s="1"/>
  <c r="M103" i="13"/>
  <c r="N103" i="13" s="1"/>
  <c r="O87" i="13"/>
  <c r="P87" i="13"/>
  <c r="N87" i="13"/>
  <c r="O90" i="13"/>
  <c r="P90" i="13"/>
  <c r="N90" i="13"/>
  <c r="N92" i="13"/>
  <c r="P92" i="13"/>
  <c r="O92" i="13"/>
  <c r="P88" i="13"/>
  <c r="O88" i="13"/>
  <c r="N88" i="13"/>
  <c r="O91" i="13"/>
  <c r="N91" i="13"/>
  <c r="P91" i="13"/>
  <c r="O86" i="13"/>
  <c r="P86" i="13"/>
  <c r="N86" i="13"/>
  <c r="N89" i="13"/>
  <c r="P89" i="13"/>
  <c r="O89" i="13"/>
  <c r="O85" i="13"/>
  <c r="N85" i="13"/>
  <c r="P85" i="13"/>
  <c r="J91" i="13"/>
  <c r="J90" i="13"/>
  <c r="J87" i="13"/>
  <c r="J86" i="13"/>
  <c r="J85" i="13"/>
  <c r="N62" i="13"/>
  <c r="N58" i="13"/>
  <c r="N54" i="13"/>
  <c r="N29" i="13"/>
  <c r="N15" i="13"/>
  <c r="N11" i="13"/>
  <c r="N109" i="13"/>
  <c r="O69" i="13"/>
  <c r="N68" i="13"/>
  <c r="O62" i="13"/>
  <c r="N61" i="13"/>
  <c r="O58" i="13"/>
  <c r="N57" i="13"/>
  <c r="O54" i="13"/>
  <c r="N53" i="13"/>
  <c r="O48" i="13"/>
  <c r="N47" i="13"/>
  <c r="O39" i="13"/>
  <c r="N38" i="13"/>
  <c r="O29" i="13"/>
  <c r="N28" i="13"/>
  <c r="H28" i="13"/>
  <c r="N27" i="13"/>
  <c r="H27" i="13"/>
  <c r="N26" i="13"/>
  <c r="O15" i="13"/>
  <c r="N14" i="13"/>
  <c r="O11" i="13"/>
  <c r="H109" i="13"/>
  <c r="J92" i="13"/>
  <c r="J89" i="13"/>
  <c r="J88" i="13"/>
  <c r="N69" i="13"/>
  <c r="N48" i="13"/>
  <c r="N39" i="13"/>
  <c r="L114" i="13" l="1"/>
  <c r="L150" i="13" s="1"/>
  <c r="H114" i="13"/>
  <c r="H150" i="13" s="1"/>
  <c r="O107" i="13"/>
  <c r="N79" i="13"/>
  <c r="O79" i="13"/>
  <c r="N78" i="13"/>
  <c r="N107" i="13"/>
  <c r="N101" i="13"/>
  <c r="P101" i="13"/>
  <c r="N102" i="13"/>
  <c r="N76" i="13"/>
  <c r="O80" i="13"/>
  <c r="P102" i="13"/>
  <c r="O76" i="13"/>
  <c r="O108" i="13"/>
  <c r="P110" i="13"/>
  <c r="O78" i="13"/>
  <c r="P104" i="13"/>
  <c r="O104" i="13"/>
  <c r="N77" i="13"/>
  <c r="N81" i="13"/>
  <c r="J114" i="13"/>
  <c r="J150" i="13" s="1"/>
  <c r="N108" i="13"/>
  <c r="O77" i="13"/>
  <c r="O81" i="13"/>
  <c r="N110" i="13"/>
  <c r="N80" i="13"/>
  <c r="O111" i="13"/>
  <c r="P111" i="13"/>
  <c r="O100" i="13"/>
  <c r="P100" i="13"/>
  <c r="O103" i="13"/>
  <c r="P103" i="13"/>
  <c r="O112" i="13"/>
  <c r="P112" i="13"/>
  <c r="V137" i="72" l="1"/>
  <c r="AA137" i="72" s="1"/>
  <c r="V136" i="72"/>
  <c r="AA136" i="72" s="1"/>
  <c r="L7" i="23"/>
  <c r="O7" i="23" s="1"/>
  <c r="L6" i="23"/>
  <c r="O6" i="23" s="1"/>
  <c r="L8" i="23"/>
  <c r="O8" i="23" s="1"/>
  <c r="L9" i="23" l="1"/>
  <c r="O9" i="23" s="1"/>
  <c r="X137" i="72"/>
  <c r="AC137" i="72" s="1"/>
  <c r="X136" i="72"/>
  <c r="AC136" i="72" s="1"/>
  <c r="K12" i="23"/>
  <c r="N12" i="23" s="1"/>
  <c r="M8" i="23"/>
  <c r="Q8" i="23" s="1"/>
  <c r="L5" i="23"/>
  <c r="M9" i="23" l="1"/>
  <c r="Q9" i="23" s="1"/>
  <c r="Q46" i="5"/>
  <c r="N46" i="5"/>
  <c r="O46" i="5" s="1"/>
  <c r="P46" i="5" s="1"/>
  <c r="N47" i="5"/>
  <c r="O47" i="5" s="1"/>
  <c r="P47" i="5" s="1"/>
  <c r="N48" i="5"/>
  <c r="N49" i="5"/>
  <c r="N50" i="5"/>
  <c r="O50" i="5" s="1"/>
  <c r="P50" i="5" s="1"/>
  <c r="N51" i="5"/>
  <c r="O51" i="5" s="1"/>
  <c r="P51" i="5" s="1"/>
  <c r="N52" i="5"/>
  <c r="N53" i="5"/>
  <c r="N54" i="5"/>
  <c r="O54" i="5" s="1"/>
  <c r="P54" i="5" s="1"/>
  <c r="N55" i="5"/>
  <c r="O55" i="5" s="1"/>
  <c r="P55" i="5" s="1"/>
  <c r="N56" i="5"/>
  <c r="N57" i="5"/>
  <c r="N58" i="5"/>
  <c r="O58" i="5" s="1"/>
  <c r="P58" i="5" s="1"/>
  <c r="L15" i="5" s="1"/>
  <c r="L19" i="5" s="1"/>
  <c r="N59" i="5"/>
  <c r="O59" i="5" s="1"/>
  <c r="P59" i="5" s="1"/>
  <c r="N60" i="5"/>
  <c r="N61" i="5"/>
  <c r="N62" i="5"/>
  <c r="O62" i="5" s="1"/>
  <c r="P62" i="5" s="1"/>
  <c r="N63" i="5"/>
  <c r="O63" i="5" s="1"/>
  <c r="P63" i="5" s="1"/>
  <c r="N45" i="5"/>
  <c r="P21" i="23" l="1"/>
  <c r="S21" i="23" s="1"/>
  <c r="P26" i="23"/>
  <c r="S26" i="23" s="1"/>
  <c r="P31" i="23"/>
  <c r="S31" i="23" s="1"/>
  <c r="P55" i="23"/>
  <c r="S55" i="23" s="1"/>
  <c r="P18" i="23"/>
  <c r="S18" i="23" s="1"/>
  <c r="P22" i="23"/>
  <c r="S22" i="23" s="1"/>
  <c r="P27" i="23"/>
  <c r="S27" i="23" s="1"/>
  <c r="P32" i="23"/>
  <c r="S32" i="23" s="1"/>
  <c r="P56" i="23"/>
  <c r="S56" i="23" s="1"/>
  <c r="P19" i="23"/>
  <c r="S19" i="23" s="1"/>
  <c r="P24" i="23"/>
  <c r="S24" i="23" s="1"/>
  <c r="P28" i="23"/>
  <c r="S28" i="23" s="1"/>
  <c r="P33" i="23"/>
  <c r="S33" i="23" s="1"/>
  <c r="P57" i="23"/>
  <c r="S57" i="23" s="1"/>
  <c r="P20" i="23"/>
  <c r="S20" i="23" s="1"/>
  <c r="P25" i="23"/>
  <c r="S25" i="23" s="1"/>
  <c r="P30" i="23"/>
  <c r="S30" i="23" s="1"/>
  <c r="P48" i="23"/>
  <c r="S48" i="23" s="1"/>
  <c r="P58" i="23"/>
  <c r="S58" i="23" s="1"/>
  <c r="P65" i="23"/>
  <c r="P67" i="23"/>
  <c r="S67" i="23" s="1"/>
  <c r="P66" i="23"/>
  <c r="S66" i="23" s="1"/>
  <c r="P13" i="23"/>
  <c r="S13" i="23" s="1"/>
  <c r="P46" i="23"/>
  <c r="S46" i="23" s="1"/>
  <c r="P52" i="23"/>
  <c r="S52" i="23" s="1"/>
  <c r="P51" i="23"/>
  <c r="S51" i="23" s="1"/>
  <c r="R51" i="23" s="1"/>
  <c r="P53" i="23"/>
  <c r="S53" i="23" s="1"/>
  <c r="P63" i="23"/>
  <c r="S63" i="23" s="1"/>
  <c r="P62" i="23"/>
  <c r="S62" i="23" s="1"/>
  <c r="P61" i="23"/>
  <c r="S61" i="23" s="1"/>
  <c r="P45" i="23"/>
  <c r="S45" i="23" s="1"/>
  <c r="P38" i="23"/>
  <c r="S38" i="23" s="1"/>
  <c r="P29" i="23"/>
  <c r="S29" i="23" s="1"/>
  <c r="P70" i="23"/>
  <c r="S70" i="23" s="1"/>
  <c r="P15" i="23"/>
  <c r="S15" i="23" s="1"/>
  <c r="P23" i="23"/>
  <c r="S23" i="23" s="1"/>
  <c r="P14" i="23"/>
  <c r="P17" i="23"/>
  <c r="S17" i="23" s="1"/>
  <c r="P40" i="23"/>
  <c r="S40" i="23" s="1"/>
  <c r="P41" i="23"/>
  <c r="S41" i="23" s="1"/>
  <c r="P37" i="23"/>
  <c r="S37" i="23" s="1"/>
  <c r="P42" i="23"/>
  <c r="S42" i="23" s="1"/>
  <c r="P35" i="23"/>
  <c r="S35" i="23" s="1"/>
  <c r="P43" i="23"/>
  <c r="S43" i="23" s="1"/>
  <c r="P16" i="23"/>
  <c r="S16" i="23" s="1"/>
  <c r="P44" i="23"/>
  <c r="S44" i="23" s="1"/>
  <c r="P34" i="23"/>
  <c r="S34" i="23" s="1"/>
  <c r="P36" i="23"/>
  <c r="S36" i="23" s="1"/>
  <c r="P69" i="23"/>
  <c r="S69" i="23" s="1"/>
  <c r="P64" i="23"/>
  <c r="S64" i="23" s="1"/>
  <c r="P59" i="23"/>
  <c r="S59" i="23" s="1"/>
  <c r="P11" i="23"/>
  <c r="S11" i="23" s="1"/>
  <c r="P49" i="23"/>
  <c r="S49" i="23" s="1"/>
  <c r="P47" i="23"/>
  <c r="S47" i="23" s="1"/>
  <c r="P50" i="23"/>
  <c r="S50" i="23" s="1"/>
  <c r="P60" i="23"/>
  <c r="S60" i="23" s="1"/>
  <c r="P54" i="23"/>
  <c r="S54" i="23" s="1"/>
  <c r="P10" i="23"/>
  <c r="S10" i="23" s="1"/>
  <c r="P12" i="23"/>
  <c r="S12" i="23" s="1"/>
  <c r="O45" i="5"/>
  <c r="P45" i="5" s="1"/>
  <c r="O60" i="5"/>
  <c r="P60" i="5" s="1"/>
  <c r="O56" i="5"/>
  <c r="P56" i="5" s="1"/>
  <c r="O52" i="5"/>
  <c r="P52" i="5" s="1"/>
  <c r="O48" i="5"/>
  <c r="P48" i="5" s="1"/>
  <c r="O61" i="5"/>
  <c r="P61" i="5" s="1"/>
  <c r="O57" i="5"/>
  <c r="P57" i="5" s="1"/>
  <c r="O53" i="5"/>
  <c r="P53" i="5" s="1"/>
  <c r="O49" i="5"/>
  <c r="P49" i="5" s="1"/>
  <c r="X51" i="23" l="1"/>
  <c r="T51" i="23"/>
  <c r="V51" i="23"/>
  <c r="T10" i="23"/>
  <c r="V10" i="23"/>
  <c r="R10" i="23"/>
  <c r="X10" i="23"/>
  <c r="T47" i="23"/>
  <c r="R47" i="23"/>
  <c r="V47" i="23"/>
  <c r="X47" i="23"/>
  <c r="R64" i="23"/>
  <c r="AE59" i="23" s="1"/>
  <c r="T64" i="23"/>
  <c r="X64" i="23"/>
  <c r="V64" i="23"/>
  <c r="R44" i="23"/>
  <c r="T44" i="23"/>
  <c r="X44" i="23"/>
  <c r="V44" i="23"/>
  <c r="R42" i="23"/>
  <c r="T42" i="23"/>
  <c r="V42" i="23"/>
  <c r="R41" i="23"/>
  <c r="X41" i="23"/>
  <c r="T41" i="23"/>
  <c r="V41" i="23"/>
  <c r="V23" i="23"/>
  <c r="X23" i="23"/>
  <c r="T23" i="23"/>
  <c r="R23" i="23"/>
  <c r="T15" i="23"/>
  <c r="V15" i="23"/>
  <c r="R15" i="23"/>
  <c r="X15" i="23"/>
  <c r="X38" i="23"/>
  <c r="V38" i="23"/>
  <c r="T38" i="23"/>
  <c r="R38" i="23"/>
  <c r="T62" i="23"/>
  <c r="V62" i="23"/>
  <c r="R62" i="23"/>
  <c r="X62" i="23"/>
  <c r="T63" i="23"/>
  <c r="V63" i="23"/>
  <c r="R66" i="23"/>
  <c r="AE61" i="23" s="1"/>
  <c r="T66" i="23"/>
  <c r="X66" i="23"/>
  <c r="V66" i="23"/>
  <c r="V25" i="23"/>
  <c r="T25" i="23"/>
  <c r="V28" i="23"/>
  <c r="T28" i="23"/>
  <c r="V32" i="23"/>
  <c r="T32" i="23"/>
  <c r="V55" i="23"/>
  <c r="T55" i="23"/>
  <c r="V54" i="23"/>
  <c r="T54" i="23"/>
  <c r="X54" i="23"/>
  <c r="R54" i="23"/>
  <c r="T49" i="23"/>
  <c r="X49" i="23"/>
  <c r="R49" i="23"/>
  <c r="V49" i="23"/>
  <c r="T69" i="23"/>
  <c r="R69" i="23"/>
  <c r="X69" i="23"/>
  <c r="V69" i="23"/>
  <c r="T16" i="23"/>
  <c r="R16" i="23"/>
  <c r="V16" i="23"/>
  <c r="X16" i="23"/>
  <c r="R40" i="23"/>
  <c r="V40" i="23"/>
  <c r="T40" i="23"/>
  <c r="X45" i="23"/>
  <c r="T45" i="23"/>
  <c r="V45" i="23"/>
  <c r="R45" i="23"/>
  <c r="T53" i="23"/>
  <c r="X53" i="23"/>
  <c r="R53" i="23"/>
  <c r="V53" i="23"/>
  <c r="T52" i="23"/>
  <c r="R52" i="23"/>
  <c r="X52" i="23"/>
  <c r="V52" i="23"/>
  <c r="T67" i="23"/>
  <c r="R67" i="23"/>
  <c r="AE62" i="23" s="1"/>
  <c r="V67" i="23"/>
  <c r="X67" i="23"/>
  <c r="V58" i="23"/>
  <c r="T58" i="23"/>
  <c r="V20" i="23"/>
  <c r="T20" i="23"/>
  <c r="V24" i="23"/>
  <c r="T24" i="23"/>
  <c r="V27" i="23"/>
  <c r="T27" i="23"/>
  <c r="V31" i="23"/>
  <c r="T31" i="23"/>
  <c r="T60" i="23"/>
  <c r="R60" i="23"/>
  <c r="V60" i="23"/>
  <c r="X60" i="23"/>
  <c r="V11" i="23"/>
  <c r="X11" i="23"/>
  <c r="T11" i="23"/>
  <c r="R11" i="23"/>
  <c r="R36" i="23"/>
  <c r="T36" i="23"/>
  <c r="V36" i="23"/>
  <c r="R43" i="23"/>
  <c r="T43" i="23"/>
  <c r="V43" i="23"/>
  <c r="V17" i="23"/>
  <c r="T17" i="23"/>
  <c r="R17" i="23"/>
  <c r="X17" i="23"/>
  <c r="R70" i="23"/>
  <c r="T70" i="23"/>
  <c r="X70" i="23"/>
  <c r="V70" i="23"/>
  <c r="V46" i="23"/>
  <c r="R46" i="23"/>
  <c r="T46" i="23"/>
  <c r="V48" i="23"/>
  <c r="T48" i="23"/>
  <c r="R48" i="23"/>
  <c r="V57" i="23"/>
  <c r="T57" i="23"/>
  <c r="V19" i="23"/>
  <c r="T19" i="23"/>
  <c r="V22" i="23"/>
  <c r="T22" i="23"/>
  <c r="V26" i="23"/>
  <c r="T26" i="23"/>
  <c r="T50" i="23"/>
  <c r="R50" i="23"/>
  <c r="X50" i="23"/>
  <c r="V50" i="23"/>
  <c r="T59" i="23"/>
  <c r="R59" i="23"/>
  <c r="V59" i="23"/>
  <c r="X59" i="23"/>
  <c r="V34" i="23"/>
  <c r="T34" i="23"/>
  <c r="R34" i="23"/>
  <c r="X34" i="23"/>
  <c r="R35" i="23"/>
  <c r="V35" i="23"/>
  <c r="T35" i="23"/>
  <c r="T37" i="23"/>
  <c r="R37" i="23"/>
  <c r="V37" i="23"/>
  <c r="X37" i="23"/>
  <c r="T29" i="23"/>
  <c r="V29" i="23"/>
  <c r="X29" i="23"/>
  <c r="R29" i="23"/>
  <c r="T61" i="23"/>
  <c r="R61" i="23"/>
  <c r="X61" i="23"/>
  <c r="V61" i="23"/>
  <c r="V13" i="23"/>
  <c r="T13" i="23"/>
  <c r="R13" i="23"/>
  <c r="V30" i="23"/>
  <c r="T30" i="23"/>
  <c r="V33" i="23"/>
  <c r="T33" i="23"/>
  <c r="V56" i="23"/>
  <c r="T56" i="23"/>
  <c r="V18" i="23"/>
  <c r="T18" i="23"/>
  <c r="V21" i="23"/>
  <c r="T21" i="23"/>
  <c r="M5" i="23"/>
  <c r="T12" i="23"/>
  <c r="R12" i="23"/>
  <c r="V12" i="23"/>
  <c r="X12" i="23"/>
  <c r="Z99" i="23"/>
  <c r="R14" i="23" l="1"/>
  <c r="S14" i="23" s="1"/>
  <c r="M139" i="20" l="1"/>
  <c r="N139" i="20" s="1"/>
  <c r="M593" i="20"/>
  <c r="N593" i="20" s="1"/>
  <c r="M581" i="20"/>
  <c r="N581" i="20" s="1"/>
  <c r="M769" i="20"/>
  <c r="N769" i="20" s="1"/>
  <c r="M655" i="20"/>
  <c r="N655" i="20" s="1"/>
  <c r="M226" i="20"/>
  <c r="N226" i="20" s="1"/>
  <c r="M273" i="20"/>
  <c r="N273" i="20" s="1"/>
  <c r="M765" i="20"/>
  <c r="N765" i="20" s="1"/>
  <c r="M770" i="20"/>
  <c r="N770" i="20" s="1"/>
  <c r="M601" i="20"/>
  <c r="N601" i="20" s="1"/>
  <c r="M281" i="20"/>
  <c r="N281" i="20" s="1"/>
  <c r="M579" i="20"/>
  <c r="N579" i="20" s="1"/>
  <c r="M220" i="20"/>
  <c r="N220" i="20" s="1"/>
  <c r="M241" i="20"/>
  <c r="N241" i="20" s="1"/>
  <c r="M856" i="20"/>
  <c r="N856" i="20" s="1"/>
  <c r="M588" i="20"/>
  <c r="N588" i="20" s="1"/>
  <c r="M858" i="20"/>
  <c r="N858" i="20" s="1"/>
  <c r="M617" i="20"/>
  <c r="N617" i="20" s="1"/>
  <c r="M228" i="20"/>
  <c r="N228" i="20" s="1"/>
  <c r="M580" i="20"/>
  <c r="N580" i="20" s="1"/>
  <c r="M604" i="20"/>
  <c r="N604" i="20" s="1"/>
  <c r="M283" i="20"/>
  <c r="N283" i="20" s="1"/>
  <c r="M592" i="20"/>
  <c r="N592" i="20" s="1"/>
  <c r="M106" i="20"/>
  <c r="N106" i="20" s="1"/>
  <c r="M857" i="20"/>
  <c r="N857" i="20" s="1"/>
  <c r="M598" i="20"/>
  <c r="N598" i="20" s="1"/>
  <c r="M223" i="20"/>
  <c r="N223" i="20" s="1"/>
  <c r="M768" i="20"/>
  <c r="N768" i="20" s="1"/>
  <c r="M615" i="20"/>
  <c r="N615" i="20" s="1"/>
  <c r="M599" i="20"/>
  <c r="N599" i="20" s="1"/>
  <c r="M246" i="20"/>
  <c r="N246" i="20" s="1"/>
  <c r="M352" i="20"/>
  <c r="N352" i="20" s="1"/>
  <c r="M70" i="20"/>
  <c r="N70" i="20" s="1"/>
  <c r="M462" i="20"/>
  <c r="N462" i="20" s="1"/>
  <c r="M63" i="20"/>
  <c r="N63" i="20" s="1"/>
  <c r="M869" i="20"/>
  <c r="N869" i="20" s="1"/>
  <c r="M457" i="20"/>
  <c r="N457" i="20" s="1"/>
  <c r="M66" i="20"/>
  <c r="N66" i="20" s="1"/>
  <c r="M447" i="20"/>
  <c r="N447" i="20" s="1"/>
  <c r="M391" i="20"/>
  <c r="N391" i="20" s="1"/>
  <c r="M849" i="20"/>
  <c r="N849" i="20" s="1"/>
  <c r="M437" i="20"/>
  <c r="N437" i="20" s="1"/>
  <c r="M67" i="20"/>
  <c r="N67" i="20" s="1"/>
  <c r="M367" i="20"/>
  <c r="N367" i="20" s="1"/>
  <c r="M343" i="20"/>
  <c r="N343" i="20" s="1"/>
  <c r="M783" i="20"/>
  <c r="N783" i="20" s="1"/>
  <c r="M829" i="20"/>
  <c r="N829" i="20" s="1"/>
  <c r="M466" i="20"/>
  <c r="N466" i="20" s="1"/>
  <c r="M394" i="20"/>
  <c r="N394" i="20" s="1"/>
  <c r="M459" i="20"/>
  <c r="N459" i="20" s="1"/>
  <c r="M41" i="20"/>
  <c r="N41" i="20" s="1"/>
  <c r="M50" i="20"/>
  <c r="N50" i="20" s="1"/>
  <c r="M374" i="20"/>
  <c r="N374" i="20" s="1"/>
  <c r="M727" i="20"/>
  <c r="N727" i="20" s="1"/>
  <c r="M64" i="20"/>
  <c r="N64" i="20" s="1"/>
  <c r="M378" i="20"/>
  <c r="N378" i="20" s="1"/>
  <c r="M735" i="20"/>
  <c r="N735" i="20" s="1"/>
  <c r="M422" i="20"/>
  <c r="N422" i="20" s="1"/>
  <c r="M360" i="20"/>
  <c r="N360" i="20" s="1"/>
  <c r="M731" i="20"/>
  <c r="N731" i="20" s="1"/>
  <c r="M397" i="20"/>
  <c r="N397" i="20" s="1"/>
  <c r="M115" i="20"/>
  <c r="N115" i="20" s="1"/>
  <c r="M818" i="20"/>
  <c r="N818" i="20" s="1"/>
  <c r="M488" i="20"/>
  <c r="N488" i="20" s="1"/>
  <c r="M341" i="20"/>
  <c r="N341" i="20" s="1"/>
  <c r="M868" i="20"/>
  <c r="N868" i="20" s="1"/>
  <c r="M362" i="20"/>
  <c r="N362" i="20" s="1"/>
  <c r="M386" i="20"/>
  <c r="N386" i="20" s="1"/>
  <c r="M195" i="20"/>
  <c r="N195" i="20" s="1"/>
  <c r="M336" i="20"/>
  <c r="N336" i="20" s="1"/>
  <c r="M384" i="20"/>
  <c r="N384" i="20" s="1"/>
  <c r="M786" i="20"/>
  <c r="N786" i="20" s="1"/>
  <c r="M465" i="20"/>
  <c r="N465" i="20" s="1"/>
  <c r="M353" i="20"/>
  <c r="N353" i="20" s="1"/>
  <c r="M347" i="20"/>
  <c r="N347" i="20" s="1"/>
  <c r="M811" i="20"/>
  <c r="N811" i="20" s="1"/>
  <c r="M335" i="20"/>
  <c r="N335" i="20" s="1"/>
  <c r="M114" i="20"/>
  <c r="N114" i="20" s="1"/>
  <c r="M789" i="20"/>
  <c r="N789" i="20" s="1"/>
  <c r="M375" i="20"/>
  <c r="N375" i="20" s="1"/>
  <c r="M52" i="20"/>
  <c r="N52" i="20" s="1"/>
  <c r="M37" i="20"/>
  <c r="N37" i="20" s="1"/>
  <c r="M402" i="20"/>
  <c r="N402" i="20" s="1"/>
  <c r="M717" i="20"/>
  <c r="N717" i="20" s="1"/>
  <c r="M469" i="20"/>
  <c r="N469" i="20" s="1"/>
  <c r="M711" i="20"/>
  <c r="N711" i="20" s="1"/>
  <c r="M742" i="20"/>
  <c r="N742" i="20" s="1"/>
  <c r="M439" i="20"/>
  <c r="N439" i="20" s="1"/>
  <c r="M474" i="20"/>
  <c r="N474" i="20" s="1"/>
  <c r="M327" i="20"/>
  <c r="N327" i="20" s="1"/>
  <c r="M713" i="20"/>
  <c r="N713" i="20" s="1"/>
  <c r="M757" i="20"/>
  <c r="N757" i="20" s="1"/>
  <c r="M871" i="20"/>
  <c r="N871" i="20" s="1"/>
  <c r="M723" i="20"/>
  <c r="N723" i="20" s="1"/>
  <c r="M710" i="20"/>
  <c r="N710" i="20" s="1"/>
  <c r="M18" i="20"/>
  <c r="N18" i="20" s="1"/>
  <c r="M823" i="20"/>
  <c r="N823" i="20" s="1"/>
  <c r="M863" i="20"/>
  <c r="N863" i="20" s="1"/>
  <c r="M90" i="20"/>
  <c r="N90" i="20" s="1"/>
  <c r="M61" i="20"/>
  <c r="N61" i="20" s="1"/>
  <c r="M781" i="20"/>
  <c r="N781" i="20" s="1"/>
  <c r="M403" i="20"/>
  <c r="N403" i="20" s="1"/>
  <c r="M751" i="20"/>
  <c r="N751" i="20" s="1"/>
  <c r="M760" i="20"/>
  <c r="N760" i="20" s="1"/>
  <c r="M326" i="20"/>
  <c r="N326" i="20" s="1"/>
  <c r="M867" i="20"/>
  <c r="N867" i="20" s="1"/>
  <c r="M480" i="20"/>
  <c r="N480" i="20" s="1"/>
  <c r="M477" i="20"/>
  <c r="N477" i="20" s="1"/>
  <c r="M777" i="20"/>
  <c r="N777" i="20" s="1"/>
  <c r="M754" i="20"/>
  <c r="N754" i="20" s="1"/>
  <c r="M755" i="20"/>
  <c r="N755" i="20" s="1"/>
  <c r="M436" i="20"/>
  <c r="N436" i="20" s="1"/>
  <c r="M837" i="20"/>
  <c r="N837" i="20" s="1"/>
  <c r="M408" i="20"/>
  <c r="N408" i="20" s="1"/>
  <c r="M16" i="20"/>
  <c r="N16" i="20" s="1"/>
  <c r="M83" i="20"/>
  <c r="N83" i="20" s="1"/>
  <c r="M430" i="20"/>
  <c r="N430" i="20" s="1"/>
  <c r="M720" i="20"/>
  <c r="N720" i="20" s="1"/>
  <c r="M27" i="20"/>
  <c r="N27" i="20" s="1"/>
  <c r="M434" i="20"/>
  <c r="N434" i="20" s="1"/>
  <c r="M808" i="20"/>
  <c r="N808" i="20" s="1"/>
  <c r="M835" i="20"/>
  <c r="N835" i="20" s="1"/>
  <c r="M748" i="20"/>
  <c r="N748" i="20" s="1"/>
  <c r="M443" i="20"/>
  <c r="N443" i="20" s="1"/>
  <c r="M15" i="20"/>
  <c r="N15" i="20" s="1"/>
  <c r="M39" i="20"/>
  <c r="N39" i="20" s="1"/>
  <c r="M500" i="20"/>
  <c r="N500" i="20" s="1"/>
  <c r="M98" i="20"/>
  <c r="N98" i="20" s="1"/>
  <c r="M95" i="20"/>
  <c r="N95" i="20" s="1"/>
  <c r="M497" i="20"/>
  <c r="N497" i="20" s="1"/>
  <c r="M120" i="20"/>
  <c r="N120" i="20" s="1"/>
  <c r="M482" i="20"/>
  <c r="N482" i="20" s="1"/>
  <c r="M314" i="20"/>
  <c r="N314" i="20" s="1"/>
  <c r="M662" i="20"/>
  <c r="N662" i="20" s="1"/>
  <c r="M562" i="20"/>
  <c r="N562" i="20" s="1"/>
  <c r="M793" i="20"/>
  <c r="N793" i="20" s="1"/>
  <c r="M559" i="20"/>
  <c r="N559" i="20" s="1"/>
  <c r="M501" i="20"/>
  <c r="N501" i="20" s="1"/>
  <c r="M522" i="20"/>
  <c r="N522" i="20" s="1"/>
  <c r="M700" i="20"/>
  <c r="N700" i="20" s="1"/>
  <c r="M669" i="20"/>
  <c r="N669" i="20" s="1"/>
  <c r="M519" i="20"/>
  <c r="N519" i="20" s="1"/>
  <c r="M260" i="20"/>
  <c r="N260" i="20" s="1"/>
  <c r="M536" i="20"/>
  <c r="N536" i="20" s="1"/>
  <c r="M301" i="20"/>
  <c r="N301" i="20" s="1"/>
  <c r="M702" i="20"/>
  <c r="N702" i="20" s="1"/>
  <c r="M240" i="20"/>
  <c r="N240" i="20" s="1"/>
  <c r="M313" i="20"/>
  <c r="N313" i="20" s="1"/>
  <c r="M610" i="20"/>
  <c r="N610" i="20" s="1"/>
  <c r="M644" i="20"/>
  <c r="N644" i="20" s="1"/>
  <c r="M308" i="20"/>
  <c r="N308" i="20" s="1"/>
  <c r="M264" i="20"/>
  <c r="N264" i="20" s="1"/>
  <c r="M299" i="20"/>
  <c r="N299" i="20" s="1"/>
  <c r="M672" i="20"/>
  <c r="N672" i="20" s="1"/>
  <c r="M532" i="20"/>
  <c r="N532" i="20" s="1"/>
  <c r="M289" i="20"/>
  <c r="N289" i="20" s="1"/>
  <c r="M698" i="20"/>
  <c r="N698" i="20" s="1"/>
  <c r="M208" i="20"/>
  <c r="N208" i="20" s="1"/>
  <c r="M265" i="20"/>
  <c r="N265" i="20" s="1"/>
  <c r="M546" i="20"/>
  <c r="N546" i="20" s="1"/>
  <c r="M560" i="20"/>
  <c r="N560" i="20" s="1"/>
  <c r="M210" i="20"/>
  <c r="N210" i="20" s="1"/>
  <c r="M798" i="20"/>
  <c r="N798" i="20" s="1"/>
  <c r="M538" i="20"/>
  <c r="N538" i="20" s="1"/>
  <c r="M524" i="20"/>
  <c r="N524" i="20" s="1"/>
  <c r="M683" i="20"/>
  <c r="N683" i="20" s="1"/>
  <c r="M642" i="20"/>
  <c r="N642" i="20" s="1"/>
  <c r="M196" i="20"/>
  <c r="N196" i="20" s="1"/>
  <c r="M211" i="20"/>
  <c r="N211" i="20" s="1"/>
  <c r="M542" i="20"/>
  <c r="N542" i="20" s="1"/>
  <c r="M552" i="20"/>
  <c r="N552" i="20" s="1"/>
  <c r="M257" i="20"/>
  <c r="N257" i="20" s="1"/>
  <c r="M682" i="20"/>
  <c r="N682" i="20" s="1"/>
  <c r="M535" i="20"/>
  <c r="N535" i="20" s="1"/>
  <c r="M309" i="20"/>
  <c r="N309" i="20" s="1"/>
  <c r="M284" i="20"/>
  <c r="N284" i="20" s="1"/>
  <c r="M651" i="20"/>
  <c r="N651" i="20" s="1"/>
  <c r="M582" i="20"/>
  <c r="N582" i="20" s="1"/>
  <c r="M285" i="20"/>
  <c r="N285" i="20" s="1"/>
  <c r="M508" i="20"/>
  <c r="N508" i="20" s="1"/>
  <c r="M855" i="20"/>
  <c r="N855" i="20" s="1"/>
  <c r="M764" i="20"/>
  <c r="N764" i="20" s="1"/>
  <c r="M573" i="20"/>
  <c r="N573" i="20" s="1"/>
  <c r="M861" i="20"/>
  <c r="N861" i="20" s="1"/>
  <c r="M237" i="20"/>
  <c r="N237" i="20" s="1"/>
  <c r="M282" i="20"/>
  <c r="N282" i="20" s="1"/>
  <c r="M225" i="20"/>
  <c r="N225" i="20" s="1"/>
  <c r="M274" i="20"/>
  <c r="N274" i="20" s="1"/>
  <c r="M596" i="20"/>
  <c r="N596" i="20" s="1"/>
  <c r="M108" i="20"/>
  <c r="N108" i="20" s="1"/>
  <c r="M507" i="20"/>
  <c r="N507" i="20" s="1"/>
  <c r="M862" i="20"/>
  <c r="N862" i="20" s="1"/>
  <c r="M242" i="20"/>
  <c r="N242" i="20" s="1"/>
  <c r="M594" i="20"/>
  <c r="N594" i="20" s="1"/>
  <c r="M590" i="20"/>
  <c r="N590" i="20" s="1"/>
  <c r="M229" i="20"/>
  <c r="N229" i="20" s="1"/>
  <c r="M224" i="20"/>
  <c r="N224" i="20" s="1"/>
  <c r="M654" i="20"/>
  <c r="N654" i="20" s="1"/>
  <c r="M577" i="20"/>
  <c r="N577" i="20" s="1"/>
  <c r="M859" i="20"/>
  <c r="N859" i="20" s="1"/>
  <c r="M772" i="20"/>
  <c r="N772" i="20" s="1"/>
  <c r="M591" i="20"/>
  <c r="N591" i="20" s="1"/>
  <c r="M653" i="20"/>
  <c r="N653" i="20" s="1"/>
  <c r="M310" i="20"/>
  <c r="N310" i="20" s="1"/>
  <c r="M460" i="20"/>
  <c r="N460" i="20" s="1"/>
  <c r="M412" i="20"/>
  <c r="N412" i="20" s="1"/>
  <c r="M449" i="20"/>
  <c r="N449" i="20" s="1"/>
  <c r="M451" i="20"/>
  <c r="N451" i="20" s="1"/>
  <c r="M77" i="20"/>
  <c r="N77" i="20" s="1"/>
  <c r="M746" i="20"/>
  <c r="N746" i="20" s="1"/>
  <c r="M414" i="20"/>
  <c r="N414" i="20" s="1"/>
  <c r="M385" i="20"/>
  <c r="N385" i="20" s="1"/>
  <c r="M334" i="20"/>
  <c r="N334" i="20" s="1"/>
  <c r="M411" i="20"/>
  <c r="N411" i="20" s="1"/>
  <c r="M420" i="20"/>
  <c r="N420" i="20" s="1"/>
  <c r="M373" i="20"/>
  <c r="N373" i="20" s="1"/>
  <c r="M361" i="20"/>
  <c r="N361" i="20" s="1"/>
  <c r="M79" i="20"/>
  <c r="N79" i="20" s="1"/>
  <c r="M355" i="20"/>
  <c r="N355" i="20" s="1"/>
  <c r="M332" i="20"/>
  <c r="N332" i="20" s="1"/>
  <c r="M822" i="20"/>
  <c r="N822" i="20" s="1"/>
  <c r="M333" i="20"/>
  <c r="N333" i="20" s="1"/>
  <c r="M848" i="20"/>
  <c r="N848" i="20" s="1"/>
  <c r="M68" i="20"/>
  <c r="N68" i="20" s="1"/>
  <c r="M43" i="20"/>
  <c r="N43" i="20" s="1"/>
  <c r="M55" i="20"/>
  <c r="N55" i="20" s="1"/>
  <c r="M368" i="20"/>
  <c r="N368" i="20" s="1"/>
  <c r="M356" i="20"/>
  <c r="N356" i="20" s="1"/>
  <c r="M24" i="20"/>
  <c r="N24" i="20" s="1"/>
  <c r="M377" i="20"/>
  <c r="N377" i="20" s="1"/>
  <c r="M393" i="20"/>
  <c r="N393" i="20" s="1"/>
  <c r="M372" i="20"/>
  <c r="N372" i="20" s="1"/>
  <c r="M417" i="20"/>
  <c r="N417" i="20" s="1"/>
  <c r="M342" i="20"/>
  <c r="N342" i="20" s="1"/>
  <c r="M817" i="20"/>
  <c r="N817" i="20" s="1"/>
  <c r="M398" i="20"/>
  <c r="N398" i="20" s="1"/>
  <c r="M448" i="20"/>
  <c r="N448" i="20" s="1"/>
  <c r="M730" i="20"/>
  <c r="N730" i="20" s="1"/>
  <c r="M815" i="20"/>
  <c r="N815" i="20" s="1"/>
  <c r="M366" i="20"/>
  <c r="N366" i="20" s="1"/>
  <c r="M118" i="20"/>
  <c r="N118" i="20" s="1"/>
  <c r="M490" i="20"/>
  <c r="N490" i="20" s="1"/>
  <c r="M57" i="20"/>
  <c r="N57" i="20" s="1"/>
  <c r="M117" i="20"/>
  <c r="N117" i="20" s="1"/>
  <c r="M392" i="20"/>
  <c r="N392" i="20" s="1"/>
  <c r="M344" i="20"/>
  <c r="N344" i="20" s="1"/>
  <c r="M381" i="20"/>
  <c r="N381" i="20" s="1"/>
  <c r="M489" i="20"/>
  <c r="N489" i="20" s="1"/>
  <c r="M390" i="20"/>
  <c r="N390" i="20" s="1"/>
  <c r="M116" i="20"/>
  <c r="N116" i="20" s="1"/>
  <c r="M816" i="20"/>
  <c r="N816" i="20" s="1"/>
  <c r="M350" i="20"/>
  <c r="N350" i="20" s="1"/>
  <c r="M732" i="20"/>
  <c r="N732" i="20" s="1"/>
  <c r="M21" i="20"/>
  <c r="N21" i="20" s="1"/>
  <c r="M359" i="20"/>
  <c r="N359" i="20" s="1"/>
  <c r="M339" i="20"/>
  <c r="N339" i="20" s="1"/>
  <c r="M42" i="20"/>
  <c r="N42" i="20" s="1"/>
  <c r="M53" i="20"/>
  <c r="N53" i="20" s="1"/>
  <c r="M865" i="20"/>
  <c r="N865" i="20" s="1"/>
  <c r="M866" i="20"/>
  <c r="N866" i="20" s="1"/>
  <c r="M828" i="20"/>
  <c r="N828" i="20" s="1"/>
  <c r="M427" i="20"/>
  <c r="N427" i="20" s="1"/>
  <c r="M328" i="20"/>
  <c r="N328" i="20" s="1"/>
  <c r="M478" i="20"/>
  <c r="N478" i="20" s="1"/>
  <c r="M26" i="20"/>
  <c r="N26" i="20" s="1"/>
  <c r="M843" i="20"/>
  <c r="N843" i="20" s="1"/>
  <c r="M718" i="20"/>
  <c r="N718" i="20" s="1"/>
  <c r="M72" i="20"/>
  <c r="N72" i="20" s="1"/>
  <c r="M419" i="20"/>
  <c r="N419" i="20" s="1"/>
  <c r="M841" i="20"/>
  <c r="N841" i="20" s="1"/>
  <c r="M476" i="20"/>
  <c r="N476" i="20" s="1"/>
  <c r="M470" i="20"/>
  <c r="N470" i="20" s="1"/>
  <c r="M840" i="20"/>
  <c r="N840" i="20" s="1"/>
  <c r="M715" i="20"/>
  <c r="N715" i="20" s="1"/>
  <c r="M406" i="20"/>
  <c r="N406" i="20" s="1"/>
  <c r="M35" i="20"/>
  <c r="N35" i="20" s="1"/>
  <c r="M442" i="20"/>
  <c r="N442" i="20" s="1"/>
  <c r="M724" i="20"/>
  <c r="N724" i="20" s="1"/>
  <c r="M404" i="20"/>
  <c r="N404" i="20" s="1"/>
  <c r="M74" i="20"/>
  <c r="N74" i="20" s="1"/>
  <c r="M409" i="20"/>
  <c r="N409" i="20" s="1"/>
  <c r="M475" i="20"/>
  <c r="N475" i="20" s="1"/>
  <c r="M774" i="20"/>
  <c r="N774" i="20" s="1"/>
  <c r="M418" i="20"/>
  <c r="N418" i="20" s="1"/>
  <c r="M87" i="20"/>
  <c r="N87" i="20" s="1"/>
  <c r="M826" i="20"/>
  <c r="N826" i="20" s="1"/>
  <c r="M714" i="20"/>
  <c r="N714" i="20" s="1"/>
  <c r="M747" i="20"/>
  <c r="N747" i="20" s="1"/>
  <c r="M758" i="20"/>
  <c r="N758" i="20" s="1"/>
  <c r="M775" i="20"/>
  <c r="N775" i="20" s="1"/>
  <c r="M847" i="20"/>
  <c r="N847" i="20" s="1"/>
  <c r="M467" i="20"/>
  <c r="N467" i="20" s="1"/>
  <c r="M741" i="20"/>
  <c r="N741" i="20" s="1"/>
  <c r="M423" i="20"/>
  <c r="N423" i="20" s="1"/>
  <c r="M753" i="20"/>
  <c r="N753" i="20" s="1"/>
  <c r="M864" i="20"/>
  <c r="N864" i="20" s="1"/>
  <c r="M58" i="20"/>
  <c r="N58" i="20" s="1"/>
  <c r="M73" i="20"/>
  <c r="N73" i="20" s="1"/>
  <c r="M415" i="20"/>
  <c r="N415" i="20" s="1"/>
  <c r="M410" i="20"/>
  <c r="N410" i="20" s="1"/>
  <c r="M725" i="20"/>
  <c r="N725" i="20" s="1"/>
  <c r="M839" i="20"/>
  <c r="N839" i="20" s="1"/>
  <c r="M49" i="20"/>
  <c r="N49" i="20" s="1"/>
  <c r="M47" i="20"/>
  <c r="N47" i="20" s="1"/>
  <c r="M94" i="20"/>
  <c r="N94" i="20" s="1"/>
  <c r="M105" i="20"/>
  <c r="N105" i="20" s="1"/>
  <c r="M487" i="20"/>
  <c r="N487" i="20" s="1"/>
  <c r="M101" i="20"/>
  <c r="N101" i="20" s="1"/>
  <c r="M483" i="20"/>
  <c r="N483" i="20" s="1"/>
  <c r="M104" i="20"/>
  <c r="N104" i="20" s="1"/>
  <c r="M484" i="20"/>
  <c r="N484" i="20" s="1"/>
  <c r="T14" i="23"/>
  <c r="V14" i="23"/>
  <c r="X14" i="23"/>
  <c r="M671" i="20"/>
  <c r="N671" i="20" s="1"/>
  <c r="M516" i="20"/>
  <c r="N516" i="20" s="1"/>
  <c r="M256" i="20"/>
  <c r="N256" i="20" s="1"/>
  <c r="M502" i="20"/>
  <c r="N502" i="20" s="1"/>
  <c r="M315" i="20"/>
  <c r="N315" i="20" s="1"/>
  <c r="M200" i="20"/>
  <c r="N200" i="20" s="1"/>
  <c r="M643" i="20"/>
  <c r="N643" i="20" s="1"/>
  <c r="M556" i="20"/>
  <c r="N556" i="20" s="1"/>
  <c r="M531" i="20"/>
  <c r="N531" i="20" s="1"/>
  <c r="M565" i="20"/>
  <c r="N565" i="20" s="1"/>
  <c r="M297" i="20"/>
  <c r="N297" i="20" s="1"/>
  <c r="M554" i="20"/>
  <c r="N554" i="20" s="1"/>
  <c r="M694" i="20"/>
  <c r="N694" i="20" s="1"/>
  <c r="M533" i="20"/>
  <c r="N533" i="20" s="1"/>
  <c r="M294" i="20"/>
  <c r="N294" i="20" s="1"/>
  <c r="M207" i="20"/>
  <c r="N207" i="20" s="1"/>
  <c r="M668" i="20"/>
  <c r="N668" i="20" s="1"/>
  <c r="M645" i="20"/>
  <c r="N645" i="20" s="1"/>
  <c r="M292" i="20"/>
  <c r="N292" i="20" s="1"/>
  <c r="M701" i="20"/>
  <c r="N701" i="20" s="1"/>
  <c r="M796" i="20"/>
  <c r="N796" i="20" s="1"/>
  <c r="M558" i="20"/>
  <c r="N558" i="20" s="1"/>
  <c r="M512" i="20"/>
  <c r="N512" i="20" s="1"/>
  <c r="M564" i="20"/>
  <c r="N564" i="20" s="1"/>
  <c r="M525" i="20"/>
  <c r="N525" i="20" s="1"/>
  <c r="M276" i="20"/>
  <c r="N276" i="20" s="1"/>
  <c r="M523" i="20"/>
  <c r="N523" i="20" s="1"/>
  <c r="M640" i="20"/>
  <c r="N640" i="20" s="1"/>
  <c r="M557" i="20"/>
  <c r="N557" i="20" s="1"/>
  <c r="M261" i="20"/>
  <c r="N261" i="20" s="1"/>
  <c r="M661" i="20"/>
  <c r="N661" i="20" s="1"/>
  <c r="M792" i="20"/>
  <c r="N792" i="20" s="1"/>
  <c r="M520" i="20"/>
  <c r="N520" i="20" s="1"/>
  <c r="M293" i="20"/>
  <c r="N293" i="20" s="1"/>
  <c r="M534" i="20"/>
  <c r="N534" i="20" s="1"/>
  <c r="M517" i="20"/>
  <c r="N517" i="20" s="1"/>
  <c r="M212" i="20"/>
  <c r="N212" i="20" s="1"/>
  <c r="M667" i="20"/>
  <c r="N667" i="20" s="1"/>
  <c r="M631" i="20"/>
  <c r="N631" i="20" s="1"/>
  <c r="M511" i="20"/>
  <c r="N511" i="20" s="1"/>
  <c r="M215" i="20"/>
  <c r="N215" i="20" s="1"/>
  <c r="M576" i="20"/>
  <c r="N576" i="20" s="1"/>
  <c r="M853" i="20"/>
  <c r="N853" i="20" s="1"/>
  <c r="M613" i="20"/>
  <c r="N613" i="20" s="1"/>
  <c r="M578" i="20"/>
  <c r="N578" i="20" s="1"/>
  <c r="M603" i="20"/>
  <c r="N603" i="20" s="1"/>
  <c r="M611" i="20"/>
  <c r="N611" i="20" s="1"/>
  <c r="M587" i="20"/>
  <c r="N587" i="20" s="1"/>
  <c r="M233" i="20"/>
  <c r="N233" i="20" s="1"/>
  <c r="M230" i="20"/>
  <c r="N230" i="20" s="1"/>
  <c r="M585" i="20"/>
  <c r="N585" i="20" s="1"/>
  <c r="M252" i="20"/>
  <c r="N252" i="20" s="1"/>
  <c r="M548" i="20"/>
  <c r="N548" i="20" s="1"/>
  <c r="M602" i="20"/>
  <c r="N602" i="20" s="1"/>
  <c r="M634" i="20"/>
  <c r="N634" i="20" s="1"/>
  <c r="M245" i="20"/>
  <c r="N245" i="20" s="1"/>
  <c r="M232" i="20"/>
  <c r="N232" i="20" s="1"/>
  <c r="M767" i="20"/>
  <c r="N767" i="20" s="1"/>
  <c r="M606" i="20"/>
  <c r="N606" i="20" s="1"/>
  <c r="M236" i="20"/>
  <c r="N236" i="20" s="1"/>
  <c r="M123" i="20"/>
  <c r="N123" i="20" s="1"/>
  <c r="M851" i="20"/>
  <c r="N851" i="20" s="1"/>
  <c r="M635" i="20"/>
  <c r="N635" i="20" s="1"/>
  <c r="M616" i="20"/>
  <c r="N616" i="20" s="1"/>
  <c r="M605" i="20"/>
  <c r="N605" i="20" s="1"/>
  <c r="M597" i="20"/>
  <c r="N597" i="20" s="1"/>
  <c r="M509" i="20"/>
  <c r="N509" i="20" s="1"/>
  <c r="M684" i="20"/>
  <c r="N684" i="20" s="1"/>
  <c r="M600" i="20"/>
  <c r="N600" i="20" s="1"/>
  <c r="M286" i="20"/>
  <c r="N286" i="20" s="1"/>
  <c r="M860" i="20"/>
  <c r="N860" i="20" s="1"/>
  <c r="M107" i="20"/>
  <c r="N107" i="20" s="1"/>
  <c r="M788" i="20"/>
  <c r="N788" i="20" s="1"/>
  <c r="M461" i="20"/>
  <c r="N461" i="20" s="1"/>
  <c r="M78" i="20"/>
  <c r="N78" i="20" s="1"/>
  <c r="M745" i="20"/>
  <c r="N745" i="20" s="1"/>
  <c r="M455" i="20"/>
  <c r="N455" i="20" s="1"/>
  <c r="M340" i="20"/>
  <c r="N340" i="20" s="1"/>
  <c r="M785" i="20"/>
  <c r="N785" i="20" s="1"/>
  <c r="M438" i="20"/>
  <c r="N438" i="20" s="1"/>
  <c r="M450" i="20"/>
  <c r="N450" i="20" s="1"/>
  <c r="M784" i="20"/>
  <c r="N784" i="20" s="1"/>
  <c r="M382" i="20"/>
  <c r="N382" i="20" s="1"/>
  <c r="M358" i="20"/>
  <c r="N358" i="20" s="1"/>
  <c r="M431" i="20"/>
  <c r="N431" i="20" s="1"/>
  <c r="M787" i="20"/>
  <c r="N787" i="20" s="1"/>
  <c r="M413" i="20"/>
  <c r="N413" i="20" s="1"/>
  <c r="M346" i="20"/>
  <c r="N346" i="20" s="1"/>
  <c r="M395" i="20"/>
  <c r="N395" i="20" s="1"/>
  <c r="M65" i="20"/>
  <c r="N65" i="20" s="1"/>
  <c r="M40" i="20"/>
  <c r="N40" i="20" s="1"/>
  <c r="M38" i="20"/>
  <c r="N38" i="20" s="1"/>
  <c r="M495" i="20"/>
  <c r="N495" i="20" s="1"/>
  <c r="M320" i="20"/>
  <c r="N320" i="20" s="1"/>
  <c r="M357" i="20"/>
  <c r="N357" i="20" s="1"/>
  <c r="M819" i="20"/>
  <c r="N819" i="20" s="1"/>
  <c r="M734" i="20"/>
  <c r="N734" i="20" s="1"/>
  <c r="M421" i="20"/>
  <c r="N421" i="20" s="1"/>
  <c r="M737" i="20"/>
  <c r="N737" i="20" s="1"/>
  <c r="M454" i="20"/>
  <c r="N454" i="20" s="1"/>
  <c r="M810" i="20"/>
  <c r="N810" i="20" s="1"/>
  <c r="M22" i="20"/>
  <c r="N22" i="20" s="1"/>
  <c r="M348" i="20"/>
  <c r="N348" i="20" s="1"/>
  <c r="M396" i="20"/>
  <c r="N396" i="20" s="1"/>
  <c r="M812" i="20"/>
  <c r="N812" i="20" s="1"/>
  <c r="M494" i="20"/>
  <c r="N494" i="20" s="1"/>
  <c r="M369" i="20"/>
  <c r="N369" i="20" s="1"/>
  <c r="M363" i="20"/>
  <c r="N363" i="20" s="1"/>
  <c r="M733" i="20"/>
  <c r="N733" i="20" s="1"/>
  <c r="M809" i="20"/>
  <c r="N809" i="20" s="1"/>
  <c r="M814" i="20"/>
  <c r="N814" i="20" s="1"/>
  <c r="M445" i="20"/>
  <c r="N445" i="20" s="1"/>
  <c r="M493" i="20"/>
  <c r="N493" i="20" s="1"/>
  <c r="M790" i="20"/>
  <c r="N790" i="20" s="1"/>
  <c r="M383" i="20"/>
  <c r="N383" i="20" s="1"/>
  <c r="M354" i="20"/>
  <c r="N354" i="20" s="1"/>
  <c r="M387" i="20"/>
  <c r="N387" i="20" s="1"/>
  <c r="M19" i="20"/>
  <c r="N19" i="20" s="1"/>
  <c r="M729" i="20"/>
  <c r="N729" i="20" s="1"/>
  <c r="M319" i="20"/>
  <c r="N319" i="20" s="1"/>
  <c r="M113" i="20"/>
  <c r="N113" i="20" s="1"/>
  <c r="M51" i="20"/>
  <c r="N51" i="20" s="1"/>
  <c r="M424" i="20"/>
  <c r="N424" i="20" s="1"/>
  <c r="M400" i="20"/>
  <c r="N400" i="20" s="1"/>
  <c r="M744" i="20"/>
  <c r="N744" i="20" s="1"/>
  <c r="M827" i="20"/>
  <c r="N827" i="20" s="1"/>
  <c r="M738" i="20"/>
  <c r="N738" i="20" s="1"/>
  <c r="M329" i="20"/>
  <c r="N329" i="20" s="1"/>
  <c r="M481" i="20"/>
  <c r="N481" i="20" s="1"/>
  <c r="M84" i="20"/>
  <c r="N84" i="20" s="1"/>
  <c r="M33" i="20"/>
  <c r="N33" i="20" s="1"/>
  <c r="M842" i="20"/>
  <c r="N842" i="20" s="1"/>
  <c r="M30" i="20"/>
  <c r="N30" i="20" s="1"/>
  <c r="M93" i="20"/>
  <c r="N93" i="20" s="1"/>
  <c r="M472" i="20"/>
  <c r="N472" i="20" s="1"/>
  <c r="M444" i="20"/>
  <c r="N444" i="20" s="1"/>
  <c r="M31" i="20"/>
  <c r="N31" i="20" s="1"/>
  <c r="M28" i="20"/>
  <c r="N28" i="20" s="1"/>
  <c r="M773" i="20"/>
  <c r="N773" i="20" s="1"/>
  <c r="M719" i="20"/>
  <c r="N719" i="20" s="1"/>
  <c r="M836" i="20"/>
  <c r="N836" i="20" s="1"/>
  <c r="M92" i="20"/>
  <c r="N92" i="20" s="1"/>
  <c r="M821" i="20"/>
  <c r="N821" i="20" s="1"/>
  <c r="M541" i="20"/>
  <c r="N541" i="20" s="1"/>
  <c r="M740" i="20"/>
  <c r="N740" i="20" s="1"/>
  <c r="M59" i="20"/>
  <c r="N59" i="20" s="1"/>
  <c r="M844" i="20"/>
  <c r="N844" i="20" s="1"/>
  <c r="M468" i="20"/>
  <c r="N468" i="20" s="1"/>
  <c r="M752" i="20"/>
  <c r="N752" i="20" s="1"/>
  <c r="M88" i="20"/>
  <c r="N88" i="20" s="1"/>
  <c r="M846" i="20"/>
  <c r="N846" i="20" s="1"/>
  <c r="M833" i="20"/>
  <c r="N833" i="20" s="1"/>
  <c r="M452" i="20"/>
  <c r="N452" i="20" s="1"/>
  <c r="M440" i="20"/>
  <c r="N440" i="20" s="1"/>
  <c r="M473" i="20"/>
  <c r="N473" i="20" s="1"/>
  <c r="M325" i="20"/>
  <c r="N325" i="20" s="1"/>
  <c r="M453" i="20"/>
  <c r="N453" i="20" s="1"/>
  <c r="M463" i="20"/>
  <c r="N463" i="20" s="1"/>
  <c r="M17" i="20"/>
  <c r="N17" i="20" s="1"/>
  <c r="M407" i="20"/>
  <c r="N407" i="20" s="1"/>
  <c r="M80" i="20"/>
  <c r="N80" i="20" s="1"/>
  <c r="M29" i="20"/>
  <c r="N29" i="20" s="1"/>
  <c r="M25" i="20"/>
  <c r="N25" i="20" s="1"/>
  <c r="M36" i="20"/>
  <c r="N36" i="20" s="1"/>
  <c r="M721" i="20"/>
  <c r="N721" i="20" s="1"/>
  <c r="M46" i="20"/>
  <c r="N46" i="20" s="1"/>
  <c r="M48" i="20"/>
  <c r="N48" i="20" s="1"/>
  <c r="M485" i="20"/>
  <c r="N485" i="20" s="1"/>
  <c r="M102" i="20"/>
  <c r="N102" i="20" s="1"/>
  <c r="M496" i="20"/>
  <c r="N496" i="20" s="1"/>
  <c r="M97" i="20"/>
  <c r="N97" i="20" s="1"/>
  <c r="M499" i="20"/>
  <c r="N499" i="20" s="1"/>
  <c r="M96" i="20"/>
  <c r="N96" i="20" s="1"/>
  <c r="M763" i="20"/>
  <c r="N763" i="20" s="1"/>
  <c r="M100" i="20"/>
  <c r="N100" i="20" s="1"/>
  <c r="M666" i="20"/>
  <c r="N666" i="20" s="1"/>
  <c r="M248" i="20"/>
  <c r="N248" i="20" s="1"/>
  <c r="M623" i="20"/>
  <c r="N623" i="20" s="1"/>
  <c r="M197" i="20"/>
  <c r="N197" i="20" s="1"/>
  <c r="M624" i="20"/>
  <c r="N624" i="20" s="1"/>
  <c r="M198" i="20"/>
  <c r="N198" i="20" s="1"/>
  <c r="M537" i="20"/>
  <c r="N537" i="20" s="1"/>
  <c r="M214" i="20"/>
  <c r="N214" i="20" s="1"/>
  <c r="M316" i="20"/>
  <c r="N316" i="20" s="1"/>
  <c r="M794" i="20"/>
  <c r="N794" i="20" s="1"/>
  <c r="M795" i="20"/>
  <c r="N795" i="20" s="1"/>
  <c r="M275" i="20"/>
  <c r="N275" i="20" s="1"/>
  <c r="M703" i="20"/>
  <c r="N703" i="20" s="1"/>
  <c r="M250" i="20"/>
  <c r="N250" i="20" s="1"/>
  <c r="M263" i="20"/>
  <c r="N263" i="20" s="1"/>
  <c r="M660" i="20"/>
  <c r="N660" i="20" s="1"/>
  <c r="M639" i="20"/>
  <c r="N639" i="20" s="1"/>
  <c r="M547" i="20"/>
  <c r="N547" i="20" s="1"/>
  <c r="M199" i="20"/>
  <c r="N199" i="20" s="1"/>
  <c r="M515" i="20"/>
  <c r="N515" i="20" s="1"/>
  <c r="M553" i="20"/>
  <c r="N553" i="20" s="1"/>
  <c r="M690" i="20"/>
  <c r="N690" i="20" s="1"/>
  <c r="M262" i="20"/>
  <c r="N262" i="20" s="1"/>
  <c r="M687" i="20"/>
  <c r="N687" i="20" s="1"/>
  <c r="M632" i="20"/>
  <c r="N632" i="20" s="1"/>
  <c r="M249" i="20"/>
  <c r="N249" i="20" s="1"/>
  <c r="M518" i="20"/>
  <c r="N518" i="20" s="1"/>
  <c r="M563" i="20"/>
  <c r="N563" i="20" s="1"/>
  <c r="M526" i="20"/>
  <c r="N526" i="20" s="1"/>
  <c r="M561" i="20"/>
  <c r="N561" i="20" s="1"/>
  <c r="M247" i="20"/>
  <c r="N247" i="20" s="1"/>
  <c r="M544" i="20"/>
  <c r="N544" i="20" s="1"/>
  <c r="M670" i="20"/>
  <c r="N670" i="20" s="1"/>
  <c r="M630" i="20"/>
  <c r="N630" i="20" s="1"/>
  <c r="M625" i="20"/>
  <c r="N625" i="20" s="1"/>
  <c r="M243" i="20"/>
  <c r="N243" i="20" s="1"/>
  <c r="M221" i="20"/>
  <c r="N221" i="20" s="1"/>
  <c r="M555" i="20"/>
  <c r="N555" i="20" s="1"/>
  <c r="M295" i="20"/>
  <c r="N295" i="20" s="1"/>
  <c r="M288" i="20"/>
  <c r="N288" i="20" s="1"/>
  <c r="M122" i="20"/>
  <c r="N122" i="20" s="1"/>
  <c r="M296" i="20"/>
  <c r="N296" i="20" s="1"/>
  <c r="M609" i="20"/>
  <c r="N609" i="20" s="1"/>
  <c r="M771" i="20"/>
  <c r="N771" i="20" s="1"/>
  <c r="M595" i="20"/>
  <c r="N595" i="20" s="1"/>
  <c r="M680" i="20"/>
  <c r="N680" i="20" s="1"/>
  <c r="M583" i="20"/>
  <c r="N583" i="20" s="1"/>
  <c r="M636" i="20"/>
  <c r="N636" i="20" s="1"/>
  <c r="M287" i="20"/>
  <c r="N287" i="20" s="1"/>
  <c r="M850" i="20"/>
  <c r="N850" i="20" s="1"/>
  <c r="M622" i="20"/>
  <c r="N622" i="20" s="1"/>
  <c r="M244" i="20"/>
  <c r="N244" i="20" s="1"/>
  <c r="M253" i="20"/>
  <c r="N253" i="20" s="1"/>
  <c r="M239" i="20"/>
  <c r="N239" i="20" s="1"/>
  <c r="M656" i="20"/>
  <c r="N656" i="20" s="1"/>
  <c r="M607" i="20"/>
  <c r="N607" i="20" s="1"/>
  <c r="M766" i="20"/>
  <c r="N766" i="20" s="1"/>
  <c r="M589" i="20"/>
  <c r="N589" i="20" s="1"/>
  <c r="M231" i="20"/>
  <c r="N231" i="20" s="1"/>
  <c r="M571" i="20"/>
  <c r="N571" i="20" s="1"/>
  <c r="M652" i="20"/>
  <c r="N652" i="20" s="1"/>
  <c r="M202" i="20"/>
  <c r="N202" i="20" s="1"/>
  <c r="M584" i="20"/>
  <c r="N584" i="20" s="1"/>
  <c r="M109" i="20"/>
  <c r="N109" i="20" s="1"/>
  <c r="M311" i="20"/>
  <c r="N311" i="20" s="1"/>
  <c r="M854" i="20"/>
  <c r="N854" i="20" s="1"/>
  <c r="M586" i="20"/>
  <c r="N586" i="20" s="1"/>
  <c r="M574" i="20"/>
  <c r="N574" i="20" s="1"/>
  <c r="M852" i="20"/>
  <c r="N852" i="20" s="1"/>
  <c r="M124" i="20"/>
  <c r="N124" i="20" s="1"/>
  <c r="M110" i="20"/>
  <c r="N110" i="20" s="1"/>
  <c r="M778" i="20"/>
  <c r="N778" i="20" s="1"/>
  <c r="M446" i="20"/>
  <c r="N446" i="20" s="1"/>
  <c r="M69" i="20"/>
  <c r="N69" i="20" s="1"/>
  <c r="M379" i="20"/>
  <c r="N379" i="20" s="1"/>
  <c r="M510" i="20"/>
  <c r="N510" i="20" s="1"/>
  <c r="M416" i="20"/>
  <c r="N416" i="20" s="1"/>
  <c r="M376" i="20"/>
  <c r="N376" i="20" s="1"/>
  <c r="M433" i="20"/>
  <c r="N433" i="20" s="1"/>
  <c r="M76" i="20"/>
  <c r="N76" i="20" s="1"/>
  <c r="M458" i="20"/>
  <c r="N458" i="20" s="1"/>
  <c r="M388" i="20"/>
  <c r="N388" i="20" s="1"/>
  <c r="M830" i="20"/>
  <c r="N830" i="20" s="1"/>
  <c r="M425" i="20"/>
  <c r="N425" i="20" s="1"/>
  <c r="M60" i="20"/>
  <c r="N60" i="20" s="1"/>
  <c r="M370" i="20"/>
  <c r="N370" i="20" s="1"/>
  <c r="M364" i="20"/>
  <c r="N364" i="20" s="1"/>
  <c r="M349" i="20"/>
  <c r="N349" i="20" s="1"/>
  <c r="M337" i="20"/>
  <c r="N337" i="20" s="1"/>
  <c r="M75" i="20"/>
  <c r="N75" i="20" s="1"/>
  <c r="M44" i="20"/>
  <c r="N44" i="20" s="1"/>
  <c r="M365" i="20"/>
  <c r="N365" i="20" s="1"/>
  <c r="M432" i="20"/>
  <c r="N432" i="20" s="1"/>
  <c r="M20" i="20"/>
  <c r="N20" i="20" s="1"/>
  <c r="M324" i="20"/>
  <c r="N324" i="20" s="1"/>
  <c r="M779" i="20"/>
  <c r="N779" i="20" s="1"/>
  <c r="M330" i="20"/>
  <c r="N330" i="20" s="1"/>
  <c r="M345" i="20"/>
  <c r="N345" i="20" s="1"/>
  <c r="M491" i="20"/>
  <c r="N491" i="20" s="1"/>
  <c r="M321" i="20"/>
  <c r="N321" i="20" s="1"/>
  <c r="M351" i="20"/>
  <c r="N351" i="20" s="1"/>
  <c r="M813" i="20"/>
  <c r="N813" i="20" s="1"/>
  <c r="M456" i="20"/>
  <c r="N456" i="20" s="1"/>
  <c r="M389" i="20"/>
  <c r="N389" i="20" s="1"/>
  <c r="M736" i="20"/>
  <c r="N736" i="20" s="1"/>
  <c r="M807" i="20"/>
  <c r="N807" i="20" s="1"/>
  <c r="M820" i="20"/>
  <c r="N820" i="20" s="1"/>
  <c r="M322" i="20"/>
  <c r="N322" i="20" s="1"/>
  <c r="M380" i="20"/>
  <c r="N380" i="20" s="1"/>
  <c r="M726" i="20"/>
  <c r="N726" i="20" s="1"/>
  <c r="M728" i="20"/>
  <c r="N728" i="20" s="1"/>
  <c r="M23" i="20"/>
  <c r="N23" i="20" s="1"/>
  <c r="M492" i="20"/>
  <c r="N492" i="20" s="1"/>
  <c r="M399" i="20"/>
  <c r="N399" i="20" s="1"/>
  <c r="M331" i="20"/>
  <c r="N331" i="20" s="1"/>
  <c r="M323" i="20"/>
  <c r="N323" i="20" s="1"/>
  <c r="M540" i="20"/>
  <c r="N540" i="20" s="1"/>
  <c r="M371" i="20"/>
  <c r="N371" i="20" s="1"/>
  <c r="M318" i="20"/>
  <c r="N318" i="20" s="1"/>
  <c r="M338" i="20"/>
  <c r="N338" i="20" s="1"/>
  <c r="M56" i="20"/>
  <c r="N56" i="20" s="1"/>
  <c r="M825" i="20"/>
  <c r="N825" i="20" s="1"/>
  <c r="M870" i="20"/>
  <c r="N870" i="20" s="1"/>
  <c r="M62" i="20"/>
  <c r="N62" i="20" s="1"/>
  <c r="M426" i="20"/>
  <c r="N426" i="20" s="1"/>
  <c r="M428" i="20"/>
  <c r="N428" i="20" s="1"/>
  <c r="M832" i="20"/>
  <c r="N832" i="20" s="1"/>
  <c r="M780" i="20"/>
  <c r="N780" i="20" s="1"/>
  <c r="M91" i="20"/>
  <c r="N91" i="20" s="1"/>
  <c r="M782" i="20"/>
  <c r="N782" i="20" s="1"/>
  <c r="M743" i="20"/>
  <c r="N743" i="20" s="1"/>
  <c r="M32" i="20"/>
  <c r="N32" i="20" s="1"/>
  <c r="M194" i="20"/>
  <c r="N194" i="20" s="1"/>
  <c r="M464" i="20"/>
  <c r="N464" i="20" s="1"/>
  <c r="M834" i="20"/>
  <c r="N834" i="20" s="1"/>
  <c r="M429" i="20"/>
  <c r="N429" i="20" s="1"/>
  <c r="M441" i="20"/>
  <c r="N441" i="20" s="1"/>
  <c r="M89" i="20"/>
  <c r="N89" i="20" s="1"/>
  <c r="M479" i="20"/>
  <c r="N479" i="20" s="1"/>
  <c r="M81" i="20"/>
  <c r="N81" i="20" s="1"/>
  <c r="M471" i="20"/>
  <c r="N471" i="20" s="1"/>
  <c r="M845" i="20"/>
  <c r="N845" i="20" s="1"/>
  <c r="M759" i="20"/>
  <c r="N759" i="20" s="1"/>
  <c r="M34" i="20"/>
  <c r="N34" i="20" s="1"/>
  <c r="M435" i="20"/>
  <c r="N435" i="20" s="1"/>
  <c r="M722" i="20"/>
  <c r="N722" i="20" s="1"/>
  <c r="M82" i="20"/>
  <c r="N82" i="20" s="1"/>
  <c r="M401" i="20"/>
  <c r="N401" i="20" s="1"/>
  <c r="M761" i="20"/>
  <c r="N761" i="20" s="1"/>
  <c r="M762" i="20"/>
  <c r="N762" i="20" s="1"/>
  <c r="M750" i="20"/>
  <c r="N750" i="20" s="1"/>
  <c r="M838" i="20"/>
  <c r="N838" i="20" s="1"/>
  <c r="M739" i="20"/>
  <c r="N739" i="20" s="1"/>
  <c r="M776" i="20"/>
  <c r="N776" i="20" s="1"/>
  <c r="M539" i="20"/>
  <c r="N539" i="20" s="1"/>
  <c r="M831" i="20"/>
  <c r="N831" i="20" s="1"/>
  <c r="M86" i="20"/>
  <c r="N86" i="20" s="1"/>
  <c r="M712" i="20"/>
  <c r="N712" i="20" s="1"/>
  <c r="M749" i="20"/>
  <c r="N749" i="20" s="1"/>
  <c r="M85" i="20"/>
  <c r="N85" i="20" s="1"/>
  <c r="M756" i="20"/>
  <c r="N756" i="20" s="1"/>
  <c r="M71" i="20"/>
  <c r="N71" i="20" s="1"/>
  <c r="M824" i="20"/>
  <c r="N824" i="20" s="1"/>
  <c r="M716" i="20"/>
  <c r="N716" i="20" s="1"/>
  <c r="M45" i="20"/>
  <c r="N45" i="20" s="1"/>
  <c r="M119" i="20"/>
  <c r="N119" i="20" s="1"/>
  <c r="M103" i="20"/>
  <c r="N103" i="20" s="1"/>
  <c r="M99" i="20"/>
  <c r="N99" i="20" s="1"/>
  <c r="M498" i="20"/>
  <c r="N498" i="20" s="1"/>
  <c r="M121" i="20"/>
  <c r="N121" i="20" s="1"/>
  <c r="M486" i="20"/>
  <c r="N486" i="20" s="1"/>
  <c r="M545" i="20"/>
  <c r="N545" i="20" s="1"/>
  <c r="M503" i="20"/>
  <c r="N503" i="20" s="1"/>
  <c r="M791" i="20"/>
  <c r="N791" i="20" s="1"/>
  <c r="M612" i="20"/>
  <c r="N612" i="20" s="1"/>
  <c r="M618" i="20"/>
  <c r="N618" i="20" s="1"/>
  <c r="M797" i="20"/>
  <c r="N797" i="20" s="1"/>
  <c r="M504" i="20"/>
  <c r="N504" i="20" s="1"/>
  <c r="M300" i="20"/>
  <c r="N300" i="20" s="1"/>
  <c r="M530" i="20"/>
  <c r="N530" i="20" s="1"/>
  <c r="M688" i="20"/>
  <c r="N688" i="20" s="1"/>
  <c r="M674" i="20"/>
  <c r="N674" i="20" s="1"/>
  <c r="M646" i="20"/>
  <c r="N646" i="20" s="1"/>
  <c r="M699" i="20"/>
  <c r="N699" i="20" s="1"/>
  <c r="M614" i="20"/>
  <c r="N614" i="20" s="1"/>
  <c r="M543" i="20"/>
  <c r="N543" i="20" s="1"/>
  <c r="M514" i="20"/>
  <c r="N514" i="20" s="1"/>
  <c r="M665" i="20"/>
  <c r="N665" i="20" s="1"/>
  <c r="M529" i="20"/>
  <c r="N529" i="20" s="1"/>
  <c r="M664" i="20"/>
  <c r="N664" i="20" s="1"/>
  <c r="M206" i="20"/>
  <c r="N206" i="20" s="1"/>
  <c r="M673" i="20"/>
  <c r="N673" i="20" s="1"/>
  <c r="M658" i="20"/>
  <c r="N658" i="20" s="1"/>
  <c r="M626" i="20"/>
  <c r="N626" i="20" s="1"/>
  <c r="M675" i="20"/>
  <c r="N675" i="20" s="1"/>
  <c r="M298" i="20"/>
  <c r="N298" i="20" s="1"/>
  <c r="M291" i="20"/>
  <c r="N291" i="20" s="1"/>
  <c r="M695" i="20"/>
  <c r="N695" i="20" s="1"/>
  <c r="M641" i="20"/>
  <c r="N641" i="20" s="1"/>
  <c r="M521" i="20"/>
  <c r="N521" i="20" s="1"/>
  <c r="M193" i="20"/>
  <c r="N193" i="20" s="1"/>
  <c r="M213" i="20"/>
  <c r="N213" i="20" s="1"/>
  <c r="M657" i="20"/>
  <c r="N657" i="20" s="1"/>
  <c r="M629" i="20"/>
  <c r="N629" i="20" s="1"/>
  <c r="M528" i="20"/>
  <c r="N528" i="20" s="1"/>
  <c r="M659" i="20"/>
  <c r="N659" i="20" s="1"/>
  <c r="M290" i="20"/>
  <c r="N290" i="20" s="1"/>
  <c r="M689" i="20"/>
  <c r="N689" i="20" s="1"/>
  <c r="M663" i="20"/>
  <c r="N663" i="20" s="1"/>
  <c r="M209" i="20"/>
  <c r="N209" i="20" s="1"/>
  <c r="M513" i="20"/>
  <c r="N513" i="20" s="1"/>
  <c r="M527" i="20"/>
  <c r="N527" i="20" s="1"/>
  <c r="M201" i="20"/>
  <c r="N201" i="20" s="1"/>
  <c r="M270" i="20" l="1"/>
  <c r="N270" i="20" s="1"/>
  <c r="M572" i="20"/>
  <c r="N572" i="20" s="1"/>
  <c r="M218" i="20"/>
  <c r="N218" i="20" s="1"/>
  <c r="M697" i="20"/>
  <c r="N697" i="20" s="1"/>
  <c r="M806" i="20"/>
  <c r="N806" i="20" s="1"/>
  <c r="M621" i="20"/>
  <c r="N621" i="20" s="1"/>
  <c r="M567" i="20"/>
  <c r="N567" i="20" s="1"/>
  <c r="M271" i="20"/>
  <c r="N271" i="20" s="1"/>
  <c r="M222" i="20"/>
  <c r="N222" i="20" s="1"/>
  <c r="M801" i="20"/>
  <c r="N801" i="20" s="1"/>
  <c r="M551" i="20"/>
  <c r="N551" i="20" s="1"/>
  <c r="M266" i="20"/>
  <c r="N266" i="20" s="1"/>
  <c r="M692" i="20"/>
  <c r="N692" i="20" s="1"/>
  <c r="M805" i="20"/>
  <c r="N805" i="20" s="1"/>
  <c r="M705" i="20"/>
  <c r="N705" i="20" s="1"/>
  <c r="M235" i="20"/>
  <c r="N235" i="20" s="1"/>
  <c r="M204" i="20"/>
  <c r="N204" i="20" s="1"/>
  <c r="M566" i="20"/>
  <c r="N566" i="20" s="1"/>
  <c r="M307" i="20"/>
  <c r="N307" i="20" s="1"/>
  <c r="M803" i="20"/>
  <c r="N803" i="20" s="1"/>
  <c r="M219" i="20"/>
  <c r="N219" i="20" s="1"/>
  <c r="M709" i="20"/>
  <c r="N709" i="20" s="1"/>
  <c r="M305" i="20"/>
  <c r="N305" i="20" s="1"/>
  <c r="M550" i="20"/>
  <c r="N550" i="20" s="1"/>
  <c r="M696" i="20"/>
  <c r="N696" i="20" s="1"/>
  <c r="M693" i="20"/>
  <c r="N693" i="20" s="1"/>
  <c r="M306" i="20"/>
  <c r="N306" i="20" s="1"/>
  <c r="M258" i="20"/>
  <c r="N258" i="20" s="1"/>
  <c r="M506" i="20"/>
  <c r="N506" i="20" s="1"/>
  <c r="M619" i="20"/>
  <c r="N619" i="20" s="1"/>
  <c r="M802" i="20"/>
  <c r="N802" i="20" s="1"/>
  <c r="M706" i="20"/>
  <c r="N706" i="20" s="1"/>
  <c r="M704" i="20"/>
  <c r="N704" i="20" s="1"/>
  <c r="M799" i="20"/>
  <c r="N799" i="20" s="1"/>
  <c r="M681" i="20"/>
  <c r="N681" i="20" s="1"/>
  <c r="M302" i="20"/>
  <c r="N302" i="20" s="1"/>
  <c r="M216" i="20"/>
  <c r="N216" i="20" s="1"/>
  <c r="M111" i="20"/>
  <c r="N111" i="20" s="1"/>
  <c r="M676" i="20"/>
  <c r="N676" i="20" s="1"/>
  <c r="M254" i="20"/>
  <c r="N254" i="20" s="1"/>
  <c r="M267" i="20"/>
  <c r="N267" i="20" s="1"/>
  <c r="M570" i="20"/>
  <c r="N570" i="20" s="1"/>
  <c r="M691" i="20"/>
  <c r="N691" i="20" s="1"/>
  <c r="M268" i="20"/>
  <c r="N268" i="20" s="1"/>
  <c r="M569" i="20"/>
  <c r="N569" i="20" s="1"/>
  <c r="M633" i="20"/>
  <c r="N633" i="20" s="1"/>
  <c r="M217" i="20"/>
  <c r="N217" i="20" s="1"/>
  <c r="M203" i="20"/>
  <c r="N203" i="20" s="1"/>
  <c r="M205" i="20"/>
  <c r="N205" i="20" s="1"/>
  <c r="M575" i="20"/>
  <c r="N575" i="20" s="1"/>
  <c r="M227" i="20"/>
  <c r="N227" i="20" s="1"/>
  <c r="M804" i="20"/>
  <c r="N804" i="20" s="1"/>
  <c r="M707" i="20"/>
  <c r="N707" i="20" s="1"/>
  <c r="M304" i="20"/>
  <c r="N304" i="20" s="1"/>
  <c r="M677" i="20"/>
  <c r="N677" i="20" s="1"/>
  <c r="M317" i="20"/>
  <c r="N317" i="20" s="1"/>
  <c r="M800" i="20"/>
  <c r="N800" i="20" s="1"/>
  <c r="M505" i="20"/>
  <c r="N505" i="20" s="1"/>
  <c r="M303" i="20"/>
  <c r="N303" i="20" s="1"/>
  <c r="M549" i="20"/>
  <c r="N549" i="20" s="1"/>
  <c r="M234" i="20"/>
  <c r="N234" i="20" s="1"/>
  <c r="M708" i="20"/>
  <c r="N708" i="20" s="1"/>
  <c r="M685" i="20"/>
  <c r="N685" i="20" s="1"/>
  <c r="M568" i="20"/>
  <c r="N568" i="20" s="1"/>
  <c r="M269" i="20"/>
  <c r="N269" i="20" s="1"/>
  <c r="M251" i="20"/>
  <c r="N251" i="20" s="1"/>
  <c r="M679" i="20"/>
  <c r="N679" i="20" s="1"/>
  <c r="M678" i="20"/>
  <c r="N678" i="20" s="1"/>
  <c r="M620" i="20"/>
  <c r="N620" i="20" s="1"/>
  <c r="M405" i="20"/>
  <c r="N405" i="20" s="1"/>
  <c r="M255" i="20"/>
  <c r="N255" i="20" s="1"/>
  <c r="M238" i="20"/>
  <c r="N238" i="20" s="1"/>
  <c r="M608" i="20"/>
  <c r="N608" i="20" s="1"/>
  <c r="M54" i="20"/>
  <c r="N54" i="20" s="1"/>
  <c r="I46" i="91"/>
  <c r="C46" i="91"/>
  <c r="I46" i="90"/>
  <c r="C46" i="89"/>
  <c r="I46" i="89"/>
  <c r="M272" i="20"/>
  <c r="N272" i="20" s="1"/>
  <c r="M312" i="20"/>
  <c r="N312" i="20" s="1"/>
  <c r="M259" i="20"/>
  <c r="N259" i="20" s="1"/>
  <c r="C52" i="83"/>
  <c r="M627" i="20"/>
  <c r="N627" i="20" s="1"/>
  <c r="I56" i="86"/>
  <c r="I56" i="83"/>
  <c r="M7" i="23" l="1"/>
  <c r="Q7" i="23" s="1"/>
  <c r="M6" i="23"/>
  <c r="Q6" i="23" s="1"/>
  <c r="I36" i="91"/>
  <c r="Y137" i="72"/>
  <c r="Y136" i="72"/>
  <c r="K7" i="23" l="1"/>
  <c r="N7" i="23" s="1"/>
  <c r="P7" i="23" s="1"/>
  <c r="S7" i="23" s="1"/>
  <c r="K6" i="23"/>
  <c r="N6" i="23" s="1"/>
  <c r="P6" i="23" s="1"/>
  <c r="S6" i="23" s="1"/>
  <c r="K5" i="23"/>
  <c r="K8" i="23"/>
  <c r="N8" i="23" s="1"/>
  <c r="P8" i="23" s="1"/>
  <c r="S8" i="23" s="1"/>
  <c r="U137" i="72"/>
  <c r="Z137" i="72" s="1"/>
  <c r="U136" i="72"/>
  <c r="Z136" i="72" s="1"/>
  <c r="R5" i="23"/>
  <c r="M638" i="20"/>
  <c r="N638" i="20" s="1"/>
  <c r="M637" i="20"/>
  <c r="N637" i="20" s="1"/>
  <c r="M686" i="20"/>
  <c r="N686" i="20" s="1"/>
  <c r="I4" i="91" l="1"/>
  <c r="C4" i="91"/>
  <c r="C5" i="91" s="1"/>
  <c r="I12" i="86"/>
  <c r="F14" i="86" s="1"/>
  <c r="I14" i="86" s="1"/>
  <c r="F71" i="86" s="1"/>
  <c r="W137" i="72"/>
  <c r="AB137" i="72" s="1"/>
  <c r="AD137" i="72" s="1"/>
  <c r="W136" i="72"/>
  <c r="AB136" i="72" s="1"/>
  <c r="AD136" i="72" s="1"/>
  <c r="K9" i="23"/>
  <c r="N9" i="23" s="1"/>
  <c r="P9" i="23" s="1"/>
  <c r="S9" i="23" s="1"/>
  <c r="X7" i="23"/>
  <c r="T7" i="23"/>
  <c r="V7" i="23"/>
  <c r="R7" i="23"/>
  <c r="R8" i="23"/>
  <c r="V8" i="23"/>
  <c r="X8" i="23"/>
  <c r="T8" i="23"/>
  <c r="R6" i="23"/>
  <c r="T6" i="23"/>
  <c r="X6" i="23"/>
  <c r="V6" i="23"/>
  <c r="D3" i="102" l="1"/>
  <c r="I12" i="83"/>
  <c r="I5" i="91"/>
  <c r="K5" i="91" s="1"/>
  <c r="K4" i="91"/>
  <c r="C70" i="91"/>
  <c r="B64" i="91"/>
  <c r="C47" i="91"/>
  <c r="C48" i="91" s="1"/>
  <c r="C54" i="91" s="1"/>
  <c r="C56" i="91" s="1"/>
  <c r="C8" i="91" s="1"/>
  <c r="C74" i="91"/>
  <c r="C69" i="91"/>
  <c r="I4" i="90"/>
  <c r="I5" i="90" s="1"/>
  <c r="C5" i="90"/>
  <c r="C4" i="89"/>
  <c r="C5" i="89" s="1"/>
  <c r="C47" i="89" s="1"/>
  <c r="C48" i="89" s="1"/>
  <c r="C54" i="89" s="1"/>
  <c r="C56" i="89" s="1"/>
  <c r="I4" i="89"/>
  <c r="I5" i="89" s="1"/>
  <c r="J17" i="86"/>
  <c r="C65" i="86"/>
  <c r="C67" i="86" s="1"/>
  <c r="C70" i="86" s="1"/>
  <c r="E55" i="86"/>
  <c r="N10" i="86" s="1"/>
  <c r="J16" i="86"/>
  <c r="J31" i="86"/>
  <c r="F72" i="86"/>
  <c r="F74" i="86" s="1"/>
  <c r="G74" i="86" s="1"/>
  <c r="H74" i="86" s="1"/>
  <c r="C53" i="86"/>
  <c r="D53" i="86" s="1"/>
  <c r="M65" i="23"/>
  <c r="Q65" i="23" s="1"/>
  <c r="AM136" i="72"/>
  <c r="AN136" i="72"/>
  <c r="BF136" i="72"/>
  <c r="BE136" i="72"/>
  <c r="BG136" i="72"/>
  <c r="BA136" i="72"/>
  <c r="BH136" i="72"/>
  <c r="BD136" i="72"/>
  <c r="AL136" i="72"/>
  <c r="AD204" i="72"/>
  <c r="AD211" i="72" s="1"/>
  <c r="BC136" i="72"/>
  <c r="BB136" i="72"/>
  <c r="AK136" i="72"/>
  <c r="BC137" i="72"/>
  <c r="AK137" i="72"/>
  <c r="BB137" i="72"/>
  <c r="AN137" i="72"/>
  <c r="BH137" i="72"/>
  <c r="AL137" i="72"/>
  <c r="BF137" i="72"/>
  <c r="BG137" i="72"/>
  <c r="AM137" i="72"/>
  <c r="BD137" i="72"/>
  <c r="BE137" i="72"/>
  <c r="BA137" i="72"/>
  <c r="T9" i="23"/>
  <c r="V9" i="23"/>
  <c r="X9" i="23"/>
  <c r="R9" i="23"/>
  <c r="I64" i="91" l="1"/>
  <c r="I47" i="91"/>
  <c r="I48" i="91" s="1"/>
  <c r="I54" i="91" s="1"/>
  <c r="I56" i="91" s="1"/>
  <c r="I8" i="91" s="1"/>
  <c r="K8" i="91" s="1"/>
  <c r="I69" i="91"/>
  <c r="I70" i="91"/>
  <c r="I74" i="91"/>
  <c r="I76" i="91" s="1"/>
  <c r="I79" i="91" s="1"/>
  <c r="C72" i="91"/>
  <c r="C13" i="91"/>
  <c r="C76" i="91"/>
  <c r="C79" i="91" s="1"/>
  <c r="C75" i="91"/>
  <c r="C78" i="91" s="1"/>
  <c r="B64" i="90"/>
  <c r="C74" i="90"/>
  <c r="C70" i="90"/>
  <c r="C69" i="90"/>
  <c r="C47" i="90"/>
  <c r="C48" i="90" s="1"/>
  <c r="C54" i="90" s="1"/>
  <c r="C56" i="90" s="1"/>
  <c r="C8" i="90" s="1"/>
  <c r="I64" i="90"/>
  <c r="I74" i="90"/>
  <c r="I70" i="90"/>
  <c r="I47" i="90"/>
  <c r="I48" i="90" s="1"/>
  <c r="I54" i="90" s="1"/>
  <c r="I56" i="90" s="1"/>
  <c r="I8" i="90" s="1"/>
  <c r="I69" i="90"/>
  <c r="I69" i="89"/>
  <c r="I70" i="89"/>
  <c r="I47" i="89"/>
  <c r="I48" i="89" s="1"/>
  <c r="I54" i="89" s="1"/>
  <c r="I56" i="89" s="1"/>
  <c r="I8" i="89" s="1"/>
  <c r="I74" i="89"/>
  <c r="I64" i="89"/>
  <c r="C69" i="89"/>
  <c r="C74" i="89"/>
  <c r="C75" i="89" s="1"/>
  <c r="C78" i="89" s="1"/>
  <c r="C70" i="89"/>
  <c r="B64" i="89"/>
  <c r="C66" i="86"/>
  <c r="C69" i="86" s="1"/>
  <c r="C72" i="86" s="1"/>
  <c r="N9" i="86" s="1"/>
  <c r="J18" i="86"/>
  <c r="L65" i="23"/>
  <c r="O65" i="23" s="1"/>
  <c r="I13" i="91" l="1"/>
  <c r="K13" i="91" s="1"/>
  <c r="I72" i="91"/>
  <c r="I75" i="91"/>
  <c r="I78" i="91" s="1"/>
  <c r="I81" i="91" s="1"/>
  <c r="I12" i="91" s="1"/>
  <c r="C81" i="91"/>
  <c r="C12" i="91" s="1"/>
  <c r="I76" i="90"/>
  <c r="I79" i="90" s="1"/>
  <c r="I75" i="90"/>
  <c r="I78" i="90" s="1"/>
  <c r="C72" i="90"/>
  <c r="C13" i="90"/>
  <c r="I72" i="90"/>
  <c r="I13" i="90"/>
  <c r="C76" i="90"/>
  <c r="C79" i="90" s="1"/>
  <c r="C75" i="90"/>
  <c r="C78" i="90" s="1"/>
  <c r="I13" i="89"/>
  <c r="I72" i="89"/>
  <c r="I75" i="89"/>
  <c r="I78" i="89" s="1"/>
  <c r="I76" i="89"/>
  <c r="I79" i="89" s="1"/>
  <c r="C72" i="89"/>
  <c r="C13" i="89"/>
  <c r="C76" i="89"/>
  <c r="C79" i="89" s="1"/>
  <c r="C81" i="89" s="1"/>
  <c r="D72" i="86"/>
  <c r="C52" i="86"/>
  <c r="S65" i="23"/>
  <c r="K12" i="91" l="1"/>
  <c r="C81" i="90"/>
  <c r="C12" i="90" s="1"/>
  <c r="I81" i="90"/>
  <c r="I12" i="90" s="1"/>
  <c r="I81" i="89"/>
  <c r="I12" i="89" s="1"/>
  <c r="C12" i="89"/>
  <c r="D52" i="86"/>
  <c r="C54" i="86"/>
  <c r="M649" i="20"/>
  <c r="N649" i="20" s="1"/>
  <c r="T65" i="23"/>
  <c r="R65" i="23"/>
  <c r="AE60" i="23" s="1"/>
  <c r="M279" i="20"/>
  <c r="N279" i="20" s="1"/>
  <c r="M650" i="20"/>
  <c r="N650" i="20" s="1"/>
  <c r="M648" i="20"/>
  <c r="N648" i="20" s="1"/>
  <c r="M278" i="20"/>
  <c r="N278" i="20" s="1"/>
  <c r="M647" i="20"/>
  <c r="N647" i="20" s="1"/>
  <c r="M280" i="20"/>
  <c r="N280" i="20" s="1"/>
  <c r="V65" i="23"/>
  <c r="X65" i="23"/>
  <c r="C60" i="86" l="1"/>
  <c r="D54" i="86"/>
  <c r="M277" i="20"/>
  <c r="N277" i="20" s="1"/>
  <c r="C8" i="89" l="1"/>
  <c r="C62" i="86"/>
  <c r="D60" i="86"/>
  <c r="M628" i="20"/>
  <c r="N628" i="20" s="1"/>
  <c r="D62" i="86" l="1"/>
  <c r="N5" i="86"/>
  <c r="AP1789" i="16" l="1"/>
  <c r="AP1790" i="16" s="1"/>
  <c r="C52" i="61"/>
  <c r="I12" i="61"/>
  <c r="F14" i="61" s="1"/>
  <c r="I14" i="61" s="1"/>
  <c r="C65" i="61" s="1"/>
  <c r="J17" i="61" l="1"/>
  <c r="J16" i="61"/>
  <c r="E55" i="61"/>
  <c r="F72" i="61"/>
  <c r="F71" i="61"/>
  <c r="C53" i="61"/>
  <c r="C54" i="61" s="1"/>
  <c r="C60" i="61" s="1"/>
  <c r="C62" i="61" s="1"/>
  <c r="N5" i="61" s="1"/>
  <c r="C66" i="61"/>
  <c r="J31" i="61"/>
  <c r="N10" i="61" l="1"/>
  <c r="C74" i="61"/>
  <c r="C76" i="61" s="1"/>
  <c r="F74" i="61"/>
  <c r="G74" i="61" s="1"/>
  <c r="H74" i="61" s="1"/>
  <c r="C67" i="61"/>
  <c r="C81" i="61" s="1"/>
  <c r="C84" i="61" s="1"/>
  <c r="J18" i="61"/>
  <c r="C86" i="61" l="1"/>
  <c r="N9" i="61" s="1"/>
  <c r="I5" i="23" l="1"/>
  <c r="S5" i="23" s="1"/>
  <c r="I12" i="71"/>
  <c r="F14" i="71" s="1"/>
  <c r="I14" i="71" s="1"/>
  <c r="C53" i="71" s="1"/>
  <c r="C52" i="77"/>
  <c r="C52" i="71"/>
  <c r="I12" i="77"/>
  <c r="F14" i="77" s="1"/>
  <c r="I14" i="77" s="1"/>
  <c r="I12" i="60" l="1"/>
  <c r="F14" i="60" s="1"/>
  <c r="I14" i="60" s="1"/>
  <c r="F71" i="60" s="1"/>
  <c r="C52" i="60"/>
  <c r="N5" i="23"/>
  <c r="N72" i="23" s="1"/>
  <c r="Q5" i="23"/>
  <c r="Q72" i="23" s="1"/>
  <c r="O5" i="23"/>
  <c r="O72" i="23" s="1"/>
  <c r="X5" i="23"/>
  <c r="V5" i="23"/>
  <c r="S72" i="23"/>
  <c r="T5" i="23"/>
  <c r="R1" i="23"/>
  <c r="I12" i="79"/>
  <c r="F14" i="79" s="1"/>
  <c r="I14" i="79" s="1"/>
  <c r="C53" i="79" s="1"/>
  <c r="D53" i="79" s="1"/>
  <c r="F14" i="83"/>
  <c r="I14" i="83" s="1"/>
  <c r="E55" i="83" s="1"/>
  <c r="C52" i="79"/>
  <c r="D52" i="79" s="1"/>
  <c r="C65" i="71"/>
  <c r="C66" i="71" s="1"/>
  <c r="C69" i="71" s="1"/>
  <c r="F71" i="71"/>
  <c r="C54" i="71"/>
  <c r="C60" i="71" s="1"/>
  <c r="C62" i="71" s="1"/>
  <c r="N5" i="71" s="1"/>
  <c r="J31" i="71"/>
  <c r="J17" i="71"/>
  <c r="J16" i="71"/>
  <c r="F72" i="71"/>
  <c r="E55" i="71"/>
  <c r="F72" i="77"/>
  <c r="E55" i="77"/>
  <c r="C53" i="77"/>
  <c r="J16" i="77"/>
  <c r="C65" i="77"/>
  <c r="J17" i="77"/>
  <c r="F71" i="77"/>
  <c r="F72" i="60" l="1"/>
  <c r="F74" i="60" s="1"/>
  <c r="G74" i="60" s="1"/>
  <c r="H74" i="60" s="1"/>
  <c r="J31" i="60"/>
  <c r="C65" i="60"/>
  <c r="C66" i="60" s="1"/>
  <c r="C69" i="60" s="1"/>
  <c r="J17" i="60"/>
  <c r="C53" i="60"/>
  <c r="C54" i="60" s="1"/>
  <c r="C60" i="60" s="1"/>
  <c r="C62" i="60" s="1"/>
  <c r="N5" i="60" s="1"/>
  <c r="J16" i="60"/>
  <c r="E55" i="60"/>
  <c r="N10" i="60" s="1"/>
  <c r="C14" i="11"/>
  <c r="C15" i="11" s="1"/>
  <c r="C17" i="11" s="1"/>
  <c r="P5" i="23"/>
  <c r="P72" i="23" s="1"/>
  <c r="V72" i="23"/>
  <c r="T72" i="23"/>
  <c r="C54" i="77"/>
  <c r="C60" i="77" s="1"/>
  <c r="C62" i="77" s="1"/>
  <c r="N5" i="77" s="1"/>
  <c r="E55" i="79"/>
  <c r="F71" i="79"/>
  <c r="F72" i="79"/>
  <c r="C65" i="79"/>
  <c r="C66" i="79" s="1"/>
  <c r="C69" i="79" s="1"/>
  <c r="J17" i="79"/>
  <c r="J16" i="79"/>
  <c r="J31" i="79"/>
  <c r="D52" i="83"/>
  <c r="J17" i="83"/>
  <c r="F72" i="83"/>
  <c r="C65" i="83"/>
  <c r="J16" i="83"/>
  <c r="C53" i="83"/>
  <c r="D53" i="83" s="1"/>
  <c r="F71" i="83"/>
  <c r="J31" i="83"/>
  <c r="N10" i="71"/>
  <c r="N10" i="77"/>
  <c r="F74" i="71"/>
  <c r="G74" i="71" s="1"/>
  <c r="H74" i="71" s="1"/>
  <c r="J18" i="71"/>
  <c r="C67" i="71"/>
  <c r="C70" i="71" s="1"/>
  <c r="C72" i="71" s="1"/>
  <c r="N9" i="71" s="1"/>
  <c r="C67" i="77"/>
  <c r="C70" i="77" s="1"/>
  <c r="C66" i="77"/>
  <c r="C69" i="77" s="1"/>
  <c r="F74" i="77"/>
  <c r="G74" i="77" s="1"/>
  <c r="H74" i="77" s="1"/>
  <c r="J18" i="77"/>
  <c r="C54" i="79"/>
  <c r="J18" i="60" l="1"/>
  <c r="C67" i="60"/>
  <c r="C70" i="60" s="1"/>
  <c r="C72" i="60" s="1"/>
  <c r="N9" i="60" s="1"/>
  <c r="C23" i="11"/>
  <c r="C24" i="11"/>
  <c r="C26" i="11"/>
  <c r="C18" i="11"/>
  <c r="F74" i="83"/>
  <c r="G74" i="83" s="1"/>
  <c r="H74" i="83" s="1"/>
  <c r="C67" i="79"/>
  <c r="C70" i="79" s="1"/>
  <c r="C72" i="79" s="1"/>
  <c r="N9" i="79" s="1"/>
  <c r="F74" i="79"/>
  <c r="G74" i="79" s="1"/>
  <c r="H74" i="79" s="1"/>
  <c r="J18" i="83"/>
  <c r="J18" i="79"/>
  <c r="N10" i="79"/>
  <c r="C54" i="83"/>
  <c r="D54" i="83" s="1"/>
  <c r="N10" i="83"/>
  <c r="C67" i="83"/>
  <c r="C70" i="83" s="1"/>
  <c r="C66" i="83"/>
  <c r="C69" i="83" s="1"/>
  <c r="D54" i="79"/>
  <c r="C60" i="79"/>
  <c r="C72" i="77"/>
  <c r="N9" i="77" s="1"/>
  <c r="S74" i="23" l="1"/>
  <c r="S86" i="23"/>
  <c r="V86" i="23" s="1"/>
  <c r="C20" i="11"/>
  <c r="C21" i="11"/>
  <c r="S80" i="23"/>
  <c r="V80" i="23" s="1"/>
  <c r="C60" i="83"/>
  <c r="D60" i="83" s="1"/>
  <c r="C72" i="83"/>
  <c r="D72" i="79"/>
  <c r="C62" i="79"/>
  <c r="N5" i="79" s="1"/>
  <c r="D60" i="79"/>
  <c r="S79" i="23" l="1"/>
  <c r="V79" i="23" s="1"/>
  <c r="S87" i="23"/>
  <c r="V87" i="23" s="1"/>
  <c r="V74" i="23"/>
  <c r="C62" i="83"/>
  <c r="N5" i="83" s="1"/>
  <c r="N9" i="83"/>
  <c r="D72" i="83"/>
  <c r="D62" i="79"/>
  <c r="D62" i="83" l="1"/>
  <c r="S89" i="23" l="1"/>
  <c r="V89" i="23" s="1"/>
  <c r="S78" i="23"/>
  <c r="V78" i="23" l="1"/>
  <c r="V91" i="23" s="1"/>
  <c r="V93" i="23" s="1"/>
  <c r="S91" i="23"/>
  <c r="S93" i="23" s="1"/>
  <c r="T93" i="23" s="1"/>
  <c r="C3" i="102" l="1"/>
  <c r="F4" i="91" l="1"/>
  <c r="F5" i="91" s="1"/>
  <c r="N2" i="77"/>
  <c r="G46" i="89"/>
  <c r="G4" i="91"/>
  <c r="G5" i="91" s="1"/>
  <c r="G74" i="91" s="1"/>
  <c r="N2" i="79"/>
  <c r="G4" i="90"/>
  <c r="G5" i="90" s="1"/>
  <c r="G74" i="90" s="1"/>
  <c r="F3" i="90"/>
  <c r="F32" i="90" s="1"/>
  <c r="F4" i="90"/>
  <c r="F5" i="90" s="1"/>
  <c r="F74" i="90" s="1"/>
  <c r="G46" i="90"/>
  <c r="C3" i="90"/>
  <c r="I3" i="90"/>
  <c r="I20" i="90" s="1"/>
  <c r="I37" i="90" s="1"/>
  <c r="H3" i="90"/>
  <c r="H32" i="90" s="1"/>
  <c r="F4" i="89"/>
  <c r="F5" i="89" s="1"/>
  <c r="G3" i="90"/>
  <c r="G21" i="90" s="1"/>
  <c r="G38" i="90" s="1"/>
  <c r="N2" i="83"/>
  <c r="G4" i="89"/>
  <c r="G5" i="89" s="1"/>
  <c r="G3" i="89"/>
  <c r="G20" i="89" s="1"/>
  <c r="G37" i="89" s="1"/>
  <c r="F46" i="90"/>
  <c r="H3" i="89"/>
  <c r="H32" i="89" s="1"/>
  <c r="H34" i="89" s="1"/>
  <c r="N2" i="60"/>
  <c r="N2" i="61"/>
  <c r="Q2" i="61" s="1"/>
  <c r="N2" i="71"/>
  <c r="E33" i="61"/>
  <c r="E41" i="61" s="1"/>
  <c r="C3" i="91"/>
  <c r="E33" i="86"/>
  <c r="E35" i="86" s="1"/>
  <c r="N2" i="86"/>
  <c r="E33" i="71"/>
  <c r="E35" i="71" s="1"/>
  <c r="C3" i="89"/>
  <c r="F3" i="89"/>
  <c r="F21" i="89" s="1"/>
  <c r="F38" i="89" s="1"/>
  <c r="E33" i="77"/>
  <c r="E35" i="77" s="1"/>
  <c r="E42" i="77" s="1"/>
  <c r="I3" i="89"/>
  <c r="D32" i="90"/>
  <c r="D34" i="90" s="1"/>
  <c r="D38" i="90" s="1"/>
  <c r="C21" i="90" s="1"/>
  <c r="I3" i="91"/>
  <c r="I20" i="91" s="1"/>
  <c r="G3" i="91"/>
  <c r="E33" i="79"/>
  <c r="E40" i="79" s="1"/>
  <c r="F46" i="89"/>
  <c r="E33" i="83"/>
  <c r="F3" i="91"/>
  <c r="F20" i="91" s="1"/>
  <c r="F37" i="91" s="1"/>
  <c r="E33" i="60"/>
  <c r="E35" i="60" s="1"/>
  <c r="H3" i="91"/>
  <c r="D32" i="91"/>
  <c r="F46" i="91"/>
  <c r="D32" i="89"/>
  <c r="D36" i="89" s="1"/>
  <c r="C14" i="89" s="1"/>
  <c r="F14" i="89" s="1"/>
  <c r="F36" i="89" s="1"/>
  <c r="G46" i="91"/>
  <c r="D31" i="91" l="1"/>
  <c r="G20" i="90"/>
  <c r="G37" i="90" s="1"/>
  <c r="D34" i="89"/>
  <c r="D38" i="89" s="1"/>
  <c r="C21" i="89" s="1"/>
  <c r="F32" i="91"/>
  <c r="F34" i="91" s="1"/>
  <c r="D36" i="91"/>
  <c r="C14" i="91" s="1"/>
  <c r="G76" i="91"/>
  <c r="G79" i="91" s="1"/>
  <c r="G75" i="91"/>
  <c r="G78" i="91" s="1"/>
  <c r="K41" i="61"/>
  <c r="N17" i="61"/>
  <c r="E35" i="79"/>
  <c r="E36" i="79" s="1"/>
  <c r="E44" i="79" s="1"/>
  <c r="F32" i="89"/>
  <c r="F34" i="89" s="1"/>
  <c r="I37" i="91"/>
  <c r="K40" i="79"/>
  <c r="N11" i="79"/>
  <c r="E34" i="79" s="1"/>
  <c r="E42" i="60"/>
  <c r="E42" i="86"/>
  <c r="H21" i="91"/>
  <c r="K3" i="91"/>
  <c r="H2" i="91"/>
  <c r="G2" i="91"/>
  <c r="G14" i="91" s="1"/>
  <c r="G36" i="91" s="1"/>
  <c r="G21" i="91"/>
  <c r="G38" i="91" s="1"/>
  <c r="G32" i="91"/>
  <c r="D37" i="89"/>
  <c r="C20" i="89" s="1"/>
  <c r="H20" i="91"/>
  <c r="E40" i="71"/>
  <c r="E36" i="71" s="1"/>
  <c r="E44" i="71" s="1"/>
  <c r="I14" i="89"/>
  <c r="E41" i="79"/>
  <c r="F47" i="89"/>
  <c r="F48" i="89" s="1"/>
  <c r="F54" i="89" s="1"/>
  <c r="F56" i="89" s="1"/>
  <c r="F8" i="89" s="1"/>
  <c r="F64" i="89"/>
  <c r="F70" i="89"/>
  <c r="F69" i="89"/>
  <c r="F74" i="89"/>
  <c r="G76" i="90"/>
  <c r="G79" i="90" s="1"/>
  <c r="G75" i="90"/>
  <c r="G78" i="90" s="1"/>
  <c r="E41" i="71"/>
  <c r="D37" i="91"/>
  <c r="C20" i="91" s="1"/>
  <c r="N18" i="77"/>
  <c r="K42" i="77"/>
  <c r="I20" i="89"/>
  <c r="I37" i="89" s="1"/>
  <c r="I2" i="89"/>
  <c r="I21" i="89"/>
  <c r="I38" i="89" s="1"/>
  <c r="I32" i="89"/>
  <c r="E40" i="77"/>
  <c r="E36" i="77" s="1"/>
  <c r="E44" i="77" s="1"/>
  <c r="D33" i="89"/>
  <c r="I2" i="91"/>
  <c r="F2" i="91"/>
  <c r="E41" i="83"/>
  <c r="E40" i="83"/>
  <c r="D36" i="90"/>
  <c r="C14" i="90" s="1"/>
  <c r="D33" i="90" s="1"/>
  <c r="F21" i="91"/>
  <c r="F38" i="91" s="1"/>
  <c r="I21" i="91"/>
  <c r="I38" i="91" s="1"/>
  <c r="D37" i="90"/>
  <c r="C20" i="90" s="1"/>
  <c r="E40" i="60"/>
  <c r="D34" i="91"/>
  <c r="I32" i="91"/>
  <c r="D31" i="89"/>
  <c r="E42" i="71"/>
  <c r="E41" i="77"/>
  <c r="F75" i="90"/>
  <c r="F78" i="90" s="1"/>
  <c r="F76" i="90"/>
  <c r="F79" i="90" s="1"/>
  <c r="G64" i="89"/>
  <c r="G47" i="89"/>
  <c r="G48" i="89" s="1"/>
  <c r="G54" i="89" s="1"/>
  <c r="G56" i="89" s="1"/>
  <c r="G8" i="89" s="1"/>
  <c r="G70" i="89"/>
  <c r="G69" i="89"/>
  <c r="G74" i="89"/>
  <c r="H32" i="91"/>
  <c r="E35" i="83"/>
  <c r="G20" i="91"/>
  <c r="G37" i="91" s="1"/>
  <c r="E41" i="60"/>
  <c r="H34" i="90"/>
  <c r="F34" i="90"/>
  <c r="E41" i="86"/>
  <c r="E40" i="61"/>
  <c r="E35" i="61"/>
  <c r="E40" i="86"/>
  <c r="G2" i="89"/>
  <c r="G14" i="89" s="1"/>
  <c r="G36" i="89" s="1"/>
  <c r="G32" i="89"/>
  <c r="F64" i="90"/>
  <c r="F47" i="90"/>
  <c r="F48" i="90" s="1"/>
  <c r="F54" i="90" s="1"/>
  <c r="F56" i="90" s="1"/>
  <c r="F8" i="90" s="1"/>
  <c r="F70" i="90"/>
  <c r="F69" i="90"/>
  <c r="G47" i="90"/>
  <c r="G48" i="90" s="1"/>
  <c r="G54" i="90" s="1"/>
  <c r="G56" i="90" s="1"/>
  <c r="G8" i="90" s="1"/>
  <c r="G70" i="90"/>
  <c r="G64" i="90"/>
  <c r="G69" i="90"/>
  <c r="F2" i="90"/>
  <c r="F20" i="90"/>
  <c r="F37" i="90" s="1"/>
  <c r="F21" i="90"/>
  <c r="F38" i="90" s="1"/>
  <c r="G21" i="89"/>
  <c r="G38" i="89" s="1"/>
  <c r="H21" i="89"/>
  <c r="H38" i="89" s="1"/>
  <c r="H2" i="89"/>
  <c r="H14" i="89" s="1"/>
  <c r="H20" i="89"/>
  <c r="H37" i="89" s="1"/>
  <c r="H2" i="90"/>
  <c r="H14" i="90" s="1"/>
  <c r="H20" i="90"/>
  <c r="H37" i="90" s="1"/>
  <c r="H21" i="90"/>
  <c r="H38" i="90" s="1"/>
  <c r="D31" i="90"/>
  <c r="F47" i="91"/>
  <c r="F48" i="91" s="1"/>
  <c r="F54" i="91" s="1"/>
  <c r="F56" i="91" s="1"/>
  <c r="F8" i="91" s="1"/>
  <c r="F64" i="91"/>
  <c r="F70" i="91"/>
  <c r="F74" i="91"/>
  <c r="F69" i="91"/>
  <c r="F2" i="89"/>
  <c r="F20" i="89"/>
  <c r="F37" i="89" s="1"/>
  <c r="G2" i="90"/>
  <c r="G14" i="90" s="1"/>
  <c r="G36" i="90" s="1"/>
  <c r="G32" i="90"/>
  <c r="I2" i="90"/>
  <c r="I32" i="90"/>
  <c r="I21" i="90"/>
  <c r="I38" i="90" s="1"/>
  <c r="G47" i="91"/>
  <c r="G48" i="91" s="1"/>
  <c r="G54" i="91" s="1"/>
  <c r="G56" i="91" s="1"/>
  <c r="G8" i="91" s="1"/>
  <c r="G70" i="91"/>
  <c r="G64" i="91"/>
  <c r="G69" i="91"/>
  <c r="E42" i="79" l="1"/>
  <c r="K42" i="79" s="1"/>
  <c r="G81" i="90"/>
  <c r="G12" i="90" s="1"/>
  <c r="G81" i="91"/>
  <c r="G12" i="91" s="1"/>
  <c r="D35" i="89"/>
  <c r="D40" i="89" s="1"/>
  <c r="H14" i="91"/>
  <c r="K14" i="91" s="1"/>
  <c r="D33" i="91"/>
  <c r="F14" i="91"/>
  <c r="F36" i="91" s="1"/>
  <c r="D35" i="90"/>
  <c r="D40" i="90" s="1"/>
  <c r="C23" i="90" s="1"/>
  <c r="K44" i="77"/>
  <c r="N20" i="77"/>
  <c r="H36" i="90"/>
  <c r="H35" i="90" s="1"/>
  <c r="H40" i="90" s="1"/>
  <c r="H23" i="90" s="1"/>
  <c r="H25" i="90" s="1"/>
  <c r="H27" i="90" s="1"/>
  <c r="H33" i="90"/>
  <c r="F75" i="91"/>
  <c r="F78" i="91" s="1"/>
  <c r="F76" i="91"/>
  <c r="F79" i="91" s="1"/>
  <c r="N11" i="61"/>
  <c r="K40" i="61"/>
  <c r="K40" i="83"/>
  <c r="N11" i="83"/>
  <c r="F72" i="90"/>
  <c r="F13" i="90"/>
  <c r="N11" i="86"/>
  <c r="K40" i="86"/>
  <c r="K44" i="71"/>
  <c r="N20" i="71"/>
  <c r="I34" i="90"/>
  <c r="G34" i="89"/>
  <c r="H34" i="91"/>
  <c r="F81" i="90"/>
  <c r="F12" i="90" s="1"/>
  <c r="K40" i="60"/>
  <c r="N11" i="60"/>
  <c r="N17" i="71"/>
  <c r="K41" i="71"/>
  <c r="F76" i="89"/>
  <c r="F79" i="89" s="1"/>
  <c r="F75" i="89"/>
  <c r="F78" i="89" s="1"/>
  <c r="H38" i="91"/>
  <c r="K21" i="91"/>
  <c r="K42" i="60"/>
  <c r="N18" i="60"/>
  <c r="G34" i="90"/>
  <c r="K41" i="60"/>
  <c r="N17" i="60"/>
  <c r="K41" i="77"/>
  <c r="N17" i="77"/>
  <c r="G13" i="90"/>
  <c r="G72" i="90"/>
  <c r="E42" i="83"/>
  <c r="E36" i="83"/>
  <c r="E44" i="83" s="1"/>
  <c r="F72" i="91"/>
  <c r="F13" i="91"/>
  <c r="I14" i="90"/>
  <c r="I33" i="90" s="1"/>
  <c r="F14" i="90"/>
  <c r="F36" i="90" s="1"/>
  <c r="F72" i="89"/>
  <c r="F13" i="89"/>
  <c r="K41" i="79"/>
  <c r="N17" i="79"/>
  <c r="N18" i="86"/>
  <c r="K42" i="86"/>
  <c r="E36" i="60"/>
  <c r="E44" i="60" s="1"/>
  <c r="I36" i="89"/>
  <c r="G34" i="91"/>
  <c r="E36" i="86"/>
  <c r="E44" i="86" s="1"/>
  <c r="K44" i="79"/>
  <c r="N20" i="79"/>
  <c r="K41" i="86"/>
  <c r="N17" i="86"/>
  <c r="D38" i="91"/>
  <c r="C21" i="91" s="1"/>
  <c r="D35" i="91"/>
  <c r="D40" i="91" s="1"/>
  <c r="C23" i="91" s="1"/>
  <c r="K41" i="83"/>
  <c r="N17" i="83"/>
  <c r="K40" i="77"/>
  <c r="N11" i="77"/>
  <c r="N11" i="71"/>
  <c r="K40" i="71"/>
  <c r="E42" i="61"/>
  <c r="E36" i="61"/>
  <c r="E44" i="61" s="1"/>
  <c r="I33" i="91"/>
  <c r="I34" i="91"/>
  <c r="I35" i="91" s="1"/>
  <c r="I40" i="91" s="1"/>
  <c r="I23" i="91" s="1"/>
  <c r="I25" i="91" s="1"/>
  <c r="I27" i="91" s="1"/>
  <c r="G76" i="89"/>
  <c r="G79" i="89" s="1"/>
  <c r="G75" i="89"/>
  <c r="G78" i="89" s="1"/>
  <c r="N18" i="71"/>
  <c r="K42" i="71"/>
  <c r="H36" i="89"/>
  <c r="H35" i="89" s="1"/>
  <c r="H40" i="89" s="1"/>
  <c r="H23" i="89" s="1"/>
  <c r="H25" i="89" s="1"/>
  <c r="H27" i="89" s="1"/>
  <c r="H33" i="89"/>
  <c r="G13" i="91"/>
  <c r="G72" i="91"/>
  <c r="G13" i="89"/>
  <c r="G72" i="89"/>
  <c r="I33" i="89"/>
  <c r="I34" i="89"/>
  <c r="H37" i="91"/>
  <c r="K20" i="91"/>
  <c r="C25" i="90" l="1"/>
  <c r="C27" i="90" s="1"/>
  <c r="M27" i="90" s="1"/>
  <c r="N18" i="79"/>
  <c r="H36" i="91"/>
  <c r="H35" i="91" s="1"/>
  <c r="H40" i="91" s="1"/>
  <c r="H23" i="91" s="1"/>
  <c r="K23" i="91" s="1"/>
  <c r="H33" i="91"/>
  <c r="G33" i="91"/>
  <c r="G35" i="90"/>
  <c r="G40" i="90" s="1"/>
  <c r="G23" i="90" s="1"/>
  <c r="G25" i="90" s="1"/>
  <c r="G27" i="90" s="1"/>
  <c r="I35" i="89"/>
  <c r="I40" i="89" s="1"/>
  <c r="I23" i="89" s="1"/>
  <c r="I25" i="89" s="1"/>
  <c r="I27" i="89" s="1"/>
  <c r="G35" i="91"/>
  <c r="G40" i="91" s="1"/>
  <c r="G23" i="91" s="1"/>
  <c r="G25" i="91" s="1"/>
  <c r="G27" i="91" s="1"/>
  <c r="C23" i="89"/>
  <c r="C25" i="89" s="1"/>
  <c r="C27" i="89" s="1"/>
  <c r="M27" i="89" s="1"/>
  <c r="F33" i="90"/>
  <c r="F81" i="89"/>
  <c r="F12" i="89" s="1"/>
  <c r="F33" i="89" s="1"/>
  <c r="G81" i="89"/>
  <c r="G12" i="89" s="1"/>
  <c r="G33" i="89" s="1"/>
  <c r="F35" i="90"/>
  <c r="F40" i="90" s="1"/>
  <c r="F23" i="90" s="1"/>
  <c r="F25" i="90" s="1"/>
  <c r="F27" i="90" s="1"/>
  <c r="M30" i="90" s="1"/>
  <c r="M31" i="90" s="1"/>
  <c r="F81" i="91"/>
  <c r="G33" i="90"/>
  <c r="N23" i="77"/>
  <c r="E34" i="77"/>
  <c r="K44" i="61"/>
  <c r="N20" i="61"/>
  <c r="I36" i="90"/>
  <c r="I35" i="90" s="1"/>
  <c r="I40" i="90" s="1"/>
  <c r="I23" i="90" s="1"/>
  <c r="I25" i="90" s="1"/>
  <c r="I27" i="90" s="1"/>
  <c r="C25" i="91"/>
  <c r="C27" i="91" s="1"/>
  <c r="M27" i="91" s="1"/>
  <c r="K42" i="61"/>
  <c r="N18" i="61"/>
  <c r="N23" i="71"/>
  <c r="E34" i="71"/>
  <c r="K44" i="86"/>
  <c r="N20" i="86"/>
  <c r="N23" i="86" s="1"/>
  <c r="N25" i="86" s="1"/>
  <c r="N20" i="83"/>
  <c r="K44" i="83"/>
  <c r="K44" i="60"/>
  <c r="N20" i="60"/>
  <c r="N18" i="83"/>
  <c r="K42" i="83"/>
  <c r="E34" i="60"/>
  <c r="E34" i="86"/>
  <c r="E34" i="83"/>
  <c r="E34" i="61"/>
  <c r="N23" i="79" l="1"/>
  <c r="N25" i="79" s="1"/>
  <c r="Q25" i="79" s="1"/>
  <c r="G35" i="89"/>
  <c r="G40" i="89" s="1"/>
  <c r="G23" i="89" s="1"/>
  <c r="G25" i="89" s="1"/>
  <c r="G27" i="89" s="1"/>
  <c r="H25" i="91"/>
  <c r="H27" i="91" s="1"/>
  <c r="K27" i="91" s="1"/>
  <c r="F35" i="89"/>
  <c r="F40" i="89" s="1"/>
  <c r="F23" i="89" s="1"/>
  <c r="F25" i="89" s="1"/>
  <c r="F27" i="89" s="1"/>
  <c r="M30" i="89" s="1"/>
  <c r="M31" i="89" s="1"/>
  <c r="N23" i="61"/>
  <c r="N25" i="61" s="1"/>
  <c r="N23" i="83"/>
  <c r="N25" i="83" s="1"/>
  <c r="Q25" i="83" s="1"/>
  <c r="F12" i="91"/>
  <c r="F35" i="91"/>
  <c r="F40" i="91" s="1"/>
  <c r="F23" i="91" s="1"/>
  <c r="N25" i="71"/>
  <c r="Q25" i="71" s="1"/>
  <c r="N23" i="60"/>
  <c r="N25" i="77"/>
  <c r="Q25" i="77" s="1"/>
  <c r="K25" i="91" l="1"/>
  <c r="F25" i="91"/>
  <c r="F27" i="91" s="1"/>
  <c r="M30" i="91" s="1"/>
  <c r="M31" i="91" s="1"/>
  <c r="F33" i="91"/>
  <c r="Q24" i="79"/>
  <c r="Q24" i="71"/>
  <c r="Q24" i="77"/>
  <c r="N25" i="60"/>
  <c r="R27" i="60" s="1"/>
  <c r="Q24" i="83"/>
  <c r="R26" i="6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tc={93254F0C-41C3-4AC5-9762-8EAFF2557B43}</author>
  </authors>
  <commentList>
    <comment ref="Q219" authorId="0" shapeId="0" xr:uid="{93254F0C-41C3-4AC5-9762-8EAFF2557B43}">
      <text>
        <t>[Threaded comment]
Your version of Excel allows you to read this threaded comment; however, any edits to it will get removed if the file is opened in a newer version of Excel. Learn more: https://go.microsoft.com/fwlink/?linkid=870924
Comment:
    Catalina - to discuss - should this be included or removed because item 2019-17 is out of scope?</t>
      </text>
    </comment>
  </commentList>
</comments>
</file>

<file path=xl/sharedStrings.xml><?xml version="1.0" encoding="utf-8"?>
<sst xmlns="http://schemas.openxmlformats.org/spreadsheetml/2006/main" count="84214" uniqueCount="7826">
  <si>
    <t>Mary River Project - Complete Project Security Assesment - Estimate Breakdown Structure'</t>
  </si>
  <si>
    <t xml:space="preserve"> </t>
  </si>
  <si>
    <t>C&amp;M</t>
  </si>
  <si>
    <t>Closure</t>
  </si>
  <si>
    <t>Post Closure</t>
  </si>
  <si>
    <t>Level 0 - Site Location</t>
  </si>
  <si>
    <t>Level 0 - Description</t>
  </si>
  <si>
    <t>Level 1 - Area</t>
  </si>
  <si>
    <t>Level 1 - Description</t>
  </si>
  <si>
    <t>Level 2 - Facility / System</t>
  </si>
  <si>
    <t>Level 2 - Description</t>
  </si>
  <si>
    <t>Level 3 - Sub Facility / Sub System</t>
  </si>
  <si>
    <t>Level 3 - Description</t>
  </si>
  <si>
    <t>ID CODE</t>
  </si>
  <si>
    <t>Equipment Type</t>
  </si>
  <si>
    <t xml:space="preserve">Price Code </t>
  </si>
  <si>
    <t>Price Code Description</t>
  </si>
  <si>
    <t>Qty Code</t>
  </si>
  <si>
    <t>Area - QTY Code</t>
  </si>
  <si>
    <t>QTY Code Description</t>
  </si>
  <si>
    <t>Type</t>
  </si>
  <si>
    <t>Description</t>
  </si>
  <si>
    <t>Tag Number</t>
  </si>
  <si>
    <t>QTY</t>
  </si>
  <si>
    <t>Unit</t>
  </si>
  <si>
    <t>Manhours Per Unit</t>
  </si>
  <si>
    <t>Unit Fuel Consumption</t>
  </si>
  <si>
    <t>Unit Labour</t>
  </si>
  <si>
    <t>Unit Equipment</t>
  </si>
  <si>
    <t>Unit Rate</t>
  </si>
  <si>
    <t>Total Manhours</t>
  </si>
  <si>
    <t>Total Fuel Consumption</t>
  </si>
  <si>
    <t>Total Labour</t>
  </si>
  <si>
    <t>Total Equipment</t>
  </si>
  <si>
    <t>Total Cost ($)</t>
  </si>
  <si>
    <t>Unit M3</t>
  </si>
  <si>
    <t>Total Vol (m3)</t>
  </si>
  <si>
    <t>IOL (%)</t>
  </si>
  <si>
    <t>Crown Land  (%)</t>
  </si>
  <si>
    <t>Water Liability  (%)</t>
  </si>
  <si>
    <t>Land Liability  (%)</t>
  </si>
  <si>
    <t>IOL Cost ($)</t>
  </si>
  <si>
    <t>Crown Land Cost ($)</t>
  </si>
  <si>
    <t>Water Liability Cost ($)</t>
  </si>
  <si>
    <t>Land Liability Cost ($)</t>
  </si>
  <si>
    <t>License</t>
  </si>
  <si>
    <t>Adjustment Tag</t>
  </si>
  <si>
    <t>Associated Work Plan</t>
  </si>
  <si>
    <t>Type of Costs</t>
  </si>
  <si>
    <t>Year 0 - %</t>
  </si>
  <si>
    <t>Year 0+1 - %</t>
  </si>
  <si>
    <t>Year 1 - %</t>
  </si>
  <si>
    <t>Year 2 - %</t>
  </si>
  <si>
    <t>Year 3 - %</t>
  </si>
  <si>
    <t>Year 4 - %</t>
  </si>
  <si>
    <t>Year 5 - %</t>
  </si>
  <si>
    <t>Year 6 - %</t>
  </si>
  <si>
    <t>Year 7 - %</t>
  </si>
  <si>
    <t>Year 8 - %</t>
  </si>
  <si>
    <t>Year 16 - %</t>
  </si>
  <si>
    <t>Year 17 - %</t>
  </si>
  <si>
    <t>Year 18 - %</t>
  </si>
  <si>
    <t>Year 0- Cost ($)</t>
  </si>
  <si>
    <t>Year 0+1- Cost ($)</t>
  </si>
  <si>
    <t>Year 1 - Cost ($)</t>
  </si>
  <si>
    <t>Year 2 - Cost ($)</t>
  </si>
  <si>
    <t>Year 3 - Cost ($)</t>
  </si>
  <si>
    <t>Year 4 - Cost ($)</t>
  </si>
  <si>
    <t>Year 5 - Cost ($)</t>
  </si>
  <si>
    <t>Year 6 - Cost ($)</t>
  </si>
  <si>
    <t>Year 7 - Cost ($)</t>
  </si>
  <si>
    <t>Year 8 - Cost ($)</t>
  </si>
  <si>
    <t>Year 16 - Cost ($)</t>
  </si>
  <si>
    <t>Year 17 - Cost ($)</t>
  </si>
  <si>
    <t>Year 18 - Cost ($)</t>
  </si>
  <si>
    <t>Notes</t>
  </si>
  <si>
    <t>Uncertainty</t>
  </si>
  <si>
    <t>Required Reclamation Activities</t>
  </si>
  <si>
    <t>Project Wide</t>
  </si>
  <si>
    <t>General (Project Controls Use)</t>
  </si>
  <si>
    <t>A2</t>
  </si>
  <si>
    <t>Fill Application</t>
  </si>
  <si>
    <t>Fill</t>
  </si>
  <si>
    <t>Site Works</t>
  </si>
  <si>
    <t>Fill Application - 2014</t>
  </si>
  <si>
    <t>Type A  
2AM-MRY1325</t>
  </si>
  <si>
    <t>Modified</t>
  </si>
  <si>
    <t xml:space="preserve">Direct </t>
  </si>
  <si>
    <t>Fill Application - 2015</t>
  </si>
  <si>
    <t>Fill Application - 2016</t>
  </si>
  <si>
    <t>Added</t>
  </si>
  <si>
    <t>CON</t>
  </si>
  <si>
    <t>Consumables</t>
  </si>
  <si>
    <t>Consumables - addition of 49 person camp</t>
  </si>
  <si>
    <t>Fill Application - 2017</t>
  </si>
  <si>
    <t>Fill Application - 2021-D</t>
  </si>
  <si>
    <t>Removed</t>
  </si>
  <si>
    <t>2021-D</t>
  </si>
  <si>
    <t>Fill Application - 2021 &amp; 2021-R</t>
  </si>
  <si>
    <t>Fill Application - 2020-AR</t>
  </si>
  <si>
    <t>Fill Application - 2020 &amp; 2020-R</t>
  </si>
  <si>
    <t>Fill Application - 2019 &amp; 2019-R</t>
  </si>
  <si>
    <t>Fill Application - 2018-C1 &amp; 2018-R</t>
  </si>
  <si>
    <t>2018-C1</t>
  </si>
  <si>
    <t>Fill Application - 2018-C2</t>
  </si>
  <si>
    <t>2018-C2</t>
  </si>
  <si>
    <t>Fill Application - 2015 A</t>
  </si>
  <si>
    <t>2015 A</t>
  </si>
  <si>
    <t>2015 R</t>
  </si>
  <si>
    <t>Fill Application - Shiploader</t>
  </si>
  <si>
    <t>Fill Application - 2015 R</t>
  </si>
  <si>
    <t>Fill Application - 2017-A</t>
  </si>
  <si>
    <t>2017-A</t>
  </si>
  <si>
    <t>Fill Application - 2022</t>
  </si>
  <si>
    <t>Fill Application - 2022-R</t>
  </si>
  <si>
    <t>2022-R</t>
  </si>
  <si>
    <t>Fill Application - 2023</t>
  </si>
  <si>
    <t>Fill Application - 2023-R</t>
  </si>
  <si>
    <t>2023-R</t>
  </si>
  <si>
    <t>Milne Port</t>
  </si>
  <si>
    <t>General</t>
  </si>
  <si>
    <t/>
  </si>
  <si>
    <t>Communication and IT Infrastructure</t>
  </si>
  <si>
    <t>001</t>
  </si>
  <si>
    <t>BLD</t>
  </si>
  <si>
    <t>FF4</t>
  </si>
  <si>
    <t>FC</t>
  </si>
  <si>
    <t>Buildings (Not Contaminated)</t>
  </si>
  <si>
    <t>ISO Shipping Containers</t>
  </si>
  <si>
    <t>Communication Shed  - Demolish Building - ISO Shipping Container</t>
  </si>
  <si>
    <t>2110-BLD-001</t>
  </si>
  <si>
    <t>Type B Construction
2BC-MRY1416</t>
  </si>
  <si>
    <t>Not Contaminated</t>
  </si>
  <si>
    <t>2110</t>
  </si>
  <si>
    <t>Satellite Dish Sea Can - Demolish and Decontaminate Building - Undefined</t>
  </si>
  <si>
    <t>2110-BLD-002</t>
  </si>
  <si>
    <t>m2</t>
  </si>
  <si>
    <t>Satellite Dish Sea Can - Demolish and foundations - Undefined</t>
  </si>
  <si>
    <t>Satellite Dish Sea Can - Demolish floor finish - Undefined</t>
  </si>
  <si>
    <t>002</t>
  </si>
  <si>
    <t>EG</t>
  </si>
  <si>
    <t>Flooring / Foundations</t>
  </si>
  <si>
    <t>Gravel Base</t>
  </si>
  <si>
    <t>Communication Shed  - Demolish and foundations - Gravel Base - Skidded Building</t>
  </si>
  <si>
    <t>003</t>
  </si>
  <si>
    <t>FW</t>
  </si>
  <si>
    <t>Wood Floor</t>
  </si>
  <si>
    <t>Communication Shed  - Demolish floor finish - Raised Steel or Wooden Floor</t>
  </si>
  <si>
    <t>Site Development</t>
  </si>
  <si>
    <t>Construction Laydown</t>
  </si>
  <si>
    <t>A3</t>
  </si>
  <si>
    <t>Grade and Re-Contour</t>
  </si>
  <si>
    <t>Grade and Contour</t>
  </si>
  <si>
    <t>Disturbed Area @ Milne Port (adjacent to Steel Tank Farm)</t>
  </si>
  <si>
    <t>-</t>
  </si>
  <si>
    <t>Milne Port Footprint Reclamation Drawing H349000-2000-00-015-0020</t>
  </si>
  <si>
    <t>Milne Laydown Area</t>
  </si>
  <si>
    <t>Laydown LP3</t>
  </si>
  <si>
    <t xml:space="preserve">Construction of berm and linear steel support structure on laydown LP3 </t>
  </si>
  <si>
    <t>2019-7</t>
  </si>
  <si>
    <t>Laydown LP5</t>
  </si>
  <si>
    <t>Laydown LP2</t>
  </si>
  <si>
    <t>Laydown LP7</t>
  </si>
  <si>
    <t>Laydown LP1</t>
  </si>
  <si>
    <t>2019-R</t>
  </si>
  <si>
    <t>Laydown LP4</t>
  </si>
  <si>
    <t>Laydown LP6</t>
  </si>
  <si>
    <t>Milne Port Module Road 2018</t>
  </si>
  <si>
    <t>Milne Port Q1 Access Road</t>
  </si>
  <si>
    <t>Milne Port Surface Water Management Diversion Berms &amp; Ditching</t>
  </si>
  <si>
    <t>2020-7</t>
  </si>
  <si>
    <t>Grade and Re-Contour Building Footprints</t>
  </si>
  <si>
    <t>Site Roads</t>
  </si>
  <si>
    <t>Assumption</t>
  </si>
  <si>
    <t>Camp Pad @ Milne Port</t>
  </si>
  <si>
    <t>2140</t>
  </si>
  <si>
    <t>Mobile Equipment</t>
  </si>
  <si>
    <t>TK-</t>
  </si>
  <si>
    <t>MT5-d</t>
  </si>
  <si>
    <t>Mechanical Equipment</t>
  </si>
  <si>
    <t>Medium Mobile Diesel Tanks</t>
  </si>
  <si>
    <t>3rd Party Contractor</t>
  </si>
  <si>
    <t xml:space="preserve">TK Portable Fuel Tank </t>
  </si>
  <si>
    <t>2018-MAY</t>
  </si>
  <si>
    <t>TK Large Fuel Tank for Generators (22,500L)</t>
  </si>
  <si>
    <t>Diesel Tank 22,500 L</t>
  </si>
  <si>
    <t>10,000 Gallon tank (gas and diesel)</t>
  </si>
  <si>
    <t>Gas Tank 50,000L</t>
  </si>
  <si>
    <t>MT1-d</t>
  </si>
  <si>
    <t>Light Diesel Tanks</t>
  </si>
  <si>
    <t>3rd Party Equipment</t>
  </si>
  <si>
    <t>Diesel Tank 1,000L</t>
  </si>
  <si>
    <t>2020-R</t>
  </si>
  <si>
    <t>Diesel Tank 9,000L</t>
  </si>
  <si>
    <t>Diesel Tank 10,000L</t>
  </si>
  <si>
    <t>TANK, DOUBLE WALLED 2494 LITER</t>
  </si>
  <si>
    <t>MT1</t>
  </si>
  <si>
    <t>Light Tanks</t>
  </si>
  <si>
    <t>4400 GAL STAINLESS STEEL WATER TANK</t>
  </si>
  <si>
    <t>SEWAGE TANK SERAIL # ST111-0716</t>
  </si>
  <si>
    <t>WATER TANK SERIAL # WT110-0070</t>
  </si>
  <si>
    <t>2017 - Diesel tanks on sea lift</t>
  </si>
  <si>
    <t>2018-R</t>
  </si>
  <si>
    <t>Road Upgrade</t>
  </si>
  <si>
    <t>Cu</t>
  </si>
  <si>
    <t>cu</t>
  </si>
  <si>
    <t>Culvert Removal</t>
  </si>
  <si>
    <t>Culverts - IOL</t>
  </si>
  <si>
    <t>Marine</t>
  </si>
  <si>
    <t>2220</t>
  </si>
  <si>
    <t>Ore Dock</t>
  </si>
  <si>
    <t>2223</t>
  </si>
  <si>
    <t>Dock Office</t>
  </si>
  <si>
    <t>099</t>
  </si>
  <si>
    <t>FTR1</t>
  </si>
  <si>
    <t>Single Trailers (modular)</t>
  </si>
  <si>
    <t>Dock Office - Demolish and Decontaminate Building - Trailer - Single</t>
  </si>
  <si>
    <t>2223-BLD-001</t>
  </si>
  <si>
    <t>100</t>
  </si>
  <si>
    <t>Dock Office - Demolish and foundations - Gravel Base - Skidded Building</t>
  </si>
  <si>
    <t>101</t>
  </si>
  <si>
    <t>Dock Office - Demolish floor finish - Raised Steel or Wooden Floor</t>
  </si>
  <si>
    <t>Material Handling</t>
  </si>
  <si>
    <t>2340</t>
  </si>
  <si>
    <t>Stockpile</t>
  </si>
  <si>
    <t xml:space="preserve">2342 </t>
  </si>
  <si>
    <t>Ore Reclaim System</t>
  </si>
  <si>
    <t>129</t>
  </si>
  <si>
    <t>CV-</t>
  </si>
  <si>
    <t>CV</t>
  </si>
  <si>
    <t>Reclaim Conveyor</t>
  </si>
  <si>
    <t>CONVEYING  - RECLAIM CONVEYOR - FAM  
L: 850000, W: 1524, H: 47000 VERTICAL LIFT SEE REMARKS kg</t>
  </si>
  <si>
    <t>2342-CV-001</t>
  </si>
  <si>
    <t>2342</t>
  </si>
  <si>
    <t>Shiploading E-House - Demolish and Decontaminate Building - Special Modular / Prefabricated</t>
  </si>
  <si>
    <t>2342-BLD-001</t>
  </si>
  <si>
    <t>Shiploading E-House - Demolish and foundations - Gravel Base - Skidded Building</t>
  </si>
  <si>
    <t>Shiploading E-House - Demolish floor finish - Raised Steel or Wooden Floor</t>
  </si>
  <si>
    <t>130</t>
  </si>
  <si>
    <t>MT-</t>
  </si>
  <si>
    <t xml:space="preserve">RECLAIM CONVEYOR  </t>
  </si>
  <si>
    <t>2342-MT-001</t>
  </si>
  <si>
    <t>Ea</t>
  </si>
  <si>
    <t>Cross' Conveyor at Ore Stockpile Pad (assume 1/6 length of existing shiploader conveyor)</t>
  </si>
  <si>
    <t xml:space="preserve">2341 </t>
  </si>
  <si>
    <t>Ore Stacking System</t>
  </si>
  <si>
    <t>Ore Stockpile Laydown</t>
  </si>
  <si>
    <t>Ore Stockpile Footprints</t>
  </si>
  <si>
    <t>32,216.45 m2/stockpile</t>
  </si>
  <si>
    <t>Ore Stockpile Pad Expansion</t>
  </si>
  <si>
    <t>Ore Stockpile Pad Expansion 2019</t>
  </si>
  <si>
    <t>2019-6</t>
  </si>
  <si>
    <t>Ore Stockpile Laydown - Realignment of the shipload conveyor</t>
  </si>
  <si>
    <t>Additional sealift laydown area</t>
  </si>
  <si>
    <t>Stockpile Settling Pond</t>
  </si>
  <si>
    <t>A3l</t>
  </si>
  <si>
    <t>Grade and Re-Contour With Liner</t>
  </si>
  <si>
    <t>Ore Stockpile Settling Ponds</t>
  </si>
  <si>
    <t>6,958.48 m2 – Pond #1 4,465.28 m2 – Pond #2</t>
  </si>
  <si>
    <t>Ore Stockpile Sedimentation - New 2019</t>
  </si>
  <si>
    <t>Ore Stockpile Sedimentation Pond 2a</t>
  </si>
  <si>
    <t>2019-25</t>
  </si>
  <si>
    <t>Ore Stockpile Sedimentation Pond 1a</t>
  </si>
  <si>
    <t>2350</t>
  </si>
  <si>
    <t>Ship Loading</t>
  </si>
  <si>
    <t>2351</t>
  </si>
  <si>
    <t>Ship Loading System</t>
  </si>
  <si>
    <t>SL-</t>
  </si>
  <si>
    <t>VP6</t>
  </si>
  <si>
    <t>Packaged
Facilities</t>
  </si>
  <si>
    <t>Ship Loader</t>
  </si>
  <si>
    <t>Shiploader Package</t>
  </si>
  <si>
    <t>2351-SL-001</t>
  </si>
  <si>
    <t>Shiploader E-House #1 - Demolish and Decontaminate Building - Undefined</t>
  </si>
  <si>
    <t>Shiploader E-House #1 - Demolish and foundations - Undefined</t>
  </si>
  <si>
    <t>Shiploader E-House #1 - Demolish floor finish - Undefined</t>
  </si>
  <si>
    <t>Shiploader E-House #2 - Demolish and Decontaminate Building - Undefined</t>
  </si>
  <si>
    <t>2351-SL-002</t>
  </si>
  <si>
    <t>Shiploader E-House #2 - Demolish and foundations - Undefined</t>
  </si>
  <si>
    <t>Shiploader E-House #2 - Demolish floor finish - Undefined</t>
  </si>
  <si>
    <t xml:space="preserve">2351 </t>
  </si>
  <si>
    <t>152</t>
  </si>
  <si>
    <t>CH-</t>
  </si>
  <si>
    <t xml:space="preserve">CHUTE / DIVERTER  - SHIPLOADER PROPORTIONAL GATE - FAM  </t>
  </si>
  <si>
    <t>2351-CH-003</t>
  </si>
  <si>
    <t>153</t>
  </si>
  <si>
    <t xml:space="preserve">CHUTE / DIVERTER  - SHIPLOADING PROPORTIONAL DIVERTER DISCHARGE CHUTE - FAM  </t>
  </si>
  <si>
    <t>2351-CH-004</t>
  </si>
  <si>
    <t>154</t>
  </si>
  <si>
    <t>2351-CH-005</t>
  </si>
  <si>
    <t>155</t>
  </si>
  <si>
    <t xml:space="preserve">CHUTE / DIVERTER  - SHIPLOADER DISCHARGE CHUTE - FAM  </t>
  </si>
  <si>
    <t>2351-CH-006</t>
  </si>
  <si>
    <t>156</t>
  </si>
  <si>
    <t xml:space="preserve">CHUTE / DIVERTER  - SHIPLOADER LINK CONVEYOR DISCHARGE CHUTE - FAM  </t>
  </si>
  <si>
    <t>2351-CH-008</t>
  </si>
  <si>
    <t>157</t>
  </si>
  <si>
    <t>2351-CH-009</t>
  </si>
  <si>
    <t>158</t>
  </si>
  <si>
    <t>CONVEYING  - SHIPLOADER LINK CONVEYOR - FAM  212330 kg</t>
  </si>
  <si>
    <t>2351-CV-007</t>
  </si>
  <si>
    <t>159</t>
  </si>
  <si>
    <t xml:space="preserve">   SHIPLOADER LINK CONVEYOR DRIVE  </t>
  </si>
  <si>
    <t>2351-MT-007A</t>
  </si>
  <si>
    <t>160</t>
  </si>
  <si>
    <t xml:space="preserve">   SHIPLOADER LINK CONVEYOR BRAKE  </t>
  </si>
  <si>
    <t>2351-MT-007B</t>
  </si>
  <si>
    <t>161</t>
  </si>
  <si>
    <t xml:space="preserve">   SHIPLOADER LINK CONVEYOR DIVIDER CHUTE MOVING SADDLE  </t>
  </si>
  <si>
    <t>2351-MT-007C</t>
  </si>
  <si>
    <t>162</t>
  </si>
  <si>
    <t xml:space="preserve">   SHIPLOADER LINK CONVEYOR DEDUSTING SYSTEM FAN  </t>
  </si>
  <si>
    <t>2351-MT-007D</t>
  </si>
  <si>
    <t>163</t>
  </si>
  <si>
    <t xml:space="preserve">   SHIPLOADER LINK CONVEYOR DEDUSTING SYSTEM COMPRESSOR  </t>
  </si>
  <si>
    <t>2351-MT-007E</t>
  </si>
  <si>
    <t>164</t>
  </si>
  <si>
    <t xml:space="preserve">   SHIPLOADER LINK CONVEYOR MAINTENANCE WINCH  </t>
  </si>
  <si>
    <t>2351-MT-007F</t>
  </si>
  <si>
    <t>165</t>
  </si>
  <si>
    <t>2351-MT-007G</t>
  </si>
  <si>
    <t>166</t>
  </si>
  <si>
    <t>SHIPLOADER  - SHIPLOADER  - FAM  1960000 kg</t>
  </si>
  <si>
    <t>167</t>
  </si>
  <si>
    <t xml:space="preserve">   SHIPLOADER BOOM CONVEYOR DRIVE  </t>
  </si>
  <si>
    <t>2351-MT-001A</t>
  </si>
  <si>
    <t>170</t>
  </si>
  <si>
    <t xml:space="preserve">   SHIPLOADER BOOM CONVEYOR BRAKE  </t>
  </si>
  <si>
    <t>2351-MT-001B</t>
  </si>
  <si>
    <t>171</t>
  </si>
  <si>
    <t xml:space="preserve">   SHIPLOADER HOISTING WINCH DRIVE TELESCOPIC CHUTE  </t>
  </si>
  <si>
    <t>2351-MT-001C</t>
  </si>
  <si>
    <t>172</t>
  </si>
  <si>
    <t xml:space="preserve">   SHIPLOADER SLEWING DRIVE  </t>
  </si>
  <si>
    <t>2351-MT-001D</t>
  </si>
  <si>
    <t>173</t>
  </si>
  <si>
    <t>2351-MT-001E</t>
  </si>
  <si>
    <t>174</t>
  </si>
  <si>
    <t xml:space="preserve">   SHIPLOADER SLEWING DRIVE BRAKE  </t>
  </si>
  <si>
    <t>2351-MT-001F</t>
  </si>
  <si>
    <t>175</t>
  </si>
  <si>
    <t>2351-MT-001G</t>
  </si>
  <si>
    <t>176</t>
  </si>
  <si>
    <t xml:space="preserve">   SHIPLOADER SLEWING DRIVE TRIMMING SPOON  </t>
  </si>
  <si>
    <t>2351-MT-001H</t>
  </si>
  <si>
    <t>177</t>
  </si>
  <si>
    <t xml:space="preserve">   SHIPLOADER LUFFING DRIVE TRIMMING SPOON  </t>
  </si>
  <si>
    <t>2351-MT-001J</t>
  </si>
  <si>
    <t>178</t>
  </si>
  <si>
    <t xml:space="preserve">   SHIPLOADER SHUTTLE DRIVE DISCHARGE CONVEYOR  </t>
  </si>
  <si>
    <t>2351-MT-001K</t>
  </si>
  <si>
    <t>179</t>
  </si>
  <si>
    <t xml:space="preserve">   SHIPLOADER SHUTTLE DRIVE FAN  </t>
  </si>
  <si>
    <t>2351-MT-001L</t>
  </si>
  <si>
    <t>180</t>
  </si>
  <si>
    <t xml:space="preserve">   SHIPLOADER CENTRAL LUBE SYSTEM  </t>
  </si>
  <si>
    <t>2351-MT-001M</t>
  </si>
  <si>
    <t>181</t>
  </si>
  <si>
    <t xml:space="preserve">   SHIPLOADER PINION LUBE SYSTEM  </t>
  </si>
  <si>
    <t>2351-MT-001N</t>
  </si>
  <si>
    <t>182</t>
  </si>
  <si>
    <t xml:space="preserve">   SHIPLOADER DEDUSTING SYSTEM FAN  </t>
  </si>
  <si>
    <t>2351-MT-001P</t>
  </si>
  <si>
    <t>183</t>
  </si>
  <si>
    <t xml:space="preserve">   SHIPLOADER DEDUSTING SYSTEM COMPRESSOR  </t>
  </si>
  <si>
    <t>2351-MT-001Q</t>
  </si>
  <si>
    <t>184</t>
  </si>
  <si>
    <t>2351-MT-001R</t>
  </si>
  <si>
    <t>185</t>
  </si>
  <si>
    <t>2351-MT-001S</t>
  </si>
  <si>
    <t>186</t>
  </si>
  <si>
    <t xml:space="preserve">   SHIPLOADER MAINTENANCE WINCH  </t>
  </si>
  <si>
    <t>2351-MT-001T</t>
  </si>
  <si>
    <t>187</t>
  </si>
  <si>
    <t>2351-MT-001U</t>
  </si>
  <si>
    <t>193</t>
  </si>
  <si>
    <t xml:space="preserve">SHIPLOADER  - SHIPLOADER  - FAM  </t>
  </si>
  <si>
    <t>194</t>
  </si>
  <si>
    <t>2351-MT-002A</t>
  </si>
  <si>
    <t>197</t>
  </si>
  <si>
    <t>2351-MT-002B</t>
  </si>
  <si>
    <t>198</t>
  </si>
  <si>
    <t>2351-MT-002C</t>
  </si>
  <si>
    <t>199</t>
  </si>
  <si>
    <t>2351-MT-002D</t>
  </si>
  <si>
    <t>200</t>
  </si>
  <si>
    <t>2351-MT-002E</t>
  </si>
  <si>
    <t>201</t>
  </si>
  <si>
    <t>2351-MT-002F</t>
  </si>
  <si>
    <t>202</t>
  </si>
  <si>
    <t>2351-MT-002G</t>
  </si>
  <si>
    <t>203</t>
  </si>
  <si>
    <t>2351-MT-002H</t>
  </si>
  <si>
    <t>204</t>
  </si>
  <si>
    <t>2351-MT-002J</t>
  </si>
  <si>
    <t>205</t>
  </si>
  <si>
    <t>2351-MT-002K</t>
  </si>
  <si>
    <t>206</t>
  </si>
  <si>
    <t xml:space="preserve">   SHIPLOADER SHUTTLE DRIVE BRAKE  </t>
  </si>
  <si>
    <t>2351-MT-002L</t>
  </si>
  <si>
    <t>207</t>
  </si>
  <si>
    <t>2351-MT-002M</t>
  </si>
  <si>
    <t>208</t>
  </si>
  <si>
    <t>2351-MT-002N</t>
  </si>
  <si>
    <t>209</t>
  </si>
  <si>
    <t>2351-MT-002P</t>
  </si>
  <si>
    <t>210</t>
  </si>
  <si>
    <t>2351-MT-002Q</t>
  </si>
  <si>
    <t>211</t>
  </si>
  <si>
    <t>2351-MT-002R</t>
  </si>
  <si>
    <t>212</t>
  </si>
  <si>
    <t>2351-MT-002S</t>
  </si>
  <si>
    <t>213</t>
  </si>
  <si>
    <t>2351-MT-002T</t>
  </si>
  <si>
    <t>214</t>
  </si>
  <si>
    <t>2351-MT-002U</t>
  </si>
  <si>
    <t>168</t>
  </si>
  <si>
    <t xml:space="preserve">SPOT  </t>
  </si>
  <si>
    <t>2351-MT-001AA</t>
  </si>
  <si>
    <t>169</t>
  </si>
  <si>
    <t xml:space="preserve">FEEDER CABIN  </t>
  </si>
  <si>
    <t>2351-MT-001AB</t>
  </si>
  <si>
    <t>188</t>
  </si>
  <si>
    <t xml:space="preserve">AIR CONDITIONER E-HOUSE  </t>
  </si>
  <si>
    <t>2351-MT-001V</t>
  </si>
  <si>
    <t>189</t>
  </si>
  <si>
    <t xml:space="preserve">HEATER E-HOUSE  </t>
  </si>
  <si>
    <t>2351-MT-001W</t>
  </si>
  <si>
    <t>190</t>
  </si>
  <si>
    <t xml:space="preserve">DUST COLLECTOR E-HOUSE  </t>
  </si>
  <si>
    <t>2351-MT-001X</t>
  </si>
  <si>
    <t>191</t>
  </si>
  <si>
    <t xml:space="preserve">WELDING RECEPTACLE  </t>
  </si>
  <si>
    <t>2351-MT-001Y</t>
  </si>
  <si>
    <t>192</t>
  </si>
  <si>
    <t xml:space="preserve">HEATER/ILLUMINATION OUTDOOR/INDOOR SWITCH GEAR  </t>
  </si>
  <si>
    <t>2351-MT-001Z</t>
  </si>
  <si>
    <t>195</t>
  </si>
  <si>
    <t>2351-MT-002AA</t>
  </si>
  <si>
    <t>196</t>
  </si>
  <si>
    <t>2351-MT-002AB</t>
  </si>
  <si>
    <t>215</t>
  </si>
  <si>
    <t>2351-MT-002V</t>
  </si>
  <si>
    <t>216</t>
  </si>
  <si>
    <t>2351-MT-002W</t>
  </si>
  <si>
    <t>217</t>
  </si>
  <si>
    <t>2351-MT-002X</t>
  </si>
  <si>
    <t>218</t>
  </si>
  <si>
    <t>2351-MT-002Y</t>
  </si>
  <si>
    <t>219</t>
  </si>
  <si>
    <t>2351-MT-002Z</t>
  </si>
  <si>
    <t>Aerodrome</t>
  </si>
  <si>
    <t>Non Process Facilities</t>
  </si>
  <si>
    <t>2510</t>
  </si>
  <si>
    <t>Accommodations Area</t>
  </si>
  <si>
    <t>2512</t>
  </si>
  <si>
    <t>Accommodation Wings</t>
  </si>
  <si>
    <t>237</t>
  </si>
  <si>
    <t>FS</t>
  </si>
  <si>
    <t>Prefabricated Special Modular</t>
  </si>
  <si>
    <t>Accommodation Wing BA - Demolish and Decontaminate Building - Special Modular / Prefabricated</t>
  </si>
  <si>
    <t>2512-BLD-001</t>
  </si>
  <si>
    <t>240</t>
  </si>
  <si>
    <t>Accommodation Wing BB - Demolish and Decontaminate Building - Special Modular / Prefabricated</t>
  </si>
  <si>
    <t>2512-BLD-002</t>
  </si>
  <si>
    <t>243</t>
  </si>
  <si>
    <t>Accommodation Wing BC - Demolish and Decontaminate Building - Special Modular / Prefabricated</t>
  </si>
  <si>
    <t>2512-BLD-003</t>
  </si>
  <si>
    <t>246</t>
  </si>
  <si>
    <t>Accommodation Wing BD - Demolish and Decontaminate Building - Special Modular / Prefabricated</t>
  </si>
  <si>
    <t>2512-BLD-004</t>
  </si>
  <si>
    <t>238</t>
  </si>
  <si>
    <t>Accommodation Wing BA - Demolish and foundations - Gravel Base - Skidded Building</t>
  </si>
  <si>
    <t>239</t>
  </si>
  <si>
    <t>Accommodation Wing BA - Demolish floor finish - Raised Steel or Wooden Floor</t>
  </si>
  <si>
    <t>241</t>
  </si>
  <si>
    <t>Accommodation Wing BB - Demolish and foundations - Gravel Base - Skidded Building</t>
  </si>
  <si>
    <t>242</t>
  </si>
  <si>
    <t>Accommodation Wing BB - Demolish floor finish - Raised Steel or Wooden Floor</t>
  </si>
  <si>
    <t>244</t>
  </si>
  <si>
    <t>Accommodation Wing BC - Demolish and foundations - Gravel Base - Skidded Building</t>
  </si>
  <si>
    <t>245</t>
  </si>
  <si>
    <t>Accommodation Wing BC - Demolish floor finish - Raised Steel or Wooden Floor</t>
  </si>
  <si>
    <t>247</t>
  </si>
  <si>
    <t>Accommodation Wing BD - Demolish and foundations - Gravel Base - Skidded Building</t>
  </si>
  <si>
    <t>248</t>
  </si>
  <si>
    <t>Accommodation Wing BD - Demolish floor finish - Raised Steel or Wooden Floor</t>
  </si>
  <si>
    <t>FTR1-c</t>
  </si>
  <si>
    <t>Buildings (Contaminated)</t>
  </si>
  <si>
    <t>Offices, washcars for Laydown R3
62 @ 15m2
3 @ 30m2
3 @ 66m2</t>
  </si>
  <si>
    <t>005</t>
  </si>
  <si>
    <t>Accommodation Wing BE - Demolish and Decontaminate Building - Special Modular / Prefabricated</t>
  </si>
  <si>
    <t>2512-BLD-005</t>
  </si>
  <si>
    <t>Accommodation Wing BE - Demolish and foundations - Gravel Base - Skidded Building</t>
  </si>
  <si>
    <t>Accommodation Wing BE - Demolish floor finish - Raised Steel or Wooden Floor</t>
  </si>
  <si>
    <t>006</t>
  </si>
  <si>
    <t>Accommodation Wing BF - Demolish and Decontaminate Building - Special Modular / Prefabricated</t>
  </si>
  <si>
    <t>2512-BLD-006</t>
  </si>
  <si>
    <t>Accommodation Wing BF - Demolish and foundations - Gravel Base - Skidded Building</t>
  </si>
  <si>
    <t>Accommodation Wing BF - Demolish floor finish - Raised Steel or Wooden Floor</t>
  </si>
  <si>
    <t>007</t>
  </si>
  <si>
    <t>Accommodation Wing BG - Demolish and Decontaminate Building - Special Modular / Prefabricated</t>
  </si>
  <si>
    <t>2512-BLD-007</t>
  </si>
  <si>
    <t>008</t>
  </si>
  <si>
    <t>Accommodation Wing BH - Demolish and Decontaminate Building - Special Modular / Prefabricated</t>
  </si>
  <si>
    <t>2512-BLD-008</t>
  </si>
  <si>
    <t>CS</t>
  </si>
  <si>
    <t>Slab on Grade</t>
  </si>
  <si>
    <t>Pre-Cast Concrete Foundations (Mobilized to Site)</t>
  </si>
  <si>
    <t>Construction offices, lunchrooms, washcars (assume 6 units @  36 m2 per wash car)</t>
  </si>
  <si>
    <t>Addition of 380 person camp at Milne Port</t>
  </si>
  <si>
    <t>380 man temporary hardwall camp at Milne Port inclusive of kitchen, dining, locker, recreational and washroom (assume footprint of 10,720 m2)</t>
  </si>
  <si>
    <t>Offices, washcars (assume 16 units @  36 m2 per wash car)</t>
  </si>
  <si>
    <t>2513</t>
  </si>
  <si>
    <t>Emergency Services Building</t>
  </si>
  <si>
    <t>253</t>
  </si>
  <si>
    <t>FF2</t>
  </si>
  <si>
    <t>FFL</t>
  </si>
  <si>
    <t>Fold Away Building</t>
  </si>
  <si>
    <t>Carpenter Workshop</t>
  </si>
  <si>
    <t>Emergency Response Garage - Demolish and Decontaminate Building - Fold-away Building (Steel)</t>
  </si>
  <si>
    <t>2513-BLD-002</t>
  </si>
  <si>
    <t>254</t>
  </si>
  <si>
    <t>CP</t>
  </si>
  <si>
    <t>Precast Foundations</t>
  </si>
  <si>
    <t>Emergency Response Garage - Demolish and foundations - Precast Footing (Perimeter Beam)</t>
  </si>
  <si>
    <t>255</t>
  </si>
  <si>
    <t>Emergency Response Garage - Demolish floor finish - Slab on grade C/W Drainage</t>
  </si>
  <si>
    <t xml:space="preserve">2513 </t>
  </si>
  <si>
    <t>265</t>
  </si>
  <si>
    <t>MT2</t>
  </si>
  <si>
    <t>Medium Tanks</t>
  </si>
  <si>
    <t xml:space="preserve">TANK  - EMERGENCY RESPONSE OFFICE SEWAGE COLLECTION TANK - LAGRANGE MECHANICAL SERVICES  
L: 3791, W: 1829, H: 610 </t>
  </si>
  <si>
    <t>2513-TK-003</t>
  </si>
  <si>
    <t>Workshop</t>
  </si>
  <si>
    <t>250</t>
  </si>
  <si>
    <t>ff3</t>
  </si>
  <si>
    <t>FTR2</t>
  </si>
  <si>
    <t>Aecon Workshop</t>
  </si>
  <si>
    <t>Double Trailer (2 or more)</t>
  </si>
  <si>
    <t>Sana Workshop</t>
  </si>
  <si>
    <t>2019-17</t>
  </si>
  <si>
    <t>Office trailers (2 units at 36 m2)</t>
  </si>
  <si>
    <t>Office trailers</t>
  </si>
  <si>
    <t>Crusher services trailer</t>
  </si>
  <si>
    <t>Site Contruction Office</t>
  </si>
  <si>
    <t>Offices and Lunchrooms (5 @ 36m2)</t>
  </si>
  <si>
    <t>Emergency Response Office - Demolish and Decontaminate Building - Trailer - Modular (2 or more modules)</t>
  </si>
  <si>
    <t>2513-BLD-001</t>
  </si>
  <si>
    <t>267</t>
  </si>
  <si>
    <t xml:space="preserve">TANK  - MILNE EMERGENCY RESPONSE GARAGE DIESEL FUEL TANK - DTE ULC601-07  </t>
  </si>
  <si>
    <t>2513-TK-023</t>
  </si>
  <si>
    <t>266</t>
  </si>
  <si>
    <t xml:space="preserve">TANK  - EMERGENCY RESPONSE OFFICE RAW WATER TANK - NORWESCO  L: 1613, W: 737, H: 1676 </t>
  </si>
  <si>
    <t>2513-TK-004</t>
  </si>
  <si>
    <t>251</t>
  </si>
  <si>
    <t>FT</t>
  </si>
  <si>
    <t>Timber Cribbing</t>
  </si>
  <si>
    <t>Emergency Response Office - Demolish and foundations - Timber Cribbing to Elevate Building</t>
  </si>
  <si>
    <t>252</t>
  </si>
  <si>
    <t>Emergency Response Office - Demolish floor finish - Raised Steel or Wooden Floor</t>
  </si>
  <si>
    <t>Enhancement of training grounds for the Emergency Response Team with fire retardent infrastructure and secondary spill containment</t>
  </si>
  <si>
    <t>2022-17</t>
  </si>
  <si>
    <t xml:space="preserve">Addedd </t>
  </si>
  <si>
    <t>2511</t>
  </si>
  <si>
    <t>Service Core</t>
  </si>
  <si>
    <t>227</t>
  </si>
  <si>
    <t>Accommodation Service Core - Demolish and Decontaminate Building - Special Modular / Prefabricated</t>
  </si>
  <si>
    <t>2511-BLD-001</t>
  </si>
  <si>
    <t>233</t>
  </si>
  <si>
    <t>Accommodation Laundry - Demolish and Decontaminate Building - Special Modular / Prefabricated</t>
  </si>
  <si>
    <t>2511-BLD-003</t>
  </si>
  <si>
    <t>230</t>
  </si>
  <si>
    <t>Accommodation Office - Demolish and Decontaminate Building - Special Modular / Prefabricated</t>
  </si>
  <si>
    <t>2511-BLD-002</t>
  </si>
  <si>
    <t>231</t>
  </si>
  <si>
    <t>Accommodation Office - Demolish and foundations - Gravel Base - Skidded Building</t>
  </si>
  <si>
    <t>232</t>
  </si>
  <si>
    <t>Accommodation Office - Demolish floor finish - Raised Steel or Wooden Floor</t>
  </si>
  <si>
    <t>234</t>
  </si>
  <si>
    <t>Accommodation Laundry - Demolish and foundations - Gravel Base - Skidded Building</t>
  </si>
  <si>
    <t>235</t>
  </si>
  <si>
    <t>Accommodation Laundry - Demolish floor finish - Raised Steel or Wooden Floor</t>
  </si>
  <si>
    <t>228</t>
  </si>
  <si>
    <t>Accommodation Service Core - Demolish and foundations - Gravel Base - Skidded Building</t>
  </si>
  <si>
    <t>229</t>
  </si>
  <si>
    <t>Accommodation Service Core - Demolish floor finish - Raised Steel or Wooden Floor</t>
  </si>
  <si>
    <t>Accommodation Service Core Extension - Demolish and Decontaminate Building - Special Modular / Prefabricated</t>
  </si>
  <si>
    <t>Accommodation Service Core Extension - Demolish and foundations - Gravel Base - Skidded Building</t>
  </si>
  <si>
    <t>Accommodation Service Core Extension - Demolish floor finish - Raised Steel or Wooden Floor</t>
  </si>
  <si>
    <t>004</t>
  </si>
  <si>
    <t>Accommodation Change Rooms - Demolish and Decontaminate Building - Special Modular / Prefabricated</t>
  </si>
  <si>
    <t>2511-BLD-004</t>
  </si>
  <si>
    <t>Accommodation Change Rooms - Demolish and foundations - Gravel Base - Skidded Building</t>
  </si>
  <si>
    <t>Accommodation Change Rooms - Demolish floor finish - Raised Steel or Wooden Floor</t>
  </si>
  <si>
    <t>Accommodation Exercise Facility - Demolish and Decontaminate Building - Special Modular / Prefabricated</t>
  </si>
  <si>
    <t>2511-BLD-005</t>
  </si>
  <si>
    <t>Accommodation Exercise Facility - Demolish and foundations - Gravel Base - Skidded Building</t>
  </si>
  <si>
    <t>Accommodation Exercise Facility - Demolish floor finish - Raised Steel or Wooden Floor</t>
  </si>
  <si>
    <t>Accommodation Arctic Corridor Extension - Demolish and Decontaminate Building - Special Modular / Prefabricated</t>
  </si>
  <si>
    <t>2511-BLD-006</t>
  </si>
  <si>
    <t>Accommodation Arctic Corridor Extension - Demolish and foundations - Gravel Base - Skidded Building</t>
  </si>
  <si>
    <t>Accommodation Arctic Corridor Extension - Demolish floor finish - Raised Steel or Wooden Floor</t>
  </si>
  <si>
    <t>Camp Pad development (Milne Port)</t>
  </si>
  <si>
    <t>2520</t>
  </si>
  <si>
    <t>Services Area</t>
  </si>
  <si>
    <t>FFL-c</t>
  </si>
  <si>
    <t>Truck Wash (Repurposed Warehouse) - Demolish and Decontaminate Building - Fold-away Building (Steel)</t>
  </si>
  <si>
    <t>2523-BLD-001</t>
  </si>
  <si>
    <t>Truck Wash (Repurposed Warehouse) - Demolish and foundations - Precast Footing (Perimeter Beam)</t>
  </si>
  <si>
    <t>Truck Wash (Repurposed Warehouse) - Demolish floor finish - Gravel</t>
  </si>
  <si>
    <t>Laydown Pad development (Milne Port)</t>
  </si>
  <si>
    <t>Laydown W1</t>
  </si>
  <si>
    <t>Laydown W6</t>
  </si>
  <si>
    <t>Laydown W7</t>
  </si>
  <si>
    <t>Laydown W3</t>
  </si>
  <si>
    <t>Laydown W14</t>
  </si>
  <si>
    <t>Laydown W15</t>
  </si>
  <si>
    <t>Laydown W10B</t>
  </si>
  <si>
    <t>Laydown W11</t>
  </si>
  <si>
    <t>2521</t>
  </si>
  <si>
    <t>Services Buildings</t>
  </si>
  <si>
    <t>270</t>
  </si>
  <si>
    <t>Maintenance Building - Demolish and Decontaminate Building - Fold-away Building (Steel)</t>
  </si>
  <si>
    <t>2521-BLD-001</t>
  </si>
  <si>
    <t>Contaminated</t>
  </si>
  <si>
    <t>276</t>
  </si>
  <si>
    <t>FTR2-c</t>
  </si>
  <si>
    <t>Workshop Office Building - Demolish and Decontaminate Building - Trailer - Modular (2 or more modules)</t>
  </si>
  <si>
    <t>2521-BLD-003</t>
  </si>
  <si>
    <t>271</t>
  </si>
  <si>
    <t>Maintenance Building - Demolish and foundations - Precast Footing (Perimeter Beam)</t>
  </si>
  <si>
    <t>272</t>
  </si>
  <si>
    <t>Maintenance Building - Demolish floor finish - Slab on grade C/W Drainage</t>
  </si>
  <si>
    <t>273</t>
  </si>
  <si>
    <t>Welding Shop Building - Demolish and Decontaminate Building - Fold-away Building (Steel)</t>
  </si>
  <si>
    <t>2521-BLD-002</t>
  </si>
  <si>
    <t>296</t>
  </si>
  <si>
    <t>In Meters</t>
  </si>
  <si>
    <t>Piping</t>
  </si>
  <si>
    <t>Bulks</t>
  </si>
  <si>
    <t>Maintenance Building Utility Piping - Piping Installation - Water, air and lube piping inside building</t>
  </si>
  <si>
    <t>2521.5-P</t>
  </si>
  <si>
    <t xml:space="preserve">2521 </t>
  </si>
  <si>
    <t>295</t>
  </si>
  <si>
    <t xml:space="preserve">TANK  - WORKSHOP OFFICE WASHCAR SEWAGE COLLECTION TANK - LAGRANGE MECHANICAL SERVICES  L: 3791, W: 1829, H: 610 </t>
  </si>
  <si>
    <t>2521-TK-053</t>
  </si>
  <si>
    <t>279</t>
  </si>
  <si>
    <t>Washcar for Ore Pad</t>
  </si>
  <si>
    <t>Workshop Office Washcar - Demolish and Decontaminate Building - Trailer - Single</t>
  </si>
  <si>
    <t>2521-BLD-004</t>
  </si>
  <si>
    <t>294</t>
  </si>
  <si>
    <t xml:space="preserve">TANK  - WORKSHOP OFFICE WASHCAR RAW WATER TANK - PLASTIC-MART 866-310-2556  L: 1803, W: 1245, H: 1346 </t>
  </si>
  <si>
    <t>2521-TK-050</t>
  </si>
  <si>
    <t>280</t>
  </si>
  <si>
    <t>Workshop Office Washcar - Demolish and foundations - Timber Cribbing to Elevate Building</t>
  </si>
  <si>
    <t>274</t>
  </si>
  <si>
    <t>Welding Shop Building - Demolish and foundations - Precast Footing (Perimeter Beam)</t>
  </si>
  <si>
    <t>277</t>
  </si>
  <si>
    <t>Workshop Office Building - Demolish and foundations - Timber Cribbing to Elevate Building</t>
  </si>
  <si>
    <t>275</t>
  </si>
  <si>
    <t>Welding Shop Building - Demolish floor finish - Slab on grade</t>
  </si>
  <si>
    <t>292</t>
  </si>
  <si>
    <t xml:space="preserve">TANK  - MILNE WELDING SHOP DIESEL FUEL TANK - DTE ULC601-07  </t>
  </si>
  <si>
    <t>2521-TK-005</t>
  </si>
  <si>
    <t>293</t>
  </si>
  <si>
    <t xml:space="preserve">TANK  - MAINTENANCE BUILDING DIESEL FUEL TANK - DTE ULC601-07  </t>
  </si>
  <si>
    <t>2521-TK-013</t>
  </si>
  <si>
    <t>281</t>
  </si>
  <si>
    <t>Workshop Office Washcar - Demolish floor finish - Raised Steel or Wooden Floor</t>
  </si>
  <si>
    <t>278</t>
  </si>
  <si>
    <t>Workshop Office Building - Demolish floor finish - Raised Steel or Wooden Floor</t>
  </si>
  <si>
    <t>Anmar Workshop</t>
  </si>
  <si>
    <t>Maintenance Building #2 - Demolish and Decontaminate Building - Fold-away Building (Steel)</t>
  </si>
  <si>
    <t>2521-BLD-005</t>
  </si>
  <si>
    <t>Maintenance Building #2 - Demolish and foundations - Precast Footing (Perimeter Beam)</t>
  </si>
  <si>
    <t>Maintenance Building #2 - Demolish floor finish - Slab on grade C/W Drainage</t>
  </si>
  <si>
    <t>Welding Shop Building #2- Demolish and foundations - Precast Footing (Perimeter Beam)</t>
  </si>
  <si>
    <t>2521-BLD-006</t>
  </si>
  <si>
    <t>Welding Shop Building #2- Demolish floor finish - Slab on grade</t>
  </si>
  <si>
    <t>Liner Removal for Soft Wall Maintenance Garage (assume same size as existing on Tote Road)</t>
  </si>
  <si>
    <t>Addition of offices/ trailers at the Environment Department work areas</t>
  </si>
  <si>
    <t>2022-18</t>
  </si>
  <si>
    <t xml:space="preserve">2522 </t>
  </si>
  <si>
    <t>Services Equipment</t>
  </si>
  <si>
    <t>301</t>
  </si>
  <si>
    <t>SQ-</t>
  </si>
  <si>
    <t>MISC</t>
  </si>
  <si>
    <t>Miscellaneous Items (Minor)</t>
  </si>
  <si>
    <t>SHOP / MAINTENANCE EQUIPMENT  - MAGNETIC BASE DRILL  - AG - MTL4210-1  33 kg</t>
  </si>
  <si>
    <t>2522-SQ-004</t>
  </si>
  <si>
    <t>306</t>
  </si>
  <si>
    <t>SHOP / MAINTENANCE EQUIPMENT  - PORTABLE WELDING FUME EXTRACTOR - AG - NED12634345  73 kg</t>
  </si>
  <si>
    <t>2522-SQ-011</t>
  </si>
  <si>
    <t>313</t>
  </si>
  <si>
    <t>SHOP / MAINTENANCE EQUIPMENT  - PARTS WASHER  - AG - GRYPL422A  
L: 1070, W: 560, H: 406, 84 kg</t>
  </si>
  <si>
    <t>2522-SQ-026</t>
  </si>
  <si>
    <t>314</t>
  </si>
  <si>
    <t>SHOP / MAINTENANCE EQUIPMENT  - PARTS WASHER  - AG - GRYPL422A  L: 1070, W: 560, H: 406, 84 kg</t>
  </si>
  <si>
    <t>2522-SQ-027</t>
  </si>
  <si>
    <t>2530</t>
  </si>
  <si>
    <t>Power Generation</t>
  </si>
  <si>
    <t>351</t>
  </si>
  <si>
    <t>FS-c</t>
  </si>
  <si>
    <t>Power Generation E-House #1 - Demolish and Decontaminate Building - Special Modular / Prefabricated</t>
  </si>
  <si>
    <t>2530-BLD-009</t>
  </si>
  <si>
    <t>354</t>
  </si>
  <si>
    <t>Power Generation E-House #2 - Demolish and Decontaminate Building - Special Modular / Prefabricated</t>
  </si>
  <si>
    <t>2530-BLD-010</t>
  </si>
  <si>
    <t>327</t>
  </si>
  <si>
    <t>Power Generation Module #1 - Demolish and Decontaminate Building - Special Modular / Prefabricated</t>
  </si>
  <si>
    <t>2530-BLD-001</t>
  </si>
  <si>
    <t>330</t>
  </si>
  <si>
    <t>Power Generation Module #2 - Demolish and Decontaminate Building - Special Modular / Prefabricated</t>
  </si>
  <si>
    <t>2530-BLD-002</t>
  </si>
  <si>
    <t>333</t>
  </si>
  <si>
    <t>Power Generation Module #3 - Demolish and Decontaminate Building - Special Modular / Prefabricated</t>
  </si>
  <si>
    <t>2530-BLD-003</t>
  </si>
  <si>
    <t>336</t>
  </si>
  <si>
    <t>Power Generation Module #4 - Demolish and Decontaminate Building - Special Modular / Prefabricated</t>
  </si>
  <si>
    <t>2530-BLD-004</t>
  </si>
  <si>
    <t>339</t>
  </si>
  <si>
    <t>Power Generation Module #5 - Demolish and Decontaminate Building - Special Modular / Prefabricated</t>
  </si>
  <si>
    <t>2530-BLD-005</t>
  </si>
  <si>
    <t>342</t>
  </si>
  <si>
    <t>Power Generation Module #6 - Demolish and Decontaminate Building - Special Modular / Prefabricated</t>
  </si>
  <si>
    <t>2530-BLD-006</t>
  </si>
  <si>
    <t>345</t>
  </si>
  <si>
    <t>Power Generation Module #7 - Demolish and Decontaminate Building - Special Modular / Prefabricated</t>
  </si>
  <si>
    <t>2530-BLD-007</t>
  </si>
  <si>
    <t>348</t>
  </si>
  <si>
    <t>Power Generation Module #8 - Demolish and Decontaminate Building - Special Modular / Prefabricated</t>
  </si>
  <si>
    <t>2530-BLD-008</t>
  </si>
  <si>
    <t>357</t>
  </si>
  <si>
    <t>FC-c</t>
  </si>
  <si>
    <t>Power Generation Stores - Demolish and Decontaminate Building - ISO Shipping Container</t>
  </si>
  <si>
    <t>2530-BLD-011</t>
  </si>
  <si>
    <t>358</t>
  </si>
  <si>
    <t>Power Generation Stores - Demolish and foundations - Gravel Base - Skidded Building</t>
  </si>
  <si>
    <t>359</t>
  </si>
  <si>
    <t>Power Generation Stores - Demolish floor finish - Raised Steel or Wooden Floor</t>
  </si>
  <si>
    <t>328</t>
  </si>
  <si>
    <t>Power Generation Module #1 - Demolish and foundations - Gravel Base - Skidded Building</t>
  </si>
  <si>
    <t>329</t>
  </si>
  <si>
    <t>Power Generation Module #1 - Demolish floor finish - Raised Steel or Wooden Floor</t>
  </si>
  <si>
    <t>331</t>
  </si>
  <si>
    <t>Power Generation Module #2 - Demolish and foundations - Gravel Base - Skidded Building</t>
  </si>
  <si>
    <t>332</t>
  </si>
  <si>
    <t>Power Generation Module #2 - Demolish floor finish - Raised Steel or Wooden Floor</t>
  </si>
  <si>
    <t>334</t>
  </si>
  <si>
    <t>Power Generation Module #3 - Demolish and foundations - Gravel Base - Skidded Building</t>
  </si>
  <si>
    <t>335</t>
  </si>
  <si>
    <t>Power Generation Module #3 - Demolish floor finish - Raised Steel or Wooden Floor</t>
  </si>
  <si>
    <t>337</t>
  </si>
  <si>
    <t>Power Generation Module #4 - Demolish and foundations - Gravel Base - Skidded Building</t>
  </si>
  <si>
    <t>338</t>
  </si>
  <si>
    <t>Power Generation Module #4 - Demolish floor finish - Raised Steel or Wooden Floor</t>
  </si>
  <si>
    <t>340</t>
  </si>
  <si>
    <t>Power Generation Module #5 - Demolish and foundations - Gravel Base - Skidded Building</t>
  </si>
  <si>
    <t>341</t>
  </si>
  <si>
    <t>Power Generation Module #5 - Demolish floor finish - Raised Steel or Wooden Floor</t>
  </si>
  <si>
    <t>343</t>
  </si>
  <si>
    <t>Power Generation Module #6 - Demolish and foundations - Gravel Base - Skidded Building</t>
  </si>
  <si>
    <t>344</t>
  </si>
  <si>
    <t>Power Generation Module #6 - Demolish floor finish - Raised Steel or Wooden Floor</t>
  </si>
  <si>
    <t>346</t>
  </si>
  <si>
    <t>Power Generation Module #7 - Demolish and foundations - Gravel Base - Skidded Building</t>
  </si>
  <si>
    <t>347</t>
  </si>
  <si>
    <t>Power Generation Module #7 - Demolish floor finish - Raised Steel or Wooden Floor</t>
  </si>
  <si>
    <t>349</t>
  </si>
  <si>
    <t>Power Generation Module #8 - Demolish and foundations - Gravel Base - Skidded Building</t>
  </si>
  <si>
    <t>350</t>
  </si>
  <si>
    <t>Power Generation Module #8 - Demolish floor finish - Raised Steel or Wooden Floor</t>
  </si>
  <si>
    <t>352</t>
  </si>
  <si>
    <t>Power Generation E-House #1 - Demolish and foundations - Gravel Base - Skidded Building</t>
  </si>
  <si>
    <t>353</t>
  </si>
  <si>
    <t>Power Generation E-House #1 - Demolish floor finish - Raised Steel or Wooden Floor</t>
  </si>
  <si>
    <t>355</t>
  </si>
  <si>
    <t>Power Generation E-House #2 - Demolish and foundations - Gravel Base - Skidded Building</t>
  </si>
  <si>
    <t>356</t>
  </si>
  <si>
    <t>Power Generation E-House #2 - Demolish floor finish - Raised Steel or Wooden Floor</t>
  </si>
  <si>
    <t>Electrical Shop - Demolish and Decontaminate Building - Fold-away Building (Steel)</t>
  </si>
  <si>
    <t>2530-BLD-BIM-002</t>
  </si>
  <si>
    <t>Electrical Shop - Demolish and foundations - Precast Footing (Perimeter Beam)</t>
  </si>
  <si>
    <t>FF1</t>
  </si>
  <si>
    <t>Electrical office - Demolish and Decontaminate Building - Fold-away Building (Steel)</t>
  </si>
  <si>
    <t>2530-BLD-BIM-001</t>
  </si>
  <si>
    <t>Electrical office - Demolish and foundations - Precast Footing (Perimeter Beam)</t>
  </si>
  <si>
    <t>Electrical office - Demolish floor finish - Gravel</t>
  </si>
  <si>
    <t>Electrical Shop - Demolish floor finish - Gravel</t>
  </si>
  <si>
    <t>Waste Management (building and incinerator)</t>
  </si>
  <si>
    <t>361</t>
  </si>
  <si>
    <t>Waste Management Building - Demolish and Decontaminate Building - Fold-away Building (Steel)</t>
  </si>
  <si>
    <t>2540-BLD-001</t>
  </si>
  <si>
    <t>362</t>
  </si>
  <si>
    <t>Waste Management Building - Demolish and foundations - Precast Footing (Perimeter Beam)</t>
  </si>
  <si>
    <t>363</t>
  </si>
  <si>
    <t>Waste Management Building - Demolish floor finish - Slab on grade C/W Drainage</t>
  </si>
  <si>
    <t>375</t>
  </si>
  <si>
    <t>VP-</t>
  </si>
  <si>
    <t>VP1</t>
  </si>
  <si>
    <t>Incinerator</t>
  </si>
  <si>
    <t xml:space="preserve">WASTE INCINERATOR VENDOR PACKAGE </t>
  </si>
  <si>
    <t>2020-3</t>
  </si>
  <si>
    <t>2540-VP-001</t>
  </si>
  <si>
    <t>364</t>
  </si>
  <si>
    <t>Waste Incinerators - Demolish and Decontaminate Building - Trailer - Modular (2 or more modules)</t>
  </si>
  <si>
    <t>374</t>
  </si>
  <si>
    <t xml:space="preserve">TANK  - MILNE  WASTE MANAGEMENT BUILDING DIESEL FUEL TANK - DTE ULC601-07  </t>
  </si>
  <si>
    <t>2540-TK-003</t>
  </si>
  <si>
    <t>371</t>
  </si>
  <si>
    <t>Misc</t>
  </si>
  <si>
    <t>SHOP / MAINTENANCE EQUIPMENT  - AEROSOL CAN RECYCLING SYSTEM - AG - SAYCPU03  5 kg</t>
  </si>
  <si>
    <t>2540-SQ-002</t>
  </si>
  <si>
    <t>365</t>
  </si>
  <si>
    <t>Waste Incinerators - Demolish and foundations - Gravel Base - Skidded Building</t>
  </si>
  <si>
    <t>366</t>
  </si>
  <si>
    <t>Waste Incinerators - Demolish floor finish - Raised Steel or Wooden Floor</t>
  </si>
  <si>
    <t>Incinerator for 380-person temporary soft-walled camp at Milne Port</t>
  </si>
  <si>
    <t>Waste Disposal</t>
  </si>
  <si>
    <t>Landfarm</t>
  </si>
  <si>
    <t>Hazardous Waste Berm at Milne Inlet - New waste management building</t>
  </si>
  <si>
    <t>Future Hazardous Waste Berm</t>
  </si>
  <si>
    <t>A5</t>
  </si>
  <si>
    <t>Liner Removal</t>
  </si>
  <si>
    <t>Hazardous Waste Berm</t>
  </si>
  <si>
    <t>Snow Dump</t>
  </si>
  <si>
    <t>Contaminated Snow dump/oily water containment - new 2019</t>
  </si>
  <si>
    <t>2019-9</t>
  </si>
  <si>
    <t>New Hazardous Waste containment facilities 2020
Port Shop - 72m2</t>
  </si>
  <si>
    <t>New Hazardous Waste Berm 2019</t>
  </si>
  <si>
    <t>2019-11</t>
  </si>
  <si>
    <t>MP-HWB-1</t>
  </si>
  <si>
    <t>MP-HWB-3</t>
  </si>
  <si>
    <t>MP-HWB-5</t>
  </si>
  <si>
    <t>MP-HWB-4</t>
  </si>
  <si>
    <t>MP-HWB-2</t>
  </si>
  <si>
    <t>MP-HWB-6</t>
  </si>
  <si>
    <t>Fuel System</t>
  </si>
  <si>
    <t>2610</t>
  </si>
  <si>
    <t>Milne Tank Farm</t>
  </si>
  <si>
    <t xml:space="preserve">2613 </t>
  </si>
  <si>
    <t>Arctic Diesel System</t>
  </si>
  <si>
    <t>398</t>
  </si>
  <si>
    <t>MT4-d</t>
  </si>
  <si>
    <t>Largest Diesel Tanks</t>
  </si>
  <si>
    <t xml:space="preserve">TANK  - ARCTIC DIESEL TANK W: 27800 DI 
H: 15250 </t>
  </si>
  <si>
    <t>2613-TK-001</t>
  </si>
  <si>
    <t>399</t>
  </si>
  <si>
    <t>2613-TK-002</t>
  </si>
  <si>
    <t>400</t>
  </si>
  <si>
    <t>2613-TK-003</t>
  </si>
  <si>
    <t>401</t>
  </si>
  <si>
    <t>2613-TK-004</t>
  </si>
  <si>
    <t>402</t>
  </si>
  <si>
    <t>MT3-d</t>
  </si>
  <si>
    <t>Large Diesel Tanks</t>
  </si>
  <si>
    <t xml:space="preserve">TANK  - ARCTIC DIESEL TANK W: 25600 DI 
H: 9760 </t>
  </si>
  <si>
    <t>2613-TK-005</t>
  </si>
  <si>
    <t>403</t>
  </si>
  <si>
    <t>2613-TK-006</t>
  </si>
  <si>
    <t>2613</t>
  </si>
  <si>
    <t>387</t>
  </si>
  <si>
    <t>Diesel Fuel Dispensing Module - Demolish and Decontaminate Building - ISO Shipping Container</t>
  </si>
  <si>
    <t>2613-FD-014</t>
  </si>
  <si>
    <t>384</t>
  </si>
  <si>
    <t>2613-FD-013</t>
  </si>
  <si>
    <t>386</t>
  </si>
  <si>
    <t>FD-</t>
  </si>
  <si>
    <t>Diesel Fuel Dispensing Module - Demolish floor finish - Raised Steel or Wooden Floor</t>
  </si>
  <si>
    <t>385</t>
  </si>
  <si>
    <t>Diesel Fuel Dispensing Module - Demolish and foundations - Gravel Base - Skidded Building</t>
  </si>
  <si>
    <t>389</t>
  </si>
  <si>
    <t>388</t>
  </si>
  <si>
    <t>50,000 L Portable Fuel Dispensing Unit</t>
  </si>
  <si>
    <t>Additional 15ML Arctic Diesel Tank at Milne Port</t>
  </si>
  <si>
    <t>Additional 3ML Arctic Diesel Tank at Milne Port</t>
  </si>
  <si>
    <t>Containment Dyke</t>
  </si>
  <si>
    <t>Fuel Tank Farm Berm</t>
  </si>
  <si>
    <t xml:space="preserve">2614 </t>
  </si>
  <si>
    <t>Jet-A System</t>
  </si>
  <si>
    <t>413</t>
  </si>
  <si>
    <t>MT2-d</t>
  </si>
  <si>
    <t>Medium Diesel Tanks</t>
  </si>
  <si>
    <t xml:space="preserve">TANK  - JET-A1 TANK W: 10250 DI 
H: 9140 </t>
  </si>
  <si>
    <t>2614-TK-007</t>
  </si>
  <si>
    <t>414</t>
  </si>
  <si>
    <t>2614-TK-008</t>
  </si>
  <si>
    <t>415</t>
  </si>
  <si>
    <t>2614-TK-009</t>
  </si>
  <si>
    <t>416</t>
  </si>
  <si>
    <t>2614-TK-010</t>
  </si>
  <si>
    <t>2614</t>
  </si>
  <si>
    <t>405</t>
  </si>
  <si>
    <t>Jet-A1 Fuel Dispensing Module  - Demolish and Decontaminate Building - ISO Shipping Container</t>
  </si>
  <si>
    <t>2614-FD-011</t>
  </si>
  <si>
    <t>407</t>
  </si>
  <si>
    <t>Jet-A1 Fuel Dispensing Module  - Demolish floor finish - Raised Steel or Wooden Floor</t>
  </si>
  <si>
    <t>406</t>
  </si>
  <si>
    <t>Jet-A1 Fuel Dispensing Module  - Demolish and foundations - Gravel Base - Skidded Building</t>
  </si>
  <si>
    <t>Additional 750 kL Jet-A Tank at Milne Port</t>
  </si>
  <si>
    <t>2615</t>
  </si>
  <si>
    <t>Marine Pipeline</t>
  </si>
  <si>
    <t>418</t>
  </si>
  <si>
    <t>Marine Manifold Building - Demolish and Decontaminate Building - Fold-away Building (Steel)</t>
  </si>
  <si>
    <t>2615-BLD-001</t>
  </si>
  <si>
    <t>419</t>
  </si>
  <si>
    <t>Marine Manifold Building - Demolish and foundations - Precast Footing (Perimeter Beam)</t>
  </si>
  <si>
    <t>420</t>
  </si>
  <si>
    <t>Marine Manifold Building - Demolish floor finish - Raised Steel or Wooden Floor</t>
  </si>
  <si>
    <t xml:space="preserve">Weatherhaven camp </t>
  </si>
  <si>
    <t xml:space="preserve">Weatherhaven genset fuel bladder berm </t>
  </si>
  <si>
    <t>Site Utilities</t>
  </si>
  <si>
    <t>Power Distribution System</t>
  </si>
  <si>
    <t>499</t>
  </si>
  <si>
    <t>Cable</t>
  </si>
  <si>
    <t>Additional outdoor lighting for safety (with cables) at Port Site</t>
  </si>
  <si>
    <t>Additional Tanks</t>
  </si>
  <si>
    <t>Water Tank Main Unit</t>
  </si>
  <si>
    <t>Additional Light Size tanks</t>
  </si>
  <si>
    <t>Additional Medium Size tanks</t>
  </si>
  <si>
    <t>2017 -Water tanks on Sea Lift</t>
  </si>
  <si>
    <t>2720</t>
  </si>
  <si>
    <t>Water Systems</t>
  </si>
  <si>
    <t>431</t>
  </si>
  <si>
    <t>Water Building - Demolish and Decontaminate Building - Fold-away Building (Steel)</t>
  </si>
  <si>
    <t>2720-BLD-001</t>
  </si>
  <si>
    <t>432</t>
  </si>
  <si>
    <t>Water Building - Demolish and foundations - Precast Footing (Perimeter Beam)</t>
  </si>
  <si>
    <t xml:space="preserve">2720 </t>
  </si>
  <si>
    <t>453</t>
  </si>
  <si>
    <t>VP2</t>
  </si>
  <si>
    <t>Potable Water</t>
  </si>
  <si>
    <t>Desalination Plant</t>
  </si>
  <si>
    <t>2021-13</t>
  </si>
  <si>
    <t xml:space="preserve">POTABLE WATER TREATMENT PLANT VENDOR PACKAGE
VENDOR PACKAGE </t>
  </si>
  <si>
    <t>2720-VP-020</t>
  </si>
  <si>
    <t>448</t>
  </si>
  <si>
    <t xml:space="preserve">TANK  - RAW WATER TANK </t>
  </si>
  <si>
    <t>2720-TK-001</t>
  </si>
  <si>
    <t>449</t>
  </si>
  <si>
    <t xml:space="preserve">TANK  - FIRE WATER TANK </t>
  </si>
  <si>
    <t>2720-TK-007</t>
  </si>
  <si>
    <t>450</t>
  </si>
  <si>
    <t xml:space="preserve">TANK  - POTABLE WATER STORAGE TANK </t>
  </si>
  <si>
    <t>2720-TK-008</t>
  </si>
  <si>
    <t>451</t>
  </si>
  <si>
    <t xml:space="preserve">TANK  - BACKWASH SETTLING TANK </t>
  </si>
  <si>
    <t>2720-TK-011</t>
  </si>
  <si>
    <t>452</t>
  </si>
  <si>
    <t xml:space="preserve">TANK  - MILNE WATER BUILDING DIESEL FUEL TANK - DTE ULC601-07  </t>
  </si>
  <si>
    <t>2720-TK-033</t>
  </si>
  <si>
    <t>433</t>
  </si>
  <si>
    <t>Water Building - Demolish floor finish - Gravel</t>
  </si>
  <si>
    <t>TANK  - POTABLE WATER STORAGE TANK (20 m3)</t>
  </si>
  <si>
    <t>Confirmed</t>
  </si>
  <si>
    <t>TANK  - RAW WATER TANK (25 m3)</t>
  </si>
  <si>
    <t>Potable Water System for 380-person temporary soft-walled camp at Milne Port</t>
  </si>
  <si>
    <t>Sewage System</t>
  </si>
  <si>
    <t>Off Spec Effluent Pond</t>
  </si>
  <si>
    <t>PWSP</t>
  </si>
  <si>
    <t>PWSP-1</t>
  </si>
  <si>
    <t>Polishing Waste Stabilization Pond #3</t>
  </si>
  <si>
    <t>To be constructed in 2014</t>
  </si>
  <si>
    <t>PWSP-2</t>
  </si>
  <si>
    <t>Constructed in 2013</t>
  </si>
  <si>
    <t>2730</t>
  </si>
  <si>
    <t>2731</t>
  </si>
  <si>
    <t>Sewage Treatment Systems</t>
  </si>
  <si>
    <t>459</t>
  </si>
  <si>
    <t>Sewage Treatment Plant - Demolish and Decontaminate Building - Trailer - Modular (2 or more modules)</t>
  </si>
  <si>
    <t>2731-VP-005</t>
  </si>
  <si>
    <t>468</t>
  </si>
  <si>
    <t>Sewage Treatment Piping - Piping Installation - Sewage truck bldg to STP</t>
  </si>
  <si>
    <t>2731.2-P</t>
  </si>
  <si>
    <t xml:space="preserve">2731 </t>
  </si>
  <si>
    <t>466</t>
  </si>
  <si>
    <t>VP3</t>
  </si>
  <si>
    <t>Sewage Treatment Plant</t>
  </si>
  <si>
    <t xml:space="preserve">SEWAGE TREATMENT PLANT VENDOR PACKAGE </t>
  </si>
  <si>
    <t>456</t>
  </si>
  <si>
    <t>Sewage Chemical Storage Container - Demolish and Decontaminate Building - ISO Shipping Container</t>
  </si>
  <si>
    <t>2731-BLD-001</t>
  </si>
  <si>
    <t>457</t>
  </si>
  <si>
    <t>Sewage Chemical Storage Container - Demolish and foundations - Gravel Base - Skidded Building</t>
  </si>
  <si>
    <t>458</t>
  </si>
  <si>
    <t>Sewage Chemical Storage Container - Demolish floor finish - Raised Steel or Wooden Floor</t>
  </si>
  <si>
    <t>467</t>
  </si>
  <si>
    <t>Piping - Heat Tracing</t>
  </si>
  <si>
    <t>Sewage Treatment Piping - Heat Trace Installation - Sewage truck bldg to STP</t>
  </si>
  <si>
    <t>2731.2-E</t>
  </si>
  <si>
    <t>m</t>
  </si>
  <si>
    <t>460</t>
  </si>
  <si>
    <t>Sewage Treatment Plant - Demolish and foundations - Gravel Base - Skidded Building</t>
  </si>
  <si>
    <t>461</t>
  </si>
  <si>
    <t>Sewage Treatment Plant - Demolish floor finish - Raised Steel or Wooden Floor</t>
  </si>
  <si>
    <t>Sewage Treatment Plant for 380-person temporary soft-walled camp at Milne Port</t>
  </si>
  <si>
    <t>2732</t>
  </si>
  <si>
    <t>Sewage Truck Building</t>
  </si>
  <si>
    <t>470</t>
  </si>
  <si>
    <t>Sewage Truck Building - Demolish and Decontaminate Building - Fold-away Building (Steel)</t>
  </si>
  <si>
    <t>2732-BLD-001</t>
  </si>
  <si>
    <t xml:space="preserve">2732 </t>
  </si>
  <si>
    <t>477</t>
  </si>
  <si>
    <t xml:space="preserve">TANK  - MILNE SEWAGE TRUCK BUILDING DIESEL FUEL TANK - DTE ULC601-07  </t>
  </si>
  <si>
    <t>2732-TK-003</t>
  </si>
  <si>
    <t>471</t>
  </si>
  <si>
    <t>Sewage Truck Building - Demolish and foundations - Precast Footing (Perimeter Beam)</t>
  </si>
  <si>
    <t>472</t>
  </si>
  <si>
    <t>Sewage Truck Building - Demolish floor finish - Gravel</t>
  </si>
  <si>
    <t>Treated Effluent Discharge</t>
  </si>
  <si>
    <t>480</t>
  </si>
  <si>
    <t>Treated Effluent Piping - Piping Installation - STP to effluent pond and ocean discharge</t>
  </si>
  <si>
    <t>2734.1-P</t>
  </si>
  <si>
    <t>Realignment of the Milne Port treated effluent line</t>
  </si>
  <si>
    <t>Realignment of the fuel manifold and piping line</t>
  </si>
  <si>
    <t>2018-28</t>
  </si>
  <si>
    <t>479</t>
  </si>
  <si>
    <t>Treated Effluent Piping - Heat Trace Installation - STP to effluent pond and ocean discharge</t>
  </si>
  <si>
    <t>2734.1-E</t>
  </si>
  <si>
    <t>498</t>
  </si>
  <si>
    <t>Power Distribution System - Electrical Cable Installation 5kV - Electrical distribution system from power gen to e-house</t>
  </si>
  <si>
    <t>2750.2-E</t>
  </si>
  <si>
    <t>Power Distribution System - Electrical Cable Installation 600V - Connections from e-house to facilities</t>
  </si>
  <si>
    <t>2750.3-E</t>
  </si>
  <si>
    <t>Power Distribution System - Electrical Cable Installation - Milne Port 'Steensby Camp' power line (100 m)</t>
  </si>
  <si>
    <t>2750</t>
  </si>
  <si>
    <t>483</t>
  </si>
  <si>
    <t>Accommodation Area E-House #1 - Demolish and Decontaminate Building - Special Modular / Prefabricated</t>
  </si>
  <si>
    <t>2750-BLD-001</t>
  </si>
  <si>
    <t>486</t>
  </si>
  <si>
    <t>Accommodation Area E-House #2 - Demolish and Decontaminate Building - Special Modular / Prefabricated</t>
  </si>
  <si>
    <t>2750-BLD-002</t>
  </si>
  <si>
    <t>489</t>
  </si>
  <si>
    <t>e-house</t>
  </si>
  <si>
    <t>Services Area E-House #1 - Demolish and Decontaminate Building - Special Modular / Prefabricated</t>
  </si>
  <si>
    <t>2750-BLD-003</t>
  </si>
  <si>
    <t>492</t>
  </si>
  <si>
    <t>Services Area E-House #2 - Demolish and Decontaminate Building - Special Modular / Prefabricated</t>
  </si>
  <si>
    <t>2750-BLD-004</t>
  </si>
  <si>
    <t>495</t>
  </si>
  <si>
    <t>Fuel Tank Farm E-House - Demolish and Decontaminate Building - Special Modular / Prefabricated</t>
  </si>
  <si>
    <t>2750-BLD-005</t>
  </si>
  <si>
    <t>496</t>
  </si>
  <si>
    <t>Fuel Tank Farm E-House - Demolish and foundations - Gravel Base - Skidded Building</t>
  </si>
  <si>
    <t>497</t>
  </si>
  <si>
    <t>Fuel Tank Farm E-House - Demolish floor finish - Raised Steel or Wooden Floor</t>
  </si>
  <si>
    <t>487</t>
  </si>
  <si>
    <t>Accommodation Area E-House #2 - Demolish and foundations - Gravel Base - Skidded Building</t>
  </si>
  <si>
    <t>488</t>
  </si>
  <si>
    <t>Accommodation Area E-House #2 - Demolish floor finish - Raised Steel or Wooden Floor</t>
  </si>
  <si>
    <t>490</t>
  </si>
  <si>
    <t>Services Area E-House #1 - Demolish and foundations - Gravel Base - Skidded Building</t>
  </si>
  <si>
    <t>491</t>
  </si>
  <si>
    <t>Services Area E-House #1 - Demolish floor finish - Raised Steel or Wooden Floor</t>
  </si>
  <si>
    <t>493</t>
  </si>
  <si>
    <t>Services Area E-House #2 - Demolish and foundations - Gravel Base - Skidded Building</t>
  </si>
  <si>
    <t>494</t>
  </si>
  <si>
    <t>Services Area E-House #2 - Demolish floor finish - Raised Steel or Wooden Floor</t>
  </si>
  <si>
    <t>484</t>
  </si>
  <si>
    <t>Accommodation Area E-House #1 - Demolish and foundations - Gravel Base - Skidded Building</t>
  </si>
  <si>
    <t>485</t>
  </si>
  <si>
    <t>Accommodation Area E-House #1 - Demolish floor finish - Raised Steel or Wooden Floor</t>
  </si>
  <si>
    <t>Accommodation Area E-House #3 - Demolish and Decontaminate Building - Special Modular / Prefabricated</t>
  </si>
  <si>
    <t>2750-BLD-008</t>
  </si>
  <si>
    <t>Accommodation Area E-House #3 - Demolish and foundations - Gravel Base - Skidded Building</t>
  </si>
  <si>
    <t>Accommodation Area E-House #3 - Demolish floor finish - Raised Steel or Wooden Floor</t>
  </si>
  <si>
    <t>009</t>
  </si>
  <si>
    <t>Services Area E-House #3 - Demolish and Decontaminate Building - Special Modular / Prefabricated</t>
  </si>
  <si>
    <t>2750-BLD-009</t>
  </si>
  <si>
    <t>Services Area E-House #3 - Demolish and foundations - Gravel Base - Skidded Building</t>
  </si>
  <si>
    <t>Services Area E-House #3 - Demolish floor finish - Raised Steel or Wooden Floor</t>
  </si>
  <si>
    <t>Tote Road</t>
  </si>
  <si>
    <t>3110</t>
  </si>
  <si>
    <t>3111</t>
  </si>
  <si>
    <t>Communications Facility No. 1</t>
  </si>
  <si>
    <t>504</t>
  </si>
  <si>
    <t>Communication Shed No. 1 - Demolish Building - ISO Shipping Container</t>
  </si>
  <si>
    <t>3111-BLD-001</t>
  </si>
  <si>
    <t>507</t>
  </si>
  <si>
    <t>Communication Shed No. 2 - Demolish Building - ISO Shipping Container</t>
  </si>
  <si>
    <t>3111-BLD-002</t>
  </si>
  <si>
    <t>510</t>
  </si>
  <si>
    <t>Communication Shed No. 3 - Demolish Building - ISO Shipping Container</t>
  </si>
  <si>
    <t>3111-BLD-003</t>
  </si>
  <si>
    <t>513</t>
  </si>
  <si>
    <t>Communication Shed No. 4 - Demolish Building - ISO Shipping Container</t>
  </si>
  <si>
    <t>3111-BLD-004</t>
  </si>
  <si>
    <t>505</t>
  </si>
  <si>
    <t>Communication Shed No. 1 - Demolish and foundations - Gravel Base - Skidded Building</t>
  </si>
  <si>
    <t>506</t>
  </si>
  <si>
    <t>Communication Shed No. 1 - Demolish floor finish - Raised Steel or Wooden Floor</t>
  </si>
  <si>
    <t>508</t>
  </si>
  <si>
    <t>Communication Shed No. 2 - Demolish and foundations - Gravel Base - Skidded Building</t>
  </si>
  <si>
    <t>509</t>
  </si>
  <si>
    <t>Communication Shed No. 2 - Demolish floor finish - Raised Steel or Wooden Floor</t>
  </si>
  <si>
    <t>511</t>
  </si>
  <si>
    <t>Communication Shed No. 3 - Demolish and foundations - Gravel Base - Skidded Building</t>
  </si>
  <si>
    <t>512</t>
  </si>
  <si>
    <t>Communication Shed No. 3 - Demolish floor finish - Raised Steel or Wooden Floor</t>
  </si>
  <si>
    <t>514</t>
  </si>
  <si>
    <t>Communication Shed No. 4 - Demolish and foundations - Gravel Base - Skidded Building</t>
  </si>
  <si>
    <t>515</t>
  </si>
  <si>
    <t>Communication Shed No. 4 - Demolish floor finish - Raised Steel or Wooden Floor</t>
  </si>
  <si>
    <t>IT Towers Communication Sheds - km88 (10 units at 15m2 ea)</t>
  </si>
  <si>
    <t>added</t>
  </si>
  <si>
    <t>IT Towers Communication Sheds - km80 (10 units at 15m2 ea)</t>
  </si>
  <si>
    <t>IT Towers Communication Sheds - km69 (10 units at 15m2 ea)</t>
  </si>
  <si>
    <t>IT Towers Communication Sheds - km49 (10 units at 15m2 ea)</t>
  </si>
  <si>
    <t>IT Towers Communication Sheds - km40 (10 units at 15m2 ea)</t>
  </si>
  <si>
    <t>IT Towers Communication Sheds - km26 (10 units at 15m2 ea)</t>
  </si>
  <si>
    <t>IT Towers Communication Sheds - km7 (10 units at 15m2 ea)</t>
  </si>
  <si>
    <t>3112</t>
  </si>
  <si>
    <t>Communications Facility No. 2</t>
  </si>
  <si>
    <t>517</t>
  </si>
  <si>
    <t>Communication Shed No. 5 - Demolish Building - ISO Shipping Container</t>
  </si>
  <si>
    <t>3112-BLD-001</t>
  </si>
  <si>
    <t>520</t>
  </si>
  <si>
    <t>Communication Shed No. 6 - Demolish Building - ISO Shipping Container</t>
  </si>
  <si>
    <t>3112-BLD-002</t>
  </si>
  <si>
    <t>523</t>
  </si>
  <si>
    <t>Communication Shed No. 7 - Demolish Building - ISO Shipping Container</t>
  </si>
  <si>
    <t>3112-BLD-003</t>
  </si>
  <si>
    <t>526</t>
  </si>
  <si>
    <t>Communication Shed No. 8 - Demolish Building - ISO Shipping Container</t>
  </si>
  <si>
    <t>3112-BLD-004</t>
  </si>
  <si>
    <t>518</t>
  </si>
  <si>
    <t>Communication Shed No. 5 - Demolish and foundations - Gravel Base - Skidded Building</t>
  </si>
  <si>
    <t>519</t>
  </si>
  <si>
    <t>Communication Shed No. 5 - Demolish floor finish - Raised Steel or Wooden Floor</t>
  </si>
  <si>
    <t>521</t>
  </si>
  <si>
    <t>Communication Shed No. 6 - Demolish and foundations - Gravel Base - Skidded Building</t>
  </si>
  <si>
    <t>522</t>
  </si>
  <si>
    <t>Communication Shed No. 6 - Demolish floor finish - Raised Steel or Wooden Floor</t>
  </si>
  <si>
    <t>524</t>
  </si>
  <si>
    <t>Communication Shed No. 7 - Demolish and foundations - Gravel Base - Skidded Building</t>
  </si>
  <si>
    <t>525</t>
  </si>
  <si>
    <t>Communication Shed No. 7 - Demolish floor finish - Raised Steel or Wooden Floor</t>
  </si>
  <si>
    <t>527</t>
  </si>
  <si>
    <t>Communication Shed No. 8 - Demolish and foundations - Gravel Base - Skidded Building</t>
  </si>
  <si>
    <t>528</t>
  </si>
  <si>
    <t>Communication Shed No. 8 - Demolish floor finish - Raised Steel or Wooden Floor</t>
  </si>
  <si>
    <t>3113</t>
  </si>
  <si>
    <t>Communications Facility No. 3</t>
  </si>
  <si>
    <t>530</t>
  </si>
  <si>
    <t>Communication Shed No. 9 - Demolish Building - ISO Shipping Container</t>
  </si>
  <si>
    <t>3113-BLD-001</t>
  </si>
  <si>
    <t>533</t>
  </si>
  <si>
    <t>Communication Shed No. 10 - Demolish Building - ISO Shipping Container</t>
  </si>
  <si>
    <t>3113-BLD-002</t>
  </si>
  <si>
    <t>536</t>
  </si>
  <si>
    <t>Communication Shed No. 11 - Demolish Building - ISO Shipping Container</t>
  </si>
  <si>
    <t>3113-BLD-003</t>
  </si>
  <si>
    <t>531</t>
  </si>
  <si>
    <t>Communication Shed No. 9 - Demolish and foundations - Gravel Base - Skidded Building</t>
  </si>
  <si>
    <t>532</t>
  </si>
  <si>
    <t>Communication Shed No. 9 - Demolish floor finish - Raised Steel or Wooden Floor</t>
  </si>
  <si>
    <t>534</t>
  </si>
  <si>
    <t>Communication Shed No. 10 - Demolish and foundations - Gravel Base - Skidded Building</t>
  </si>
  <si>
    <t>535</t>
  </si>
  <si>
    <t>Communication Shed No. 10 - Demolish floor finish - Raised Steel or Wooden Floor</t>
  </si>
  <si>
    <t>537</t>
  </si>
  <si>
    <t>Communication Shed No. 11 - Demolish and foundations - Gravel Base - Skidded Building</t>
  </si>
  <si>
    <t>538</t>
  </si>
  <si>
    <t>Communication Shed No. 11 - Demolish floor finish - Raised Steel or Wooden Floor</t>
  </si>
  <si>
    <t>Borrow Source at Km 2</t>
  </si>
  <si>
    <t>Km 2 Borrow source</t>
  </si>
  <si>
    <t>Check</t>
  </si>
  <si>
    <t>Km 2 Borrow source (marginal increase in 2017)</t>
  </si>
  <si>
    <t>Km 2 Borrow source (marginal increase in 2018)</t>
  </si>
  <si>
    <t>Borrow Source at P1</t>
  </si>
  <si>
    <t>P1 Borrow Source</t>
  </si>
  <si>
    <t>Infrastructure Pads</t>
  </si>
  <si>
    <t>Explosive magazine pads along Tote Road</t>
  </si>
  <si>
    <t>Laydown R3  (2017 Carry Over)</t>
  </si>
  <si>
    <t>Laydown R1  (2017 Carry Over)</t>
  </si>
  <si>
    <t>Laydown R2  (2017 Carry Over)</t>
  </si>
  <si>
    <t>Laydown 2 - 2019</t>
  </si>
  <si>
    <t>Laydown 4 - 2019</t>
  </si>
  <si>
    <t>Laydown 7 - 2019</t>
  </si>
  <si>
    <t>Laydown 9 - 2019</t>
  </si>
  <si>
    <t>2019-2-C</t>
  </si>
  <si>
    <t>Laydown 10 - 2019</t>
  </si>
  <si>
    <t>Laydown 13 - 2019</t>
  </si>
  <si>
    <t>Laydown at km 61</t>
  </si>
  <si>
    <t>Laydown Pad Development - Km 88 IT Tower Pad</t>
  </si>
  <si>
    <t>Laydown Pad Development - Km 80 IT Tower Pad</t>
  </si>
  <si>
    <t>Laydown Pad Development - Km 69 IT Tower Pad</t>
  </si>
  <si>
    <t>Laydown Pad Development - Km 49 IT Tower Pad</t>
  </si>
  <si>
    <t>Laydown Pad Development - Km 40 IT Tower Pad</t>
  </si>
  <si>
    <t>Laydown Pad Development - Km 26 IT Tower Pad</t>
  </si>
  <si>
    <t>Laydown Pad Development - Km 07 IT Tower Pad</t>
  </si>
  <si>
    <t>Mary River</t>
  </si>
  <si>
    <t>Q13 Quarry (marginal increase to existing)</t>
  </si>
  <si>
    <t>Q13 Quarry</t>
  </si>
  <si>
    <t>Quarry at P10</t>
  </si>
  <si>
    <t>P10 Borrow Source</t>
  </si>
  <si>
    <t>Removed (2017)</t>
  </si>
  <si>
    <t>Quarry at P13</t>
  </si>
  <si>
    <t>P13 Borrow Source</t>
  </si>
  <si>
    <t>Quarry at P14</t>
  </si>
  <si>
    <t>P14 Borrow Source</t>
  </si>
  <si>
    <t>Quarry at P15</t>
  </si>
  <si>
    <t>P15 Borrow Source</t>
  </si>
  <si>
    <t xml:space="preserve">Removal of Quarry and Borrow No Longer being Developed (Q9, Q14, Q15, P5, P6, P7, P8, P10, P13, P14, and P15)
</t>
  </si>
  <si>
    <t>Quarry at P5</t>
  </si>
  <si>
    <t>P5 Borrow Source</t>
  </si>
  <si>
    <t>Quarry at P6</t>
  </si>
  <si>
    <t>P6 Borrow Source</t>
  </si>
  <si>
    <t>Quarry at P7</t>
  </si>
  <si>
    <t>P7 Borrow Source</t>
  </si>
  <si>
    <t>Quarry at P8</t>
  </si>
  <si>
    <t>P8 Borrow Source</t>
  </si>
  <si>
    <t>Quarry at Q1</t>
  </si>
  <si>
    <t>Q1 Quarry</t>
  </si>
  <si>
    <t>Q1 Quarry (additional marginal increase in 2019)</t>
  </si>
  <si>
    <t>2019-1-A</t>
  </si>
  <si>
    <t xml:space="preserve">Added </t>
  </si>
  <si>
    <t>Q1 Quarry (additional marginal increase in 2017)</t>
  </si>
  <si>
    <t>Q1 Quarry (marginal increase to existing)</t>
  </si>
  <si>
    <t>Q1 Quarry (revised to PDA boundary)</t>
  </si>
  <si>
    <t>Q1 Quarry (marginal increase to existing in remainder 2017 - total now reflects area in QMP)</t>
  </si>
  <si>
    <t>Quarry at Q11</t>
  </si>
  <si>
    <t>Q11 Quarry</t>
  </si>
  <si>
    <t>Q18 Quarry</t>
  </si>
  <si>
    <t>Quarry at Q13</t>
  </si>
  <si>
    <t>Quarry at Q14</t>
  </si>
  <si>
    <t>Q14 Quarry</t>
  </si>
  <si>
    <t>Quarry at Q15</t>
  </si>
  <si>
    <t>Q15 Quarry</t>
  </si>
  <si>
    <t>Quarry at Q16A</t>
  </si>
  <si>
    <t>Q16A Quarry</t>
  </si>
  <si>
    <t>Quarry at Q19</t>
  </si>
  <si>
    <t>Q19 Quarry</t>
  </si>
  <si>
    <t>Q9 Quarry</t>
  </si>
  <si>
    <t>Quarry at Q5</t>
  </si>
  <si>
    <t>PQ2a quarry</t>
  </si>
  <si>
    <t>PQ4a quarry</t>
  </si>
  <si>
    <t>PQ6a quarry</t>
  </si>
  <si>
    <t>2019-1-E</t>
  </si>
  <si>
    <t>PQ12a quarry</t>
  </si>
  <si>
    <t>Q5 Quarry Expansion 2019</t>
  </si>
  <si>
    <t>Q5 Quarry</t>
  </si>
  <si>
    <t>Quarry at Q7</t>
  </si>
  <si>
    <t>Q7 Quarry</t>
  </si>
  <si>
    <t>Quarry Development</t>
  </si>
  <si>
    <t>Borrow development areas</t>
  </si>
  <si>
    <t>River Crossing at STA 17</t>
  </si>
  <si>
    <t>Br</t>
  </si>
  <si>
    <t>Bridge Removal</t>
  </si>
  <si>
    <t>Needs long term physical stability. Need to confirm if leaving abutments in place allow for long term stability</t>
  </si>
  <si>
    <t>High</t>
  </si>
  <si>
    <t>Removal of bridge span (incl re-grading), Removal of abutments (?), Load &amp; Transport, Disposal &amp; Cover (incl compaction)</t>
  </si>
  <si>
    <t>River Crossing at STA 62</t>
  </si>
  <si>
    <t>River Crossing at STA 80</t>
  </si>
  <si>
    <t>River Crossing at STA 97</t>
  </si>
  <si>
    <t>Cu-m</t>
  </si>
  <si>
    <t>cu-m</t>
  </si>
  <si>
    <t>Culvert Removal per metre</t>
  </si>
  <si>
    <t>Culverts for 2019 Quarries (4 x 20m)</t>
  </si>
  <si>
    <t>Culvert upgrades - IOL</t>
  </si>
  <si>
    <t>2023-4</t>
  </si>
  <si>
    <t>removed</t>
  </si>
  <si>
    <t>Culverts - Crown</t>
  </si>
  <si>
    <t>Culvert upgrades - Crown</t>
  </si>
  <si>
    <t>Mobile Maintenance Depot - Demolish floor finish - Slab on grade C/W Drainage</t>
  </si>
  <si>
    <t>Mobile Maintenance Depot -Liner Removal</t>
  </si>
  <si>
    <t>Mobile Maintenance Depot - Demolish and foundations - Gravel Base - Skidded Building</t>
  </si>
  <si>
    <t xml:space="preserve">Out-of-Service Tote Road </t>
  </si>
  <si>
    <t>A4</t>
  </si>
  <si>
    <t>Grade and Re-Contour Significant Disturbed Areas</t>
  </si>
  <si>
    <t>KM 97 Borrow Source</t>
  </si>
  <si>
    <t>Unidentified High Priority Disturbed Areas</t>
  </si>
  <si>
    <t>Based on EBA Report</t>
  </si>
  <si>
    <t>KM 97 Borrow Source (marginal increase in 2017)</t>
  </si>
  <si>
    <t>KM 97 Borrow Source (marginal increase in 2018)</t>
  </si>
  <si>
    <t>Unidentified Borrow Sources</t>
  </si>
  <si>
    <t>3160</t>
  </si>
  <si>
    <t>Emergency Shelters</t>
  </si>
  <si>
    <t>565</t>
  </si>
  <si>
    <t>Emergency Shelter  No. 1 - Demolish Building - ISO Shipping Container</t>
  </si>
  <si>
    <t>3160-BLD-001</t>
  </si>
  <si>
    <t>568</t>
  </si>
  <si>
    <t>Emergency Shelter  No. 2 - Demolish Building - ISO Shipping Container</t>
  </si>
  <si>
    <t>3160-BLD-002</t>
  </si>
  <si>
    <t>571</t>
  </si>
  <si>
    <t>Emergency Shelter  No. 3 - Demolish Building - ISO Shipping Container</t>
  </si>
  <si>
    <t>3160-BLD-003</t>
  </si>
  <si>
    <t>574</t>
  </si>
  <si>
    <t>Emergency Shelter  No. 4 - Demolish Building - ISO Shipping Container</t>
  </si>
  <si>
    <t>3160-BLD-004</t>
  </si>
  <si>
    <t>566</t>
  </si>
  <si>
    <t>Emergency Shelter  No. 1 - Demolish and foundations - Timber Cribbing to Elevate Building</t>
  </si>
  <si>
    <t>569</t>
  </si>
  <si>
    <t>Emergency Shelter  No. 2 - Demolish and foundations - Timber Cribbing to Elevate Building</t>
  </si>
  <si>
    <t>572</t>
  </si>
  <si>
    <t>Emergency Shelter  No. 3 - Demolish and foundations - Timber Cribbing to Elevate Building</t>
  </si>
  <si>
    <t>575</t>
  </si>
  <si>
    <t>Emergency Shelter  No. 4 - Demolish and foundations - Timber Cribbing to Elevate Building</t>
  </si>
  <si>
    <t>567</t>
  </si>
  <si>
    <t>Emergency Shelter  No. 1 - Demolish floor finish - Raised Steel or Wooden Floor</t>
  </si>
  <si>
    <t>570</t>
  </si>
  <si>
    <t>Emergency Shelter  No. 2 - Demolish floor finish - Raised Steel or Wooden Floor</t>
  </si>
  <si>
    <t>573</t>
  </si>
  <si>
    <t>Emergency Shelter  No. 3 - Demolish floor finish - Raised Steel or Wooden Floor</t>
  </si>
  <si>
    <t>576</t>
  </si>
  <si>
    <t>Emergency Shelter  No. 4 - Demolish floor finish - Raised Steel or Wooden Floor</t>
  </si>
  <si>
    <t>Explosives Magazines</t>
  </si>
  <si>
    <t>Buildings ( Not Contaminated)</t>
  </si>
  <si>
    <t>Washrooms at KM26 and KM 80 IT Towers</t>
  </si>
  <si>
    <t>2020-14</t>
  </si>
  <si>
    <t>Explosives Facility</t>
  </si>
  <si>
    <t>Explosives Magazines (31m2 x 2) - Demolish and Decontaminate Building - Trailer</t>
  </si>
  <si>
    <t>Explosives Magazines (15m2 x 3) - Demolish and Decontaminate Building - Trailer</t>
  </si>
  <si>
    <t>Explosives Magazine (22m2) - Demolish and Decontaminate Building - Trailer</t>
  </si>
  <si>
    <t>Explosives Magazine (12m2) - Demolish and Decontaminate Building - Trailer</t>
  </si>
  <si>
    <t>Mine Site</t>
  </si>
  <si>
    <t>579</t>
  </si>
  <si>
    <t>4110-BLD-001</t>
  </si>
  <si>
    <t>582</t>
  </si>
  <si>
    <t>4110-BLD-002</t>
  </si>
  <si>
    <t>4110-BLD-003</t>
  </si>
  <si>
    <t>580</t>
  </si>
  <si>
    <t>581</t>
  </si>
  <si>
    <t>583</t>
  </si>
  <si>
    <t>584</t>
  </si>
  <si>
    <t>Laydown Pad development (Mine Site)</t>
  </si>
  <si>
    <t>Laydown 2A</t>
  </si>
  <si>
    <t>Laydown 2B</t>
  </si>
  <si>
    <t>Laydown 1</t>
  </si>
  <si>
    <t>Construction Laydown Areas</t>
  </si>
  <si>
    <t>Warehouse laydown pad expansion</t>
  </si>
  <si>
    <t>2020-10</t>
  </si>
  <si>
    <t>Mine Site Footprint Reclamation Drawing H349000-4000-00-015-0020</t>
  </si>
  <si>
    <t>Construction Laydown Area</t>
  </si>
  <si>
    <t>Expansion of the area east of the Mine Site workshops and crushing area for improved traffic management</t>
  </si>
  <si>
    <t>2021-15</t>
  </si>
  <si>
    <t>Expansion of MSC laydown for vehicle parking</t>
  </si>
  <si>
    <t>2021-16</t>
  </si>
  <si>
    <t>Construction of three (3) laydown areas for road aggregate storage on the mine haul road Km 106, Km 107 and Km 108</t>
  </si>
  <si>
    <t>2021-17</t>
  </si>
  <si>
    <t>Expansion of KM 106 stockpile pad to increase road width to accommodate water truck loading area</t>
  </si>
  <si>
    <t>2023-2</t>
  </si>
  <si>
    <t xml:space="preserve">Explosives plant secondary storage location </t>
  </si>
  <si>
    <t>2021-19</t>
  </si>
  <si>
    <t>Expansion of 800p camp laydown</t>
  </si>
  <si>
    <t>2019-16</t>
  </si>
  <si>
    <t>WRF Water Treatment plant laydown 2019</t>
  </si>
  <si>
    <t>KM107.5 Laydown for haul road parking</t>
  </si>
  <si>
    <t>2019-12</t>
  </si>
  <si>
    <t>KM110.5 Laydown for Mine Ops</t>
  </si>
  <si>
    <t>2019-13</t>
  </si>
  <si>
    <t>Km107 Stockpile and access Road</t>
  </si>
  <si>
    <t>2019-23</t>
  </si>
  <si>
    <t>Ore Stockpiling area at KM 105.5</t>
  </si>
  <si>
    <t>2022-2</t>
  </si>
  <si>
    <t>Existing Laydown Area</t>
  </si>
  <si>
    <t>Laydown Pad Development (Nuna services)</t>
  </si>
  <si>
    <t>Mine Truck Shop (2018) laydown area</t>
  </si>
  <si>
    <t xml:space="preserve">Additional laydown next to Hatch old office/carpentry shack </t>
  </si>
  <si>
    <t>Expansion to KM 105 Equipment Laydown east</t>
  </si>
  <si>
    <t>2022-3</t>
  </si>
  <si>
    <t>Expansion to KM 105 Equipment Laydown west</t>
  </si>
  <si>
    <t>D&amp;B</t>
  </si>
  <si>
    <t>KM 105 Pond wall</t>
  </si>
  <si>
    <t>MCS - 1</t>
  </si>
  <si>
    <t>Mobile equipment laydown and tire facility</t>
  </si>
  <si>
    <t>2022-4</t>
  </si>
  <si>
    <t>Ore Crushing and Loading</t>
  </si>
  <si>
    <t>Crusher Pad Expansion</t>
  </si>
  <si>
    <t>Crusher extension Pad</t>
  </si>
  <si>
    <t>QMR2 Quarry</t>
  </si>
  <si>
    <t>D1Q2 Quarry</t>
  </si>
  <si>
    <t>D1Q1 Quarry</t>
  </si>
  <si>
    <t>QMR2 Quarry (additional marginal increase in 2017)</t>
  </si>
  <si>
    <t>QMR2 Quarry (marginal increase to existing)</t>
  </si>
  <si>
    <t>QMR2 Quarry (marginal decrease, area not used in 2017)</t>
  </si>
  <si>
    <t>Informal Construction Laydown at Mary River</t>
  </si>
  <si>
    <t>Waste Rock Road</t>
  </si>
  <si>
    <t>Mine Haul Road Widening and Cross Cut</t>
  </si>
  <si>
    <t>Construction of a West perimeter road to bypass pit</t>
  </si>
  <si>
    <t>2022-6</t>
  </si>
  <si>
    <t>510 Hillside Road</t>
  </si>
  <si>
    <t>470 Hillside Road</t>
  </si>
  <si>
    <t>Bypass road from cross-cut road towards waste dump</t>
  </si>
  <si>
    <t>Culverts for KM107 Stockpile (3 x 75m)</t>
  </si>
  <si>
    <t>Culverts for 800p camp discharge line (4 x 15m)</t>
  </si>
  <si>
    <t>Lined containment berm and 15,000 L Jet A Tank at the weatherhaven.</t>
  </si>
  <si>
    <t>2023-3</t>
  </si>
  <si>
    <t>4140</t>
  </si>
  <si>
    <t>Mine Mobile Equipment</t>
  </si>
  <si>
    <t>1650 GAL. VERTICAL STORAGE TANK</t>
  </si>
  <si>
    <t>1650 GAL. VERTICAL STORAGE TANK + BOX PLASTIC FITTINGS</t>
  </si>
  <si>
    <t>Gas Tank 10,000L</t>
  </si>
  <si>
    <t>Mine</t>
  </si>
  <si>
    <t>777</t>
  </si>
  <si>
    <t>Explosives Magazines - Demolish and Decontaminate Building - Trailer - Single</t>
  </si>
  <si>
    <t>4213-BLD-001</t>
  </si>
  <si>
    <t>778</t>
  </si>
  <si>
    <t>Explosives Magazines - Demolish and foundations - Gravel Base - Skidded Building</t>
  </si>
  <si>
    <t>779</t>
  </si>
  <si>
    <t>Explosives Magazines - Demolish floor finish - Raised Steel or Wooden Floor</t>
  </si>
  <si>
    <t>Explosives Plant Building</t>
  </si>
  <si>
    <t>769</t>
  </si>
  <si>
    <t>Explosives Plant Building - Demolish and Decontaminate Building - Trailer - Modular (2 or more modules)</t>
  </si>
  <si>
    <t>4211-BLD-001</t>
  </si>
  <si>
    <t>770</t>
  </si>
  <si>
    <t>Explosives Plant Building - Demolish and foundations - Gravel Base - Skidded Building</t>
  </si>
  <si>
    <t>771</t>
  </si>
  <si>
    <t>Explosives Plant Building - Demolish floor finish - Raised Steel or Wooden Floor</t>
  </si>
  <si>
    <t>Explosives Shop</t>
  </si>
  <si>
    <t>773</t>
  </si>
  <si>
    <t>Explosives Shop - Demolish and Decontaminate Building - Fold-away Building (Steel)</t>
  </si>
  <si>
    <t>4212-BLD-001</t>
  </si>
  <si>
    <t>775</t>
  </si>
  <si>
    <t>Explosives Shop - Demolish floor finish - Slab on grade C/W Drainage</t>
  </si>
  <si>
    <t>774</t>
  </si>
  <si>
    <t>Explosives Shop - Demolish and foundations - Gravel Base - Skidded Building</t>
  </si>
  <si>
    <t>Explosive pad haul road</t>
  </si>
  <si>
    <t>Waste Rock Dump</t>
  </si>
  <si>
    <t>Waste Rock Facility - Footprint expansion</t>
  </si>
  <si>
    <t>Waste Rock Facility - Expansion to approved footprint</t>
  </si>
  <si>
    <t>2021-18</t>
  </si>
  <si>
    <t>Waste Rock Pond</t>
  </si>
  <si>
    <t>Geotube Settling Pond</t>
  </si>
  <si>
    <t>2020-4</t>
  </si>
  <si>
    <t>Open Pit Development</t>
  </si>
  <si>
    <t>2008 Bulk Sample Pit</t>
  </si>
  <si>
    <t>Perimeter of Bulk Sample Pit = 653.19 m</t>
  </si>
  <si>
    <t xml:space="preserve">2008 bulk sample PWSP </t>
  </si>
  <si>
    <t xml:space="preserve">Removed </t>
  </si>
  <si>
    <t>Ore stockpile pad constructed over top</t>
  </si>
  <si>
    <t>Pit 1</t>
  </si>
  <si>
    <t xml:space="preserve">Pit 1 - Marginal increase </t>
  </si>
  <si>
    <t>DC</t>
  </si>
  <si>
    <t>Deposit 1 -Drainage Channel</t>
  </si>
  <si>
    <t>New PWSP 2019</t>
  </si>
  <si>
    <t>PWSP-3</t>
  </si>
  <si>
    <t>4280</t>
  </si>
  <si>
    <t>Mine Support Facilities</t>
  </si>
  <si>
    <t>4281</t>
  </si>
  <si>
    <t>Pit Office Building</t>
  </si>
  <si>
    <t>789</t>
  </si>
  <si>
    <t>Pit Office Washcar - Demolish and Decontaminate Building - Trailer - Single</t>
  </si>
  <si>
    <t>4281-BLD-002</t>
  </si>
  <si>
    <t>786</t>
  </si>
  <si>
    <t>Pit Office Building - Demolish and Decontaminate Building - Trailer - Modular (2 or more modules)</t>
  </si>
  <si>
    <t>4281-BLD-001</t>
  </si>
  <si>
    <t>787</t>
  </si>
  <si>
    <t>Pit Office Building - Demolish and foundations - Timber Cribbing to Elevate Building</t>
  </si>
  <si>
    <t>790</t>
  </si>
  <si>
    <t>Pit Office Washcar - Demolish and foundations - Gravel Base - Skidded Building</t>
  </si>
  <si>
    <t>791</t>
  </si>
  <si>
    <t>Pit Office Washcar - Demolish floor finish - Raised Steel or Wooden Floor</t>
  </si>
  <si>
    <t>788</t>
  </si>
  <si>
    <t>Pit Office Building - Demolish floor finish - Raised Steel or Wooden Floor</t>
  </si>
  <si>
    <t>Pit Office Lunchroom Building - Demolish and Decontaminate Building - Trailer - Single</t>
  </si>
  <si>
    <t>Pit Office Lunchroom Building - Demolish and foundations - Timber Cribbing to Elevate Building</t>
  </si>
  <si>
    <t>Pit Office Lunchroom Building - Demolish floor finish - Raised Steel or Wooden Floor</t>
  </si>
  <si>
    <t>Geology ‘core’ building  - Demolish and Decontaminate Building - Trailer - Single</t>
  </si>
  <si>
    <t>4000-BLD-GEO-001</t>
  </si>
  <si>
    <t>4000-BLD-GEO-002</t>
  </si>
  <si>
    <t>4000-BLD-GEO-003</t>
  </si>
  <si>
    <t>4000-BLD-GEO-004</t>
  </si>
  <si>
    <t>Geology ‘core’ building - Demolish and foundations - Gravel Base - Skidded Building</t>
  </si>
  <si>
    <t>Geology ‘core’ building - Demolish floor finish - Raised Steel or Wooden Floor</t>
  </si>
  <si>
    <t>Crushing and Screening</t>
  </si>
  <si>
    <t>Crushing and Screening System</t>
  </si>
  <si>
    <t>Crusher Pad Expansion 2019</t>
  </si>
  <si>
    <t>Ore crushing and Loading Pad, Utility &amp; Accommodation Pads</t>
  </si>
  <si>
    <t>Ore Stockpiles</t>
  </si>
  <si>
    <t>4380</t>
  </si>
  <si>
    <t>4381</t>
  </si>
  <si>
    <t>795</t>
  </si>
  <si>
    <t>Crushing &amp; Screening Electrical Trailer - Demolish and Decontaminate Building - Special Modular / Prefabricated</t>
  </si>
  <si>
    <t>4381-BLD-001</t>
  </si>
  <si>
    <t>798</t>
  </si>
  <si>
    <t>4381-BLD-002</t>
  </si>
  <si>
    <t>796</t>
  </si>
  <si>
    <t>Crushing &amp; Screening Electrical Trailer - Demolish and foundations - Gravel Base - Skidded Building</t>
  </si>
  <si>
    <t>797</t>
  </si>
  <si>
    <t>Crushing &amp; Screening Electrical Trailer - Demolish floor finish - Raised Steel or Wooden Floor</t>
  </si>
  <si>
    <t>799</t>
  </si>
  <si>
    <t>800</t>
  </si>
  <si>
    <t>Crushing Stockpile Settling Pond</t>
  </si>
  <si>
    <t>828</t>
  </si>
  <si>
    <t>Stockpile Drain Pipe - Piping Installation - Ore stockpile to effluent pond and Mary River</t>
  </si>
  <si>
    <t>4385.1-P</t>
  </si>
  <si>
    <t>Mine Haul Road Sedimentation Pond</t>
  </si>
  <si>
    <t>2020-6</t>
  </si>
  <si>
    <t>KM107 Sedimentation Pond</t>
  </si>
  <si>
    <t>Crusher Pad Sedimentation Pond 2019</t>
  </si>
  <si>
    <t>Ore Crushing Sedimentation Pond</t>
  </si>
  <si>
    <t xml:space="preserve">Expansion to the sedimentation pond at KM 105 to manage surface water runoff </t>
  </si>
  <si>
    <t>2022-7</t>
  </si>
  <si>
    <t>Construction of new Sedimentation Pond SDLT-1</t>
  </si>
  <si>
    <t>2022-12</t>
  </si>
  <si>
    <t xml:space="preserve">Construction of new Sedimentation Pond Camp Lake </t>
  </si>
  <si>
    <t>2022-20</t>
  </si>
  <si>
    <t>827</t>
  </si>
  <si>
    <t>Stockpile Drain Pipe - Heat Trace Installation - Ore stockpile to effluent pond and Mary River</t>
  </si>
  <si>
    <t>4385.1-E</t>
  </si>
  <si>
    <t>Truck Weigh Facility</t>
  </si>
  <si>
    <t>820</t>
  </si>
  <si>
    <t>Truck Weigh Building - Demolish and Decontaminate Building - Fold-away Building (Steel)</t>
  </si>
  <si>
    <t>4382-BLD-001</t>
  </si>
  <si>
    <t>821</t>
  </si>
  <si>
    <t>Truck Weigh Building - Demolish and foundations - Precast Footing (Perimeter Beam)</t>
  </si>
  <si>
    <t>822</t>
  </si>
  <si>
    <t>Truck Weigh Building - Demolish floor finish - Gravel</t>
  </si>
  <si>
    <t>Truck Weigh Facility disturbed area</t>
  </si>
  <si>
    <t>Aerodrome Facilities</t>
  </si>
  <si>
    <t>Heli Pad</t>
  </si>
  <si>
    <t>4430</t>
  </si>
  <si>
    <t xml:space="preserve">4431 </t>
  </si>
  <si>
    <t>Aerodrome Office</t>
  </si>
  <si>
    <t>839</t>
  </si>
  <si>
    <t xml:space="preserve">TANK  - AERODROME OFFICE SEWAGE COLLECTION TANK - LAGRANGE MECHANICAL SERVICES  L: 3791 
W: 1829 
H: 610 </t>
  </si>
  <si>
    <t>4431-TK-004</t>
  </si>
  <si>
    <t>4431</t>
  </si>
  <si>
    <t>833</t>
  </si>
  <si>
    <t>Aerodrome Office - Demolish and Decontaminate Building - Trailer - Single</t>
  </si>
  <si>
    <t>4431-BLD-001</t>
  </si>
  <si>
    <t>838</t>
  </si>
  <si>
    <t xml:space="preserve">TANK  - AERODROME OFFICE RAW WATER TANK - NORWESCO  L: 1613 
W: 737 
H: 1676 </t>
  </si>
  <si>
    <t>4431-TK-001</t>
  </si>
  <si>
    <t>834</t>
  </si>
  <si>
    <t>Aerodrome Office - Demolish and foundations - Timber Cribbing to Elevate Building</t>
  </si>
  <si>
    <t>835</t>
  </si>
  <si>
    <t>Aerodrome Office - Demolish floor finish - Raised Steel or Wooden Floor</t>
  </si>
  <si>
    <t>4432</t>
  </si>
  <si>
    <t>Equipment Building</t>
  </si>
  <si>
    <t>Aerodrome Equipment Building - Demolish and Decontaminate Building - Undefined</t>
  </si>
  <si>
    <t>4432-BLD-001</t>
  </si>
  <si>
    <t>Aerodrome Equipment Building - Demolish and foundations - Undefined</t>
  </si>
  <si>
    <t>Aerodrome Equipment Building - Demolish floor finish - Undefined</t>
  </si>
  <si>
    <t>4521-BLD-003</t>
  </si>
  <si>
    <t>4435</t>
  </si>
  <si>
    <t>Field Electrical Centre</t>
  </si>
  <si>
    <t>850</t>
  </si>
  <si>
    <t>Aerodrome Field Electrical Centre - Demolish and Decontaminate Building - Special Modular / Prefabricated</t>
  </si>
  <si>
    <t>4435-BLD-001</t>
  </si>
  <si>
    <t>851</t>
  </si>
  <si>
    <t>Aerodrome Field Electrical Centre - Demolish and foundations - Gravel Base - Skidded Building</t>
  </si>
  <si>
    <t>852</t>
  </si>
  <si>
    <t>Aerodrome Field Electrical Centre - Demolish floor finish - Raised Steel or Wooden Floor</t>
  </si>
  <si>
    <t>4510</t>
  </si>
  <si>
    <t>899</t>
  </si>
  <si>
    <t>Accommodation Wing AA - Demolish and Decontaminate Building - Special Modular / Prefabricated</t>
  </si>
  <si>
    <t>4512-BLD-001</t>
  </si>
  <si>
    <t>902</t>
  </si>
  <si>
    <t>Accommodation Wing AB - Demolish and Decontaminate Building - Special Modular / Prefabricated</t>
  </si>
  <si>
    <t>4512-BLD-002</t>
  </si>
  <si>
    <t>905</t>
  </si>
  <si>
    <t>Accommodation Wing AC - Demolish and Decontaminate Building - Special Modular / Prefabricated</t>
  </si>
  <si>
    <t>4512-BLD-003</t>
  </si>
  <si>
    <t>908</t>
  </si>
  <si>
    <t>Accommodation Wing AD - Demolish and Decontaminate Building - Special Modular / Prefabricated</t>
  </si>
  <si>
    <t>4512-BLD-004</t>
  </si>
  <si>
    <t>911</t>
  </si>
  <si>
    <t>Accommodation Wing AE - Demolish and Decontaminate Building - Special Modular / Prefabricated</t>
  </si>
  <si>
    <t>4512-BLD-005</t>
  </si>
  <si>
    <t>914</t>
  </si>
  <si>
    <t>Accommodation Wing AF - Demolish and Decontaminate Building - Special Modular / Prefabricated</t>
  </si>
  <si>
    <t>4512-BLD-006</t>
  </si>
  <si>
    <t>917</t>
  </si>
  <si>
    <t>Accommodation Wing AG - Demolish and Decontaminate Building - Special Modular / Prefabricated</t>
  </si>
  <si>
    <t>4512-BLD-007</t>
  </si>
  <si>
    <t>900</t>
  </si>
  <si>
    <t>Accommodation Wing AA - Demolish and foundations - Gravel Base - Skidded Building</t>
  </si>
  <si>
    <t>901</t>
  </si>
  <si>
    <t>Accommodation Wing AA - Demolish floor finish - Raised Steel or Wooden Floor</t>
  </si>
  <si>
    <t>903</t>
  </si>
  <si>
    <t>Accommodation Wing AB - Demolish and foundations - Gravel Base - Skidded Building</t>
  </si>
  <si>
    <t>904</t>
  </si>
  <si>
    <t>Accommodation Wing AB - Demolish floor finish - Raised Steel or Wooden Floor</t>
  </si>
  <si>
    <t>906</t>
  </si>
  <si>
    <t>Accommodation Wing AC - Demolish and foundations - Gravel Base - Skidded Building</t>
  </si>
  <si>
    <t>907</t>
  </si>
  <si>
    <t>Accommodation Wing AC - Demolish floor finish - Raised Steel or Wooden Floor</t>
  </si>
  <si>
    <t>909</t>
  </si>
  <si>
    <t>Accommodation Wing AD - Demolish and foundations - Gravel Base - Skidded Building</t>
  </si>
  <si>
    <t>910</t>
  </si>
  <si>
    <t>Accommodation Wing AD - Demolish floor finish - Raised Steel or Wooden Floor</t>
  </si>
  <si>
    <t>912</t>
  </si>
  <si>
    <t>Accommodation Wing AE - Demolish and foundations - Gravel Base - Skidded Building</t>
  </si>
  <si>
    <t>913</t>
  </si>
  <si>
    <t>Accommodation Wing AE - Demolish floor finish - Raised Steel or Wooden Floor</t>
  </si>
  <si>
    <t>915</t>
  </si>
  <si>
    <t>Accommodation Wing AF - Demolish and foundations - Gravel Base - Skidded Building</t>
  </si>
  <si>
    <t>916</t>
  </si>
  <si>
    <t>Accommodation Wing AF - Demolish floor finish - Raised Steel or Wooden Floor</t>
  </si>
  <si>
    <t>918</t>
  </si>
  <si>
    <t>Accommodation Wing AG - Demolish and foundations - Gravel Base - Skidded Building</t>
  </si>
  <si>
    <t>919</t>
  </si>
  <si>
    <t>Accommodation Wing AG - Demolish floor finish - Raised Steel or Wooden Floor</t>
  </si>
  <si>
    <t>Accommodation Wing AH - Demolish and Decontaminate Building - Special Modular / Prefabricated</t>
  </si>
  <si>
    <t>4512-BLD-008</t>
  </si>
  <si>
    <t>Accommodation Wing AH - Demolish and foundations - Gravel Base - Skidded Building</t>
  </si>
  <si>
    <t>Accommodation Wing AH - Demolish floor finish - Raised Steel or Wooden Floor</t>
  </si>
  <si>
    <t>Accommodation Wing AI - Demolish and Decontaminate Building - Special Modular / Prefabricated</t>
  </si>
  <si>
    <t>4512-BLD-009</t>
  </si>
  <si>
    <t>Accommodation Wing AI - Demolish and foundations - Gravel Base - Skidded Building</t>
  </si>
  <si>
    <t>Accommodation Wing AI - Demolish floor finish - Raised Steel or Wooden Floor</t>
  </si>
  <si>
    <t>010</t>
  </si>
  <si>
    <t>Accommodation Wing AJ - Demolish and Decontaminate Building - Special Modular / Prefabricated</t>
  </si>
  <si>
    <t>4512-BLD-010</t>
  </si>
  <si>
    <t>Accommodation Wing AJ - Demolish and foundations - Gravel Base - Skidded Building</t>
  </si>
  <si>
    <t>Accommodation Wing AJ - Demolish floor finish - Raised Steel or Wooden Floor</t>
  </si>
  <si>
    <t>011</t>
  </si>
  <si>
    <t>Accommodation Wing AK - Demolish and Decontaminate Building - Special Modular / Prefabricated</t>
  </si>
  <si>
    <t>4512-BLD-011</t>
  </si>
  <si>
    <t>Accommodation Wing AK - Demolish and foundations - Gravel Base - Skidded Building</t>
  </si>
  <si>
    <t>Accommodation Wing AK - Demolish floor finish - Raised Steel or Wooden Floor</t>
  </si>
  <si>
    <t>012</t>
  </si>
  <si>
    <t>Accommodation Wing AL - Demolish and Decontaminate Building - Special Modular / Prefabricated</t>
  </si>
  <si>
    <t>4512-BLD-012</t>
  </si>
  <si>
    <t>Accommodation Wing AL - Demolish and foundations - Gravel Base - Skidded Building</t>
  </si>
  <si>
    <t>Accommodation Wing AL - Demolish floor finish - Raised Steel or Wooden Floor</t>
  </si>
  <si>
    <t>013</t>
  </si>
  <si>
    <t>Accommodation Wing AM - Demolish and Decontaminate Building - Special Modular / Prefabricated</t>
  </si>
  <si>
    <t>4512-BLD-013</t>
  </si>
  <si>
    <t>Accommodation Wing AM - Demolish and foundations - Gravel Base - Skidded Building</t>
  </si>
  <si>
    <t>Accommodation Wing AM - Demolish floor finish - Raised Steel or Wooden Floor</t>
  </si>
  <si>
    <t>Accommodation extension – West side</t>
  </si>
  <si>
    <t>Accommodation extension – East Side</t>
  </si>
  <si>
    <t>Quonset hut</t>
  </si>
  <si>
    <t>Quonset hut structure at Milne Port Firehall</t>
  </si>
  <si>
    <t>2021-5</t>
  </si>
  <si>
    <t>Quonset hut structure at the Aerodrome</t>
  </si>
  <si>
    <t>EBC lunch</t>
  </si>
  <si>
    <t>EBC office</t>
  </si>
  <si>
    <t>Construction of new offices and trailers at the OHT Laydown, and expansion of the OHT laydown</t>
  </si>
  <si>
    <t>Rail Operations offices</t>
  </si>
  <si>
    <t>Office Trailer (60 x 60)</t>
  </si>
  <si>
    <t>Office Trailer (24 x 60)</t>
  </si>
  <si>
    <t>Office Trailer (12 x 60)</t>
  </si>
  <si>
    <t>Lunchtrailer (44 x 10)</t>
  </si>
  <si>
    <t>Container w lunchroom</t>
  </si>
  <si>
    <t>Container Office</t>
  </si>
  <si>
    <t>Construction offices, lunchrooms, washcars (assume 50 units @  36 m2 per wash car)</t>
  </si>
  <si>
    <t>Addition of 50 person camp at Mine Site</t>
  </si>
  <si>
    <t>FF3</t>
  </si>
  <si>
    <t>Soft walled Building (tent)</t>
  </si>
  <si>
    <t xml:space="preserve">50- Person Rapid Deploy Camp  (assume same footprint as former Shanco Trailer Camp) </t>
  </si>
  <si>
    <t>Assume 40 tents (10m x 6m)</t>
  </si>
  <si>
    <t xml:space="preserve">35- Person 'Norse-man Style' Camp  (assume same footprint as former Shanco Trailer Camp) </t>
  </si>
  <si>
    <t>Addition of 800 person camp at Mine Site</t>
  </si>
  <si>
    <t>924</t>
  </si>
  <si>
    <t>4513-BLD-002</t>
  </si>
  <si>
    <t>925</t>
  </si>
  <si>
    <t>926</t>
  </si>
  <si>
    <t>937</t>
  </si>
  <si>
    <t xml:space="preserve">TANK  - EMERGENCY RESPONSE OFFICE SEWAGE COLLECTION TANK - LAGRANGE MECHANICAL SERVICES  L: 3791 
W: 1829 
H: 610 </t>
  </si>
  <si>
    <t>4513-TK-004</t>
  </si>
  <si>
    <t>921</t>
  </si>
  <si>
    <t>4513-BLD-001</t>
  </si>
  <si>
    <t>939</t>
  </si>
  <si>
    <t xml:space="preserve">TANK  - MINE EMERGENCY RESPONSE GARAGE DIESEL FUEL TANK - DTE ULC601-07  </t>
  </si>
  <si>
    <t>4513-TK-023</t>
  </si>
  <si>
    <t>938</t>
  </si>
  <si>
    <t xml:space="preserve">TANK  - EMERGENCY RESPONSE OFFICE RAW WATER TANK - NORWESCO  L: 1613 
W: 737 
H: 1676 </t>
  </si>
  <si>
    <t>4513-TK-005</t>
  </si>
  <si>
    <t>922</t>
  </si>
  <si>
    <t>923</t>
  </si>
  <si>
    <t>Construction of a new COVID-19 PCR testing lab building at the Mine Site</t>
  </si>
  <si>
    <t>2022-14</t>
  </si>
  <si>
    <t>859</t>
  </si>
  <si>
    <t>4511-BLD-001</t>
  </si>
  <si>
    <t>862</t>
  </si>
  <si>
    <t>4511-BLD-002</t>
  </si>
  <si>
    <t>865</t>
  </si>
  <si>
    <t>4511-BLD-003</t>
  </si>
  <si>
    <t>868</t>
  </si>
  <si>
    <t>Accommodation Laboratory - Demolish and Decontaminate Building - Special Modular / Prefabricated</t>
  </si>
  <si>
    <t>4511-BLD-004</t>
  </si>
  <si>
    <t>869</t>
  </si>
  <si>
    <t>Accommodation Laboratory - Demolish and foundations - Gravel Base - Skidded Building</t>
  </si>
  <si>
    <t>870</t>
  </si>
  <si>
    <t>Accommodation Laboratory - Demolish floor finish - Raised Steel or Wooden Floor</t>
  </si>
  <si>
    <t>866</t>
  </si>
  <si>
    <t>867</t>
  </si>
  <si>
    <t>863</t>
  </si>
  <si>
    <t>864</t>
  </si>
  <si>
    <t>860</t>
  </si>
  <si>
    <t>861</t>
  </si>
  <si>
    <t>4511-BLD-005</t>
  </si>
  <si>
    <t>4511-BLD-006</t>
  </si>
  <si>
    <t>800 man temporary hard-walled camp at Mine Site inclusive of kitchen, dining, locker, recreational and washroom (assume footprint of 13,000 m2)</t>
  </si>
  <si>
    <t>Sailivik (800p) Camp Mine Dry facility</t>
  </si>
  <si>
    <t>2020-2</t>
  </si>
  <si>
    <t xml:space="preserve">Addition of offices/trailers/buildings at the 800p Camp, including a new fire hall and emergency response building. </t>
  </si>
  <si>
    <t>4520</t>
  </si>
  <si>
    <t>975</t>
  </si>
  <si>
    <t xml:space="preserve">TANK  - WORKSHOP OFFICE WASHCAR SEWAGE COLLECTION TANK - LAGRANGE MECHANICAL SERVICES  L: 3791  W: 1829  H: 610 </t>
  </si>
  <si>
    <t>4521-TK-053</t>
  </si>
  <si>
    <t>954</t>
  </si>
  <si>
    <t>Washroom facility for Tote Road</t>
  </si>
  <si>
    <t>Washcar</t>
  </si>
  <si>
    <t>Small Building</t>
  </si>
  <si>
    <t>Washcar (bathroom)</t>
  </si>
  <si>
    <t>E-10</t>
  </si>
  <si>
    <t>4521-BLD-005</t>
  </si>
  <si>
    <t>942</t>
  </si>
  <si>
    <t>4521-BLD-001</t>
  </si>
  <si>
    <t>945</t>
  </si>
  <si>
    <t>Warehouse - Demolish and Decontaminate Building - Fold-away Building (Steel)</t>
  </si>
  <si>
    <t>4521-BLD-002</t>
  </si>
  <si>
    <t>943</t>
  </si>
  <si>
    <t>944</t>
  </si>
  <si>
    <t>948</t>
  </si>
  <si>
    <t>Crusher Dry Trailers (2 x 36m2)</t>
  </si>
  <si>
    <t>Environment Trailers (2 x 36m2)</t>
  </si>
  <si>
    <t>Lunchroom</t>
  </si>
  <si>
    <t>951</t>
  </si>
  <si>
    <t>4521-BLD-004</t>
  </si>
  <si>
    <t>946</t>
  </si>
  <si>
    <t>Warehouse - Demolish and foundations - Precast Footing (Perimeter Beam)</t>
  </si>
  <si>
    <t>947</t>
  </si>
  <si>
    <t>Warehouse - Demolish floor finish - Slab on grade C/W Drainage</t>
  </si>
  <si>
    <t>Waste Rock Facility</t>
  </si>
  <si>
    <t>Trasfer line for Deposit 1 to Waste Rock Facility</t>
  </si>
  <si>
    <t>Bulk Fuel Storage</t>
  </si>
  <si>
    <t>Fuel Line from new (2019) bulk fuel storage facility to existing bulk fuel storage facility</t>
  </si>
  <si>
    <t>2020-1</t>
  </si>
  <si>
    <t>976</t>
  </si>
  <si>
    <t>4521.5-P</t>
  </si>
  <si>
    <t>949</t>
  </si>
  <si>
    <t>950</t>
  </si>
  <si>
    <t>Welding Shop Building - Demolish floor finish - Slab on grade C/W Drainage</t>
  </si>
  <si>
    <t>974</t>
  </si>
  <si>
    <t xml:space="preserve">TANK  - WORKSHOP OFFICE WASHCAR RAW WATER TANK - PLASTIC-MART 866-310-2556  L: 1803  W: 1245  H: 1346 </t>
  </si>
  <si>
    <t>4521-TK-050</t>
  </si>
  <si>
    <t>955</t>
  </si>
  <si>
    <t>952</t>
  </si>
  <si>
    <t>971</t>
  </si>
  <si>
    <t xml:space="preserve">TANK  - WELDING SHOP DIESEL FUEL TANK - DTE ULC601-07  </t>
  </si>
  <si>
    <t>4521-TK-005</t>
  </si>
  <si>
    <t>972</t>
  </si>
  <si>
    <t xml:space="preserve">TANK  - MAINTENANCE BUILDING DIESEL TANK </t>
  </si>
  <si>
    <t>4521-TK-013</t>
  </si>
  <si>
    <t>973</t>
  </si>
  <si>
    <t xml:space="preserve">TANK  - WAREHOUSE BUILDING DIESEL TANK </t>
  </si>
  <si>
    <t>4521-TK-023</t>
  </si>
  <si>
    <t>956</t>
  </si>
  <si>
    <t>Assumed same size as landfarm at Milne</t>
  </si>
  <si>
    <t>953</t>
  </si>
  <si>
    <t>FF2-c</t>
  </si>
  <si>
    <t>Concrete Batch Plant building</t>
  </si>
  <si>
    <t>Mine Truck Workshop (2018)</t>
  </si>
  <si>
    <t>Rolling Stock Workshop (2018)</t>
  </si>
  <si>
    <t>Welding Shop Building #2 - Demolish and Decontaminate Building - Fold-away Building (Steel)</t>
  </si>
  <si>
    <t>4521-BLD-007</t>
  </si>
  <si>
    <t>Welding Shop Building #2 - Demolish and foundations - Precast Footing (Perimeter Beam)</t>
  </si>
  <si>
    <t>Welding Shop Building #2 - Demolish floor finish - Slab on grade C/W Drainage</t>
  </si>
  <si>
    <t>Ore Haul  Truck Workshop Office Building - Demolish and Decontaminate Building - Trailer - Modular (2 or more modules)</t>
  </si>
  <si>
    <t>4521-BLD-008</t>
  </si>
  <si>
    <t>Ore Haul  Truck Workshop Office Building - Demolish and foundations - Timber Cribbing to Elevate Building</t>
  </si>
  <si>
    <t>Ore Haul  Truck Workshop Office Building - Demolish floor finish - Raised Steel or Wooden Floor</t>
  </si>
  <si>
    <t>Ore Haul Maintenance Building - Demolish and Decontaminate Building - Trailer - Modular (2 or more modules)</t>
  </si>
  <si>
    <t>4521-BLD-006</t>
  </si>
  <si>
    <t>Ore Haul Maintenance Building  - Demolish and foundations - Timber Cribbing to Elevate Building</t>
  </si>
  <si>
    <t>Ore Haul Maintenance Building - Demolish floor finish - Raised Steel or Wooden Floor</t>
  </si>
  <si>
    <t>4521-BLD-009</t>
  </si>
  <si>
    <t xml:space="preserve">TANK  - ORE HAUL TRUCK WORKSHOP OFFICE WASHCAR RAW WATER TANK - SIMER JET PUMPS 2205C   
L: 1803, W: 1245, H: 1346 </t>
  </si>
  <si>
    <t>TANK  - ORE HAUL TRUCK WORKSHOP OFFICE WASHCAR SEWAGE COLLECTION TANK</t>
  </si>
  <si>
    <t>Bit shack (container building)</t>
  </si>
  <si>
    <t>2022-9/ 2021-R</t>
  </si>
  <si>
    <t>MM1</t>
  </si>
  <si>
    <t>Light Equipment</t>
  </si>
  <si>
    <t>Communication tower KM 108</t>
  </si>
  <si>
    <t>2022-13</t>
  </si>
  <si>
    <t>979</t>
  </si>
  <si>
    <t>SHOP / MAINTENANCE EQUIPMENT  - KIDNEY LOOP  - AG - DYE10MFP240SA10QBV  50 
kg</t>
  </si>
  <si>
    <t>4522-SQ-002</t>
  </si>
  <si>
    <t>982</t>
  </si>
  <si>
    <t xml:space="preserve">   LATHE SPINDLE MOTOR  </t>
  </si>
  <si>
    <t>4522-MT-004A</t>
  </si>
  <si>
    <t>1026</t>
  </si>
  <si>
    <t xml:space="preserve">SHOP / MAINTENANCE EQUIPMENT  - INCHING TOOL  - AG  </t>
  </si>
  <si>
    <t>4522-SQ-065</t>
  </si>
  <si>
    <t>1027</t>
  </si>
  <si>
    <t xml:space="preserve">SHOP / MAINTENANCE EQUIPMENT  - BATTERY CHARGER  - AG - WSW1JYU3  </t>
  </si>
  <si>
    <t>4522-SQ-066</t>
  </si>
  <si>
    <t>1028</t>
  </si>
  <si>
    <t>4522-SQ-067</t>
  </si>
  <si>
    <t>Tire Shop at Ore Haul Truck Lineup (seacan construction)</t>
  </si>
  <si>
    <t>Construction of seacan tent structure at the aerodrome for freight and equipment sorting</t>
  </si>
  <si>
    <t>Construction of new warehouse facility (seacan tent structure) on laydown LP2</t>
  </si>
  <si>
    <t>2021-2</t>
  </si>
  <si>
    <t>Construction of warehouse parts/staging area (seacan tent structure)</t>
  </si>
  <si>
    <t>Construction of offices and workshops at the stockpile and shiploader (seacan structure)</t>
  </si>
  <si>
    <t>2021-3</t>
  </si>
  <si>
    <t>Truck Wash Facility</t>
  </si>
  <si>
    <t>1031</t>
  </si>
  <si>
    <t>Truck Wash Building - Demolish and Decontaminate Building - Fold-away Building (Steel)</t>
  </si>
  <si>
    <t>4523-BLD-001</t>
  </si>
  <si>
    <t>1032</t>
  </si>
  <si>
    <t>Truck Wash Building - Demolish and foundations - Precast Footing (Perimeter Beam)</t>
  </si>
  <si>
    <t>1033</t>
  </si>
  <si>
    <t>Truck Wash Building - Demolish floor finish - Gravel</t>
  </si>
  <si>
    <t xml:space="preserve">Additional Truck Wash Building </t>
  </si>
  <si>
    <t>New thaw and wash bay facilitiy for maintenance</t>
  </si>
  <si>
    <t>2021-8</t>
  </si>
  <si>
    <t>Additional Truck Wash Building - Demolish and foundations - Precast Footing (Perimeter Beam)</t>
  </si>
  <si>
    <t>Ore Haul Truck Wash Building - Demolish and Decontaminate Building - Fold-away Building (Steel)</t>
  </si>
  <si>
    <t>4523-BLD-002</t>
  </si>
  <si>
    <t>Ore Haul Truck Wash Building - Demolish and foundations - Precast Footing (Perimeter Beam)</t>
  </si>
  <si>
    <t>Ore Haul Truck Wash Building - Demolish floor finish - Gravel</t>
  </si>
  <si>
    <t>4530</t>
  </si>
  <si>
    <t>Electrical Office - Demolish and Decontaminate Building - Fold-away Building (Steel)</t>
  </si>
  <si>
    <t>4530-BLD-BIM-001</t>
  </si>
  <si>
    <t>Concrete Pad for tire maintenance at 110 Laydown</t>
  </si>
  <si>
    <t>Concrete pad apron for exterior of HD Shop</t>
  </si>
  <si>
    <t>Concrete Pad for tire maintenance and welding shop at 110 Laydown</t>
  </si>
  <si>
    <t>Additional Buildings by BIM Site Services slab on grade</t>
  </si>
  <si>
    <t>1059</t>
  </si>
  <si>
    <t>4530-BLD-007</t>
  </si>
  <si>
    <t>1062</t>
  </si>
  <si>
    <t>4530-BLD-008</t>
  </si>
  <si>
    <t>1041</t>
  </si>
  <si>
    <t>4530-BLD-001</t>
  </si>
  <si>
    <t>1044</t>
  </si>
  <si>
    <t>4530-BLD-002</t>
  </si>
  <si>
    <t>1047</t>
  </si>
  <si>
    <t>4530-BLD-003</t>
  </si>
  <si>
    <t>1050</t>
  </si>
  <si>
    <t>4530-BLD-004</t>
  </si>
  <si>
    <t>1053</t>
  </si>
  <si>
    <t>4530-BLD-005</t>
  </si>
  <si>
    <t>1056</t>
  </si>
  <si>
    <t>4530-BLD-006</t>
  </si>
  <si>
    <t>1065</t>
  </si>
  <si>
    <t>4530-BLD-009</t>
  </si>
  <si>
    <t>1066</t>
  </si>
  <si>
    <t>1067</t>
  </si>
  <si>
    <t>1042</t>
  </si>
  <si>
    <t>1043</t>
  </si>
  <si>
    <t>1045</t>
  </si>
  <si>
    <t>1046</t>
  </si>
  <si>
    <t>1048</t>
  </si>
  <si>
    <t>1049</t>
  </si>
  <si>
    <t>1051</t>
  </si>
  <si>
    <t>1052</t>
  </si>
  <si>
    <t>1054</t>
  </si>
  <si>
    <t>1055</t>
  </si>
  <si>
    <t>1057</t>
  </si>
  <si>
    <t>1058</t>
  </si>
  <si>
    <t>1060</t>
  </si>
  <si>
    <t>1061</t>
  </si>
  <si>
    <t>1063</t>
  </si>
  <si>
    <t>1064</t>
  </si>
  <si>
    <t>4530-BLD-BIM-002</t>
  </si>
  <si>
    <t>022</t>
  </si>
  <si>
    <t>4530-BLD-022</t>
  </si>
  <si>
    <t>023</t>
  </si>
  <si>
    <t>4530-BLD-023</t>
  </si>
  <si>
    <t>026</t>
  </si>
  <si>
    <t>Power Generation Module #9 - Demolish and Decontaminate Building - Special Modular / Prefabricated</t>
  </si>
  <si>
    <t>4530-BLD-026</t>
  </si>
  <si>
    <t>Power Generation Module #9 - Demolish and foundations - Gravel Base - Skidded Building</t>
  </si>
  <si>
    <t>Power Generation Module #9 - Demolish floor finish - Raised Steel or Wooden Floor</t>
  </si>
  <si>
    <t>027</t>
  </si>
  <si>
    <t>Power Generation Module #10 - Demolish and Decontaminate Building - Special Modular / Prefabricated</t>
  </si>
  <si>
    <t>4530-BLD-027</t>
  </si>
  <si>
    <t>Power Generation Module #10 - Demolish and foundations - Gravel Base - Skidded Building</t>
  </si>
  <si>
    <t>Power Generation Module #10 - Demolish floor finish - Raised Steel or Wooden Floor</t>
  </si>
  <si>
    <t>029</t>
  </si>
  <si>
    <t>Power Generation E-House #3 - Demolish and Decontaminate Building - Special Modular / Prefabricated</t>
  </si>
  <si>
    <t>4530-BLD-029</t>
  </si>
  <si>
    <t>Power Generation E-House #3 - Demolish and foundations - Gravel Base - Skidded Building</t>
  </si>
  <si>
    <t>Power Generation E-House #3 - Demolish floor finish - Raised Steel or Wooden Floor</t>
  </si>
  <si>
    <t>030</t>
  </si>
  <si>
    <t>Power Generation E-House #4 - Demolish and Decontaminate Building - Special Modular / Prefabricated</t>
  </si>
  <si>
    <t>4530-BLD-030</t>
  </si>
  <si>
    <t>Power Generation E-House #4 - Demolish and foundations - Gravel Base - Skidded Building</t>
  </si>
  <si>
    <t>Power Generation E-House #4 - Demolish floor finish - Raised Steel or Wooden Floor</t>
  </si>
  <si>
    <t>031</t>
  </si>
  <si>
    <t>Power Generation Stores #2 - Demolish and Decontaminate Building - Special Modular / Prefabricated</t>
  </si>
  <si>
    <t>4530-BLD-031</t>
  </si>
  <si>
    <t>Power Generation Stores #2 - Demolish and foundations - Gravel Base - Skidded Building</t>
  </si>
  <si>
    <t>Power Generation Stores #2 - Demolish floor finish - Raised Steel or Wooden Floor</t>
  </si>
  <si>
    <t>Waste Management</t>
  </si>
  <si>
    <t xml:space="preserve">Waste Management </t>
  </si>
  <si>
    <t>Existing Landfill</t>
  </si>
  <si>
    <t>4540</t>
  </si>
  <si>
    <t>1069</t>
  </si>
  <si>
    <t>Heated Maintenance shop for pit equipment at KM110.5 laydown</t>
  </si>
  <si>
    <t>2019-14</t>
  </si>
  <si>
    <t>New building and expansion of Mary River HD Maintenance Shop</t>
  </si>
  <si>
    <t>2022-15</t>
  </si>
  <si>
    <t>Heated Maintenance shops (2) for pit equipment at KM110.5 laydown</t>
  </si>
  <si>
    <t>4540-BLD-001</t>
  </si>
  <si>
    <t>1070</t>
  </si>
  <si>
    <t>1071</t>
  </si>
  <si>
    <t>1083</t>
  </si>
  <si>
    <t>4540-VP-001</t>
  </si>
  <si>
    <t>1072</t>
  </si>
  <si>
    <t>1079</t>
  </si>
  <si>
    <t>4540-SQ-002</t>
  </si>
  <si>
    <t>1073</t>
  </si>
  <si>
    <t>1074</t>
  </si>
  <si>
    <t>Lined Containment Cell</t>
  </si>
  <si>
    <t>2019-18</t>
  </si>
  <si>
    <t>Expansion of Landfarm Cell 3</t>
  </si>
  <si>
    <t>2022-1</t>
  </si>
  <si>
    <t>Construction of Landfarm Cell 4</t>
  </si>
  <si>
    <t>Hazardous Waste Berm - 2016 (new) - 1</t>
  </si>
  <si>
    <t>MS-HWB-XX</t>
  </si>
  <si>
    <t>Hazardous Waste Berm - 2016 (new) - 2</t>
  </si>
  <si>
    <t xml:space="preserve">Hazardous Waste Berm - 2016 (new-by generator) - 3 </t>
  </si>
  <si>
    <t>Landfill Expansion</t>
  </si>
  <si>
    <t>2018 Landfill Expansion</t>
  </si>
  <si>
    <t>Hazardous Waste Berm Containment Facilities 2020
HD Shop - 72m2, MR Shop - 120 m2, Wash Bay - 120 m2, 110 Laydown - 144 m2</t>
  </si>
  <si>
    <t>2020-8</t>
  </si>
  <si>
    <t>Hazardous Waste Berm - New 2019</t>
  </si>
  <si>
    <t>Mine Site Hazardous Waste Berm</t>
  </si>
  <si>
    <t>MS-HWB-2</t>
  </si>
  <si>
    <t>MS-HWB-1</t>
  </si>
  <si>
    <t>MS-HWB-4</t>
  </si>
  <si>
    <t>MS-HWB-3</t>
  </si>
  <si>
    <t>MS-HWB-6</t>
  </si>
  <si>
    <t>MS-HWB-5</t>
  </si>
  <si>
    <t>Incinerator for 380-person camp at Mine Site</t>
  </si>
  <si>
    <t>Mine Tank Farm</t>
  </si>
  <si>
    <t xml:space="preserve">4613 </t>
  </si>
  <si>
    <t>1101</t>
  </si>
  <si>
    <t>15ML Arctic Diesel Tank Mine Site</t>
  </si>
  <si>
    <t>2019-20</t>
  </si>
  <si>
    <t xml:space="preserve">TANK  - ARCTIC DIESEL TANK W: 8350 DIA H: 9140 </t>
  </si>
  <si>
    <t>4613-TK-009</t>
  </si>
  <si>
    <t>1102</t>
  </si>
  <si>
    <t>4613-TK-010</t>
  </si>
  <si>
    <t>1103</t>
  </si>
  <si>
    <t>4613-TK-011</t>
  </si>
  <si>
    <t>1104</t>
  </si>
  <si>
    <t>4613-TK-012</t>
  </si>
  <si>
    <t>4613</t>
  </si>
  <si>
    <t>1089</t>
  </si>
  <si>
    <t>Diesel Fuel Dispensing Module  - Demolish and Decontaminate Building - ISO Shipping Container</t>
  </si>
  <si>
    <t>4613-FD-013</t>
  </si>
  <si>
    <t>1091</t>
  </si>
  <si>
    <t>Diesel Fuel Dispensing Module  - Demolish floor finish - Raised Steel or Wooden Floor</t>
  </si>
  <si>
    <t>1090</t>
  </si>
  <si>
    <t>Diesel Fuel Dispensing Module  - Demolish and foundations - Gravel Base - Skidded Building</t>
  </si>
  <si>
    <t>Mine Site Fuel Tank Farm 2019 Footprint</t>
  </si>
  <si>
    <t>Utility pad extension (North West)</t>
  </si>
  <si>
    <t>Utility pad extension (South West)</t>
  </si>
  <si>
    <t>Medium Mobile Diesel Tanks (3000 L to 500k L)</t>
  </si>
  <si>
    <t>Fuel tank</t>
  </si>
  <si>
    <t>250,000 liter Fuel tank</t>
  </si>
  <si>
    <t>2022-5
E-17</t>
  </si>
  <si>
    <t>Fuel Farm Tank Dike</t>
  </si>
  <si>
    <t>Fuel Tank Containment Area</t>
  </si>
  <si>
    <t>Tank  - Jet-A tanks @ aerodrome apron</t>
  </si>
  <si>
    <t xml:space="preserve">Assume 2x50,000 L plus 1x75,000 Jet-A </t>
  </si>
  <si>
    <t>Raw Water Intake</t>
  </si>
  <si>
    <t>Raw Water System</t>
  </si>
  <si>
    <t>1119</t>
  </si>
  <si>
    <t>Raw Water Supply Pipe - Piping Installation - Pumphouse to Water Building</t>
  </si>
  <si>
    <t>4712.2-P</t>
  </si>
  <si>
    <t>1115</t>
  </si>
  <si>
    <t>Raw Water Pumphouse - Demolish and Decontaminate Building - Special Modular / Prefabricated</t>
  </si>
  <si>
    <t>4712-BLD-001</t>
  </si>
  <si>
    <t>1116</t>
  </si>
  <si>
    <t>Raw Water Pumphouse - Demolish and foundations - Gravel Base - Skidded Building</t>
  </si>
  <si>
    <t>1117</t>
  </si>
  <si>
    <t>Raw Water Pumphouse - Demolish floor finish - Raised Steel or Wooden Floor</t>
  </si>
  <si>
    <t>1118</t>
  </si>
  <si>
    <t>Raw Water Supply Pipe - Heat Trace Installation - Pumphouse to Water Building</t>
  </si>
  <si>
    <t>4712.2-E</t>
  </si>
  <si>
    <t>piping</t>
  </si>
  <si>
    <t>Raw Water Intake Pipeline</t>
  </si>
  <si>
    <t>4720</t>
  </si>
  <si>
    <t>1121</t>
  </si>
  <si>
    <t>4720-BLD-001</t>
  </si>
  <si>
    <t>1122</t>
  </si>
  <si>
    <t>1148</t>
  </si>
  <si>
    <t xml:space="preserve">POTABLE WATER TREATMENT PLANT VENDOR PACKAGE </t>
  </si>
  <si>
    <t>4720-VP-020</t>
  </si>
  <si>
    <t>1143</t>
  </si>
  <si>
    <t>4720-TK-001</t>
  </si>
  <si>
    <t>1144</t>
  </si>
  <si>
    <t>4720-TK-007</t>
  </si>
  <si>
    <t>1145</t>
  </si>
  <si>
    <t>4720-TK-009</t>
  </si>
  <si>
    <t>1146</t>
  </si>
  <si>
    <t>4720-TK-012</t>
  </si>
  <si>
    <t>1123</t>
  </si>
  <si>
    <t>Infill between service and utility pads</t>
  </si>
  <si>
    <t>TANK  - POTABLE WATER STORAGE TANK (40 m3)</t>
  </si>
  <si>
    <t>TANK  - RAW WATER TANK (60 m3)</t>
  </si>
  <si>
    <t xml:space="preserve">VENDOR PACKAGE  - POTABLE WATER TREATMENT PLANT VENDOR PACKAGE </t>
  </si>
  <si>
    <t>VP7</t>
  </si>
  <si>
    <t>WRF Water Treatment</t>
  </si>
  <si>
    <t>Water Treatment Plant for the Waste Rock Facility</t>
  </si>
  <si>
    <t>Potable Water System for 800-person camp at Mine Site</t>
  </si>
  <si>
    <t>Replacement of inflatable building with rigid building</t>
  </si>
  <si>
    <t>2022-8</t>
  </si>
  <si>
    <t>Expansion to the Water Treatment Plant Pad</t>
  </si>
  <si>
    <t>2022-16</t>
  </si>
  <si>
    <t>1154</t>
  </si>
  <si>
    <t>4731-VP-005</t>
  </si>
  <si>
    <t>1163</t>
  </si>
  <si>
    <t>4731.2-P</t>
  </si>
  <si>
    <t>1161</t>
  </si>
  <si>
    <t>1160</t>
  </si>
  <si>
    <t xml:space="preserve">TANK  - TREATED EFFLUENT TANK </t>
  </si>
  <si>
    <t>4731-TK-002</t>
  </si>
  <si>
    <t>1151</t>
  </si>
  <si>
    <t>4731-BLD-001</t>
  </si>
  <si>
    <t>1152</t>
  </si>
  <si>
    <t>1153</t>
  </si>
  <si>
    <t>1162</t>
  </si>
  <si>
    <t>4731.2-E</t>
  </si>
  <si>
    <t>1155</t>
  </si>
  <si>
    <t>1156</t>
  </si>
  <si>
    <t>Sewage Treatment Piping - Piping Installation - 800p camp to final discharge point</t>
  </si>
  <si>
    <t xml:space="preserve">VENDOR PACKAGE  - SEWAGE TREATMENT PLANT VENDOR PACKAGE </t>
  </si>
  <si>
    <t>Sewage Treatment Plant for 800-person camp at Mine Site</t>
  </si>
  <si>
    <t>1165</t>
  </si>
  <si>
    <t>4732-BLD-001</t>
  </si>
  <si>
    <t>FF3-c</t>
  </si>
  <si>
    <t>Tent Structure for Waste Rock Facility Water Treatment System</t>
  </si>
  <si>
    <t>1172</t>
  </si>
  <si>
    <t xml:space="preserve">TANK  - MINE SEWAGE TRUCK BUILDING DIESEL FUEL TANK - DTE ULC601-07  </t>
  </si>
  <si>
    <t>4732-TK-003</t>
  </si>
  <si>
    <t>1166</t>
  </si>
  <si>
    <t>1167</t>
  </si>
  <si>
    <t>1178</t>
  </si>
  <si>
    <t>Treated Effluent Piping - Piping Installation - STP to connection with Stockpile Drain Pipe</t>
  </si>
  <si>
    <t>4734.1-P</t>
  </si>
  <si>
    <t>1177</t>
  </si>
  <si>
    <t>Treated Effluent Piping - Heat Trace Installation - STP to connection with Stockpile Drain Pipe</t>
  </si>
  <si>
    <t>4734.1-E</t>
  </si>
  <si>
    <t>Treated Effluent Pond</t>
  </si>
  <si>
    <t>1174</t>
  </si>
  <si>
    <t>VM-</t>
  </si>
  <si>
    <t xml:space="preserve">BULK MATERIAL VALVES  - TREATED EFFLUENT POND SLUICE GATE </t>
  </si>
  <si>
    <t>4733-VM-001</t>
  </si>
  <si>
    <t>1175</t>
  </si>
  <si>
    <t xml:space="preserve">BULK MATERIAL VALVES  - TREATED EFFLUENT POND SLUICE GATE SPARE </t>
  </si>
  <si>
    <t>4733-VM-002</t>
  </si>
  <si>
    <t>FRP Water tanks for 800p camp</t>
  </si>
  <si>
    <t>Water Tank 15,000L</t>
  </si>
  <si>
    <t>Water Tank 10,000L</t>
  </si>
  <si>
    <t>Water Tank 1,000L</t>
  </si>
  <si>
    <t>Water Tank 50,000L</t>
  </si>
  <si>
    <t>15,000 L Bulk diesel storage at Weatherhaven</t>
  </si>
  <si>
    <t>2022-10
E-33</t>
  </si>
  <si>
    <t>15,000 L Bulk Jet A storage</t>
  </si>
  <si>
    <t>E-3</t>
  </si>
  <si>
    <t>1204</t>
  </si>
  <si>
    <t>Power Distribution System - Electrical Cable Installation 5kV &amp; Ground Wire - Electrical distribution system from power gen to e-house</t>
  </si>
  <si>
    <t>4750.2-E</t>
  </si>
  <si>
    <t>1205</t>
  </si>
  <si>
    <t>4750.3-E</t>
  </si>
  <si>
    <t>Power Distribution System - Electrical Cable Installation - Mary River Powerhouse to Dyno Nobel explosives facility (500 m), and Mary River E-House 3 to KM 104 laydown (300 m)</t>
  </si>
  <si>
    <t>Power Distribution cabling from the new KM110 building to the Mine water treatment facility</t>
  </si>
  <si>
    <t>2022-11</t>
  </si>
  <si>
    <t>Power Distribution cabling and distribution equipment for a new service from the Port Power house area to CV-001 on the shiploader</t>
  </si>
  <si>
    <t>2022-19</t>
  </si>
  <si>
    <t>Power Distribution cabling (from the Powerhouse to Dyno Nobel explosives facility)</t>
  </si>
  <si>
    <t>2021-1</t>
  </si>
  <si>
    <t>Power Distribution cabling (from E-House 3 to KM 104 laydown)</t>
  </si>
  <si>
    <t>1180</t>
  </si>
  <si>
    <t>4750-BLD-001</t>
  </si>
  <si>
    <t>1201</t>
  </si>
  <si>
    <t>Crushing &amp; Screening E-House - Demolish and Decontaminate Building - Special Modular / Prefabricated</t>
  </si>
  <si>
    <t>4750-BLD-008</t>
  </si>
  <si>
    <t>1183</t>
  </si>
  <si>
    <t>4750-BLD-002</t>
  </si>
  <si>
    <t>1186</t>
  </si>
  <si>
    <t>4750-BLD-003</t>
  </si>
  <si>
    <t>1189</t>
  </si>
  <si>
    <t>4750-BLD-004</t>
  </si>
  <si>
    <t>1192</t>
  </si>
  <si>
    <t>4750-BLD-005</t>
  </si>
  <si>
    <t>1195</t>
  </si>
  <si>
    <t>Aerodrome Area E-House  - Demolish and Decontaminate Building - Special Modular / Prefabricated</t>
  </si>
  <si>
    <t>4750-BLD-006</t>
  </si>
  <si>
    <t>1198</t>
  </si>
  <si>
    <t>Raw Water Supply E-House - Demolish and Decontaminate Building - Special Modular / Prefabricated</t>
  </si>
  <si>
    <t>4750-BLD-007</t>
  </si>
  <si>
    <t>1184</t>
  </si>
  <si>
    <t>1185</t>
  </si>
  <si>
    <t>1187</t>
  </si>
  <si>
    <t>1188</t>
  </si>
  <si>
    <t>1190</t>
  </si>
  <si>
    <t>1191</t>
  </si>
  <si>
    <t>1193</t>
  </si>
  <si>
    <t>1194</t>
  </si>
  <si>
    <t>1196</t>
  </si>
  <si>
    <t>Aerodrome Area E-House  - Demolish and foundations - Gravel Base - Skidded Building</t>
  </si>
  <si>
    <t>1197</t>
  </si>
  <si>
    <t>Aerodrome Area E-House  - Demolish floor finish - Raised Steel or Wooden Floor</t>
  </si>
  <si>
    <t>1199</t>
  </si>
  <si>
    <t>Raw Water Supply E-House - Demolish and foundations - Gravel Base - Skidded Building</t>
  </si>
  <si>
    <t>1200</t>
  </si>
  <si>
    <t>Raw Water Supply E-House - Demolish floor finish - Raised Steel or Wooden Floor</t>
  </si>
  <si>
    <t>1181</t>
  </si>
  <si>
    <t>1182</t>
  </si>
  <si>
    <t>1202</t>
  </si>
  <si>
    <t>Crushing &amp; Screening E-House - Demolish and foundations - Gravel Base - Skidded Building</t>
  </si>
  <si>
    <t>1203</t>
  </si>
  <si>
    <t>Crushing &amp; Screening E-House - Demolish floor finish - Raised Steel or Wooden Floor</t>
  </si>
  <si>
    <t>Cabling for Lighting at Mine Site Warehouse</t>
  </si>
  <si>
    <t>2020-11</t>
  </si>
  <si>
    <t>Additional outdoor lighting for safety (with cables) at Mine Site</t>
  </si>
  <si>
    <t>4750-BLD-012</t>
  </si>
  <si>
    <t>Crushing and Screening E-House #1 - Demolish and Decontaminate Building - Special Modular / Prefabricated</t>
  </si>
  <si>
    <t>4750-BLD-010</t>
  </si>
  <si>
    <t>Crushing and Screening E-House #1 - Demolish floor finish - Raised Steel or Wooden Floor</t>
  </si>
  <si>
    <t>Crushing and Screening E-House #2 - Demolish and Decontaminate Building - Special Modular / Prefabricated</t>
  </si>
  <si>
    <t>4750-BLD-011</t>
  </si>
  <si>
    <t>Crushing and Screening E-House #2- Demolish and foundations - Gravel Base - Skidded Building</t>
  </si>
  <si>
    <t>Services Area E-House #3- Demolish and foundations - Gravel Base - Skidded Building</t>
  </si>
  <si>
    <t>Crushing and Screening E-House #1 - Demolish and foundations - Gravel Base - Skidded Building</t>
  </si>
  <si>
    <t>Crushing and Screening E-House #2 - Demolish floor finish - Raised Steel or Wooden Floor</t>
  </si>
  <si>
    <t>Baffinland Owned Equipment</t>
  </si>
  <si>
    <t>MM3</t>
  </si>
  <si>
    <t>Heavy Equipment</t>
  </si>
  <si>
    <t>Global Estimate for Equipment - Arbitration Reconciliation</t>
  </si>
  <si>
    <t>MM2</t>
  </si>
  <si>
    <t>Medium Equipment</t>
  </si>
  <si>
    <t>O3</t>
  </si>
  <si>
    <t>Heavy Mobile Equipment</t>
  </si>
  <si>
    <t>O2</t>
  </si>
  <si>
    <t xml:space="preserve">Medium Mobile Equipment </t>
  </si>
  <si>
    <t>O1</t>
  </si>
  <si>
    <t>Light Mobile Equipment</t>
  </si>
  <si>
    <t xml:space="preserve">Heavy 3rd Party Equipment Demob </t>
  </si>
  <si>
    <t xml:space="preserve">Med 3rd Party Equipment Demob </t>
  </si>
  <si>
    <t>Light 3rd Party Equipment Demob</t>
  </si>
  <si>
    <t>Heavy - Arbitration Reconciliation for 2020 Work Plan</t>
  </si>
  <si>
    <t>Med - Arbitration Reconciliation for 2020 Work Plan</t>
  </si>
  <si>
    <t>Light - Arbitration Reconciliation for 2020 Work Plan</t>
  </si>
  <si>
    <t>317</t>
  </si>
  <si>
    <t>Generator/Air Compressor</t>
  </si>
  <si>
    <t>FRF</t>
  </si>
  <si>
    <t>Light Plants</t>
  </si>
  <si>
    <t>2021-R</t>
  </si>
  <si>
    <t>1263</t>
  </si>
  <si>
    <t>PP-</t>
  </si>
  <si>
    <t xml:space="preserve">Water Jet - Ceramic Cutting </t>
  </si>
  <si>
    <t>2021-11</t>
  </si>
  <si>
    <t>MO-</t>
  </si>
  <si>
    <t>Rescue Boat and Trailer</t>
  </si>
  <si>
    <t>Ford F350 Pickup</t>
  </si>
  <si>
    <t>2021-10</t>
  </si>
  <si>
    <t>Welding Shop Crane</t>
  </si>
  <si>
    <t>2021-22</t>
  </si>
  <si>
    <t>30,000 L Fuel Tanker Truck</t>
  </si>
  <si>
    <t>2020-r</t>
  </si>
  <si>
    <t>USED TANDEM DRIVE WESTERN STAR WINCH TRUCK UNIT# 587</t>
  </si>
  <si>
    <t>USED WINCH TRUCK WESTERN STAR UNIT# 586</t>
  </si>
  <si>
    <t>740 Articulated Truck</t>
  </si>
  <si>
    <t>Western Star Haul Truck</t>
  </si>
  <si>
    <t>908 Loader</t>
  </si>
  <si>
    <t>950 Loader</t>
  </si>
  <si>
    <t>D10 Dozer</t>
  </si>
  <si>
    <t>374F Excavator</t>
  </si>
  <si>
    <t>374 CAT Excavator</t>
  </si>
  <si>
    <t>2021-6</t>
  </si>
  <si>
    <t>745C Rock Truck</t>
  </si>
  <si>
    <t>950M Loader</t>
  </si>
  <si>
    <t>Heavy Duty Shunt Truck</t>
  </si>
  <si>
    <t>Decommissioned Drill</t>
  </si>
  <si>
    <t>Feeder Dolly</t>
  </si>
  <si>
    <t>Fines Mobile Stacker</t>
  </si>
  <si>
    <t>Boat Trailer</t>
  </si>
  <si>
    <t>Tire Changer</t>
  </si>
  <si>
    <t>Argo Vehicle</t>
  </si>
  <si>
    <t>Larue Snow Blower</t>
  </si>
  <si>
    <t>257 Skid steer</t>
  </si>
  <si>
    <t>Blaze Cube Frost Fighters</t>
  </si>
  <si>
    <t>4x4 Fire Truck</t>
  </si>
  <si>
    <t>Medium Mobile Equipment</t>
  </si>
  <si>
    <t>740B Water Truck</t>
  </si>
  <si>
    <t>14M Grader</t>
  </si>
  <si>
    <t>2021-31</t>
  </si>
  <si>
    <t>Fuel Tanker</t>
  </si>
  <si>
    <t>2021-32</t>
  </si>
  <si>
    <t>Jet A Truck</t>
  </si>
  <si>
    <t>2021-33</t>
  </si>
  <si>
    <t>Cube truck</t>
  </si>
  <si>
    <t>Steam truck</t>
  </si>
  <si>
    <t>Track Mounted Drill Rig</t>
  </si>
  <si>
    <t>4x4 hotseating bus</t>
  </si>
  <si>
    <t>Bus</t>
  </si>
  <si>
    <t>48p School Bus</t>
  </si>
  <si>
    <t>4x4 15 passenger crew van</t>
  </si>
  <si>
    <t>2021-12</t>
  </si>
  <si>
    <t>Deckover Trailer</t>
  </si>
  <si>
    <t>Flat bed boom truck</t>
  </si>
  <si>
    <t>CCM200E Concrete Mixer</t>
  </si>
  <si>
    <t>2021-29</t>
  </si>
  <si>
    <t>Pressure Washing Truck</t>
  </si>
  <si>
    <t>2021-21</t>
  </si>
  <si>
    <t>Dual Engine Marine Response Boat</t>
  </si>
  <si>
    <t>Tower Trailer</t>
  </si>
  <si>
    <t>Kalamar DRT450</t>
  </si>
  <si>
    <t>D8T Dozer</t>
  </si>
  <si>
    <t>Tri-Trombone flat trailer</t>
  </si>
  <si>
    <t>F250 Light Vehicle</t>
  </si>
  <si>
    <t>349 Cat Excavator</t>
  </si>
  <si>
    <t>2021-7</t>
  </si>
  <si>
    <t>320 Track Cat Excavator</t>
  </si>
  <si>
    <t>HPS 185 Spray Unit for Stockpile Dust suppression</t>
  </si>
  <si>
    <t>136</t>
  </si>
  <si>
    <t>CONVEYING  - Jump Conveyor</t>
  </si>
  <si>
    <t>CONVEYING  - Conveyor Feeder</t>
  </si>
  <si>
    <t>GE-</t>
  </si>
  <si>
    <t>Stacker</t>
  </si>
  <si>
    <t>Screen</t>
  </si>
  <si>
    <t>Feed Conveyor</t>
  </si>
  <si>
    <t>Generator 1000 kW</t>
  </si>
  <si>
    <t>Conveyors</t>
  </si>
  <si>
    <t>Jaw crusher unit</t>
  </si>
  <si>
    <t>Screener + Cone crusher unit</t>
  </si>
  <si>
    <t>Generator Sets</t>
  </si>
  <si>
    <t>141</t>
  </si>
  <si>
    <t>SA-</t>
  </si>
  <si>
    <t>Bucket Wheel Stacker Reclaimer</t>
  </si>
  <si>
    <t>299</t>
  </si>
  <si>
    <t>600kw Generators</t>
  </si>
  <si>
    <t>60kw Generator</t>
  </si>
  <si>
    <t xml:space="preserve"> Atlas 1000 mVA Transformers</t>
  </si>
  <si>
    <t>Light ERT utility vehicle</t>
  </si>
  <si>
    <t>Portable water pump</t>
  </si>
  <si>
    <t>Pickup truck (F350 or similar)</t>
  </si>
  <si>
    <t>F-350 Pickup</t>
  </si>
  <si>
    <t>2021-14
2021-15</t>
  </si>
  <si>
    <t>2021-26
2021-55</t>
  </si>
  <si>
    <t>Genie Manlift z60</t>
  </si>
  <si>
    <t>Genie Manlift s135x</t>
  </si>
  <si>
    <t>Shovel 6060</t>
  </si>
  <si>
    <t>2021-39</t>
  </si>
  <si>
    <t>Heated Water Truck - Drill Water System</t>
  </si>
  <si>
    <t>2021-50</t>
  </si>
  <si>
    <t>Pumper fire truck</t>
  </si>
  <si>
    <t xml:space="preserve">MOBILE EQUIPMENT  - MINE SITE WHEEL DOZER - CAT 824H  </t>
  </si>
  <si>
    <t>922K Wheel Loader</t>
  </si>
  <si>
    <t>374 Excavator</t>
  </si>
  <si>
    <t>2021-41</t>
  </si>
  <si>
    <t>390 Excavator</t>
  </si>
  <si>
    <t>2021-44</t>
  </si>
  <si>
    <t>793F Haul Truck</t>
  </si>
  <si>
    <t>2021-42</t>
  </si>
  <si>
    <t>2021-40</t>
  </si>
  <si>
    <t>Tripper Car</t>
  </si>
  <si>
    <t>2021-51</t>
  </si>
  <si>
    <t>777 Water Truck</t>
  </si>
  <si>
    <t>2021-47</t>
  </si>
  <si>
    <t>Zoom Boom 12,000 lbs</t>
  </si>
  <si>
    <t>2021-49</t>
  </si>
  <si>
    <t>Boom Truck</t>
  </si>
  <si>
    <t>Flat Bed Boom Truck</t>
  </si>
  <si>
    <t>Pressure washing truck</t>
  </si>
  <si>
    <t>48 Person School Bus</t>
  </si>
  <si>
    <t>2021-35</t>
  </si>
  <si>
    <t>2021-34</t>
  </si>
  <si>
    <t>777 Spreader Box</t>
  </si>
  <si>
    <t>2021-46</t>
  </si>
  <si>
    <t>Spare 793 Box</t>
  </si>
  <si>
    <t>2021-43</t>
  </si>
  <si>
    <t>Vac Truck</t>
  </si>
  <si>
    <t>2021-38</t>
  </si>
  <si>
    <t>740 Water Truck</t>
  </si>
  <si>
    <t>2021-30</t>
  </si>
  <si>
    <t>908 CATERPILLAR LOADER</t>
  </si>
  <si>
    <t>Epiroc D65 Drill</t>
  </si>
  <si>
    <t>2021-45</t>
  </si>
  <si>
    <t>F550 Service/Fuel Truck</t>
  </si>
  <si>
    <t>2021-37</t>
  </si>
  <si>
    <t>Service Truck</t>
  </si>
  <si>
    <t>Decommissioned vehicles</t>
  </si>
  <si>
    <t>HAGGLUNDS SNOW RESCUE VEHICLE</t>
  </si>
  <si>
    <t>Land Cruiser Service Truck</t>
  </si>
  <si>
    <t>2021-28</t>
  </si>
  <si>
    <t>Light Vehicles</t>
  </si>
  <si>
    <t>2021-48</t>
  </si>
  <si>
    <t>SKID STEER</t>
  </si>
  <si>
    <t>2021-4</t>
  </si>
  <si>
    <t>SKID STEER - 257D</t>
  </si>
  <si>
    <t>2021-27</t>
  </si>
  <si>
    <t>Case TV-380 Skidsteer</t>
  </si>
  <si>
    <t>2021-54</t>
  </si>
  <si>
    <t>705</t>
  </si>
  <si>
    <t>Crane</t>
  </si>
  <si>
    <t>2021-23</t>
  </si>
  <si>
    <t>721</t>
  </si>
  <si>
    <t>Hwy Truck</t>
  </si>
  <si>
    <t>Steam Truck</t>
  </si>
  <si>
    <t>2021-36</t>
  </si>
  <si>
    <t>2021-d</t>
  </si>
  <si>
    <t>728</t>
  </si>
  <si>
    <t>SPYDER CRANE URW295</t>
  </si>
  <si>
    <t>2021-25</t>
  </si>
  <si>
    <t>SPYDER CRANE URW706</t>
  </si>
  <si>
    <t>2021-24</t>
  </si>
  <si>
    <t>BAE</t>
  </si>
  <si>
    <t>Screen Metso FS353</t>
  </si>
  <si>
    <t>1500 kW Alternators</t>
  </si>
  <si>
    <t>Power plant generators</t>
  </si>
  <si>
    <t>Gensets/compressors for field maintenance</t>
  </si>
  <si>
    <t>1334</t>
  </si>
  <si>
    <t>Frost Fighter Heater</t>
  </si>
  <si>
    <t>2021-59</t>
  </si>
  <si>
    <t>Jet A truck</t>
  </si>
  <si>
    <t>E-1</t>
  </si>
  <si>
    <t>E-2</t>
  </si>
  <si>
    <t>Cube Truck</t>
  </si>
  <si>
    <t>E-4</t>
  </si>
  <si>
    <t>18M Graders</t>
  </si>
  <si>
    <t>E-7</t>
  </si>
  <si>
    <t>Light Vehicles (F-250 or similar)</t>
  </si>
  <si>
    <t>E-8</t>
  </si>
  <si>
    <t>Dewatering Pumps</t>
  </si>
  <si>
    <t>E-9</t>
  </si>
  <si>
    <t>Production Drill</t>
  </si>
  <si>
    <t>E-11</t>
  </si>
  <si>
    <t>992 Loader</t>
  </si>
  <si>
    <t>E-12</t>
  </si>
  <si>
    <t>E-13</t>
  </si>
  <si>
    <t>E-14</t>
  </si>
  <si>
    <t>E-15</t>
  </si>
  <si>
    <t>Lowboy Float</t>
  </si>
  <si>
    <t>E-16</t>
  </si>
  <si>
    <t>Container</t>
  </si>
  <si>
    <t>Lube / Def Container</t>
  </si>
  <si>
    <t>E-18</t>
  </si>
  <si>
    <t>Hydraulic Ripper</t>
  </si>
  <si>
    <t>E-19</t>
  </si>
  <si>
    <t>Ford 15 Passenger Vans (or similar)</t>
  </si>
  <si>
    <t>E-20</t>
  </si>
  <si>
    <t>All Terrain Vehicle (Prinoth or similar)</t>
  </si>
  <si>
    <t>E-21</t>
  </si>
  <si>
    <t xml:space="preserve">Skid steer (for drilling support) </t>
  </si>
  <si>
    <t>E-22</t>
  </si>
  <si>
    <t>Large Water Pump</t>
  </si>
  <si>
    <t>E-23</t>
  </si>
  <si>
    <t>Commissioning of small mobile gensets ranging in size from 20kW - 60kW</t>
  </si>
  <si>
    <t>E-24</t>
  </si>
  <si>
    <t>Type 1 E-House</t>
  </si>
  <si>
    <t>E-25</t>
  </si>
  <si>
    <t>Type 3 E-House</t>
  </si>
  <si>
    <t>E-26</t>
  </si>
  <si>
    <t>Hydraulic Hammer (7 tonnes)</t>
  </si>
  <si>
    <t>E-27</t>
  </si>
  <si>
    <t>777 Fuel &amp; Lube body</t>
  </si>
  <si>
    <t>E-28</t>
  </si>
  <si>
    <t>Snowmobile</t>
  </si>
  <si>
    <t>E-29</t>
  </si>
  <si>
    <t>E-32</t>
  </si>
  <si>
    <t>E-30</t>
  </si>
  <si>
    <t>Side by Side</t>
  </si>
  <si>
    <t>E-31</t>
  </si>
  <si>
    <t>E-5</t>
  </si>
  <si>
    <t xml:space="preserve"> Vac Truck</t>
  </si>
  <si>
    <t>E-6</t>
  </si>
  <si>
    <t>F350 Pickup backhauled off site</t>
  </si>
  <si>
    <t>Runway traffic control gate arms</t>
  </si>
  <si>
    <t>Zinex A5 Diamond Drills</t>
  </si>
  <si>
    <t>2021-52</t>
  </si>
  <si>
    <t xml:space="preserve">Bean model 435  Water Pumps </t>
  </si>
  <si>
    <t>2021-53</t>
  </si>
  <si>
    <t>Genie Skylift Z-135</t>
  </si>
  <si>
    <t>2021-56</t>
  </si>
  <si>
    <t>Genie S85</t>
  </si>
  <si>
    <t>2021-57</t>
  </si>
  <si>
    <t>Genie S125</t>
  </si>
  <si>
    <t>2021-58</t>
  </si>
  <si>
    <t>Yukon 14ft Boat</t>
  </si>
  <si>
    <t>2021-60</t>
  </si>
  <si>
    <t>2021-61</t>
  </si>
  <si>
    <t>Trailer</t>
  </si>
  <si>
    <t>2021-62</t>
  </si>
  <si>
    <t>Light Equipment (2021 Equipment Audit)</t>
  </si>
  <si>
    <t>Medium Equipment (2021 Equipment Audit)</t>
  </si>
  <si>
    <t>Heavy Equipment (2021 Equipment Audit)</t>
  </si>
  <si>
    <t>Light Mobile Equipment (2021 Equipment Audit)</t>
  </si>
  <si>
    <t>Medium Mobile Equipment (2021 Equipment Audit)</t>
  </si>
  <si>
    <t>Heavy Mobile Equipment (2021 Equipment Audit)</t>
  </si>
  <si>
    <t xml:space="preserve">Light Equipment (2021 Equipment Audit) </t>
  </si>
  <si>
    <t xml:space="preserve">Medium Equipment (2021 Equipment Audit) </t>
  </si>
  <si>
    <t xml:space="preserve">Heavy Equipment (2021 Equipment Audit) </t>
  </si>
  <si>
    <t xml:space="preserve">Light Mobile Equipment (2021 Equipment Audit) </t>
  </si>
  <si>
    <t xml:space="preserve">Medium Mobile Equipment (2021 Equipment Audit) </t>
  </si>
  <si>
    <t xml:space="preserve">Heavy Mobile Equipment (2021 Equipment Audit) </t>
  </si>
  <si>
    <t>Disturbed Areas</t>
  </si>
  <si>
    <t>Actual Disturbed Area</t>
  </si>
  <si>
    <t>Actual Disturbed Area Reconciliation - 2022 Satellite Image - IOL</t>
  </si>
  <si>
    <t>Proposed Disturbed Area</t>
  </si>
  <si>
    <t>Proposed Disturbed Area Reconciliation - 2023 Work Plan Satellite Image - IOL</t>
  </si>
  <si>
    <t>Reconciled EBS Input 2014-2023 - IOL</t>
  </si>
  <si>
    <t>Actual Lined Disturbed Area - 2022 Satellite Image - IOL</t>
  </si>
  <si>
    <t>Proposed Lined Disturbed Area - 2023 Work Plan and Prior - Sat Image - IOL</t>
  </si>
  <si>
    <t>Reconciled EBS Input 2014-2023 - Lined - IOL</t>
  </si>
  <si>
    <t>Actual Disturbed Area - 2022 Satellite Image - Crown Land</t>
  </si>
  <si>
    <t>Proposed Disturbed Area - 2023 Work Plan and Prior Sat Image - Crown Land</t>
  </si>
  <si>
    <t>Reconciled EBS Input 2014-2023 - Crown</t>
  </si>
  <si>
    <t>Actual Disturbed Area Reconciliation - 2021 Satellite Image - IOL</t>
  </si>
  <si>
    <t>Proposed Disturbed Area Reconciliation - 2022 Work Plan and Prior - IOL</t>
  </si>
  <si>
    <t>Reconciled EBS Input 2014-2022 - IOL</t>
  </si>
  <si>
    <t>Actual Lined Disturbed Area - 2021 Satellite Image - IOL</t>
  </si>
  <si>
    <t>Proposed Lined Disturbed Area - 2022 Work Plan and Prior - IOL</t>
  </si>
  <si>
    <t>Reconciled EBS Input 2014-2022 - Lined - IOL</t>
  </si>
  <si>
    <t>Actual Disturbed Area - 2021 Satellite Image - Crown Land</t>
  </si>
  <si>
    <t>Proposed Disturbed Area - 2022 Work Plan and Prior - Crown Land</t>
  </si>
  <si>
    <t>Reconciled EBS Input 2014-2022 - Crown</t>
  </si>
  <si>
    <t>Actual Disturbed Area Reconciliation - 2020 Satellite Image - IOL</t>
  </si>
  <si>
    <t>Proposed Disturbed Area Reconciliation - 2021 Work Plan and Prior - IOL</t>
  </si>
  <si>
    <t>Reconciled EBS Input 2014-2021 - IOL</t>
  </si>
  <si>
    <t>Reconciled EBS Input 2014-2021 - Crown</t>
  </si>
  <si>
    <t>Actual Disturbed Area - 2020 Satellite Image - Crown Land</t>
  </si>
  <si>
    <t>Proposed Disturbed Area - 2021 Work Plan and Prior - Crown Land</t>
  </si>
  <si>
    <t>Actual Lined Disturbed Area - 2020 Satellite Image - IOL</t>
  </si>
  <si>
    <t>Proposed Lined Disturbed Area - 2021 Work Plan and Prior - IOL</t>
  </si>
  <si>
    <t>Reconciled EBS Input 2014-2021 - Lined - IOL</t>
  </si>
  <si>
    <t>Construction Facilities &amp; Services</t>
  </si>
  <si>
    <t>Exploration Camp &amp; Facilities</t>
  </si>
  <si>
    <t>Hardwall Camp</t>
  </si>
  <si>
    <t>Existing Trailer Camp (Shanco)</t>
  </si>
  <si>
    <t>49-person Hard Wall Trailer Camp (previously at Steensby)</t>
  </si>
  <si>
    <t>Modified (2017A)</t>
  </si>
  <si>
    <t>Tent Camp</t>
  </si>
  <si>
    <t>Matrix Camp</t>
  </si>
  <si>
    <t>Exploration Tents</t>
  </si>
  <si>
    <t>Assume six tents (10m x 6m)</t>
  </si>
  <si>
    <t>Buildings, Shops &amp; Warehouses</t>
  </si>
  <si>
    <t>Garages &amp; Workshops</t>
  </si>
  <si>
    <t>Toromont Maintenance Workshops soft (Contaminated)</t>
  </si>
  <si>
    <t>Exploration Workshops</t>
  </si>
  <si>
    <t>Toromont Britespan Workshop - Demolish and Decontaminate Building - Fabric w/ Sea Can Walls</t>
  </si>
  <si>
    <t>7234-BLD-001</t>
  </si>
  <si>
    <t>Toromont Britespan Workshop - Demolish and foundations - Gravel Base - Skidded Building</t>
  </si>
  <si>
    <t>Toromont Britespan Workshop - Demolish floor finish - Gravel</t>
  </si>
  <si>
    <t>Construction Workshop - Demolish and Decontaminate Building - Fabric w/ Sea Can Walls</t>
  </si>
  <si>
    <t>7234-BLD-002</t>
  </si>
  <si>
    <t>Construction Workshop - Demolish and foundations - Gravel Base - Skidded Building</t>
  </si>
  <si>
    <t>Construction Workshop - Demolish floor finish - Gravel</t>
  </si>
  <si>
    <t>Soft Wall Maintenance Garage x 6 (assume same size as existing on Tote Road)</t>
  </si>
  <si>
    <t>Office Facilities</t>
  </si>
  <si>
    <t>1222</t>
  </si>
  <si>
    <t>Construction Office - Demolish and Decontaminate Building - Trailer - Modular (2 or more modules)</t>
  </si>
  <si>
    <t>7231-BLD-001</t>
  </si>
  <si>
    <t>1230</t>
  </si>
  <si>
    <t>7231-TK-001</t>
  </si>
  <si>
    <t>1225</t>
  </si>
  <si>
    <t>7231-BLD-002</t>
  </si>
  <si>
    <t>1231</t>
  </si>
  <si>
    <t>7231-TK-002</t>
  </si>
  <si>
    <t>1226</t>
  </si>
  <si>
    <t>1227</t>
  </si>
  <si>
    <t>1223</t>
  </si>
  <si>
    <t>Construction Office - Demolish and foundations - Gravel Base - Skidded Building</t>
  </si>
  <si>
    <t>1224</t>
  </si>
  <si>
    <t>Construction Office - Demolish floor finish - Raised Steel or Wooden Floor</t>
  </si>
  <si>
    <t>Warehouses</t>
  </si>
  <si>
    <t>25ka</t>
  </si>
  <si>
    <t>Temporary construction warehouses and offices Allowance</t>
  </si>
  <si>
    <t>Temporary construction warehouses and offices</t>
  </si>
  <si>
    <t>1286</t>
  </si>
  <si>
    <t>Site Services Heated Warehouse - Demolish and Decontaminate Building - Fold-away Building (Steel)</t>
  </si>
  <si>
    <t>7235-BLD-002</t>
  </si>
  <si>
    <t>1289</t>
  </si>
  <si>
    <t>Site Services Unheated Warehouse - Demolish and Decontaminate Building - Fold-away Building (Steel)</t>
  </si>
  <si>
    <t>7235-BLD-003</t>
  </si>
  <si>
    <t>1287</t>
  </si>
  <si>
    <t>Site Services Heated Warehouse - Demolish and foundations - Precast Footing (Perimeter Beam)</t>
  </si>
  <si>
    <t>1290</t>
  </si>
  <si>
    <t>Site Services Unheated Warehouse - Demolish and foundations - Precast Footing (Perimeter Beam)</t>
  </si>
  <si>
    <t>1283</t>
  </si>
  <si>
    <t>Construction Equipment Building - Demolish and Decontaminate Building - Fabric w/ Sea Can Walls</t>
  </si>
  <si>
    <t>7235-BLD-001</t>
  </si>
  <si>
    <t>Hold/ 
Remove</t>
  </si>
  <si>
    <t>1284</t>
  </si>
  <si>
    <t>Construction Equipment Building - Demolish and foundations - Precast Footing (Perimeter Beam)</t>
  </si>
  <si>
    <t>1285</t>
  </si>
  <si>
    <t>Construction Equipment Building - Demolish floor finish - Gravel</t>
  </si>
  <si>
    <t>1288</t>
  </si>
  <si>
    <t>Site Services Heated Warehouse - Demolish floor finish - Gravel</t>
  </si>
  <si>
    <t>1291</t>
  </si>
  <si>
    <t>Site Services Unheated Warehouse - Demolish floor finish - Gravel</t>
  </si>
  <si>
    <t>7235-BLD-004</t>
  </si>
  <si>
    <t>Workforce Facilities</t>
  </si>
  <si>
    <t>1271</t>
  </si>
  <si>
    <t xml:space="preserve">TANK  - SITE SERVICES WASHCAR #1 SEWAGE COLLECTION TANK - LAGRANGE MECHANICAL SERVICES  L: 3791  W: 1829  H: 610 </t>
  </si>
  <si>
    <t>7232-TK-004</t>
  </si>
  <si>
    <t>1254</t>
  </si>
  <si>
    <t>Site Services Washcar #1 - Demolish and Decontaminate Building - Trailer - Single</t>
  </si>
  <si>
    <t>7232-BLD-009</t>
  </si>
  <si>
    <t>1257</t>
  </si>
  <si>
    <t>Site Services Washcar #2 - Demolish and Decontaminate Building - Trailer - Single</t>
  </si>
  <si>
    <t>7232-BLD-010</t>
  </si>
  <si>
    <t>1272</t>
  </si>
  <si>
    <t xml:space="preserve">TANK  - SITE SERVICES WASHCAR #1 RAW WATER TANK - PLASTIC-MART 866-310-2556  L: 1803 
W: 1245 H: 1346  </t>
  </si>
  <si>
    <t>7232-TK-005</t>
  </si>
  <si>
    <t>1269</t>
  </si>
  <si>
    <t xml:space="preserve">TANK  - BATCH PLANT OFFICE-LUNCHROOM-WC SEWAGE COLLECTION TANK - LAGRANGE MECHANICAL SERVICES  L: 3791 
W: 1829 H: 610 </t>
  </si>
  <si>
    <t>7232-TK-001</t>
  </si>
  <si>
    <t>1273</t>
  </si>
  <si>
    <t xml:space="preserve">TANK  - SITE SERVICES WASHCAR #2 SEWAGE COLLECTION TANK - LAGRANGE MECHANICAL SERVICES  L: 3791  W: 1829  H: 610 </t>
  </si>
  <si>
    <t>7232-TK-007</t>
  </si>
  <si>
    <t>1274</t>
  </si>
  <si>
    <t xml:space="preserve">TANK  - SITE SERVICES WASHCAR #2 RAW WATER TANK - PLASTIC-MART 866-310-2556  L: 1803 
W: 1245 
H: 1346 </t>
  </si>
  <si>
    <t>7232-TK-008</t>
  </si>
  <si>
    <t>1255</t>
  </si>
  <si>
    <t>Site Services Washcar #1 - Demolish and foundations - Timber Cribbing to Elevate Building</t>
  </si>
  <si>
    <t>1258</t>
  </si>
  <si>
    <t>Site Services Washcar #2 - Demolish and foundations - Timber Cribbing to Elevate Building</t>
  </si>
  <si>
    <t>1239</t>
  </si>
  <si>
    <t>Batch Plant Office-Lunchroom-W/C - Demolish and Decontaminate Building - Trailer - Single</t>
  </si>
  <si>
    <t>7232-BLD-003</t>
  </si>
  <si>
    <t>1248</t>
  </si>
  <si>
    <t>Site Services Lunchroom #1 - Demolish and Decontaminate Building - Trailer - Single</t>
  </si>
  <si>
    <t>7232-BLD-007</t>
  </si>
  <si>
    <t>1251</t>
  </si>
  <si>
    <t>Site Services Lunchroom #2 - Demolish and Decontaminate Building - Trailer - Single</t>
  </si>
  <si>
    <t>7232-BLD-008</t>
  </si>
  <si>
    <t>1242</t>
  </si>
  <si>
    <t>Fuel Systems Office - Demolish and Decontaminate Building - Trailer - Single</t>
  </si>
  <si>
    <t>7232-BLD-005</t>
  </si>
  <si>
    <t>1245</t>
  </si>
  <si>
    <t>Fuel Systems Lunchroom - Demolish and Decontaminate Building - Trailer - Single</t>
  </si>
  <si>
    <t>7232-BLD-006</t>
  </si>
  <si>
    <t>1270</t>
  </si>
  <si>
    <t xml:space="preserve">TANK  - BATCH PLANT OFFICE-LUNCHROOM-WC RAW WATER TANK - PLASTIC-MART 866-310-2556  L: 1613 W: 737  H: 1676 </t>
  </si>
  <si>
    <t>7232-TK-002</t>
  </si>
  <si>
    <t>Quarry Washcar - Demolish and Decontaminate Building - Trailer - Single</t>
  </si>
  <si>
    <t>7232-BLD-002</t>
  </si>
  <si>
    <t>Quarry Washcar - Demolish and foundations - Gravel Base - Skidded Building</t>
  </si>
  <si>
    <t>Quarry Washcar - Demolish floor finish - Raised Steel or Wooden Floor</t>
  </si>
  <si>
    <t>1260</t>
  </si>
  <si>
    <t>Smoke Shack - Demolish and Decontaminate Building - ISO Shipping Container</t>
  </si>
  <si>
    <t>7232-BLD-011</t>
  </si>
  <si>
    <t>1240</t>
  </si>
  <si>
    <t>Batch Plant Office-Lunchroom-W/C - Demolish and foundations - Timber Cribbing to Elevate Building</t>
  </si>
  <si>
    <t>1249</t>
  </si>
  <si>
    <t>Site Services Lunchroom #1 - Demolish and foundations - Timber Cribbing to Elevate Building</t>
  </si>
  <si>
    <t>1252</t>
  </si>
  <si>
    <t>Site Services Lunchroom #2 - Demolish and foundations - Timber Cribbing to Elevate Building</t>
  </si>
  <si>
    <t>Quarry Lunchroom - Demolish and Decontaminate Building - Trailer - Single</t>
  </si>
  <si>
    <t>7232-BLD-001</t>
  </si>
  <si>
    <t>Quarry Lunchroom - Demolish and foundations - Gravel Base - Skidded Building</t>
  </si>
  <si>
    <t>Quarry Lunchroom - Demolish floor finish - Raised Steel or Wooden Floor</t>
  </si>
  <si>
    <t>1256</t>
  </si>
  <si>
    <t>Site Services Washcar #1 - Demolish floor finish - Raised Steel or Wooden Floor</t>
  </si>
  <si>
    <t>1259</t>
  </si>
  <si>
    <t>Site Services Washcar #2 - Demolish floor finish - Raised Steel or Wooden Floor</t>
  </si>
  <si>
    <t>1261</t>
  </si>
  <si>
    <t>Smoke Shack - Demolish and foundations - Gravel Base - Skidded Building</t>
  </si>
  <si>
    <t>1262</t>
  </si>
  <si>
    <t>Smoke Shack - Demolish floor finish - Raised Steel or Wooden Floor</t>
  </si>
  <si>
    <t>1243</t>
  </si>
  <si>
    <t>Fuel Systems Office - Demolish and foundations - Gravel Base - Skidded Building</t>
  </si>
  <si>
    <t>1244</t>
  </si>
  <si>
    <t>Fuel Systems Office - Demolish floor finish - Raised Steel or Wooden Floor</t>
  </si>
  <si>
    <t>1246</t>
  </si>
  <si>
    <t>Fuel Systems Lunchroom - Demolish and foundations - Gravel Base - Skidded Building</t>
  </si>
  <si>
    <t>1247</t>
  </si>
  <si>
    <t>Fuel Systems Lunchroom - Demolish floor finish - Raised Steel or Wooden Floor</t>
  </si>
  <si>
    <t>1241</t>
  </si>
  <si>
    <t>Batch Plant Office-Lunchroom-W/C - Demolish floor finish - Raised Steel or Wooden Floor</t>
  </si>
  <si>
    <t>1250</t>
  </si>
  <si>
    <t>Site Services Lunchroom #1 - Demolish floor finish - Raised Steel or Wooden Floor</t>
  </si>
  <si>
    <t>1253</t>
  </si>
  <si>
    <t>Site Services Lunchroom #2 - Demolish floor finish - Raised Steel or Wooden Floor</t>
  </si>
  <si>
    <t>Construction Facilities</t>
  </si>
  <si>
    <t>Concrete Facilities</t>
  </si>
  <si>
    <t>1372</t>
  </si>
  <si>
    <t>Concrete Batch Plant Building - Demolish and Decontaminate Building - Fold-away Building (Steel)</t>
  </si>
  <si>
    <t>7251-BLD-001</t>
  </si>
  <si>
    <t>1373</t>
  </si>
  <si>
    <t>Concrete Batch Plant Building - Demolish and foundations - Precast Footing (Perimeter Beam)</t>
  </si>
  <si>
    <t>Batch Plant Stockpile</t>
  </si>
  <si>
    <t>1374</t>
  </si>
  <si>
    <t>Concrete Batch Plant Building - Demolish floor finish - Gravel</t>
  </si>
  <si>
    <t>Batch Plant Building</t>
  </si>
  <si>
    <t>Camp &amp; Site Services</t>
  </si>
  <si>
    <t>Site Operations</t>
  </si>
  <si>
    <t>Existing Lined Storage Area</t>
  </si>
  <si>
    <t>Next to existing runway</t>
  </si>
  <si>
    <t>Bladder Farm Decommissioning</t>
  </si>
  <si>
    <t>Existing Hazardous Waste Berm</t>
  </si>
  <si>
    <t>Old STP (RBC)</t>
  </si>
  <si>
    <t>N/A</t>
  </si>
  <si>
    <t>Accounted for in mechanical equipment</t>
  </si>
  <si>
    <t>Exploration Phase PWSP</t>
  </si>
  <si>
    <t>Duplicate?</t>
  </si>
  <si>
    <t>Exploration Tent Camp Pad</t>
  </si>
  <si>
    <t>Exploration Soft-Wall Camp (Weatherhaven)</t>
  </si>
  <si>
    <t>Exploration Tent Camp Tents</t>
  </si>
  <si>
    <t>Utilities &amp; Services</t>
  </si>
  <si>
    <t>Exploration STP</t>
  </si>
  <si>
    <t>Add one pcs of major mechanical equipment</t>
  </si>
  <si>
    <t>1435</t>
  </si>
  <si>
    <t xml:space="preserve">TANK  - FUEL SYSTEMS WASHCAR SEWAGE COLLECTION TANK - LAGRANGE MECHANICAL SERVICES  L: 3791   W: 1829  H: 610 </t>
  </si>
  <si>
    <t>7432-TK-004</t>
  </si>
  <si>
    <t>1437</t>
  </si>
  <si>
    <t>7432-TK-007</t>
  </si>
  <si>
    <t>1439</t>
  </si>
  <si>
    <t>7432-TK-010</t>
  </si>
  <si>
    <t>1407</t>
  </si>
  <si>
    <t>Fuel Systems Washcar - Demolish and Decontaminate Building - Trailer - Single</t>
  </si>
  <si>
    <t>7432-BLD-004</t>
  </si>
  <si>
    <t>1416</t>
  </si>
  <si>
    <t>7432-BLD-007</t>
  </si>
  <si>
    <t>1419</t>
  </si>
  <si>
    <t>7432-BLD-008</t>
  </si>
  <si>
    <t>1433</t>
  </si>
  <si>
    <t xml:space="preserve">TANK  - BATCH PLANT OFFICE-LUNCHROOM-WC SEWAGE COLLECTION TANK - LAGRANGE MECHANICAL SERVICES  L: 3791 
W: 1829  H: 610 </t>
  </si>
  <si>
    <t>7432-TK-001</t>
  </si>
  <si>
    <t>1436</t>
  </si>
  <si>
    <t xml:space="preserve">TANK  - FUEL SYSTEMS WASHCAR RAW WATER TANK - PLASTIC-MART 866-310-2556  L: 1803  W: 1245 
H: 1346 </t>
  </si>
  <si>
    <t>7432-TK-005</t>
  </si>
  <si>
    <t>1438</t>
  </si>
  <si>
    <t xml:space="preserve">TANK  - SITE SERVICES WASHCAR #1 RAW WATER TANK - PLASTIC-MART 866-310-2556  L: 1803 
W: 1245  H: 1346 </t>
  </si>
  <si>
    <t>7432-TK-008</t>
  </si>
  <si>
    <t>1440</t>
  </si>
  <si>
    <t xml:space="preserve">TANK  - SITE SERVICES WASHCAR #2 RAW WATER TANK - PLASTIC-MART 866-310-2556  L: 1803 
W: 1245   H: 1346 </t>
  </si>
  <si>
    <t>7432-TK-011</t>
  </si>
  <si>
    <t>1408</t>
  </si>
  <si>
    <t>Fuel Systems Washcar - Demolish and foundations - Timber Cribbing to Elevate Building</t>
  </si>
  <si>
    <t>1417</t>
  </si>
  <si>
    <t>1401</t>
  </si>
  <si>
    <t>7432-BLD-001</t>
  </si>
  <si>
    <t>1404</t>
  </si>
  <si>
    <t>7432-BLD-003</t>
  </si>
  <si>
    <t>1410</t>
  </si>
  <si>
    <t>7432-BLD-005</t>
  </si>
  <si>
    <t>1413</t>
  </si>
  <si>
    <t>7432-BLD-006</t>
  </si>
  <si>
    <t>1420</t>
  </si>
  <si>
    <t>1434</t>
  </si>
  <si>
    <t xml:space="preserve">TANK  - BATCH PLANT OFFICE-LUNCHROOM-WC RAW WATER TANK - PLASTIC-MART 866-310-2556  L: 1613  W: 737  H: 1676 </t>
  </si>
  <si>
    <t>7432-TK-002</t>
  </si>
  <si>
    <t>1422</t>
  </si>
  <si>
    <t>7432-BLD-009</t>
  </si>
  <si>
    <t>1402</t>
  </si>
  <si>
    <t>1405</t>
  </si>
  <si>
    <t>Fuel Systems Lunchroom - Demolish and foundations - Timber Cribbing to Elevate Building</t>
  </si>
  <si>
    <t>1411</t>
  </si>
  <si>
    <t>1414</t>
  </si>
  <si>
    <t>1409</t>
  </si>
  <si>
    <t>Fuel Systems Washcar - Demolish floor finish - Raised Steel or Wooden Floor</t>
  </si>
  <si>
    <t>1418</t>
  </si>
  <si>
    <t>1421</t>
  </si>
  <si>
    <t>7434-BLD-001</t>
  </si>
  <si>
    <t>1423</t>
  </si>
  <si>
    <t>1424</t>
  </si>
  <si>
    <t>1403</t>
  </si>
  <si>
    <t>1406</t>
  </si>
  <si>
    <t>1412</t>
  </si>
  <si>
    <t>1415</t>
  </si>
  <si>
    <t>7450</t>
  </si>
  <si>
    <t>7451</t>
  </si>
  <si>
    <t>1513</t>
  </si>
  <si>
    <t>7451-BLD-001</t>
  </si>
  <si>
    <t>1514</t>
  </si>
  <si>
    <t>1515</t>
  </si>
  <si>
    <t>Hazardous Waste Containment Area - Existing</t>
  </si>
  <si>
    <t>Polishing Waste Stabilization Pond (Existing)</t>
  </si>
  <si>
    <t>Bulk Fuel Storage Facility (Bladder Farm)</t>
  </si>
  <si>
    <t>Barreled Fuel Line Containment</t>
  </si>
  <si>
    <t>Other Indirects</t>
  </si>
  <si>
    <t>EPCM Services</t>
  </si>
  <si>
    <t>PCM</t>
  </si>
  <si>
    <t>Indirect</t>
  </si>
  <si>
    <t>Short Term C&amp;M, Closure &amp; Post-Closure Monitoring and reporting</t>
  </si>
  <si>
    <t>Short Term C&amp;M, Closure &amp; Post-Closure Monitoring and reporting - Arbitration Award 2019 (Regulatory Fees)</t>
  </si>
  <si>
    <t>Short Term C&amp;M, Closure &amp; Post-Closure Monitoring and reporting - 2021 Increase for Water Treatment</t>
  </si>
  <si>
    <t>Short Term C&amp;M, Closure &amp; Post-Closure Monitoring and reporting - 2022 Increase for Water Treatment</t>
  </si>
  <si>
    <t>Short Term C&amp;M, Closure &amp; Post-Closure Monitoring and reporting - 2023 Increase for Water Treatment</t>
  </si>
  <si>
    <t>Project Management, Engineering and Procurement</t>
  </si>
  <si>
    <t>Engineering Fees</t>
  </si>
  <si>
    <t>3.9% of direct Cost</t>
  </si>
  <si>
    <t>TBD</t>
  </si>
  <si>
    <t>Engineering Fees - 2019 Arbitration outcome</t>
  </si>
  <si>
    <t>Supervision, Project Management &amp; Contract Administration</t>
  </si>
  <si>
    <t>Supervision, Project Management &amp; Contract Administration - 2019 Arbitration Outcome</t>
  </si>
  <si>
    <t>Material Disposal</t>
  </si>
  <si>
    <t>Ammonium Nitrate (explosive Material)</t>
  </si>
  <si>
    <t>Ammonium Nitrate (explosive material)</t>
  </si>
  <si>
    <t xml:space="preserve">Based on 716,519 kg of pre-packaged explosives @ $2.37/kg + 2,342.5 m3 of ammonium nitrate @$358/m3 </t>
  </si>
  <si>
    <t>Contaminated Soil Treatment</t>
  </si>
  <si>
    <t>Metal Contaminated Soil - Milne Port Ore Stockpile</t>
  </si>
  <si>
    <t>m3</t>
  </si>
  <si>
    <t>Metal Contaminated Soil - Crusher Pad</t>
  </si>
  <si>
    <t>MCS - 5</t>
  </si>
  <si>
    <t>Metal Contaminated Soil - ROM</t>
  </si>
  <si>
    <t>Fuel</t>
  </si>
  <si>
    <t>Fuel - 2019 Arbitration Outcome</t>
  </si>
  <si>
    <t>Mobilization</t>
  </si>
  <si>
    <t>Mobilization and Demobilization</t>
  </si>
  <si>
    <t>Mobilization of Workers Required for Reclamation</t>
  </si>
  <si>
    <t>Mobilization of Workers Required for Reclamation - 2019 Arbitration Outcome</t>
  </si>
  <si>
    <t>Mobilization and Demobilization of Equipment and Materials by Sealift</t>
  </si>
  <si>
    <t>Mobilization and Demobilization of Equipment and Materials by Sealift - 2019 Arbitrtion Outcome</t>
  </si>
  <si>
    <t>Lot</t>
  </si>
  <si>
    <t>Rail Construction Materials (mobilized in 2019)</t>
  </si>
  <si>
    <t>BMH Conveyors (mobilized in 2019)</t>
  </si>
  <si>
    <t>Car Dumper Module (mobilized in 2019)</t>
  </si>
  <si>
    <t>Screening Module (mobilized in 2019)</t>
  </si>
  <si>
    <t>Shiploading Module (mobilized in 2019)</t>
  </si>
  <si>
    <t>Crushing Module (mobilized in 2019)</t>
  </si>
  <si>
    <t xml:space="preserve">Crushing Module (mobilized in 2018, installed following expansion approval) </t>
  </si>
  <si>
    <t xml:space="preserve">BMH Conveyors (mobilized in 2018, installed following expansion approval) </t>
  </si>
  <si>
    <t xml:space="preserve">Screening Module (mobilized in 2018, installed following expansion approval) </t>
  </si>
  <si>
    <t xml:space="preserve">Car Dumper Module (mobilized in 2018, installed following expansion approval) </t>
  </si>
  <si>
    <t xml:space="preserve">Rail Construction Materials (mobilized in 2018, installed following expansion approval) </t>
  </si>
  <si>
    <t>Heavy 3rd Party Equipment Demob - Arbitration Reconciliation</t>
  </si>
  <si>
    <t>Med 3rd Party Equipment Demob - Arbitration Reconciliation</t>
  </si>
  <si>
    <t>Light 3rd Party Equipment Demob - Arbitration Reconciliation</t>
  </si>
  <si>
    <t>Heavy 3rd Party Equipment Demob - 2020-R</t>
  </si>
  <si>
    <t>Med 3rd Party Equipment Demob - 2020-R</t>
  </si>
  <si>
    <t>Light 3rd Party Equipment Demob - 2020-R</t>
  </si>
  <si>
    <t>Med 3rd Party Equipment Demob - 2021</t>
  </si>
  <si>
    <t>ea</t>
  </si>
  <si>
    <t>Light 3rd Party Equipment Demob - 2021</t>
  </si>
  <si>
    <t>Heavy 3rd Party Equipment Demob - 2021-R</t>
  </si>
  <si>
    <t>Med 3rd Party Equipment Demob - 2021-R</t>
  </si>
  <si>
    <t>Light 3rd Party Equipment Demob - 2021-R</t>
  </si>
  <si>
    <t>Heavy 3rd Party Equipment Demob - 2021-D2</t>
  </si>
  <si>
    <t>2021-D2</t>
  </si>
  <si>
    <t>Med 3rd Party Equipment Demob - 2021-D2</t>
  </si>
  <si>
    <t>Light 3rd Party Equipment Demob - 2021-D2</t>
  </si>
  <si>
    <t>Heavy 3rd Party Equipment Demob - 2022-R (2021 Equipment Audit)</t>
  </si>
  <si>
    <t>Med 3rd Party Equipment Demob - 2022-R  (2021 Equipment Audit)</t>
  </si>
  <si>
    <t>Light 3rd Party Equipment Demob - 2022-R  (2021 Equipment Audit)</t>
  </si>
  <si>
    <t>Med 3rd Party Equipment Demob - 2022-R 
(2021 Equipment Audit)</t>
  </si>
  <si>
    <t>Light 3rd Party Equipment Demob - 2022-R (2021 Equipment Audit)</t>
  </si>
  <si>
    <t xml:space="preserve">Heavy 3rd Party Equipment Demob - 2023-R </t>
  </si>
  <si>
    <t>Med 3rd Party Equipment Demob - 2023-R</t>
  </si>
  <si>
    <t>Light 3rd Party Equipment Demob - 2023-R</t>
  </si>
  <si>
    <t>Heavy 3rd Party Equipment Mob - 2023-R</t>
  </si>
  <si>
    <t>Med 3rd Party Equipment Mob - 2023-R</t>
  </si>
  <si>
    <t xml:space="preserve">Light 3rd Party Equipment Mob - 2023-R </t>
  </si>
  <si>
    <t>Heavy 3rd Party Equipment Mob - 2023-R Tankers</t>
  </si>
  <si>
    <t>E-1 E-2</t>
  </si>
  <si>
    <t>Diamond Drill for exploration</t>
  </si>
  <si>
    <t>Off-Site Disposal of Waste &amp; Material</t>
  </si>
  <si>
    <t>Worker Accommodation &amp; Camp Operation</t>
  </si>
  <si>
    <t>Worker Accommodation &amp; Camp Operation - 2019 Arbitration Outcome</t>
  </si>
  <si>
    <t>Owner Accounts</t>
  </si>
  <si>
    <t>Contingency, Escalation, Event Risk Allowance</t>
  </si>
  <si>
    <t>Contingency</t>
  </si>
  <si>
    <t xml:space="preserve">Contingency </t>
  </si>
  <si>
    <t>Contingency - 2019 Arbitration Outcome</t>
  </si>
  <si>
    <t>Direct</t>
  </si>
  <si>
    <t>airstrip lighting removal (lump sum - incl removal &amp; disposal)</t>
  </si>
  <si>
    <r>
      <rPr>
        <sz val="11"/>
        <color theme="6" tint="-0.249977111117893"/>
        <rFont val="Calibri"/>
        <family val="2"/>
        <scheme val="minor"/>
      </rPr>
      <t>Disassembly &amp; Decontaminate ( Light Equipment), Load &amp; transport</t>
    </r>
    <r>
      <rPr>
        <sz val="11"/>
        <color rgb="FFFFC000"/>
        <rFont val="Calibri"/>
        <family val="2"/>
        <scheme val="minor"/>
      </rPr>
      <t>, Disposal &amp; Cover (incl compaction)</t>
    </r>
  </si>
  <si>
    <r>
      <rPr>
        <sz val="11"/>
        <color theme="7" tint="-0.249977111117893"/>
        <rFont val="Calibri"/>
        <family val="2"/>
        <scheme val="minor"/>
      </rPr>
      <t>Disassembly &amp; Decontaminate (Heavy Equipment), Load &amp; transport,</t>
    </r>
    <r>
      <rPr>
        <sz val="11"/>
        <color theme="1"/>
        <rFont val="Calibri"/>
        <family val="2"/>
        <scheme val="minor"/>
      </rPr>
      <t xml:space="preserve"> </t>
    </r>
    <r>
      <rPr>
        <sz val="11"/>
        <color rgb="FFFFC000"/>
        <rFont val="Calibri"/>
        <family val="2"/>
        <scheme val="minor"/>
      </rPr>
      <t>Disposal &amp; Cover (incl compaction)</t>
    </r>
  </si>
  <si>
    <r>
      <rPr>
        <sz val="11"/>
        <color theme="7" tint="-0.249977111117893"/>
        <rFont val="Calibri"/>
        <family val="2"/>
        <scheme val="minor"/>
      </rPr>
      <t>Disassembly &amp; Decontaminate (Heavy Equipment), Load &amp; transport,</t>
    </r>
    <r>
      <rPr>
        <sz val="11"/>
        <color theme="1"/>
        <rFont val="Calibri"/>
        <family val="2"/>
        <scheme val="minor"/>
      </rPr>
      <t xml:space="preserve"> </t>
    </r>
    <r>
      <rPr>
        <sz val="11"/>
        <color rgb="FFFFC000"/>
        <rFont val="Calibri"/>
        <family val="2"/>
        <scheme val="minor"/>
      </rPr>
      <t>Disposal &amp; Cover (incl compaction)</t>
    </r>
    <r>
      <rPr>
        <sz val="11"/>
        <color theme="1"/>
        <rFont val="Calibri"/>
        <family val="2"/>
        <scheme val="minor"/>
      </rPr>
      <t>;</t>
    </r>
    <r>
      <rPr>
        <sz val="11"/>
        <color theme="3" tint="0.39997558519241921"/>
        <rFont val="Calibri"/>
        <family val="2"/>
        <scheme val="minor"/>
      </rPr>
      <t xml:space="preserve"> Steel Building teardown, Load &amp; transport</t>
    </r>
    <r>
      <rPr>
        <sz val="11"/>
        <color theme="1"/>
        <rFont val="Calibri"/>
        <family val="2"/>
        <scheme val="minor"/>
      </rPr>
      <t xml:space="preserve">, </t>
    </r>
    <r>
      <rPr>
        <sz val="11"/>
        <color rgb="FFFFC000"/>
        <rFont val="Calibri"/>
        <family val="2"/>
        <scheme val="minor"/>
      </rPr>
      <t>Disposal &amp; Cover (incl compaction)</t>
    </r>
  </si>
  <si>
    <r>
      <rPr>
        <sz val="11"/>
        <color theme="7" tint="-0.249977111117893"/>
        <rFont val="Calibri"/>
        <family val="2"/>
        <scheme val="minor"/>
      </rPr>
      <t xml:space="preserve">Disassembly &amp; Decontaminate (Heavy Equipment, Light Equipment or Minor Equipment), Load &amp; transport, </t>
    </r>
    <r>
      <rPr>
        <sz val="11"/>
        <color rgb="FFFFC000"/>
        <rFont val="Calibri"/>
        <family val="2"/>
        <scheme val="minor"/>
      </rPr>
      <t>Disposal &amp; Cover (incl compaction)</t>
    </r>
  </si>
  <si>
    <r>
      <rPr>
        <sz val="11"/>
        <color theme="7" tint="-0.249977111117893"/>
        <rFont val="Calibri"/>
        <family val="2"/>
        <scheme val="minor"/>
      </rPr>
      <t>Disassembly &amp; Decontaminate (Heavy)</t>
    </r>
    <r>
      <rPr>
        <sz val="11"/>
        <color theme="1"/>
        <rFont val="Calibri"/>
        <family val="2"/>
        <scheme val="minor"/>
      </rPr>
      <t xml:space="preserve">, </t>
    </r>
    <r>
      <rPr>
        <sz val="11"/>
        <color rgb="FFFFC000"/>
        <rFont val="Calibri"/>
        <family val="2"/>
        <scheme val="minor"/>
      </rPr>
      <t>Load &amp; transport, Disposal &amp; Cover (incl compaction)</t>
    </r>
    <r>
      <rPr>
        <sz val="11"/>
        <color theme="1"/>
        <rFont val="Calibri"/>
        <family val="2"/>
        <scheme val="minor"/>
      </rPr>
      <t>.</t>
    </r>
    <r>
      <rPr>
        <sz val="11"/>
        <color theme="3" tint="0.39997558519241921"/>
        <rFont val="Calibri"/>
        <family val="2"/>
        <scheme val="minor"/>
      </rPr>
      <t xml:space="preserve"> Tear down on non-contaminated steel building</t>
    </r>
  </si>
  <si>
    <r>
      <rPr>
        <sz val="11"/>
        <color theme="6" tint="-0.249977111117893"/>
        <rFont val="Calibri"/>
        <family val="2"/>
        <scheme val="minor"/>
      </rPr>
      <t>Disassembly &amp; Decontaminate (Light Equipment), Load &amp; transport</t>
    </r>
    <r>
      <rPr>
        <sz val="11"/>
        <color rgb="FFFFC000"/>
        <rFont val="Calibri"/>
        <family val="2"/>
        <scheme val="minor"/>
      </rPr>
      <t>, Disposal &amp; Cover (incl compaction)</t>
    </r>
  </si>
  <si>
    <r>
      <rPr>
        <sz val="11"/>
        <color theme="6" tint="-0.249977111117893"/>
        <rFont val="Calibri"/>
        <family val="2"/>
        <scheme val="minor"/>
      </rPr>
      <t>Disassembly &amp; Decontaminate (Minor Equipment), Load &amp; transport,</t>
    </r>
    <r>
      <rPr>
        <sz val="11"/>
        <color rgb="FFFFC000"/>
        <rFont val="Calibri"/>
        <family val="2"/>
        <scheme val="minor"/>
      </rPr>
      <t xml:space="preserve"> Disposal &amp; Cover (incl compaction)</t>
    </r>
  </si>
  <si>
    <r>
      <rPr>
        <sz val="11"/>
        <color rgb="FF00B050"/>
        <rFont val="Calibri"/>
        <family val="2"/>
        <scheme val="minor"/>
      </rPr>
      <t>Grade and Re-contour Borrow Source,</t>
    </r>
    <r>
      <rPr>
        <sz val="11"/>
        <color theme="1"/>
        <rFont val="Calibri"/>
        <family val="2"/>
        <scheme val="minor"/>
      </rPr>
      <t xml:space="preserve"> </t>
    </r>
    <r>
      <rPr>
        <sz val="11"/>
        <color theme="6" tint="0.39997558519241921"/>
        <rFont val="Calibri"/>
        <family val="2"/>
        <scheme val="minor"/>
      </rPr>
      <t>Application of insulation material</t>
    </r>
    <r>
      <rPr>
        <sz val="11"/>
        <color theme="1"/>
        <rFont val="Calibri"/>
        <family val="2"/>
        <scheme val="minor"/>
      </rPr>
      <t xml:space="preserve">, Secondary application of </t>
    </r>
    <r>
      <rPr>
        <sz val="11"/>
        <color rgb="FF00B050"/>
        <rFont val="Calibri"/>
        <family val="2"/>
        <scheme val="minor"/>
      </rPr>
      <t>Grade and Re-contour of Borrow Source</t>
    </r>
  </si>
  <si>
    <r>
      <rPr>
        <sz val="11"/>
        <color rgb="FF00B050"/>
        <rFont val="Calibri"/>
        <family val="2"/>
        <scheme val="minor"/>
      </rPr>
      <t>Grade and Re-Contour,</t>
    </r>
    <r>
      <rPr>
        <sz val="11"/>
        <color theme="1"/>
        <rFont val="Calibri"/>
        <family val="2"/>
        <scheme val="minor"/>
      </rPr>
      <t xml:space="preserve"> </t>
    </r>
    <r>
      <rPr>
        <sz val="11"/>
        <color theme="9" tint="-0.249977111117893"/>
        <rFont val="Calibri"/>
        <family val="2"/>
        <scheme val="minor"/>
      </rPr>
      <t>airstrip lighting removal (lump sum - incl removal &amp; disposal)</t>
    </r>
  </si>
  <si>
    <r>
      <rPr>
        <sz val="11"/>
        <color rgb="FF00B050"/>
        <rFont val="Calibri"/>
        <family val="2"/>
        <scheme val="minor"/>
      </rPr>
      <t>Grade and Re-Contour,</t>
    </r>
    <r>
      <rPr>
        <sz val="11"/>
        <color theme="1"/>
        <rFont val="Calibri"/>
        <family val="2"/>
        <scheme val="minor"/>
      </rPr>
      <t xml:space="preserve"> Culvert Removal</t>
    </r>
  </si>
  <si>
    <r>
      <rPr>
        <sz val="11"/>
        <color rgb="FF00B050"/>
        <rFont val="Calibri"/>
        <family val="2"/>
        <scheme val="minor"/>
      </rPr>
      <t>Grade and Re-Contour,</t>
    </r>
    <r>
      <rPr>
        <sz val="11"/>
        <color theme="1"/>
        <rFont val="Calibri"/>
        <family val="2"/>
        <scheme val="minor"/>
      </rPr>
      <t xml:space="preserve"> Culvert Removal, Removal of cable, Load &amp; transport, Disposal &amp; Cover (incl compaction)</t>
    </r>
  </si>
  <si>
    <t>Liner Removal, Liner disposal on-site, Grade &amp; Recontour</t>
  </si>
  <si>
    <r>
      <rPr>
        <sz val="11"/>
        <color theme="5" tint="0.59999389629810485"/>
        <rFont val="Calibri"/>
        <family val="2"/>
        <scheme val="minor"/>
      </rPr>
      <t>Modular Building teardown, Decontaminate, Load &amp; transport,</t>
    </r>
    <r>
      <rPr>
        <sz val="11"/>
        <color theme="1"/>
        <rFont val="Calibri"/>
        <family val="2"/>
        <scheme val="minor"/>
      </rPr>
      <t xml:space="preserve"> </t>
    </r>
    <r>
      <rPr>
        <sz val="11"/>
        <color rgb="FFFFC000"/>
        <rFont val="Calibri"/>
        <family val="2"/>
        <scheme val="minor"/>
      </rPr>
      <t>Disposal &amp; Cover (incl compaction)</t>
    </r>
  </si>
  <si>
    <r>
      <rPr>
        <sz val="11"/>
        <color theme="5" tint="0.59999389629810485"/>
        <rFont val="Calibri"/>
        <family val="2"/>
        <scheme val="minor"/>
      </rPr>
      <t>Modular Building teardown, Load &amp; transport</t>
    </r>
    <r>
      <rPr>
        <sz val="11"/>
        <color theme="1"/>
        <rFont val="Calibri"/>
        <family val="2"/>
        <scheme val="minor"/>
      </rPr>
      <t xml:space="preserve">, </t>
    </r>
    <r>
      <rPr>
        <sz val="11"/>
        <color rgb="FFFFC000"/>
        <rFont val="Calibri"/>
        <family val="2"/>
        <scheme val="minor"/>
      </rPr>
      <t>Disposal &amp; Cover (incl compaction)</t>
    </r>
  </si>
  <si>
    <r>
      <rPr>
        <sz val="11"/>
        <color theme="5" tint="0.59999389629810485"/>
        <rFont val="Calibri"/>
        <family val="2"/>
        <scheme val="minor"/>
      </rPr>
      <t>Modular Building teardown, Load &amp; transport</t>
    </r>
    <r>
      <rPr>
        <sz val="11"/>
        <color theme="1"/>
        <rFont val="Calibri"/>
        <family val="2"/>
        <scheme val="minor"/>
      </rPr>
      <t xml:space="preserve">, </t>
    </r>
    <r>
      <rPr>
        <sz val="11"/>
        <color rgb="FFFFC000"/>
        <rFont val="Calibri"/>
        <family val="2"/>
        <scheme val="minor"/>
      </rPr>
      <t>Disposal &amp; Cover (incl compaction),</t>
    </r>
    <r>
      <rPr>
        <sz val="11"/>
        <color theme="1"/>
        <rFont val="Calibri"/>
        <family val="2"/>
        <scheme val="minor"/>
      </rPr>
      <t xml:space="preserve"> Decontamination of a module</t>
    </r>
  </si>
  <si>
    <t>Open Pit Stabilization</t>
  </si>
  <si>
    <t>Removal of cable, Load &amp; transport, Disposal &amp; Cover (incl compaction)</t>
  </si>
  <si>
    <t>Removal of Pipeline, decontaminate, Load &amp; transport, disposal &amp; cover (incl compaction)</t>
  </si>
  <si>
    <t>Removal of pipeline, Load &amp; transport, Disposal &amp; Cover (incl compaction)</t>
  </si>
  <si>
    <t>Removal of seacan bridge (incl re-grading), Removal of abutments (?), Load &amp; Transport, Disposal &amp; Cover (incl compaction)</t>
  </si>
  <si>
    <r>
      <rPr>
        <sz val="11"/>
        <color rgb="FFFF0000"/>
        <rFont val="Calibri"/>
        <family val="2"/>
        <scheme val="minor"/>
      </rPr>
      <t xml:space="preserve">Soil Excavation, Soil disposal off-site (TBD), </t>
    </r>
    <r>
      <rPr>
        <sz val="11"/>
        <color theme="1"/>
        <rFont val="Calibri"/>
        <family val="2"/>
        <scheme val="minor"/>
      </rPr>
      <t>Cover Application</t>
    </r>
    <r>
      <rPr>
        <sz val="11"/>
        <color rgb="FF00B050"/>
        <rFont val="Calibri"/>
        <family val="2"/>
        <scheme val="minor"/>
      </rPr>
      <t>, Grade &amp; Recontour</t>
    </r>
  </si>
  <si>
    <r>
      <rPr>
        <sz val="11"/>
        <color rgb="FFFF0000"/>
        <rFont val="Calibri"/>
        <family val="2"/>
        <scheme val="minor"/>
      </rPr>
      <t>Soil Excavation, Soil disposal off-site (TBD)</t>
    </r>
    <r>
      <rPr>
        <sz val="11"/>
        <color theme="1"/>
        <rFont val="Calibri"/>
        <family val="2"/>
        <scheme val="minor"/>
      </rPr>
      <t>, Liner Removal, Liner disposal off-site (TBD)</t>
    </r>
    <r>
      <rPr>
        <sz val="11"/>
        <color rgb="FF00B050"/>
        <rFont val="Calibri"/>
        <family val="2"/>
        <scheme val="minor"/>
      </rPr>
      <t>, Grade &amp; Recontour</t>
    </r>
  </si>
  <si>
    <r>
      <rPr>
        <sz val="11"/>
        <color rgb="FFFF0000"/>
        <rFont val="Calibri"/>
        <family val="2"/>
        <scheme val="minor"/>
      </rPr>
      <t>Soil Excavation, Soil disposal off-site,</t>
    </r>
    <r>
      <rPr>
        <sz val="11"/>
        <color theme="1"/>
        <rFont val="Calibri"/>
        <family val="2"/>
        <scheme val="minor"/>
      </rPr>
      <t xml:space="preserve"> Liner Removal, Liner disposal off-site</t>
    </r>
    <r>
      <rPr>
        <sz val="11"/>
        <color rgb="FF00B050"/>
        <rFont val="Calibri"/>
        <family val="2"/>
        <scheme val="minor"/>
      </rPr>
      <t>, Grade &amp; Recontour</t>
    </r>
  </si>
  <si>
    <r>
      <rPr>
        <sz val="11"/>
        <color theme="4" tint="-0.249977111117893"/>
        <rFont val="Calibri"/>
        <family val="2"/>
        <scheme val="minor"/>
      </rPr>
      <t>Steel Building teardown, Decontaminate, Load &amp; transport,</t>
    </r>
    <r>
      <rPr>
        <sz val="11"/>
        <color theme="1"/>
        <rFont val="Calibri"/>
        <family val="2"/>
        <scheme val="minor"/>
      </rPr>
      <t xml:space="preserve"> </t>
    </r>
    <r>
      <rPr>
        <sz val="11"/>
        <color rgb="FFFFC000"/>
        <rFont val="Calibri"/>
        <family val="2"/>
        <scheme val="minor"/>
      </rPr>
      <t>Disposal &amp; Cover (incl compaction)</t>
    </r>
  </si>
  <si>
    <r>
      <rPr>
        <sz val="11"/>
        <color theme="4" tint="-0.249977111117893"/>
        <rFont val="Calibri"/>
        <family val="2"/>
        <scheme val="minor"/>
      </rPr>
      <t>Steel Building teardown, Load &amp; transport</t>
    </r>
    <r>
      <rPr>
        <sz val="11"/>
        <color rgb="FFFFC000"/>
        <rFont val="Calibri"/>
        <family val="2"/>
        <scheme val="minor"/>
      </rPr>
      <t>, Disposal &amp; Cover (incl compaction)</t>
    </r>
  </si>
  <si>
    <r>
      <rPr>
        <sz val="11"/>
        <color theme="4" tint="-0.249977111117893"/>
        <rFont val="Calibri"/>
        <family val="2"/>
        <scheme val="minor"/>
      </rPr>
      <t>Steel Building teardown, Load &amp; transport</t>
    </r>
    <r>
      <rPr>
        <sz val="11"/>
        <color theme="1"/>
        <rFont val="Calibri"/>
        <family val="2"/>
        <scheme val="minor"/>
      </rPr>
      <t xml:space="preserve">, </t>
    </r>
    <r>
      <rPr>
        <sz val="11"/>
        <color rgb="FFFFC000"/>
        <rFont val="Calibri"/>
        <family val="2"/>
        <scheme val="minor"/>
      </rPr>
      <t>Disposal &amp; Cover (incl compaction),</t>
    </r>
    <r>
      <rPr>
        <sz val="11"/>
        <color theme="7" tint="-0.249977111117893"/>
        <rFont val="Calibri"/>
        <family val="2"/>
        <scheme val="minor"/>
      </rPr>
      <t xml:space="preserve"> Disassembly &amp; Decontaminate (Heavy Equipment)</t>
    </r>
  </si>
  <si>
    <t>Stockpile stabilization (?)</t>
  </si>
  <si>
    <r>
      <t xml:space="preserve">Teardown of steel tank, demobilization of fuel, decontaminate, Load &amp; transport, </t>
    </r>
    <r>
      <rPr>
        <sz val="11"/>
        <color rgb="FFFFC000"/>
        <rFont val="Calibri"/>
        <family val="2"/>
        <scheme val="minor"/>
      </rPr>
      <t>disposal &amp; cover (incl compaction)</t>
    </r>
  </si>
  <si>
    <t>Tote Road Culvert Removal, Load &amp; Transport, Disposal &amp; Cover (incl compaction)</t>
  </si>
  <si>
    <t>Counts</t>
  </si>
  <si>
    <t>$</t>
  </si>
  <si>
    <t>Code</t>
  </si>
  <si>
    <t>Unit Rates</t>
  </si>
  <si>
    <t>Fuel Consumption</t>
  </si>
  <si>
    <t>Labour</t>
  </si>
  <si>
    <t>Material</t>
  </si>
  <si>
    <t>Equipment</t>
  </si>
  <si>
    <t>Total Unit Cost</t>
  </si>
  <si>
    <t>Basis</t>
  </si>
  <si>
    <t>A1</t>
  </si>
  <si>
    <t>Disposal and Cover Incl (Compaction)</t>
  </si>
  <si>
    <t>Disposal</t>
  </si>
  <si>
    <t>In-House</t>
  </si>
  <si>
    <t>Cover and Compact assume 1m cover</t>
  </si>
  <si>
    <t>Earthworks Unit rate buildup</t>
  </si>
  <si>
    <t>Fill Application - Assumed average Depth of 1.50 m3</t>
  </si>
  <si>
    <t xml:space="preserve">Drill and Blast </t>
  </si>
  <si>
    <t>Crew of 2 at all times</t>
  </si>
  <si>
    <t>Grade &amp; Re-Contour</t>
  </si>
  <si>
    <t>Grade and Re-Countour assume .5m avg</t>
  </si>
  <si>
    <t>Grade &amp; Re-Contour with Liner</t>
  </si>
  <si>
    <t>Crew of 2 at all times +labour for liner removal</t>
  </si>
  <si>
    <t>Grade &amp; Re-Contour Type A quarry</t>
  </si>
  <si>
    <t>Add 50% to A3</t>
  </si>
  <si>
    <t xml:space="preserve">Culvert Removal - </t>
  </si>
  <si>
    <t>Assume 3 hours each x 2 people (including travel time). Assume mostly 6" culverts.</t>
  </si>
  <si>
    <t>Liner removal - 100% of typical installation</t>
  </si>
  <si>
    <t>EM</t>
  </si>
  <si>
    <t>Assume cut and fill per m3?</t>
  </si>
  <si>
    <t>STK</t>
  </si>
  <si>
    <t>Stockpile Removal</t>
  </si>
  <si>
    <t>Disassembly</t>
  </si>
  <si>
    <t>Crew of 1 for half day</t>
  </si>
  <si>
    <t>Decontaminate</t>
  </si>
  <si>
    <t xml:space="preserve">Crew of 1  </t>
  </si>
  <si>
    <t>Load</t>
  </si>
  <si>
    <t>Crew of 2 1 Hr</t>
  </si>
  <si>
    <t>Transport</t>
  </si>
  <si>
    <t>Assume 20 Pieces per load</t>
  </si>
  <si>
    <t>Crew of 2 for half a day</t>
  </si>
  <si>
    <t>Crew of 2 for 2 Hrs</t>
  </si>
  <si>
    <t>Assume 10 Pieces per load</t>
  </si>
  <si>
    <t>Crew of 4 for 3 days</t>
  </si>
  <si>
    <t>Crew of 2 for 1 day</t>
  </si>
  <si>
    <t>2 loads required per piece, at 50% speed</t>
  </si>
  <si>
    <t>Crew of 1</t>
  </si>
  <si>
    <t>Crew of 2 for 0.5 Hrs</t>
  </si>
  <si>
    <t>Crew of 1 Assume 3 per load and 2 hour round trip</t>
  </si>
  <si>
    <t>Crew of 1 Assume 1 per load and 2 hour round trip</t>
  </si>
  <si>
    <t>Crew of 2 x 2.5 Hrs</t>
  </si>
  <si>
    <t>Remove from foundations</t>
  </si>
  <si>
    <t>Tank will not be disassembled</t>
  </si>
  <si>
    <t>Empty tank</t>
  </si>
  <si>
    <t>Crew of 2 for 2 hours</t>
  </si>
  <si>
    <t>Assume 3 tanks per load</t>
  </si>
  <si>
    <t>Crew of 2 for 8 Hrs</t>
  </si>
  <si>
    <t>Crew of 1 for half a day</t>
  </si>
  <si>
    <t>Crew of 2 for 3 hrs</t>
  </si>
  <si>
    <t>Assume 1 tank per load</t>
  </si>
  <si>
    <t>Light Diesel (Day tanks 10,000L to 20,000L)</t>
  </si>
  <si>
    <t>Empty tank and Collect  Diesel</t>
  </si>
  <si>
    <t>Crew of 1, and average of 10,000 L Tanks</t>
  </si>
  <si>
    <t>Crew of 2 for 2.5 Hrs</t>
  </si>
  <si>
    <t>1 trip required</t>
  </si>
  <si>
    <t>Crew of 2 for 4 hrs</t>
  </si>
  <si>
    <t>1 load required but at 50% speed</t>
  </si>
  <si>
    <t>Medium Diesel Tanks (500k L to 750k L)</t>
  </si>
  <si>
    <t>Large Diesel Tanks Load and Transport (5M L)</t>
  </si>
  <si>
    <t>Largest Diesel Tanks (10M L to 12M L)</t>
  </si>
  <si>
    <t>Allowance - For Temporary construction warehouses and offices</t>
  </si>
  <si>
    <t>Modular Building Not Contaminated (480 ft2)</t>
  </si>
  <si>
    <t>Empty and remove or secure items</t>
  </si>
  <si>
    <t>Crew of 1 for 3 Hrs (per 480ft2 building)</t>
  </si>
  <si>
    <t>Use - &gt;</t>
  </si>
  <si>
    <t>4 Hour round trip. Building per trip</t>
  </si>
  <si>
    <t>FF1-c</t>
  </si>
  <si>
    <t xml:space="preserve">Modular Building Contaminated (480 ft2) </t>
  </si>
  <si>
    <t>Crew of 3 for 4 Hrs</t>
  </si>
  <si>
    <t>Fold Away Building Not Contaminated (480 ft2)</t>
  </si>
  <si>
    <r>
      <t>Fold Away Building</t>
    </r>
    <r>
      <rPr>
        <b/>
        <u/>
        <sz val="11"/>
        <color theme="1"/>
        <rFont val="Calibri"/>
        <family val="2"/>
        <scheme val="minor"/>
      </rPr>
      <t xml:space="preserve"> Contaminated (480 ft2)</t>
    </r>
  </si>
  <si>
    <t>Type of buildings will required more decontamination</t>
  </si>
  <si>
    <t>Crew of 1 for 2 hrs</t>
  </si>
  <si>
    <t>Crew of 1 for 3 hrs</t>
  </si>
  <si>
    <t>Crew of 3 for 6 Hrs</t>
  </si>
  <si>
    <t>Soft Walled Building (tent) Not Contaminated (480 ft2)</t>
  </si>
  <si>
    <t>Soft Walled Building (tent)  Contaminated (480 ft2)</t>
  </si>
  <si>
    <t>ISO Container</t>
  </si>
  <si>
    <t>Crew of 2 for 1 Hr</t>
  </si>
  <si>
    <t>Assume round trip of 2 hrs</t>
  </si>
  <si>
    <t>Timber Cribbing (480 ft2)</t>
  </si>
  <si>
    <t>L</t>
  </si>
  <si>
    <t>W</t>
  </si>
  <si>
    <t>H</t>
  </si>
  <si>
    <t>ft3</t>
  </si>
  <si>
    <t>Qty</t>
  </si>
  <si>
    <t>Area ft2</t>
  </si>
  <si>
    <t>area m2</t>
  </si>
  <si>
    <t>Approx 4 x 480ft2 cribbing per load</t>
  </si>
  <si>
    <r>
      <t xml:space="preserve">Precast Concrete Foundations - </t>
    </r>
    <r>
      <rPr>
        <b/>
        <u/>
        <sz val="11"/>
        <color theme="1"/>
        <rFont val="Calibri"/>
        <family val="2"/>
        <scheme val="minor"/>
      </rPr>
      <t>(480 ft2)</t>
    </r>
  </si>
  <si>
    <t>Demo (not required)</t>
  </si>
  <si>
    <t>Transport (assume 10 m3 per load. 4 hour round trip)</t>
  </si>
  <si>
    <t>Assume 1 day</t>
  </si>
  <si>
    <r>
      <t xml:space="preserve">Slab on Grade - </t>
    </r>
    <r>
      <rPr>
        <b/>
        <u/>
        <sz val="11"/>
        <color theme="1"/>
        <rFont val="Calibri"/>
        <family val="2"/>
        <scheme val="minor"/>
      </rPr>
      <t>ASSUME 300mm thick</t>
    </r>
  </si>
  <si>
    <t>7.5 min per m2 of building for drilling of drainage hole. Crew of 1</t>
  </si>
  <si>
    <t>Demo</t>
  </si>
  <si>
    <t>BR</t>
  </si>
  <si>
    <t>A10</t>
  </si>
  <si>
    <t>Steel Building Teardown</t>
  </si>
  <si>
    <t>VENDOR PKG - Incinerator</t>
  </si>
  <si>
    <t>Crew of 2, 1 full day (10Hrs)</t>
  </si>
  <si>
    <t>Crew of 3 for 5 Hrs</t>
  </si>
  <si>
    <t>Crew of 2, 1hr per load. 3 loads (contrainers) per package</t>
  </si>
  <si>
    <t>3 Trips required, 2 hrs per trip</t>
  </si>
  <si>
    <t>VENDOR PKG - Potable Water</t>
  </si>
  <si>
    <t>VENDOR PKG - Sewage Treatment Plant</t>
  </si>
  <si>
    <t>Crew of 2, 1hr per load. 4 loads (contrainers) per package</t>
  </si>
  <si>
    <t>4 Trips required, 2 hrs per trip</t>
  </si>
  <si>
    <t>VP5</t>
  </si>
  <si>
    <t>VENDOR PKG - Truck wash Facility</t>
  </si>
  <si>
    <t>30% of Install Hrs</t>
  </si>
  <si>
    <t>30% of Installation Hrs</t>
  </si>
  <si>
    <t>Weight</t>
  </si>
  <si>
    <t>VENDOR PKG - Ship Loader</t>
  </si>
  <si>
    <t>Assume Crew of 20 for 4 Months</t>
  </si>
  <si>
    <t>VENDOR PKG - WRF Water Treatment System</t>
  </si>
  <si>
    <t>Load, Haul and Dispose (30% of Install Hrs)</t>
  </si>
  <si>
    <t>Take 30% of (850m x 6Mhrs per ft)</t>
  </si>
  <si>
    <t>Gravel Base Removal</t>
  </si>
  <si>
    <t>Gravel stays in place.  No cost required</t>
  </si>
  <si>
    <t>Load, Haul and Dispose</t>
  </si>
  <si>
    <t>Disasemble, Load, Haul and Dispose</t>
  </si>
  <si>
    <t>30% of Installation. Based on In house data for Hours/Unit. Crew size not considered</t>
  </si>
  <si>
    <t>cable</t>
  </si>
  <si>
    <t>Miscellanous Items (Minor)</t>
  </si>
  <si>
    <t>A12</t>
  </si>
  <si>
    <t>Application of insulation material</t>
  </si>
  <si>
    <t>HDPE liner</t>
  </si>
  <si>
    <t>In-House (2013 quote for remote site)</t>
  </si>
  <si>
    <t>ARS</t>
  </si>
  <si>
    <t>Airstrip Lighting and Removal</t>
  </si>
  <si>
    <t>Bed space</t>
  </si>
  <si>
    <t>Remove Consumables (Disassembly (if required), load, transport)</t>
  </si>
  <si>
    <t>Base year from which Statistics Canada measures inflation (2002)</t>
  </si>
  <si>
    <t>Mobilization/demobilization of workers</t>
  </si>
  <si>
    <t>Current year of Property mining operations (2022)</t>
  </si>
  <si>
    <t>Worker accommodation and camp operation</t>
  </si>
  <si>
    <t>Inflation Adjustment multiplier - to be applied to Rent and other compensation</t>
  </si>
  <si>
    <t>Building Structure</t>
  </si>
  <si>
    <t>Drainage Channel</t>
  </si>
  <si>
    <t>Excavate, Load &amp; Haul - 1 km</t>
  </si>
  <si>
    <t xml:space="preserve">Project Constants </t>
  </si>
  <si>
    <t>Variable</t>
  </si>
  <si>
    <t xml:space="preserve">Unit Rate For: 7ea001 - Drill &amp; Blast - 12m x 12m x 15 m deep </t>
  </si>
  <si>
    <t>zz</t>
  </si>
  <si>
    <t>Fuel Cost</t>
  </si>
  <si>
    <t>[$/L]</t>
  </si>
  <si>
    <t>y</t>
  </si>
  <si>
    <t>Years to write down Equipment</t>
  </si>
  <si>
    <t>[yr]</t>
  </si>
  <si>
    <t>x</t>
  </si>
  <si>
    <t>Continuous work hours per year</t>
  </si>
  <si>
    <t>[hr/yr] = 30 days * 12 months *12 hrs / day</t>
  </si>
  <si>
    <t>Quantity</t>
  </si>
  <si>
    <t>w</t>
  </si>
  <si>
    <t>Write Down % over period</t>
  </si>
  <si>
    <t>Variables</t>
  </si>
  <si>
    <t xml:space="preserve">b </t>
  </si>
  <si>
    <t xml:space="preserve">Pentax Boost </t>
  </si>
  <si>
    <t>a</t>
  </si>
  <si>
    <t>Crew Shift Duration</t>
  </si>
  <si>
    <t>[hr]</t>
  </si>
  <si>
    <t>d</t>
  </si>
  <si>
    <t xml:space="preserve">Detonator </t>
  </si>
  <si>
    <t>b</t>
  </si>
  <si>
    <t>Drill Count per footprint area</t>
  </si>
  <si>
    <t>[m2]</t>
  </si>
  <si>
    <t>c</t>
  </si>
  <si>
    <t>Cordex</t>
  </si>
  <si>
    <t>[$/m]</t>
  </si>
  <si>
    <t>Drill hold depth</t>
  </si>
  <si>
    <t>[m]</t>
  </si>
  <si>
    <t>e</t>
  </si>
  <si>
    <t>ANFO</t>
  </si>
  <si>
    <t>[$/mt]</t>
  </si>
  <si>
    <t>Contractor #1</t>
  </si>
  <si>
    <t>Contractor #2</t>
  </si>
  <si>
    <t>Contractor #3</t>
  </si>
  <si>
    <t>CC005</t>
  </si>
  <si>
    <t>Footprint</t>
  </si>
  <si>
    <t>Labour Rate</t>
  </si>
  <si>
    <t>Efficiency</t>
  </si>
  <si>
    <t>f</t>
  </si>
  <si>
    <t>Drilled-Blasted Volume per 12 hour day w/ 1 crew</t>
  </si>
  <si>
    <t>[m3/day] = d * c</t>
  </si>
  <si>
    <t>8ehydril - Rock Drill</t>
  </si>
  <si>
    <t>g</t>
  </si>
  <si>
    <t>Hole Density</t>
  </si>
  <si>
    <t>=d*c / b</t>
  </si>
  <si>
    <t>Variables - z</t>
  </si>
  <si>
    <t>Production</t>
  </si>
  <si>
    <t xml:space="preserve">Fuel Usage </t>
  </si>
  <si>
    <t xml:space="preserve">[L/hr] </t>
  </si>
  <si>
    <t>h</t>
  </si>
  <si>
    <t>Productivity</t>
  </si>
  <si>
    <t>[m3/day] = f * e</t>
  </si>
  <si>
    <t>i</t>
  </si>
  <si>
    <t>Hourly Production</t>
  </si>
  <si>
    <t>[m3/hr]</t>
  </si>
  <si>
    <t>Equipment Cost - v</t>
  </si>
  <si>
    <t>j</t>
  </si>
  <si>
    <t>Crew Members</t>
  </si>
  <si>
    <t>Rock Drill Purchase</t>
  </si>
  <si>
    <t>50% of Purchase</t>
  </si>
  <si>
    <t>k</t>
  </si>
  <si>
    <t>Earthwork Productivity Factor</t>
  </si>
  <si>
    <t>l</t>
  </si>
  <si>
    <t>[$/hr]</t>
  </si>
  <si>
    <t>Hourly Cost</t>
  </si>
  <si>
    <t>Rock Drill</t>
  </si>
  <si>
    <t>Rock Drill Purchase per hour</t>
  </si>
  <si>
    <t>[$/hr] = v / y/ x*w</t>
  </si>
  <si>
    <t>n</t>
  </si>
  <si>
    <t>Blasting Materials per hole</t>
  </si>
  <si>
    <t>Rock Drill Operating Cost</t>
  </si>
  <si>
    <t xml:space="preserve">Labour &amp; Equipment </t>
  </si>
  <si>
    <t>[$/hr] = z * zz</t>
  </si>
  <si>
    <t>All in Labour Rate Earthworks</t>
  </si>
  <si>
    <t>= l / i *  (j*k)</t>
  </si>
  <si>
    <t>Subtotal</t>
  </si>
  <si>
    <t>Plant Equipment</t>
  </si>
  <si>
    <t>Rock Drill Composite</t>
  </si>
  <si>
    <t>Hatch</t>
  </si>
  <si>
    <t xml:space="preserve">8ehydril </t>
  </si>
  <si>
    <t>= m/i</t>
  </si>
  <si>
    <t>Materials</t>
  </si>
  <si>
    <t xml:space="preserve">8exm001 - Blasting Material </t>
  </si>
  <si>
    <t>8exm001</t>
  </si>
  <si>
    <t>Blasting Material Complex</t>
  </si>
  <si>
    <t>= n/i</t>
  </si>
  <si>
    <t xml:space="preserve">Variables - </t>
  </si>
  <si>
    <t>eamnfoo</t>
  </si>
  <si>
    <t>Blasting Mats</t>
  </si>
  <si>
    <t xml:space="preserve">Pentax Booster </t>
  </si>
  <si>
    <t>[BOOST] = [ea]</t>
  </si>
  <si>
    <t>exadrilx</t>
  </si>
  <si>
    <t>SANVIK DX800 drill-bits &amp; Consumables</t>
  </si>
  <si>
    <t>[DET] = [ea]</t>
  </si>
  <si>
    <t xml:space="preserve">Subtotal: </t>
  </si>
  <si>
    <t>Unit Rate / m3</t>
  </si>
  <si>
    <t>[CORD] = [m]</t>
  </si>
  <si>
    <t>Labour / m3</t>
  </si>
  <si>
    <t>[EMUL] =[mt/hole]</t>
  </si>
  <si>
    <t>Equipment / m3</t>
  </si>
  <si>
    <t>Fuel Usage / m3</t>
  </si>
  <si>
    <t>=Fuel per hour / Production per hour</t>
  </si>
  <si>
    <t>Cost</t>
  </si>
  <si>
    <t>Labour Hours / m3</t>
  </si>
  <si>
    <t>= b * [Boost]</t>
  </si>
  <si>
    <t>= d * [DET]</t>
  </si>
  <si>
    <t>= c * [CORD]</t>
  </si>
  <si>
    <t>Unit Rate For: 7eq002 - Agregate Crushing, 2-25mm</t>
  </si>
  <si>
    <t>= e * [EMUL]</t>
  </si>
  <si>
    <t>Blasting Material  Composite</t>
  </si>
  <si>
    <t>[$/hole]</t>
  </si>
  <si>
    <t>8emcrush - Mobile Crushing Plant</t>
  </si>
  <si>
    <t xml:space="preserve">Crew shift Duration </t>
  </si>
  <si>
    <t>Productivity Factor</t>
  </si>
  <si>
    <t>Optimal Production</t>
  </si>
  <si>
    <t>Mobile Crushing Plant Purchase</t>
  </si>
  <si>
    <t>Production per hour</t>
  </si>
  <si>
    <t>Production per day</t>
  </si>
  <si>
    <t>[m3/day]</t>
  </si>
  <si>
    <t>Crushing Plant Purchase per hour</t>
  </si>
  <si>
    <t>Crushing Plant Operating Cost</t>
  </si>
  <si>
    <t>Operators</t>
  </si>
  <si>
    <t>FEL Operators</t>
  </si>
  <si>
    <t>Mobile Crushing Plant Composite</t>
  </si>
  <si>
    <t>Mobile Crushing Plant</t>
  </si>
  <si>
    <t>CAT 980 FEL</t>
  </si>
  <si>
    <t>8e980 - CAT 980 FEL</t>
  </si>
  <si>
    <t>Cost - Labour &amp; Equipment</t>
  </si>
  <si>
    <t>All in Labour Rate - Earthworks</t>
  </si>
  <si>
    <t>= f * i* g / d</t>
  </si>
  <si>
    <t>FEL</t>
  </si>
  <si>
    <t>= f * h * g / d</t>
  </si>
  <si>
    <t>8emcrush</t>
  </si>
  <si>
    <t>=Crushing Plant Cost x 2 plants/d</t>
  </si>
  <si>
    <t>8e980</t>
  </si>
  <si>
    <t>CAT 980 FEL Composite</t>
  </si>
  <si>
    <t>= CAT Cost /d</t>
  </si>
  <si>
    <t>CAT 980 FEL Purchase</t>
  </si>
  <si>
    <t>CAT Purchase per hour</t>
  </si>
  <si>
    <t>CAT Operating Cost</t>
  </si>
  <si>
    <t>Unit Rate For: 7ep001na Excavate, Load &amp; Haul 2km</t>
  </si>
  <si>
    <t xml:space="preserve">1. Excavate Gravel </t>
  </si>
  <si>
    <t>2. Load</t>
  </si>
  <si>
    <t>3. Haul</t>
  </si>
  <si>
    <t>8eex85 - CAT 385 Excavator</t>
  </si>
  <si>
    <t>Haul Distance</t>
  </si>
  <si>
    <t>[km]</t>
  </si>
  <si>
    <t>Speed</t>
  </si>
  <si>
    <t>[km/hr]</t>
  </si>
  <si>
    <t>Swell</t>
  </si>
  <si>
    <t>[factor %]</t>
  </si>
  <si>
    <t>CAT 385 Excavator Purchase</t>
  </si>
  <si>
    <t>Shift</t>
  </si>
  <si>
    <t>Haul Truck Capacity</t>
  </si>
  <si>
    <t>[mt]</t>
  </si>
  <si>
    <t>Density</t>
  </si>
  <si>
    <t>[mt/m3]</t>
  </si>
  <si>
    <t>Haul Volume</t>
  </si>
  <si>
    <t>[m3] = e / f /c</t>
  </si>
  <si>
    <t>Loud, Wait and Unload time per cycle</t>
  </si>
  <si>
    <t>[min]</t>
  </si>
  <si>
    <t>Cycle Delay Factor</t>
  </si>
  <si>
    <t>Cycle Time</t>
  </si>
  <si>
    <t>[min] = a/b*60+h*i</t>
  </si>
  <si>
    <t>CAT 7385 Excavator Composite</t>
  </si>
  <si>
    <t>Production Rate</t>
  </si>
  <si>
    <t>[m3/cycle] = g * 60/j</t>
  </si>
  <si>
    <t>Truck Count</t>
  </si>
  <si>
    <t>= 2 * k</t>
  </si>
  <si>
    <t>8edum40 - CAT 740 Haul Truck</t>
  </si>
  <si>
    <t>[m3/hour] = j * k</t>
  </si>
  <si>
    <t>o</t>
  </si>
  <si>
    <t>Earthwork PF Factor</t>
  </si>
  <si>
    <t>Factor</t>
  </si>
  <si>
    <t>p</t>
  </si>
  <si>
    <t>$ / Hour</t>
  </si>
  <si>
    <t>q</t>
  </si>
  <si>
    <t xml:space="preserve"> CAT 385 Excavator</t>
  </si>
  <si>
    <t>r</t>
  </si>
  <si>
    <t xml:space="preserve"> CAT 740 Haul Truck</t>
  </si>
  <si>
    <t>CAT 740 Hault Truck Purchase</t>
  </si>
  <si>
    <t xml:space="preserve">Cost - Excavate &amp; Load </t>
  </si>
  <si>
    <t>=(n*m)/n</t>
  </si>
  <si>
    <t>8eex85</t>
  </si>
  <si>
    <t>CAT 385 Excavator Composite</t>
  </si>
  <si>
    <t>= q / n</t>
  </si>
  <si>
    <t xml:space="preserve">Cost - Haul &amp; Dump </t>
  </si>
  <si>
    <t>= (n*m)/l*k</t>
  </si>
  <si>
    <t>8edum40</t>
  </si>
  <si>
    <t xml:space="preserve">CAT 740 Haul Truck Composite </t>
  </si>
  <si>
    <t>= r / l*k</t>
  </si>
  <si>
    <t>CAT 740 Haul Truck  Composite</t>
  </si>
  <si>
    <t>8ed08t - CAT D8T Dozer</t>
  </si>
  <si>
    <t>Unit Rate For: 7eq011 - Backfill &amp; Compact w/D8</t>
  </si>
  <si>
    <t>CAT D8T Dozer Purchase</t>
  </si>
  <si>
    <t>[m3]</t>
  </si>
  <si>
    <t>Truck Loads per hour</t>
  </si>
  <si>
    <t>CAT D8T Dozer Composite</t>
  </si>
  <si>
    <t>Compaction Rate per hour</t>
  </si>
  <si>
    <t xml:space="preserve"> CAT D8T Dozer</t>
  </si>
  <si>
    <t>= i* j / g</t>
  </si>
  <si>
    <t>8ed08t</t>
  </si>
  <si>
    <t>=k /d</t>
  </si>
  <si>
    <t>Fuel Usage</t>
  </si>
  <si>
    <t>Labour Hours</t>
  </si>
  <si>
    <t>Fill Aplication</t>
  </si>
  <si>
    <t>Total</t>
  </si>
  <si>
    <t>YEAR</t>
  </si>
  <si>
    <t>YEAR 2 (OPTIONAL)</t>
  </si>
  <si>
    <t>Total Directs for Activities and Reclaimation of 2021 Activities</t>
  </si>
  <si>
    <t>IOL</t>
  </si>
  <si>
    <t>Crown</t>
  </si>
  <si>
    <t>Water</t>
  </si>
  <si>
    <t>Land</t>
  </si>
  <si>
    <t>DIRECT COST SUB-TOTAL (Reconcillation + New Scope)</t>
  </si>
  <si>
    <t>TOTAL PERSON-HOURS</t>
  </si>
  <si>
    <t>TOTAL PERSON-DAYS</t>
  </si>
  <si>
    <t>Covered in 2014 Baseline</t>
  </si>
  <si>
    <t>Depends on Man Hours and Fuel Consumption</t>
  </si>
  <si>
    <t>Ammonium Nitrate</t>
  </si>
  <si>
    <t>Depends on Man Hours</t>
  </si>
  <si>
    <t>Demobilization of Phase 2 Modules</t>
  </si>
  <si>
    <t>Demobilization of 3rd Party Equipment</t>
  </si>
  <si>
    <t>%</t>
  </si>
  <si>
    <t>Closure &amp; Post Closure Monitoring</t>
  </si>
  <si>
    <t>Contingency (applied to Direct Costs, Contaminated Soils and Post-Closure Monitoring)</t>
  </si>
  <si>
    <t>INDIRECT SUB-TOTAL</t>
  </si>
  <si>
    <t>TOTAL</t>
  </si>
  <si>
    <t>INFLATION</t>
  </si>
  <si>
    <t xml:space="preserve">TOTAL   </t>
  </si>
  <si>
    <t>= pulls data from Indirects spreadsheets</t>
  </si>
  <si>
    <t>= linked back to EBS 'Estimate Details' Indirects section</t>
  </si>
  <si>
    <t>Total Direct Cost</t>
  </si>
  <si>
    <t>Total direct cost+Contaminated soil+post closure monitoring</t>
  </si>
  <si>
    <t>Total direct cost+Contaminated soil +Mob/demob + Workers accomodation &amp; camps Opp+workers mob/demob+post closure monitoring)</t>
  </si>
  <si>
    <t>10% of direct Cost</t>
  </si>
  <si>
    <t>Demob of 3rd Party Equipment by sealift</t>
  </si>
  <si>
    <t>Engineering</t>
  </si>
  <si>
    <t xml:space="preserve">Project supervision, management &amp; contract administration </t>
  </si>
  <si>
    <t>FUEL ON-SITE</t>
  </si>
  <si>
    <t>Increase to Fuel Capacity @ site (L)</t>
  </si>
  <si>
    <t>Demob cost  per Litre</t>
  </si>
  <si>
    <t>Reclamation Activities (L)</t>
  </si>
  <si>
    <t>Heat and Power (L)</t>
  </si>
  <si>
    <t>Total fuel required during closure  (L)</t>
  </si>
  <si>
    <t>Cost to mob. Fuel  per Litre</t>
  </si>
  <si>
    <t>Demob 50% of total capacity</t>
  </si>
  <si>
    <t>Mob 100% fuel required during closure</t>
  </si>
  <si>
    <t>Total Mob/Demo Fuel</t>
  </si>
  <si>
    <t xml:space="preserve">CAMP FUEL CONSUMPTION </t>
  </si>
  <si>
    <t>Avg Monthly Consumption</t>
  </si>
  <si>
    <t>Days in month</t>
  </si>
  <si>
    <t>Average camp population</t>
  </si>
  <si>
    <t>L/Man-day</t>
  </si>
  <si>
    <t>$/L fuel cost</t>
  </si>
  <si>
    <t>WORKERS ACCOMODATION</t>
  </si>
  <si>
    <t>Cost of accomodation per person-day ($/pp)</t>
  </si>
  <si>
    <t>Cost for camp fuel per person-day ($/pp)</t>
  </si>
  <si>
    <t>Accomodation Costs</t>
  </si>
  <si>
    <t>WORKER MOBILIZATION (FLIGHTS)</t>
  </si>
  <si>
    <t>Person Days On-Site</t>
  </si>
  <si>
    <t>Southern Hires (70%)</t>
  </si>
  <si>
    <t>Northern Hires (30%)</t>
  </si>
  <si>
    <t>Cost Southern Communities</t>
  </si>
  <si>
    <t>Cost northern Communities</t>
  </si>
  <si>
    <t>Total Cost</t>
  </si>
  <si>
    <t>Inflation reading (September)</t>
  </si>
  <si>
    <t>Base year for which the inflation adjustment is taken (2018 Unit Rate Update)</t>
  </si>
  <si>
    <t>Consumer Price Index by geography, all-items, monthly, percentage change, not seasonally adjusted, Canada, provinces, Whitehorse, Yellowknife and Iqaluit (statcan.gc.ca)</t>
  </si>
  <si>
    <t>Notes for Indirects</t>
  </si>
  <si>
    <t>Reconcilliation</t>
  </si>
  <si>
    <t>cross conveyor</t>
  </si>
  <si>
    <t>grade and recontour</t>
  </si>
  <si>
    <t>equipment</t>
  </si>
  <si>
    <t>2018 Work Plan</t>
  </si>
  <si>
    <t>buildings</t>
  </si>
  <si>
    <t>tanks</t>
  </si>
  <si>
    <t>culverts</t>
  </si>
  <si>
    <t>demob expansion eq</t>
  </si>
  <si>
    <t>consumables</t>
  </si>
  <si>
    <t>Contingency (applied to Direct Costs, Mobilization of Resouces Required for Reclamation and Post-Closure Monitoring</t>
  </si>
  <si>
    <t>fill</t>
  </si>
  <si>
    <t>Demob of Phase 2 Modules</t>
  </si>
  <si>
    <t>9.4% of (direct cost+Contaminated soil treatement+post closure monitoring)</t>
  </si>
  <si>
    <t>12.5% of (direct cost+Contaminated soil treatment+Mob/demob+Workers accomodation &amp; camps Opp+workers mob/demob+post closure monitoring)</t>
  </si>
  <si>
    <t>FLIGHTS</t>
  </si>
  <si>
    <t>For UR updated in 2018</t>
  </si>
  <si>
    <t>Base year for which the inflation adjustment is taken (2014 Unit Rate Update)</t>
  </si>
  <si>
    <t>TOTAL MAN-HOURS</t>
  </si>
  <si>
    <t>TOTAL MAN-DAYS</t>
  </si>
  <si>
    <t>Geotechnical Inspections</t>
  </si>
  <si>
    <t>Project Environmental Site Assessment</t>
  </si>
  <si>
    <t>site works (G&amp;R)</t>
  </si>
  <si>
    <t>Total Direct Cost &amp; with Mob and Monitoring</t>
  </si>
  <si>
    <t>Reclamation Activites (L)</t>
  </si>
  <si>
    <t>Average camp population in '14</t>
  </si>
  <si>
    <t>Cost per/day</t>
  </si>
  <si>
    <t>Cost for Fuel consumption per day</t>
  </si>
  <si>
    <t>Camp Op Fuel Costs</t>
  </si>
  <si>
    <t>GEOTECHNICAL INVESTIGATIONS</t>
  </si>
  <si>
    <t>Cost/hour</t>
  </si>
  <si>
    <t>Billable hours per inspection</t>
  </si>
  <si>
    <t>Travel Costs</t>
  </si>
  <si>
    <t>Report Costs</t>
  </si>
  <si>
    <t>Cost per Inspection</t>
  </si>
  <si>
    <t>Total # of Inspections</t>
  </si>
  <si>
    <t>ANALYSIS &amp; REPORTING</t>
  </si>
  <si>
    <t>Billable hours per year</t>
  </si>
  <si>
    <t>Cost per Year</t>
  </si>
  <si>
    <t># of Years</t>
  </si>
  <si>
    <t>FIELD SAMPLING</t>
  </si>
  <si>
    <t>Samples</t>
  </si>
  <si>
    <t>Cost/Sample</t>
  </si>
  <si>
    <t>Total # of Trips</t>
  </si>
  <si>
    <t>Total fuel reuired during closure  (L)</t>
  </si>
  <si>
    <t>Mob 50% fuel required during closure</t>
  </si>
  <si>
    <t>(Multiple Items)</t>
  </si>
  <si>
    <t>Values</t>
  </si>
  <si>
    <t>Indirect Cost</t>
  </si>
  <si>
    <t>Quantities have been Superceeded</t>
  </si>
  <si>
    <t>Totals</t>
  </si>
  <si>
    <t>Area</t>
  </si>
  <si>
    <t>Unit Price Code</t>
  </si>
  <si>
    <t>Item</t>
  </si>
  <si>
    <t>Hours</t>
  </si>
  <si>
    <t>Fuel ($)</t>
  </si>
  <si>
    <t>Const. Equip</t>
  </si>
  <si>
    <t>Labour Cost</t>
  </si>
  <si>
    <t>Equiment Cost</t>
  </si>
  <si>
    <t>All in Unit Cost</t>
  </si>
  <si>
    <t>Final Direct Cost</t>
  </si>
  <si>
    <t>Round</t>
  </si>
  <si>
    <t>OLD Cost(REV. C)</t>
  </si>
  <si>
    <t>Difference</t>
  </si>
  <si>
    <t>Includes</t>
  </si>
  <si>
    <t>Total M3</t>
  </si>
  <si>
    <t>Siteworks</t>
  </si>
  <si>
    <t>Qty based on 2013 Marginal 2014 workplan (CG). Assume depth of 6 m3</t>
  </si>
  <si>
    <t>A9</t>
  </si>
  <si>
    <t>Grade and Re-Contour of Building Footprints</t>
  </si>
  <si>
    <t>Bridges</t>
  </si>
  <si>
    <t>Not in estimate</t>
  </si>
  <si>
    <t>Removal of Culverts</t>
  </si>
  <si>
    <t>Bridge Removal (1/3 of installation of bridge span from schedule)</t>
  </si>
  <si>
    <t>Flooring/Foundations</t>
  </si>
  <si>
    <t>Total Gravel Base</t>
  </si>
  <si>
    <t>Included in Buildings Structures demo</t>
  </si>
  <si>
    <t>Assume 100% of pre cast installation</t>
  </si>
  <si>
    <t>Mobile Equipment 1 (Small)</t>
  </si>
  <si>
    <t>Fork Lifts</t>
  </si>
  <si>
    <t>Picks up</t>
  </si>
  <si>
    <t>Vehicles around 5T and under</t>
  </si>
  <si>
    <t>Scissor Lift</t>
  </si>
  <si>
    <t>Man Lifts</t>
  </si>
  <si>
    <t>Small Garbage Bins</t>
  </si>
  <si>
    <t>Mobile Equipment 2 (Medium)</t>
  </si>
  <si>
    <t xml:space="preserve">Vehicles around 20T </t>
  </si>
  <si>
    <t>Trailers</t>
  </si>
  <si>
    <t>Buses</t>
  </si>
  <si>
    <t>Tow Trucks</t>
  </si>
  <si>
    <t>Large Garbage Bins</t>
  </si>
  <si>
    <t>Water Trucks</t>
  </si>
  <si>
    <t>Mobile Equipment 3 (Large)</t>
  </si>
  <si>
    <t>Vehicles over 10T</t>
  </si>
  <si>
    <t>Boom Trucks</t>
  </si>
  <si>
    <t>No cost</t>
  </si>
  <si>
    <t>All hiboy trailers</t>
  </si>
  <si>
    <t>Graders</t>
  </si>
  <si>
    <t>Cranes</t>
  </si>
  <si>
    <t>MMED</t>
  </si>
  <si>
    <t>Only large bore piping accounted for. Small more piping assumed to included in building removal</t>
  </si>
  <si>
    <t>Included in Piping</t>
  </si>
  <si>
    <t>Vendor Packages</t>
  </si>
  <si>
    <t>Based on estimated duration of 4mth and crew of 20. Benchmared against 10-12 hrs per MT</t>
  </si>
  <si>
    <t>Mechanical</t>
  </si>
  <si>
    <t>Mechanical  - Small</t>
  </si>
  <si>
    <t>Pumps</t>
  </si>
  <si>
    <t>Lab Equipment</t>
  </si>
  <si>
    <t>shop maintenance equipment</t>
  </si>
  <si>
    <t>No tanks</t>
  </si>
  <si>
    <t>Mechanical  - Medium</t>
  </si>
  <si>
    <t>Includes Chutes</t>
  </si>
  <si>
    <t>Small</t>
  </si>
  <si>
    <t>Mechanical  - Large</t>
  </si>
  <si>
    <t>Med</t>
  </si>
  <si>
    <t>Tanks - Small</t>
  </si>
  <si>
    <t xml:space="preserve">Large  </t>
  </si>
  <si>
    <t>Tanks - Medium</t>
  </si>
  <si>
    <t>3m and larger</t>
  </si>
  <si>
    <t>Largest</t>
  </si>
  <si>
    <t>MT3</t>
  </si>
  <si>
    <t>Tanks - Large</t>
  </si>
  <si>
    <t>Tanks (Diesel) - Small</t>
  </si>
  <si>
    <t>Tanks (Diesel) - Medium</t>
  </si>
  <si>
    <t>Tanks (Diesel) - Large</t>
  </si>
  <si>
    <t>Approx. 10m x 10m - 5 million L</t>
  </si>
  <si>
    <t>Tanks (Diesel) - Largest</t>
  </si>
  <si>
    <t>Approx. 25m x 15m - 10 million L</t>
  </si>
  <si>
    <t>Minor Items (very small)</t>
  </si>
  <si>
    <t>Items under 200kg (battery chargers etc.)</t>
  </si>
  <si>
    <t>Total Direct</t>
  </si>
  <si>
    <t>Indirects</t>
  </si>
  <si>
    <t>$358/m3</t>
  </si>
  <si>
    <t>Flights</t>
  </si>
  <si>
    <t>Confirm unit rate is return</t>
  </si>
  <si>
    <t>Icluding camp fuel consumption and workers accomodation</t>
  </si>
  <si>
    <t>of Total Direct Cost</t>
  </si>
  <si>
    <t>of Total Direct Cost, Contaminated Soil Treatement and Post Closure Monitoring</t>
  </si>
  <si>
    <t>of direct Costs, Mobilization and Post-Closure Monitoring</t>
  </si>
  <si>
    <t>Total Inirect</t>
  </si>
  <si>
    <t>Sum of QTY</t>
  </si>
  <si>
    <t>Price Code</t>
  </si>
  <si>
    <t>(blank)</t>
  </si>
  <si>
    <t>Blank</t>
  </si>
  <si>
    <t>MMED - weight req.</t>
  </si>
  <si>
    <t>Conveyor</t>
  </si>
  <si>
    <t>VP incinerator</t>
  </si>
  <si>
    <t>VP Potable water</t>
  </si>
  <si>
    <t>STP</t>
  </si>
  <si>
    <t>STP Total</t>
  </si>
  <si>
    <t>VP Truck wash facility</t>
  </si>
  <si>
    <t>MT4-d Total</t>
  </si>
  <si>
    <t>Grand Total</t>
  </si>
  <si>
    <t>FFL-c Total</t>
  </si>
  <si>
    <t>Communication Shed  - Demolish and Decontaminate Building - ISO Shipping Container</t>
  </si>
  <si>
    <t>Communication Shed No. 1 - Demolish and Decontaminate Building - ISO Shipping Container</t>
  </si>
  <si>
    <t xml:space="preserve">TANK  - BATCH PLANT OFFICE-LUNCHROOM-WC SEWAGE COLLECTION TANK - LAGRANGE MECHANICAL SERVICES  L: 3791 
W: 1829 
H: 610 </t>
  </si>
  <si>
    <t>Communication Shed No. 10 - Demolish and Decontaminate Building - ISO Shipping Container</t>
  </si>
  <si>
    <t>Communication Shed No. 11 - Demolish and Decontaminate Building - ISO Shipping Container</t>
  </si>
  <si>
    <t>Communication Shed No. 2 - Demolish and Decontaminate Building - ISO Shipping Container</t>
  </si>
  <si>
    <t>FTR2-c Total</t>
  </si>
  <si>
    <t xml:space="preserve">TANK  - FUEL SYSTEMS WASHCAR SEWAGE COLLECTION TANK - LAGRANGE MECHANICAL SERVICES  L: 3791 
W: 1829 
H: 610 </t>
  </si>
  <si>
    <t>Communication Shed No. 3 - Demolish and Decontaminate Building - ISO Shipping Container</t>
  </si>
  <si>
    <t>Communication Shed No. 4 - Demolish and Decontaminate Building - ISO Shipping Container</t>
  </si>
  <si>
    <t>Communication Shed No. 5 - Demolish and Decontaminate Building - ISO Shipping Container</t>
  </si>
  <si>
    <t xml:space="preserve">TANK  - SITE SERVICES WASHCAR #1 SEWAGE COLLECTION TANK - LAGRANGE MECHANICAL SERVICES  L: 3791 
W: 1829 
H: 610 </t>
  </si>
  <si>
    <t>Communication Shed No. 6 - Demolish and Decontaminate Building - ISO Shipping Container</t>
  </si>
  <si>
    <t xml:space="preserve">TANK  - SITE SERVICES WASHCAR #2 SEWAGE COLLECTION TANK - LAGRANGE MECHANICAL SERVICES  L: 3791 
W: 1829 
H: 610 </t>
  </si>
  <si>
    <t>Communication Shed No. 7 - Demolish and Decontaminate Building - ISO Shipping Container</t>
  </si>
  <si>
    <t>Communication Shed No. 8 - Demolish and Decontaminate Building - ISO Shipping Container</t>
  </si>
  <si>
    <t>FTR1-c Total</t>
  </si>
  <si>
    <t xml:space="preserve">TANK  - WORKSHOP OFFICE WASHCAR SEWAGE COLLECTION TANK - LAGRANGE MECHANICAL SERVICES  L: 3791 
W: 1829 
H: 610 </t>
  </si>
  <si>
    <t>Communication Shed No. 9 - Demolish and Decontaminate Building - ISO Shipping Container</t>
  </si>
  <si>
    <t>MT2 Total</t>
  </si>
  <si>
    <t>Emergency Shelter  No. 1 - Demolish and Decontaminate Building - ISO Shipping Container</t>
  </si>
  <si>
    <t>Bed Space</t>
  </si>
  <si>
    <t>Emergency Shelter  No. 2 - Demolish and Decontaminate Building - ISO Shipping Container</t>
  </si>
  <si>
    <t xml:space="preserve">TANK  - BATCH PLANT OFFICE-LUNCHROOM-WC RAW WATER TANK - PLASTIC-MART 866-310-2556  L: 1613 
W: 737 
H: 1676 </t>
  </si>
  <si>
    <t>Emergency Shelter  No. 3 - Demolish and Decontaminate Building - ISO Shipping Container</t>
  </si>
  <si>
    <t>Emergency Shelter  No. 4 - Demolish and Decontaminate Building - ISO Shipping Container</t>
  </si>
  <si>
    <t xml:space="preserve">TANK  - FUEL SYSTEMS WASHCAR RAW WATER TANK - PLASTIC-MART 866-310-2556  L: 1803 
W: 1245 
H: 1346 </t>
  </si>
  <si>
    <t>FC Total</t>
  </si>
  <si>
    <t xml:space="preserve">TANK  - SITE SERVICES WASHCAR #1 RAW WATER TANK - PLASTIC-MART 866-310-2556  L: 1803 
W: 1245 
H: 1346 </t>
  </si>
  <si>
    <t xml:space="preserve">TANK  - WORKSHOP OFFICE WASHCAR RAW WATER TANK - PLASTIC-MART 866-310-2556  L: 1803 
W: 1245 
H: 1346 </t>
  </si>
  <si>
    <t>MT1 Total</t>
  </si>
  <si>
    <t>FS-c Total</t>
  </si>
  <si>
    <t>FTR1 Total</t>
  </si>
  <si>
    <t>FC-c Total</t>
  </si>
  <si>
    <t>FTR2 Total</t>
  </si>
  <si>
    <t>Existing Trailer Camp</t>
  </si>
  <si>
    <t>FF1 Total</t>
  </si>
  <si>
    <t>Culverts</t>
  </si>
  <si>
    <t>each</t>
  </si>
  <si>
    <t>FFL Total</t>
  </si>
  <si>
    <t>cu Total</t>
  </si>
  <si>
    <t>Exploration Soft-Wall Camp</t>
  </si>
  <si>
    <t>FF3 Total</t>
  </si>
  <si>
    <t>VP7 Total</t>
  </si>
  <si>
    <t>Waste Rock Dump from Bulk Sample</t>
  </si>
  <si>
    <t>Accomodation Area E-House #1 - Demolish and Decontaminate Building - Special Modular / Prefabricated</t>
  </si>
  <si>
    <t>Accomodation Area E-House #2 - Demolish and Decontaminate Building - Special Modular / Prefabricated</t>
  </si>
  <si>
    <t>FS Total</t>
  </si>
  <si>
    <t>Borrow Pit #1</t>
  </si>
  <si>
    <t xml:space="preserve">Borrow Pit #2             </t>
  </si>
  <si>
    <t xml:space="preserve">Borrow Pit #3             </t>
  </si>
  <si>
    <t xml:space="preserve">Borrow Pit #4             </t>
  </si>
  <si>
    <t xml:space="preserve">Borrow Pit #5             </t>
  </si>
  <si>
    <t>Rock Quarry / Borrow Area N0. 2</t>
  </si>
  <si>
    <t>A2 Total</t>
  </si>
  <si>
    <t>m2-</t>
  </si>
  <si>
    <t>Hazardous Waste Containment Area - New</t>
  </si>
  <si>
    <t>Polishing Waste Stabilization Pond #2</t>
  </si>
  <si>
    <t>A3l Total</t>
  </si>
  <si>
    <t>Row Labels</t>
  </si>
  <si>
    <t>Assumed Volume Impact Per Unit</t>
  </si>
  <si>
    <t>Light Equimpent</t>
  </si>
  <si>
    <t>Large Tanks</t>
  </si>
  <si>
    <t>Crew of 2 for 8 Hrs to remove piping and Cap</t>
  </si>
  <si>
    <t>Crew of 4 for 4 10 Hr days</t>
  </si>
  <si>
    <t>Use 60,000 L per Hr. Based on 2013 fuel delivery Flow Rates</t>
  </si>
  <si>
    <t>Crew of 4 for half a day</t>
  </si>
  <si>
    <t>Assume 10 trips requred</t>
  </si>
  <si>
    <t>Crew of 5 for 5 days</t>
  </si>
  <si>
    <t>Crew of 2 for 2 day</t>
  </si>
  <si>
    <t>Crew of 4 for a full day</t>
  </si>
  <si>
    <t>Assume 15 trips required</t>
  </si>
  <si>
    <t>VENDOR PKG - Incenerator</t>
  </si>
  <si>
    <t>One Offs</t>
  </si>
  <si>
    <t>Stockpile stabilization (?) assume cut and fill per m3?</t>
  </si>
  <si>
    <t>Pipeline removal</t>
  </si>
  <si>
    <t>Bridge spans</t>
  </si>
  <si>
    <t>Bridge adbutments</t>
  </si>
  <si>
    <t>Total for C1 Activities and Reclaimation of 2017 Activities - Security Posted March 2018</t>
  </si>
  <si>
    <t>AN and Prepack for 2018 within typical volume set in 2016 and securities paid on</t>
  </si>
  <si>
    <t>Fuel capacity stays the same as 2017-A, no increase in securities needed</t>
  </si>
  <si>
    <t>Covered in 2016 posting</t>
  </si>
  <si>
    <t>Updated to account for WRF water treatment plant sampling</t>
  </si>
  <si>
    <t>No increase in fuel capacity in 2018</t>
  </si>
  <si>
    <t>Total for equipment not scheduled to arrive on the 2018 Sea lift, as revised in May 2018 following QIA security negotiations</t>
  </si>
  <si>
    <t>DIRECT COST SUB-TOTAL</t>
  </si>
  <si>
    <t xml:space="preserve">Man Days </t>
  </si>
  <si>
    <t>Crew Size</t>
  </si>
  <si>
    <t>12.5% of (direct cost+Contaminated soil treatement+Mob/demob+Workers accomodation &amp; camps Opp+workers mob/demob+post closure monitoring)</t>
  </si>
  <si>
    <t>Total Capacity @ site (L)</t>
  </si>
  <si>
    <t>Fuel consumption per day</t>
  </si>
  <si>
    <t>Assumed 6 southern flights + 8 northern flights</t>
  </si>
  <si>
    <t>attached email (RE: Baffinland Iron Mines Corporation - Supplementary Information.msg) on email from Adam sent on Mon 12/14/2015 11:09 AM</t>
  </si>
  <si>
    <t>Assume 1/2 of Milne Port Bladder Farm Contaminated</t>
  </si>
  <si>
    <t>I</t>
  </si>
  <si>
    <t>D</t>
  </si>
  <si>
    <t>No increase in bulk fuel capacity</t>
  </si>
  <si>
    <t>Reclamation Activites</t>
  </si>
  <si>
    <t>Heat and Power</t>
  </si>
  <si>
    <t xml:space="preserve">Total fuel reuired during closure </t>
  </si>
  <si>
    <t>No increase in fuel capacity</t>
  </si>
  <si>
    <t>Anmar Workshop (Memo H349001-1000-07-220-0002, Rev. 0)</t>
  </si>
  <si>
    <t>Mobilzation</t>
  </si>
  <si>
    <t>Increase in 1 fuel tanks (@100,000 Each)</t>
  </si>
  <si>
    <t>Assuming 10 h/day</t>
  </si>
  <si>
    <t>Passengers per voyage</t>
  </si>
  <si>
    <t>Productive days per rotation</t>
  </si>
  <si>
    <t>Person days per Flight</t>
  </si>
  <si>
    <t xml:space="preserve">Total Flights Required </t>
  </si>
  <si>
    <t>Cost per Flight</t>
  </si>
  <si>
    <t>TOTAL (Southern Flights)</t>
  </si>
  <si>
    <t>TOTAL (Northern Flights)</t>
  </si>
  <si>
    <t>TOTAL (Both Southern and Northern)</t>
  </si>
  <si>
    <r>
      <rPr>
        <b/>
        <sz val="20"/>
        <color theme="1"/>
        <rFont val="Arial"/>
        <family val="2"/>
      </rPr>
      <t>Mary River Project Component Breakdown</t>
    </r>
    <r>
      <rPr>
        <sz val="20"/>
        <color theme="1"/>
        <rFont val="Arial"/>
        <family val="2"/>
      </rPr>
      <t xml:space="preserve">
</t>
    </r>
    <r>
      <rPr>
        <sz val="16"/>
        <color theme="1"/>
        <rFont val="Arial"/>
        <family val="2"/>
      </rPr>
      <t>for the 2014 Reclamation Security Total Project Estimate</t>
    </r>
  </si>
  <si>
    <t>Required Unit Costs</t>
  </si>
  <si>
    <t>Required Inputs</t>
  </si>
  <si>
    <t>Responsibility</t>
  </si>
  <si>
    <t>Priorority</t>
  </si>
  <si>
    <t>NOTES</t>
  </si>
  <si>
    <t>Level 3 FBS definitions</t>
  </si>
  <si>
    <r>
      <t>1.  “</t>
    </r>
    <r>
      <rPr>
        <u/>
        <sz val="11"/>
        <rFont val="Arial"/>
        <family val="2"/>
      </rPr>
      <t>building</t>
    </r>
    <r>
      <rPr>
        <sz val="11"/>
        <rFont val="Arial"/>
        <family val="2"/>
      </rPr>
      <t>” refers to the building structure including platforms, walls and enclosure; architectural fit-out including partition</t>
    </r>
  </si>
  <si>
    <t xml:space="preserve">      walls, finishes and fixtures; and building services including hvac, lighting, potable water and sewage plumbing, fire</t>
  </si>
  <si>
    <t xml:space="preserve">      suppression system (building internal spray system only), fire detection and alarm systems and comms/IT systems.</t>
  </si>
  <si>
    <r>
      <t>2.  "</t>
    </r>
    <r>
      <rPr>
        <u/>
        <sz val="11"/>
        <rFont val="Arial"/>
        <family val="2"/>
      </rPr>
      <t>system</t>
    </r>
    <r>
      <rPr>
        <sz val="11"/>
        <rFont val="Arial"/>
        <family val="2"/>
      </rPr>
      <t>" generally refers to the mechanical equipment with associated piping, electrical and process control.</t>
    </r>
  </si>
  <si>
    <t>Assume no contamination</t>
  </si>
  <si>
    <t>Low</t>
  </si>
  <si>
    <t>Materials Handling</t>
  </si>
  <si>
    <t>Includes mobile crusher/screener. Need to determine final disposal location</t>
  </si>
  <si>
    <t>Disassembly &amp; Decontaminate (Heavy Equipment), Load &amp; transport, Disposal &amp; Cover (incl compaction)</t>
  </si>
  <si>
    <t>No Quarries at Milne Port. See Tote Road</t>
  </si>
  <si>
    <t>covers interconnecting roads that are not part of the pads</t>
  </si>
  <si>
    <t>Grade and Re-Contour, Culvert Removal</t>
  </si>
  <si>
    <t>Mobile Materials Handling Equipment</t>
  </si>
  <si>
    <t>Assumed on-site disposal of deemed inert (decontaminated)</t>
  </si>
  <si>
    <t>Disassembly &amp; Decontaminate (Heavy Equipment, Light Equipment or Minor Equipment), Load &amp; transport, Disposal &amp; Cover (incl compaction)</t>
  </si>
  <si>
    <t>Mobile Maintenance Equipment</t>
  </si>
  <si>
    <t>Mobile Site Services Equipment</t>
  </si>
  <si>
    <t>Dock Structure (includes ship loader foundations)</t>
  </si>
  <si>
    <t>Pending approval of ERP</t>
  </si>
  <si>
    <t>Mooring Buoys</t>
  </si>
  <si>
    <t>Causeway</t>
  </si>
  <si>
    <t>Transshipment and Marine Vessels</t>
  </si>
  <si>
    <t>Includes airstrip</t>
  </si>
  <si>
    <t>Grade and Re-Contour, airstrip lighting removal (lump sum - incl removal &amp; disposal)</t>
  </si>
  <si>
    <t>Assume no contamination. Uncertain about hazardous materials in kitchen facility</t>
  </si>
  <si>
    <t>Med.</t>
  </si>
  <si>
    <t>Modular Building teardown, Load &amp; transport, Disposal &amp; Cover (incl compaction), Decontamination of a module</t>
  </si>
  <si>
    <t>Modular Building teardown, Load &amp; transport, Disposal &amp; Cover (incl compaction)</t>
  </si>
  <si>
    <t>Steel Building teardown, Load &amp; transport, Disposal &amp; Cover (incl compaction)</t>
  </si>
  <si>
    <t>Incl. maintenance shop, welding shop, wash cars. Assume contamination</t>
  </si>
  <si>
    <t>Steel Building teardown, Decontaminate, Load &amp; transport, Disposal &amp; Cover (incl compaction)</t>
  </si>
  <si>
    <t>Incl. Warehouse, Office Building. Assume no contamination</t>
  </si>
  <si>
    <t>Mobile &amp; mechanical equipment</t>
  </si>
  <si>
    <t>Includes all E-house on-site, Does not include distribution system</t>
  </si>
  <si>
    <t>Includes fold-a-way building, containerized incinerator, and any other minor support equipment</t>
  </si>
  <si>
    <t>Steel Building teardown, Load &amp; transport, Disposal &amp; Cover (incl compaction), Disassembly &amp; Decontaminate (Heavy Equipment)</t>
  </si>
  <si>
    <t>Hazardous Waste Storage Area</t>
  </si>
  <si>
    <t>Need to confirm contamination type and disposal options for soil from hazardous waste berms</t>
  </si>
  <si>
    <t>Soil Excavation, Soil disposal off-site, Liner Removal, Liner disposal off-site, Grade &amp; Recontour</t>
  </si>
  <si>
    <t>Waste Disposal (Landfarm)</t>
  </si>
  <si>
    <t>Need to confirm disposal options for soil from landfarm and final reclamation objectives for landfarm</t>
  </si>
  <si>
    <t>Fuel Systems</t>
  </si>
  <si>
    <t>Quantity of area requiring off-site disposal of soil and liner TBD</t>
  </si>
  <si>
    <t>Soil Excavation, Soil disposal off-site (TBD), Liner Removal, Liner disposal off-site (TBD), Grade &amp; Recontour</t>
  </si>
  <si>
    <t>Assume contamination</t>
  </si>
  <si>
    <t>Teardown of steel tank, demobilization of fuel, decontaminate, Load &amp; transport, disposal &amp; cover (incl compaction)</t>
  </si>
  <si>
    <t>Only applicable if power generation for tank farm separate from site-wide power generation</t>
  </si>
  <si>
    <t>includes water building</t>
  </si>
  <si>
    <t xml:space="preserve">Containerized STP </t>
  </si>
  <si>
    <t>Modular Building teardown, Decontaminate, Load &amp; transport, Disposal &amp; Cover (incl compaction)</t>
  </si>
  <si>
    <t>Fold-Away Building</t>
  </si>
  <si>
    <t>Above ground pipeline</t>
  </si>
  <si>
    <t>Assume no water treatment, would be treated during course of closure at STP, liner disposal on-site</t>
  </si>
  <si>
    <t>includes yard lighting (poles)</t>
  </si>
  <si>
    <t>Includes all equipment at communications seacan</t>
  </si>
  <si>
    <t>Disassembly &amp; Decontaminate ( Light Equipment), Load &amp; transport, Disposal &amp; Cover (incl compaction)</t>
  </si>
  <si>
    <t>Communications Facility No. 4</t>
  </si>
  <si>
    <t>Communications Facility No. 5</t>
  </si>
  <si>
    <t>Communications Facility No. 6</t>
  </si>
  <si>
    <t>Communications Facility No. 7</t>
  </si>
  <si>
    <t>Communications Facility No. 8</t>
  </si>
  <si>
    <t>Road left in place (public road). Need to determine culvert type, proximity &amp; quantity impact on reclamation activities. Long-term stability needs to be confirmed</t>
  </si>
  <si>
    <t>Sea-can bridge at STA 17</t>
  </si>
  <si>
    <t>Sea-can bridge at STA 62</t>
  </si>
  <si>
    <t>Sea-can bridge at STA 80</t>
  </si>
  <si>
    <t>Sea-can bridge at STA 97</t>
  </si>
  <si>
    <t>Needs long term physical stability. Assume operations leaves quarry in long-term stable condition</t>
  </si>
  <si>
    <t>Grade and Re-contour</t>
  </si>
  <si>
    <t>TBC individual activities required for each borrow sources. Need to ensure long-term stability, need to ensure proper drainage and pathways.</t>
  </si>
  <si>
    <t>Grade and Re-contour Borrow Source, Application of insulation material, Secondary application of Grade and Re-contour of Borrow Source</t>
  </si>
  <si>
    <t>Borrow Source at Km 97/98</t>
  </si>
  <si>
    <t>Need to ensure long-term stability, need to ensure proper drainage and pathways</t>
  </si>
  <si>
    <t>Borrow Source at Km 102</t>
  </si>
  <si>
    <t>Need to determine  reclamation strategy small scale for borrow sources along the Tote Road that have been used but not formalized</t>
  </si>
  <si>
    <t>Explosives Pads</t>
  </si>
  <si>
    <t xml:space="preserve">Assume no contamination. </t>
  </si>
  <si>
    <t>Quarry at QMR2</t>
  </si>
  <si>
    <t>Quarry at D1Q1</t>
  </si>
  <si>
    <t>Quarry at D1Q2</t>
  </si>
  <si>
    <t>Assume contamination. Need to confirm reclamation strategy</t>
  </si>
  <si>
    <t>Consist of containerized magazine</t>
  </si>
  <si>
    <t>Haul Roads</t>
  </si>
  <si>
    <t>Pit 1 Haul Road</t>
  </si>
  <si>
    <t>Need to confirm number of culverts</t>
  </si>
  <si>
    <t>Grade and Re-Contour, Culvert Removal, Removal of cable, Load &amp; transport, Disposal &amp; Cover (incl compaction)</t>
  </si>
  <si>
    <t>Small existing stockpile</t>
  </si>
  <si>
    <t>Need to confirm stability</t>
  </si>
  <si>
    <t>Mobile (trailer based) crushing and screening unit</t>
  </si>
  <si>
    <t>includes truck weigh building. To confirm truck weigh building design</t>
  </si>
  <si>
    <t>Disassembly &amp; Decontaminate (Heavy Equipment), Load &amp; transport, Disposal &amp; Cover (incl compaction); Steel Building teardown, Load &amp; transport, Disposal &amp; Cover (incl compaction)</t>
  </si>
  <si>
    <t>Amount of sediment/contamination in pond TBD</t>
  </si>
  <si>
    <t>Runway &amp; Apron</t>
  </si>
  <si>
    <t>Gravel airstrip &amp; apron</t>
  </si>
  <si>
    <t>Mobile office trailer used</t>
  </si>
  <si>
    <t>Small warehouse building</t>
  </si>
  <si>
    <t>Plant &amp; Equipment</t>
  </si>
  <si>
    <t>Included equipment required for basic airplane inspections and maintenance</t>
  </si>
  <si>
    <t>Disassembly &amp; Decontaminate (Light Equipment), Load &amp; transport, Disposal &amp; Cover (incl compaction)</t>
  </si>
  <si>
    <t>To be determined what consists of</t>
  </si>
  <si>
    <t>Airfield Lighting and Visual Aids</t>
  </si>
  <si>
    <t xml:space="preserve">Surface lighting. No foundations or buried cable. </t>
  </si>
  <si>
    <t>includes truck wash building</t>
  </si>
  <si>
    <t>Waste Disposal (Landfill)</t>
  </si>
  <si>
    <t>Need to confirm disposal options for soil from landfill if required</t>
  </si>
  <si>
    <t>Soil Excavation, Soil disposal off-site (TBD), Cover Application, Grade &amp; Recontour</t>
  </si>
  <si>
    <t>Raw Water Jetty</t>
  </si>
  <si>
    <t>Assume left in place</t>
  </si>
  <si>
    <t>include eqt, modular pumphouse and pipe to water building</t>
  </si>
  <si>
    <t>Disassembly &amp; Decontaminate (Minor Equipment), Load &amp; transport, Disposal &amp; Cover (incl compaction)</t>
  </si>
  <si>
    <t>Communications &amp; IT</t>
  </si>
  <si>
    <t>Communications Services</t>
  </si>
  <si>
    <t>Indirect cost. Will address at later date</t>
  </si>
  <si>
    <t>Air Services</t>
  </si>
  <si>
    <t>Jet Service</t>
  </si>
  <si>
    <t>Local Air Charter</t>
  </si>
  <si>
    <t>Helicopter Service</t>
  </si>
  <si>
    <t>Including RBC. Power generation considered in Site Services mechanical equipment</t>
  </si>
  <si>
    <t>Off-Spec Effluent Pond(s)</t>
  </si>
  <si>
    <t>offices and training rooms. Assume no contamination</t>
  </si>
  <si>
    <t>lunch rms, wash cars &amp; smoke shltrs. Assume no contamination</t>
  </si>
  <si>
    <t>Civil Contractor Buildings</t>
  </si>
  <si>
    <t>Vehicles and Equipment</t>
  </si>
  <si>
    <t>Company Vehicles</t>
  </si>
  <si>
    <t>Emergency Response Equipment</t>
  </si>
  <si>
    <t>Construction Power Supply</t>
  </si>
  <si>
    <t>Only applicable if power generation for construction separate from site-wide power generation</t>
  </si>
  <si>
    <t>Mobile (trailer-based) batch plant. includes washdown / settling pond</t>
  </si>
  <si>
    <t>Disassembly &amp; Decontaminate (Heavy), Load &amp; transport, Disposal &amp; Cover (incl compaction). Tear down on non-contaminated steel building</t>
  </si>
  <si>
    <t>Explosives Facilities</t>
  </si>
  <si>
    <t>incl. magazines</t>
  </si>
  <si>
    <t>Camp Operations &amp; Catering</t>
  </si>
  <si>
    <t>Includes snow clearing, water, sewage, waste, fuel &amp; aerodrome. Indirect cost. Will address at later date</t>
  </si>
  <si>
    <t>Maintenance and Repair</t>
  </si>
  <si>
    <t>Includes facilities, roads, mobile equipment.  Indirect cost. Will address at later date</t>
  </si>
  <si>
    <t>Construction Services</t>
  </si>
  <si>
    <t>Off-Site Waste Disposal</t>
  </si>
  <si>
    <t>Off-Site Explosives Disposal</t>
  </si>
  <si>
    <t>Off-Site Fuel Disposal</t>
  </si>
  <si>
    <t>Heavy Transport Services</t>
  </si>
  <si>
    <t>Explosives Supply Services</t>
  </si>
  <si>
    <t>includes washdown / settling pond. Building Only - Batch plant mechanical equipment accounted for at Milne Port concrete facility</t>
  </si>
  <si>
    <t>magazines and temporary emulsion plant?</t>
  </si>
  <si>
    <t>Mid-Rail</t>
  </si>
  <si>
    <t>On Crown Land, not in QIA scope. Assume no contamination</t>
  </si>
  <si>
    <t>On Crown Land, not in QIA scope. Confrimation, if any, on-site</t>
  </si>
  <si>
    <t>On Crown Land, not in QIA scope. Includes: offices and training rooms. Assume no contamination</t>
  </si>
  <si>
    <t>On Crown Land, not in QIA scope. Includes: lunch rms, wash cars &amp; smoke shltrs. Assume no contamination</t>
  </si>
  <si>
    <t>None</t>
  </si>
  <si>
    <t>On Crown Land, not in QIA scope. Indirect cost. Will address at later date</t>
  </si>
  <si>
    <t>On Crown Land, not in QIA scope. Includes snow clearing, water, sewage, waste, fuel &amp; aerodrome. Indirect cost. Will address at later date</t>
  </si>
  <si>
    <t>On Crown Land, not in QIA scope.  Includes facilities, roads, mobile equipment.  Indirect cost. Will address at later date</t>
  </si>
  <si>
    <t>Steensby Port</t>
  </si>
  <si>
    <t>On Crown Land, not in QIA scope. Including RBC. Power generation considered in Site Services mechanical equipment</t>
  </si>
  <si>
    <t>On Crown Land, not in QIA scope. offices and training rooms. Assume no contamination</t>
  </si>
  <si>
    <t>To be confrimed</t>
  </si>
  <si>
    <t>Seacan storage?</t>
  </si>
  <si>
    <t>Construction Management</t>
  </si>
  <si>
    <t>Third Party Services</t>
  </si>
  <si>
    <t>Geotechnical Consultants</t>
  </si>
  <si>
    <t>Environmental Site Assessment</t>
  </si>
  <si>
    <t>On-Going Water Management</t>
  </si>
  <si>
    <t>Includes mobilization of all required equipment, fuel, materials needed for A&amp;R purposes. Does not include personnel (in flight charter costs)</t>
  </si>
  <si>
    <t>Demobilization</t>
  </si>
  <si>
    <t>Includes the demobilization of all required equipment, fuel, materials that cannot be disposed of on-site and is no longer needed for A&amp;R purposes.  Does not include personnel (in flight charter costs)</t>
  </si>
  <si>
    <t>Owner Accounts - Project Management</t>
  </si>
  <si>
    <t>Owner Accounts - Contingency, Escalation, Event Risk Allowance</t>
  </si>
  <si>
    <t>2342-HP-022</t>
  </si>
  <si>
    <t>Mechanical Equipment and Motor List</t>
  </si>
  <si>
    <t>Baffinland Iron Mines Corporation: Mary River Project</t>
  </si>
  <si>
    <t>H349000</t>
  </si>
  <si>
    <t>Identification</t>
  </si>
  <si>
    <t>Technical</t>
  </si>
  <si>
    <t>Procurement</t>
  </si>
  <si>
    <t>Design Data</t>
  </si>
  <si>
    <t>Supp. Information</t>
  </si>
  <si>
    <t>Diagrams</t>
  </si>
  <si>
    <t>X</t>
  </si>
  <si>
    <t>Rev</t>
  </si>
  <si>
    <t>EWP</t>
  </si>
  <si>
    <t xml:space="preserve"> CWP</t>
  </si>
  <si>
    <t>Tag No</t>
  </si>
  <si>
    <t>Equip Type</t>
  </si>
  <si>
    <t>Part of</t>
  </si>
  <si>
    <t>Const. Type</t>
  </si>
  <si>
    <t>Eng/Data Status</t>
  </si>
  <si>
    <t>Package Eng</t>
  </si>
  <si>
    <t>Design Code</t>
  </si>
  <si>
    <t>Dimension l x w x h</t>
  </si>
  <si>
    <t>Dry Wgt (kg)</t>
  </si>
  <si>
    <t>Contractor</t>
  </si>
  <si>
    <t>Operating Mode</t>
  </si>
  <si>
    <t>Design Capacity</t>
  </si>
  <si>
    <t>Design Load (kW)</t>
  </si>
  <si>
    <t>Remarks</t>
  </si>
  <si>
    <t>PFD No.</t>
  </si>
  <si>
    <t>Enquiry No</t>
  </si>
  <si>
    <t>Manufacturer
/ Model No.</t>
  </si>
  <si>
    <t>Sealift</t>
  </si>
  <si>
    <t>Name Plate</t>
  </si>
  <si>
    <t>PID No.</t>
  </si>
  <si>
    <t>Emergency Required (Y/N)</t>
  </si>
  <si>
    <t>Datasheet No.</t>
  </si>
  <si>
    <t>Level</t>
  </si>
  <si>
    <t xml:space="preserve">0 </t>
  </si>
  <si>
    <t xml:space="preserve">502-2000 </t>
  </si>
  <si>
    <t xml:space="preserve">2140 </t>
  </si>
  <si>
    <t>2140-MO-001</t>
  </si>
  <si>
    <t xml:space="preserve">PICKUP TRUCK </t>
  </si>
  <si>
    <t xml:space="preserve">MOBILE EQUIPMENT </t>
  </si>
  <si>
    <t xml:space="preserve">  </t>
  </si>
  <si>
    <t xml:space="preserve">NEW </t>
  </si>
  <si>
    <t xml:space="preserve">CERTIFIED FINAL </t>
  </si>
  <si>
    <t xml:space="preserve">GRAHAM BURTON </t>
  </si>
  <si>
    <t xml:space="preserve">L: 6274 
W: 2665 
H: 2032 </t>
  </si>
  <si>
    <t xml:space="preserve">6350 
</t>
  </si>
  <si>
    <t xml:space="preserve">INTERMITTENT </t>
  </si>
  <si>
    <t xml:space="preserve">3300 KG PAYLOAD </t>
  </si>
  <si>
    <t>/
/
/</t>
  </si>
  <si>
    <t xml:space="preserve">PM111 </t>
  </si>
  <si>
    <t xml:space="preserve">FORD F350 </t>
  </si>
  <si>
    <t xml:space="preserve">2013 </t>
  </si>
  <si>
    <t>2140-MO-002</t>
  </si>
  <si>
    <t>2140-MO-003</t>
  </si>
  <si>
    <t>2140-MO-004</t>
  </si>
  <si>
    <t xml:space="preserve">2142 </t>
  </si>
  <si>
    <t>2142-MO-001</t>
  </si>
  <si>
    <t>STOCKPILE FRONT END LOADER</t>
  </si>
  <si>
    <t xml:space="preserve">USED </t>
  </si>
  <si>
    <t xml:space="preserve">PRELIMINARY </t>
  </si>
  <si>
    <t xml:space="preserve">TOROMONT </t>
  </si>
  <si>
    <t xml:space="preserve">L: 10390 
W: 3600 
H: 4115 </t>
  </si>
  <si>
    <t xml:space="preserve">43400 
</t>
  </si>
  <si>
    <t xml:space="preserve">4.5 - 5.4 M3 BUCKET </t>
  </si>
  <si>
    <t xml:space="preserve">2014 SEALIFT </t>
  </si>
  <si>
    <t>H349000-2340-05-030-0001 
/
/</t>
  </si>
  <si>
    <t xml:space="preserve">PM102 </t>
  </si>
  <si>
    <t xml:space="preserve">CAT 988H </t>
  </si>
  <si>
    <t xml:space="preserve">2014 </t>
  </si>
  <si>
    <t>2142-MO-002</t>
  </si>
  <si>
    <t>2142-MO-003</t>
  </si>
  <si>
    <t xml:space="preserve">ETA JULY 25, 2013 </t>
  </si>
  <si>
    <t>2142-MO-004</t>
  </si>
  <si>
    <t>2142-MO-005</t>
  </si>
  <si>
    <t xml:space="preserve">WITH 96" FORKS AND QUICK COUPLER </t>
  </si>
  <si>
    <t>2142-MO-006</t>
  </si>
  <si>
    <t>2142-MO-009</t>
  </si>
  <si>
    <t>NIGHT WORK AREA LIGHT PLANTS</t>
  </si>
  <si>
    <t xml:space="preserve">L: 4623 
W: 2007 
H: 9000 </t>
  </si>
  <si>
    <t xml:space="preserve">925 
</t>
  </si>
  <si>
    <t xml:space="preserve">4000W </t>
  </si>
  <si>
    <t>/
10.8 hp 
No</t>
  </si>
  <si>
    <t xml:space="preserve">4 X 1000W LIGHTS </t>
  </si>
  <si>
    <t xml:space="preserve">PM106 </t>
  </si>
  <si>
    <t xml:space="preserve">TEREX AL4 </t>
  </si>
  <si>
    <t>2142-MO-010</t>
  </si>
  <si>
    <t>2142-MO-011</t>
  </si>
  <si>
    <t>2142-MO-012</t>
  </si>
  <si>
    <t>2142-MO-013</t>
  </si>
  <si>
    <t>2142-MO-014</t>
  </si>
  <si>
    <t>2142-MO-015</t>
  </si>
  <si>
    <t>2142-MO-016</t>
  </si>
  <si>
    <t>2142-MO-017</t>
  </si>
  <si>
    <t>2142-MO-018</t>
  </si>
  <si>
    <t>2142-MO-019</t>
  </si>
  <si>
    <t>CONVEYOR CLEANUP/SNOW REMOVAL ALL TERRAIN LOADER</t>
  </si>
  <si>
    <t xml:space="preserve">L: 3277 
W: 1676 
H: 3810 </t>
  </si>
  <si>
    <t xml:space="preserve">3175 
</t>
  </si>
  <si>
    <t xml:space="preserve">885 KG OPERATING LOAD </t>
  </si>
  <si>
    <t xml:space="preserve">C/W QUICK COUPLER, BUCKETS AND FORKS </t>
  </si>
  <si>
    <t xml:space="preserve">CAT 247B </t>
  </si>
  <si>
    <t>2142-MO-020</t>
  </si>
  <si>
    <t xml:space="preserve">2143 </t>
  </si>
  <si>
    <t>2143-MO-002</t>
  </si>
  <si>
    <t>SITE MAINTENANCE GRADER</t>
  </si>
  <si>
    <t xml:space="preserve">L: 9412 
W: 2791 
H: 3535 </t>
  </si>
  <si>
    <t xml:space="preserve">24400 
</t>
  </si>
  <si>
    <t xml:space="preserve">2.28 M MAX SHOULDER REACH </t>
  </si>
  <si>
    <t xml:space="preserve">2009, 16FT BLADE </t>
  </si>
  <si>
    <t xml:space="preserve">CAT 14M </t>
  </si>
  <si>
    <t>2143-MO-003</t>
  </si>
  <si>
    <t>SITE MAINTENANCE TRACK DOZER</t>
  </si>
  <si>
    <t xml:space="preserve">L: 4064 
W: 2464 
H: 2439 </t>
  </si>
  <si>
    <t xml:space="preserve">21600 
</t>
  </si>
  <si>
    <t xml:space="preserve">NUNA 
</t>
  </si>
  <si>
    <t xml:space="preserve">CAT D6T XW </t>
  </si>
  <si>
    <t>2143-MO-004</t>
  </si>
  <si>
    <t>PLANT AND MOBILE EQUIPMENT MAINTENANCE SERVICE TRUCK</t>
  </si>
  <si>
    <t xml:space="preserve">L: 7264 
W: 2418 
H: 2022 </t>
  </si>
  <si>
    <t xml:space="preserve">7300 
</t>
  </si>
  <si>
    <t xml:space="preserve">7000 LB TELESCOPING CRANE; 11  </t>
  </si>
  <si>
    <t xml:space="preserve">VMAC CRANE </t>
  </si>
  <si>
    <t xml:space="preserve">PM130 </t>
  </si>
  <si>
    <t xml:space="preserve">FORD F550 </t>
  </si>
  <si>
    <t>2143-MO-005</t>
  </si>
  <si>
    <t xml:space="preserve">10000# TELESCOPIC CRANE; AIR COMPRESSOR </t>
  </si>
  <si>
    <t xml:space="preserve">PETERBILT 348 </t>
  </si>
  <si>
    <t>2143-MO-006</t>
  </si>
  <si>
    <t>SITE MAINTENANCE SMALL LOADER</t>
  </si>
  <si>
    <t xml:space="preserve">L: 6050 
W: 2390 
H: 3150 </t>
  </si>
  <si>
    <t xml:space="preserve">9600 
</t>
  </si>
  <si>
    <t xml:space="preserve">1.3 M3 BUCKET </t>
  </si>
  <si>
    <t xml:space="preserve">QUICK COUPLERS/BUCKETS/FORKS </t>
  </si>
  <si>
    <t xml:space="preserve">CAT 930K </t>
  </si>
  <si>
    <t>2143-MO-007</t>
  </si>
  <si>
    <t>SITE MAINTENANCE MID SIZE EXCAVATOR</t>
  </si>
  <si>
    <t xml:space="preserve">L: 11910 
W: 3490 
H: 3770 </t>
  </si>
  <si>
    <t xml:space="preserve">45000 
</t>
  </si>
  <si>
    <t xml:space="preserve">345 HP, 3.5 M3 BUCKET </t>
  </si>
  <si>
    <t xml:space="preserve">CAT 345DL </t>
  </si>
  <si>
    <t>2143-MO-008</t>
  </si>
  <si>
    <t>MAINTENANCE FUEL/LUBE TRUCK</t>
  </si>
  <si>
    <t xml:space="preserve">1000 GAL FUEL TANK; 7 PRODUCT  </t>
  </si>
  <si>
    <t xml:space="preserve">1000 GAL FUEL TANK; 7 PRODUCT TANKS; HEATED PRESSURIZED HOUSE </t>
  </si>
  <si>
    <t>H349000-2540-05-030-0001 
/
/</t>
  </si>
  <si>
    <t xml:space="preserve">KENWORTH T800 </t>
  </si>
  <si>
    <t>2143-MO-009</t>
  </si>
  <si>
    <t>MINE/TOTE ROAD MAINTENANCE PLOW/SAND TRUCK</t>
  </si>
  <si>
    <t xml:space="preserve">TENCO CHASSIS MOUNT SPREADER; ONE WAY PLOW; RIGHT HAND SIDE DISCHARGE </t>
  </si>
  <si>
    <t xml:space="preserve">PM131 </t>
  </si>
  <si>
    <t xml:space="preserve">WESTERN STAR 4700 SF </t>
  </si>
  <si>
    <t>2143-MO-011</t>
  </si>
  <si>
    <t>SITE DEWATERING PUMP</t>
  </si>
  <si>
    <t xml:space="preserve">L: 2057 
W: 979 
H: 1510 </t>
  </si>
  <si>
    <t xml:space="preserve">834 
</t>
  </si>
  <si>
    <t xml:space="preserve">4" </t>
  </si>
  <si>
    <t>/
/
No</t>
  </si>
  <si>
    <t xml:space="preserve">DIESEL C/W TRAILER AND SPILL KIT </t>
  </si>
  <si>
    <t xml:space="preserve">GORMAN-RUPP 14C2-F3L </t>
  </si>
  <si>
    <t>2143-MO-012</t>
  </si>
  <si>
    <t>2143-MO-013</t>
  </si>
  <si>
    <t>MAINTENANCE HOT BOX</t>
  </si>
  <si>
    <t xml:space="preserve">SANJAY DAHIYA </t>
  </si>
  <si>
    <t xml:space="preserve">L: 4877 
W: 2235 
H: 1829 </t>
  </si>
  <si>
    <t xml:space="preserve">1850 
</t>
  </si>
  <si>
    <t xml:space="preserve">1100000 BTU/H </t>
  </si>
  <si>
    <t xml:space="preserve">PM104 </t>
  </si>
  <si>
    <t xml:space="preserve">ECOBLAZE CUBE 1100 </t>
  </si>
  <si>
    <t>2143-MO-014</t>
  </si>
  <si>
    <t>2143-MO-015</t>
  </si>
  <si>
    <t>MAINTENANCE TRAILER WELDER</t>
  </si>
  <si>
    <t>2143-MO-016</t>
  </si>
  <si>
    <t>FREIGHT TELEHANDLER</t>
  </si>
  <si>
    <t xml:space="preserve">L: 6100 
W: 2570 
H: 2570 </t>
  </si>
  <si>
    <t xml:space="preserve">15800 
</t>
  </si>
  <si>
    <t xml:space="preserve">4500 KG CAPACITY </t>
  </si>
  <si>
    <t xml:space="preserve">CAT TH514 </t>
  </si>
  <si>
    <t>2143-MO-017</t>
  </si>
  <si>
    <t>TOTE ROAD MAINTENANCE GRADER</t>
  </si>
  <si>
    <t xml:space="preserve">2009 - WITH SNOW WINGS </t>
  </si>
  <si>
    <t>2143-MO-018</t>
  </si>
  <si>
    <t xml:space="preserve">WITH NEW CRAIG SNOW WINGS </t>
  </si>
  <si>
    <t>2143-MO-019</t>
  </si>
  <si>
    <t>2143-MO-020</t>
  </si>
  <si>
    <t>TOTE ROAD MAINTENANCE COMPACTOR</t>
  </si>
  <si>
    <t xml:space="preserve">L: 5860 
W: 2300 
H: 3070 </t>
  </si>
  <si>
    <t xml:space="preserve">12250 
</t>
  </si>
  <si>
    <t xml:space="preserve">DRUM WIDTH: 2140 MM; DRUM DIA: </t>
  </si>
  <si>
    <t xml:space="preserve">PURCHASED FROM NUNA </t>
  </si>
  <si>
    <t xml:space="preserve">CAT CS56 </t>
  </si>
  <si>
    <t>2143-MO-021</t>
  </si>
  <si>
    <t>TOTE ROAD MAINTENANCE PLOW/SAND TRUCK</t>
  </si>
  <si>
    <t>2143-MO-022</t>
  </si>
  <si>
    <t>TOTE ROAD MAINTENANCE MID SIZE EXCAVATOR</t>
  </si>
  <si>
    <t xml:space="preserve">CAT 345DL HEX </t>
  </si>
  <si>
    <t>2143-MO-023</t>
  </si>
  <si>
    <t xml:space="preserve">ROAD SNOW BLOWER </t>
  </si>
  <si>
    <t xml:space="preserve">L: 6170 
W: 2410 
H: 3320 </t>
  </si>
  <si>
    <t xml:space="preserve">18338 
</t>
  </si>
  <si>
    <t xml:space="preserve">WITH SNOW BLOWER ATTACHMENTS </t>
  </si>
  <si>
    <t xml:space="preserve">C/W VOHL MODEL DV400 SNOW BLOWER </t>
  </si>
  <si>
    <t xml:space="preserve">CAT 950H </t>
  </si>
  <si>
    <t>2143-MO-024</t>
  </si>
  <si>
    <t xml:space="preserve">MINI CRAWLER CRANE </t>
  </si>
  <si>
    <t xml:space="preserve">2.9 T </t>
  </si>
  <si>
    <t xml:space="preserve">DIESEL/ELECTRIC </t>
  </si>
  <si>
    <t xml:space="preserve">PM116 </t>
  </si>
  <si>
    <t xml:space="preserve">SPYDER CRANE URW295 </t>
  </si>
  <si>
    <t>2143-MO-025</t>
  </si>
  <si>
    <t xml:space="preserve">FORKLIFT </t>
  </si>
  <si>
    <t xml:space="preserve">L: 2540 
W: 1300 
H: 2540 </t>
  </si>
  <si>
    <t xml:space="preserve">4800 
</t>
  </si>
  <si>
    <t xml:space="preserve">3500 KG </t>
  </si>
  <si>
    <t xml:space="preserve">DIESEL </t>
  </si>
  <si>
    <t xml:space="preserve">MITSUBISHI FD35N </t>
  </si>
  <si>
    <t>2143-MO-026</t>
  </si>
  <si>
    <t xml:space="preserve">SPILL RESPONSE TRUCK </t>
  </si>
  <si>
    <t xml:space="preserve">ROLL UP DOORS ON THE SIDE; 10 DOORS; 12 COMPARTMENTS </t>
  </si>
  <si>
    <t xml:space="preserve">STERLING M8500 </t>
  </si>
  <si>
    <t>2143-MO-027</t>
  </si>
  <si>
    <t xml:space="preserve">L: 3305 
W: 1460 
H: 2400 </t>
  </si>
  <si>
    <t xml:space="preserve">7160 
</t>
  </si>
  <si>
    <t xml:space="preserve">5000 KG </t>
  </si>
  <si>
    <t xml:space="preserve">CAT DP50K </t>
  </si>
  <si>
    <t>2143-MO-028</t>
  </si>
  <si>
    <t xml:space="preserve">L: 2000 
W: 1100 
H: 2040 </t>
  </si>
  <si>
    <t xml:space="preserve">3330 
</t>
  </si>
  <si>
    <t xml:space="preserve">3880 KG </t>
  </si>
  <si>
    <t xml:space="preserve">ELECTRIC </t>
  </si>
  <si>
    <t xml:space="preserve">CAT 2ET4000 </t>
  </si>
  <si>
    <t xml:space="preserve">2144 </t>
  </si>
  <si>
    <t>2144-MO-001</t>
  </si>
  <si>
    <t xml:space="preserve">WATER TRUCK </t>
  </si>
  <si>
    <t xml:space="preserve">4000 GAL </t>
  </si>
  <si>
    <t xml:space="preserve">TANDEM AXLE; INSULATED STAINLESS STEEL TANK; 3" PUMP </t>
  </si>
  <si>
    <t>H349000-4720-05-030-0001/H349000-2720-05-030-0001 
/
/</t>
  </si>
  <si>
    <t xml:space="preserve">PM101 </t>
  </si>
  <si>
    <t xml:space="preserve">PETERBILT 348 AUTO S/S 100 BBL </t>
  </si>
  <si>
    <t>2144-MO-002</t>
  </si>
  <si>
    <t>CONTAINER HANDLER</t>
  </si>
  <si>
    <t xml:space="preserve">L: 11684 
W: 3454 
H: 2146 </t>
  </si>
  <si>
    <t xml:space="preserve">72000 
</t>
  </si>
  <si>
    <t xml:space="preserve">50 TON CAPACITY </t>
  </si>
  <si>
    <t xml:space="preserve">CAPABLE OF 20' &amp; 40' ISO CONTAINERS </t>
  </si>
  <si>
    <t xml:space="preserve">KALMAR DRF 450-6555 </t>
  </si>
  <si>
    <t>2144-MO-003</t>
  </si>
  <si>
    <t>PASSENGER TRANSFER BUS</t>
  </si>
  <si>
    <t xml:space="preserve">L: 12192 
W: 2440 
H: 2900 </t>
  </si>
  <si>
    <t xml:space="preserve">14000 
</t>
  </si>
  <si>
    <t xml:space="preserve">48 PASSENGER; 2 WHEEL DRIVE </t>
  </si>
  <si>
    <t xml:space="preserve">BLUE BIRD BBCV DIESEL 3507A </t>
  </si>
  <si>
    <t>2144-MO-004</t>
  </si>
  <si>
    <t>WORKER TRANSFER MINI BUS</t>
  </si>
  <si>
    <t xml:space="preserve">L: 7470 
W: 2440 
H: 1930 </t>
  </si>
  <si>
    <t xml:space="preserve">7080 
</t>
  </si>
  <si>
    <t xml:space="preserve">24 PASSENGER; 2 WHEEL DRIVE </t>
  </si>
  <si>
    <t xml:space="preserve">BLUE BIRD BBCV DIESEL 1910 A </t>
  </si>
  <si>
    <t>2144-MO-005</t>
  </si>
  <si>
    <t xml:space="preserve">WATER DELIVERY TRUCK </t>
  </si>
  <si>
    <t xml:space="preserve">5400 GAL </t>
  </si>
  <si>
    <t xml:space="preserve">367 TRI-DRIVE W/ 36" SLEEPER; TRI-AXLE; INSULATED TANK; CAPABLE OF PULLING 5400 GAL PUP TRAILER </t>
  </si>
  <si>
    <t>H349000-2720-05-030-0001 
/
/</t>
  </si>
  <si>
    <t xml:space="preserve">PETERBILT 367 TRI-DRIVE  </t>
  </si>
  <si>
    <t>2144-MO-006</t>
  </si>
  <si>
    <t>MILNE/MR FREIGHT HAUL TRACTOR</t>
  </si>
  <si>
    <t xml:space="preserve">W/ WET KIT; HEADACHE RACK; FENDERS </t>
  </si>
  <si>
    <t xml:space="preserve">PM135 </t>
  </si>
  <si>
    <t xml:space="preserve">PETERBILT 367 </t>
  </si>
  <si>
    <t>2144-MO-007</t>
  </si>
  <si>
    <t>2144-MO-008</t>
  </si>
  <si>
    <t>2144-MO-009</t>
  </si>
  <si>
    <t>MILNE/MR FREIGHT HAUL HIBOY TRAILER</t>
  </si>
  <si>
    <t xml:space="preserve">L: 12192 
W: 2438 
</t>
  </si>
  <si>
    <t xml:space="preserve">20' AND 40' ISO CONTIANER CAPA </t>
  </si>
  <si>
    <t xml:space="preserve">CAPABLE OF CARRYING 20' AND 40' ISO SEA CONTAINERS </t>
  </si>
  <si>
    <t xml:space="preserve">PM143 </t>
  </si>
  <si>
    <t>2144-MO-010</t>
  </si>
  <si>
    <t>2144-MO-011</t>
  </si>
  <si>
    <t>2144-MO-012</t>
  </si>
  <si>
    <t>SEWAGE HOLDING TANK SKID MOUNTED VACUUM UNIT</t>
  </si>
  <si>
    <t xml:space="preserve">14-17 TPH (BULK); 1000 L/MIN ( </t>
  </si>
  <si>
    <t xml:space="preserve">12 M3 CONTAINER CAPACITY; SKID MOUNTED SYSTEM </t>
  </si>
  <si>
    <t>H349000-4720-05-030-0002/H349000-2731-05-030-0001 
/
/</t>
  </si>
  <si>
    <t xml:space="preserve">PM132 </t>
  </si>
  <si>
    <t>TEXLA</t>
  </si>
  <si>
    <t>2144-MO-013</t>
  </si>
  <si>
    <t xml:space="preserve">GARBAGE TRUCK </t>
  </si>
  <si>
    <t xml:space="preserve">CAPABLE OF 20-30 M3 GARBAGE BI </t>
  </si>
  <si>
    <t xml:space="preserve">60,000# ROLL ON-ROLL OFF HYRDAULIC TYPE </t>
  </si>
  <si>
    <t xml:space="preserve">PETERBILT 365 </t>
  </si>
  <si>
    <t>2144-MO-014</t>
  </si>
  <si>
    <t xml:space="preserve">GARBAGE BIN - LARGE </t>
  </si>
  <si>
    <t xml:space="preserve">30 M3 </t>
  </si>
  <si>
    <t>2144-MO-015</t>
  </si>
  <si>
    <t>2144-MO-016</t>
  </si>
  <si>
    <t>2144-MO-017</t>
  </si>
  <si>
    <t>2144-MO-018</t>
  </si>
  <si>
    <t xml:space="preserve">GARBAGE BIN - SMALL </t>
  </si>
  <si>
    <t xml:space="preserve">20 M3 </t>
  </si>
  <si>
    <t>2144-MO-019</t>
  </si>
  <si>
    <t>2144-MO-025</t>
  </si>
  <si>
    <t>WILDLIFE DETERGENT GARBAGE BIN</t>
  </si>
  <si>
    <t xml:space="preserve">6 M3 </t>
  </si>
  <si>
    <t xml:space="preserve">HYDRAULIC ASSISTEDS, SELF LOCKING LIDS </t>
  </si>
  <si>
    <t>2144-MO-026</t>
  </si>
  <si>
    <t>2144-MO-027</t>
  </si>
  <si>
    <t>2144-MO-030</t>
  </si>
  <si>
    <t>HEATED/REFRIGERATED SEA CONTAINER</t>
  </si>
  <si>
    <t xml:space="preserve">L: 6096 
W: 2440 
H: 2440 </t>
  </si>
  <si>
    <t xml:space="preserve">CONTINUOUS </t>
  </si>
  <si>
    <t xml:space="preserve">20 FOOT SEA CAN </t>
  </si>
  <si>
    <t xml:space="preserve">20 FT SEA CONTAINER; INSULATED; CAN PROVIDE HEAT TO 12 C </t>
  </si>
  <si>
    <t xml:space="preserve">PM107 </t>
  </si>
  <si>
    <t>2144-MO-031</t>
  </si>
  <si>
    <t>2144-MO-032</t>
  </si>
  <si>
    <t>REFRIGERATED SEA CONTAINER</t>
  </si>
  <si>
    <t xml:space="preserve">20 FT CONTAINER </t>
  </si>
  <si>
    <t>2144-MO-033</t>
  </si>
  <si>
    <t>2144-MO-034</t>
  </si>
  <si>
    <t>2144-MO-035</t>
  </si>
  <si>
    <t>2144-MO-036</t>
  </si>
  <si>
    <t>2144-MO-037</t>
  </si>
  <si>
    <t>2144-MO-038</t>
  </si>
  <si>
    <t xml:space="preserve">2340 </t>
  </si>
  <si>
    <t>2340-GE-001</t>
  </si>
  <si>
    <t>STOCKPILE GENERATOR</t>
  </si>
  <si>
    <t xml:space="preserve">GENERATOR </t>
  </si>
  <si>
    <t xml:space="preserve">BRIAN PERKINS </t>
  </si>
  <si>
    <t xml:space="preserve">L: 6070 
W: 2440 
H: 3760 </t>
  </si>
  <si>
    <t xml:space="preserve">29440 
</t>
  </si>
  <si>
    <t xml:space="preserve">STANDBY </t>
  </si>
  <si>
    <t xml:space="preserve">3214 L FUEL TANK </t>
  </si>
  <si>
    <t>/
670 hp 
No</t>
  </si>
  <si>
    <t xml:space="preserve">DIMENSIONS INCLUDE TRAILER </t>
  </si>
  <si>
    <t xml:space="preserve">PE001 </t>
  </si>
  <si>
    <t xml:space="preserve">CUMMINS C500DR6G </t>
  </si>
  <si>
    <t>2340-GE-002</t>
  </si>
  <si>
    <t>2340-GE-003</t>
  </si>
  <si>
    <t>2340-GE-004</t>
  </si>
  <si>
    <t>2340-GE-005</t>
  </si>
  <si>
    <t>2340-GE-006</t>
  </si>
  <si>
    <t>2341-FE-003</t>
  </si>
  <si>
    <t>FINES STOCKPILE MOBILE FEEDER</t>
  </si>
  <si>
    <t xml:space="preserve">FEEDER </t>
  </si>
  <si>
    <t xml:space="preserve">FINAL </t>
  </si>
  <si>
    <t xml:space="preserve">DESIGN: 500 TPH </t>
  </si>
  <si>
    <t>/
135 hp 
No</t>
  </si>
  <si>
    <t xml:space="preserve">NOMINAL: 375 TPH </t>
  </si>
  <si>
    <t xml:space="preserve">PM001 </t>
  </si>
  <si>
    <t xml:space="preserve">MASABA MINING EQUIPMENT </t>
  </si>
  <si>
    <t>2341-FE-004</t>
  </si>
  <si>
    <t>LUMPS STOCKPILE MOBILE FEEDER</t>
  </si>
  <si>
    <t>2341-FE-005</t>
  </si>
  <si>
    <t>2341-ST-006</t>
  </si>
  <si>
    <t>LUMPS STOCKPILE MOBILE STACKER</t>
  </si>
  <si>
    <t xml:space="preserve">STACKER / STOCKPILE </t>
  </si>
  <si>
    <t xml:space="preserve">DESIGN: 662 TPH </t>
  </si>
  <si>
    <t>/
25 hp 
No</t>
  </si>
  <si>
    <t xml:space="preserve">BELT SPEED 350 FPM @ 18 DEGREES </t>
  </si>
  <si>
    <t>2341-ST-007</t>
  </si>
  <si>
    <t>2341-ST-008</t>
  </si>
  <si>
    <t>FINES STOCKPILE MOBILE STACKER</t>
  </si>
  <si>
    <t>2342-CH-015</t>
  </si>
  <si>
    <t>RECLAIM CONVEYOR DISCHARGE CHUTE</t>
  </si>
  <si>
    <t xml:space="preserve">CHUTE / DIVERTER </t>
  </si>
  <si>
    <t xml:space="preserve">DESIGN: 6000 TPH </t>
  </si>
  <si>
    <t xml:space="preserve">NOMINAL: 4500 TPH </t>
  </si>
  <si>
    <t xml:space="preserve">PM002 </t>
  </si>
  <si>
    <t xml:space="preserve">FAM </t>
  </si>
  <si>
    <t>2342-CH-026</t>
  </si>
  <si>
    <t>RECLAIM CONVEYOR MOBILE CHUTE</t>
  </si>
  <si>
    <t>2342-CH-027</t>
  </si>
  <si>
    <t>2342-CH-028</t>
  </si>
  <si>
    <t>2342-CH-029</t>
  </si>
  <si>
    <t>RECLAIM CONVEYOR</t>
  </si>
  <si>
    <t xml:space="preserve">CONVEYING </t>
  </si>
  <si>
    <t xml:space="preserve">L: 850000 
W: 1524 
H: 47000 VERTICAL LIFT </t>
  </si>
  <si>
    <t xml:space="preserve">SEE REMARKS 
</t>
  </si>
  <si>
    <t>/
3090 hp 
No</t>
  </si>
  <si>
    <t xml:space="preserve">NOMINAL: 4500 TPH; INSTALLED DRY WEIGHT = 1032700 KG; GALLERY WEIGHT = 411400 </t>
  </si>
  <si>
    <t xml:space="preserve">RECLAIM CONVEYOR </t>
  </si>
  <si>
    <t xml:space="preserve">2342-CV-001 </t>
  </si>
  <si>
    <t>/
3090 hp 
/</t>
  </si>
  <si>
    <t>PM002</t>
  </si>
  <si>
    <t>2342-CV-023</t>
  </si>
  <si>
    <t xml:space="preserve">JUMP CONVEYOR </t>
  </si>
  <si>
    <t>2342-CV-024</t>
  </si>
  <si>
    <t>2342-CV-025</t>
  </si>
  <si>
    <t>2342-CV-030</t>
  </si>
  <si>
    <t>2342-CV-031</t>
  </si>
  <si>
    <t>2342-CV-032</t>
  </si>
  <si>
    <t>2342-FE-002</t>
  </si>
  <si>
    <t>MOBILE FEEDER</t>
  </si>
  <si>
    <t xml:space="preserve">DESIGN: 2500 TPH </t>
  </si>
  <si>
    <t xml:space="preserve">NOMINAL: 1800 TPH </t>
  </si>
  <si>
    <t>2342-FE-003</t>
  </si>
  <si>
    <t>2342-FE-004</t>
  </si>
  <si>
    <t xml:space="preserve">SAMPLER BIN </t>
  </si>
  <si>
    <t xml:space="preserve">HOPPER </t>
  </si>
  <si>
    <t>2342-SA-019</t>
  </si>
  <si>
    <t>ORE SAMPLER</t>
  </si>
  <si>
    <t xml:space="preserve">SAMPLER </t>
  </si>
  <si>
    <t xml:space="preserve">L: N/A 
W: N/A 
H: N/A </t>
  </si>
  <si>
    <t>/
33 hp 
No</t>
  </si>
  <si>
    <t xml:space="preserve">WEIGHTS AND DIMENSIONS TO BE AVAILABLE DURING DETAILED ENGINEERING </t>
  </si>
  <si>
    <t>2342-SC-018</t>
  </si>
  <si>
    <t>BELT SCALE</t>
  </si>
  <si>
    <t xml:space="preserve">SCREEN </t>
  </si>
  <si>
    <t>SHIPLOADER PROPORTIONAL GATE</t>
  </si>
  <si>
    <t>H349000-2350-05-030-0001 
/
/</t>
  </si>
  <si>
    <t>SHIPLOADING PROPORTIONAL DIVERTER DISCHARGE CHUTE</t>
  </si>
  <si>
    <t xml:space="preserve">DESIGN: 3500 TPH </t>
  </si>
  <si>
    <t xml:space="preserve">NOMINAL: 2250 TPH </t>
  </si>
  <si>
    <t>SHIPLOADER DISCHARGE CHUTE</t>
  </si>
  <si>
    <t>SHIPLOADER LINK CONVEYOR DISCHARGE CHUTE</t>
  </si>
  <si>
    <t>SHIPLOADER LINK CONVEYOR</t>
  </si>
  <si>
    <t xml:space="preserve">212330 
</t>
  </si>
  <si>
    <t>/
161.53 hp 
No</t>
  </si>
  <si>
    <t xml:space="preserve">NOMINAL: 2250 TPH; WEIGHT INCLUDES CONVEYOR + TRUSS STRUCTURE + MIDDLE COLUMN + DIVIDER CHUTE </t>
  </si>
  <si>
    <t xml:space="preserve">SHIPLOADER LINK CONVEYOR DRIVE </t>
  </si>
  <si>
    <t xml:space="preserve">2351-CV-007 </t>
  </si>
  <si>
    <t>/
125 hp 
/</t>
  </si>
  <si>
    <t xml:space="preserve">SHIPLOADER LINK CONVEYOR BRAKE </t>
  </si>
  <si>
    <t>/
0.68 hp 
/</t>
  </si>
  <si>
    <t xml:space="preserve">SHIPLOADER LINK CONVEYOR DIVIDER CHUTE MOVING SADDLE </t>
  </si>
  <si>
    <t>/
3.65 hp 
/</t>
  </si>
  <si>
    <t xml:space="preserve">SHIPLOADER LINK CONVEYOR DEDUSTING SYSTEM FAN </t>
  </si>
  <si>
    <t>/
14.8 hp 
/</t>
  </si>
  <si>
    <t xml:space="preserve">SHIPLOADER LINK CONVEYOR DEDUSTING SYSTEM COMPRESSOR </t>
  </si>
  <si>
    <t>/
5.4 hp 
/</t>
  </si>
  <si>
    <t xml:space="preserve">SHIPLOADER LINK CONVEYOR MAINTENANCE WINCH </t>
  </si>
  <si>
    <t>/
6 hp 
/</t>
  </si>
  <si>
    <t xml:space="preserve">SHIPLOADER </t>
  </si>
  <si>
    <t xml:space="preserve">1960000 
</t>
  </si>
  <si>
    <t xml:space="preserve">29M MAX RADIUS; 6000 TPH DESIG </t>
  </si>
  <si>
    <t>/
645.24 hp 
No</t>
  </si>
  <si>
    <t xml:space="preserve">SHIPLOADER BOOM CONVEYOR DRIVE </t>
  </si>
  <si>
    <t xml:space="preserve">2351-SL-001 </t>
  </si>
  <si>
    <t>/
90 hp 
/</t>
  </si>
  <si>
    <t xml:space="preserve">SPOT </t>
  </si>
  <si>
    <t>/
7 hp 
/</t>
  </si>
  <si>
    <t xml:space="preserve">FEEDER CABIN </t>
  </si>
  <si>
    <t>/
84 hp 
/</t>
  </si>
  <si>
    <t xml:space="preserve">SHIPLOADER BOOM CONVEYOR BRAKE </t>
  </si>
  <si>
    <t xml:space="preserve">SHIPLOADER HOISTING WINCH DRIVE TELESCOPIC CHUTE </t>
  </si>
  <si>
    <t>/
60 hp 
/</t>
  </si>
  <si>
    <t xml:space="preserve">SHIPLOADER SLEWING DRIVE </t>
  </si>
  <si>
    <t>/
12 hp 
/</t>
  </si>
  <si>
    <t xml:space="preserve">SHIPLOADER SLEWING DRIVE BRAKE </t>
  </si>
  <si>
    <t xml:space="preserve">SHIPLOADER SLEWING DRIVE TRIMMING SPOON </t>
  </si>
  <si>
    <t>/
1.2 hp 
/</t>
  </si>
  <si>
    <t xml:space="preserve">SHIPLOADER LUFFING DRIVE TRIMMING SPOON </t>
  </si>
  <si>
    <t>/
5.5 hp 
/</t>
  </si>
  <si>
    <t xml:space="preserve">SHIPLOADER SHUTTLE DRIVE DISCHARGE CONVEYOR </t>
  </si>
  <si>
    <t>/
48.2 hp 
/</t>
  </si>
  <si>
    <t xml:space="preserve">SHIPLOADER SHUTTLE DRIVE FAN </t>
  </si>
  <si>
    <t xml:space="preserve">SHIPLOADER CENTRAL LUBE SYSTEM </t>
  </si>
  <si>
    <t>/
0.5 hp 
/</t>
  </si>
  <si>
    <t xml:space="preserve">SHIPLOADER PINION LUBE SYSTEM </t>
  </si>
  <si>
    <t xml:space="preserve">SHIPLOADER DEDUSTING SYSTEM FAN </t>
  </si>
  <si>
    <t xml:space="preserve">SHIPLOADER DEDUSTING SYSTEM COMPRESSOR </t>
  </si>
  <si>
    <t>/
8.8 hp 
/</t>
  </si>
  <si>
    <t>/
20.3 hp 
/</t>
  </si>
  <si>
    <t xml:space="preserve">SHIPLOADER MAINTENANCE WINCH </t>
  </si>
  <si>
    <t xml:space="preserve">AIR CONDITIONER E-HOUSE </t>
  </si>
  <si>
    <t xml:space="preserve">HEATER E-HOUSE </t>
  </si>
  <si>
    <t>/
54 hp 
/</t>
  </si>
  <si>
    <t xml:space="preserve">DUST COLLECTOR E-HOUSE </t>
  </si>
  <si>
    <t>/
40 hp 
/</t>
  </si>
  <si>
    <t xml:space="preserve">WELDING RECEPTACLE </t>
  </si>
  <si>
    <t>/
80 hp 
/</t>
  </si>
  <si>
    <t xml:space="preserve">HEATER/ILLUMINATION OUTDOOR/INDOOR SWITCH GEAR </t>
  </si>
  <si>
    <t>/
27 hp 
/</t>
  </si>
  <si>
    <t>/
1557.64 hp 
No</t>
  </si>
  <si>
    <t xml:space="preserve">2351-SL-002 </t>
  </si>
  <si>
    <t>/
150 hp 
/</t>
  </si>
  <si>
    <t>/
940 hp 
/</t>
  </si>
  <si>
    <t>/
10.2 hp 
/</t>
  </si>
  <si>
    <t xml:space="preserve">SHIPLOADER SHUTTLE DRIVE BRAKE </t>
  </si>
  <si>
    <t xml:space="preserve">2510 </t>
  </si>
  <si>
    <t>2510-PP-001</t>
  </si>
  <si>
    <t>RAW SEWAGE LIFT STATION</t>
  </si>
  <si>
    <t xml:space="preserve">PUMP </t>
  </si>
  <si>
    <t xml:space="preserve">RUSI KAPADIA </t>
  </si>
  <si>
    <t>H349000-2720-05-030-0002 
/
/</t>
  </si>
  <si>
    <t xml:space="preserve">PM009 </t>
  </si>
  <si>
    <t>2513-MO-001</t>
  </si>
  <si>
    <t xml:space="preserve">AMBULANCE </t>
  </si>
  <si>
    <t xml:space="preserve">L: 5715 
W: 1752 
H: 2032 </t>
  </si>
  <si>
    <t xml:space="preserve">WHEELED COACH TYPE 1, 4X4; 7.3L POWER STROKE </t>
  </si>
  <si>
    <t>2513-MO-002</t>
  </si>
  <si>
    <t xml:space="preserve">FIRE TRUCK </t>
  </si>
  <si>
    <t xml:space="preserve">L: 10540 
W: 3100 
H: 3810 </t>
  </si>
  <si>
    <t xml:space="preserve">16500 
</t>
  </si>
  <si>
    <t xml:space="preserve">1500 GAL WATER TANK </t>
  </si>
  <si>
    <t xml:space="preserve">210 GAL FOAM TANK; 450 LB DRY CHEMICAL TANK; ARFF WITH SNOZZLE </t>
  </si>
  <si>
    <t xml:space="preserve">OSHKOSH T1500 </t>
  </si>
  <si>
    <t>2513-PP-005</t>
  </si>
  <si>
    <t>EMERGENCY RESPONSE OFFICE RAW WATER PUMP</t>
  </si>
  <si>
    <t xml:space="preserve">KENTARO IMAI </t>
  </si>
  <si>
    <t xml:space="preserve">L: 483 
W: 275 
H: 267 </t>
  </si>
  <si>
    <t xml:space="preserve">65 PSI </t>
  </si>
  <si>
    <t>/
0.5 hp 
No</t>
  </si>
  <si>
    <t xml:space="preserve">1/2 HP ELECTRIC PUMP </t>
  </si>
  <si>
    <t>H349000-2720-05-030-0003 
/
/</t>
  </si>
  <si>
    <t xml:space="preserve">PX001 </t>
  </si>
  <si>
    <t xml:space="preserve">SIMER JET PUMPS 2205C </t>
  </si>
  <si>
    <t>2513-MT-005</t>
  </si>
  <si>
    <t xml:space="preserve">RAW WATER TANK PUMP </t>
  </si>
  <si>
    <t xml:space="preserve">2513-PP-005 </t>
  </si>
  <si>
    <t>PX001</t>
  </si>
  <si>
    <t>2513-PP-021</t>
  </si>
  <si>
    <t>MILNE EMERGENCY RESPONSE GARAGE FUEL OIL PUMP (PUMP)</t>
  </si>
  <si>
    <t xml:space="preserve">25 PSI </t>
  </si>
  <si>
    <t xml:space="preserve">DUPLEX FUEL OIL PUMPS, POSITIVE DISPLACEMENT ROTARY </t>
  </si>
  <si>
    <t xml:space="preserve">PX002 </t>
  </si>
  <si>
    <t xml:space="preserve">VIKING DUPLEX OIL SYSTEMS </t>
  </si>
  <si>
    <t>2513-MT-021</t>
  </si>
  <si>
    <t xml:space="preserve">FUEL OIL PUMP </t>
  </si>
  <si>
    <t xml:space="preserve">2513-PP-021 </t>
  </si>
  <si>
    <t>PX002</t>
  </si>
  <si>
    <t>2513-PP-022</t>
  </si>
  <si>
    <t>MILNE EMERGENCY RESPONSE GARAGE FUEL OIL PUMP (STANDBY)</t>
  </si>
  <si>
    <t>2513-MT-022</t>
  </si>
  <si>
    <t xml:space="preserve">2513-PP-022 </t>
  </si>
  <si>
    <t>2513-SQ-010</t>
  </si>
  <si>
    <t>DRY CHEMICAL REFILL STATION</t>
  </si>
  <si>
    <t xml:space="preserve">SHOP / MAINTENANCE EQUIPMENT </t>
  </si>
  <si>
    <t xml:space="preserve">BRADEN LOMANTO </t>
  </si>
  <si>
    <t xml:space="preserve">DRY POWDER CHEMICAL HANDLING SYSTEM </t>
  </si>
  <si>
    <t xml:space="preserve">TYCO FIRE PROTECTION </t>
  </si>
  <si>
    <t>EMERGENCY RESPONSE OFFICE SEWAGE COLLECTION TANK</t>
  </si>
  <si>
    <t xml:space="preserve">TANK </t>
  </si>
  <si>
    <t xml:space="preserve">L: 3791 
W: 1829 
H: 610 </t>
  </si>
  <si>
    <t xml:space="preserve">1000 GAL </t>
  </si>
  <si>
    <t xml:space="preserve">RECTANGULAR TANK </t>
  </si>
  <si>
    <t xml:space="preserve">LAGRANGE MECHANICAL SERVICES </t>
  </si>
  <si>
    <t>EMERGENCY RESPONSE OFFICE RAW WATER TANK</t>
  </si>
  <si>
    <t xml:space="preserve">L: 1613 
W: 737 
H: 1676 </t>
  </si>
  <si>
    <t xml:space="preserve">400 GAL TANK </t>
  </si>
  <si>
    <t xml:space="preserve">FREESTANDING WATER TANK </t>
  </si>
  <si>
    <t xml:space="preserve">NORWESCO </t>
  </si>
  <si>
    <t>MILNE EMERGENCY RESPONSE GARAGE DIESEL FUEL TANK</t>
  </si>
  <si>
    <t xml:space="preserve">10000 L </t>
  </si>
  <si>
    <t xml:space="preserve">DOUBLE WALLED HORIZONTAL ABOVE GRADE TANK </t>
  </si>
  <si>
    <t xml:space="preserve">DTE ULC601-07 </t>
  </si>
  <si>
    <t>2521-PP-003</t>
  </si>
  <si>
    <t>MAINTENANCE BUILDING FUEL OIL PUMP (DUTY)</t>
  </si>
  <si>
    <t>2521-MT-003</t>
  </si>
  <si>
    <t xml:space="preserve">2521-PP-003 </t>
  </si>
  <si>
    <t>2521-PP-004</t>
  </si>
  <si>
    <t>MAINTENANCE BUILDING FUEL OIL PUMP (STANDBY)</t>
  </si>
  <si>
    <t>2521-MT-004</t>
  </si>
  <si>
    <t xml:space="preserve">2521-PP-004 </t>
  </si>
  <si>
    <t>2521-PP-011</t>
  </si>
  <si>
    <t>MILNE WELDING SHOP FUEL OIL PUMP (DUTY)</t>
  </si>
  <si>
    <t>2521-MT-011</t>
  </si>
  <si>
    <t xml:space="preserve">2521-PP-011 </t>
  </si>
  <si>
    <t>2521-PP-012</t>
  </si>
  <si>
    <t>MILNE WELDING SHOP FUEL OIL PUMP (STANDBY)</t>
  </si>
  <si>
    <t>2521-MT-012</t>
  </si>
  <si>
    <t xml:space="preserve">2521-PP-012 </t>
  </si>
  <si>
    <t>2521-PP-051</t>
  </si>
  <si>
    <t>WORKSHOP OFFICE WASHCAR RAW WATER PUMP</t>
  </si>
  <si>
    <t>2521-MT-051</t>
  </si>
  <si>
    <t xml:space="preserve">2521-PP-051 </t>
  </si>
  <si>
    <t>MILNE WELDING SHOP DIESEL FUEL TANK</t>
  </si>
  <si>
    <t>MAINTENANCE BUILDING DIESEL FUEL TANK</t>
  </si>
  <si>
    <t xml:space="preserve">20000 L </t>
  </si>
  <si>
    <t>WORKSHOP OFFICE WASHCAR RAW WATER TANK</t>
  </si>
  <si>
    <t xml:space="preserve">L: 1803 
W: 1245 
H: 1346 </t>
  </si>
  <si>
    <t xml:space="preserve">525 GAL TANK </t>
  </si>
  <si>
    <t xml:space="preserve">HORIZONTAL TANK WITH &gt;48 HOURS SUPPLY </t>
  </si>
  <si>
    <t xml:space="preserve">PLASTIC-MART 866-310-2556 </t>
  </si>
  <si>
    <t>WORKSHOP OFFICE WASHCAR SEWAGE COLLECTION TANK</t>
  </si>
  <si>
    <t>2522-SQ-001</t>
  </si>
  <si>
    <t xml:space="preserve">EVAC TANK </t>
  </si>
  <si>
    <t xml:space="preserve">L: 1118 
W: 508 
H: 1093 </t>
  </si>
  <si>
    <t xml:space="preserve">200 
</t>
  </si>
  <si>
    <t xml:space="preserve">60 GAL TANK </t>
  </si>
  <si>
    <t xml:space="preserve">SAGE OIL VAC FLUID RECOVERY SYSTEM - 120 GALLONS </t>
  </si>
  <si>
    <t xml:space="preserve">NORTHERN TOOL 30070V </t>
  </si>
  <si>
    <t>2522-SQ-003</t>
  </si>
  <si>
    <t xml:space="preserve">DRILL PRESS </t>
  </si>
  <si>
    <t xml:space="preserve">L: 508 
W: 356 
H: 1778 </t>
  </si>
  <si>
    <t xml:space="preserve">120 
</t>
  </si>
  <si>
    <t xml:space="preserve">CHUCK CAPACITY 15.9 MM </t>
  </si>
  <si>
    <t>/
2.7 hp 
No</t>
  </si>
  <si>
    <t xml:space="preserve">LENGTH AND WIDTH ARE TABLE DIMENSIONS; 22" WITH LASER </t>
  </si>
  <si>
    <t xml:space="preserve">AG - DPE18-900 </t>
  </si>
  <si>
    <t xml:space="preserve">MAGNETIC BASE DRILL </t>
  </si>
  <si>
    <t xml:space="preserve">33 
</t>
  </si>
  <si>
    <t xml:space="preserve">1650 LBS DRILL POINT PRESSURE </t>
  </si>
  <si>
    <t>/
0.81 hp 
No</t>
  </si>
  <si>
    <t xml:space="preserve">1/2 " CHUCK SIZE </t>
  </si>
  <si>
    <t xml:space="preserve">AG - MTL4210-1 </t>
  </si>
  <si>
    <t>2522-SQ-005</t>
  </si>
  <si>
    <t xml:space="preserve">OIL FILTER PRESS </t>
  </si>
  <si>
    <t xml:space="preserve">L: 1524 
W: 914 
H: 2640 </t>
  </si>
  <si>
    <t xml:space="preserve">680 
</t>
  </si>
  <si>
    <t xml:space="preserve">32 TON CRUSHING FORCE </t>
  </si>
  <si>
    <t>/
3.4 hp 
No</t>
  </si>
  <si>
    <t xml:space="preserve">57 SECOND CYCLE TIME </t>
  </si>
  <si>
    <t xml:space="preserve">OBERG P300 </t>
  </si>
  <si>
    <t>2522-SQ-006</t>
  </si>
  <si>
    <t xml:space="preserve">HYDRAULIC PORTA POWER PUMP </t>
  </si>
  <si>
    <t xml:space="preserve">AG </t>
  </si>
  <si>
    <t>2522-SQ-009</t>
  </si>
  <si>
    <t xml:space="preserve">WELDING MACHINE </t>
  </si>
  <si>
    <t xml:space="preserve">L: 965 
W: 584 
H: 762 </t>
  </si>
  <si>
    <t xml:space="preserve">192 
</t>
  </si>
  <si>
    <t>/
54 hp 
No</t>
  </si>
  <si>
    <t xml:space="preserve">452 MIGRUNNER DIMENSION PACKAGE - 500 AMP </t>
  </si>
  <si>
    <t xml:space="preserve">AG - MLW951-277 </t>
  </si>
  <si>
    <t>2522-SQ-010</t>
  </si>
  <si>
    <t>PORTABLE WELDING FUME EXTRACTOR</t>
  </si>
  <si>
    <t xml:space="preserve">73 
</t>
  </si>
  <si>
    <t xml:space="preserve">35 M2 FILTER AREA </t>
  </si>
  <si>
    <t>/
1 hp 
No</t>
  </si>
  <si>
    <t xml:space="preserve">AG - NED12634345 </t>
  </si>
  <si>
    <t>2522-SQ-012</t>
  </si>
  <si>
    <t>PORTABLE WELDING SPARK PROTECTOR</t>
  </si>
  <si>
    <t xml:space="preserve">AG - NED12375241 </t>
  </si>
  <si>
    <t>2522-SQ-014</t>
  </si>
  <si>
    <t xml:space="preserve">SWEEPER </t>
  </si>
  <si>
    <t>/
4.7 hp 
No</t>
  </si>
  <si>
    <t xml:space="preserve">ELECTRIC - AREA 20000 FT2 </t>
  </si>
  <si>
    <t>2522-SQ-018</t>
  </si>
  <si>
    <t xml:space="preserve">TIRE CHANGER </t>
  </si>
  <si>
    <t>/
2.03 hp 
No</t>
  </si>
  <si>
    <t xml:space="preserve">RIM DIAMATERS: EXTERNAL 9"-30", INTERNAL DIAMETER 11"-32" </t>
  </si>
  <si>
    <t xml:space="preserve">COATS APX80A </t>
  </si>
  <si>
    <t>2522-SQ-022</t>
  </si>
  <si>
    <t xml:space="preserve">BULK FLUID DISTRIBUTION SYSTEM </t>
  </si>
  <si>
    <t xml:space="preserve">OILS, LUBRICANT, COOLANT, GREASE,WATER (WASHDOWN) </t>
  </si>
  <si>
    <t>2522-SQ-023</t>
  </si>
  <si>
    <t>2522-SQ-025</t>
  </si>
  <si>
    <t xml:space="preserve">PARTS WASHER </t>
  </si>
  <si>
    <t xml:space="preserve">L: 1070 
W: 560 
H: 406 </t>
  </si>
  <si>
    <t xml:space="preserve">84 
</t>
  </si>
  <si>
    <t xml:space="preserve">40 GAL TANK CAPACITY </t>
  </si>
  <si>
    <t xml:space="preserve">DIMENSIONS ARE FOR THE TANK ITSELF; SOLV DELUXE HANDIKLEEN </t>
  </si>
  <si>
    <t xml:space="preserve">AG - GRYPL422A </t>
  </si>
  <si>
    <t>2522-SQ-028</t>
  </si>
  <si>
    <t xml:space="preserve">TIRE SPREADER </t>
  </si>
  <si>
    <t xml:space="preserve">MAX TIRE: 18R-22.5" </t>
  </si>
  <si>
    <t xml:space="preserve">AIR POWERED WITH LYING BASE. 220V MAX. 18R/22.5 INCH </t>
  </si>
  <si>
    <t xml:space="preserve">ZHUHAI TEAMROC TR-S825 </t>
  </si>
  <si>
    <t>2522-SQ-029</t>
  </si>
  <si>
    <t xml:space="preserve">BENCH GRINDER </t>
  </si>
  <si>
    <t xml:space="preserve">W: 610 
H: 345 </t>
  </si>
  <si>
    <t xml:space="preserve">10 " WHEEL SIZE </t>
  </si>
  <si>
    <t xml:space="preserve">HD 10" 1 HP 120V </t>
  </si>
  <si>
    <t xml:space="preserve">AG - WSWBG10D </t>
  </si>
  <si>
    <t>2522-MT-029</t>
  </si>
  <si>
    <t xml:space="preserve">2522-SQ-029 </t>
  </si>
  <si>
    <t>/
1 hp 
/</t>
  </si>
  <si>
    <t>PM104</t>
  </si>
  <si>
    <t>2522-SQ-030</t>
  </si>
  <si>
    <t>2522-MT-030</t>
  </si>
  <si>
    <t xml:space="preserve">2522-SQ-030 </t>
  </si>
  <si>
    <t>2522-SQ-033</t>
  </si>
  <si>
    <t>TRUCK MOUNT GOODALL BOOST SYSTEM</t>
  </si>
  <si>
    <t>2522-SQ-034</t>
  </si>
  <si>
    <t xml:space="preserve">GOODALL BOOST SYSTEM </t>
  </si>
  <si>
    <t>2522-SQ-037</t>
  </si>
  <si>
    <t>A/C RECOVERY RECHARGE UNIT</t>
  </si>
  <si>
    <t xml:space="preserve">L: 584 
W: 864 
H: 1120 </t>
  </si>
  <si>
    <t xml:space="preserve">110 
</t>
  </si>
  <si>
    <t xml:space="preserve">MAX TANK SIZE 30 LBS </t>
  </si>
  <si>
    <t xml:space="preserve">MULTI-REFRIGERANT </t>
  </si>
  <si>
    <t xml:space="preserve">ROBINAIR RBN17800B </t>
  </si>
  <si>
    <t>2522-SQ-038</t>
  </si>
  <si>
    <t xml:space="preserve">BATTERY CHARGER </t>
  </si>
  <si>
    <t xml:space="preserve">AG - WSW1JYU3 </t>
  </si>
  <si>
    <t>2522-SQ-039</t>
  </si>
  <si>
    <t>2522-SQ-040</t>
  </si>
  <si>
    <t xml:space="preserve">TUBE BENDER </t>
  </si>
  <si>
    <t xml:space="preserve">2540 </t>
  </si>
  <si>
    <t>2540-PP-002</t>
  </si>
  <si>
    <t>MILNE WASTE MANAGEMENT BUILDING FUEL OIL PUMP (DUTY)</t>
  </si>
  <si>
    <t>2540-MT-002</t>
  </si>
  <si>
    <t xml:space="preserve">2540-PP-002 </t>
  </si>
  <si>
    <t>2540-PP-003</t>
  </si>
  <si>
    <t>MILNE WASTE MANAGEMENT BUILDING FUEL OIL PUMP (STANDBY)</t>
  </si>
  <si>
    <t>2540-MT-003</t>
  </si>
  <si>
    <t xml:space="preserve">2540-PP-003 </t>
  </si>
  <si>
    <t>AEROSOL CAN RECYCLING SYSTEM</t>
  </si>
  <si>
    <t xml:space="preserve">5 
</t>
  </si>
  <si>
    <t xml:space="preserve">CAPABLE OF 76, 114, AND 208 L  </t>
  </si>
  <si>
    <t xml:space="preserve">AG - SAYCPU03 </t>
  </si>
  <si>
    <t>2540-SQ-003</t>
  </si>
  <si>
    <t xml:space="preserve">DRUM CRUSHER </t>
  </si>
  <si>
    <t xml:space="preserve">650 
</t>
  </si>
  <si>
    <t xml:space="preserve">38000 LBS OF CRUSHING PRESSURE </t>
  </si>
  <si>
    <t>/
6.8 hp 
No</t>
  </si>
  <si>
    <t xml:space="preserve">CRUSHES 55 GAL DRUMS TO 6" HIGH; RESETS IN 25 SECONDS </t>
  </si>
  <si>
    <t xml:space="preserve">AG - VESHDC900IDC </t>
  </si>
  <si>
    <t>2540-SQ-004</t>
  </si>
  <si>
    <t xml:space="preserve">PLATFORM SCALE </t>
  </si>
  <si>
    <t xml:space="preserve">10 TON </t>
  </si>
  <si>
    <t xml:space="preserve">AG - OHAVX32XW10000X </t>
  </si>
  <si>
    <t>MILNE  WASTE MANAGEMENT BUILDING DIESEL FUEL TANK</t>
  </si>
  <si>
    <t>WASTE INCINERATOR VENDOR PACKAGE</t>
  </si>
  <si>
    <t xml:space="preserve">VENDOR PACKAGE </t>
  </si>
  <si>
    <t xml:space="preserve">MATTHEW BUYKX </t>
  </si>
  <si>
    <t xml:space="preserve">- </t>
  </si>
  <si>
    <t xml:space="preserve">TX001 </t>
  </si>
  <si>
    <t xml:space="preserve">2610 </t>
  </si>
  <si>
    <t>2610-PP-001</t>
  </si>
  <si>
    <t>OIL WATER SEPARATOR FEED PUMP</t>
  </si>
  <si>
    <t>PM005</t>
  </si>
  <si>
    <t>2610-PP-002</t>
  </si>
  <si>
    <t>EXISTING DIESEL FUEL DISPENSING MODULE</t>
  </si>
  <si>
    <t xml:space="preserve">FUEL DISPENSER </t>
  </si>
  <si>
    <t xml:space="preserve">FLOYD BUTTS </t>
  </si>
  <si>
    <t xml:space="preserve">PM004 </t>
  </si>
  <si>
    <t>DIESEL FUEL DISPENSING MODULE</t>
  </si>
  <si>
    <t>2613-PP-007</t>
  </si>
  <si>
    <t>DIESEL FUEL DISPENSING MODULE ARCTIC DIESEL PUMP NO.1</t>
  </si>
  <si>
    <t>2613-PP-008</t>
  </si>
  <si>
    <t>DIESEL FUEL DISPENSING MODULE ARCTIC DIESEL PUMP NO.2</t>
  </si>
  <si>
    <t>2613-PP-009</t>
  </si>
  <si>
    <t>DIESEL FUEL DISPENSING MODULE ARCTIC DIESEL PUMP NO.3</t>
  </si>
  <si>
    <t>2613-PP-010</t>
  </si>
  <si>
    <t>DIESEL FUEL DISPENSING MODULE ARCTIC DIESEL PUMP NO.4</t>
  </si>
  <si>
    <t>2613-PP-011</t>
  </si>
  <si>
    <t>DIESEL FUEL DISPENSING MODULE ARCTIC DIESEL PUMP NO.5</t>
  </si>
  <si>
    <t>2613-PP-012</t>
  </si>
  <si>
    <t>DIESEL FUEL DISPENSING MODULE ARCTIC DIESEL PUMP NO.6</t>
  </si>
  <si>
    <t>ARCTIC DIESEL TANK</t>
  </si>
  <si>
    <t xml:space="preserve">W: 27800 DI 
H: 15250 </t>
  </si>
  <si>
    <t xml:space="preserve">10 ML </t>
  </si>
  <si>
    <t xml:space="preserve">W: 25600 DI 
H: 9760 </t>
  </si>
  <si>
    <t xml:space="preserve">5 ML </t>
  </si>
  <si>
    <t xml:space="preserve">EXISTING </t>
  </si>
  <si>
    <t>JET-A1 FUEL DISPENSING MODULE</t>
  </si>
  <si>
    <t>2614-FS-003</t>
  </si>
  <si>
    <t>JET-A1 FUEL DIESPENSING MODULE FUELLING STATION</t>
  </si>
  <si>
    <t xml:space="preserve">FIRE SERVICES </t>
  </si>
  <si>
    <t>2614-FS-004</t>
  </si>
  <si>
    <t>2614-PP-001</t>
  </si>
  <si>
    <t>JET-A1 FUEL DIESPENSING MODULE DISCHARGE PUMP</t>
  </si>
  <si>
    <t>2614-PP-002</t>
  </si>
  <si>
    <t>JET-A1 TANK</t>
  </si>
  <si>
    <t xml:space="preserve">W: 10250 DI 
H: 9140 </t>
  </si>
  <si>
    <t xml:space="preserve">750 kL </t>
  </si>
  <si>
    <t xml:space="preserve">2619 </t>
  </si>
  <si>
    <t>2619-GE-001</t>
  </si>
  <si>
    <t>/
1840 hp 
No</t>
  </si>
  <si>
    <t>2619-GE-002</t>
  </si>
  <si>
    <t>2619-GE-003</t>
  </si>
  <si>
    <t>2619-GE-004</t>
  </si>
  <si>
    <t>2619-GE-005</t>
  </si>
  <si>
    <t>2619-GE-006</t>
  </si>
  <si>
    <t>2619-GE-007</t>
  </si>
  <si>
    <t>2720-PP-002</t>
  </si>
  <si>
    <t>RAW WATER DISTRIBUTION PUMP</t>
  </si>
  <si>
    <t>2720-PP-003</t>
  </si>
  <si>
    <t>2720-PP-004</t>
  </si>
  <si>
    <t>DIESEL FIRE WATER PUMP</t>
  </si>
  <si>
    <t>2720-PP-005</t>
  </si>
  <si>
    <t>ELECTRIC FIRE WATER PUMP</t>
  </si>
  <si>
    <t>2720-PP-006</t>
  </si>
  <si>
    <t>JOCKEY PUMP</t>
  </si>
  <si>
    <t>2720-PP-009</t>
  </si>
  <si>
    <t>POTABLE WATER DISCHARGE PUMP NO.1</t>
  </si>
  <si>
    <t>H349000-2720-05-0002 
/
/</t>
  </si>
  <si>
    <t>2720-PP-010</t>
  </si>
  <si>
    <t>POTABLE WATER DISCHARGE PUMP NO.2</t>
  </si>
  <si>
    <t>2720-PP-012</t>
  </si>
  <si>
    <t>BACKWASH SLURRY PUMP</t>
  </si>
  <si>
    <t>2720-PP-013</t>
  </si>
  <si>
    <t>CLEAN BACKWASH PUMP</t>
  </si>
  <si>
    <t>2720-PP-021</t>
  </si>
  <si>
    <t>RAW WATER UNLOADING PUMP</t>
  </si>
  <si>
    <t>3" x 3"</t>
  </si>
  <si>
    <t xml:space="preserve">PM010 </t>
  </si>
  <si>
    <t>HAYWARD GORDON S-3</t>
  </si>
  <si>
    <t>2720-PP-031</t>
  </si>
  <si>
    <t>MILNE WATER BUILDING FUEL OIL PUMP (DUTY)</t>
  </si>
  <si>
    <t>2720-MT-031</t>
  </si>
  <si>
    <t xml:space="preserve">2720-PP-031 </t>
  </si>
  <si>
    <t>2720-PP-032</t>
  </si>
  <si>
    <t>MILNE WATER BUILDING FUEL OIL PUMP (STANDBY)</t>
  </si>
  <si>
    <t>2720-MT-032</t>
  </si>
  <si>
    <t xml:space="preserve">2720-PP-032 </t>
  </si>
  <si>
    <t>RAW WATER TANK</t>
  </si>
  <si>
    <t>FIRE WATER TANK</t>
  </si>
  <si>
    <t>POTABLE WATER STORAGE TANK</t>
  </si>
  <si>
    <t>BACKWASH SETTLING TANK</t>
  </si>
  <si>
    <t>MILNE WATER BUILDING DIESEL FUEL TANK</t>
  </si>
  <si>
    <t>POTABLE WATER TREATMENT PLANT VENDOR PACKAGE
VENDOR PACKAGE</t>
  </si>
  <si>
    <t>2731-PP-003</t>
  </si>
  <si>
    <t>TREATED EFFLUENT DISCHARGE PUMP NO.1</t>
  </si>
  <si>
    <t>2731-PP-004</t>
  </si>
  <si>
    <t>TREATED EFFLUENT DISCHARGE PUMP NO.2</t>
  </si>
  <si>
    <t>2731-SC-001</t>
  </si>
  <si>
    <t>2731-TK-002</t>
  </si>
  <si>
    <t>TREATED EFFLUENT TANK</t>
  </si>
  <si>
    <t>SEWAGE TREATMENT PLANT VENDOR PACKAGE</t>
  </si>
  <si>
    <t>2732-PP-001</t>
  </si>
  <si>
    <t>MILNE SEWAGE TRUCK BUILDING FUEL OIL PUMP (DUTY)</t>
  </si>
  <si>
    <t>2732-MT-001</t>
  </si>
  <si>
    <t xml:space="preserve">2732-PP-001 </t>
  </si>
  <si>
    <t>2732-PP-002</t>
  </si>
  <si>
    <t>MILNE SEWAGE TRUCK BUILDING FUEL OIL PUMP (STANDBY)</t>
  </si>
  <si>
    <t>2732-MT-002</t>
  </si>
  <si>
    <t xml:space="preserve">2732-PP-002 </t>
  </si>
  <si>
    <t>MILNE SEWAGE TRUCK BUILDING DIESEL FUEL TANK</t>
  </si>
  <si>
    <t xml:space="preserve">504-2200 </t>
  </si>
  <si>
    <t xml:space="preserve">4141 </t>
  </si>
  <si>
    <t>4141-MO-005</t>
  </si>
  <si>
    <t>MOBILE CRUSHER FRONT-END LOADER</t>
  </si>
  <si>
    <t xml:space="preserve">HIGH LIFT SPEC. - TO BE DELIVERED BY JULY 5TH W/ STANDARD BUCKETS </t>
  </si>
  <si>
    <t>H349000-4380-05-030-0001 
/
/</t>
  </si>
  <si>
    <t>4141-MO-006</t>
  </si>
  <si>
    <t>4141-MO-007</t>
  </si>
  <si>
    <t>MINE HAUL TRUCK</t>
  </si>
  <si>
    <t xml:space="preserve">L: 10445 
W: 6706 
H: 5840 </t>
  </si>
  <si>
    <t xml:space="preserve">75200 
</t>
  </si>
  <si>
    <t xml:space="preserve">RATED PAYLOAD 90 TON </t>
  </si>
  <si>
    <t xml:space="preserve">ETA JULY 15, 2013  </t>
  </si>
  <si>
    <t xml:space="preserve">CAT 777G </t>
  </si>
  <si>
    <t>4141-MO-008</t>
  </si>
  <si>
    <t xml:space="preserve">ETA JULY 18, 2013 </t>
  </si>
  <si>
    <t>4141-MO-009</t>
  </si>
  <si>
    <t xml:space="preserve">ETA JULY 12, 2013 </t>
  </si>
  <si>
    <t>4141-MO-010</t>
  </si>
  <si>
    <t>4141-MO-024</t>
  </si>
  <si>
    <t>MINE SITE LARGE EXCAVATOR</t>
  </si>
  <si>
    <t xml:space="preserve">L: 13470 
W: 3500 
H: 4782 </t>
  </si>
  <si>
    <t xml:space="preserve">85000 
</t>
  </si>
  <si>
    <t xml:space="preserve">530 HP, 5.4 M3 BUCKET </t>
  </si>
  <si>
    <t xml:space="preserve">MASS HEX, IRON ORE BUCKET - ETA JULY 19, 2013 </t>
  </si>
  <si>
    <t xml:space="preserve">CAT 390DL </t>
  </si>
  <si>
    <t>4141-MO-025</t>
  </si>
  <si>
    <t>4141-MO-026</t>
  </si>
  <si>
    <t>4141-MO-027</t>
  </si>
  <si>
    <t>4141-MO-028</t>
  </si>
  <si>
    <t>4141-MO-029</t>
  </si>
  <si>
    <t>4141-MO-030</t>
  </si>
  <si>
    <t>SINGLE PASS PRODUCTION DRILL</t>
  </si>
  <si>
    <t xml:space="preserve">56800 
</t>
  </si>
  <si>
    <t xml:space="preserve">ETA SEPT. 10TH </t>
  </si>
  <si>
    <t xml:space="preserve">PM100 </t>
  </si>
  <si>
    <t xml:space="preserve">CAT MD6290 </t>
  </si>
  <si>
    <t>4141-MO-031</t>
  </si>
  <si>
    <t xml:space="preserve">L: 14280 
W: 4010 
H: 4590 </t>
  </si>
  <si>
    <t>4141-MO-033</t>
  </si>
  <si>
    <t xml:space="preserve">SECONDARY DRILL </t>
  </si>
  <si>
    <t xml:space="preserve">GLACIER </t>
  </si>
  <si>
    <t xml:space="preserve">TAMROCK 800 </t>
  </si>
  <si>
    <t>4141-MO-035</t>
  </si>
  <si>
    <t>DRILL DUST SUPPRESSION WATER/METHANOL TRUCK</t>
  </si>
  <si>
    <t>NON-INSULATED</t>
  </si>
  <si>
    <t xml:space="preserve"> KENWORTH T800H</t>
  </si>
  <si>
    <t xml:space="preserve">4142 </t>
  </si>
  <si>
    <t>4142-MO-001A</t>
  </si>
  <si>
    <t>TOTE ROAD ORE HAUL TRUCK - TRACTOR</t>
  </si>
  <si>
    <t xml:space="preserve">L: 10080 
W: 3060 
H: 3900 </t>
  </si>
  <si>
    <t xml:space="preserve">11400 
</t>
  </si>
  <si>
    <t xml:space="preserve">600 HP, 150T (2 75T) </t>
  </si>
  <si>
    <t xml:space="preserve">6 WHEEL DRIVE, PLANETARY GEAR, 3" PIN </t>
  </si>
  <si>
    <t xml:space="preserve">PM103 </t>
  </si>
  <si>
    <t xml:space="preserve">WESTERN STAR 6900XD </t>
  </si>
  <si>
    <t>4142-MO-001B</t>
  </si>
  <si>
    <t>TOTE ROAD ORE HAUL TRUCK - LEAD TRAILER</t>
  </si>
  <si>
    <t xml:space="preserve">L: 10240 
W: 3060 
H: 4210 </t>
  </si>
  <si>
    <t xml:space="preserve">34500 
</t>
  </si>
  <si>
    <t xml:space="preserve">75 T </t>
  </si>
  <si>
    <t xml:space="preserve">DOUBLE TRAIN SIDE DUMP. </t>
  </si>
  <si>
    <t xml:space="preserve">PM113 </t>
  </si>
  <si>
    <t xml:space="preserve">SMITHCO S4 (75T) </t>
  </si>
  <si>
    <t>4142-MO-001C</t>
  </si>
  <si>
    <t>TOTE ROAD ORE HAUL TRUCK - PUP TRAILER</t>
  </si>
  <si>
    <t>4142-MO-002A</t>
  </si>
  <si>
    <t>4142-MO-002B</t>
  </si>
  <si>
    <t>4142-MO-002C</t>
  </si>
  <si>
    <t>4142-MO-003A</t>
  </si>
  <si>
    <t>4142-MO-003B</t>
  </si>
  <si>
    <t>4142-MO-003C</t>
  </si>
  <si>
    <t>4142-MO-004A</t>
  </si>
  <si>
    <t>4142-MO-004B</t>
  </si>
  <si>
    <t>4142-MO-004C</t>
  </si>
  <si>
    <t>4142-MO-005A</t>
  </si>
  <si>
    <t>4142-MO-005B</t>
  </si>
  <si>
    <t>4142-MO-005C</t>
  </si>
  <si>
    <t>4142-MO-006A</t>
  </si>
  <si>
    <t>4142-MO-006B</t>
  </si>
  <si>
    <t>4142-MO-006C</t>
  </si>
  <si>
    <t>4142-MO-007A</t>
  </si>
  <si>
    <t>4142-MO-007B</t>
  </si>
  <si>
    <t>4142-MO-007C</t>
  </si>
  <si>
    <t>4142-MO-008A</t>
  </si>
  <si>
    <t>4142-MO-008B</t>
  </si>
  <si>
    <t>4142-MO-008C</t>
  </si>
  <si>
    <t>4142-MO-009A</t>
  </si>
  <si>
    <t>4142-MO-009B</t>
  </si>
  <si>
    <t>4142-MO-009C</t>
  </si>
  <si>
    <t>4142-MO-010A</t>
  </si>
  <si>
    <t>4142-MO-010B</t>
  </si>
  <si>
    <t>4142-MO-010C</t>
  </si>
  <si>
    <t>4142-MO-011A</t>
  </si>
  <si>
    <t>4142-MO-011B</t>
  </si>
  <si>
    <t>4142-MO-011C</t>
  </si>
  <si>
    <t>4142-MO-012A</t>
  </si>
  <si>
    <t>4142-MO-012B</t>
  </si>
  <si>
    <t>4142-MO-012C</t>
  </si>
  <si>
    <t>4142-MO-013A</t>
  </si>
  <si>
    <t>4142-MO-013B</t>
  </si>
  <si>
    <t>4142-MO-013C</t>
  </si>
  <si>
    <t>4142-MO-014A</t>
  </si>
  <si>
    <t>4142-MO-014B</t>
  </si>
  <si>
    <t>4142-MO-014C</t>
  </si>
  <si>
    <t>4142-MO-015A</t>
  </si>
  <si>
    <t>4142-MO-015B</t>
  </si>
  <si>
    <t>4142-MO-015C</t>
  </si>
  <si>
    <t>4142-MO-016A</t>
  </si>
  <si>
    <t>4142-MO-016B</t>
  </si>
  <si>
    <t>4142-MO-016C</t>
  </si>
  <si>
    <t>4142-MO-017A</t>
  </si>
  <si>
    <t>4142-MO-017B</t>
  </si>
  <si>
    <t>4142-MO-017C</t>
  </si>
  <si>
    <t>4142-MO-018A</t>
  </si>
  <si>
    <t>4142-MO-018B</t>
  </si>
  <si>
    <t>4142-MO-018C</t>
  </si>
  <si>
    <t>4142-MO-019A</t>
  </si>
  <si>
    <t>4142-MO-019B</t>
  </si>
  <si>
    <t>4142-MO-019C</t>
  </si>
  <si>
    <t>4142-MO-020A</t>
  </si>
  <si>
    <t>11400 
/</t>
  </si>
  <si>
    <t>4142-MO-020B</t>
  </si>
  <si>
    <t>4142-MO-020C</t>
  </si>
  <si>
    <t>4142-MO-021</t>
  </si>
  <si>
    <t>MINE SITE TRACK DOZER</t>
  </si>
  <si>
    <t xml:space="preserve">L: 6630 
W: 4310 
H: 3815 </t>
  </si>
  <si>
    <t xml:space="preserve">42700 
</t>
  </si>
  <si>
    <t xml:space="preserve">BLADE WIDTH 4310 MM </t>
  </si>
  <si>
    <t xml:space="preserve">CAT D9T </t>
  </si>
  <si>
    <t>4142-MO-022</t>
  </si>
  <si>
    <t xml:space="preserve">78000 
</t>
  </si>
  <si>
    <t>4142-MO-023</t>
  </si>
  <si>
    <t>MINE SITE WHEEL DOZER</t>
  </si>
  <si>
    <t xml:space="preserve">L: 8716 
W: 3556 
H: 4102 </t>
  </si>
  <si>
    <t xml:space="preserve">46300 
</t>
  </si>
  <si>
    <t xml:space="preserve">BLADE W x H: 4.6M x 1.5M </t>
  </si>
  <si>
    <t xml:space="preserve">SEMI U BLADE </t>
  </si>
  <si>
    <t xml:space="preserve">CAT 824H </t>
  </si>
  <si>
    <t>4142-MO-024</t>
  </si>
  <si>
    <t xml:space="preserve">GRADER </t>
  </si>
  <si>
    <t xml:space="preserve">L: 9963 
W: 3096 
H: 3718 </t>
  </si>
  <si>
    <t xml:space="preserve">30400 
</t>
  </si>
  <si>
    <t xml:space="preserve">2.6 M MAX SHOULDER REACH </t>
  </si>
  <si>
    <t xml:space="preserve">MADE IN 2002; SECONDARY STEER, RIPPER, HIGH CAB - NO WING - ETA JULY 12, 2013 </t>
  </si>
  <si>
    <t xml:space="preserve">CAT 16H </t>
  </si>
  <si>
    <t>4142-MO-026</t>
  </si>
  <si>
    <t>PRODUCTION FRONT END LOADER</t>
  </si>
  <si>
    <t xml:space="preserve">L: 16877 
W: 6000 
H: 7000 </t>
  </si>
  <si>
    <t xml:space="preserve">100000 
</t>
  </si>
  <si>
    <t xml:space="preserve">14 - 36 M3 BUCKET </t>
  </si>
  <si>
    <t xml:space="preserve">ETA JULY 25, 2013 - IRON ORE BUCKET DELIVERY IN SEPT.  </t>
  </si>
  <si>
    <t xml:space="preserve">CAT 992K </t>
  </si>
  <si>
    <t>4142-MO-027</t>
  </si>
  <si>
    <t>PRODUCTION LARGE EXCAVATOR</t>
  </si>
  <si>
    <t xml:space="preserve">MASS HEX, IRON ORE BUCKET </t>
  </si>
  <si>
    <t>4142-MO-028</t>
  </si>
  <si>
    <t>4142-MO-029</t>
  </si>
  <si>
    <t>4142-MO-030</t>
  </si>
  <si>
    <t>4142-MO-031</t>
  </si>
  <si>
    <t>4142-MO-032</t>
  </si>
  <si>
    <t>4142-MO-033</t>
  </si>
  <si>
    <t>4142-MO-034</t>
  </si>
  <si>
    <t>4142-MO-035</t>
  </si>
  <si>
    <t>4142-MO-036</t>
  </si>
  <si>
    <t>4142-MO-037</t>
  </si>
  <si>
    <t xml:space="preserve">4143 </t>
  </si>
  <si>
    <t>4143-MO-001</t>
  </si>
  <si>
    <t>MAINTENANCE SERVICE TRUCK</t>
  </si>
  <si>
    <t>4143-MO-002</t>
  </si>
  <si>
    <t>4143-MO-003</t>
  </si>
  <si>
    <t>H349000-4540-05-030-0001 
/
/</t>
  </si>
  <si>
    <t>4143-MO-004</t>
  </si>
  <si>
    <t>LOWBED TRACTOR</t>
  </si>
  <si>
    <t>4143-MO-005</t>
  </si>
  <si>
    <t>4143-MO-006</t>
  </si>
  <si>
    <t xml:space="preserve">TIRE HANDLER </t>
  </si>
  <si>
    <t xml:space="preserve">5900 
</t>
  </si>
  <si>
    <t xml:space="preserve">20000 LBS </t>
  </si>
  <si>
    <t xml:space="preserve">TO FIT ON CAT 988H LOADER - ESTIMATED DELIVERY AUG 25, 2013 </t>
  </si>
  <si>
    <t xml:space="preserve">WBM T20P-S </t>
  </si>
  <si>
    <t>4143-MO-008</t>
  </si>
  <si>
    <t>FREIGHT HANDLING FRONT END LOADER</t>
  </si>
  <si>
    <t>4143-MO-009</t>
  </si>
  <si>
    <t>YARD WORK EXCAVATOR</t>
  </si>
  <si>
    <t>4143-MO-010</t>
  </si>
  <si>
    <t>CLEANUP/SNOW REMOVAL ALL TERRAIN FRONT END LOADER</t>
  </si>
  <si>
    <t xml:space="preserve">C/W QUICK COUPLER, BUCKET AND FORKS </t>
  </si>
  <si>
    <t>4143-MO-011</t>
  </si>
  <si>
    <t>4143-MO-013</t>
  </si>
  <si>
    <t>CRUSHER MAINTENANCE KNUCKLE CRANE</t>
  </si>
  <si>
    <t xml:space="preserve">9000 KG </t>
  </si>
  <si>
    <t xml:space="preserve">TANDEM AXLE; STEEL DECK; PALFINGER PK32080 KNUCKLE CRANE </t>
  </si>
  <si>
    <t>4143-MO-014</t>
  </si>
  <si>
    <t>MAINTENANCE CRANE</t>
  </si>
  <si>
    <t xml:space="preserve">L: 14630 
W: 7920 
H: 3990 </t>
  </si>
  <si>
    <t xml:space="preserve">42000 
</t>
  </si>
  <si>
    <t xml:space="preserve">80 T </t>
  </si>
  <si>
    <t xml:space="preserve">HYDRAULICS, ROUGH TERRAIN </t>
  </si>
  <si>
    <t xml:space="preserve">TEREX RT780 </t>
  </si>
  <si>
    <t>4143-MO-015</t>
  </si>
  <si>
    <t xml:space="preserve">L: 15240 
W: 7920 
H: 3970 </t>
  </si>
  <si>
    <t xml:space="preserve">60500 
</t>
  </si>
  <si>
    <t xml:space="preserve">130 T </t>
  </si>
  <si>
    <t xml:space="preserve">TEREX RT130 </t>
  </si>
  <si>
    <t>4143-MO-016</t>
  </si>
  <si>
    <t>WAREHOUSE FORK LIFT</t>
  </si>
  <si>
    <t xml:space="preserve">L: 2790 
W: 1290 
H: 2500 </t>
  </si>
  <si>
    <t xml:space="preserve">4763 
</t>
  </si>
  <si>
    <t xml:space="preserve">3 T  </t>
  </si>
  <si>
    <t xml:space="preserve">DIESEL ENGINE W/ SCRUBBER </t>
  </si>
  <si>
    <t xml:space="preserve">CAT P7000-D </t>
  </si>
  <si>
    <t>4143-MO-017</t>
  </si>
  <si>
    <t>MAINTENANCE FORK LIFT</t>
  </si>
  <si>
    <t xml:space="preserve">L: 4240 
W: 2390 
H: 2845 </t>
  </si>
  <si>
    <t xml:space="preserve">14320 
</t>
  </si>
  <si>
    <t xml:space="preserve">10 T </t>
  </si>
  <si>
    <t xml:space="preserve">DIESEL ENGINE W/ SCRUBBER, 96" FORKS </t>
  </si>
  <si>
    <t xml:space="preserve">CAT P20000 </t>
  </si>
  <si>
    <t>4143-MO-018</t>
  </si>
  <si>
    <t>4143-MO-019</t>
  </si>
  <si>
    <t>RUN-OFF CONTROL DEWATERING PUMP</t>
  </si>
  <si>
    <t xml:space="preserve">6" </t>
  </si>
  <si>
    <t xml:space="preserve">DIESEL W/ TRAILER AND SPILL KIT </t>
  </si>
  <si>
    <t xml:space="preserve">GORMAN RUPP T6A60S-C4.4T </t>
  </si>
  <si>
    <t>4143-MO-020</t>
  </si>
  <si>
    <t>4143-MO-021</t>
  </si>
  <si>
    <t>4143-MO-022</t>
  </si>
  <si>
    <t>4143-MO-023</t>
  </si>
  <si>
    <t>4143-MO-024</t>
  </si>
  <si>
    <t>YARD MAINTENANCE PLOW/SAND TRUCK</t>
  </si>
  <si>
    <t xml:space="preserve">INTERNATIONAL 7600 </t>
  </si>
  <si>
    <t xml:space="preserve">507-3200 </t>
  </si>
  <si>
    <t>4143-MO-025</t>
  </si>
  <si>
    <t xml:space="preserve">L: 9994 
W: 3077 
H: 3524 </t>
  </si>
  <si>
    <t xml:space="preserve">2.31 M MAX REACH </t>
  </si>
  <si>
    <t xml:space="preserve">2012 </t>
  </si>
  <si>
    <t xml:space="preserve">CAT 16M </t>
  </si>
  <si>
    <t>4143-MO-026</t>
  </si>
  <si>
    <t>YARD/TOTE ROAD MAINTENANCE TRACK DOZER</t>
  </si>
  <si>
    <t>4143-MO-027</t>
  </si>
  <si>
    <t>4143-MO-029</t>
  </si>
  <si>
    <t xml:space="preserve">MAN LIFT </t>
  </si>
  <si>
    <t xml:space="preserve">L: 2500 
W: 1170 
H: 1970 </t>
  </si>
  <si>
    <t xml:space="preserve">6010 
</t>
  </si>
  <si>
    <t xml:space="preserve">51' WORKING HEIGHT </t>
  </si>
  <si>
    <t xml:space="preserve">PM140 </t>
  </si>
  <si>
    <t xml:space="preserve">JLG450AJ </t>
  </si>
  <si>
    <t>4143-MO-030</t>
  </si>
  <si>
    <t xml:space="preserve">SCISSOR LIFT </t>
  </si>
  <si>
    <t xml:space="preserve">L: 3500 
W: 2200 
H: 2900 </t>
  </si>
  <si>
    <t xml:space="preserve">4917 
</t>
  </si>
  <si>
    <t xml:space="preserve">47' WORKING HEIGHT </t>
  </si>
  <si>
    <t xml:space="preserve">SKYJACK 8841 </t>
  </si>
  <si>
    <t>4143-MO-031</t>
  </si>
  <si>
    <t>ORE HAUL TRUCK RECOVERY TOW TRUCK</t>
  </si>
  <si>
    <t xml:space="preserve">55T </t>
  </si>
  <si>
    <t xml:space="preserve">WITH JERR DAN 110/530 WRECKER </t>
  </si>
  <si>
    <t xml:space="preserve">PM133 </t>
  </si>
  <si>
    <t>4143-MO-032</t>
  </si>
  <si>
    <t>TOTE ROAD CULVERT MAINTENANCE STEAM TRUCK</t>
  </si>
  <si>
    <t xml:space="preserve">(2) 600 GAL TANKS </t>
  </si>
  <si>
    <t xml:space="preserve">PETERBILT T/A STEAM TRUCK </t>
  </si>
  <si>
    <t>4143-MO-033</t>
  </si>
  <si>
    <t>4143-MO-034</t>
  </si>
  <si>
    <t>4143-MO-035</t>
  </si>
  <si>
    <t>4143-MO-036</t>
  </si>
  <si>
    <t>4143-MO-037</t>
  </si>
  <si>
    <t>4143-MO-038</t>
  </si>
  <si>
    <t xml:space="preserve">L: 3050 
W: 1090 
H: 2050 </t>
  </si>
  <si>
    <t xml:space="preserve">3500 
</t>
  </si>
  <si>
    <t xml:space="preserve">1800 KG </t>
  </si>
  <si>
    <t xml:space="preserve">MITSUBISHI FB20PNT </t>
  </si>
  <si>
    <t>4143-MO-039</t>
  </si>
  <si>
    <t xml:space="preserve">6.75T </t>
  </si>
  <si>
    <t xml:space="preserve">SPYDER CRANE URW706 </t>
  </si>
  <si>
    <t>4143-MO-040</t>
  </si>
  <si>
    <t xml:space="preserve">4144 </t>
  </si>
  <si>
    <t>4144-MO-001</t>
  </si>
  <si>
    <t>4144-MO-002</t>
  </si>
  <si>
    <t>4144-MO-003</t>
  </si>
  <si>
    <t>4144-MO-004</t>
  </si>
  <si>
    <t>4144-MO-005</t>
  </si>
  <si>
    <t>4144-MO-006</t>
  </si>
  <si>
    <t xml:space="preserve">12 M3 CONTAINER CAPACITY </t>
  </si>
  <si>
    <t>H349000-4731-05-030-0001/H349000-4720-05-030-0004 
/
/</t>
  </si>
  <si>
    <t>4144-MO-007</t>
  </si>
  <si>
    <t>FREIGHT DELIVERY HIBOY TRAILER</t>
  </si>
  <si>
    <t xml:space="preserve">L: 14630 
W: 2438 
</t>
  </si>
  <si>
    <t xml:space="preserve">60 T </t>
  </si>
  <si>
    <t>4144-MO-008</t>
  </si>
  <si>
    <t>DIESEL FUEL TRAILER TRACTOR</t>
  </si>
  <si>
    <t xml:space="preserve">305 HP ENGINE </t>
  </si>
  <si>
    <t xml:space="preserve">B-TRAIN CAPABLE CLASS 8 TRACTOR FOR WATER AND FUEL TRAILER SETS </t>
  </si>
  <si>
    <t xml:space="preserve">WESTERN STAR 4900FA </t>
  </si>
  <si>
    <t>4144-MO-009</t>
  </si>
  <si>
    <t>JET-A1 FUEL DELIVERY TRUCK</t>
  </si>
  <si>
    <t xml:space="preserve">L: 8052 
W: 2960 
H: 3589 </t>
  </si>
  <si>
    <t xml:space="preserve">4400 GAL </t>
  </si>
  <si>
    <t xml:space="preserve">TANDEM AXLE; 40" LOW ROOF SLEEPER; TC406 COMPLIANT TANK </t>
  </si>
  <si>
    <t xml:space="preserve">MACK/INNOCAR GU813 </t>
  </si>
  <si>
    <t>4144-MO-010</t>
  </si>
  <si>
    <t>DIESEL FUEL DELIVERY TRAILER</t>
  </si>
  <si>
    <t xml:space="preserve">L: 24384 
W: 2590 
H: 4013 </t>
  </si>
  <si>
    <t xml:space="preserve">
33500 </t>
  </si>
  <si>
    <t xml:space="preserve">62 kL (33k L LEAD + 29 kL PUP) </t>
  </si>
  <si>
    <t xml:space="preserve">TC406 COMPLIANT; 5 COMPARTMENTS </t>
  </si>
  <si>
    <t xml:space="preserve">TREMCAR TC406 SUPER B-TRAIN </t>
  </si>
  <si>
    <t>4144-MO-011</t>
  </si>
  <si>
    <t>MOBILE EQUIPMENT LOWBOY TRAILER</t>
  </si>
  <si>
    <t xml:space="preserve">L: 7620 
W: 4572 
</t>
  </si>
  <si>
    <t xml:space="preserve">120 T </t>
  </si>
  <si>
    <t xml:space="preserve">TRI-AXLE; 25 FT DECK LENGTH; 15 FT DECK WIDTH </t>
  </si>
  <si>
    <t xml:space="preserve">SHELTEMA </t>
  </si>
  <si>
    <t>4144-MO-012</t>
  </si>
  <si>
    <t xml:space="preserve">20-30 M3 GARBAGE BIN CAPABLE </t>
  </si>
  <si>
    <t xml:space="preserve">60,000# ROLL ON-ROLL OFF HYDRAULIC TYPE </t>
  </si>
  <si>
    <t>4144-MO-013</t>
  </si>
  <si>
    <t>4144-MO-014</t>
  </si>
  <si>
    <t>4144-MO-015</t>
  </si>
  <si>
    <t>4144-MO-016</t>
  </si>
  <si>
    <t>4144-MO-017</t>
  </si>
  <si>
    <t>4144-MO-018</t>
  </si>
  <si>
    <t>4144-MO-024</t>
  </si>
  <si>
    <t>ARTICULATED WATER/SAND TRUCK</t>
  </si>
  <si>
    <t xml:space="preserve">8000 GAL WATER TANK </t>
  </si>
  <si>
    <t xml:space="preserve">WITH WATER CANNON AND SPRAY BARS; CYLINDERS AND TAILGATE - IN FABRICATION PROCESS - ETA AUG 1, 2013 </t>
  </si>
  <si>
    <t xml:space="preserve">PM136 </t>
  </si>
  <si>
    <t xml:space="preserve">CAT 740 </t>
  </si>
  <si>
    <t>4144-MO-025</t>
  </si>
  <si>
    <t xml:space="preserve">56000L </t>
  </si>
  <si>
    <t xml:space="preserve">QUAD AXLE; ALUMINUM; 5 COMPARTMENTS </t>
  </si>
  <si>
    <t xml:space="preserve">ADVANCE </t>
  </si>
  <si>
    <t>4144-MO-026</t>
  </si>
  <si>
    <t>4144-MO-030</t>
  </si>
  <si>
    <t>4144-MO-031</t>
  </si>
  <si>
    <t>4144-MO-032</t>
  </si>
  <si>
    <t>4144-MO-033</t>
  </si>
  <si>
    <t>4144-MO-034</t>
  </si>
  <si>
    <t>4144-MO-035</t>
  </si>
  <si>
    <t>4144-MO-036</t>
  </si>
  <si>
    <t>4144-MO-037</t>
  </si>
  <si>
    <t>4144-MO-040</t>
  </si>
  <si>
    <t>4144-MO-041</t>
  </si>
  <si>
    <t>4144-MO-042</t>
  </si>
  <si>
    <t>4144-MO-043</t>
  </si>
  <si>
    <t>4144-MO-044</t>
  </si>
  <si>
    <t>4144-MO-045</t>
  </si>
  <si>
    <t xml:space="preserve">4381 </t>
  </si>
  <si>
    <t>4381-CR-001</t>
  </si>
  <si>
    <t>PRIMARY CRUSHING PLANT LINE 1</t>
  </si>
  <si>
    <t xml:space="preserve">CRUSHER </t>
  </si>
  <si>
    <t xml:space="preserve">L: 3470 
W: 4100 
H: 3440 </t>
  </si>
  <si>
    <t xml:space="preserve">38000 
</t>
  </si>
  <si>
    <t xml:space="preserve">600 TPH </t>
  </si>
  <si>
    <t>/
293 hp 
No</t>
  </si>
  <si>
    <t xml:space="preserve">JAW CRUSHER </t>
  </si>
  <si>
    <t xml:space="preserve">METSO C125 </t>
  </si>
  <si>
    <t>4381-CR-003</t>
  </si>
  <si>
    <t>SECONDARY CRUSHING PLANT LINE 1</t>
  </si>
  <si>
    <t xml:space="preserve">L: 2370 
W: 2370 
H: 1600 </t>
  </si>
  <si>
    <t xml:space="preserve">23000 
</t>
  </si>
  <si>
    <t>/
490 hp 
No</t>
  </si>
  <si>
    <t xml:space="preserve">CONE CRUSHER </t>
  </si>
  <si>
    <t xml:space="preserve">METSO HP400 </t>
  </si>
  <si>
    <t>4381-CR-005</t>
  </si>
  <si>
    <t>TERTIARY CRUSHING PLANT LINE 1</t>
  </si>
  <si>
    <t>4381-CR-006</t>
  </si>
  <si>
    <t>PRIMARY CRUSHING PLANT LINE 2</t>
  </si>
  <si>
    <t>4381-CR-008</t>
  </si>
  <si>
    <t>SECONDARY CRUSHING PLANT LINE 2</t>
  </si>
  <si>
    <t>4381-CR-010</t>
  </si>
  <si>
    <t>TERTIARY CRUSHING PLANT LINE 2</t>
  </si>
  <si>
    <t>4381-CV-011</t>
  </si>
  <si>
    <t xml:space="preserve">LINK CONVEYOR </t>
  </si>
  <si>
    <t xml:space="preserve">4381-CR-001 </t>
  </si>
  <si>
    <t>4381-CV-012</t>
  </si>
  <si>
    <t>4381-CV-013</t>
  </si>
  <si>
    <t xml:space="preserve">4381-CR-003 </t>
  </si>
  <si>
    <t>4381-CV-014</t>
  </si>
  <si>
    <t xml:space="preserve">4381-CR-005 </t>
  </si>
  <si>
    <t>4381-CV-015</t>
  </si>
  <si>
    <t xml:space="preserve">4381-CR-006 </t>
  </si>
  <si>
    <t>4381-CV-016</t>
  </si>
  <si>
    <t>4381-CV-017</t>
  </si>
  <si>
    <t xml:space="preserve">4381-CR-008 </t>
  </si>
  <si>
    <t>4381-CV-018</t>
  </si>
  <si>
    <t xml:space="preserve">4381-CR-010 </t>
  </si>
  <si>
    <t>4381-SC-002</t>
  </si>
  <si>
    <t>PRIMARY SCREEN LINE 1</t>
  </si>
  <si>
    <t xml:space="preserve">L: 2700 
W: 6900 
</t>
  </si>
  <si>
    <t xml:space="preserve">9000 
</t>
  </si>
  <si>
    <t>/
121.5 hp 
No</t>
  </si>
  <si>
    <t xml:space="preserve">METSO FS302 </t>
  </si>
  <si>
    <t>4381-SC-004</t>
  </si>
  <si>
    <t>SECONDARY SCREEN LINE 1</t>
  </si>
  <si>
    <t xml:space="preserve">L: 3000 
W: 6900 
</t>
  </si>
  <si>
    <t xml:space="preserve">14500 
</t>
  </si>
  <si>
    <t>/
175 hp 
No</t>
  </si>
  <si>
    <t xml:space="preserve">METSO FS 353 </t>
  </si>
  <si>
    <t>4381-SC-007</t>
  </si>
  <si>
    <t>PRIMARY SCREEN LINE 2</t>
  </si>
  <si>
    <t>4381-SC-009</t>
  </si>
  <si>
    <t>SECONDARY SCREEN LINE 2</t>
  </si>
  <si>
    <t xml:space="preserve">501-3201 </t>
  </si>
  <si>
    <t xml:space="preserve">4382 </t>
  </si>
  <si>
    <t>4382-SC-001</t>
  </si>
  <si>
    <t xml:space="preserve">TRUCK WEIGH SCALE </t>
  </si>
  <si>
    <t xml:space="preserve">L: 36600 
W: 3960 
H: 1030 </t>
  </si>
  <si>
    <t xml:space="preserve">200 T </t>
  </si>
  <si>
    <t xml:space="preserve">SHALLOW PIT, 5 MODULE DESIGN </t>
  </si>
  <si>
    <t xml:space="preserve">PM115 </t>
  </si>
  <si>
    <t xml:space="preserve">RICE LAKE OTR-XV </t>
  </si>
  <si>
    <t xml:space="preserve">4385 </t>
  </si>
  <si>
    <t>4385-PP-001</t>
  </si>
  <si>
    <t>CRUSHER STOCKPILE RUNOFF POND DISCHARGE PUMP</t>
  </si>
  <si>
    <t>LOBE PRO SM68</t>
  </si>
  <si>
    <t>4385-PP-002</t>
  </si>
  <si>
    <t>4431-PP-002</t>
  </si>
  <si>
    <t>AERODROME OFFICE RAW WATER PUMP</t>
  </si>
  <si>
    <t>H349000-4720-05-030-0003 
/
/</t>
  </si>
  <si>
    <t>4431-MT-002</t>
  </si>
  <si>
    <t xml:space="preserve">4431-PP-002 </t>
  </si>
  <si>
    <t>AERODROME OFFICE RAW WATER TANK</t>
  </si>
  <si>
    <t>AERODROME OFFICE SEWAGE COLLECTION TANK</t>
  </si>
  <si>
    <t xml:space="preserve">4433 </t>
  </si>
  <si>
    <t>4433-AE-001</t>
  </si>
  <si>
    <t>SECURITY X-RAY MACHINE</t>
  </si>
  <si>
    <t xml:space="preserve">AERODROME EQUIPMENT </t>
  </si>
  <si>
    <t xml:space="preserve">L: 2282 
W: 1030 
H: 1467 </t>
  </si>
  <si>
    <t xml:space="preserve">PM008 </t>
  </si>
  <si>
    <t>4433-AE-015</t>
  </si>
  <si>
    <t>AIRCRAFT GROUND POWER UNIT</t>
  </si>
  <si>
    <t xml:space="preserve">90 KVA WITH 28.5 VDC OUTPUT </t>
  </si>
  <si>
    <t>4433-AE-023</t>
  </si>
  <si>
    <t>AIRCRAFT PASSENGER STAIRS</t>
  </si>
  <si>
    <t xml:space="preserve">L: 9906 
W: 2565 
H: 3048 </t>
  </si>
  <si>
    <t xml:space="preserve">4434 </t>
  </si>
  <si>
    <t>4434-MO-002</t>
  </si>
  <si>
    <t>AIRPORT MAINTENANCE DE-ICING TRUCK</t>
  </si>
  <si>
    <t xml:space="preserve">1800 GAL </t>
  </si>
  <si>
    <t xml:space="preserve">47 FT NOZZLE REACH HEIGHT; TYPE I AND TYPE II DE-ICE FLUID; 3 MILLION BTU (3) HEATER DESIGN </t>
  </si>
  <si>
    <t xml:space="preserve">FORD SUPERIOR </t>
  </si>
  <si>
    <t xml:space="preserve">4510 </t>
  </si>
  <si>
    <t>4510-PP-001</t>
  </si>
  <si>
    <t>H349000-4720-05-030-0002 
/
/</t>
  </si>
  <si>
    <t xml:space="preserve">4511 </t>
  </si>
  <si>
    <t>4511-LE-001</t>
  </si>
  <si>
    <t xml:space="preserve">AIR COMPRESSOR </t>
  </si>
  <si>
    <t xml:space="preserve">LABORATORY EQUIPMENT </t>
  </si>
  <si>
    <t>/
15.4 hp 
No</t>
  </si>
  <si>
    <t xml:space="preserve">INGERSOLL RAND - IRN 10H-130 </t>
  </si>
  <si>
    <t xml:space="preserve">PM105 </t>
  </si>
  <si>
    <t>4511-LE-002</t>
  </si>
  <si>
    <t>4511-LE-003</t>
  </si>
  <si>
    <t xml:space="preserve">AIR DRYER </t>
  </si>
  <si>
    <t>/
0.68 hp 
No</t>
  </si>
  <si>
    <t xml:space="preserve">INGERSOLL RAND - D108IN </t>
  </si>
  <si>
    <t>4511-LE-004</t>
  </si>
  <si>
    <t xml:space="preserve">BALANCE SCALE </t>
  </si>
  <si>
    <t>/
0.41 hp 
No</t>
  </si>
  <si>
    <t>4511-LE-005</t>
  </si>
  <si>
    <t>4511-LE-006</t>
  </si>
  <si>
    <t>4511-LE-007</t>
  </si>
  <si>
    <t>CARBON/SULFUR ANALYSER</t>
  </si>
  <si>
    <t>/
5.7 hp 
No</t>
  </si>
  <si>
    <t xml:space="preserve">LECO CS230 </t>
  </si>
  <si>
    <t>4511-LE-008</t>
  </si>
  <si>
    <t xml:space="preserve">CHILLER </t>
  </si>
  <si>
    <t>/
5.1 hp 
No</t>
  </si>
  <si>
    <t>4511-LE-016</t>
  </si>
  <si>
    <t>/
12.4 hp 
No</t>
  </si>
  <si>
    <t>4511-LE-017</t>
  </si>
  <si>
    <t>CRUSHER DUST HOOD</t>
  </si>
  <si>
    <t>/
0.15 hp 
No</t>
  </si>
  <si>
    <t>4511-LE-018</t>
  </si>
  <si>
    <t xml:space="preserve">DRYING OVEN </t>
  </si>
  <si>
    <t>/
16.2 hp 
No</t>
  </si>
  <si>
    <t>4511-LE-019</t>
  </si>
  <si>
    <t>4511-LE-020</t>
  </si>
  <si>
    <t xml:space="preserve">DUST COLLECTOR </t>
  </si>
  <si>
    <t>/
24 hp 
No</t>
  </si>
  <si>
    <t xml:space="preserve">DONALDSONS - DF02-12 </t>
  </si>
  <si>
    <t>4511-LE-021</t>
  </si>
  <si>
    <t xml:space="preserve">FUMEHOOD </t>
  </si>
  <si>
    <t>4511-LE-022</t>
  </si>
  <si>
    <t xml:space="preserve">FUSION SYSTEM </t>
  </si>
  <si>
    <t>/
13.4 hp 
No</t>
  </si>
  <si>
    <t>4511-LE-023</t>
  </si>
  <si>
    <t xml:space="preserve">HOT PLATE </t>
  </si>
  <si>
    <t>/
6.6 hp 
No</t>
  </si>
  <si>
    <t>4511-LE-024</t>
  </si>
  <si>
    <t xml:space="preserve">MUFFLE FURNACE </t>
  </si>
  <si>
    <t>/
5.9 hp 
No</t>
  </si>
  <si>
    <t>4511-LE-027</t>
  </si>
  <si>
    <t xml:space="preserve">PULVERIZER </t>
  </si>
  <si>
    <t>/
4.1 hp 
No</t>
  </si>
  <si>
    <t xml:space="preserve">RM2000 </t>
  </si>
  <si>
    <t>4511-LE-028</t>
  </si>
  <si>
    <t>4511-LE-029</t>
  </si>
  <si>
    <t>PULVERIZER DUST HOOD</t>
  </si>
  <si>
    <t>4511-LE-030</t>
  </si>
  <si>
    <t xml:space="preserve">ROTAP </t>
  </si>
  <si>
    <t>/
1.22 hp 
No</t>
  </si>
  <si>
    <t>4511-LE-031</t>
  </si>
  <si>
    <t>ROTAP DUST HOOD</t>
  </si>
  <si>
    <t>4511-LE-032</t>
  </si>
  <si>
    <t>MAGNETITE ANALYSER</t>
  </si>
  <si>
    <t xml:space="preserve">SATMAGAN - MAGNETITE CONTENT MEASURING INSTRUMENT </t>
  </si>
  <si>
    <t>4511-LE-033</t>
  </si>
  <si>
    <t xml:space="preserve">SCRUBBER FAN </t>
  </si>
  <si>
    <t>/
12.7 hp 
No</t>
  </si>
  <si>
    <t xml:space="preserve">MV-16 SCRUBBER FAN </t>
  </si>
  <si>
    <t>4511-LE-034</t>
  </si>
  <si>
    <t>SCRUBBER RECIRCULATION PUMP</t>
  </si>
  <si>
    <t>/
3 hp 
No</t>
  </si>
  <si>
    <t>4511-LE-035</t>
  </si>
  <si>
    <t>THERMOGRAVIMETRIC ANALYSER</t>
  </si>
  <si>
    <t>/
7.8 hp 
No</t>
  </si>
  <si>
    <t xml:space="preserve">LECO TGA </t>
  </si>
  <si>
    <t>4511-LE-036</t>
  </si>
  <si>
    <t xml:space="preserve">XRF SPECTROMETER </t>
  </si>
  <si>
    <t>/
9.5 hp 
No</t>
  </si>
  <si>
    <t xml:space="preserve">XRF SPECTROMETER &amp; UNINTERRUPTED POWER SUPPLY </t>
  </si>
  <si>
    <t xml:space="preserve">4513 </t>
  </si>
  <si>
    <t>4513-MO-001</t>
  </si>
  <si>
    <t xml:space="preserve">L: 6680 
W: 2438 
H: 2024 </t>
  </si>
  <si>
    <t xml:space="preserve">WHEELED COACH TYPE I, 4X4; TURBO DIESEL </t>
  </si>
  <si>
    <t xml:space="preserve">FORD F450 </t>
  </si>
  <si>
    <t>4513-MO-002</t>
  </si>
  <si>
    <t xml:space="preserve">L: 10922 
W: 2921 
H: 3607 </t>
  </si>
  <si>
    <t xml:space="preserve">39000 GVWR 
</t>
  </si>
  <si>
    <t xml:space="preserve">3000 GAL WATER TANK </t>
  </si>
  <si>
    <t xml:space="preserve">420 GAL FOAM TANK; 450 LB DRY CHEMICAL TANK; ARFF WITH SNOZZLE </t>
  </si>
  <si>
    <t xml:space="preserve">OSHKOSH TI3000 </t>
  </si>
  <si>
    <t>4513-MO-003</t>
  </si>
  <si>
    <t xml:space="preserve">SNOW RESCUE VEHICLE </t>
  </si>
  <si>
    <t xml:space="preserve">L: 6900 
W: 1870 
H: 2400 </t>
  </si>
  <si>
    <t xml:space="preserve">6580 
</t>
  </si>
  <si>
    <t xml:space="preserve">17 PASSENGER </t>
  </si>
  <si>
    <t xml:space="preserve">HAGGLUND BV206 </t>
  </si>
  <si>
    <t>4513-PP-006</t>
  </si>
  <si>
    <t>4513-MT-006</t>
  </si>
  <si>
    <t xml:space="preserve">4513-PP-006 </t>
  </si>
  <si>
    <t>4513-PP-021</t>
  </si>
  <si>
    <t>MINE EMERGENCY RESPONSE GARAGE FUEL OIL PUMP (PUMP)</t>
  </si>
  <si>
    <t>4513-MT-021</t>
  </si>
  <si>
    <t xml:space="preserve">4513-PP-021 </t>
  </si>
  <si>
    <t>4513-PP-022</t>
  </si>
  <si>
    <t>MINE EMERGENCY RESPONSE GARAGE FUEL OIL PUMP (STANDBY)</t>
  </si>
  <si>
    <t>4513-MT-022</t>
  </si>
  <si>
    <t xml:space="preserve">4513-PP-022 </t>
  </si>
  <si>
    <t>4513-SQ-010</t>
  </si>
  <si>
    <t>MINE EMERGENCY RESPONSE GARAGE DIESEL FUEL TANK</t>
  </si>
  <si>
    <t xml:space="preserve">4521 </t>
  </si>
  <si>
    <t>4521-PP-003</t>
  </si>
  <si>
    <t>WELDING SHOP FUEL OIL PUMP (DUTY)</t>
  </si>
  <si>
    <t>4521-MT-003</t>
  </si>
  <si>
    <t xml:space="preserve">4521-PP-003 </t>
  </si>
  <si>
    <t>4521-PP-004</t>
  </si>
  <si>
    <t>WELDING SHOP FUEL OIL PUMP (STANDBY)</t>
  </si>
  <si>
    <t>4521-MT-004</t>
  </si>
  <si>
    <t xml:space="preserve">4521-PP-004 </t>
  </si>
  <si>
    <t>4521-PP-011</t>
  </si>
  <si>
    <t xml:space="preserve">PX004 </t>
  </si>
  <si>
    <t>4521-MT-011</t>
  </si>
  <si>
    <t xml:space="preserve">4521-PP-011 </t>
  </si>
  <si>
    <t>PX004</t>
  </si>
  <si>
    <t>4521-PP-012</t>
  </si>
  <si>
    <t>4521-MT-012</t>
  </si>
  <si>
    <t xml:space="preserve">4521-PP-012 </t>
  </si>
  <si>
    <t>4521-PP-021</t>
  </si>
  <si>
    <t>WAREHOUSE BUILDING FUEL OIL PUMP (DUTY)</t>
  </si>
  <si>
    <t>4521-MT-021</t>
  </si>
  <si>
    <t xml:space="preserve">4521-PP-021 </t>
  </si>
  <si>
    <t>4521-PP-022</t>
  </si>
  <si>
    <t>WAREHOUSE BUILDING FUEL OIL PUMP (STANDBY)</t>
  </si>
  <si>
    <t>4521-MT-022</t>
  </si>
  <si>
    <t xml:space="preserve">4521-PP-022 </t>
  </si>
  <si>
    <t>4521-PP-051</t>
  </si>
  <si>
    <t>4521-MT-051</t>
  </si>
  <si>
    <t xml:space="preserve">4521-PP-051 </t>
  </si>
  <si>
    <t>WELDING SHOP DIESEL FUEL TANK</t>
  </si>
  <si>
    <t>MAINTENANCE BUILDING DIESEL TANK</t>
  </si>
  <si>
    <t>WAREHOUSE BUILDING DIESEL TANK</t>
  </si>
  <si>
    <t xml:space="preserve">4522 </t>
  </si>
  <si>
    <t>4522-SQ-001</t>
  </si>
  <si>
    <t xml:space="preserve">INDUSTRIAL FREEZER </t>
  </si>
  <si>
    <t xml:space="preserve">L: 1525 
W: 715 
H: 1250 </t>
  </si>
  <si>
    <t xml:space="preserve">290 
</t>
  </si>
  <si>
    <t xml:space="preserve">20 CU.FT.  </t>
  </si>
  <si>
    <t>/
0.35 hp 
No</t>
  </si>
  <si>
    <t xml:space="preserve">RANGE -45C TO -80C. 20 FT3 </t>
  </si>
  <si>
    <t xml:space="preserve">ONTARIO OVENS 80-12 </t>
  </si>
  <si>
    <t xml:space="preserve">KIDNEY LOOP </t>
  </si>
  <si>
    <t xml:space="preserve">50 
</t>
  </si>
  <si>
    <t xml:space="preserve">10 GPM FLOW </t>
  </si>
  <si>
    <t>/
1.62 hp 
No</t>
  </si>
  <si>
    <t xml:space="preserve">OPERATING TEMP -40 DEG C TO 66 DEG C; HYDRAULIC FILTER CART 10 MFP </t>
  </si>
  <si>
    <t xml:space="preserve">AG - DYE10MFP240SA10QBV </t>
  </si>
  <si>
    <t>4522-SQ-003</t>
  </si>
  <si>
    <t xml:space="preserve">LARGE SHOP PRESS </t>
  </si>
  <si>
    <t xml:space="preserve">L: 1295 
W: 1727 
H: 3125 </t>
  </si>
  <si>
    <t xml:space="preserve">1970 
</t>
  </si>
  <si>
    <t xml:space="preserve">150 TON </t>
  </si>
  <si>
    <t xml:space="preserve">AG - OTC1866 </t>
  </si>
  <si>
    <t>4522-SQ-004</t>
  </si>
  <si>
    <t xml:space="preserve">LATHE </t>
  </si>
  <si>
    <t xml:space="preserve">W: 44 
H: 64 </t>
  </si>
  <si>
    <t xml:space="preserve">20 INCH </t>
  </si>
  <si>
    <t>/
10.13 hp 
No</t>
  </si>
  <si>
    <t xml:space="preserve">THREE LENGTHS: 94" (4730 LBS) / 114" (5590 LBS) / 134" (6800 LBS) </t>
  </si>
  <si>
    <t xml:space="preserve">SUMMIT MACHINE TOOL </t>
  </si>
  <si>
    <t xml:space="preserve">LATHE SPINDLE MOTOR </t>
  </si>
  <si>
    <t xml:space="preserve">4522-SQ-004 </t>
  </si>
  <si>
    <t>/
10 hp 
/</t>
  </si>
  <si>
    <t>4522-MT-004B</t>
  </si>
  <si>
    <t xml:space="preserve">LATHE COOLANT PUMP </t>
  </si>
  <si>
    <t>/
0.13 hp 
/</t>
  </si>
  <si>
    <t>4522-SQ-005</t>
  </si>
  <si>
    <t xml:space="preserve">MILLING MACHINE </t>
  </si>
  <si>
    <t>4522-SQ-006</t>
  </si>
  <si>
    <t xml:space="preserve">LINE BORING MACHINE </t>
  </si>
  <si>
    <t xml:space="preserve">L: 1830 
W: 330 
H: 280 </t>
  </si>
  <si>
    <t xml:space="preserve">205 
</t>
  </si>
  <si>
    <t xml:space="preserve">BORING DIA. 12" (OPT. 24") </t>
  </si>
  <si>
    <t>/
10.1 hp 
No</t>
  </si>
  <si>
    <t xml:space="preserve">BORING DIAMETERS 1.5" - 2" </t>
  </si>
  <si>
    <t xml:space="preserve">CLIMAX BB5000 </t>
  </si>
  <si>
    <t>4522-SQ-008</t>
  </si>
  <si>
    <t xml:space="preserve">IRON WORKER </t>
  </si>
  <si>
    <t xml:space="preserve">L: 1525 
W: 915 
H: 1985 </t>
  </si>
  <si>
    <t xml:space="preserve">2300 
</t>
  </si>
  <si>
    <t xml:space="preserve">84 TON PUNCH STATION </t>
  </si>
  <si>
    <t xml:space="preserve">HYDRAULIC SW-84 / SHIPS IN THREE (3) SEPERATE PACKAGES </t>
  </si>
  <si>
    <t xml:space="preserve">BAILEIGH INDUSTRIAL 001-99777 </t>
  </si>
  <si>
    <t>4522-SQ-009</t>
  </si>
  <si>
    <t xml:space="preserve">HEAVY TRUCK RAMP </t>
  </si>
  <si>
    <t xml:space="preserve">L: 13360 
W: 4980 
H: 3990 </t>
  </si>
  <si>
    <t xml:space="preserve">27 TON LIFTING CAPACITY </t>
  </si>
  <si>
    <t xml:space="preserve">COMPLETE WITH ROLLING JACK AND ROLLING DRAIN PAN </t>
  </si>
  <si>
    <t xml:space="preserve">ROTARY 60000HDL </t>
  </si>
  <si>
    <t>4522-SQ-010</t>
  </si>
  <si>
    <t xml:space="preserve">LIGHT TRUCK RAMP </t>
  </si>
  <si>
    <t xml:space="preserve">H: 6990 </t>
  </si>
  <si>
    <t xml:space="preserve">8 TON LIFTING CAPACITY </t>
  </si>
  <si>
    <t xml:space="preserve">ROTARY SM18LO-X </t>
  </si>
  <si>
    <t>4522-SQ-011</t>
  </si>
  <si>
    <t xml:space="preserve">TIRE SIPING MACHINE </t>
  </si>
  <si>
    <t>4522-SQ-012</t>
  </si>
  <si>
    <t xml:space="preserve">AIR FILTER CLEANER </t>
  </si>
  <si>
    <t xml:space="preserve">L: 1830 
W: 1830 
H: 2650 </t>
  </si>
  <si>
    <t xml:space="preserve">55 GAL DUST DRUM </t>
  </si>
  <si>
    <t xml:space="preserve">REQUIRES COMPRESSED AIR AT 90 PSI </t>
  </si>
  <si>
    <t xml:space="preserve">DIVERSI-TECH </t>
  </si>
  <si>
    <t>4522-SQ-018</t>
  </si>
  <si>
    <t>4522-SQ-019</t>
  </si>
  <si>
    <t>4522-SQ-021</t>
  </si>
  <si>
    <t>4522-SQ-022</t>
  </si>
  <si>
    <t>4522-SQ-023</t>
  </si>
  <si>
    <t>4522-SQ-026</t>
  </si>
  <si>
    <t>4522-SQ-027</t>
  </si>
  <si>
    <t>4522-SQ-028</t>
  </si>
  <si>
    <t>4522-SQ-029</t>
  </si>
  <si>
    <t>4522-SQ-031</t>
  </si>
  <si>
    <t>4522-SQ-036</t>
  </si>
  <si>
    <t>4522-SQ-038</t>
  </si>
  <si>
    <t xml:space="preserve">TRACK PIN PRESS </t>
  </si>
  <si>
    <t>4522-SQ-041</t>
  </si>
  <si>
    <t>4522-SQ-042</t>
  </si>
  <si>
    <t>4522-SQ-043</t>
  </si>
  <si>
    <t>4522-SQ-044</t>
  </si>
  <si>
    <t>4522-SQ-046</t>
  </si>
  <si>
    <t xml:space="preserve">METAL BREAK FLOOR </t>
  </si>
  <si>
    <t xml:space="preserve">580 
</t>
  </si>
  <si>
    <t xml:space="preserve">AG - GGS13W877 </t>
  </si>
  <si>
    <t>4522-SQ-047</t>
  </si>
  <si>
    <t>4522-SQ-048</t>
  </si>
  <si>
    <t>4522-SQ-049</t>
  </si>
  <si>
    <t>4522-SQ-050</t>
  </si>
  <si>
    <t>4522-SQ-051</t>
  </si>
  <si>
    <t>4522-SQ-052</t>
  </si>
  <si>
    <t>4522-SQ-053</t>
  </si>
  <si>
    <t>4522-MT-053</t>
  </si>
  <si>
    <t xml:space="preserve">4522-SQ-053 </t>
  </si>
  <si>
    <t>4522-SQ-054</t>
  </si>
  <si>
    <t>4522-MT-054</t>
  </si>
  <si>
    <t xml:space="preserve">4522-SQ-054 </t>
  </si>
  <si>
    <t>4522-SQ-055</t>
  </si>
  <si>
    <t>4522-MT-055</t>
  </si>
  <si>
    <t xml:space="preserve">4522-SQ-055 </t>
  </si>
  <si>
    <t>4522-SQ-056</t>
  </si>
  <si>
    <t>4522-MT-056</t>
  </si>
  <si>
    <t xml:space="preserve">4522-SQ-056 </t>
  </si>
  <si>
    <t>4522-SQ-059</t>
  </si>
  <si>
    <t>4522-SQ-060</t>
  </si>
  <si>
    <t>4522-SQ-063</t>
  </si>
  <si>
    <t xml:space="preserve">AG - OTC4240 </t>
  </si>
  <si>
    <t>4522-SQ-064</t>
  </si>
  <si>
    <t xml:space="preserve">INCHING TOOL </t>
  </si>
  <si>
    <t xml:space="preserve">OPEN LOOP ENERGY </t>
  </si>
  <si>
    <t>4522-SQ-068</t>
  </si>
  <si>
    <t xml:space="preserve">4523 </t>
  </si>
  <si>
    <t>4523-PP-002</t>
  </si>
  <si>
    <t>TRUCK WASH BUILDING FUEL OIL PUMP (DUTY)</t>
  </si>
  <si>
    <t>4523-MT-002</t>
  </si>
  <si>
    <t xml:space="preserve">4523-PP-002 </t>
  </si>
  <si>
    <t>4523-PP-003</t>
  </si>
  <si>
    <t>TRUCK WASH BUILDING FUEL OIL PUMP (STANDBY)</t>
  </si>
  <si>
    <t>4523-MT-003</t>
  </si>
  <si>
    <t xml:space="preserve">4523-PP-003 </t>
  </si>
  <si>
    <t>4523-TK-004</t>
  </si>
  <si>
    <t>TRUCK WASH BUILDING DIESEL TANK</t>
  </si>
  <si>
    <t>4523-VP-001</t>
  </si>
  <si>
    <t>TRUCK WASH FACILITY VENDOR PACKAGE</t>
  </si>
  <si>
    <t xml:space="preserve">SANJAY DAHIYA
 </t>
  </si>
  <si>
    <t>/
7 hp 
No</t>
  </si>
  <si>
    <t>H349000-4720-05-030-0004 
/
/</t>
  </si>
  <si>
    <t xml:space="preserve">PM114 </t>
  </si>
  <si>
    <t xml:space="preserve">4540 </t>
  </si>
  <si>
    <t>4540-PP-005</t>
  </si>
  <si>
    <t>MINE WASTE MANAGEMENT BUILDING FUEL OIL PUMP (DUTY)</t>
  </si>
  <si>
    <t>4540-MT-005</t>
  </si>
  <si>
    <t xml:space="preserve">4540-PP-005 </t>
  </si>
  <si>
    <t>4540-PP-006</t>
  </si>
  <si>
    <t>MINE WASTE MANAGEMENT BUILDING FUEL OIL PUMP (STANDBY)</t>
  </si>
  <si>
    <t>4540-MT-006</t>
  </si>
  <si>
    <t xml:space="preserve">4540-PP-006 </t>
  </si>
  <si>
    <t>4540-SQ-003</t>
  </si>
  <si>
    <t>4540-SQ-004</t>
  </si>
  <si>
    <t>4540-TK-007</t>
  </si>
  <si>
    <t>4613-PP-001</t>
  </si>
  <si>
    <t>DIESEL FUEL DISPENSING MODULE DISCHARGE PUMP</t>
  </si>
  <si>
    <t>4613-PP-002</t>
  </si>
  <si>
    <t>4613-PP-003</t>
  </si>
  <si>
    <t>4613-PP-004</t>
  </si>
  <si>
    <t>4613-PP-005</t>
  </si>
  <si>
    <t>4613-PP-006</t>
  </si>
  <si>
    <t>4613-PP-007</t>
  </si>
  <si>
    <t>4613-PP-008</t>
  </si>
  <si>
    <t xml:space="preserve">W: 8350 DIA 
H: 9140 </t>
  </si>
  <si>
    <t xml:space="preserve">500 kL </t>
  </si>
  <si>
    <t xml:space="preserve">4619 </t>
  </si>
  <si>
    <t>4619-GE-001</t>
  </si>
  <si>
    <t>4619-GE-002</t>
  </si>
  <si>
    <t>4619-GE-003</t>
  </si>
  <si>
    <t>4619-GE-004</t>
  </si>
  <si>
    <t>4619-GE-005</t>
  </si>
  <si>
    <t>4619-GE-006</t>
  </si>
  <si>
    <t xml:space="preserve">4720 </t>
  </si>
  <si>
    <t>4720-PP-002</t>
  </si>
  <si>
    <t>/
35 hp 
No</t>
  </si>
  <si>
    <t>H349000-4720-05-030-0001 
/
/</t>
  </si>
  <si>
    <t>4720-MT-002</t>
  </si>
  <si>
    <t xml:space="preserve">RAW WATER DISTRIBUTION PUMP </t>
  </si>
  <si>
    <t xml:space="preserve">4720-PP-002 </t>
  </si>
  <si>
    <t>/
35 hp 
/</t>
  </si>
  <si>
    <t>TX001</t>
  </si>
  <si>
    <t>4720-PP-003</t>
  </si>
  <si>
    <t>4720-MT-003</t>
  </si>
  <si>
    <t xml:space="preserve">4720-PP-003 </t>
  </si>
  <si>
    <t>4720-PP-004</t>
  </si>
  <si>
    <t>4720-PP-005</t>
  </si>
  <si>
    <t>4720-PP-006</t>
  </si>
  <si>
    <t>4720-PP-008</t>
  </si>
  <si>
    <t>RAW WATER FEED PUMP</t>
  </si>
  <si>
    <t xml:space="preserve">10 HP </t>
  </si>
  <si>
    <t>/
10 hp 
No</t>
  </si>
  <si>
    <t xml:space="preserve">PM003 </t>
  </si>
  <si>
    <t>4720-MT-008</t>
  </si>
  <si>
    <t xml:space="preserve">RAW WATER FEED PUMP </t>
  </si>
  <si>
    <t xml:space="preserve">4720-PP-008 </t>
  </si>
  <si>
    <t>PM003</t>
  </si>
  <si>
    <t>4720-PP-010</t>
  </si>
  <si>
    <t>4720-PP-011</t>
  </si>
  <si>
    <t>4720-PP-013</t>
  </si>
  <si>
    <t>4720-PP-014</t>
  </si>
  <si>
    <t>4720-PP-015</t>
  </si>
  <si>
    <t xml:space="preserve">VERTICAL TURBINE PUMP </t>
  </si>
  <si>
    <t>4720-MT-015</t>
  </si>
  <si>
    <t xml:space="preserve">4720-PP-015 </t>
  </si>
  <si>
    <t>4720-PP-031</t>
  </si>
  <si>
    <t>MINE WATER BUILDING FUEL OIL PUMP (DUTY)</t>
  </si>
  <si>
    <t>4720-MT-031</t>
  </si>
  <si>
    <t xml:space="preserve">4720-PP-031 </t>
  </si>
  <si>
    <t>4720-PP-032</t>
  </si>
  <si>
    <t>MINE WATER BUILDING FUEL OIL PUMP (STANDBY)</t>
  </si>
  <si>
    <t>4720-MT-032</t>
  </si>
  <si>
    <t xml:space="preserve">4720-PP-032 </t>
  </si>
  <si>
    <t>4720-TK-033</t>
  </si>
  <si>
    <t>MINE WATER BUILDING DIESEL FUEL TANK</t>
  </si>
  <si>
    <t>POTABLE WATER TREATMENT PLANT VENDOR PACKAGE</t>
  </si>
  <si>
    <t xml:space="preserve">4731 </t>
  </si>
  <si>
    <t>4731-PP-003</t>
  </si>
  <si>
    <t>4731-PP-004</t>
  </si>
  <si>
    <t>4731-SC-001</t>
  </si>
  <si>
    <t>H349000-4731-05-030-0001/H349000-2731-05-030-0001 
/
/</t>
  </si>
  <si>
    <t xml:space="preserve">4732 </t>
  </si>
  <si>
    <t>4732-PP-001</t>
  </si>
  <si>
    <t>MINE SEWAGE TRUCK BUILDING FUEL OIL PUMP (DUTY)</t>
  </si>
  <si>
    <t>4732-MT-001</t>
  </si>
  <si>
    <t xml:space="preserve">4732-PP-001 </t>
  </si>
  <si>
    <t>4732-PP-002</t>
  </si>
  <si>
    <t>MINE SEWAGE TRUCK BUILDING FUEL OIL PUMP (STANDBY)</t>
  </si>
  <si>
    <t>4732-MT-002</t>
  </si>
  <si>
    <t xml:space="preserve">4732-PP-002 </t>
  </si>
  <si>
    <t>MINE SEWAGE TRUCK BUILDING DIESEL FUEL TANK</t>
  </si>
  <si>
    <t xml:space="preserve">4733 </t>
  </si>
  <si>
    <t>TREATED EFFLUENT POND SLUICE GATE</t>
  </si>
  <si>
    <t xml:space="preserve">BULK MATERIAL VALVES </t>
  </si>
  <si>
    <t xml:space="preserve">BP005 </t>
  </si>
  <si>
    <t>TREATED EFFLUENT POND SLUICE GATE SPARE</t>
  </si>
  <si>
    <t xml:space="preserve">7231 </t>
  </si>
  <si>
    <t>7231-PP-003</t>
  </si>
  <si>
    <t>7231-MT-003</t>
  </si>
  <si>
    <t xml:space="preserve">7231-PP-003 </t>
  </si>
  <si>
    <t xml:space="preserve">7232 </t>
  </si>
  <si>
    <t>7232-PP-003</t>
  </si>
  <si>
    <t>BATCH PLANT OFFICE-LUNCHROOM-WC RAW WATER PUMP</t>
  </si>
  <si>
    <t>7232-MT-003</t>
  </si>
  <si>
    <t xml:space="preserve">7232-PP-003 </t>
  </si>
  <si>
    <t>7232-PP-006</t>
  </si>
  <si>
    <t>SITE SERVICES WASHCAR #1 RAW WATER PUMP</t>
  </si>
  <si>
    <t>7232-MT-006</t>
  </si>
  <si>
    <t xml:space="preserve">7232-PP-006 </t>
  </si>
  <si>
    <t>7232-PP-009</t>
  </si>
  <si>
    <t>SITE SERVICES WASHCAR #2 RAW WATER PUMP</t>
  </si>
  <si>
    <t>7232-MT-009</t>
  </si>
  <si>
    <t xml:space="preserve">7232-PP-009 </t>
  </si>
  <si>
    <t>BATCH PLANT OFFICE-LUNCHROOM-WC SEWAGE COLLECTION TANK</t>
  </si>
  <si>
    <t>BATCH PLANT OFFICE-LUNCHROOM-WC RAW WATER TANK</t>
  </si>
  <si>
    <t>SITE SERVICES WASHCAR #1 SEWAGE COLLECTION TANK</t>
  </si>
  <si>
    <t>SITE SERVICES WASHCAR #1 RAW WATER TANK</t>
  </si>
  <si>
    <t>SITE SERVICES WASHCAR #2 SEWAGE COLLECTION TANK</t>
  </si>
  <si>
    <t>SITE SERVICES WASHCAR #2 RAW WATER TANK</t>
  </si>
  <si>
    <t xml:space="preserve">7241 </t>
  </si>
  <si>
    <t>7241-MO-001</t>
  </si>
  <si>
    <t>7241-MO-002</t>
  </si>
  <si>
    <t>7241-MO-003</t>
  </si>
  <si>
    <t>7241-MO-004</t>
  </si>
  <si>
    <t>7241-MO-005</t>
  </si>
  <si>
    <t>7241-MO-006</t>
  </si>
  <si>
    <t>7241-MO-007</t>
  </si>
  <si>
    <t>7241-MO-008</t>
  </si>
  <si>
    <t>7241-MO-009</t>
  </si>
  <si>
    <t>7241-MO-010</t>
  </si>
  <si>
    <t>7241-MO-011</t>
  </si>
  <si>
    <t>7241-MO-012</t>
  </si>
  <si>
    <t>7241-MO-013</t>
  </si>
  <si>
    <t>7241-MO-014</t>
  </si>
  <si>
    <t>7241-MO-024</t>
  </si>
  <si>
    <t xml:space="preserve">CUBE VAN </t>
  </si>
  <si>
    <t xml:space="preserve">12' HEATED ENCLOSED VAN BODY </t>
  </si>
  <si>
    <t>7241-MO-026</t>
  </si>
  <si>
    <t xml:space="preserve">7243 </t>
  </si>
  <si>
    <t>7243-MO-001</t>
  </si>
  <si>
    <t xml:space="preserve">ARTICULATED HAUL TRUCK </t>
  </si>
  <si>
    <t xml:space="preserve">L: 10889 
W: 3430 
H: 3745 </t>
  </si>
  <si>
    <t xml:space="preserve">34000 
</t>
  </si>
  <si>
    <t xml:space="preserve">35 TON </t>
  </si>
  <si>
    <t xml:space="preserve">MADE IN 2012; C/W LINERS - AVAILABLE TO SHIP - NEED FIRE SUPPRESSION - WILL TAKE SOME TIME </t>
  </si>
  <si>
    <t xml:space="preserve">CAT 740B </t>
  </si>
  <si>
    <t>7243-MO-002</t>
  </si>
  <si>
    <t>7243-MO-003</t>
  </si>
  <si>
    <t>7243-MO-004</t>
  </si>
  <si>
    <t>7243-MO-005</t>
  </si>
  <si>
    <t>7243-MO-006</t>
  </si>
  <si>
    <t>7243-MO-007</t>
  </si>
  <si>
    <t>7243-MO-008</t>
  </si>
  <si>
    <t>7243-MO-009</t>
  </si>
  <si>
    <t>7243-MO-010</t>
  </si>
  <si>
    <t>7243-MO-011</t>
  </si>
  <si>
    <t xml:space="preserve">FRONT END LOADER </t>
  </si>
  <si>
    <t xml:space="preserve">STANDARD LIFT </t>
  </si>
  <si>
    <t>7243-MO-012</t>
  </si>
  <si>
    <t>7243-MO-014</t>
  </si>
  <si>
    <t xml:space="preserve">MID SIZE AIR COMPRESSOR </t>
  </si>
  <si>
    <t xml:space="preserve">375 CFM </t>
  </si>
  <si>
    <t>ATLAS COPCO</t>
  </si>
  <si>
    <t>7243-MO-015</t>
  </si>
  <si>
    <t xml:space="preserve">TRASH PUMP </t>
  </si>
  <si>
    <t xml:space="preserve">L: 711.2 
W: 533.4 
H: 621.7 </t>
  </si>
  <si>
    <t xml:space="preserve">54 
</t>
  </si>
  <si>
    <t xml:space="preserve">3" </t>
  </si>
  <si>
    <t xml:space="preserve">AVAILABLE READY TO SHIP </t>
  </si>
  <si>
    <t xml:space="preserve">GORMAN-RUPP 13D-L700EE S/G </t>
  </si>
  <si>
    <t>7243-MO-016</t>
  </si>
  <si>
    <t xml:space="preserve">MOBILE LIGHT PLANT </t>
  </si>
  <si>
    <t>7243-MO-017</t>
  </si>
  <si>
    <t>7243-MO-018</t>
  </si>
  <si>
    <t>7243-MO-019</t>
  </si>
  <si>
    <t>7243-MO-020</t>
  </si>
  <si>
    <t>7243-MO-021</t>
  </si>
  <si>
    <t>7243-MO-022</t>
  </si>
  <si>
    <t xml:space="preserve">TELEHANDLER </t>
  </si>
  <si>
    <t>7243-MO-023</t>
  </si>
  <si>
    <t xml:space="preserve">FROST FIGHTER </t>
  </si>
  <si>
    <t xml:space="preserve">350000 BTU </t>
  </si>
  <si>
    <t xml:space="preserve">OIL FIRED; C/W HEAT RECOVERY SYSTEM </t>
  </si>
  <si>
    <t xml:space="preserve">BM104 </t>
  </si>
  <si>
    <t xml:space="preserve">FROSTFIGHTER IDF350-11 </t>
  </si>
  <si>
    <t>7243-MO-024</t>
  </si>
  <si>
    <t>7243-MO-025</t>
  </si>
  <si>
    <t>7243-MO-026</t>
  </si>
  <si>
    <t>7243-MO-027</t>
  </si>
  <si>
    <t>7243-MO-028</t>
  </si>
  <si>
    <t>7243-MO-029</t>
  </si>
  <si>
    <t>7243-MO-030</t>
  </si>
  <si>
    <t>7243-MO-031</t>
  </si>
  <si>
    <t>7243-MO-032</t>
  </si>
  <si>
    <t>7243-MO-033</t>
  </si>
  <si>
    <t>7243-MO-034</t>
  </si>
  <si>
    <t>7243-MO-035</t>
  </si>
  <si>
    <t>7243-MO-036</t>
  </si>
  <si>
    <t>7243-MO-037</t>
  </si>
  <si>
    <t>7243-MO-046</t>
  </si>
  <si>
    <t xml:space="preserve">LOWBOY TRAILER </t>
  </si>
  <si>
    <t xml:space="preserve">L: 16050 
W: 2438 
</t>
  </si>
  <si>
    <t xml:space="preserve">STANDARD WIDTH </t>
  </si>
  <si>
    <t xml:space="preserve">7244 </t>
  </si>
  <si>
    <t>7244-GE-001</t>
  </si>
  <si>
    <t>ACOMMODATIONS AREA GENERATOR</t>
  </si>
  <si>
    <t xml:space="preserve">L: 14630 
W: 2440 
H: 4062 </t>
  </si>
  <si>
    <t xml:space="preserve">68320 
</t>
  </si>
  <si>
    <t xml:space="preserve">5106 L FUEL TANK </t>
  </si>
  <si>
    <t>/
2145 hp 
No</t>
  </si>
  <si>
    <t xml:space="preserve">POWER SUPPLY CAN BE SPLIT INTO 2 X 1075 HP; DIMENSIONS INCLUDE TRAILER </t>
  </si>
  <si>
    <t xml:space="preserve">CUMMINS C1600D6R </t>
  </si>
  <si>
    <t>7244-GE-002</t>
  </si>
  <si>
    <t>CONCRETE BATCH PLANT GENERATOR</t>
  </si>
  <si>
    <t xml:space="preserve">L: 4674 
W: 1730 
H: 2085 </t>
  </si>
  <si>
    <t xml:space="preserve">8800 
</t>
  </si>
  <si>
    <t xml:space="preserve">901 L FUEL TANK </t>
  </si>
  <si>
    <t>/
200 hp 
No</t>
  </si>
  <si>
    <t xml:space="preserve">CUMMINS C150D6R </t>
  </si>
  <si>
    <t>7244-GE-003</t>
  </si>
  <si>
    <t>7244-GE-004</t>
  </si>
  <si>
    <t>GENERAL GENERATOR</t>
  </si>
  <si>
    <t xml:space="preserve">L: 4500 
W: 1905 
H: 2085 </t>
  </si>
  <si>
    <t xml:space="preserve">5322 
</t>
  </si>
  <si>
    <t xml:space="preserve">606 L FUEL TANK </t>
  </si>
  <si>
    <t>/
107 hp 
No</t>
  </si>
  <si>
    <t xml:space="preserve">CUMMINS C80D6R </t>
  </si>
  <si>
    <t>7244-GE-005</t>
  </si>
  <si>
    <t>CONSTRUCTION OFFICE/LUNCHROOM/WASHCAR GENERATOR</t>
  </si>
  <si>
    <t xml:space="preserve">5230 
</t>
  </si>
  <si>
    <t>/
80 hp 
No</t>
  </si>
  <si>
    <t xml:space="preserve">CUMMINS C60D6R </t>
  </si>
  <si>
    <t>7244-GE-006</t>
  </si>
  <si>
    <t>SITE SERVICES LUNCHROOM/WASHCAR GENERATOR</t>
  </si>
  <si>
    <t xml:space="preserve">L: 2110 
W: 1020 
H: 2315 </t>
  </si>
  <si>
    <t xml:space="preserve">3776 
</t>
  </si>
  <si>
    <t xml:space="preserve">532 L FUEL TANK </t>
  </si>
  <si>
    <t>/
47 hp 
No</t>
  </si>
  <si>
    <t xml:space="preserve">NO TRAILER; DIMENSIONS ARE FOR GENERATOR ONLY </t>
  </si>
  <si>
    <t xml:space="preserve">CUMMINS DSFAA </t>
  </si>
  <si>
    <t>7244-GE-007</t>
  </si>
  <si>
    <t>LOGISTICS TRAILER GENERATOR</t>
  </si>
  <si>
    <t>7244-GE-008</t>
  </si>
  <si>
    <t>AERODROME LIGHTING GENERATOR</t>
  </si>
  <si>
    <t xml:space="preserve">L: 2160 
W: 790 
H: 1500 </t>
  </si>
  <si>
    <t xml:space="preserve">2442 
</t>
  </si>
  <si>
    <t xml:space="preserve">380 L FUEL TANK </t>
  </si>
  <si>
    <t>/
27 hp 
No</t>
  </si>
  <si>
    <t xml:space="preserve">CUMMINS DSKBA </t>
  </si>
  <si>
    <t>7244-GE-009</t>
  </si>
  <si>
    <t>WORKFACE TOOLS GENERATOR</t>
  </si>
  <si>
    <t>7244-GE-010</t>
  </si>
  <si>
    <t xml:space="preserve">7245 </t>
  </si>
  <si>
    <t>7245-MO-002</t>
  </si>
  <si>
    <t xml:space="preserve">JLG 450AJ </t>
  </si>
  <si>
    <t>7245-MO-003</t>
  </si>
  <si>
    <t>7245-MO-004</t>
  </si>
  <si>
    <t xml:space="preserve">GENIE Z45/25 </t>
  </si>
  <si>
    <t>7245-MO-005</t>
  </si>
  <si>
    <t>7245-MO-006</t>
  </si>
  <si>
    <t>7245-MO-007</t>
  </si>
  <si>
    <t xml:space="preserve">BOOM TRUCK </t>
  </si>
  <si>
    <t xml:space="preserve">26 T </t>
  </si>
  <si>
    <t xml:space="preserve">MOUNTED ON A 2004 FORD STERLING 7501 </t>
  </si>
  <si>
    <t xml:space="preserve">MAMTEX 26101C </t>
  </si>
  <si>
    <t>7245-MO-008</t>
  </si>
  <si>
    <t xml:space="preserve">MAINTENANCE CRANE </t>
  </si>
  <si>
    <t xml:space="preserve">41400 
</t>
  </si>
  <si>
    <t xml:space="preserve">ETA JULY 15, 2013 </t>
  </si>
  <si>
    <t xml:space="preserve">GROVE RT890E </t>
  </si>
  <si>
    <t>7245-MO-010</t>
  </si>
  <si>
    <t>WAREHOUSE FREIGHT DELIVERY FLAT DECK TRUCKS</t>
  </si>
  <si>
    <t xml:space="preserve">3311 
</t>
  </si>
  <si>
    <t xml:space="preserve">12666 LBS MAXIMUM PAYLOAD </t>
  </si>
  <si>
    <t xml:space="preserve">12' FLAT DECK BODY </t>
  </si>
  <si>
    <t>7245-MO-011</t>
  </si>
  <si>
    <t>7245-MO-012</t>
  </si>
  <si>
    <t xml:space="preserve">7340 </t>
  </si>
  <si>
    <t>7340-MO-001</t>
  </si>
  <si>
    <t xml:space="preserve">TRACK DOZER </t>
  </si>
  <si>
    <t xml:space="preserve">L: 4674 
W: 2000 
H: 2900 </t>
  </si>
  <si>
    <t xml:space="preserve">9250 
</t>
  </si>
  <si>
    <t xml:space="preserve">BLADE WIDTH: 3200 MM </t>
  </si>
  <si>
    <t>7340-MO-002</t>
  </si>
  <si>
    <t>7340-MO-003</t>
  </si>
  <si>
    <t xml:space="preserve">LGP - LOW GROUND PRESSURE </t>
  </si>
  <si>
    <t xml:space="preserve">CAT D6-LGP </t>
  </si>
  <si>
    <t>7340-MO-004</t>
  </si>
  <si>
    <t xml:space="preserve">MID SIZE EXCAVATOR </t>
  </si>
  <si>
    <t>7340-MO-014</t>
  </si>
  <si>
    <t xml:space="preserve">COMPACTOR </t>
  </si>
  <si>
    <t xml:space="preserve">L: 5970 
W: 2300 
H: 3070 </t>
  </si>
  <si>
    <t xml:space="preserve">15650 
</t>
  </si>
  <si>
    <t xml:space="preserve">MADE IN 2011 </t>
  </si>
  <si>
    <t xml:space="preserve">CAT CS74 </t>
  </si>
  <si>
    <t>7340-MO-015</t>
  </si>
  <si>
    <t xml:space="preserve">MADE IN 2007; 84" PADFOOT VIBRATORY SOIL COMPACTOR </t>
  </si>
  <si>
    <t xml:space="preserve">CAT CP563E </t>
  </si>
  <si>
    <t>7340-MO-016</t>
  </si>
  <si>
    <t>7340-MO-017</t>
  </si>
  <si>
    <t xml:space="preserve">7432 </t>
  </si>
  <si>
    <t>7432-PP-003</t>
  </si>
  <si>
    <t>7432-MT-003</t>
  </si>
  <si>
    <t xml:space="preserve">7432-PP-003 </t>
  </si>
  <si>
    <t>7432-PP-006</t>
  </si>
  <si>
    <t>FUEL SYSTEMS WASHCAR RAW WATER PUMP</t>
  </si>
  <si>
    <t>7432-MT-006</t>
  </si>
  <si>
    <t xml:space="preserve">7432-PP-006 </t>
  </si>
  <si>
    <t>7432-PP-009</t>
  </si>
  <si>
    <t>7432-MT-009</t>
  </si>
  <si>
    <t xml:space="preserve">7432-PP-009 </t>
  </si>
  <si>
    <t>7432-PP-012</t>
  </si>
  <si>
    <t>7432-MT-012</t>
  </si>
  <si>
    <t xml:space="preserve">7432-PP-012 </t>
  </si>
  <si>
    <t>FUEL SYSTEMS WASHCAR SEWAGE COLLECTION TANK</t>
  </si>
  <si>
    <t>FUEL SYSTEMS WASHCAR RAW WATER TANK</t>
  </si>
  <si>
    <t xml:space="preserve">7441 </t>
  </si>
  <si>
    <t>7441-MO-008</t>
  </si>
  <si>
    <t xml:space="preserve">FUEL/LUBE TRUCK - ARTICULATED </t>
  </si>
  <si>
    <t xml:space="preserve">4175 GAL </t>
  </si>
  <si>
    <t xml:space="preserve">ENCLOSED FUEL LUBE TRUCK; 4175 GAL DIESEL TANK; 6 PRODUCT TANKS IN FABRICATION - ETA SEPT 1, 2013 </t>
  </si>
  <si>
    <t xml:space="preserve">CAT 740 EFLT </t>
  </si>
  <si>
    <t>7441-MO-025</t>
  </si>
  <si>
    <t xml:space="preserve">7443 </t>
  </si>
  <si>
    <t>7443-MO-001</t>
  </si>
  <si>
    <t>7443-MO-002</t>
  </si>
  <si>
    <t>7443-MO-003</t>
  </si>
  <si>
    <t xml:space="preserve">ETA JULY 24, 2013 </t>
  </si>
  <si>
    <t>7443-MO-004</t>
  </si>
  <si>
    <t>7443-MO-005</t>
  </si>
  <si>
    <t>7443-MO-006</t>
  </si>
  <si>
    <t>7443-MO-007</t>
  </si>
  <si>
    <t>7443-MO-008</t>
  </si>
  <si>
    <t>7443-MO-009</t>
  </si>
  <si>
    <t>7443-MO-010</t>
  </si>
  <si>
    <t>7443-MO-011</t>
  </si>
  <si>
    <t>7443-MO-012</t>
  </si>
  <si>
    <t>7443-MO-014</t>
  </si>
  <si>
    <t>7443-MO-015</t>
  </si>
  <si>
    <t xml:space="preserve">LARGE AIR COMPRESSOR </t>
  </si>
  <si>
    <t xml:space="preserve">830 CFM </t>
  </si>
  <si>
    <t>7443-MO-016</t>
  </si>
  <si>
    <t>7443-MO-017</t>
  </si>
  <si>
    <t>7443-MO-018</t>
  </si>
  <si>
    <t>7443-MO-019</t>
  </si>
  <si>
    <t>7443-MO-020</t>
  </si>
  <si>
    <t>7443-MO-021</t>
  </si>
  <si>
    <t>7443-MO-022</t>
  </si>
  <si>
    <t>7443-MO-023</t>
  </si>
  <si>
    <t>7443-MO-024</t>
  </si>
  <si>
    <t>7443-MO-025</t>
  </si>
  <si>
    <t>7443-MO-026</t>
  </si>
  <si>
    <t>7443-MO-027</t>
  </si>
  <si>
    <t>7443-MO-028</t>
  </si>
  <si>
    <t>7443-MO-029</t>
  </si>
  <si>
    <t>7443-MO-030</t>
  </si>
  <si>
    <t>7443-MO-031</t>
  </si>
  <si>
    <t>7443-MO-032</t>
  </si>
  <si>
    <t>7443-MO-033</t>
  </si>
  <si>
    <t>7443-MO-034</t>
  </si>
  <si>
    <t>7443-MO-035</t>
  </si>
  <si>
    <t>7443-MO-036</t>
  </si>
  <si>
    <t>7443-MO-037</t>
  </si>
  <si>
    <t>7443-MO-038</t>
  </si>
  <si>
    <t>7443-MO-051</t>
  </si>
  <si>
    <t xml:space="preserve">L: 16050 
W: 3658 
</t>
  </si>
  <si>
    <t xml:space="preserve">60T </t>
  </si>
  <si>
    <t>7443-MO-052</t>
  </si>
  <si>
    <t xml:space="preserve">HIBOY TRAILER </t>
  </si>
  <si>
    <t>7443-MO-053</t>
  </si>
  <si>
    <t xml:space="preserve">SANDVIK 800 </t>
  </si>
  <si>
    <t>7443-MO-054</t>
  </si>
  <si>
    <t xml:space="preserve">7444 </t>
  </si>
  <si>
    <t>7444-GE-001</t>
  </si>
  <si>
    <t>ACCOMMODATIONS AREA GENERATOR</t>
  </si>
  <si>
    <t xml:space="preserve">L: 14630 
W: 2440 
H: 4065 </t>
  </si>
  <si>
    <t xml:space="preserve">78220 
</t>
  </si>
  <si>
    <t xml:space="preserve">CUMMINS C1600D6RG </t>
  </si>
  <si>
    <t>7444-GE-002</t>
  </si>
  <si>
    <t xml:space="preserve">L: 4675 
W: 1730 
H: 2085 </t>
  </si>
  <si>
    <t xml:space="preserve">10466 
</t>
  </si>
  <si>
    <t>7444-GE-003</t>
  </si>
  <si>
    <t>7444-GE-004</t>
  </si>
  <si>
    <t xml:space="preserve">L: 4496 
W: 1905 
H: 2085 </t>
  </si>
  <si>
    <t xml:space="preserve">6458 
</t>
  </si>
  <si>
    <t>7444-GE-005</t>
  </si>
  <si>
    <t xml:space="preserve">6365 
</t>
  </si>
  <si>
    <t>7444-GE-006</t>
  </si>
  <si>
    <t>RAW WATER PUMPHOUSE GENERATOR</t>
  </si>
  <si>
    <t>7444-GE-007</t>
  </si>
  <si>
    <t>7444-GE-008</t>
  </si>
  <si>
    <t>7444-GE-009</t>
  </si>
  <si>
    <t xml:space="preserve">4760 
</t>
  </si>
  <si>
    <t>7444-GE-010</t>
  </si>
  <si>
    <t>7444-GE-011</t>
  </si>
  <si>
    <t>7444-GE-012</t>
  </si>
  <si>
    <t xml:space="preserve">3145 
</t>
  </si>
  <si>
    <t>7444-GE-013</t>
  </si>
  <si>
    <t xml:space="preserve">7445 </t>
  </si>
  <si>
    <t>7445-MO-002</t>
  </si>
  <si>
    <t>7445-MO-003</t>
  </si>
  <si>
    <t>7445-MO-006</t>
  </si>
  <si>
    <t>7445-MO-007</t>
  </si>
  <si>
    <t>7445-MO-008</t>
  </si>
  <si>
    <t>7445-MO-009</t>
  </si>
  <si>
    <t xml:space="preserve">L: 12900 
W: 7910 
H: 3640 </t>
  </si>
  <si>
    <t xml:space="preserve">113000 
</t>
  </si>
  <si>
    <t xml:space="preserve">300 T </t>
  </si>
  <si>
    <t xml:space="preserve">MANITOWOC 2250 </t>
  </si>
  <si>
    <t>7445-MO-012</t>
  </si>
  <si>
    <t xml:space="preserve">MOUNTED ON A 2007 STERLING LT7501 </t>
  </si>
  <si>
    <t xml:space="preserve">MANITEX 26101C </t>
  </si>
  <si>
    <t>7445-MO-013</t>
  </si>
  <si>
    <t>7445-MO-014</t>
  </si>
  <si>
    <t xml:space="preserve">7920 </t>
  </si>
  <si>
    <t>7920-PP-001</t>
  </si>
  <si>
    <t>DECOMISSIONING PUMP</t>
  </si>
  <si>
    <t xml:space="preserve">HEATHER REID </t>
  </si>
  <si>
    <t>Approved for Use</t>
  </si>
  <si>
    <t>S. Carnegie</t>
  </si>
  <si>
    <t>G. Burton</t>
  </si>
  <si>
    <t>S. Perry</t>
  </si>
  <si>
    <t>D. Matthews</t>
  </si>
  <si>
    <t>Date</t>
  </si>
  <si>
    <t>Rev.</t>
  </si>
  <si>
    <t>Status</t>
  </si>
  <si>
    <t>Prepared By</t>
  </si>
  <si>
    <t>Checked By</t>
  </si>
  <si>
    <t>Approved By</t>
  </si>
  <si>
    <t>Component</t>
  </si>
  <si>
    <t>Unit of Measure</t>
  </si>
  <si>
    <t>Comment</t>
  </si>
  <si>
    <t>Source</t>
  </si>
  <si>
    <t>MINE SITE</t>
  </si>
  <si>
    <r>
      <t xml:space="preserve">Site </t>
    </r>
    <r>
      <rPr>
        <b/>
        <sz val="11"/>
        <color rgb="FF000000"/>
        <rFont val="Calibri"/>
        <family val="2"/>
        <scheme val="minor"/>
      </rPr>
      <t>Roads</t>
    </r>
  </si>
  <si>
    <t>m (linear)</t>
  </si>
  <si>
    <r>
      <t>Catalina to provide.</t>
    </r>
    <r>
      <rPr>
        <sz val="11"/>
        <color rgb="FF000000"/>
        <rFont val="Calibri"/>
        <family val="2"/>
        <scheme val="minor"/>
      </rPr>
      <t xml:space="preserve"> Assume same as in 2014 Marginal Closure Cost</t>
    </r>
  </si>
  <si>
    <r>
      <t xml:space="preserve">Exploration </t>
    </r>
    <r>
      <rPr>
        <b/>
        <sz val="11"/>
        <color theme="1"/>
        <rFont val="Calibri"/>
        <family val="2"/>
        <scheme val="minor"/>
      </rPr>
      <t>Soft-Wall Ca</t>
    </r>
    <r>
      <rPr>
        <b/>
        <sz val="11"/>
        <color rgb="FF000000"/>
        <rFont val="Calibri"/>
        <family val="2"/>
        <scheme val="minor"/>
      </rPr>
      <t>mp</t>
    </r>
  </si>
  <si>
    <r>
      <t>m</t>
    </r>
    <r>
      <rPr>
        <vertAlign val="superscript"/>
        <sz val="11"/>
        <color theme="1"/>
        <rFont val="Calibri"/>
        <family val="2"/>
        <scheme val="minor"/>
      </rPr>
      <t>2</t>
    </r>
  </si>
  <si>
    <r>
      <t>E</t>
    </r>
    <r>
      <rPr>
        <b/>
        <sz val="11"/>
        <color theme="1"/>
        <rFont val="Calibri"/>
        <family val="2"/>
        <scheme val="minor"/>
      </rPr>
      <t>xploration T</t>
    </r>
    <r>
      <rPr>
        <b/>
        <sz val="11"/>
        <color rgb="FF000000"/>
        <rFont val="Calibri"/>
        <family val="2"/>
        <scheme val="minor"/>
      </rPr>
      <t>ent</t>
    </r>
    <r>
      <rPr>
        <b/>
        <sz val="11"/>
        <color theme="1"/>
        <rFont val="Calibri"/>
        <family val="2"/>
        <scheme val="minor"/>
      </rPr>
      <t xml:space="preserve"> Camp Tents</t>
    </r>
  </si>
  <si>
    <r>
      <t>E</t>
    </r>
    <r>
      <rPr>
        <b/>
        <sz val="11"/>
        <color theme="1"/>
        <rFont val="Calibri"/>
        <family val="2"/>
        <scheme val="minor"/>
      </rPr>
      <t>xploration T</t>
    </r>
    <r>
      <rPr>
        <b/>
        <sz val="11"/>
        <color rgb="FF000000"/>
        <rFont val="Calibri"/>
        <family val="2"/>
        <scheme val="minor"/>
      </rPr>
      <t>ent</t>
    </r>
    <r>
      <rPr>
        <b/>
        <sz val="11"/>
        <color theme="1"/>
        <rFont val="Calibri"/>
        <family val="2"/>
        <scheme val="minor"/>
      </rPr>
      <t xml:space="preserve"> Camp Pad</t>
    </r>
  </si>
  <si>
    <t>Old Incinerator</t>
  </si>
  <si>
    <t>Add one pcs of minor mechanical equipment</t>
  </si>
  <si>
    <t>Exploration Camp Sewage Pipeline</t>
  </si>
  <si>
    <t>5,787,68</t>
  </si>
  <si>
    <r>
      <t>Existing Laydown Are</t>
    </r>
    <r>
      <rPr>
        <b/>
        <sz val="11"/>
        <color theme="1"/>
        <rFont val="Calibri"/>
        <family val="2"/>
        <scheme val="minor"/>
      </rPr>
      <t>a</t>
    </r>
  </si>
  <si>
    <r>
      <t>B</t>
    </r>
    <r>
      <rPr>
        <b/>
        <sz val="11"/>
        <color theme="1"/>
        <rFont val="Calibri"/>
        <family val="2"/>
        <scheme val="minor"/>
      </rPr>
      <t>a</t>
    </r>
    <r>
      <rPr>
        <b/>
        <sz val="11"/>
        <color rgb="FF000000"/>
        <rFont val="Calibri"/>
        <family val="2"/>
        <scheme val="minor"/>
      </rPr>
      <t>rr</t>
    </r>
    <r>
      <rPr>
        <b/>
        <sz val="11"/>
        <color theme="1"/>
        <rFont val="Calibri"/>
        <family val="2"/>
        <scheme val="minor"/>
      </rPr>
      <t>el</t>
    </r>
    <r>
      <rPr>
        <b/>
        <sz val="11"/>
        <color rgb="FF000000"/>
        <rFont val="Calibri"/>
        <family val="2"/>
        <scheme val="minor"/>
      </rPr>
      <t>ed Fuel Line Containment</t>
    </r>
  </si>
  <si>
    <r>
      <t>m</t>
    </r>
    <r>
      <rPr>
        <vertAlign val="superscript"/>
        <sz val="11"/>
        <color rgb="FF000000"/>
        <rFont val="Calibri"/>
        <family val="2"/>
        <scheme val="minor"/>
      </rPr>
      <t>2</t>
    </r>
  </si>
  <si>
    <t>Ore Stockpile Pad</t>
  </si>
  <si>
    <t>Assume no pit development</t>
  </si>
  <si>
    <r>
      <t xml:space="preserve">Exploration </t>
    </r>
    <r>
      <rPr>
        <b/>
        <sz val="11"/>
        <color theme="1"/>
        <rFont val="Calibri"/>
        <family val="2"/>
        <scheme val="minor"/>
      </rPr>
      <t>W</t>
    </r>
    <r>
      <rPr>
        <b/>
        <sz val="11"/>
        <color rgb="FF000000"/>
        <rFont val="Calibri"/>
        <family val="2"/>
        <scheme val="minor"/>
      </rPr>
      <t>orkshops</t>
    </r>
  </si>
  <si>
    <t>MILNE PORT</t>
  </si>
  <si>
    <t>Portable Water Intake</t>
  </si>
  <si>
    <t>On hold – Not built at Milne Port in 2013</t>
  </si>
  <si>
    <r>
      <t>Existing Line</t>
    </r>
    <r>
      <rPr>
        <b/>
        <sz val="11"/>
        <color theme="1"/>
        <rFont val="Calibri"/>
        <family val="2"/>
        <scheme val="minor"/>
      </rPr>
      <t>d</t>
    </r>
    <r>
      <rPr>
        <b/>
        <sz val="11"/>
        <color rgb="FF000000"/>
        <rFont val="Calibri"/>
        <family val="2"/>
        <scheme val="minor"/>
      </rPr>
      <t xml:space="preserve"> Storage Area</t>
    </r>
  </si>
  <si>
    <t>Account for in mechanical equipment</t>
  </si>
  <si>
    <t>Polishing Waste Stabilization Pond</t>
  </si>
  <si>
    <t>TOTE ROAD</t>
  </si>
  <si>
    <t>Catalina to provide.</t>
  </si>
  <si>
    <t>Catalina to provide. Based on EBA Report</t>
  </si>
  <si>
    <t>378 Culverts are identified, but 22 of them will be removed during construction</t>
  </si>
  <si>
    <r>
      <t>Tote Road Culvert Sheets: H349000-3000-10-088-0030, H349000-3000-10-088-0031,</t>
    </r>
    <r>
      <rPr>
        <sz val="11"/>
        <color theme="1"/>
        <rFont val="Calibri"/>
        <family val="2"/>
        <scheme val="minor"/>
      </rPr>
      <t xml:space="preserve"> </t>
    </r>
    <r>
      <rPr>
        <sz val="11"/>
        <color rgb="FF1F497D"/>
        <rFont val="Calibri"/>
        <family val="2"/>
        <scheme val="minor"/>
      </rPr>
      <t>H349000-3000-10-088-0032, H349000-3000-10-088-0033 and H349000-3000-10-088-0034</t>
    </r>
  </si>
  <si>
    <t>Hrs days</t>
  </si>
  <si>
    <t>Days per Week</t>
  </si>
  <si>
    <t>Rotation</t>
  </si>
  <si>
    <t>Camp Costs per Day</t>
  </si>
  <si>
    <t>Mandays</t>
  </si>
  <si>
    <t>BIM camp contract rate</t>
  </si>
  <si>
    <t>100% x duration</t>
  </si>
  <si>
    <t>4 week in</t>
  </si>
  <si>
    <t>2 weeks out</t>
  </si>
  <si>
    <t>Flight Cost</t>
  </si>
  <si>
    <t>Mary River estimate rate</t>
  </si>
  <si>
    <t>per voyage</t>
  </si>
  <si>
    <t>BIM sealift rate</t>
  </si>
  <si>
    <t>Contractor Mob and Demob</t>
  </si>
  <si>
    <t>Lump Sum</t>
  </si>
  <si>
    <t>Prorated based on Bim info</t>
  </si>
  <si>
    <t>10% of Contract</t>
  </si>
  <si>
    <t>Temp camp cost once camp has been dissambled</t>
  </si>
  <si>
    <t>Monthly rental</t>
  </si>
  <si>
    <t>Contractor T&amp;M Rates</t>
  </si>
  <si>
    <t>100% x 2 x duration</t>
  </si>
  <si>
    <t>Contractor On-site staff and supervision</t>
  </si>
  <si>
    <t>Estimated size based on direct manpower</t>
  </si>
  <si>
    <t>150 / hour assumed ratio of 10:1</t>
  </si>
  <si>
    <t>Add supervision</t>
  </si>
  <si>
    <t>Together these should be around 15%</t>
  </si>
  <si>
    <t>Total Mhrs</t>
  </si>
  <si>
    <t>Total Man Days at site</t>
  </si>
  <si>
    <t>Avg Crew Size</t>
  </si>
  <si>
    <t>Weeks</t>
  </si>
  <si>
    <t>Mths</t>
  </si>
  <si>
    <t>Mths with Camp (75%)</t>
  </si>
  <si>
    <t>Mths without Camp (25%)</t>
  </si>
  <si>
    <t>Man Days with Camp (75%)</t>
  </si>
  <si>
    <t>Man Days withou Camp (25%)</t>
  </si>
  <si>
    <t>Count of Flights</t>
  </si>
  <si>
    <t>Weeks/4 in x 1 with 50 man per flight</t>
  </si>
  <si>
    <t>Master Building Matrix</t>
  </si>
  <si>
    <t xml:space="preserve">Baffinland Iron Mines: Mary River Project </t>
  </si>
  <si>
    <t>Document: H349000-1000-00-144-0001, Rev. 4</t>
  </si>
  <si>
    <t>Changes Since Last Issue</t>
  </si>
  <si>
    <t>Building Location, Number and Name</t>
  </si>
  <si>
    <t>Building Size &amp; Footprint Area</t>
  </si>
  <si>
    <t>Contained Facilities</t>
  </si>
  <si>
    <t>Building Services</t>
  </si>
  <si>
    <t>DO NOT PRINT  THESE COLUMNS - ONLY FOR IT AND COMMUNICATIONS USE</t>
  </si>
  <si>
    <t>FBS Number</t>
  </si>
  <si>
    <t>Location</t>
  </si>
  <si>
    <t>Facility</t>
  </si>
  <si>
    <t>Sequence Number</t>
  </si>
  <si>
    <t>Building/Equipment  Number</t>
  </si>
  <si>
    <t>Building Name</t>
  </si>
  <si>
    <t>Comments</t>
  </si>
  <si>
    <t>Building Supply Package</t>
  </si>
  <si>
    <t>Building Installation Contract</t>
  </si>
  <si>
    <t>No. of Storeys</t>
  </si>
  <si>
    <t>Occupancy</t>
  </si>
  <si>
    <r>
      <t>Width</t>
    </r>
    <r>
      <rPr>
        <i/>
        <sz val="12"/>
        <rFont val="Arial"/>
        <family val="2"/>
      </rPr>
      <t xml:space="preserve"> (ft)
Out to Out of Cladding</t>
    </r>
  </si>
  <si>
    <r>
      <t>Length</t>
    </r>
    <r>
      <rPr>
        <i/>
        <sz val="12"/>
        <rFont val="Arial"/>
        <family val="2"/>
      </rPr>
      <t xml:space="preserve"> (ft)
Out to Out of Cladding</t>
    </r>
  </si>
  <si>
    <r>
      <t>Bldg. Ht.</t>
    </r>
    <r>
      <rPr>
        <i/>
        <sz val="12"/>
        <rFont val="Arial"/>
        <family val="2"/>
      </rPr>
      <t xml:space="preserve"> (ft)
Grade  to Ridge</t>
    </r>
  </si>
  <si>
    <r>
      <t xml:space="preserve">Building Footprint </t>
    </r>
    <r>
      <rPr>
        <i/>
        <sz val="12"/>
        <rFont val="Arial"/>
        <family val="2"/>
      </rPr>
      <t>(ft</t>
    </r>
    <r>
      <rPr>
        <i/>
        <vertAlign val="superscript"/>
        <sz val="12"/>
        <rFont val="Arial"/>
        <family val="2"/>
      </rPr>
      <t>2</t>
    </r>
    <r>
      <rPr>
        <i/>
        <sz val="12"/>
        <rFont val="Arial"/>
        <family val="2"/>
      </rPr>
      <t>)</t>
    </r>
  </si>
  <si>
    <r>
      <t>Floor Area</t>
    </r>
    <r>
      <rPr>
        <i/>
        <sz val="12"/>
        <rFont val="Arial"/>
        <family val="2"/>
      </rPr>
      <t xml:space="preserve"> (ft</t>
    </r>
    <r>
      <rPr>
        <i/>
        <vertAlign val="superscript"/>
        <sz val="12"/>
        <rFont val="Arial"/>
        <family val="2"/>
      </rPr>
      <t>2</t>
    </r>
    <r>
      <rPr>
        <i/>
        <sz val="12"/>
        <rFont val="Arial"/>
        <family val="2"/>
      </rPr>
      <t>)
(All Storeys)</t>
    </r>
  </si>
  <si>
    <t>Occupancy Classification</t>
  </si>
  <si>
    <r>
      <t xml:space="preserve">Building Type </t>
    </r>
    <r>
      <rPr>
        <sz val="12"/>
        <rFont val="Arial"/>
        <family val="2"/>
      </rPr>
      <t xml:space="preserve">
(See Legend)</t>
    </r>
  </si>
  <si>
    <r>
      <t xml:space="preserve">Foundation Type 
</t>
    </r>
    <r>
      <rPr>
        <sz val="12"/>
        <rFont val="Arial"/>
        <family val="2"/>
      </rPr>
      <t>(See Legend)</t>
    </r>
  </si>
  <si>
    <r>
      <t xml:space="preserve">Floor Finish
</t>
    </r>
    <r>
      <rPr>
        <i/>
        <sz val="12"/>
        <rFont val="Arial"/>
        <family val="2"/>
      </rPr>
      <t>(See Legend)</t>
    </r>
  </si>
  <si>
    <t>Offices  &amp; Similar Facilities (Furnished)</t>
  </si>
  <si>
    <t>Washroom(s)</t>
  </si>
  <si>
    <r>
      <t xml:space="preserve">Dining / Lunchrooms / Kitchen (Furnished) </t>
    </r>
    <r>
      <rPr>
        <i/>
        <sz val="12"/>
        <rFont val="Arial"/>
        <family val="2"/>
      </rPr>
      <t/>
    </r>
  </si>
  <si>
    <r>
      <t xml:space="preserve">Dormitory Rooms (Furnished) </t>
    </r>
    <r>
      <rPr>
        <i/>
        <sz val="12"/>
        <rFont val="Arial"/>
        <family val="2"/>
      </rPr>
      <t/>
    </r>
  </si>
  <si>
    <t>Special Rooms / Functions (Furnished)</t>
  </si>
  <si>
    <r>
      <t xml:space="preserve">Temperature
</t>
    </r>
    <r>
      <rPr>
        <i/>
        <sz val="12"/>
        <rFont val="Arial"/>
        <family val="2"/>
      </rPr>
      <t>A:Ambient/Unheated or Temp in deg C</t>
    </r>
  </si>
  <si>
    <r>
      <t xml:space="preserve">Heating
</t>
    </r>
    <r>
      <rPr>
        <i/>
        <sz val="12"/>
        <rFont val="Arial"/>
        <family val="2"/>
      </rPr>
      <t>E:Electric, D:Diesel, M:Mobile heaters</t>
    </r>
  </si>
  <si>
    <t>Mechanical  Ventilation</t>
  </si>
  <si>
    <t>Air Conditioning</t>
  </si>
  <si>
    <r>
      <t xml:space="preserve">Raw Water 
</t>
    </r>
    <r>
      <rPr>
        <i/>
        <sz val="12"/>
        <rFont val="Arial"/>
        <family val="2"/>
      </rPr>
      <t>T:Tank or P:Piped supply</t>
    </r>
  </si>
  <si>
    <r>
      <t xml:space="preserve">Potable Water
</t>
    </r>
    <r>
      <rPr>
        <i/>
        <sz val="12"/>
        <rFont val="Arial"/>
        <family val="2"/>
      </rPr>
      <t>B:Bottled or P:Piped Supply</t>
    </r>
  </si>
  <si>
    <r>
      <t xml:space="preserve">Sanitary Sewage
</t>
    </r>
    <r>
      <rPr>
        <i/>
        <sz val="12"/>
        <rFont val="Arial"/>
        <family val="2"/>
      </rPr>
      <t>T:Local tank or P:Pumped and piped</t>
    </r>
  </si>
  <si>
    <r>
      <t xml:space="preserve">Fire Water Sprinkler System
</t>
    </r>
    <r>
      <rPr>
        <i/>
        <sz val="12"/>
        <rFont val="Arial"/>
        <family val="2"/>
      </rPr>
      <t>L:Local system or P:Piped service</t>
    </r>
  </si>
  <si>
    <r>
      <t xml:space="preserve">Other Fire Supression
</t>
    </r>
    <r>
      <rPr>
        <i/>
        <sz val="12"/>
        <rFont val="Arial"/>
        <family val="2"/>
      </rPr>
      <t>(HP-CO2 etc.)</t>
    </r>
  </si>
  <si>
    <t>Addressable Fire Detection &amp; Alarm System</t>
  </si>
  <si>
    <t>Smoke Alarm (no signal sent)</t>
  </si>
  <si>
    <r>
      <t xml:space="preserve">Electrical Service
</t>
    </r>
    <r>
      <rPr>
        <i/>
        <sz val="12"/>
        <rFont val="Arial"/>
        <family val="2"/>
      </rPr>
      <t>D:Distribution system, L:Local Genset</t>
    </r>
  </si>
  <si>
    <r>
      <t xml:space="preserve">Data Service/External Distribution </t>
    </r>
    <r>
      <rPr>
        <i/>
        <sz val="12"/>
        <rFont val="Arial"/>
        <family val="2"/>
      </rPr>
      <t>F:Fibre Optic  C:Ethernet Cable  M: microwave X: Coaxial Cable</t>
    </r>
  </si>
  <si>
    <r>
      <t xml:space="preserve">IT Connectivity for Construction </t>
    </r>
    <r>
      <rPr>
        <i/>
        <sz val="12"/>
        <rFont val="Arial"/>
        <family val="2"/>
      </rPr>
      <t>F:Fibre Optic  C:Ethernet Cable 
M:Local microwave</t>
    </r>
  </si>
  <si>
    <t>Satellite TV Service</t>
  </si>
  <si>
    <t>Estimate ports to be installed by CT-001</t>
  </si>
  <si>
    <t>IT cabinets (13U/24U/special size)</t>
  </si>
  <si>
    <t xml:space="preserve">Fire detector alarm model </t>
  </si>
  <si>
    <t>Fire protection</t>
  </si>
  <si>
    <t>Fire Alarm Drawings LINKs</t>
  </si>
  <si>
    <t>IT Network</t>
  </si>
  <si>
    <t xml:space="preserve">IT Peripherals
</t>
  </si>
  <si>
    <t>VoIP</t>
  </si>
  <si>
    <t>Other Communication</t>
  </si>
  <si>
    <t>TNS</t>
  </si>
  <si>
    <t>BNS</t>
  </si>
  <si>
    <t>MFD</t>
  </si>
  <si>
    <t>Laser Printer</t>
  </si>
  <si>
    <t>Plotter</t>
  </si>
  <si>
    <t>TV</t>
  </si>
  <si>
    <t>Handsets</t>
  </si>
  <si>
    <t>Conference Phones</t>
  </si>
  <si>
    <t>Sat Phone</t>
  </si>
  <si>
    <t>Radio</t>
  </si>
  <si>
    <t xml:space="preserve">Communication Shed </t>
  </si>
  <si>
    <t>PT002</t>
  </si>
  <si>
    <t>SC</t>
  </si>
  <si>
    <t>GB</t>
  </si>
  <si>
    <t>RA</t>
  </si>
  <si>
    <t>E</t>
  </si>
  <si>
    <t>•</t>
  </si>
  <si>
    <t>M,C,X</t>
  </si>
  <si>
    <t>Satellite Dish Sea Can</t>
  </si>
  <si>
    <t>F</t>
  </si>
  <si>
    <t>24U</t>
  </si>
  <si>
    <t>Re-use/relocate construction trailer(s)</t>
  </si>
  <si>
    <t>TS</t>
  </si>
  <si>
    <t>T</t>
  </si>
  <si>
    <t>B</t>
  </si>
  <si>
    <t>M</t>
  </si>
  <si>
    <t>13U</t>
  </si>
  <si>
    <t>tbc</t>
  </si>
  <si>
    <t>Marine radio</t>
  </si>
  <si>
    <t>Shiploading E-House</t>
  </si>
  <si>
    <t>SM</t>
  </si>
  <si>
    <t>Honeywell 120xls</t>
  </si>
  <si>
    <t>Shiploader E-House #1</t>
  </si>
  <si>
    <t>Located on Shiploader #1</t>
  </si>
  <si>
    <t>tbd</t>
  </si>
  <si>
    <t>Shiploader E-House #2</t>
  </si>
  <si>
    <t>Located on Shiploader #2</t>
  </si>
  <si>
    <t>Accommodation Service Core</t>
  </si>
  <si>
    <t>P</t>
  </si>
  <si>
    <t>F / F</t>
  </si>
  <si>
    <t>(by Horizon)</t>
  </si>
  <si>
    <t>Honeywell 140/120xls</t>
  </si>
  <si>
    <t>Accommodation Office</t>
  </si>
  <si>
    <t>C</t>
  </si>
  <si>
    <t>1/cubicle</t>
  </si>
  <si>
    <t>1/conf room</t>
  </si>
  <si>
    <t>Fixed radio</t>
  </si>
  <si>
    <t>Accommodation Laundry</t>
  </si>
  <si>
    <t>Accommodation Wing BA</t>
  </si>
  <si>
    <t>E/D</t>
  </si>
  <si>
    <t>1/room</t>
  </si>
  <si>
    <t>Accommodation Wing BB</t>
  </si>
  <si>
    <t>Accommodation Wing BC</t>
  </si>
  <si>
    <t>Accommodation Wing BD</t>
  </si>
  <si>
    <t>Emergency Response Office</t>
  </si>
  <si>
    <t>TM</t>
  </si>
  <si>
    <t>CB</t>
  </si>
  <si>
    <t>M/C</t>
  </si>
  <si>
    <t xml:space="preserve">1 cabinet by vendor </t>
  </si>
  <si>
    <t>Emergency Response Garage</t>
  </si>
  <si>
    <t>F-3</t>
  </si>
  <si>
    <t>FO</t>
  </si>
  <si>
    <t>PF</t>
  </si>
  <si>
    <t>SOGD</t>
  </si>
  <si>
    <t>Portable radio</t>
  </si>
  <si>
    <t>Maintenance Building</t>
  </si>
  <si>
    <t>F-2</t>
  </si>
  <si>
    <t>Needs full detailed dwg</t>
  </si>
  <si>
    <t>Welding Shop Building</t>
  </si>
  <si>
    <t>SOG</t>
  </si>
  <si>
    <t>Workshop Office Building</t>
  </si>
  <si>
    <t>Hatch network MW only</t>
  </si>
  <si>
    <t>Workshop Office Washcar</t>
  </si>
  <si>
    <t>Power Generation Module #1</t>
  </si>
  <si>
    <t>PE001</t>
  </si>
  <si>
    <t>Power Generation Module #2</t>
  </si>
  <si>
    <t>Power Generation Module #3</t>
  </si>
  <si>
    <t>Power Generation Module #4</t>
  </si>
  <si>
    <t>Power Generation Module #5</t>
  </si>
  <si>
    <t>Power Generation Module #6</t>
  </si>
  <si>
    <t>Power Generation Module #7</t>
  </si>
  <si>
    <t>Power Generation Module #8</t>
  </si>
  <si>
    <t>Future Provision</t>
  </si>
  <si>
    <t>Power Generation E-House #1</t>
  </si>
  <si>
    <t>F/C</t>
  </si>
  <si>
    <t>WCH-06P</t>
  </si>
  <si>
    <t>Power Generation E-House #2</t>
  </si>
  <si>
    <t>Power Generation Stores</t>
  </si>
  <si>
    <t>Waste Management Building</t>
  </si>
  <si>
    <t>F-1</t>
  </si>
  <si>
    <t>Waste Incinerators</t>
  </si>
  <si>
    <t>3 - 20' ISO Containers</t>
  </si>
  <si>
    <t>Fuel Dispensing Module</t>
  </si>
  <si>
    <t>Diesel Fuel Dispensing Module</t>
  </si>
  <si>
    <t>Existing</t>
  </si>
  <si>
    <t>no scope</t>
  </si>
  <si>
    <t>PM004</t>
  </si>
  <si>
    <t>1 panel  by vendor  FMS</t>
  </si>
  <si>
    <t xml:space="preserve">Jet-A1 Fuel Dispensing Module </t>
  </si>
  <si>
    <t>Marine Equipment Facility</t>
  </si>
  <si>
    <t>Marine Manifold Building</t>
  </si>
  <si>
    <t>TM001</t>
  </si>
  <si>
    <t>A</t>
  </si>
  <si>
    <t>Spare</t>
  </si>
  <si>
    <t>Water Building</t>
  </si>
  <si>
    <t>G</t>
  </si>
  <si>
    <t>Sewage Chemical Storage Container</t>
  </si>
  <si>
    <t>PM009</t>
  </si>
  <si>
    <t>?</t>
  </si>
  <si>
    <t>YX001</t>
  </si>
  <si>
    <t>Accomodation Area E-House #1</t>
  </si>
  <si>
    <t>PE003</t>
  </si>
  <si>
    <t>Accomodation Area E-House #2</t>
  </si>
  <si>
    <t>Services Area E-House #1</t>
  </si>
  <si>
    <t>Services Area E-House #2</t>
  </si>
  <si>
    <t>Fuel Tank Farm E-House</t>
  </si>
  <si>
    <t>Construction</t>
  </si>
  <si>
    <t>Construction Office</t>
  </si>
  <si>
    <t>Need construction input</t>
  </si>
  <si>
    <t>A-2 / D</t>
  </si>
  <si>
    <t>Quarry Lunchroom</t>
  </si>
  <si>
    <t>Nuna Demob. Sept (TBC)</t>
  </si>
  <si>
    <t>Quarry Washcar</t>
  </si>
  <si>
    <t>Batch Plant Office-Lunchroom-W/C</t>
  </si>
  <si>
    <t>Also used for sealift offload</t>
  </si>
  <si>
    <t>Fuel Systems Office</t>
  </si>
  <si>
    <t>Fuel Systems Lunchroom</t>
  </si>
  <si>
    <t>Site Services Lunchroom #1</t>
  </si>
  <si>
    <t>A-2</t>
  </si>
  <si>
    <t>Site Services Lunchroom #2</t>
  </si>
  <si>
    <t>Site Services Washcar #1</t>
  </si>
  <si>
    <t>Site Services Washcar #2</t>
  </si>
  <si>
    <t>Smoke Shack</t>
  </si>
  <si>
    <t>Toromont Britespan Workshop</t>
  </si>
  <si>
    <t>TMNT</t>
  </si>
  <si>
    <t>FA</t>
  </si>
  <si>
    <t>Construction Workshop</t>
  </si>
  <si>
    <t>Existing Coverall bldg in storage at Mine Site</t>
  </si>
  <si>
    <t>Construction Equipment Building</t>
  </si>
  <si>
    <t>Existing on-site.</t>
  </si>
  <si>
    <t>Site Services Heated Warehouse</t>
  </si>
  <si>
    <t>Site Services Unheated Warehouse</t>
  </si>
  <si>
    <t>Concrete Batch Plant Building</t>
  </si>
  <si>
    <t>Communication Shed No. 1</t>
  </si>
  <si>
    <t>Communication Shed No. 2</t>
  </si>
  <si>
    <t>Communication Shed No. 3</t>
  </si>
  <si>
    <t>Communication Shed No. 4</t>
  </si>
  <si>
    <t>With emergency shelter</t>
  </si>
  <si>
    <t>Communication Shed No. 5</t>
  </si>
  <si>
    <t>Existing tower</t>
  </si>
  <si>
    <t>Communication Shed No. 6</t>
  </si>
  <si>
    <t>Communication Shed No. 7</t>
  </si>
  <si>
    <t>Communication Shed No. 8</t>
  </si>
  <si>
    <t>Communication Shed No. 9</t>
  </si>
  <si>
    <t>Communication Shed No. 10</t>
  </si>
  <si>
    <t>Communication Shed No. 11</t>
  </si>
  <si>
    <t>Existing tower. With emergency shelter.</t>
  </si>
  <si>
    <t>Emergency Shelter  No. 1</t>
  </si>
  <si>
    <t>Located at Comms Shed No. 4</t>
  </si>
  <si>
    <t>Emergency Shelter  No. 2</t>
  </si>
  <si>
    <t>Located at Comms Shed No. 6</t>
  </si>
  <si>
    <t>Emergency Shelter  No. 3</t>
  </si>
  <si>
    <t>Located at Comms Shed No. 9</t>
  </si>
  <si>
    <t>Emergency Shelter  No. 4</t>
  </si>
  <si>
    <t>Located at Comms Shed No. 11</t>
  </si>
  <si>
    <t>Front of mountain</t>
  </si>
  <si>
    <t>check fire code</t>
  </si>
  <si>
    <t>Back of mountain - on haul road</t>
  </si>
  <si>
    <t>SX001</t>
  </si>
  <si>
    <t>Pit Office Washcar</t>
  </si>
  <si>
    <t>Relocate 7432-BLD-008</t>
  </si>
  <si>
    <t>Crushing &amp; Screening Electrical Trailer</t>
  </si>
  <si>
    <t>PM001</t>
  </si>
  <si>
    <t>Truck Weigh Building</t>
  </si>
  <si>
    <t>n/a - discuss with BIM</t>
  </si>
  <si>
    <t>fixed radio</t>
  </si>
  <si>
    <t>Aerodrome Equipment Building</t>
  </si>
  <si>
    <t>HOLD - delete or re-use constr'n bldg</t>
  </si>
  <si>
    <t>Aerodrome Field Electrical Centre</t>
  </si>
  <si>
    <t>PE004</t>
  </si>
  <si>
    <t>waiting for harvie</t>
  </si>
  <si>
    <t>F/F</t>
  </si>
  <si>
    <t>Accommodation Laboratory</t>
  </si>
  <si>
    <t>Accommodation Wing AA</t>
  </si>
  <si>
    <t>Accommodation Wing AB</t>
  </si>
  <si>
    <t>Accommodation Wing AC</t>
  </si>
  <si>
    <t>Accommodation Wing AD</t>
  </si>
  <si>
    <t>Accommodation Wing AE</t>
  </si>
  <si>
    <t>Accommodation Wing AF</t>
  </si>
  <si>
    <t>Accommodation Wing AG</t>
  </si>
  <si>
    <t xml:space="preserve">13U </t>
  </si>
  <si>
    <t>Warehouse</t>
  </si>
  <si>
    <t>Truck Wash Building</t>
  </si>
  <si>
    <t>n/a - discussed with BIM</t>
  </si>
  <si>
    <t xml:space="preserve">Diesel Fuel Dispensing Module </t>
  </si>
  <si>
    <t>Raw Water Pumphouse</t>
  </si>
  <si>
    <t xml:space="preserve">Aerodrome Area E-House </t>
  </si>
  <si>
    <t>Raw Water Supply E-House</t>
  </si>
  <si>
    <t>Crushing &amp; Screening E-House</t>
  </si>
  <si>
    <t>Mineral Processing E-House</t>
  </si>
  <si>
    <t>A-2/D</t>
  </si>
  <si>
    <t>Fuel Systems Washcar</t>
  </si>
  <si>
    <t>Relocate to 4281-BLD-002</t>
  </si>
  <si>
    <t>BUILDING TYPE</t>
  </si>
  <si>
    <t>FOUNDATION TYPE</t>
  </si>
  <si>
    <t>FLOOR FINISH</t>
  </si>
  <si>
    <t>In progress</t>
  </si>
  <si>
    <t>1. Occupancy for washcars is number of male water closets/urinals. Ratio of male to female water closets is 5:1.</t>
  </si>
  <si>
    <t>Fold-away Building (Steel)</t>
  </si>
  <si>
    <t>Gravel Base - Skidded Building</t>
  </si>
  <si>
    <t>Slab on grade</t>
  </si>
  <si>
    <t>03/09/2013</t>
  </si>
  <si>
    <t>J. Cleland</t>
  </si>
  <si>
    <t>2.  Buiding supply package "TMNT" is Toromont CAT supply arranged by Baffinland.</t>
  </si>
  <si>
    <t>Fabric w/ Sea Can Walls</t>
  </si>
  <si>
    <t>PP</t>
  </si>
  <si>
    <t>Precast Piers</t>
  </si>
  <si>
    <t>Slab on grade C/W Drainage</t>
  </si>
  <si>
    <t>22/07/2013</t>
  </si>
  <si>
    <t>K. Imai</t>
  </si>
  <si>
    <t>ISO Shipping Contianer</t>
  </si>
  <si>
    <t>Precast Footing (Perimeter Beam)</t>
  </si>
  <si>
    <t>Gravel</t>
  </si>
  <si>
    <t>10/07/2013</t>
  </si>
  <si>
    <t>Trailer - Single</t>
  </si>
  <si>
    <t>Timber Cribbing to Elevate Building</t>
  </si>
  <si>
    <t>Raised Steel or Wooden Floor</t>
  </si>
  <si>
    <t>10/04/2013</t>
  </si>
  <si>
    <t>J. Lemay</t>
  </si>
  <si>
    <t>Trailer - Modular (2 or more modules)</t>
  </si>
  <si>
    <t>Not Applicable</t>
  </si>
  <si>
    <t>Special Modular / Prefabricated</t>
  </si>
  <si>
    <t>Tab in Reclaim</t>
  </si>
  <si>
    <t>Project Location</t>
  </si>
  <si>
    <t>Reclaim Objective</t>
  </si>
  <si>
    <t>Activity</t>
  </si>
  <si>
    <t>Unit Cost</t>
  </si>
  <si>
    <t>Quantities</t>
  </si>
  <si>
    <t>Value</t>
  </si>
  <si>
    <t>Unit ($/FU)</t>
  </si>
  <si>
    <t>2013 Marginal</t>
  </si>
  <si>
    <t>2014 Work plan</t>
  </si>
  <si>
    <t>Open Pit</t>
  </si>
  <si>
    <t>CONTROL ACCESS</t>
  </si>
  <si>
    <t>Fence</t>
  </si>
  <si>
    <t xml:space="preserve"> - </t>
  </si>
  <si>
    <t>Signs</t>
  </si>
  <si>
    <t>COVER/CONTOUR SLOPES</t>
  </si>
  <si>
    <t>Place overburden over demolition material</t>
  </si>
  <si>
    <t>RECLAIM QUARRIES</t>
  </si>
  <si>
    <t>Quarry Q1</t>
  </si>
  <si>
    <t>Quarry QMR2</t>
  </si>
  <si>
    <t>Quarry Q7</t>
  </si>
  <si>
    <t>Quarry Q11</t>
  </si>
  <si>
    <t>Quarry P1</t>
  </si>
  <si>
    <t>Quarry Q19</t>
  </si>
  <si>
    <t>Quarry D1Q1</t>
  </si>
  <si>
    <t>Quarry D1Q2</t>
  </si>
  <si>
    <t>Bldgs &amp; Equip</t>
  </si>
  <si>
    <t>REMOVE CONTAMINATED BUILDINGS</t>
  </si>
  <si>
    <t>Decontaminate tanks &amp; plumbing</t>
  </si>
  <si>
    <t>Decontaminate water treatment plant</t>
  </si>
  <si>
    <t>Decontaminate maintenance shop</t>
  </si>
  <si>
    <t>Decontaminate power plant</t>
  </si>
  <si>
    <t>Decontaminate bulk fuel storage</t>
  </si>
  <si>
    <t>Decontaminate ANFO plant</t>
  </si>
  <si>
    <t>Other (Waste facilities)</t>
  </si>
  <si>
    <t>Other (Credit for 2013 contaminated buildings)</t>
  </si>
  <si>
    <t>Milne</t>
  </si>
  <si>
    <t>Decontaminate bulk fuel storage (Fuel Tank)</t>
  </si>
  <si>
    <t>REMOVE NON-CONTAMINATED BUILDINGS</t>
  </si>
  <si>
    <t>water treatment plant</t>
  </si>
  <si>
    <t>offices/warehouse/accom</t>
  </si>
  <si>
    <t>consolidate &amp; dump boneyard debris</t>
  </si>
  <si>
    <t>other (Airstrip Extension )</t>
  </si>
  <si>
    <t>Other (Credit for 2013 non-contaminated buildings)</t>
  </si>
  <si>
    <t>BREAK BASEMENT SLABS</t>
  </si>
  <si>
    <t>maintenance shop</t>
  </si>
  <si>
    <t xml:space="preserve"> power plant</t>
  </si>
  <si>
    <t>bulk fuel storage</t>
  </si>
  <si>
    <t>Other (Credit for 2013 break Basement Slabs)</t>
  </si>
  <si>
    <t>tanks &amp; plumbing</t>
  </si>
  <si>
    <t xml:space="preserve"> -</t>
  </si>
  <si>
    <t xml:space="preserve"> maintenance shop</t>
  </si>
  <si>
    <t>LANDFILL FOR DEMOLITION WASTE</t>
  </si>
  <si>
    <t>Place soil cover</t>
  </si>
  <si>
    <t>Other (Credit for 2013 landfill for demolition waste)</t>
  </si>
  <si>
    <t xml:space="preserve"> GRADE AND CONTOUR MILL &amp; PLANT SITE</t>
  </si>
  <si>
    <t>ANFO plant</t>
  </si>
  <si>
    <t>Other (Ore Stockpile Pad + Dump Pad + Crusher Pad)</t>
  </si>
  <si>
    <t>other</t>
  </si>
  <si>
    <t>Other (Credit for 2013 grade and countour)</t>
  </si>
  <si>
    <t xml:space="preserve">Consolidate &amp; dump boneyard debris </t>
  </si>
  <si>
    <t>Other (waste Facilities)</t>
  </si>
  <si>
    <t>Other (Ore Stockpile Pad)</t>
  </si>
  <si>
    <t>RECLAIM ROADS</t>
  </si>
  <si>
    <t>Remove culverts</t>
  </si>
  <si>
    <t>Other (roads)</t>
  </si>
  <si>
    <t>Scarify and install water breaks (Laydown Area)</t>
  </si>
  <si>
    <t>ha</t>
  </si>
  <si>
    <t>other (Laydown Area)</t>
  </si>
  <si>
    <t>other (Ramp to the Beach)</t>
  </si>
  <si>
    <t>SPECIALIZED ITEMS</t>
  </si>
  <si>
    <t>Disposal of Mobile Equipment</t>
  </si>
  <si>
    <t>Each</t>
  </si>
  <si>
    <t>Remove Mooring Buoys</t>
  </si>
  <si>
    <t>Decommission of existing bladder farm</t>
  </si>
  <si>
    <t>Chemicals</t>
  </si>
  <si>
    <t>HAZARDOUS MATERIALS TO BE CONSOLIDATED FOR REMOVAL</t>
  </si>
  <si>
    <t>Waste oils</t>
  </si>
  <si>
    <t>litre</t>
  </si>
  <si>
    <t>Fuel - Type 1, eg diesel dregs</t>
  </si>
  <si>
    <t>waste batteries</t>
  </si>
  <si>
    <t>kg</t>
  </si>
  <si>
    <t>assay &amp; environmental lab reagents</t>
  </si>
  <si>
    <t>machine shop, paints, solvents etc</t>
  </si>
  <si>
    <t xml:space="preserve">OTHER </t>
  </si>
  <si>
    <t>Calcium Chloride</t>
  </si>
  <si>
    <t xml:space="preserve">Ammonium Nitrate </t>
  </si>
  <si>
    <t>WATER SUPPLY EMBANKMENT</t>
  </si>
  <si>
    <t>Other (Pond)</t>
  </si>
  <si>
    <t>REMOVE PIPELINES</t>
  </si>
  <si>
    <t>Remove pipes</t>
  </si>
  <si>
    <t>MOBILIZE HEAVY EQUIPMENT</t>
  </si>
  <si>
    <t>Other (Mobilize Heavy Equipment)</t>
  </si>
  <si>
    <t>km</t>
  </si>
  <si>
    <t>Other (Credit for mobilize 2013 heavy equipment)</t>
  </si>
  <si>
    <t>Excavators</t>
  </si>
  <si>
    <t>Dump trucks</t>
  </si>
  <si>
    <t>Dozers</t>
  </si>
  <si>
    <t>Light duty vehicles</t>
  </si>
  <si>
    <t>Other (loaders)</t>
  </si>
  <si>
    <t>Other</t>
  </si>
  <si>
    <t>MOBILIZE WORKERS</t>
  </si>
  <si>
    <t>crew transportation</t>
  </si>
  <si>
    <t>MOBILIZE MISC. SUPPLIES</t>
  </si>
  <si>
    <t xml:space="preserve">Sealift per season </t>
  </si>
  <si>
    <t>tonne</t>
  </si>
  <si>
    <t>lot</t>
  </si>
  <si>
    <t>Other (Credit for 2013 Sealift)</t>
  </si>
  <si>
    <t>Sealift per season (contingency)</t>
  </si>
  <si>
    <t>Major Work Element</t>
  </si>
  <si>
    <t>Milne Port Site</t>
  </si>
  <si>
    <t>MR Mine Site</t>
  </si>
  <si>
    <t>PERMANENT FACILITIES</t>
  </si>
  <si>
    <t>Communications and IT Infrastructure</t>
  </si>
  <si>
    <t>Process and Non-process Areas</t>
  </si>
  <si>
    <t>Road Construction</t>
  </si>
  <si>
    <r>
      <t xml:space="preserve">  </t>
    </r>
    <r>
      <rPr>
        <sz val="10"/>
        <color theme="1"/>
        <rFont val="Wingdings"/>
        <charset val="2"/>
      </rPr>
      <t>ü</t>
    </r>
  </si>
  <si>
    <t>Road Bridges</t>
  </si>
  <si>
    <t>ü</t>
  </si>
  <si>
    <t>Non-process Facilities</t>
  </si>
  <si>
    <t>Accommodations</t>
  </si>
  <si>
    <t>Waste Management Facility</t>
  </si>
  <si>
    <t>Landfill and Land Farm</t>
  </si>
  <si>
    <t>Fuel Pipelines</t>
  </si>
  <si>
    <t>Tank Farms</t>
  </si>
  <si>
    <t>Process and Control Systems</t>
  </si>
  <si>
    <t>Mine Explosives Facilities</t>
  </si>
  <si>
    <t>Crushing Systems</t>
  </si>
  <si>
    <t>Overland Conveyors</t>
  </si>
  <si>
    <t>Stockpile, Stacker/Reclaimer</t>
  </si>
  <si>
    <t>Power Distribution</t>
  </si>
  <si>
    <t>Beach Landing Area</t>
  </si>
  <si>
    <t>Ore Dock and Buildings</t>
  </si>
  <si>
    <t>Construction Infrastructure</t>
  </si>
  <si>
    <t>Beach Landing and Push-outs</t>
  </si>
  <si>
    <t>Laydown Areas</t>
  </si>
  <si>
    <t>Construction Facilities Site Prep</t>
  </si>
  <si>
    <t>Temporary Airstrips – Ice strip?</t>
  </si>
  <si>
    <t>Roads and Drainage</t>
  </si>
  <si>
    <t>Quarries and Borrow Pits</t>
  </si>
  <si>
    <t>Accommodation and Facilities</t>
  </si>
  <si>
    <t>Shops and Warehousing</t>
  </si>
  <si>
    <t>Concrete Batch Plant</t>
  </si>
  <si>
    <t>Explosives Plant</t>
  </si>
  <si>
    <t xml:space="preserve">Explosives Magazines </t>
  </si>
  <si>
    <t>MAJOR CONTRACT TYPE OR SERVICE</t>
  </si>
  <si>
    <t>SITE CAPTURE 2013 to 2014</t>
  </si>
  <si>
    <t>Site Services Contractors (summer 2013)</t>
  </si>
  <si>
    <t>Materials Management (includes Canadian Consolidation Hub)</t>
  </si>
  <si>
    <t>Early Site Development (including Roads and Laydown)</t>
  </si>
  <si>
    <t>Install Construction Facilities</t>
  </si>
  <si>
    <t>Install Construction Fuel Power and Utilities</t>
  </si>
  <si>
    <t>Aerodrome (including Temporary Airstrips)</t>
  </si>
  <si>
    <t>Camp Catering Service</t>
  </si>
  <si>
    <t>Site Erected Tanks Phase 1</t>
  </si>
  <si>
    <t>Site Erected Tanks Phase 2</t>
  </si>
  <si>
    <t>Construction Explosives Plant</t>
  </si>
  <si>
    <t>Construction Fuel Supply</t>
  </si>
  <si>
    <t>Telecommunications</t>
  </si>
  <si>
    <t>Geotechnical</t>
  </si>
  <si>
    <t>Sealift Transportation to Site</t>
  </si>
  <si>
    <t>Iqaluit Jet Service (Canadian Hub to Iqaluit only)</t>
  </si>
  <si>
    <t>Local Air Charter Service</t>
  </si>
  <si>
    <t>Medical and Emergency Response Service</t>
  </si>
  <si>
    <t>Security Service</t>
  </si>
  <si>
    <t>Earthworks</t>
  </si>
  <si>
    <t>Foundations</t>
  </si>
  <si>
    <t>Waste Management Facilities</t>
  </si>
  <si>
    <t>Primary and Secondary Crushing</t>
  </si>
  <si>
    <t>Supply, Fabricate and Install Structural Steel</t>
  </si>
  <si>
    <t>Mine Production Explosives and Emulsion Plant BOO</t>
  </si>
  <si>
    <t>Permanent Accommodations Design Build</t>
  </si>
  <si>
    <t>Site Erected Buildings Design-Build</t>
  </si>
  <si>
    <t>Power Plants</t>
  </si>
  <si>
    <t>Construction Fuel Supply and Delivery</t>
  </si>
  <si>
    <t>Construction Camps BOO</t>
  </si>
  <si>
    <t>EPCM Site Survey Services</t>
  </si>
  <si>
    <t>Off Site Waste Disposal</t>
  </si>
  <si>
    <t>Th</t>
  </si>
  <si>
    <t>S</t>
  </si>
  <si>
    <t>Sun</t>
  </si>
  <si>
    <t>Regular</t>
  </si>
  <si>
    <t>Overtime</t>
  </si>
  <si>
    <t>Total Hours</t>
  </si>
  <si>
    <t>OT</t>
  </si>
  <si>
    <t>Average Rate</t>
  </si>
  <si>
    <t>Contractor #4</t>
  </si>
  <si>
    <t>Contractor #5</t>
  </si>
  <si>
    <t>Contractor #6</t>
  </si>
  <si>
    <t>Average</t>
  </si>
  <si>
    <t>Contractor #1 Rates Jan 2013</t>
  </si>
  <si>
    <t>Rate</t>
  </si>
  <si>
    <t>Contractor #2 Labour Rates</t>
  </si>
  <si>
    <t>Senior Project Manager</t>
  </si>
  <si>
    <t>Base Rate</t>
  </si>
  <si>
    <t>Burdens and Benifts</t>
  </si>
  <si>
    <t>Small Tools and Consumables</t>
  </si>
  <si>
    <t>Overhead and Profit</t>
  </si>
  <si>
    <t>Striaght Time Total</t>
  </si>
  <si>
    <t>OverTime Rate @1.5</t>
  </si>
  <si>
    <t>Overtime Rate @ x2</t>
  </si>
  <si>
    <t>Project Manager</t>
  </si>
  <si>
    <t>Carpenter</t>
  </si>
  <si>
    <t>Assistant Project Manager</t>
  </si>
  <si>
    <t>Unskilled worker</t>
  </si>
  <si>
    <t>Senior Superintendent</t>
  </si>
  <si>
    <t>Heavy Equipment operator AA &gt;6 v³</t>
  </si>
  <si>
    <t>Superintendent</t>
  </si>
  <si>
    <t>Heavy Equipment operator A</t>
  </si>
  <si>
    <t>Engineer</t>
  </si>
  <si>
    <t>Excavator operator AA&gt;6 v³</t>
  </si>
  <si>
    <t>Foreman</t>
  </si>
  <si>
    <t>Excavator operator</t>
  </si>
  <si>
    <t>Safety Superintendent</t>
  </si>
  <si>
    <t>Crane operator Classe A</t>
  </si>
  <si>
    <t>Safety Supervisor</t>
  </si>
  <si>
    <t>Mechanic assistant</t>
  </si>
  <si>
    <t>Training Superintendent</t>
  </si>
  <si>
    <t>Mechanic</t>
  </si>
  <si>
    <t>Trainer</t>
  </si>
  <si>
    <t>Blaster</t>
  </si>
  <si>
    <t>Maintenance Planner</t>
  </si>
  <si>
    <t>Driller</t>
  </si>
  <si>
    <t>Mechanical Foreman</t>
  </si>
  <si>
    <t>Land surveyor</t>
  </si>
  <si>
    <t>Technician</t>
  </si>
  <si>
    <t>Pump &amp; compressor operator</t>
  </si>
  <si>
    <t>Nurse/EMT</t>
  </si>
  <si>
    <t>Store keeper</t>
  </si>
  <si>
    <t>Administrator</t>
  </si>
  <si>
    <t>Site clerk</t>
  </si>
  <si>
    <t>Truck Driver AA &gt;35 m.t.</t>
  </si>
  <si>
    <t>Shovel or Senior Operator</t>
  </si>
  <si>
    <t>Truck Driver A</t>
  </si>
  <si>
    <t>Excavator Operator</t>
  </si>
  <si>
    <t>Crane Operator</t>
  </si>
  <si>
    <t>Loader Operator (988+)</t>
  </si>
  <si>
    <t>Burdens and Benefits</t>
  </si>
  <si>
    <t>Straight Time Total</t>
  </si>
  <si>
    <t>Loader Operator (&lt;988)</t>
  </si>
  <si>
    <t>Labor, Journeyman</t>
  </si>
  <si>
    <t>Dozer Operator (&lt;D8)</t>
  </si>
  <si>
    <t>Driller or blaster</t>
  </si>
  <si>
    <t>Grader Operator</t>
  </si>
  <si>
    <t>Drill and blast foreman</t>
  </si>
  <si>
    <t>Finish Operator (Grader, Dozer, Excavator)</t>
  </si>
  <si>
    <t>Drill Mechanics</t>
  </si>
  <si>
    <t>Operator (multi-purpose)</t>
  </si>
  <si>
    <t>Drill and blast general foreman</t>
  </si>
  <si>
    <t>Rock Trucks (&lt;789)</t>
  </si>
  <si>
    <t>Surbeyor</t>
  </si>
  <si>
    <t>Trucks - All Others</t>
  </si>
  <si>
    <t>Haul truck driver</t>
  </si>
  <si>
    <t>Plant Operator (crushing, asphalt)</t>
  </si>
  <si>
    <t>Crusher Labour (bobcat, hammer)</t>
  </si>
  <si>
    <t>Heavy Equipment Operator</t>
  </si>
  <si>
    <t>Labour (skilled) (packer, bobcat, training in shop)</t>
  </si>
  <si>
    <t>Parts Clerk</t>
  </si>
  <si>
    <t>Labour (entry level)</t>
  </si>
  <si>
    <t>$ N/C</t>
  </si>
  <si>
    <t>Capenter</t>
  </si>
  <si>
    <t>Millwright</t>
  </si>
  <si>
    <t>Excavator operator A</t>
  </si>
  <si>
    <t>Crusher Mechanic</t>
  </si>
  <si>
    <t>Excavator operator AA</t>
  </si>
  <si>
    <t>Welder</t>
  </si>
  <si>
    <t>Compressor operator</t>
  </si>
  <si>
    <t>Electrician</t>
  </si>
  <si>
    <t>General Foreman</t>
  </si>
  <si>
    <t>Serviceman (fuel &amp; lube)</t>
  </si>
  <si>
    <t>Mechanic Foreman</t>
  </si>
  <si>
    <t>Camp Serviceman</t>
  </si>
  <si>
    <t>Tireman</t>
  </si>
  <si>
    <t>Note: N/C - No Charge - Included in Equipment Rate.</t>
  </si>
  <si>
    <t>Contractor #1 Equipment Rates Jan 2013</t>
  </si>
  <si>
    <t>Hourly Rate</t>
  </si>
  <si>
    <t>Monthly Rate</t>
  </si>
  <si>
    <t>Contractor #2 Equipment Rates</t>
  </si>
  <si>
    <t>Year</t>
  </si>
  <si>
    <t>Manufacturer</t>
  </si>
  <si>
    <t>Model</t>
  </si>
  <si>
    <t>Capacity</t>
  </si>
  <si>
    <t>Standby Rate</t>
  </si>
  <si>
    <t>Operating Rate</t>
  </si>
  <si>
    <t>Haul Trucks</t>
  </si>
  <si>
    <t>Zoom Boom</t>
  </si>
  <si>
    <t>68.25 $</t>
  </si>
  <si>
    <t>105.00 $</t>
  </si>
  <si>
    <t>Kenworth Gravel Truck (c/w pup)</t>
  </si>
  <si>
    <t>Water truck</t>
  </si>
  <si>
    <t>74.75 $</t>
  </si>
  <si>
    <t>115.00 $</t>
  </si>
  <si>
    <t>Freightliner Gravel truck (c/w pup)</t>
  </si>
  <si>
    <t>Camion 775</t>
  </si>
  <si>
    <t>Caterpillar</t>
  </si>
  <si>
    <t>775F</t>
  </si>
  <si>
    <t>55 tons</t>
  </si>
  <si>
    <t>156.00 $</t>
  </si>
  <si>
    <t>240.00 $</t>
  </si>
  <si>
    <t>Kenworth Gravel Truck (w/o pup)</t>
  </si>
  <si>
    <t>Truck 740</t>
  </si>
  <si>
    <t>40 ton</t>
  </si>
  <si>
    <t>128.70 $</t>
  </si>
  <si>
    <t>198.00 $</t>
  </si>
  <si>
    <t>Freightliner Gravel truck (w/o pup)</t>
  </si>
  <si>
    <t>Roller CS56</t>
  </si>
  <si>
    <t>180 KN</t>
  </si>
  <si>
    <t>78.00 $</t>
  </si>
  <si>
    <t>120.00 $</t>
  </si>
  <si>
    <t>Kenworth with Fuel Tanker</t>
  </si>
  <si>
    <t>Service truck</t>
  </si>
  <si>
    <t>39.00 $</t>
  </si>
  <si>
    <t>60.00 $</t>
  </si>
  <si>
    <t>Cat 773D Truck</t>
  </si>
  <si>
    <t>988 Wheel loader</t>
  </si>
  <si>
    <t>8.4m³</t>
  </si>
  <si>
    <t>195.00 $</t>
  </si>
  <si>
    <t>300.00 $</t>
  </si>
  <si>
    <t>980 Wheel loader</t>
  </si>
  <si>
    <t>5.0m³</t>
  </si>
  <si>
    <t>131.30 $</t>
  </si>
  <si>
    <t>202.00 $</t>
  </si>
  <si>
    <t>Loaders</t>
  </si>
  <si>
    <t>966 wheel loader</t>
  </si>
  <si>
    <t>3.8m³</t>
  </si>
  <si>
    <t>122.46 $</t>
  </si>
  <si>
    <t>188.40 $</t>
  </si>
  <si>
    <t>Cat 980H</t>
  </si>
  <si>
    <t>938 wheel loader</t>
  </si>
  <si>
    <t>2.3m³</t>
  </si>
  <si>
    <t>Cat 966</t>
  </si>
  <si>
    <t>Pickup truck</t>
  </si>
  <si>
    <t>Ford</t>
  </si>
  <si>
    <t>19.50 $</t>
  </si>
  <si>
    <t>30.00 $</t>
  </si>
  <si>
    <t>Cat 988</t>
  </si>
  <si>
    <t>Screener fixed</t>
  </si>
  <si>
    <t>150mm minus</t>
  </si>
  <si>
    <t>58.50 $</t>
  </si>
  <si>
    <t>90.00 $</t>
  </si>
  <si>
    <t>Cat 930G</t>
  </si>
  <si>
    <t>Grader 14</t>
  </si>
  <si>
    <t>140 KW</t>
  </si>
  <si>
    <t>97.50 $</t>
  </si>
  <si>
    <t>150.00 $</t>
  </si>
  <si>
    <t>Fuel tanker</t>
  </si>
  <si>
    <t>9000 to 11500 L</t>
  </si>
  <si>
    <t>52.65 $</t>
  </si>
  <si>
    <t>81.00 $</t>
  </si>
  <si>
    <t>Excavator 390</t>
  </si>
  <si>
    <t>4.6m³</t>
  </si>
  <si>
    <t>214.50 $</t>
  </si>
  <si>
    <t>330.00 $</t>
  </si>
  <si>
    <t>Cat D8T</t>
  </si>
  <si>
    <t>Excavator 49 ton</t>
  </si>
  <si>
    <t>349EL</t>
  </si>
  <si>
    <t>2.1m³</t>
  </si>
  <si>
    <t>144.30 $</t>
  </si>
  <si>
    <t>222.00 $</t>
  </si>
  <si>
    <t>Cat D6</t>
  </si>
  <si>
    <t>Excavator 36 ton</t>
  </si>
  <si>
    <t>336DL, 336EL</t>
  </si>
  <si>
    <t>1.6m³</t>
  </si>
  <si>
    <t>Cat D7</t>
  </si>
  <si>
    <t>Excavator 36 ton + hamer</t>
  </si>
  <si>
    <t>1.6 m³</t>
  </si>
  <si>
    <t>273.00 $</t>
  </si>
  <si>
    <t>420.00 $</t>
  </si>
  <si>
    <t>Dozer D8</t>
  </si>
  <si>
    <t>D8T</t>
  </si>
  <si>
    <t>260 KW</t>
  </si>
  <si>
    <t>175.50 $</t>
  </si>
  <si>
    <t>270.00 $</t>
  </si>
  <si>
    <t>Dozer D6</t>
  </si>
  <si>
    <t>D6T, D6R</t>
  </si>
  <si>
    <t>130 KW</t>
  </si>
  <si>
    <t>105.30 $</t>
  </si>
  <si>
    <t>162.00 $</t>
  </si>
  <si>
    <t>Cat 14H</t>
  </si>
  <si>
    <t>Shuttle bus</t>
  </si>
  <si>
    <t>Thomas</t>
  </si>
  <si>
    <t>22.10 $</t>
  </si>
  <si>
    <t>34.00 $</t>
  </si>
  <si>
    <t>Cat 16H</t>
  </si>
  <si>
    <t>school bus 24 passengers</t>
  </si>
  <si>
    <t>50.70 $</t>
  </si>
  <si>
    <t>Cat 345</t>
  </si>
  <si>
    <t>Hydraulic Rock Drill</t>
  </si>
  <si>
    <t>Sandvik</t>
  </si>
  <si>
    <t>DX800</t>
  </si>
  <si>
    <t>Ford Mechanic Truck F550</t>
  </si>
  <si>
    <t>Explosives Truck</t>
  </si>
  <si>
    <t>Kenworth</t>
  </si>
  <si>
    <t>T800</t>
  </si>
  <si>
    <t>D6T Dozer (Or similar)</t>
  </si>
  <si>
    <t>D6T (Or similar)</t>
  </si>
  <si>
    <t>Kenworth Lube/ Fuel Truck</t>
  </si>
  <si>
    <t>D8T Dozer (Or similar)</t>
  </si>
  <si>
    <t>D8T (Or similar)</t>
  </si>
  <si>
    <t>Sterling Roll-off/Vacuum Truck</t>
  </si>
  <si>
    <t>40 Passenger Bus</t>
  </si>
  <si>
    <t>Cat Packer</t>
  </si>
  <si>
    <t>Water Truck</t>
  </si>
  <si>
    <t>Kenworth (Or Similar)</t>
  </si>
  <si>
    <t>Wobbly Wheel Packer</t>
  </si>
  <si>
    <t>Camion 10 Roues et Fardier</t>
  </si>
  <si>
    <t>Clemro Crusher</t>
  </si>
  <si>
    <t>Fuel Truck</t>
  </si>
  <si>
    <t>Western Star (Or similar)</t>
  </si>
  <si>
    <t>Snow Truck</t>
  </si>
  <si>
    <t>Kenworth Gravel Truck c/w Sanding Unit Insert</t>
  </si>
  <si>
    <t>Vacuum Truck</t>
  </si>
  <si>
    <t>Winch Truck and Scissor Deck</t>
  </si>
  <si>
    <t>55T Haul Truck (Or similar)</t>
  </si>
  <si>
    <t>773F (Or similar)</t>
  </si>
  <si>
    <t>Bobcat</t>
  </si>
  <si>
    <t>Ore Truck and Trailer</t>
  </si>
  <si>
    <t>6900 XD (Or similar)</t>
  </si>
  <si>
    <t>Single-Axle Fuel Truck</t>
  </si>
  <si>
    <t>40T Haul Truck (Or Similar)</t>
  </si>
  <si>
    <t>980 Loader (or similar)</t>
  </si>
  <si>
    <t>980 (Or similar)</t>
  </si>
  <si>
    <t>Support Equipment</t>
  </si>
  <si>
    <t>980 Loader with snowblower</t>
  </si>
  <si>
    <t>Shanco Baffinland Camp</t>
  </si>
  <si>
    <t>15T Compactor (or Similar)</t>
  </si>
  <si>
    <t>Hamm (or similar)</t>
  </si>
  <si>
    <t>Pick-up Truck</t>
  </si>
  <si>
    <t>Grader</t>
  </si>
  <si>
    <t>14m (Or similar)</t>
  </si>
  <si>
    <t>Freightliner Bus</t>
  </si>
  <si>
    <t>45T Excavator</t>
  </si>
  <si>
    <t>349 (Or similar)</t>
  </si>
  <si>
    <t>Hot Box - Maxi Heater, 8kW</t>
  </si>
  <si>
    <t>85T Excavator</t>
  </si>
  <si>
    <t>Caterpillar 385 (or similar)</t>
  </si>
  <si>
    <t>390 (Or similar)</t>
  </si>
  <si>
    <t>OHV 350 Frostfighter</t>
  </si>
  <si>
    <t>Small Compactor</t>
  </si>
  <si>
    <t>P-2500 (or similar)</t>
  </si>
  <si>
    <t>Light Tower, 8 kW</t>
  </si>
  <si>
    <t>30kV Generator</t>
  </si>
  <si>
    <t>Small Portable Lights (L100 and L101)</t>
  </si>
  <si>
    <t>Tower Light</t>
  </si>
  <si>
    <t>Allmand (Or similar)</t>
  </si>
  <si>
    <t>Lincoln Welder 300D</t>
  </si>
  <si>
    <t>Hydraulic Rock Breaker</t>
  </si>
  <si>
    <t>Atlas Copco</t>
  </si>
  <si>
    <t>Grove 60 Ton Crane</t>
  </si>
  <si>
    <t>Light Truck</t>
  </si>
  <si>
    <t>Ambulance Insert and Pick Up</t>
  </si>
  <si>
    <t>+ $182.26/hour</t>
  </si>
  <si>
    <t>Camp Genset</t>
  </si>
  <si>
    <t>Skytrack</t>
  </si>
  <si>
    <t>Job Shacks with Genset</t>
  </si>
  <si>
    <t>Light Vehicle</t>
  </si>
  <si>
    <t>Dodge Ram</t>
  </si>
  <si>
    <t>Shop and Lube Rack</t>
  </si>
  <si>
    <t>Does not include portable lights, heater or lube racks</t>
  </si>
  <si>
    <t>Shop at Mary River</t>
  </si>
  <si>
    <t>Mobile Welding Trainer (W041)</t>
  </si>
  <si>
    <t>Communication &amp; Handhelds System</t>
  </si>
  <si>
    <t>Proposed Contract Price Breakdown</t>
  </si>
  <si>
    <t>Baffinland Iron Mines Corporation: Mary River Project - ERP</t>
  </si>
  <si>
    <t>H349000/CC001</t>
  </si>
  <si>
    <t>STIPULATED SUM PORTION</t>
  </si>
  <si>
    <t>Item No.</t>
  </si>
  <si>
    <t>Facility/Activity</t>
  </si>
  <si>
    <t>Measurement for Payment</t>
  </si>
  <si>
    <t>Contractor #1
Unit Price</t>
  </si>
  <si>
    <t>Contractor #1 
Extended Price</t>
  </si>
  <si>
    <t>Contractor #2
Unit Price</t>
  </si>
  <si>
    <t>Contractor #2
Extended Price</t>
  </si>
  <si>
    <t>Contractor #3
Unit Price</t>
  </si>
  <si>
    <t>Contractor #3
Extended Price</t>
  </si>
  <si>
    <t>MEAN
Proposed
 Unit Price</t>
  </si>
  <si>
    <t>VARIANCE 
Unit Price 
Contractor #1</t>
  </si>
  <si>
    <t>VARIANCE 
Unit Price 
Contractor #2</t>
  </si>
  <si>
    <t>VARIANCE 
Unit Price 
Contractor #3</t>
  </si>
  <si>
    <t>1.0</t>
  </si>
  <si>
    <t>STIPULATED SUM ITEMS</t>
  </si>
  <si>
    <t>1.1</t>
  </si>
  <si>
    <t>MOBILIZATION</t>
  </si>
  <si>
    <t>1</t>
  </si>
  <si>
    <t>S.S</t>
  </si>
  <si>
    <t>1.2</t>
  </si>
  <si>
    <t>DEMOBILIZATION</t>
  </si>
  <si>
    <t>1.3</t>
  </si>
  <si>
    <t>INSURANCE</t>
  </si>
  <si>
    <t>1.4</t>
  </si>
  <si>
    <t>CONTRACTOR FACILITIES</t>
  </si>
  <si>
    <t>7300</t>
  </si>
  <si>
    <t>1.5</t>
  </si>
  <si>
    <t>PERMITS</t>
  </si>
  <si>
    <t>SUBTOTAL (STIPULATED SUM PORTION)</t>
  </si>
  <si>
    <t>UNIT RATE PORTION</t>
  </si>
  <si>
    <t>2.0</t>
  </si>
  <si>
    <t>UNIT RATE ITEMS</t>
  </si>
  <si>
    <t>AREA 2000 - MILNE PORT</t>
  </si>
  <si>
    <t>2.1</t>
  </si>
  <si>
    <t>EARTHWORKS</t>
  </si>
  <si>
    <t>ORE STOCKPILE PAD</t>
  </si>
  <si>
    <t>2133</t>
  </si>
  <si>
    <t>Type 1 Excavation</t>
  </si>
  <si>
    <t>cubic metre</t>
  </si>
  <si>
    <t>Type 2A Excavation</t>
  </si>
  <si>
    <t>2.2</t>
  </si>
  <si>
    <t>Rock fill: Type 8 - 150mm minus</t>
  </si>
  <si>
    <t>Screened Borrow Fill - 150mm minus</t>
  </si>
  <si>
    <t>2.6</t>
  </si>
  <si>
    <t>Prepare and Compact Subgrade</t>
  </si>
  <si>
    <t>square metre</t>
  </si>
  <si>
    <t>Place Excavation as Fill</t>
  </si>
  <si>
    <t>2.13</t>
  </si>
  <si>
    <t>ORE STOCKPILE SETTLING POND</t>
  </si>
  <si>
    <t>2345</t>
  </si>
  <si>
    <t>Excavation , Fill, Subgrade Quantities are included in Activity 2133</t>
  </si>
  <si>
    <t>Incl in 2133</t>
  </si>
  <si>
    <t>Rock fill: Type 19 - 150mm Clear (placed as rip rap)</t>
  </si>
  <si>
    <t>Geo-membrane liner</t>
  </si>
  <si>
    <t>2.15</t>
  </si>
  <si>
    <t>MILNE PORT QUARRY AND BORROW DEVELOPMENT</t>
  </si>
  <si>
    <t>2138</t>
  </si>
  <si>
    <t>AREA 3000 - TOTE ROAD</t>
  </si>
  <si>
    <t>2.3</t>
  </si>
  <si>
    <t>ROAD UPGRADE</t>
  </si>
  <si>
    <t>3131</t>
  </si>
  <si>
    <t>Rock fill: Type 5 - 32mm minus</t>
  </si>
  <si>
    <t>Rock fill: Type 12 - Run of Quarry</t>
  </si>
  <si>
    <t>Excavate and Place Rip-Rap</t>
  </si>
  <si>
    <t>2.14</t>
  </si>
  <si>
    <t>Non-woven textile material</t>
  </si>
  <si>
    <t>2.10</t>
  </si>
  <si>
    <t>Geo-grid</t>
  </si>
  <si>
    <t>2.11</t>
  </si>
  <si>
    <t>Culvert - 600mm dia. galvanized CSP</t>
  </si>
  <si>
    <t>metre</t>
  </si>
  <si>
    <t>Culvert - 1000mm dia. galvanized CSP</t>
  </si>
  <si>
    <t>Culvert - 1500mm dia. galvanized CSP</t>
  </si>
  <si>
    <t>Culvert - 2000mm dia. galvanized CSP</t>
  </si>
  <si>
    <t>Install road edge markers</t>
  </si>
  <si>
    <t>2.8</t>
  </si>
  <si>
    <t>Install Culvert Markers</t>
  </si>
  <si>
    <t>2.9</t>
  </si>
  <si>
    <t>Signage</t>
  </si>
  <si>
    <t>2.12</t>
  </si>
  <si>
    <t>2.4</t>
  </si>
  <si>
    <t>TOTE ROAD QUARRY AND BORROW DEVELOPMENT</t>
  </si>
  <si>
    <t>3138</t>
  </si>
  <si>
    <t>AREA 4000 - MINE SITE</t>
  </si>
  <si>
    <t>2.5</t>
  </si>
  <si>
    <t>ORE CRUSHING AND LOADING</t>
  </si>
  <si>
    <t>4133</t>
  </si>
  <si>
    <t>PIT 1 HAUL ROAD</t>
  </si>
  <si>
    <t>4221</t>
  </si>
  <si>
    <t>Type 2B Excavation</t>
  </si>
  <si>
    <t>Place Fill (using Types 1 and 2A Excavation)</t>
  </si>
  <si>
    <t>OPEN PIT DEVELOPMENT</t>
  </si>
  <si>
    <t>4250</t>
  </si>
  <si>
    <t>CRUSHING STOCKPILE SETTLING POND</t>
  </si>
  <si>
    <t>4385</t>
  </si>
  <si>
    <t xml:space="preserve">Rock fill: Type 8 - 150mm minus (placed as rock berm) </t>
  </si>
  <si>
    <t>MINE SITE QUARRY DEVELOPMENT</t>
  </si>
  <si>
    <t>4138</t>
  </si>
  <si>
    <t>SUBTOTAL (UNIT RATE PORTION)</t>
  </si>
  <si>
    <t>TIME AND MATERIAL PORTION</t>
  </si>
  <si>
    <t>3.0</t>
  </si>
  <si>
    <t>TIME AND MATERIAL ITEMS</t>
  </si>
  <si>
    <t>3.1</t>
  </si>
  <si>
    <t>TOTE ROAD BRIDE CONSTRUCTION</t>
  </si>
  <si>
    <t>CONSTRUCT NEW BRIDGE AT KM 17</t>
  </si>
  <si>
    <t>3132</t>
  </si>
  <si>
    <t>CONSTRUCT NEW BRIDGE AT KM 62</t>
  </si>
  <si>
    <t>3133</t>
  </si>
  <si>
    <t>CONSTRUCT NEW BRIDGE AT KM 80</t>
  </si>
  <si>
    <t>3134</t>
  </si>
  <si>
    <t>CONSTRUCT NEW BRDIGE AT KM 97</t>
  </si>
  <si>
    <t>3135</t>
  </si>
  <si>
    <t>REMOVE EXISTING BRIDGES</t>
  </si>
  <si>
    <t>3136</t>
  </si>
  <si>
    <t>AREA 7000 - CONSTRUCTION INFRASTRUCTURE</t>
  </si>
  <si>
    <t>3.2</t>
  </si>
  <si>
    <t>SERVICES</t>
  </si>
  <si>
    <t>EXPLOSIVES SUPPLY</t>
  </si>
  <si>
    <t>7824</t>
  </si>
  <si>
    <t>TOTE ROAD SNOW CLEARING</t>
  </si>
  <si>
    <t>7810.2.3</t>
  </si>
  <si>
    <t>3.3</t>
  </si>
  <si>
    <t>TOTE ROAD FLOOD MANAGEMENT</t>
  </si>
  <si>
    <t>7810.3.4</t>
  </si>
  <si>
    <t>TOTE ROAD FRESHET MANAGEMENT</t>
  </si>
  <si>
    <t>7810.4.5</t>
  </si>
  <si>
    <r>
      <t>SUBTOTAL (TIME AND MATERIAL PORTION</t>
    </r>
    <r>
      <rPr>
        <b/>
        <sz val="10"/>
        <rFont val="Arial"/>
        <family val="2"/>
      </rPr>
      <t>)</t>
    </r>
  </si>
  <si>
    <t>OPTIONAL ITEMS (TO BE PRICED BY ALL PROPONENTS)</t>
  </si>
  <si>
    <t>4.0</t>
  </si>
  <si>
    <t>OPTIONAL ITEMS</t>
  </si>
  <si>
    <t>4.1</t>
  </si>
  <si>
    <t>BULK SAMPLE (OPTIONAL)</t>
  </si>
  <si>
    <t xml:space="preserve">2014 BULK SAMPLE </t>
  </si>
  <si>
    <t>SUBTOTAL (OPTIONAL ITEMS)</t>
  </si>
  <si>
    <t>TOTAL PROPOSED CONTRACT PRICE</t>
  </si>
  <si>
    <t>Level 0</t>
  </si>
  <si>
    <t>Level 1</t>
  </si>
  <si>
    <t xml:space="preserve">Level 2 </t>
  </si>
  <si>
    <t xml:space="preserve">Level 3 </t>
  </si>
  <si>
    <t>Accomodation Service Core</t>
  </si>
  <si>
    <t>ft2</t>
  </si>
  <si>
    <t>Maintain the cost to remove the bldgs but remove the cost for grade &amp; re-contour bldgs footprint. Quantity to be removed based on Master building list</t>
  </si>
  <si>
    <t>Accomodation Office</t>
  </si>
  <si>
    <t>Accomodation Laundry</t>
  </si>
  <si>
    <t>Total Building Footprint (Already Accounted for)</t>
  </si>
  <si>
    <t>Liability Allocation</t>
  </si>
  <si>
    <t xml:space="preserve">Project Total </t>
  </si>
  <si>
    <t xml:space="preserve">Land </t>
  </si>
  <si>
    <t xml:space="preserve">Total </t>
  </si>
  <si>
    <t>DIRECT COSTS SUBTOTAL</t>
  </si>
  <si>
    <t>Project Management
(5% of Direct Costs)</t>
  </si>
  <si>
    <t>Bonding
(1% of Direct Costs)</t>
  </si>
  <si>
    <t>Insurance
(1% of Direct Costs)</t>
  </si>
  <si>
    <t>Engineering
(5% of Direct Costs)</t>
  </si>
  <si>
    <t>Contingency
(10% of Direct Costs)</t>
  </si>
  <si>
    <t>GRAND TOTAL</t>
  </si>
  <si>
    <t>Level 2</t>
  </si>
  <si>
    <t>Level 3</t>
  </si>
  <si>
    <t>2734</t>
  </si>
  <si>
    <t>0</t>
  </si>
  <si>
    <t>Quarry at PQ5A</t>
  </si>
  <si>
    <t>Quarry at PQ5B</t>
  </si>
  <si>
    <t>Quarry at PQ2A</t>
  </si>
  <si>
    <t>Quarry at PQ6A</t>
  </si>
  <si>
    <t>Quarry at PQ6B</t>
  </si>
  <si>
    <t>Quarry at PQ12B</t>
  </si>
  <si>
    <t>Quarry at PQ14A</t>
  </si>
  <si>
    <t>Quarry at PQ14B</t>
  </si>
  <si>
    <t>Quarry at PQ4A</t>
  </si>
  <si>
    <t>Quarry at PQ4B</t>
  </si>
  <si>
    <t>Quarry at Q12</t>
  </si>
  <si>
    <t>Generator</t>
  </si>
  <si>
    <t>Site Operations Mobile Equipment</t>
  </si>
  <si>
    <t>Cranes and Lifting Equipment</t>
  </si>
  <si>
    <t>Project Management</t>
  </si>
  <si>
    <t>Items Removed from EBS</t>
  </si>
  <si>
    <t>Remove</t>
  </si>
  <si>
    <t>Fold Away Building Contaminated (480 ft2)</t>
  </si>
  <si>
    <t>Precast Concrete Foundations - (480 ft2)</t>
  </si>
  <si>
    <t>Slab on Grade - ASSUME 300mm thick</t>
  </si>
  <si>
    <t>4521</t>
  </si>
  <si>
    <t>4750</t>
  </si>
  <si>
    <t>4610</t>
  </si>
  <si>
    <t>Hold/ Remove</t>
  </si>
  <si>
    <t>4730</t>
  </si>
  <si>
    <t xml:space="preserve">Additional Laydown Areas </t>
  </si>
  <si>
    <t>Inclusive of Crusher Stockpile Pad (600 m2) @ Mine Site</t>
  </si>
  <si>
    <t>vol</t>
  </si>
  <si>
    <t>area</t>
  </si>
  <si>
    <t>Mobile Equipment Removed from EBS</t>
  </si>
  <si>
    <t>Pick up</t>
  </si>
  <si>
    <t>MOBILE EQUIPMENT  - PICKUP TRUCK  - FORD F350  
L: 6274 
W: 2665, H: 2032, 6350 kg</t>
  </si>
  <si>
    <t>014</t>
  </si>
  <si>
    <t>MOBILE EQUIPMENT  - PICKUP TRUCK  - FORD F350  
L: 6274, W: 2665, H: 2032, 6350 kg</t>
  </si>
  <si>
    <t>015</t>
  </si>
  <si>
    <t>016</t>
  </si>
  <si>
    <t>018</t>
  </si>
  <si>
    <t xml:space="preserve"> CAT 988H</t>
  </si>
  <si>
    <t>MOBILE EQUIPMENT  - STOCKPILE FRONT END LOADER - CAT 988H  L: 10390, W: 3600, H: 4115, 43400 kg</t>
  </si>
  <si>
    <t>019</t>
  </si>
  <si>
    <t>020</t>
  </si>
  <si>
    <t>021</t>
  </si>
  <si>
    <t>024</t>
  </si>
  <si>
    <t>Lights</t>
  </si>
  <si>
    <t>MOBILE EQUIPMENT  - NIGHT WORK AREA LIGHT PLANTS - TEREX AL4  
L: 4623, W: 2007, H: 9000, 925 kg</t>
  </si>
  <si>
    <t>025</t>
  </si>
  <si>
    <t>028</t>
  </si>
  <si>
    <t>032</t>
  </si>
  <si>
    <t>033</t>
  </si>
  <si>
    <t>034</t>
  </si>
  <si>
    <t>bobcat size</t>
  </si>
  <si>
    <t>MOBILE EQUIPMENT  - CONVEYOR CLEANUP/SNOW REMOVAL ALL TERRAIN LOADER - CAT 247B  
L: 3277, W: 1676, H: 3810, 3175 kg</t>
  </si>
  <si>
    <t>035</t>
  </si>
  <si>
    <t>037</t>
  </si>
  <si>
    <t xml:space="preserve"> CAT 14M</t>
  </si>
  <si>
    <t>MOBILE EQUIPMENT  - SITE MAINTENANCE GRADER - CAT 14M  
L: 9412, W: 2791, H: 3535, 24400 kg</t>
  </si>
  <si>
    <t>038</t>
  </si>
  <si>
    <t>Dozer</t>
  </si>
  <si>
    <t>MOBILE EQUIPMENT  - SITE MAINTENANCE TRACK DOZER - CAT D6T XW  
L: 4064, W: 2464, H: 2439, 21600 kg</t>
  </si>
  <si>
    <t>039</t>
  </si>
  <si>
    <t>MOBILE EQUIPMENT  - PLANT AND MOBILE EQUIPMENT MAINTENANCE SERVICE TRUCK - FORD F550  
L: 7264, W: 2418, H: 2022, 7300 kg</t>
  </si>
  <si>
    <t>040</t>
  </si>
  <si>
    <t>MOBILE EQUIPMENT  - PLANT AND MOBILE EQUIPMENT MAINTENANCE SERVICE TRUCK - PETERBILT 348  
L: 7264, W: 2418, H: 2022, 7300 kg</t>
  </si>
  <si>
    <t>041</t>
  </si>
  <si>
    <t>MOBILE EQUIPMENT  - SITE MAINTENANCE SMALL LOADER - CAT 930K  
L: 6050, W: 2390, H: 3150, 9600 kg</t>
  </si>
  <si>
    <t>042</t>
  </si>
  <si>
    <t>45 MT</t>
  </si>
  <si>
    <t>MOBILE EQUIPMENT  - SITE MAINTENANCE MID SIZE EXCAVATOR - CAT 345DL  
L: 11910, W: 3490, H: 3770, 45000 kg</t>
  </si>
  <si>
    <t>043</t>
  </si>
  <si>
    <t>Kenworth Truck</t>
  </si>
  <si>
    <t xml:space="preserve">MOBILE EQUIPMENT  - MAINTENANCE FUEL/LUBE TRUCK - KENWORTH T800  </t>
  </si>
  <si>
    <t>044</t>
  </si>
  <si>
    <t xml:space="preserve">MOBILE EQUIPMENT  - MINE/TOTE ROAD MAINTENANCE PLOW/SAND TRUCK - WESTERN STAR 4700 SF  </t>
  </si>
  <si>
    <t>045</t>
  </si>
  <si>
    <t>Pump</t>
  </si>
  <si>
    <t>MOBILE EQUIPMENT  - SITE DEWATERING PUMP - GORMAN-RUPP 14C2-F3L  
L: 2057, W: 979, H: 1510, 834 kg</t>
  </si>
  <si>
    <t>046</t>
  </si>
  <si>
    <t>047</t>
  </si>
  <si>
    <t>Light sized</t>
  </si>
  <si>
    <t>MOBILE EQUIPMENT  - MAINTENANCE HOT BOX - ECOBLAZE CUBE 1100  
L: 4877, W: 2235, H: 1829, 1850 kg</t>
  </si>
  <si>
    <t>048</t>
  </si>
  <si>
    <t>049</t>
  </si>
  <si>
    <t>welder</t>
  </si>
  <si>
    <t xml:space="preserve">MOBILE EQUIPMENT  - MAINTENANCE TRAILER WELDER </t>
  </si>
  <si>
    <t>050</t>
  </si>
  <si>
    <t>telehandler</t>
  </si>
  <si>
    <t>MOBILE EQUIPMENT  - FREIGHT TELEHANDLER - CAT TH514  
L: 6100, W: 2570, H: 2570, 15800 kg</t>
  </si>
  <si>
    <t>051</t>
  </si>
  <si>
    <t>MOBILE EQUIPMENT  - TOTE ROAD MAINTENANCE GRADER - CAT 14M  
L: 9412, W: 2791, H: 3535, 24400 kg</t>
  </si>
  <si>
    <t>052</t>
  </si>
  <si>
    <t>053</t>
  </si>
  <si>
    <t>054</t>
  </si>
  <si>
    <t>Compactor</t>
  </si>
  <si>
    <t>MOBILE EQUIPMENT  - TOTE ROAD MAINTENANCE COMPACTOR - CAT CS56  
L: 5860, W: 2300, H: 3070, 12250 kg</t>
  </si>
  <si>
    <t>055</t>
  </si>
  <si>
    <t xml:space="preserve">MOBILE EQUIPMENT  - TOTE ROAD MAINTENANCE PLOW/SAND TRUCK - WESTERN STAR 4700 SF  </t>
  </si>
  <si>
    <t>056</t>
  </si>
  <si>
    <t>MOBILE EQUIPMENT  - TOTE ROAD MAINTENANCE MID SIZE EXCAVATOR - CAT 345DL HEX  
L: 11910, W: 3490, H: 3770, 45000 kg</t>
  </si>
  <si>
    <t>057</t>
  </si>
  <si>
    <t>MOBILE EQUIPMENT  - ROAD SNOW BLOWER  - CAT 950H  
L: 6170, W: 2410, H: 3320, 18338 kg</t>
  </si>
  <si>
    <t>058</t>
  </si>
  <si>
    <t>small crane</t>
  </si>
  <si>
    <t xml:space="preserve">MOBILE EQUIPMENT  - MINI CRAWLER CRANE  - SPYDER CRANE URW295  </t>
  </si>
  <si>
    <t>059</t>
  </si>
  <si>
    <t>Forklift</t>
  </si>
  <si>
    <t>MOBILE EQUIPMENT  - FORKLIFT  - MITSUBISHI FD35N  
L: 2540, W: 1300, H: 2540, 4800 kg</t>
  </si>
  <si>
    <t>060</t>
  </si>
  <si>
    <t>Sterling Trucks</t>
  </si>
  <si>
    <t xml:space="preserve">MOBILE EQUIPMENT  - SPILL RESPONSE TRUCK  - STERLING M8500  </t>
  </si>
  <si>
    <t>061</t>
  </si>
  <si>
    <t>MOBILE EQUIPMENT  - FORKLIFT  - CAT DP50K  
L: 3305, W: 1460, H: 2400, 7160 kg</t>
  </si>
  <si>
    <t>062</t>
  </si>
  <si>
    <t>MOBILE EQUIPMENT  - FORKLIFT  - CAT 2ET4000 
 L: 2000, W: 1100, H: 2040, 3330 kg</t>
  </si>
  <si>
    <t>064</t>
  </si>
  <si>
    <t xml:space="preserve">MOBILE EQUIPMENT  - WATER TRUCK  - PETERBILT 348 AUTO S/S 100 BBL  </t>
  </si>
  <si>
    <t>065</t>
  </si>
  <si>
    <t>Container Handler</t>
  </si>
  <si>
    <t>MOBILE EQUIPMENT  - CONTAINER HANDLER - KALMAR DRF 450-6555  
L: 11684, W: 3454, H: 2146, 72000 kg</t>
  </si>
  <si>
    <t>066</t>
  </si>
  <si>
    <t>school bus</t>
  </si>
  <si>
    <t>MOBILE EQUIPMENT  - PASSENGER TRANSFER BUS - BLUE BIRD BBCV DIESEL 3507A  
L: 12192, W: 2440, H: 2900, 14000 kg</t>
  </si>
  <si>
    <t>067</t>
  </si>
  <si>
    <t>MOBILE EQUIPMENT  - WORKER TRANSFER MINI BUS - BLUE BIRD BBCV DIESEL 1910 A  
L: 7470, W: 2440, H: 1930, 7080 kg</t>
  </si>
  <si>
    <t>068</t>
  </si>
  <si>
    <t xml:space="preserve">MOBILE EQUIPMENT  - WATER DELIVERY TRUCK  - PETERBILT 367 TRI-DRIVE   </t>
  </si>
  <si>
    <t>069</t>
  </si>
  <si>
    <t xml:space="preserve">MOBILE EQUIPMENT  - MILNE/MR FREIGHT HAUL TRACTOR - PETERBILT 367  </t>
  </si>
  <si>
    <t>070</t>
  </si>
  <si>
    <t>071</t>
  </si>
  <si>
    <t>072</t>
  </si>
  <si>
    <t xml:space="preserve">MOBILE EQUIPMENT  - MILNE/MR FREIGHT HAUL HIBOY TRAILER
L: 12192, W: 2438 </t>
  </si>
  <si>
    <t>073</t>
  </si>
  <si>
    <t xml:space="preserve">MOBILE EQUIPMENT  - MILNE/MR FREIGHT HAUL HIBOY TRAILER 
L: 12192, W: 2438 </t>
  </si>
  <si>
    <t>074</t>
  </si>
  <si>
    <t xml:space="preserve">MOBILE EQUIPMENT  - MILNE/MR FREIGHT HAUL HIBOY TRAILER
L: 12192, W: 2438 
</t>
  </si>
  <si>
    <t>075</t>
  </si>
  <si>
    <t>sewage tank and vacuum</t>
  </si>
  <si>
    <t xml:space="preserve">MOBILE EQUIPMENT  - SEWAGE HOLDING TANK SKID MOUNTED VACUUM UNIT - TEXLA </t>
  </si>
  <si>
    <t>076</t>
  </si>
  <si>
    <t xml:space="preserve">MOBILE EQUIPMENT  - GARBAGE TRUCK  - PETERBILT 365  </t>
  </si>
  <si>
    <t>077</t>
  </si>
  <si>
    <t>Garbage Bin (Large)</t>
  </si>
  <si>
    <t xml:space="preserve">MOBILE EQUIPMENT  - GARBAGE BIN - LARGE  </t>
  </si>
  <si>
    <t>078</t>
  </si>
  <si>
    <t>079</t>
  </si>
  <si>
    <t>080</t>
  </si>
  <si>
    <t>081</t>
  </si>
  <si>
    <t>Small Garbage bin</t>
  </si>
  <si>
    <t xml:space="preserve">MOBILE EQUIPMENT  - GARBAGE BIN - SMALL  </t>
  </si>
  <si>
    <t>082</t>
  </si>
  <si>
    <t>083</t>
  </si>
  <si>
    <t xml:space="preserve">MOBILE EQUIPMENT  - WILDLIFE DETERGENT GARBAGE BIN </t>
  </si>
  <si>
    <t>084</t>
  </si>
  <si>
    <t>085</t>
  </si>
  <si>
    <t>086</t>
  </si>
  <si>
    <t>Sea Container</t>
  </si>
  <si>
    <t xml:space="preserve">MOBILE EQUIPMENT  - HEATED/REFRIGERATED SEA CONTAINER 
L: 6096, W: 2440, H: 2440 </t>
  </si>
  <si>
    <t>087</t>
  </si>
  <si>
    <t>088</t>
  </si>
  <si>
    <t xml:space="preserve">MOBILE EQUIPMENT  - REFRIGERATED SEA CONTAINER 
L: 6096, W: 2440, H: 2440 </t>
  </si>
  <si>
    <t>089</t>
  </si>
  <si>
    <t>090</t>
  </si>
  <si>
    <t>091</t>
  </si>
  <si>
    <t xml:space="preserve">MOBILE EQUIPMENT  - REFRIGERATED SEA CONTAINER L: 6096, 
W: 2440, H: 2440 </t>
  </si>
  <si>
    <t>092</t>
  </si>
  <si>
    <t>093</t>
  </si>
  <si>
    <t>094</t>
  </si>
  <si>
    <t>131</t>
  </si>
  <si>
    <t xml:space="preserve">CONVEYING  - JUMP CONVEYOR  - MASABA MINING EQUIPMENT  </t>
  </si>
  <si>
    <t>132</t>
  </si>
  <si>
    <t>133</t>
  </si>
  <si>
    <t>134</t>
  </si>
  <si>
    <t>CONVEYING  - JUMP CONVEYOR  - MASABA MINING EQUIPMENT</t>
  </si>
  <si>
    <t>135</t>
  </si>
  <si>
    <t>256</t>
  </si>
  <si>
    <t>MOBILE EQUIPMENT  - AMBULANCE  - FORD F350  
L: 5715, W: 1752, H: 2032, 6350 kg</t>
  </si>
  <si>
    <t>257</t>
  </si>
  <si>
    <t>Large Fire Truck</t>
  </si>
  <si>
    <t>MOBILE EQUIPMENT  - FIRE TRUCK  - OSHKOSH T1500  
L: 10540, W: 3100, H: 3810, 16500 kg</t>
  </si>
  <si>
    <t>599</t>
  </si>
  <si>
    <t>MOBILE EQUIPMENT  - MOBILE CRUSHER FRONT-END LOADER - CAT 988H  
L: 10390, W: 3600, H: 4115, 43400 kg</t>
  </si>
  <si>
    <t>600</t>
  </si>
  <si>
    <t>601</t>
  </si>
  <si>
    <t>Haul Truck</t>
  </si>
  <si>
    <t>MOBILE EQUIPMENT  - MINE HAUL TRUCK - CAT 777G  
L: 10445, W: 6706, H: 5840, 75200 kg</t>
  </si>
  <si>
    <t>602</t>
  </si>
  <si>
    <t>603</t>
  </si>
  <si>
    <t>604</t>
  </si>
  <si>
    <t>605</t>
  </si>
  <si>
    <t>MOBILE EQUIPMENT  - MINE SITE LARGE EXCAVATOR - CAT 390DL  
L: 13470, W: 3500, H: 4782, 85000 kg</t>
  </si>
  <si>
    <t>606</t>
  </si>
  <si>
    <t>607</t>
  </si>
  <si>
    <t>608</t>
  </si>
  <si>
    <t>609</t>
  </si>
  <si>
    <t>610</t>
  </si>
  <si>
    <t>611</t>
  </si>
  <si>
    <t>Drill</t>
  </si>
  <si>
    <t>MOBILE EQUIPMENT  - SINGLE PASS PRODUCTION DRILL - CAT MD6290  56800 kg</t>
  </si>
  <si>
    <t>612</t>
  </si>
  <si>
    <t>MOBILE EQUIPMENT  - SINGLE PASS PRODUCTION DRILL - CAT MD6290  
L: 14280, W: 4010, H: 4590, 56800 kg</t>
  </si>
  <si>
    <t>613</t>
  </si>
  <si>
    <t>FEL size</t>
  </si>
  <si>
    <t xml:space="preserve">MOBILE EQUIPMENT  - SECONDARY DRILL  - TAMROCK 800  </t>
  </si>
  <si>
    <t>614</t>
  </si>
  <si>
    <t xml:space="preserve">MOBILE EQUIPMENT  - DRILL DUST SUPPRESSION WATER/METHANOL TRUCK -  KENWORTH T800H </t>
  </si>
  <si>
    <t>616</t>
  </si>
  <si>
    <t>MOBILE EQUIPMENT  - TOTE ROAD ORE HAUL TRUCK - TRACTOR - WESTERN STAR 6900XD  
L: 10080, W: 3060, H: 3900, 11400 kg</t>
  </si>
  <si>
    <t>617</t>
  </si>
  <si>
    <t>Haul Truck trailer</t>
  </si>
  <si>
    <t>MOBILE EQUIPMENT  - TOTE ROAD ORE HAUL TRUCK - LEAD TRAILER - SMITHCO S4 (75T)  
L: 10240, W: 3060, H: 4210, 34500 kg</t>
  </si>
  <si>
    <t>618</t>
  </si>
  <si>
    <t>MOBILE EQUIPMENT  - TOTE ROAD ORE HAUL TRUCK - PUP TRAILER - SMITHCO S4 (75T)  
L: 10240, W: 3060, H: 4210, 34500 kg</t>
  </si>
  <si>
    <t>619</t>
  </si>
  <si>
    <t>620</t>
  </si>
  <si>
    <t>621</t>
  </si>
  <si>
    <t>622</t>
  </si>
  <si>
    <t>623</t>
  </si>
  <si>
    <t>MOBILE EQUIPMENT  - TOTE ROAD ORE HAUL TRUCK - LEAD TRAILER - SMITHCO S4 (75T) 
L: 10240, W: 3060, H: 4210, 34500 kg</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</si>
  <si>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</si>
  <si>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</si>
  <si>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</si>
  <si>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</si>
  <si>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</si>
  <si>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</si>
  <si>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</si>
  <si>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</si>
  <si>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</si>
  <si>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</si>
  <si>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</si>
  <si>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</si>
  <si>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</si>
  <si>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</si>
  <si>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</si>
  <si>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</si>
  <si>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</si>
  <si>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</si>
  <si>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</si>
  <si>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</si>
  <si>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</si>
  <si>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</si>
  <si>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</si>
  <si>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</si>
  <si>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</si>
  <si>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</si>
  <si>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</si>
  <si>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</si>
  <si>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</si>
  <si>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</si>
  <si>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</si>
  <si>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</si>
  <si>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</si>
  <si>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</si>
  <si>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</si>
  <si>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</si>
  <si>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</si>
  <si>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</si>
  <si>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</si>
  <si>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</si>
  <si>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</si>
  <si>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</si>
  <si>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</si>
  <si>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</si>
  <si>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</si>
  <si>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</si>
  <si>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</si>
  <si>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</si>
  <si>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</si>
  <si>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</si>
  <si>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</si>
  <si>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</si>
  <si>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</si>
  <si>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MOBILE EQUIPMENT  - MINE SITE TRACK DOZER - CAT D9T  
L: 6630, W: 4310, H: 3815, 42700 kg</t>
  </si>
  <si>
    <t>677</t>
  </si>
  <si>
    <t>MOBILE EQUIPMENT  - MINE SITE TRACK DOZER - CAT D9T  
L: 6630, W: 4310, H: 3815, 78000 kg</t>
  </si>
  <si>
    <t>678</t>
  </si>
  <si>
    <t>MOBILE EQUIPMENT  - MINE SITE WHEEL DOZER - CAT 824H  
L: 8716, W: 3556, H: 4102, 46300 kg</t>
  </si>
  <si>
    <t>679</t>
  </si>
  <si>
    <t>MOBILE EQUIPMENT  - GRADER  - CAT 16H  
L: 9963, W: 3096, H: 3718, 30400 kg</t>
  </si>
  <si>
    <t>680</t>
  </si>
  <si>
    <t>MOBILE EQUIPMENT  - PRODUCTION FRONT END LOADER - CAT 992K  
L: 16877, W: 6000, H: 7000, 100000 kg</t>
  </si>
  <si>
    <t>681</t>
  </si>
  <si>
    <t>MOBILE EQUIPMENT  - PRODUCTION LARGE EXCAVATOR - CAT 390DL  L: 13470, W: 3500, H: 4782, 85000 kg</t>
  </si>
  <si>
    <t>682</t>
  </si>
  <si>
    <t>683</t>
  </si>
  <si>
    <t>684</t>
  </si>
  <si>
    <t>685</t>
  </si>
  <si>
    <t>686</t>
  </si>
  <si>
    <t>687</t>
  </si>
  <si>
    <t>688</t>
  </si>
  <si>
    <t>689</t>
  </si>
  <si>
    <t>690</t>
  </si>
  <si>
    <t>691</t>
  </si>
  <si>
    <t>693</t>
  </si>
  <si>
    <t xml:space="preserve">MOBILE EQUIPMENT  - MAINTENANCE SERVICE TRUCK - FORD F550  </t>
  </si>
  <si>
    <t>694</t>
  </si>
  <si>
    <t>Dump Truck</t>
  </si>
  <si>
    <t xml:space="preserve">MOBILE EQUIPMENT  - MAINTENANCE SERVICE TRUCK - PETERBILT 348  </t>
  </si>
  <si>
    <t>695</t>
  </si>
  <si>
    <t>696</t>
  </si>
  <si>
    <t xml:space="preserve">MOBILE EQUIPMENT  - LOWBED TRACTOR - PETERBILT 367  </t>
  </si>
  <si>
    <t>697</t>
  </si>
  <si>
    <t>698</t>
  </si>
  <si>
    <t>Tire Handler</t>
  </si>
  <si>
    <t>MOBILE EQUIPMENT  - TIRE HANDLER  - WBM T20P-S  5900 kg</t>
  </si>
  <si>
    <t>699</t>
  </si>
  <si>
    <t>MOBILE EQUIPMENT  - FREIGHT HANDLING FRONT END LOADER - CAT 930K  
L: 6050, W: 2390, H: 3150, 9600 kg</t>
  </si>
  <si>
    <t>700</t>
  </si>
  <si>
    <t>MOBILE EQUIPMENT  - YARD WORK EXCAVATOR - CAT 345DL  
L: 11910, W: 3490, H: 3770, 45000 kg</t>
  </si>
  <si>
    <t>701</t>
  </si>
  <si>
    <t>MOBILE EQUIPMENT  - CLEANUP/SNOW REMOVAL ALL TERRAIN FRONT END LOADER - CAT 247B  
L: 3277, W: 1676, H: 3810, 3175 kg</t>
  </si>
  <si>
    <t>702</t>
  </si>
  <si>
    <t>703</t>
  </si>
  <si>
    <t xml:space="preserve">MOBILE EQUIPMENT  - CRUSHER MAINTENANCE KNUCKLE CRANE - KENWORTH T800  </t>
  </si>
  <si>
    <t>704</t>
  </si>
  <si>
    <t>Large Crane</t>
  </si>
  <si>
    <t>MOBILE EQUIPMENT  - MAINTENANCE CRANE - TEREX RT780  
L: 14630, W: 7920, H: 3990, 42000 kg</t>
  </si>
  <si>
    <t>MOBILE EQUIPMENT  - MAINTENANCE CRANE - TEREX RT130  
L: 15240, W: 7920, H: 3970, 60500 kg</t>
  </si>
  <si>
    <t>706</t>
  </si>
  <si>
    <t>MOBILE EQUIPMENT  - WAREHOUSE FORK LIFT - CAT P7000-D  
L: 2790, W: 1290, H: 2500, 4763 kg</t>
  </si>
  <si>
    <t>707</t>
  </si>
  <si>
    <t>MOBILE EQUIPMENT  - MAINTENANCE FORK LIFT - CAT P20000  
L: 4240, W: 2390, H: 2845, 14320 kg</t>
  </si>
  <si>
    <t>708</t>
  </si>
  <si>
    <t>Telehandler</t>
  </si>
  <si>
    <t>MOBILE EQUIPMENT  - FREIGHT TELEHANDLER - CAT TH514  L: 6100, W: 2570, H: 2570, 15800 kg</t>
  </si>
  <si>
    <t>709</t>
  </si>
  <si>
    <t xml:space="preserve">MOBILE EQUIPMENT  - RUN-OFF CONTROL DEWATERING PUMP - GORMAN RUPP T6A60S-C4.4T  </t>
  </si>
  <si>
    <t>710</t>
  </si>
  <si>
    <t>711</t>
  </si>
  <si>
    <t>712</t>
  </si>
  <si>
    <t>713</t>
  </si>
  <si>
    <t>714</t>
  </si>
  <si>
    <t xml:space="preserve">MOBILE EQUIPMENT  - YARD MAINTENANCE PLOW/SAND TRUCK - INTERNATIONAL 7600  </t>
  </si>
  <si>
    <t>715</t>
  </si>
  <si>
    <t>MOBILE EQUIPMENT  - GRADER  - CAT 16M  
L: 9994, W: 3077, H: 3524, 24400 kg</t>
  </si>
  <si>
    <t>716</t>
  </si>
  <si>
    <t>MOBILE EQUIPMENT  - YARD/TOTE ROAD MAINTENANCE TRACK DOZER - CAT D6T XW  
L: 4064, W: 2464, H: 2439, 21600 kg</t>
  </si>
  <si>
    <t>717</t>
  </si>
  <si>
    <t>718</t>
  </si>
  <si>
    <t>Man Lift</t>
  </si>
  <si>
    <t>MOBILE EQUIPMENT  - MAN LIFT  - JLG450AJ  
L: 2500, W: 1170, H: 1970, 6010 kg</t>
  </si>
  <si>
    <t>719</t>
  </si>
  <si>
    <t>MOBILE EQUIPMENT  - SCISSOR LIFT  - SKYJACK 8841  
L: 3500, 
W: 2200, H: 2900 4917 kg</t>
  </si>
  <si>
    <t>720</t>
  </si>
  <si>
    <t xml:space="preserve">MOBILE EQUIPMENT  - ORE HAUL TRUCK RECOVERY TOW TRUCK - KENWORTH T800  </t>
  </si>
  <si>
    <t xml:space="preserve">MOBILE EQUIPMENT  - TOTE ROAD CULVERT MAINTENANCE STEAM TRUCK - PETERBILT T/A STEAM TRUCK  </t>
  </si>
  <si>
    <t>722</t>
  </si>
  <si>
    <t>723</t>
  </si>
  <si>
    <t>724</t>
  </si>
  <si>
    <t>725</t>
  </si>
  <si>
    <t>726</t>
  </si>
  <si>
    <t>727</t>
  </si>
  <si>
    <t>MOBILE EQUIPMENT  - FORKLIFT  - MITSUBISHI FB20PNT  
L: 3050, W: 1090, H: 2050, 3500 kg</t>
  </si>
  <si>
    <t xml:space="preserve">MOBILE EQUIPMENT  - MINI CRAWLER CRANE  - SPYDER CRANE URW706  </t>
  </si>
  <si>
    <t>729</t>
  </si>
  <si>
    <t>731</t>
  </si>
  <si>
    <t>732</t>
  </si>
  <si>
    <t>733</t>
  </si>
  <si>
    <t>734</t>
  </si>
  <si>
    <t>735</t>
  </si>
  <si>
    <t>MOBILE EQUIPMENT  - WORKER TRANSFER MINI BUS - BLUE BIRD BBCV DIESEL 1910 A  L: 7470, W: 2440, H: 1930, 7080 kg</t>
  </si>
  <si>
    <t>736</t>
  </si>
  <si>
    <t>737</t>
  </si>
  <si>
    <t xml:space="preserve">MOBILE EQUIPMENT  - FREIGHT DELIVERY HIBOY TRAILER L: 14630 
W: 2438 </t>
  </si>
  <si>
    <t>738</t>
  </si>
  <si>
    <t xml:space="preserve">MOBILE EQUIPMENT  - DIESEL FUEL TRAILER TRACTOR - WESTERN STAR 4900FA  </t>
  </si>
  <si>
    <t>739</t>
  </si>
  <si>
    <t>MOBILE EQUIPMENT  - JET-A1 FUEL DELIVERY TRUCK - MACK/INNOCAR GU813  
L: 8052, W: 2960, H: 3589</t>
  </si>
  <si>
    <t>740</t>
  </si>
  <si>
    <t>trailer (Fuel)</t>
  </si>
  <si>
    <t>MOBILE EQUIPMENT  - DIESEL FUEL DELIVERY TRAILER - TREMCAR TC406 SUPER B-TRAIN  L: 24384, W: 2590, H: 4013, 33500 kg</t>
  </si>
  <si>
    <t>741</t>
  </si>
  <si>
    <t>Large Trailer</t>
  </si>
  <si>
    <t xml:space="preserve">MOBILE EQUIPMENT  - MOBILE EQUIPMENT LOWBOY TRAILER - SHELTEMA  
L: 7620, W: 4572 
</t>
  </si>
  <si>
    <t>742</t>
  </si>
  <si>
    <t>743</t>
  </si>
  <si>
    <t>744</t>
  </si>
  <si>
    <t>745</t>
  </si>
  <si>
    <t>746</t>
  </si>
  <si>
    <t>747</t>
  </si>
  <si>
    <t>748</t>
  </si>
  <si>
    <t>749</t>
  </si>
  <si>
    <t>Cat 740</t>
  </si>
  <si>
    <t xml:space="preserve">MOBILE EQUIPMENT  - ARTICULATED WATER/SAND TRUCK - CAT 740  </t>
  </si>
  <si>
    <t>750</t>
  </si>
  <si>
    <t xml:space="preserve">MOBILE EQUIPMENT  - DIESEL FUEL DELIVERY TRAILER - ADVANCE  </t>
  </si>
  <si>
    <t>751</t>
  </si>
  <si>
    <t>752</t>
  </si>
  <si>
    <t xml:space="preserve">MOBILE EQUIPMENT  - HEATED/REFRIGERATED SEA CONTAINER  
L: 6096, W: 2440, H: 2440 </t>
  </si>
  <si>
    <t>753</t>
  </si>
  <si>
    <t>754</t>
  </si>
  <si>
    <t>755</t>
  </si>
  <si>
    <t>756</t>
  </si>
  <si>
    <t>757</t>
  </si>
  <si>
    <t>758</t>
  </si>
  <si>
    <t>759</t>
  </si>
  <si>
    <t>760</t>
  </si>
  <si>
    <t>761</t>
  </si>
  <si>
    <t>762</t>
  </si>
  <si>
    <t>763</t>
  </si>
  <si>
    <t>764</t>
  </si>
  <si>
    <t>765</t>
  </si>
  <si>
    <t>807</t>
  </si>
  <si>
    <t xml:space="preserve">CONVEYING  - LINK CONVEYOR  - MASABA MINING EQUIPMENT  </t>
  </si>
  <si>
    <t>808</t>
  </si>
  <si>
    <t>809</t>
  </si>
  <si>
    <t>810</t>
  </si>
  <si>
    <t>811</t>
  </si>
  <si>
    <t>812</t>
  </si>
  <si>
    <t>813</t>
  </si>
  <si>
    <t>814</t>
  </si>
  <si>
    <t>848</t>
  </si>
  <si>
    <t>Bus sized</t>
  </si>
  <si>
    <t xml:space="preserve">MOBILE EQUIPMENT  - AIRPORT MAINTENANCE DE-ICING TRUCK - FORD SUPERIOR  </t>
  </si>
  <si>
    <t>927</t>
  </si>
  <si>
    <t>MOBILE EQUIPMENT  - AMBULANCE  - FORD F450  
L: 6680, W: 2438, H: 2024, 6350 kg</t>
  </si>
  <si>
    <t>928</t>
  </si>
  <si>
    <t>large fire truck</t>
  </si>
  <si>
    <t>MOBILE EQUIPMENT  - FIRE TRUCK  - OSHKOSH TI3000  
L: 10922 
W: 2921, H: 3607, 39000 kg</t>
  </si>
  <si>
    <t>929</t>
  </si>
  <si>
    <t>small tank</t>
  </si>
  <si>
    <t>MOBILE EQUIPMENT  - SNOW RESCUE VEHICLE  - HAGGLUND BV206  L: 6900, W: 1870, H: 2400, 6580 kg</t>
  </si>
  <si>
    <t>7240</t>
  </si>
  <si>
    <t>1295</t>
  </si>
  <si>
    <t>1296</t>
  </si>
  <si>
    <t>1297</t>
  </si>
  <si>
    <t>1298</t>
  </si>
  <si>
    <t>1299</t>
  </si>
  <si>
    <t>1300</t>
  </si>
  <si>
    <t>1301</t>
  </si>
  <si>
    <t>1302</t>
  </si>
  <si>
    <t>1303</t>
  </si>
  <si>
    <t>1304</t>
  </si>
  <si>
    <t>1305</t>
  </si>
  <si>
    <t>1306</t>
  </si>
  <si>
    <t>1307</t>
  </si>
  <si>
    <t>1308</t>
  </si>
  <si>
    <t>1309</t>
  </si>
  <si>
    <t>Cube Van</t>
  </si>
  <si>
    <t xml:space="preserve">MOBILE EQUIPMENT  - CUBE VAN  - FORD F550  </t>
  </si>
  <si>
    <t>1310</t>
  </si>
  <si>
    <t>1313</t>
  </si>
  <si>
    <t>MOBILE EQUIPMENT  - ARTICULATED HAUL TRUCK  - CAT 740B  
L: 10889, W: 3430, H: 3745, 34000 kg</t>
  </si>
  <si>
    <t>1314</t>
  </si>
  <si>
    <t>1315</t>
  </si>
  <si>
    <t>1316</t>
  </si>
  <si>
    <t>1317</t>
  </si>
  <si>
    <t>1318</t>
  </si>
  <si>
    <t>1319</t>
  </si>
  <si>
    <t>1320</t>
  </si>
  <si>
    <t>1321</t>
  </si>
  <si>
    <t>1322</t>
  </si>
  <si>
    <t>1323</t>
  </si>
  <si>
    <t>MOBILE EQUIPMENT  - FRONT END LOADER  - CAT 988H  
L: 10390, W: 3600, H: 4115, 43400 kg</t>
  </si>
  <si>
    <t>1324</t>
  </si>
  <si>
    <t>MOBILE EQUIPMENT  - FRONT END LOADER  - CAT 988H    
L: 10390, W: 3600, H: 4115, 43400 kg</t>
  </si>
  <si>
    <t>1325</t>
  </si>
  <si>
    <t>Compressor</t>
  </si>
  <si>
    <t xml:space="preserve">MOBILE EQUIPMENT  - MID SIZE AIR COMPRESSOR  - ATLAS COPCO </t>
  </si>
  <si>
    <t>1326</t>
  </si>
  <si>
    <t>MOBILE EQUIPMENT  - TRASH PUMP  - GORMAN-RUPP 13D-L700EE S/G  L: 711.2, W: 533.4, H: 621.7, 54 kg</t>
  </si>
  <si>
    <t>1327</t>
  </si>
  <si>
    <t>MOBILE EQUIPMENT  - MOBILE LIGHT PLANT  - TEREX AL4  
L: 4623, W: 2007, H: 9000, 925 kg</t>
  </si>
  <si>
    <t>1328</t>
  </si>
  <si>
    <t>MOBILE EQUIPMENT  - MOBILE LIGHT PLANT  - TEREX AL4   
L: 4623, W: 2007, H: 9000, 925 kg</t>
  </si>
  <si>
    <t>1329</t>
  </si>
  <si>
    <t>1330</t>
  </si>
  <si>
    <t>1331</t>
  </si>
  <si>
    <t>1332</t>
  </si>
  <si>
    <t>MOBILE EQUIPMENT  - FRONT END LOADER  - CAT 930K  
L: 6050, W: 2390, H: 3150, 9600 kg</t>
  </si>
  <si>
    <t>1333</t>
  </si>
  <si>
    <t>MOBILE EQUIPMENT  - TELEHANDLER  - CAT TH514  
L: 6100, W: 2570, H: 2570, 15800 kg</t>
  </si>
  <si>
    <t>Frost Fighter</t>
  </si>
  <si>
    <t xml:space="preserve">MOBILE EQUIPMENT  - FROST FIGHTER  - FROSTFIGHTER IDF350-11  </t>
  </si>
  <si>
    <t>1335</t>
  </si>
  <si>
    <t>1336</t>
  </si>
  <si>
    <t>1337</t>
  </si>
  <si>
    <t>1338</t>
  </si>
  <si>
    <t>1339</t>
  </si>
  <si>
    <t>1340</t>
  </si>
  <si>
    <t>1341</t>
  </si>
  <si>
    <t>1342</t>
  </si>
  <si>
    <t>1343</t>
  </si>
  <si>
    <t>1344</t>
  </si>
  <si>
    <t>1345</t>
  </si>
  <si>
    <t>1346</t>
  </si>
  <si>
    <t>1347</t>
  </si>
  <si>
    <t>1348</t>
  </si>
  <si>
    <t>1349</t>
  </si>
  <si>
    <t xml:space="preserve">MOBILE EQUIPMENT  - LOWBOY TRAILER  L: 16050, W: 2438 </t>
  </si>
  <si>
    <t>1360</t>
  </si>
  <si>
    <t xml:space="preserve">MOBILE EQUIPMENT  - MAN LIFT  - JLG 450AJ  </t>
  </si>
  <si>
    <t>1361</t>
  </si>
  <si>
    <t>1362</t>
  </si>
  <si>
    <t xml:space="preserve">MOBILE EQUIPMENT  - MAN LIFT  - GENIE Z45/25  </t>
  </si>
  <si>
    <t>1363</t>
  </si>
  <si>
    <t>MOBILE EQUIPMENT  - SCISSOR LIFT  - SKYJACK 8841  
L: 3500, W: 2200, H: 2900 4917 kg</t>
  </si>
  <si>
    <t>1364</t>
  </si>
  <si>
    <t>1365</t>
  </si>
  <si>
    <t>Boom truck</t>
  </si>
  <si>
    <t xml:space="preserve">MOBILE EQUIPMENT  - BOOM TRUCK  - MAMTEX 26101C  </t>
  </si>
  <si>
    <t>1366</t>
  </si>
  <si>
    <t>MOBILE EQUIPMENT  - MAINTENANCE CRANE  - GROVE RT890E  41400 kg</t>
  </si>
  <si>
    <t>1367</t>
  </si>
  <si>
    <t>MOBILE EQUIPMENT  - WAREHOUSE FREIGHT DELIVERY FLAT DECK TRUCKS - FORD F550  L: 7264, W: 2418, H: 2022, 3311 kg</t>
  </si>
  <si>
    <t>1368</t>
  </si>
  <si>
    <t>1369</t>
  </si>
  <si>
    <t>1386</t>
  </si>
  <si>
    <t>MOBILE EQUIPMENT  - TRACK DOZER  - CAT D6T XW  
L: 4674, W: 2000, H: 2900, 9250 kg</t>
  </si>
  <si>
    <t>1387</t>
  </si>
  <si>
    <t>1388</t>
  </si>
  <si>
    <t>1389</t>
  </si>
  <si>
    <t>MOBILE EQUIPMENT  - MID SIZE EXCAVATOR  - CAT 345DL HEX  
L: 11910, W: 3490, H: 3770, 45000 kg</t>
  </si>
  <si>
    <t>1390</t>
  </si>
  <si>
    <t>COMPACTOR</t>
  </si>
  <si>
    <t>MOBILE EQUIPMENT  - COMPACTOR  - CAT CS74  
L: 5970, W: 2300, H: 3070, 15650 kg</t>
  </si>
  <si>
    <t>1391</t>
  </si>
  <si>
    <t>MOBILE EQUIPMENT  - COMPACTOR  - CAT CP563E  
L: 5970, W: 2300, H: 3070, 15650 kg</t>
  </si>
  <si>
    <t>1392</t>
  </si>
  <si>
    <t>MOBILE EQUIPMENT  - ROAD SNOW BLOWER  - CAT 950H  
L: 6170 
W: 2410, H: 3320, 18338 kg</t>
  </si>
  <si>
    <t>1393</t>
  </si>
  <si>
    <t>1446</t>
  </si>
  <si>
    <t>Grader size</t>
  </si>
  <si>
    <t xml:space="preserve">MOBILE EQUIPMENT  - FUEL/LUBE TRUCK - ARTICULATED  - CAT 740 EFLT  </t>
  </si>
  <si>
    <t>1447</t>
  </si>
  <si>
    <t>1448</t>
  </si>
  <si>
    <t>1449</t>
  </si>
  <si>
    <t>1450</t>
  </si>
  <si>
    <t>1451</t>
  </si>
  <si>
    <t>1452</t>
  </si>
  <si>
    <t>1453</t>
  </si>
  <si>
    <t>1454</t>
  </si>
  <si>
    <t>1455</t>
  </si>
  <si>
    <t>1456</t>
  </si>
  <si>
    <t>1457</t>
  </si>
  <si>
    <t>1458</t>
  </si>
  <si>
    <t>1459</t>
  </si>
  <si>
    <t>1460</t>
  </si>
  <si>
    <t>1461</t>
  </si>
  <si>
    <t>Large Compressor</t>
  </si>
  <si>
    <t xml:space="preserve">MOBILE EQUIPMENT  - LARGE AIR COMPRESSOR  - ATLAS COPCO </t>
  </si>
  <si>
    <t>1462</t>
  </si>
  <si>
    <t>1463</t>
  </si>
  <si>
    <t>1464</t>
  </si>
  <si>
    <t>1465</t>
  </si>
  <si>
    <t>1466</t>
  </si>
  <si>
    <t>1467</t>
  </si>
  <si>
    <t>1468</t>
  </si>
  <si>
    <t>MOBILE EQUIPMENT  - FRONT END LOADER  - CAT 930K    
L: 6050, W: 2390, H: 3150, 9600 kg</t>
  </si>
  <si>
    <t>1469</t>
  </si>
  <si>
    <t>1470</t>
  </si>
  <si>
    <t>1471</t>
  </si>
  <si>
    <t>1472</t>
  </si>
  <si>
    <t>1473</t>
  </si>
  <si>
    <t>1474</t>
  </si>
  <si>
    <t>1475</t>
  </si>
  <si>
    <t>1476</t>
  </si>
  <si>
    <t>1477</t>
  </si>
  <si>
    <t>1478</t>
  </si>
  <si>
    <t>1479</t>
  </si>
  <si>
    <t>1480</t>
  </si>
  <si>
    <t>1481</t>
  </si>
  <si>
    <t>1482</t>
  </si>
  <si>
    <t>1483</t>
  </si>
  <si>
    <t>1484</t>
  </si>
  <si>
    <t>1485</t>
  </si>
  <si>
    <t xml:space="preserve">MOBILE EQUIPMENT  - LOWBOY TRAILER   L: 16050, W: 2438 </t>
  </si>
  <si>
    <t>1486</t>
  </si>
  <si>
    <t xml:space="preserve">MOBILE EQUIPMENT  - HIBOY TRAILER  
L: 14630, W: 2438 </t>
  </si>
  <si>
    <t>1487</t>
  </si>
  <si>
    <t>Sandvik Drill</t>
  </si>
  <si>
    <t xml:space="preserve">MOBILE EQUIPMENT  - SECONDARY DRILL  - SANDVIK 800  </t>
  </si>
  <si>
    <t>1488</t>
  </si>
  <si>
    <t>1502</t>
  </si>
  <si>
    <t>1503</t>
  </si>
  <si>
    <t>1504</t>
  </si>
  <si>
    <t>1505</t>
  </si>
  <si>
    <t>1506</t>
  </si>
  <si>
    <t>1507</t>
  </si>
  <si>
    <t>MOBILE EQUIPMENT  - MAINTENANCE CRANE  - MANITOWOC 2250
L: 12900, W: 7910, H: 3640, 113000 kg</t>
  </si>
  <si>
    <t>1508</t>
  </si>
  <si>
    <t xml:space="preserve">MOBILE EQUIPMENT  - BOOM TRUCK  - MANITEX 26101C  </t>
  </si>
  <si>
    <t>1509</t>
  </si>
  <si>
    <t>1510</t>
  </si>
  <si>
    <t>CAT 988H</t>
  </si>
  <si>
    <t>MOBILE EQUIPMENT  - STOCKPILE RECLAIM FRONT END LOADER - CAT 988H   
L: 10390, W: 3600, H: 4115, 43400 kg</t>
  </si>
  <si>
    <t>MOBILE EQUIPMENT  - INTEGRATED TOOL CARRIER CAT IT38</t>
  </si>
  <si>
    <t>MOBILE EQUIPMENT  - MOBILE LIGHT PLANT - TEREX AL4
L: 4623, W: 2007, H: 9000, 925 kg</t>
  </si>
  <si>
    <t xml:space="preserve">MOBILE EQUIPMENT  - SERVICE TRUCK - FREIGHTLINER  </t>
  </si>
  <si>
    <t xml:space="preserve">MOBILE EQUIPMENT  - FREIGHT HAUL TRACTOR - WeSTERN STAR 4900 </t>
  </si>
  <si>
    <t xml:space="preserve">MOBILE EQUIPMENT  - LOWBOY TRAILER
</t>
  </si>
  <si>
    <t xml:space="preserve">MOBILE EQUIPMENT  - HIBOY TRAILER,  SEMI DUMP
</t>
  </si>
  <si>
    <t>Peterbilt  Truck</t>
  </si>
  <si>
    <t>MOBILE EQUIPMENT  - MAINTENANCE FUEL/LUBE TRUCK  - PETERBILT</t>
  </si>
  <si>
    <t>CAT 740</t>
  </si>
  <si>
    <t xml:space="preserve">MOBILE EQUIPMENT  - WATER TRUCK  - CAT 740 (8000 GAL)  </t>
  </si>
  <si>
    <t xml:space="preserve">CONVEYING  - JUMP CONVEYOR  - MASABA MINING EQUIPMENT  
L: 230000, W: 1524 </t>
  </si>
  <si>
    <t xml:space="preserve">CONVEYING  - STOCKPILE RECLAIM EXTENSION CONVEYOR </t>
  </si>
  <si>
    <t>MOBILE EQUIPMENT  -EXCAVATOR - CAT M322D</t>
  </si>
  <si>
    <t>MOBILE EQUIPMENT  - CAT 777 DUMP BOX</t>
  </si>
  <si>
    <t xml:space="preserve">MOBILE EQUIPMENT  - COMPACTOR  - CAT CP563E  
</t>
  </si>
  <si>
    <t>MOBILE EQUIPMENT  - MINE SITE GRADER  - CAT 16M  
L: 9994, W: 3077, H: 3524, 24400 kg</t>
  </si>
  <si>
    <t xml:space="preserve">MOBILE EQUIPMENT  - PIONEER DRILL - SANDVIK DX780 </t>
  </si>
  <si>
    <t>MOBILE EQUIPMENT  - PIONEER DRILL - SANDVIK SDX800</t>
  </si>
  <si>
    <t>MOBILE EQUIPMENT  - MOBILE CRUSHING FRONT END LOADER  - CAT 988H, L: 10390, W: 3600, H: 4115, 43400 kg</t>
  </si>
  <si>
    <t>MOBILE EQUIPMENT  - ORE HAUL TRUCK FRONT END LOADER - CAT 988H   
L: 3277, W: 1676, H: 3810, 3175 kg</t>
  </si>
  <si>
    <t>MOBILE EQUIPMENT  -TOTE ROAD ORE HAUL TRUCK - LEAD TRAILER - SMITHCO S4 (75T)  
L: 10240, W: 3060, H: 4210</t>
  </si>
  <si>
    <t>MOBILE EQUIPMENT  - TOTE ROAD ORE HAUL TRUCK - PUP TRAILER - SMITHCO S4 (75T)  
L: 10240, W: 3060, H: 4210</t>
  </si>
  <si>
    <t xml:space="preserve">MOBILE EQUIPMENT  - TOTE ROAD ORE HAUL TRUCK - TRACTOR - WESTERN STAR 6900XD  </t>
  </si>
  <si>
    <t>MOBILE EQUIPMENT  - FLAT DECK TRUCK - FORD F550  
L: 7264, W: 2418, H: 2022, 3311 kg</t>
  </si>
  <si>
    <t>MOBILE EQUIPMENT  - LARGE MOBILE LIGHT PLANT - TEREX
L: 4623, W: 2007, H: 9000, 925 kg</t>
  </si>
  <si>
    <t xml:space="preserve">MOBILE EQUIPMENT  - SERVICE TRUCK - PETERBILT  </t>
  </si>
  <si>
    <t>MOBILE EQUIPMENT  - COACH PASSENGER TRANSFER BUS</t>
  </si>
  <si>
    <t>MOBILE EQUIPMENT  - FUEL DELIVERY TRUCK - FREIGHTLINER</t>
  </si>
  <si>
    <t>MOBILE EQUIPMENT  - FUEL DELIVERY TRUCK - INTERNATIONAL</t>
  </si>
  <si>
    <t>MOBILE EQUIPMENT  - Live Bottom Trailer</t>
  </si>
  <si>
    <t>Ford  Truck</t>
  </si>
  <si>
    <t>MOBILE EQUIPMENT  - MAINTENANCE LUBE TRUCK   - Ford</t>
  </si>
  <si>
    <t>sewage vacuum truck</t>
  </si>
  <si>
    <t>MOBILE EQUIPMENT  - SEWAGE VACUUM TRUCK - FREIGHTLINER</t>
  </si>
  <si>
    <t xml:space="preserve">MOBILE EQUIPMENT  - WATER TRUCK  - PETERBILT (5400 GAL)  </t>
  </si>
  <si>
    <t>Mechanical Equipment Removed from EBS</t>
  </si>
  <si>
    <t>107</t>
  </si>
  <si>
    <t>GENERATOR  - STOCKPILE GENERATOR - CUMMINS C500DR6G  
L: 6070, W: 2440, H: 3760, 29440 kg</t>
  </si>
  <si>
    <t>108</t>
  </si>
  <si>
    <t>109</t>
  </si>
  <si>
    <t>110</t>
  </si>
  <si>
    <t>111</t>
  </si>
  <si>
    <t>112</t>
  </si>
  <si>
    <t>114</t>
  </si>
  <si>
    <t>FE-</t>
  </si>
  <si>
    <t>Mining Equipment</t>
  </si>
  <si>
    <t xml:space="preserve">FEEDER  - FINES STOCKPILE MOBILE FEEDER - MASABA MINING EQUIPMENT  </t>
  </si>
  <si>
    <t>115</t>
  </si>
  <si>
    <t xml:space="preserve">FEEDER  - LUMPS STOCKPILE MOBILE FEEDER - MASABA MINING EQUIPMENT  </t>
  </si>
  <si>
    <t>116</t>
  </si>
  <si>
    <t>117</t>
  </si>
  <si>
    <t>ST-</t>
  </si>
  <si>
    <t xml:space="preserve">STACKER / STOCKPILE  - LUMPS STOCKPILE MOBILE STACKER - MASABA MINING EQUIPMENT  </t>
  </si>
  <si>
    <t>118</t>
  </si>
  <si>
    <t>119</t>
  </si>
  <si>
    <t xml:space="preserve">STACKER / STOCKPILE  - FINES STOCKPILE MOBILE STACKER - MASABA MINING EQUIPMENT  </t>
  </si>
  <si>
    <t xml:space="preserve">FEEDER  - STOCKPILE MOBILE FEEDER - MASABA MINING EQUIPMENT  </t>
  </si>
  <si>
    <t xml:space="preserve">STACKER / STOCKPILE  - STOCKPILE MOBILE STACKER  - MASABA MINING EQUIPMENT  </t>
  </si>
  <si>
    <t>124</t>
  </si>
  <si>
    <t xml:space="preserve">CHUTE / DIVERTER  - RECLAIM CONVEYOR DISCHARGE CHUTE - FAM  </t>
  </si>
  <si>
    <t>125</t>
  </si>
  <si>
    <t xml:space="preserve">CHUTE / DIVERTER  - RECLAIM CONVEYOR MOBILE CHUTE - FAM  </t>
  </si>
  <si>
    <t>126</t>
  </si>
  <si>
    <t>127</t>
  </si>
  <si>
    <t>128</t>
  </si>
  <si>
    <t>137</t>
  </si>
  <si>
    <t xml:space="preserve">FEEDER  - MOBILE FEEDER - MASABA MINING EQUIPMENT  </t>
  </si>
  <si>
    <t>138</t>
  </si>
  <si>
    <t>139</t>
  </si>
  <si>
    <t>140</t>
  </si>
  <si>
    <t>HP-</t>
  </si>
  <si>
    <t>sampler bin</t>
  </si>
  <si>
    <t xml:space="preserve">HOPPER  - SAMPLER BIN  - FAM  </t>
  </si>
  <si>
    <t xml:space="preserve">SAMPLER  - ORE SAMPLER - FAM  
L: N/A, W: N/A, H: N/A </t>
  </si>
  <si>
    <t>142</t>
  </si>
  <si>
    <t>SC-</t>
  </si>
  <si>
    <t xml:space="preserve">SCREEN  - BELT SCALE - FAM  </t>
  </si>
  <si>
    <t xml:space="preserve">FEEDER  - RECLAIM MOBILE FEEDER - MASABA MINING EQUIPMENT  </t>
  </si>
  <si>
    <t>225</t>
  </si>
  <si>
    <t xml:space="preserve">PUMP  - RAW SEWAGE LIFT STATION </t>
  </si>
  <si>
    <t>258</t>
  </si>
  <si>
    <t>PUMP  - EMERGENCY RESPONSE OFFICE RAW WATER PUMP - SIMER JET PUMPS 2205C  L: 483, W: 275, H: 267</t>
  </si>
  <si>
    <t>259</t>
  </si>
  <si>
    <t xml:space="preserve">   RAW WATER TANK PUMP  </t>
  </si>
  <si>
    <t>260</t>
  </si>
  <si>
    <t xml:space="preserve">PUMP  - MILNE EMERGENCY RESPONSE GARAGE FUEL OIL PUMP (PUMP) - VIKING DUPLEX OIL SYSTEMS  </t>
  </si>
  <si>
    <t>261</t>
  </si>
  <si>
    <t xml:space="preserve">   FUEL OIL PUMP  </t>
  </si>
  <si>
    <t>262</t>
  </si>
  <si>
    <t xml:space="preserve">PUMP  - MILNE EMERGENCY RESPONSE GARAGE FUEL OIL PUMP (STANDBY) - VIKING DUPLEX OIL SYSTEMS  </t>
  </si>
  <si>
    <t>263</t>
  </si>
  <si>
    <t>264</t>
  </si>
  <si>
    <t>Shop Equipment</t>
  </si>
  <si>
    <t xml:space="preserve">SHOP / MAINTENANCE EQUIPMENT  - DRY CHEMICAL REFILL STATION - TYCO FIRE PROTECTION  </t>
  </si>
  <si>
    <t>282</t>
  </si>
  <si>
    <t xml:space="preserve">PUMP  - MAINTENANCE BUILDING FUEL OIL PUMP (DUTY) - VIKING DUPLEX OIL SYSTEMS  </t>
  </si>
  <si>
    <t>283</t>
  </si>
  <si>
    <t>284</t>
  </si>
  <si>
    <t xml:space="preserve">PUMP  - MAINTENANCE BUILDING FUEL OIL PUMP (STANDBY) - VIKING DUPLEX OIL SYSTEMS  </t>
  </si>
  <si>
    <t>285</t>
  </si>
  <si>
    <t>286</t>
  </si>
  <si>
    <t xml:space="preserve">PUMP  - MILNE WELDING SHOP FUEL OIL PUMP (DUTY) - VIKING DUPLEX OIL SYSTEMS  </t>
  </si>
  <si>
    <t>287</t>
  </si>
  <si>
    <t>288</t>
  </si>
  <si>
    <t xml:space="preserve">PUMP  - MILNE WELDING SHOP FUEL OIL PUMP (STANDBY) - VIKING DUPLEX OIL SYSTEMS  </t>
  </si>
  <si>
    <t>289</t>
  </si>
  <si>
    <t>290</t>
  </si>
  <si>
    <t xml:space="preserve">PUMP  - WORKSHOP OFFICE WASHCAR RAW WATER PUMP - SIMER JET PUMPS 2205C  L: 483, W: 275, H: 267 </t>
  </si>
  <si>
    <t>291</t>
  </si>
  <si>
    <t>SHOP / MAINTENANCE EQUIPMENT  - EVAC TANK  - NORTHERN TOOL 30070V  
L: 1118, W: 508, H: 1093, 200 kg</t>
  </si>
  <si>
    <t>300</t>
  </si>
  <si>
    <t>SHOP / MAINTENANCE EQUIPMENT  - DRILL PRESS  - AG - DPE18-900  
L: 508, W: 356, H: 1778, 120 kg</t>
  </si>
  <si>
    <t>302</t>
  </si>
  <si>
    <t>SHOP / MAINTENANCE EQUIPMENT  - OIL FILTER PRESS  - OBERG P300  
L: 1524, W: 914, H: 2640, 680 kg</t>
  </si>
  <si>
    <t>303</t>
  </si>
  <si>
    <t xml:space="preserve">SHOP / MAINTENANCE EQUIPMENT  - HYDRAULIC PORTA POWER PUMP  - AG  </t>
  </si>
  <si>
    <t>304</t>
  </si>
  <si>
    <t>SHOP / MAINTENANCE EQUIPMENT  - WELDING MACHINE  - AG - MLW951-277  
L: 965, W: 584, H: 762, 192 kg</t>
  </si>
  <si>
    <t>305</t>
  </si>
  <si>
    <t>307</t>
  </si>
  <si>
    <t xml:space="preserve">SHOP / MAINTENANCE EQUIPMENT  - PORTABLE WELDING SPARK PROTECTOR - AG - NED12375241  </t>
  </si>
  <si>
    <t>308</t>
  </si>
  <si>
    <t xml:space="preserve">SHOP / MAINTENANCE EQUIPMENT  - SWEEPER  - AG  </t>
  </si>
  <si>
    <t>309</t>
  </si>
  <si>
    <t xml:space="preserve">SHOP / MAINTENANCE EQUIPMENT  - TIRE CHANGER  - COATS APX80A  </t>
  </si>
  <si>
    <t>310</t>
  </si>
  <si>
    <t xml:space="preserve">SHOP / MAINTENANCE EQUIPMENT  - BULK FLUID DISTRIBUTION SYSTEM  - AG  </t>
  </si>
  <si>
    <t>311</t>
  </si>
  <si>
    <t>312</t>
  </si>
  <si>
    <t>315</t>
  </si>
  <si>
    <t xml:space="preserve">SHOP / MAINTENANCE EQUIPMENT  - TIRE SPREADER  - ZHUHAI TEAMROC TR-S825  </t>
  </si>
  <si>
    <t>316</t>
  </si>
  <si>
    <t xml:space="preserve">SHOP / MAINTENANCE EQUIPMENT  - BENCH GRINDER  - AG - WSWBG10D  W: 610, H: 345 </t>
  </si>
  <si>
    <t>Bench grinder</t>
  </si>
  <si>
    <t xml:space="preserve">   BENCH GRINDER  </t>
  </si>
  <si>
    <t>318</t>
  </si>
  <si>
    <t>319</t>
  </si>
  <si>
    <t>320</t>
  </si>
  <si>
    <t xml:space="preserve">SHOP / MAINTENANCE EQUIPMENT  - TRUCK MOUNT GOODALL BOOST SYSTEM - AG  </t>
  </si>
  <si>
    <t>321</t>
  </si>
  <si>
    <t xml:space="preserve">SHOP / MAINTENANCE EQUIPMENT  - GOODALL BOOST SYSTEM  - AG  </t>
  </si>
  <si>
    <t>322</t>
  </si>
  <si>
    <t>SHOP / MAINTENANCE EQUIPMENT  - A/C RECOVERY RECHARGE UNIT - ROBINAIR RBN17800B 
L: 584, W: 864, H: 1120, 110 kg</t>
  </si>
  <si>
    <t>323</t>
  </si>
  <si>
    <t>324</t>
  </si>
  <si>
    <t>325</t>
  </si>
  <si>
    <t xml:space="preserve">SHOP / MAINTENANCE EQUIPMENT  - TUBE BENDER  - AG  </t>
  </si>
  <si>
    <t>367</t>
  </si>
  <si>
    <t xml:space="preserve">PUMP  - MILNE WASTE MANAGEMENT BUILDING FUEL OIL PUMP (DUTY) - VIKING DUPLEX OIL SYSTEMS  </t>
  </si>
  <si>
    <t>368</t>
  </si>
  <si>
    <t>369</t>
  </si>
  <si>
    <t xml:space="preserve">PUMP  - MILNE WASTE MANAGEMENT BUILDING FUEL OIL PUMP (STANDBY) - VIKING DUPLEX OIL SYSTEMS  </t>
  </si>
  <si>
    <t>370</t>
  </si>
  <si>
    <t>372</t>
  </si>
  <si>
    <t>SHOP / MAINTENANCE EQUIPMENT  - DRUM CRUSHER  - AG - VESHDC900IDC  650 kg</t>
  </si>
  <si>
    <t>373</t>
  </si>
  <si>
    <t xml:space="preserve">SHOP / MAINTENANCE EQUIPMENT  - PLATFORM SCALE  - AG - OHAVX32XW10000X  </t>
  </si>
  <si>
    <t>380</t>
  </si>
  <si>
    <t xml:space="preserve">PUMP  - OIL WATER SEPARATOR FEED PUMP </t>
  </si>
  <si>
    <t>381</t>
  </si>
  <si>
    <t>390</t>
  </si>
  <si>
    <t>Fuel dispenser</t>
  </si>
  <si>
    <t xml:space="preserve">FUEL DISPENSER  - EXISTING DIESEL FUEL DISPENSING MODULE </t>
  </si>
  <si>
    <t>391</t>
  </si>
  <si>
    <t xml:space="preserve">FUEL DISPENSER  - DIESEL FUEL DISPENSING MODULE </t>
  </si>
  <si>
    <t>392</t>
  </si>
  <si>
    <t xml:space="preserve">PUMP  - DIESEL FUEL DISPENSING MODULE ARCTIC DIESEL PUMP NO.1 </t>
  </si>
  <si>
    <t>393</t>
  </si>
  <si>
    <t xml:space="preserve">PUMP  - DIESEL FUEL DISPENSING MODULE ARCTIC DIESEL PUMP NO.2 </t>
  </si>
  <si>
    <t>394</t>
  </si>
  <si>
    <t xml:space="preserve">PUMP  - DIESEL FUEL DISPENSING MODULE ARCTIC DIESEL PUMP NO.3 </t>
  </si>
  <si>
    <t>395</t>
  </si>
  <si>
    <t xml:space="preserve">PUMP  - DIESEL FUEL DISPENSING MODULE ARCTIC DIESEL PUMP NO.4 </t>
  </si>
  <si>
    <t>396</t>
  </si>
  <si>
    <t xml:space="preserve">PUMP  - DIESEL FUEL DISPENSING MODULE ARCTIC DIESEL PUMP NO.5 </t>
  </si>
  <si>
    <t>397</t>
  </si>
  <si>
    <t xml:space="preserve">PUMP  - DIESEL FUEL DISPENSING MODULE ARCTIC DIESEL PUMP NO.6 </t>
  </si>
  <si>
    <t>408</t>
  </si>
  <si>
    <t xml:space="preserve">FUEL DISPENSER  - JET-A1 FUEL DISPENSING MODULE </t>
  </si>
  <si>
    <t>409</t>
  </si>
  <si>
    <t>FS-</t>
  </si>
  <si>
    <t>Jet Fuel Dispenser</t>
  </si>
  <si>
    <t xml:space="preserve">FIRE SERVICES  - JET-A1 FUEL DIESPENSING MODULE FUELLING STATION </t>
  </si>
  <si>
    <t>410</t>
  </si>
  <si>
    <t>411</t>
  </si>
  <si>
    <t xml:space="preserve">PUMP  - JET-A1 FUEL DIESPENSING MODULE DISCHARGE PUMP </t>
  </si>
  <si>
    <t>412</t>
  </si>
  <si>
    <t>422</t>
  </si>
  <si>
    <t xml:space="preserve">GENERATOR  - GENERATOR  </t>
  </si>
  <si>
    <t>423</t>
  </si>
  <si>
    <t>424</t>
  </si>
  <si>
    <t>425</t>
  </si>
  <si>
    <t>426</t>
  </si>
  <si>
    <t>427</t>
  </si>
  <si>
    <t>428</t>
  </si>
  <si>
    <t>434</t>
  </si>
  <si>
    <t xml:space="preserve">PUMP  - RAW WATER DISTRIBUTION PUMP </t>
  </si>
  <si>
    <t>435</t>
  </si>
  <si>
    <t>436</t>
  </si>
  <si>
    <t xml:space="preserve">PUMP  - DIESEL FIRE WATER PUMP </t>
  </si>
  <si>
    <t>437</t>
  </si>
  <si>
    <t xml:space="preserve">PUMP  - ELECTRIC FIRE WATER PUMP </t>
  </si>
  <si>
    <t>438</t>
  </si>
  <si>
    <t xml:space="preserve">PUMP  - JOCKEY PUMP </t>
  </si>
  <si>
    <t>439</t>
  </si>
  <si>
    <t xml:space="preserve">PUMP  - POTABLE WATER DISCHARGE PUMP NO.1 </t>
  </si>
  <si>
    <t>440</t>
  </si>
  <si>
    <t xml:space="preserve">PUMP  - POTABLE WATER DISCHARGE PUMP NO.2 </t>
  </si>
  <si>
    <t>441</t>
  </si>
  <si>
    <t xml:space="preserve">PUMP  - BACKWASH SLURRY PUMP </t>
  </si>
  <si>
    <t>442</t>
  </si>
  <si>
    <t xml:space="preserve">PUMP  - CLEAN BACKWASH PUMP </t>
  </si>
  <si>
    <t>443</t>
  </si>
  <si>
    <t xml:space="preserve">PUMP  - RAW WATER UNLOADING PUMP - HAYWARD GORDON S-3 </t>
  </si>
  <si>
    <t>444</t>
  </si>
  <si>
    <t xml:space="preserve">PUMP  - MILNE WATER BUILDING FUEL OIL PUMP (DUTY) - VIKING DUPLEX OIL SYSTEMS  </t>
  </si>
  <si>
    <t>445</t>
  </si>
  <si>
    <t>446</t>
  </si>
  <si>
    <t xml:space="preserve">PUMP  - MILNE WATER BUILDING FUEL OIL PUMP (STANDBY) - VIKING DUPLEX OIL SYSTEMS  </t>
  </si>
  <si>
    <t>447</t>
  </si>
  <si>
    <t>462</t>
  </si>
  <si>
    <t xml:space="preserve">PUMP  - TREATED EFFLUENT DISCHARGE PUMP NO.1 </t>
  </si>
  <si>
    <t>463</t>
  </si>
  <si>
    <t xml:space="preserve">PUMP  - TREATED EFFLUENT DISCHARGE PUMP NO.2 </t>
  </si>
  <si>
    <t>464</t>
  </si>
  <si>
    <t xml:space="preserve">SCREEN  - SCREEN  </t>
  </si>
  <si>
    <t>473</t>
  </si>
  <si>
    <t xml:space="preserve">PUMP  - MILNE SEWAGE TRUCK BUILDING FUEL OIL PUMP (DUTY) - VIKING DUPLEX OIL SYSTEMS  </t>
  </si>
  <si>
    <t>474</t>
  </si>
  <si>
    <t>475</t>
  </si>
  <si>
    <t xml:space="preserve">PUMP  - MILNE SEWAGE TRUCK BUILDING FUEL OIL PUMP (STANDBY) - VIKING DUPLEX OIL SYSTEMS  </t>
  </si>
  <si>
    <t>476</t>
  </si>
  <si>
    <t>801</t>
  </si>
  <si>
    <t>CR-</t>
  </si>
  <si>
    <t>Crusher</t>
  </si>
  <si>
    <t>CRUSHER  - PRIMARY CRUSHING PLANT LINE 1 - METSO C125  
L: 3470, W: 4100, H: 3440, 38000 kg</t>
  </si>
  <si>
    <t>802</t>
  </si>
  <si>
    <t>CRUSHER  - SECONDARY CRUSHING PLANT LINE 1 - METSO HP400  L: 2370, W: 2370, H: 1600, 23000 kg</t>
  </si>
  <si>
    <t>803</t>
  </si>
  <si>
    <t>CRUSHER  - TERTIARY CRUSHING PLANT LINE 1 - METSO HP400  
L: 2370, W: 2370, H: 1600, 23000 kg</t>
  </si>
  <si>
    <t>804</t>
  </si>
  <si>
    <t>CRUSHER  - PRIMARY CRUSHING PLANT LINE 2 - METSO C125  
L: 3470, W: 4100, H: 3440, 38000 kg</t>
  </si>
  <si>
    <t>805</t>
  </si>
  <si>
    <t>CRUSHER  - SECONDARY CRUSHING PLANT LINE 2 - METSO HP400  L: 2370, W: 2370, H: 1600, 23000 kg</t>
  </si>
  <si>
    <t>806</t>
  </si>
  <si>
    <t>CRUSHER  - TERTIARY CRUSHING PLANT LINE 2 - METSO HP400  
L: 2370, W: 2370, H: 1600, 23000 kg</t>
  </si>
  <si>
    <t>815</t>
  </si>
  <si>
    <t>SCREEN  - PRIMARY SCREEN LINE 1 - METSO FS302  
L: 2700, W: 6900, 9000 kg</t>
  </si>
  <si>
    <t>816</t>
  </si>
  <si>
    <t>SCREEN  - SECONDARY SCREEN LINE 1 - METSO FS 353  
L: 3000, W: 6900, 14500 kg</t>
  </si>
  <si>
    <t>817</t>
  </si>
  <si>
    <t>SCREEN  - PRIMARY SCREEN LINE 2 - METSO FS302  
L: 2700, W: 6900, 9000 kg</t>
  </si>
  <si>
    <t>818</t>
  </si>
  <si>
    <t>SCREEN  - SECONDARY SCREEN LINE 2 - METSO FS 353  
L: 3000, W: 6900, 14500 kg</t>
  </si>
  <si>
    <t>CRUSHER  - PRIMARY CRUSHING PLANT LINE 3 - METSO C125  
L: 3470, W: 4100, H: 3440, 38000 kg</t>
  </si>
  <si>
    <t>PRIMARY SCREENING PLANT LINE 3 - METSO FS303</t>
  </si>
  <si>
    <t>CRUSHER  - SECONDARY CRUSHING PLANT LINE 3 - METSO HP400  
L: 2370, W: 2370, H: 1600, 23000 kg</t>
  </si>
  <si>
    <t>SCREEN  - SECONDARY SCREENING PLANT LINE 3 - METSO FS 353  
L: 3000, W: 6900, 14500 kg</t>
  </si>
  <si>
    <t>CRUSHER  - TERTIARY CRUSHING PLANT LINE 3 - METSO HP400  
L: 2370, W: 2370, H: 1600</t>
  </si>
  <si>
    <t>823</t>
  </si>
  <si>
    <t xml:space="preserve">SCREEN  - TRUCK WEIGH SCALE  - RICE LAKE OTR-XV  
L: 36600 
W: 3960, H: 1030 </t>
  </si>
  <si>
    <t>825</t>
  </si>
  <si>
    <t xml:space="preserve">PUMP  - CRUSHER STOCKPILE RUNOFF POND DISCHARGE PUMP - LOBE PRO SM68 </t>
  </si>
  <si>
    <t>826</t>
  </si>
  <si>
    <t>836</t>
  </si>
  <si>
    <t xml:space="preserve">PUMP  - AERODROME OFFICE RAW WATER PUMP - SIMER JET PUMPS 2205C  L: 483, W: 275, 
H: 267 </t>
  </si>
  <si>
    <t>837</t>
  </si>
  <si>
    <t>845</t>
  </si>
  <si>
    <t>AE-</t>
  </si>
  <si>
    <t>x-ray</t>
  </si>
  <si>
    <t xml:space="preserve">AERODROME EQUIPMENT  - SECURITY X-RAY MACHINE 
L: 2282, W: 1030, H: 1467 </t>
  </si>
  <si>
    <t>846</t>
  </si>
  <si>
    <t>Aircraft equip</t>
  </si>
  <si>
    <t xml:space="preserve">AERODROME EQUIPMENT  - AIRCRAFT GROUND POWER UNIT </t>
  </si>
  <si>
    <t>847</t>
  </si>
  <si>
    <t xml:space="preserve">AERODROME EQUIPMENT  - AIRCRAFT PASSENGER STAIRS 
L: 9906, W: 2565, H: 3048 </t>
  </si>
  <si>
    <t>857</t>
  </si>
  <si>
    <t>871</t>
  </si>
  <si>
    <t>LE-</t>
  </si>
  <si>
    <t>Lab Equip.</t>
  </si>
  <si>
    <t xml:space="preserve">LABORATORY EQUIPMENT  - AIR COMPRESSOR  </t>
  </si>
  <si>
    <t>872</t>
  </si>
  <si>
    <t>873</t>
  </si>
  <si>
    <t xml:space="preserve">LABORATORY EQUIPMENT  - AIR DRYER  </t>
  </si>
  <si>
    <t>874</t>
  </si>
  <si>
    <t xml:space="preserve">LABORATORY EQUIPMENT  - BALANCE SCALE  </t>
  </si>
  <si>
    <t>875</t>
  </si>
  <si>
    <t>876</t>
  </si>
  <si>
    <t>877</t>
  </si>
  <si>
    <t xml:space="preserve">LABORATORY EQUIPMENT  - CARBON/SULFUR ANALYSER </t>
  </si>
  <si>
    <t>878</t>
  </si>
  <si>
    <t xml:space="preserve">LABORATORY EQUIPMENT  - CHILLER  </t>
  </si>
  <si>
    <t>879</t>
  </si>
  <si>
    <t xml:space="preserve">LABORATORY EQUIPMENT  - CRUSHER  </t>
  </si>
  <si>
    <t>880</t>
  </si>
  <si>
    <t xml:space="preserve">LABORATORY EQUIPMENT  - CRUSHER DUST HOOD </t>
  </si>
  <si>
    <t>881</t>
  </si>
  <si>
    <t xml:space="preserve">LABORATORY EQUIPMENT  - DRYING OVEN  </t>
  </si>
  <si>
    <t>882</t>
  </si>
  <si>
    <t>883</t>
  </si>
  <si>
    <t xml:space="preserve">LABORATORY EQUIPMENT  - DUST COLLECTOR  </t>
  </si>
  <si>
    <t>884</t>
  </si>
  <si>
    <t xml:space="preserve">LABORATORY EQUIPMENT  - FUMEHOOD  </t>
  </si>
  <si>
    <t>885</t>
  </si>
  <si>
    <t xml:space="preserve">LABORATORY EQUIPMENT  - FUSION SYSTEM  </t>
  </si>
  <si>
    <t>886</t>
  </si>
  <si>
    <t xml:space="preserve">LABORATORY EQUIPMENT  - HOT PLATE  </t>
  </si>
  <si>
    <t>887</t>
  </si>
  <si>
    <t xml:space="preserve">LABORATORY EQUIPMENT  - MUFFLE FURNACE  </t>
  </si>
  <si>
    <t>888</t>
  </si>
  <si>
    <t xml:space="preserve">LABORATORY EQUIPMENT  - PULVERIZER  </t>
  </si>
  <si>
    <t>889</t>
  </si>
  <si>
    <t>890</t>
  </si>
  <si>
    <t xml:space="preserve">LABORATORY EQUIPMENT  - PULVERIZER DUST HOOD </t>
  </si>
  <si>
    <t>891</t>
  </si>
  <si>
    <t xml:space="preserve">LABORATORY EQUIPMENT  - ROTAP  </t>
  </si>
  <si>
    <t>892</t>
  </si>
  <si>
    <t xml:space="preserve">LABORATORY EQUIPMENT  - ROTAP DUST HOOD </t>
  </si>
  <si>
    <t>893</t>
  </si>
  <si>
    <t xml:space="preserve">LABORATORY EQUIPMENT  - MAGNETITE ANALYSER </t>
  </si>
  <si>
    <t>894</t>
  </si>
  <si>
    <t xml:space="preserve">LABORATORY EQUIPMENT  - SCRUBBER FAN  </t>
  </si>
  <si>
    <t>895</t>
  </si>
  <si>
    <t xml:space="preserve">LABORATORY EQUIPMENT  - SCRUBBER RECIRCULATION PUMP </t>
  </si>
  <si>
    <t>896</t>
  </si>
  <si>
    <t xml:space="preserve">LABORATORY EQUIPMENT  - THERMOGRAVIMETRIC ANALYSER </t>
  </si>
  <si>
    <t>897</t>
  </si>
  <si>
    <t xml:space="preserve">LABORATORY EQUIPMENT  - XRF SPECTROMETER  </t>
  </si>
  <si>
    <t>930</t>
  </si>
  <si>
    <t xml:space="preserve">PUMP  - EMERGENCY RESPONSE OFFICE RAW WATER PUMP - SIMER JET PUMPS 2205C  L: 483 
W: 275 
H: 267 </t>
  </si>
  <si>
    <t>931</t>
  </si>
  <si>
    <t>932</t>
  </si>
  <si>
    <t xml:space="preserve">PUMP  - MINE EMERGENCY RESPONSE GARAGE FUEL OIL PUMP (PUMP) - VIKING DUPLEX OIL SYSTEMS  </t>
  </si>
  <si>
    <t>933</t>
  </si>
  <si>
    <t>934</t>
  </si>
  <si>
    <t xml:space="preserve">PUMP  - MINE EMERGENCY RESPONSE GARAGE FUEL OIL PUMP (STANDBY) - VIKING DUPLEX OIL SYSTEMS  </t>
  </si>
  <si>
    <t>935</t>
  </si>
  <si>
    <t>936</t>
  </si>
  <si>
    <t>957</t>
  </si>
  <si>
    <t xml:space="preserve">PUMP  - WELDING SHOP FUEL OIL PUMP (DUTY) - VIKING DUPLEX OIL SYSTEMS  </t>
  </si>
  <si>
    <t>958</t>
  </si>
  <si>
    <t>959</t>
  </si>
  <si>
    <t xml:space="preserve">PUMP  - WELDING SHOP FUEL OIL PUMP (STANDBY) - VIKING DUPLEX OIL SYSTEMS  </t>
  </si>
  <si>
    <t>960</t>
  </si>
  <si>
    <t>961</t>
  </si>
  <si>
    <t xml:space="preserve">PUMP  - MAINTENANCE BUILDING FUEL OIL PUMP (DUTY) </t>
  </si>
  <si>
    <t>962</t>
  </si>
  <si>
    <t>963</t>
  </si>
  <si>
    <t xml:space="preserve">PUMP  - MAINTENANCE BUILDING FUEL OIL PUMP (STANDBY) </t>
  </si>
  <si>
    <t>964</t>
  </si>
  <si>
    <t>965</t>
  </si>
  <si>
    <t xml:space="preserve">PUMP  - WAREHOUSE BUILDING FUEL OIL PUMP (DUTY) </t>
  </si>
  <si>
    <t>966</t>
  </si>
  <si>
    <t>967</t>
  </si>
  <si>
    <t xml:space="preserve">PUMP  - WAREHOUSE BUILDING FUEL OIL PUMP (STANDBY) </t>
  </si>
  <si>
    <t>968</t>
  </si>
  <si>
    <t>969</t>
  </si>
  <si>
    <t xml:space="preserve">PUMP  - WORKSHOP OFFICE WASHCAR RAW WATER PUMP - SIMER JET PUMPS 2205C  L: 483 
W: 275 
H: 267 </t>
  </si>
  <si>
    <t>970</t>
  </si>
  <si>
    <t xml:space="preserve">PUMP  - ORE HAUL TRUCK WORKSHOP OFFICE WASHCAR RAW WATER PUMP - PLASTIC-MART   
L: 483, W: 275, H: 267 </t>
  </si>
  <si>
    <t>978</t>
  </si>
  <si>
    <t>SHOP / MAINTENANCE EQUIPMENT  - INDUSTRIAL FREEZER  - ONTARIO OVENS 80-12  
L: 1525, W: 715, H: 1250,  290 kg</t>
  </si>
  <si>
    <t>980</t>
  </si>
  <si>
    <t>SHOP / MAINTENANCE EQUIPMENT  - LARGE SHOP PRESS  - AG - OTC1866  
L: 1295, W: 1727, H: 3125, 1970 kg</t>
  </si>
  <si>
    <t>981</t>
  </si>
  <si>
    <t xml:space="preserve">SHOP / MAINTENANCE EQUIPMENT  - LATHE  - SUMMIT MACHINE TOOL  
W: 44, H: 64 </t>
  </si>
  <si>
    <t>983</t>
  </si>
  <si>
    <t xml:space="preserve">   LATHE COOLANT PUMP  </t>
  </si>
  <si>
    <t>984</t>
  </si>
  <si>
    <t xml:space="preserve">SHOP / MAINTENANCE EQUIPMENT  - MILLING MACHINE  - AG  </t>
  </si>
  <si>
    <t>985</t>
  </si>
  <si>
    <t>SHOP / MAINTENANCE EQUIPMENT  - LINE BORING MACHINE  - CLIMAX BB5000  L: 1830 
W: 330 
H: 280 205 
kg</t>
  </si>
  <si>
    <t>986</t>
  </si>
  <si>
    <t>SHOP / MAINTENANCE EQUIPMENT  - IRON WORKER  - BAILEIGH INDUSTRIAL 001-99777  
L: 1525, W: 915, H: 1985, 2300 kg</t>
  </si>
  <si>
    <t>987</t>
  </si>
  <si>
    <t xml:space="preserve">SHOP / MAINTENANCE EQUIPMENT  - HEAVY TRUCK RAMP  - ROTARY 60000HDL  
L: 13360, W: 4980, H: 3990 </t>
  </si>
  <si>
    <t>988</t>
  </si>
  <si>
    <t xml:space="preserve">SHOP / MAINTENANCE EQUIPMENT  - LIGHT TRUCK RAMP  - ROTARY SM18LO-X  H: 6990 </t>
  </si>
  <si>
    <t>989</t>
  </si>
  <si>
    <t xml:space="preserve">SHOP / MAINTENANCE EQUIPMENT  - TIRE SIPING MACHINE  - AG  </t>
  </si>
  <si>
    <t>990</t>
  </si>
  <si>
    <t xml:space="preserve">SHOP / MAINTENANCE EQUIPMENT  - AIR FILTER CLEANER  - DIVERSI-TECH  
L: 1830, W: 1830, H: 2650 </t>
  </si>
  <si>
    <t>991</t>
  </si>
  <si>
    <t>992</t>
  </si>
  <si>
    <t>993</t>
  </si>
  <si>
    <t>SHOP / MAINTENANCE EQUIPMENT  - DRILL PRESS  - AG - DPE18-900  L: 508, W: 356, H: 1778, 120 kg</t>
  </si>
  <si>
    <t>994</t>
  </si>
  <si>
    <t>995</t>
  </si>
  <si>
    <t>996</t>
  </si>
  <si>
    <t>SHOP / MAINTENANCE EQUIPMENT  - WELDING MACHINE  - AG - MLW951-277  L: 965 
W: 584 
H: 762 192 
kg</t>
  </si>
  <si>
    <t>997</t>
  </si>
  <si>
    <t>998</t>
  </si>
  <si>
    <t>SHOP / MAINTENANCE EQUIPMENT  - PORTABLE WELDING FUME EXTRACTOR - AG - NED12634345  73 
kg</t>
  </si>
  <si>
    <t>999</t>
  </si>
  <si>
    <t>1000</t>
  </si>
  <si>
    <t>1001</t>
  </si>
  <si>
    <t>1002</t>
  </si>
  <si>
    <t xml:space="preserve">SHOP / MAINTENANCE EQUIPMENT  - TRACK PIN PRESS  - AG  </t>
  </si>
  <si>
    <t>1003</t>
  </si>
  <si>
    <t>1004</t>
  </si>
  <si>
    <t>SHOP / MAINTENANCE EQUIPMENT  - EVAC TANK  - NORTHERN TOOL 30070V  L: 1118, W: 508, H: 1093, 200 kg</t>
  </si>
  <si>
    <t>1005</t>
  </si>
  <si>
    <t>1006</t>
  </si>
  <si>
    <t>SHOP / MAINTENANCE EQUIPMENT  - WELDING MACHINE  - AG - MLW951-277  L: 965, W: 584, H: 762, 192 
kg</t>
  </si>
  <si>
    <t>1007</t>
  </si>
  <si>
    <t>SHOP / MAINTENANCE EQUIPMENT  - METAL BREAK FLOOR  - AG - GGS13W877  580 kg</t>
  </si>
  <si>
    <t>1008</t>
  </si>
  <si>
    <t>1009</t>
  </si>
  <si>
    <t>1010</t>
  </si>
  <si>
    <t>1011</t>
  </si>
  <si>
    <t>1012</t>
  </si>
  <si>
    <t>1013</t>
  </si>
  <si>
    <t>1014</t>
  </si>
  <si>
    <t xml:space="preserve">SHOP / MAINTENANCE EQUIPMENT  - BENCH GRINDER  - AG - WSWBG10D  W: 610 
H: 345 </t>
  </si>
  <si>
    <t>1015</t>
  </si>
  <si>
    <t>1016</t>
  </si>
  <si>
    <t>1017</t>
  </si>
  <si>
    <t>1018</t>
  </si>
  <si>
    <t>1019</t>
  </si>
  <si>
    <t>1020</t>
  </si>
  <si>
    <t>1021</t>
  </si>
  <si>
    <t>1022</t>
  </si>
  <si>
    <t>1023</t>
  </si>
  <si>
    <t>1024</t>
  </si>
  <si>
    <t xml:space="preserve">SHOP / MAINTENANCE EQUIPMENT  - TRACK PIN PRESS  - AG - OTC4240  </t>
  </si>
  <si>
    <t>1025</t>
  </si>
  <si>
    <t>SHOP / MAINTENANCE EQUIPMENT  - A/C RECOVERY RECHARGE UNIT - ROBINAIR RBN17800B  L: 584 
W: 864 
H: 1120 110 
kg</t>
  </si>
  <si>
    <t>1029</t>
  </si>
  <si>
    <t>1034</t>
  </si>
  <si>
    <t xml:space="preserve">PUMP  - TRUCK WASH BUILDING FUEL OIL PUMP (DUTY) </t>
  </si>
  <si>
    <t>1035</t>
  </si>
  <si>
    <t>1036</t>
  </si>
  <si>
    <t xml:space="preserve">PUMP  - TRUCK WASH BUILDING FUEL OIL PUMP (STANDBY) </t>
  </si>
  <si>
    <t>1037</t>
  </si>
  <si>
    <t>1075</t>
  </si>
  <si>
    <t xml:space="preserve">PUMP  - MINE WASTE MANAGEMENT BUILDING FUEL OIL PUMP (DUTY) - VIKING DUPLEX OIL SYSTEMS  </t>
  </si>
  <si>
    <t>1076</t>
  </si>
  <si>
    <t>1077</t>
  </si>
  <si>
    <t xml:space="preserve">PUMP  - MINE WASTE MANAGEMENT BUILDING FUEL OIL PUMP (STANDBY) - VIKING DUPLEX OIL SYSTEMS  </t>
  </si>
  <si>
    <t>1078</t>
  </si>
  <si>
    <t>SHOP / MAINTENANCE EQUIPMENT  - AEROSOL CAN RECYCLING SYSTEM - AG - SAYCPU03  5 
kg</t>
  </si>
  <si>
    <t>1080</t>
  </si>
  <si>
    <t>SHOP / MAINTENANCE EQUIPMENT  - DRUM CRUSHER  - AG - VESHDC900IDC  650 
kg</t>
  </si>
  <si>
    <t>1081</t>
  </si>
  <si>
    <t xml:space="preserve">SHOP / MAINTENANCE EQUIPMENT  - PLATFORM SCALE  - AG  </t>
  </si>
  <si>
    <t>1092</t>
  </si>
  <si>
    <t>1093</t>
  </si>
  <si>
    <t xml:space="preserve">PUMP  - DIESEL FUEL DISPENSING MODULE DISCHARGE PUMP </t>
  </si>
  <si>
    <t>1094</t>
  </si>
  <si>
    <t>1095</t>
  </si>
  <si>
    <t>1096</t>
  </si>
  <si>
    <t>1097</t>
  </si>
  <si>
    <t>1098</t>
  </si>
  <si>
    <t>1099</t>
  </si>
  <si>
    <t>1100</t>
  </si>
  <si>
    <t>1105</t>
  </si>
  <si>
    <t>1106</t>
  </si>
  <si>
    <t>1107</t>
  </si>
  <si>
    <t>1108</t>
  </si>
  <si>
    <t>1109</t>
  </si>
  <si>
    <t>1110</t>
  </si>
  <si>
    <t>GENERATOR  - 1.35 MW GENERATOR</t>
  </si>
  <si>
    <t>1124</t>
  </si>
  <si>
    <t>1125</t>
  </si>
  <si>
    <t xml:space="preserve">   RAW WATER DISTRIBUTION PUMP  </t>
  </si>
  <si>
    <t>1126</t>
  </si>
  <si>
    <t>1127</t>
  </si>
  <si>
    <t>1128</t>
  </si>
  <si>
    <t>1129</t>
  </si>
  <si>
    <t>1130</t>
  </si>
  <si>
    <t>1131</t>
  </si>
  <si>
    <t xml:space="preserve">PUMP  - RAW WATER FEED PUMP </t>
  </si>
  <si>
    <t>1132</t>
  </si>
  <si>
    <t xml:space="preserve">   RAW WATER FEED PUMP  </t>
  </si>
  <si>
    <t>1133</t>
  </si>
  <si>
    <t>1134</t>
  </si>
  <si>
    <t>1135</t>
  </si>
  <si>
    <t>1136</t>
  </si>
  <si>
    <t>1137</t>
  </si>
  <si>
    <t>1138</t>
  </si>
  <si>
    <t>1139</t>
  </si>
  <si>
    <t xml:space="preserve">PUMP  - MINE WATER BUILDING FUEL OIL PUMP (DUTY) - VIKING DUPLEX OIL SYSTEMS  </t>
  </si>
  <si>
    <t>1140</t>
  </si>
  <si>
    <t>1141</t>
  </si>
  <si>
    <t xml:space="preserve">PUMP  - MINE WATER BUILDING FUEL OIL PUMP (STANDBY) - VIKING DUPLEX OIL SYSTEMS  </t>
  </si>
  <si>
    <t>1142</t>
  </si>
  <si>
    <t>1157</t>
  </si>
  <si>
    <t>1158</t>
  </si>
  <si>
    <t>1159</t>
  </si>
  <si>
    <t>1168</t>
  </si>
  <si>
    <t xml:space="preserve">PUMP  - MINE SEWAGE TRUCK BUILDING FUEL OIL PUMP (DUTY) - VIKING DUPLEX OIL SYSTEMS  </t>
  </si>
  <si>
    <t>1169</t>
  </si>
  <si>
    <t>1170</t>
  </si>
  <si>
    <t xml:space="preserve">PUMP  - MINE SEWAGE TRUCK BUILDING FUEL OIL PUMP (STANDBY) - VIKING DUPLEX OIL SYSTEMS  </t>
  </si>
  <si>
    <t>1171</t>
  </si>
  <si>
    <t xml:space="preserve">Legacy Equipment </t>
  </si>
  <si>
    <t>7230</t>
  </si>
  <si>
    <t>1228</t>
  </si>
  <si>
    <t xml:space="preserve">PUMP  - AERODROME OFFICE RAW WATER PUMP - SIMER JET PUMPS 2205C  
L: 483, W: 275, H: 267 </t>
  </si>
  <si>
    <t>1229</t>
  </si>
  <si>
    <t xml:space="preserve">PUMP  - BATCH PLANT OFFICE-LUNCHROOM-WC RAW WATER PUMP - SIMER JET PUMPS 2205C  
L: 483, W: 275, H: 267 </t>
  </si>
  <si>
    <t>1264</t>
  </si>
  <si>
    <t>1265</t>
  </si>
  <si>
    <t xml:space="preserve">PUMP  - SITE SERVICES WASHCAR #1 RAW WATER PUMP - SIMER JET PUMPS 2205C  
L: 483, W: 275, H: 267 </t>
  </si>
  <si>
    <t>1266</t>
  </si>
  <si>
    <t>1267</t>
  </si>
  <si>
    <t xml:space="preserve">PUMP  - SITE SERVICES WASHCAR #2 RAW WATER PUMP - SIMER JET PUMPS 2205C  
L: 483, W: 275, H: 267 </t>
  </si>
  <si>
    <t>1268</t>
  </si>
  <si>
    <t>1350</t>
  </si>
  <si>
    <t>GENERATOR  - ACOMMODATIONS AREA GENERATOR - CUMMINS C1600D6R  
L: 14630, W: 2440, H: 4062, 68320 kg</t>
  </si>
  <si>
    <t>1351</t>
  </si>
  <si>
    <t>GENERATOR  - CONCRETE BATCH PLANT GENERATOR - CUMMINS C150D6R 
L: 4674, W: 1730, H: 2085, 8800 kg</t>
  </si>
  <si>
    <t>1352</t>
  </si>
  <si>
    <t>1353</t>
  </si>
  <si>
    <t>GENERATOR  - GENERAL GENERATOR - CUMMINS C80D6R 
L: 4500, W: 1905, H: 2085, 5322 kg</t>
  </si>
  <si>
    <t>1354</t>
  </si>
  <si>
    <t>1355</t>
  </si>
  <si>
    <t>GENERATOR  - SITE SERVICES LUNCHROOM/WASHCAR GENERATOR - CUMMINS DSFAA  
L: 2110, W: 1020, H: 2315, 3776 kg</t>
  </si>
  <si>
    <t>1356</t>
  </si>
  <si>
    <t>GENERATOR  - LOGISTICS TRAILER GENERATOR - CUMMINS DSFAA  L: 2110, W: 1020, H: 2315m 3776 kg</t>
  </si>
  <si>
    <t>1357</t>
  </si>
  <si>
    <t>GENERATOR  - AERODROME LIGHTING GENERATOR - CUMMINS DSKBA  
L: 2160, W: 790, H: 1500, 2442 kg</t>
  </si>
  <si>
    <t>1358</t>
  </si>
  <si>
    <t>1359</t>
  </si>
  <si>
    <t>Old Incinerator (Medium sized equipment)</t>
  </si>
  <si>
    <t>7430</t>
  </si>
  <si>
    <t>1425</t>
  </si>
  <si>
    <t>1426</t>
  </si>
  <si>
    <t>1427</t>
  </si>
  <si>
    <t xml:space="preserve">PUMP  - FUEL SYSTEMS WASHCAR RAW WATER PUMP - SIMER JET PUMPS 2205C  
L: 483, W: 275, H: 267 </t>
  </si>
  <si>
    <t>1428</t>
  </si>
  <si>
    <t>1429</t>
  </si>
  <si>
    <t>1430</t>
  </si>
  <si>
    <t>1431</t>
  </si>
  <si>
    <t>1432</t>
  </si>
  <si>
    <t>1489</t>
  </si>
  <si>
    <t>GENERATOR  - ACCOMMODATIONS AREA GENERATOR - CUMMINS C1600D6RG  
L: 14630, W: 2440, H: 4065, 78220 kg</t>
  </si>
  <si>
    <t>1490</t>
  </si>
  <si>
    <t>GENERATOR  - CONCRETE BATCH PLANT GENERATOR - CUMMINS C150D6R  
L: 4675, W: 1730, H: 2085, 10466 kg</t>
  </si>
  <si>
    <t>1491</t>
  </si>
  <si>
    <t>1492</t>
  </si>
  <si>
    <t>GENERATOR  - GENERAL GENERATOR - CUMMINS C80D6R  
L: 4496, W: 1905, H: 2085, 6458 kg</t>
  </si>
  <si>
    <t>1493</t>
  </si>
  <si>
    <t>GENERATOR  - AERODROME LIGHTING GENERATOR - CUMMINS C60D6R  
L: 4496, W: 1905, H: 2085, 6365 kg</t>
  </si>
  <si>
    <t>1494</t>
  </si>
  <si>
    <t>1495</t>
  </si>
  <si>
    <t>1496</t>
  </si>
  <si>
    <t>1497</t>
  </si>
  <si>
    <t>GENERATOR  - SITE SERVICES LUNCHROOM/WASHCAR GENERATOR - CUMMINS DSFAA  
L: 2110, W: 1020, H: 2315, 4760 kg</t>
  </si>
  <si>
    <t>1498</t>
  </si>
  <si>
    <t>1499</t>
  </si>
  <si>
    <t>1500</t>
  </si>
  <si>
    <t>GENERATOR  - WORKFACE TOOLS GENERATOR - CUMMINS DSKBA  L: 2160, W: 790, H: 1500, 3145 kg</t>
  </si>
  <si>
    <t>1501</t>
  </si>
  <si>
    <t>Fiel Sampling, analysis and reporting</t>
  </si>
  <si>
    <t>12.5% of Total direct cost, Contaminated soil treatement, Mob/demob, Workers accomodation &amp; camps Opp, Workers mob/demob and post closure monitoring</t>
  </si>
  <si>
    <t>ROUGH NUMBERS</t>
  </si>
  <si>
    <t>ROUNDED NUMBERS</t>
  </si>
  <si>
    <t xml:space="preserve">A </t>
  </si>
  <si>
    <t>Row</t>
  </si>
  <si>
    <t>Authorization</t>
  </si>
  <si>
    <t>Liability</t>
  </si>
  <si>
    <t>Pre-baseline Liability ($)</t>
  </si>
  <si>
    <t>2014 Re-Baseline ($)</t>
  </si>
  <si>
    <t>Difference ($)</t>
  </si>
  <si>
    <t>Marginal 2015 ($)</t>
  </si>
  <si>
    <t>Total ($)</t>
  </si>
  <si>
    <t>Adjustment to be posted ($)</t>
  </si>
  <si>
    <t>D-C</t>
  </si>
  <si>
    <t>D+F</t>
  </si>
  <si>
    <t xml:space="preserve">E+F-Type B construction </t>
  </si>
  <si>
    <t>Type A
2AM-MRY1325</t>
  </si>
  <si>
    <t>Subtotal Type A</t>
  </si>
  <si>
    <t>See note 3</t>
  </si>
  <si>
    <t>Subtotal Type B Construction</t>
  </si>
  <si>
    <t>Type B Exploration
2BE-MRY1421</t>
  </si>
  <si>
    <t>Subtotal Type B Exploration</t>
  </si>
  <si>
    <t>DFO</t>
  </si>
  <si>
    <t>Subtotal DFO</t>
  </si>
  <si>
    <t>AANDC Land Lease 
47H/16-1-2</t>
  </si>
  <si>
    <t>Subtotal AANDC Land Lease</t>
  </si>
  <si>
    <t>Note 1 : Total for each licence is the sum of IOL and Crown Land (which equals the sum of Water and Land)</t>
  </si>
  <si>
    <t xml:space="preserve">Note 2: Captured under 2014 rebaseline exercise. proposed to be re-allocated under typeA licence upon ammendment </t>
  </si>
  <si>
    <t>References</t>
  </si>
  <si>
    <t>Column A - Based on Table 3-1 of Baffinland Response to AANDC Questions Regarding 2014 Workplan and Security Estimate</t>
  </si>
  <si>
    <t>Column B' - 2014 Complete Project Financial Security Assessment</t>
  </si>
  <si>
    <t>Column B (type A) - Real Baseline minus Type B construction</t>
  </si>
  <si>
    <t>Year 1 ($)</t>
  </si>
  <si>
    <t>Year 2 ($)</t>
  </si>
  <si>
    <t>Year 3 ($)</t>
  </si>
  <si>
    <t>Year 4 ($)</t>
  </si>
  <si>
    <t>Year 5 ($)</t>
  </si>
  <si>
    <t>Year 6 ($)</t>
  </si>
  <si>
    <t>Year 7 ($)</t>
  </si>
  <si>
    <t>Year 8 ($)</t>
  </si>
  <si>
    <t>Mary River Exploration Activities</t>
  </si>
  <si>
    <t>DFO Financial Security for Ore Dock (Construction and Monitoring)</t>
  </si>
  <si>
    <t>Grand Total ($)</t>
  </si>
  <si>
    <t>Quantities (As pER estimate)</t>
  </si>
  <si>
    <t>BASE CASE</t>
  </si>
  <si>
    <t>SCENARIO 1</t>
  </si>
  <si>
    <t>VARIACE</t>
  </si>
  <si>
    <t xml:space="preserve">Total Cost </t>
  </si>
  <si>
    <t>Blended Rate</t>
  </si>
  <si>
    <t>Fuel Cost [$/L]</t>
  </si>
  <si>
    <t>Cordex [$/m]</t>
  </si>
  <si>
    <t>ANFO [$/mt]</t>
  </si>
  <si>
    <t xml:space="preserve">   </t>
  </si>
  <si>
    <r>
      <t>Fold Away Building</t>
    </r>
    <r>
      <rPr>
        <u/>
        <sz val="11"/>
        <color theme="1"/>
        <rFont val="Calibri"/>
        <family val="2"/>
        <scheme val="minor"/>
      </rPr>
      <t xml:space="preserve"> Contaminated (480 ft2)</t>
    </r>
  </si>
  <si>
    <r>
      <t xml:space="preserve">Precast Concrete Foundations - </t>
    </r>
    <r>
      <rPr>
        <u/>
        <sz val="11"/>
        <rFont val="Calibri"/>
        <family val="2"/>
        <scheme val="minor"/>
      </rPr>
      <t>(480 ft2)</t>
    </r>
  </si>
  <si>
    <r>
      <t xml:space="preserve">Slab on Grade - </t>
    </r>
    <r>
      <rPr>
        <u/>
        <sz val="11"/>
        <rFont val="Calibri"/>
        <family val="2"/>
        <scheme val="minor"/>
      </rPr>
      <t>ASSUME 300mm thick</t>
    </r>
  </si>
  <si>
    <t xml:space="preserve">    </t>
  </si>
  <si>
    <t>bed space</t>
  </si>
  <si>
    <t>TOTAL DIRECT COST</t>
  </si>
  <si>
    <t>Earthworks Unit Rates</t>
  </si>
  <si>
    <t>Work Plan</t>
  </si>
  <si>
    <t>TOTAL - BASE CASE</t>
  </si>
  <si>
    <t>TOTAL - SCENARIO 1</t>
  </si>
  <si>
    <t>TOTAL MAN-DAYS (Assuming 10 h day)</t>
  </si>
  <si>
    <t>Mobilzation (% of direct Cost)</t>
  </si>
  <si>
    <t>Engineering (% of direct Cost)</t>
  </si>
  <si>
    <t>Project supervision, management &amp; contract administration (% of direct cost+Contaminated soil treatement+post closure monitoring)</t>
  </si>
  <si>
    <t>Contingency (of direct cost+Contaminated soil treatement+Mob/demob+Workers accomodation &amp; camps Opp+workers mob/demob+post closure monitoring)</t>
  </si>
  <si>
    <t>Camp Fuel Consumption</t>
  </si>
  <si>
    <t>TOTAL FIELD SAMPLING</t>
  </si>
  <si>
    <t>TOTAL (DIRECT + INDIRECT)</t>
  </si>
  <si>
    <t>Distribution between closure requirements</t>
  </si>
  <si>
    <t xml:space="preserve">Fuel </t>
  </si>
  <si>
    <t>Waste to be disposed of will depend on the activities to be conducted during closure, which ultimately depends on the ammount of fuel required onsite. Some waste will be generated due to the presence of personnel during closure.</t>
  </si>
  <si>
    <t xml:space="preserve">Fuel is dependant on Reclamation Activites and labbour (heat and power for personnel on site).The average breakdown is 53% of the fuel for reclamation activities, and 47% for heat and power </t>
  </si>
  <si>
    <t xml:space="preserve">No relation to fuel/labour/equipment for reclamation activities. </t>
  </si>
  <si>
    <t>No relation to fuel/labour/equipment for reclamation activities</t>
  </si>
  <si>
    <t>Mobilization of workers will depend on the total man-hours required for the reclamaion activities</t>
  </si>
  <si>
    <t>Mobilization of workers will depend on the total equipment-hours required for the reclamaion activities</t>
  </si>
  <si>
    <t>3.9% of direct Cost equally distributed between labour, equipment and fuel</t>
  </si>
  <si>
    <t>9.4% of direct Cost equally distributed between labour, equipment and fuel</t>
  </si>
  <si>
    <t>12.5% of direct Cost equally distributed between labour, equipment and fuel</t>
  </si>
  <si>
    <t>Percentages to be applied over direct cost - BASE CASE</t>
  </si>
  <si>
    <t>INDIRECT COST</t>
  </si>
  <si>
    <t>% over sum of direct cost</t>
  </si>
  <si>
    <t>Calculatd Indirect Cost - BASE CASE</t>
  </si>
  <si>
    <t>Calculatd Indirect Cost - SCENARIO 1</t>
  </si>
  <si>
    <t>Variance</t>
  </si>
  <si>
    <t>TOTAL INDIRECT</t>
  </si>
  <si>
    <t>Water Treatment Plant for km 105 Sedimentation Pond</t>
  </si>
  <si>
    <t>Cost of accommodation per person-day ($/pp)</t>
  </si>
  <si>
    <t>Updated December 15, 2022</t>
  </si>
  <si>
    <t>2010</t>
  </si>
  <si>
    <t>2018</t>
  </si>
  <si>
    <t>2020</t>
  </si>
  <si>
    <t>GLOBAL ESTIMATE</t>
  </si>
  <si>
    <t>UR not updated in 2018 (2014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</si>
</sst>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8" formatCode="&quot;$&quot;#,##0.00_);[Red]\(&quot;$&quot;#,##0.00\)"/>
    <numFmt numFmtId="44" formatCode="_(&quot;$&quot;* #,##0.00_);_(&quot;$&quot;* \(#,##0.00\);_(&quot;$&quot;* &quot;-&quot;??_);_(@_)"/>
    <numFmt numFmtId="43" formatCode="_(* #,##0.00_);_(* \(#,##0.00\);_(* &quot;-&quot;??_);_(@_)"/>
    <numFmt numFmtId="164" formatCode="&quot;$&quot;#,##0;[Red]\-&quot;$&quot;#,##0"/>
    <numFmt numFmtId="165" formatCode="&quot;$&quot;#,##0.00;[Red]\-&quot;$&quot;#,##0.00"/>
    <numFmt numFmtId="166" formatCode="_-&quot;$&quot;* #,##0.00_-;\-&quot;$&quot;* #,##0.00_-;_-&quot;$&quot;* &quot;-&quot;??_-;_-@_-"/>
    <numFmt numFmtId="167" formatCode="_-* #,##0.00_-;\-* #,##0.00_-;_-* &quot;-&quot;??_-;_-@_-"/>
    <numFmt numFmtId="168" formatCode="_(* #,##0_);_(* \(#,##0\);_(* &quot;-&quot;??_);_(@_)"/>
    <numFmt numFmtId="169" formatCode="_(&quot;$&quot;* #,##0_);_(&quot;$&quot;* \(#,##0\);_(&quot;$&quot;* &quot;-&quot;??_);_(@_)"/>
    <numFmt numFmtId="170" formatCode="General_)"/>
    <numFmt numFmtId="171" formatCode="_(* #,##0.0_);_(* \(#,##0.0\);_(* &quot;-&quot;??_);_(@_)"/>
    <numFmt numFmtId="172" formatCode="[$-409]mmmm\ d\,\ yyyy;@"/>
    <numFmt numFmtId="173" formatCode="0.0"/>
    <numFmt numFmtId="174" formatCode="yyyy\-mm\-dd"/>
    <numFmt numFmtId="175" formatCode="000"/>
    <numFmt numFmtId="176" formatCode="&quot;Use &quot;#"/>
    <numFmt numFmtId="177" formatCode="_-&quot;$&quot;* #,##0_-;\-&quot;$&quot;* #,##0_-;_-&quot;$&quot;* &quot;-&quot;??_-;_-@_-"/>
    <numFmt numFmtId="178" formatCode="_-* #,##0_-;\-* #,##0_-;_-* &quot;-&quot;??_-;_-@_-"/>
    <numFmt numFmtId="179" formatCode="_-* #,##0.0_-;\-* #,##0.0_-;_-* &quot;-&quot;??_-;_-@_-"/>
    <numFmt numFmtId="180" formatCode="#.#&quot; Hrs/Mt&quot;\ "/>
    <numFmt numFmtId="181" formatCode="_-* #,##0.000_-;\-* #,##0.000_-;_-* &quot;-&quot;??_-;_-@_-"/>
    <numFmt numFmtId="182" formatCode="0.0%"/>
    <numFmt numFmtId="183" formatCode="&quot;$&quot;#,##0;[Red]&quot;$&quot;#,##0"/>
    <numFmt numFmtId="184" formatCode="&quot;$&quot;#,##0"/>
    <numFmt numFmtId="185" formatCode="#,##0.0"/>
    <numFmt numFmtId="186" formatCode="#,##0.000"/>
    <numFmt numFmtId="187" formatCode="&quot;$&quot;#,##0.00"/>
    <numFmt numFmtId="188" formatCode="&quot;$&quot;#,##0.000000"/>
    <numFmt numFmtId="189" formatCode="0.00000000"/>
    <numFmt numFmtId="190" formatCode="0.000"/>
  </numFmts>
  <fonts count="139">
    <font>
      <sz val="11"/>
      <color theme="1"/>
      <name val="Calibri"/>
      <family val="2"/>
      <scheme val="minor"/>
    </font>
    <font>
      <sz val="10"/>
      <name val="Arial"/>
      <family val="2"/>
    </font>
    <font>
      <b/>
      <i/>
      <sz val="16"/>
      <name val="Arial"/>
      <family val="2"/>
    </font>
    <font>
      <sz val="10"/>
      <color theme="1"/>
      <name val="Arial"/>
      <family val="2"/>
    </font>
    <font>
      <b/>
      <sz val="11"/>
      <color theme="1"/>
      <name val="Arial"/>
      <family val="2"/>
    </font>
    <font>
      <sz val="11"/>
      <color theme="1"/>
      <name val="Arial"/>
      <family val="2"/>
    </font>
    <font>
      <b/>
      <sz val="10"/>
      <color theme="0"/>
      <name val="Arial"/>
      <family val="2"/>
    </font>
    <font>
      <sz val="10"/>
      <color rgb="FFFF0000"/>
      <name val="Arial"/>
      <family val="2"/>
    </font>
    <font>
      <b/>
      <sz val="11"/>
      <name val="Arial"/>
      <family val="2"/>
    </font>
    <font>
      <b/>
      <sz val="10"/>
      <color theme="1"/>
      <name val="Arial"/>
      <family val="2"/>
    </font>
    <font>
      <b/>
      <u/>
      <sz val="10"/>
      <name val="Arial"/>
      <family val="2"/>
    </font>
    <font>
      <sz val="10"/>
      <color theme="1"/>
      <name val="Times New Roman"/>
      <family val="1"/>
    </font>
    <font>
      <sz val="10"/>
      <color theme="1"/>
      <name val="Calibri"/>
      <family val="2"/>
    </font>
    <font>
      <sz val="10"/>
      <color theme="1"/>
      <name val="Wingdings"/>
      <charset val="2"/>
    </font>
    <font>
      <sz val="20"/>
      <color theme="1"/>
      <name val="Arial"/>
      <family val="2"/>
    </font>
    <font>
      <b/>
      <sz val="20"/>
      <color theme="1"/>
      <name val="Arial"/>
      <family val="2"/>
    </font>
    <font>
      <sz val="16"/>
      <color theme="1"/>
      <name val="Arial"/>
      <family val="2"/>
    </font>
    <font>
      <sz val="12"/>
      <name val="Arial"/>
      <family val="2"/>
    </font>
    <font>
      <sz val="12"/>
      <color theme="0" tint="-0.499984740745262"/>
      <name val="Arial"/>
      <family val="2"/>
    </font>
    <font>
      <b/>
      <sz val="12"/>
      <color theme="0"/>
      <name val="Arial"/>
      <family val="2"/>
    </font>
    <font>
      <b/>
      <sz val="12"/>
      <color rgb="FFFFFF00"/>
      <name val="Arial"/>
      <family val="2"/>
    </font>
    <font>
      <sz val="11"/>
      <name val="Arial"/>
      <family val="2"/>
    </font>
    <font>
      <u/>
      <sz val="11"/>
      <name val="Arial"/>
      <family val="2"/>
    </font>
    <font>
      <sz val="12"/>
      <color rgb="FFFF0000"/>
      <name val="Arial"/>
      <family val="2"/>
    </font>
    <font>
      <b/>
      <sz val="11"/>
      <color theme="1"/>
      <name val="Calibri"/>
      <family val="2"/>
      <scheme val="minor"/>
    </font>
    <font>
      <sz val="11"/>
      <color theme="1"/>
      <name val="Calibri"/>
      <family val="2"/>
      <scheme val="minor"/>
    </font>
    <font>
      <sz val="11"/>
      <name val="Calibri"/>
      <family val="2"/>
      <scheme val="minor"/>
    </font>
    <font>
      <sz val="11"/>
      <color rgb="FFFFFF00"/>
      <name val="Calibri"/>
      <family val="2"/>
      <scheme val="minor"/>
    </font>
    <font>
      <sz val="11"/>
      <color rgb="FF00B050"/>
      <name val="Calibri"/>
      <family val="2"/>
      <scheme val="minor"/>
    </font>
    <font>
      <sz val="11"/>
      <color theme="6" tint="-0.249977111117893"/>
      <name val="Calibri"/>
      <family val="2"/>
      <scheme val="minor"/>
    </font>
    <font>
      <sz val="11"/>
      <color theme="7" tint="-0.249977111117893"/>
      <name val="Calibri"/>
      <family val="2"/>
      <scheme val="minor"/>
    </font>
    <font>
      <sz val="11"/>
      <color rgb="FFFFC000"/>
      <name val="Calibri"/>
      <family val="2"/>
      <scheme val="minor"/>
    </font>
    <font>
      <sz val="11"/>
      <color theme="3" tint="0.39997558519241921"/>
      <name val="Calibri"/>
      <family val="2"/>
      <scheme val="minor"/>
    </font>
    <font>
      <sz val="11"/>
      <color theme="5" tint="0.39997558519241921"/>
      <name val="Calibri"/>
      <family val="2"/>
      <scheme val="minor"/>
    </font>
    <font>
      <sz val="11"/>
      <color rgb="FFFF0000"/>
      <name val="Calibri"/>
      <family val="2"/>
      <scheme val="minor"/>
    </font>
    <font>
      <b/>
      <u/>
      <sz val="11"/>
      <color theme="1"/>
      <name val="Calibri"/>
      <family val="2"/>
      <scheme val="minor"/>
    </font>
    <font>
      <i/>
      <sz val="11"/>
      <color theme="1"/>
      <name val="Calibri"/>
      <family val="2"/>
      <scheme val="minor"/>
    </font>
    <font>
      <sz val="8"/>
      <name val="Arial"/>
      <family val="2"/>
    </font>
    <font>
      <b/>
      <sz val="10"/>
      <name val="Arial"/>
      <family val="2"/>
    </font>
    <font>
      <b/>
      <sz val="16"/>
      <name val="Arial"/>
      <family val="2"/>
    </font>
    <font>
      <b/>
      <sz val="12"/>
      <name val="Arial"/>
      <family val="2"/>
    </font>
    <font>
      <sz val="16"/>
      <name val="Arial"/>
      <family val="2"/>
    </font>
    <font>
      <sz val="12"/>
      <name val="Helv"/>
    </font>
    <font>
      <sz val="11"/>
      <color rgb="FF000000"/>
      <name val="Calibri"/>
      <family val="2"/>
    </font>
    <font>
      <b/>
      <sz val="10"/>
      <color rgb="FFFF0000"/>
      <name val="Arial"/>
      <family val="2"/>
    </font>
    <font>
      <sz val="11"/>
      <color theme="1"/>
      <name val="Romantic"/>
      <family val="2"/>
    </font>
    <font>
      <sz val="9"/>
      <name val="Arial"/>
      <family val="2"/>
    </font>
    <font>
      <sz val="9"/>
      <color theme="1"/>
      <name val="Arial"/>
      <family val="2"/>
    </font>
    <font>
      <b/>
      <sz val="18"/>
      <name val="Arial"/>
      <family val="2"/>
    </font>
    <font>
      <b/>
      <sz val="1"/>
      <color indexed="8"/>
      <name val="Courier"/>
      <family val="3"/>
    </font>
    <font>
      <sz val="1"/>
      <color indexed="8"/>
      <name val="Courier"/>
      <family val="3"/>
    </font>
    <font>
      <i/>
      <sz val="8"/>
      <name val="Penguin-Light-Normal"/>
    </font>
    <font>
      <b/>
      <sz val="11"/>
      <name val="Calibri"/>
      <family val="2"/>
      <scheme val="minor"/>
    </font>
    <font>
      <sz val="11"/>
      <color theme="4" tint="-0.249977111117893"/>
      <name val="Calibri"/>
      <family val="2"/>
      <scheme val="minor"/>
    </font>
    <font>
      <sz val="11"/>
      <color theme="5" tint="0.59999389629810485"/>
      <name val="Calibri"/>
      <family val="2"/>
      <scheme val="minor"/>
    </font>
    <font>
      <b/>
      <sz val="11"/>
      <color rgb="FFFA7D00"/>
      <name val="Calibri"/>
      <family val="2"/>
      <scheme val="minor"/>
    </font>
    <font>
      <sz val="11"/>
      <color theme="0"/>
      <name val="Calibri"/>
      <family val="2"/>
      <scheme val="minor"/>
    </font>
    <font>
      <sz val="12"/>
      <name val="Arial"/>
      <family val="2"/>
    </font>
    <font>
      <sz val="11"/>
      <name val="Calibri"/>
      <family val="2"/>
    </font>
    <font>
      <sz val="10"/>
      <color indexed="8"/>
      <name val="Arial"/>
      <family val="2"/>
    </font>
    <font>
      <sz val="10"/>
      <name val="Calibri"/>
      <family val="2"/>
    </font>
    <font>
      <sz val="11"/>
      <color indexed="8"/>
      <name val="Calibri"/>
      <family val="2"/>
    </font>
    <font>
      <b/>
      <u/>
      <sz val="18"/>
      <name val="Arial"/>
      <family val="2"/>
    </font>
    <font>
      <sz val="11"/>
      <color theme="6" tint="0.39997558519241921"/>
      <name val="Calibri"/>
      <family val="2"/>
      <scheme val="minor"/>
    </font>
    <font>
      <sz val="11"/>
      <color theme="9" tint="-0.249977111117893"/>
      <name val="Calibri"/>
      <family val="2"/>
      <scheme val="minor"/>
    </font>
    <font>
      <sz val="12"/>
      <color theme="1"/>
      <name val="Arial"/>
      <family val="2"/>
    </font>
    <font>
      <b/>
      <sz val="12"/>
      <color theme="1"/>
      <name val="Arial"/>
      <family val="2"/>
    </font>
    <font>
      <sz val="12"/>
      <color indexed="12"/>
      <name val="Arial"/>
      <family val="2"/>
    </font>
    <font>
      <sz val="24"/>
      <color indexed="12"/>
      <name val="Arial"/>
      <family val="2"/>
    </font>
    <font>
      <sz val="12"/>
      <color rgb="FF0000FF"/>
      <name val="Arial"/>
      <family val="2"/>
    </font>
    <font>
      <sz val="24"/>
      <color indexed="16"/>
      <name val="Arial"/>
      <family val="2"/>
    </font>
    <font>
      <sz val="11"/>
      <color rgb="FFFF0000"/>
      <name val="Arial"/>
      <family val="2"/>
    </font>
    <font>
      <sz val="12"/>
      <color indexed="16"/>
      <name val="Arial"/>
      <family val="2"/>
    </font>
    <font>
      <strike/>
      <sz val="12"/>
      <color rgb="FF0000FF"/>
      <name val="Arial"/>
      <family val="2"/>
    </font>
    <font>
      <strike/>
      <sz val="12"/>
      <name val="Arial"/>
      <family val="2"/>
    </font>
    <font>
      <sz val="24"/>
      <color rgb="FFFF0000"/>
      <name val="Arial"/>
      <family val="2"/>
    </font>
    <font>
      <sz val="12"/>
      <color theme="1"/>
      <name val="Calibri"/>
      <family val="2"/>
      <scheme val="minor"/>
    </font>
    <font>
      <b/>
      <sz val="12"/>
      <color indexed="16"/>
      <name val="Arial"/>
      <family val="2"/>
    </font>
    <font>
      <i/>
      <sz val="12"/>
      <name val="Arial"/>
      <family val="2"/>
    </font>
    <font>
      <i/>
      <vertAlign val="superscript"/>
      <sz val="12"/>
      <name val="Arial"/>
      <family val="2"/>
    </font>
    <font>
      <b/>
      <sz val="12"/>
      <color indexed="9"/>
      <name val="Arial"/>
      <family val="2"/>
    </font>
    <font>
      <b/>
      <sz val="72"/>
      <name val="Arial"/>
      <family val="2"/>
    </font>
    <font>
      <sz val="14"/>
      <name val="Arial"/>
      <family val="2"/>
    </font>
    <font>
      <sz val="14"/>
      <color theme="1"/>
      <name val="Arial"/>
      <family val="2"/>
    </font>
    <font>
      <b/>
      <sz val="20"/>
      <name val="Arial"/>
      <family val="2"/>
    </font>
    <font>
      <b/>
      <sz val="14"/>
      <name val="Arial"/>
      <family val="2"/>
    </font>
    <font>
      <b/>
      <sz val="8"/>
      <color indexed="8"/>
      <name val="Arial"/>
      <family val="2"/>
    </font>
    <font>
      <b/>
      <sz val="8"/>
      <color indexed="10"/>
      <name val="Arial"/>
      <family val="2"/>
    </font>
    <font>
      <sz val="8"/>
      <color indexed="8"/>
      <name val="Arial"/>
      <family val="2"/>
    </font>
    <font>
      <b/>
      <i/>
      <sz val="11"/>
      <color theme="1"/>
      <name val="Calibri"/>
      <family val="2"/>
      <scheme val="minor"/>
    </font>
    <font>
      <i/>
      <sz val="9"/>
      <color theme="1"/>
      <name val="Calibri"/>
      <family val="2"/>
      <scheme val="minor"/>
    </font>
    <font>
      <sz val="8"/>
      <color theme="1"/>
      <name val="Calibri"/>
      <family val="2"/>
      <scheme val="minor"/>
    </font>
    <font>
      <b/>
      <sz val="11"/>
      <color theme="0"/>
      <name val="Calibri"/>
      <family val="2"/>
      <scheme val="minor"/>
    </font>
    <font>
      <b/>
      <sz val="14"/>
      <color theme="0"/>
      <name val="Calibri"/>
      <family val="2"/>
      <scheme val="minor"/>
    </font>
    <font>
      <strike/>
      <sz val="11"/>
      <color theme="1"/>
      <name val="Calibri"/>
      <family val="2"/>
      <scheme val="minor"/>
    </font>
    <font>
      <b/>
      <i/>
      <sz val="11"/>
      <name val="Calibri"/>
      <family val="2"/>
      <scheme val="minor"/>
    </font>
    <font>
      <b/>
      <sz val="11"/>
      <color rgb="FFFFFFFF"/>
      <name val="Calibri"/>
      <family val="2"/>
      <scheme val="minor"/>
    </font>
    <font>
      <b/>
      <sz val="11"/>
      <color rgb="FF000000"/>
      <name val="Calibri"/>
      <family val="2"/>
      <scheme val="minor"/>
    </font>
    <font>
      <sz val="11"/>
      <color rgb="FF000000"/>
      <name val="Calibri"/>
      <family val="2"/>
      <scheme val="minor"/>
    </font>
    <font>
      <vertAlign val="superscript"/>
      <sz val="11"/>
      <color theme="1"/>
      <name val="Calibri"/>
      <family val="2"/>
      <scheme val="minor"/>
    </font>
    <font>
      <vertAlign val="superscript"/>
      <sz val="11"/>
      <color rgb="FF000000"/>
      <name val="Calibri"/>
      <family val="2"/>
      <scheme val="minor"/>
    </font>
    <font>
      <sz val="11"/>
      <color rgb="FF1F497D"/>
      <name val="Calibri"/>
      <family val="2"/>
      <scheme val="minor"/>
    </font>
    <font>
      <b/>
      <sz val="11"/>
      <color rgb="FFFFC000"/>
      <name val="Calibri"/>
      <family val="2"/>
      <scheme val="minor"/>
    </font>
    <font>
      <strike/>
      <sz val="11"/>
      <color rgb="FFFF0000"/>
      <name val="Calibri"/>
      <family val="2"/>
      <scheme val="minor"/>
    </font>
    <font>
      <b/>
      <strike/>
      <sz val="11"/>
      <color rgb="FFFF0000"/>
      <name val="Calibri"/>
      <family val="2"/>
      <scheme val="minor"/>
    </font>
    <font>
      <b/>
      <sz val="13"/>
      <name val="Arial"/>
      <family val="2"/>
    </font>
    <font>
      <sz val="13"/>
      <color theme="1"/>
      <name val="Calibri"/>
      <family val="2"/>
      <scheme val="minor"/>
    </font>
    <font>
      <sz val="13"/>
      <name val="Arial"/>
      <family val="2"/>
    </font>
    <font>
      <b/>
      <sz val="13"/>
      <color theme="0"/>
      <name val="Arial"/>
      <family val="2"/>
    </font>
    <font>
      <sz val="11"/>
      <color rgb="FF000000"/>
      <name val="Arial"/>
      <family val="2"/>
    </font>
    <font>
      <sz val="10.5"/>
      <color theme="1"/>
      <name val="Calibri"/>
      <family val="2"/>
      <scheme val="minor"/>
    </font>
    <font>
      <sz val="10.5"/>
      <name val="Calibri"/>
      <family val="2"/>
      <scheme val="minor"/>
    </font>
    <font>
      <b/>
      <sz val="10.5"/>
      <color theme="1"/>
      <name val="Calibri"/>
      <family val="2"/>
      <scheme val="minor"/>
    </font>
    <font>
      <b/>
      <i/>
      <sz val="10.5"/>
      <color theme="1"/>
      <name val="Calibri"/>
      <family val="2"/>
      <scheme val="minor"/>
    </font>
    <font>
      <sz val="7"/>
      <color theme="1"/>
      <name val="Times New Roman"/>
      <family val="1"/>
    </font>
    <font>
      <sz val="13"/>
      <color theme="1"/>
      <name val="Arial"/>
      <family val="2"/>
    </font>
    <font>
      <b/>
      <sz val="13"/>
      <color theme="1"/>
      <name val="Arial"/>
      <family val="2"/>
    </font>
    <font>
      <strike/>
      <sz val="11"/>
      <name val="Calibri"/>
      <family val="2"/>
      <scheme val="minor"/>
    </font>
    <font>
      <sz val="10"/>
      <color theme="1"/>
      <name val="Calibri"/>
      <family val="2"/>
      <scheme val="minor"/>
    </font>
    <font>
      <sz val="10"/>
      <name val="Arial"/>
      <family val="2"/>
    </font>
    <font>
      <sz val="13"/>
      <color rgb="FFFF0000"/>
      <name val="Calibri"/>
      <family val="2"/>
      <scheme val="minor"/>
    </font>
    <font>
      <b/>
      <sz val="13"/>
      <color rgb="FFFF0000"/>
      <name val="Arial"/>
      <family val="2"/>
    </font>
    <font>
      <sz val="13"/>
      <color rgb="FFFF0000"/>
      <name val="Arial"/>
      <family val="2"/>
    </font>
    <font>
      <b/>
      <sz val="9"/>
      <color theme="1"/>
      <name val="Calibri"/>
      <family val="2"/>
      <scheme val="minor"/>
    </font>
    <font>
      <sz val="9"/>
      <color theme="1"/>
      <name val="Calibri"/>
      <family val="2"/>
      <scheme val="minor"/>
    </font>
    <font>
      <b/>
      <sz val="10"/>
      <color theme="1"/>
      <name val="Calibri"/>
      <family val="2"/>
      <scheme val="minor"/>
    </font>
    <font>
      <sz val="10"/>
      <name val="Verdana"/>
      <family val="2"/>
    </font>
    <font>
      <b/>
      <sz val="20"/>
      <color theme="1"/>
      <name val="Calibri"/>
      <family val="2"/>
      <scheme val="minor"/>
    </font>
    <font>
      <b/>
      <sz val="15"/>
      <color theme="1"/>
      <name val="Calibri"/>
      <family val="2"/>
      <scheme val="minor"/>
    </font>
    <font>
      <u/>
      <sz val="11"/>
      <color theme="1"/>
      <name val="Calibri"/>
      <family val="2"/>
      <scheme val="minor"/>
    </font>
    <font>
      <u/>
      <sz val="11"/>
      <name val="Calibri"/>
      <family val="2"/>
      <scheme val="minor"/>
    </font>
    <font>
      <u/>
      <sz val="12"/>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u/>
      <sz val="11"/>
      <color theme="10"/>
      <name val="Calibri"/>
      <family val="2"/>
      <scheme val="minor"/>
    </font>
    <font>
      <sz val="8"/>
      <name val="Calibri"/>
      <family val="2"/>
      <scheme val="minor"/>
    </font>
    <font>
      <sz val="12"/>
      <name val="Calibri"/>
      <family val="2"/>
      <scheme val="minor"/>
    </font>
    <font>
      <b/>
      <sz val="16"/>
      <name val="Calibri"/>
      <family val="2"/>
      <scheme val="minor"/>
    </font>
  </fonts>
  <fills count="49">
    <fill>
      <patternFill patternType="none"/>
    </fill>
    <fill>
      <patternFill patternType="gray125"/>
    </fill>
    <fill>
      <patternFill patternType="solid">
        <fgColor rgb="FF002060"/>
        <bgColor indexed="64"/>
      </patternFill>
    </fill>
    <fill>
      <patternFill patternType="solid">
        <fgColor theme="3" tint="0.79998168889431442"/>
        <bgColor indexed="64"/>
      </patternFill>
    </fill>
    <fill>
      <patternFill patternType="solid">
        <fgColor theme="3"/>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22"/>
        <bgColor indexed="64"/>
      </patternFill>
    </fill>
    <fill>
      <patternFill patternType="solid">
        <fgColor rgb="FFF0D530"/>
        <bgColor indexed="64"/>
      </patternFill>
    </fill>
    <fill>
      <patternFill patternType="solid">
        <fgColor rgb="FFDDDDDD"/>
        <bgColor indexed="64"/>
      </patternFill>
    </fill>
    <fill>
      <patternFill patternType="solid">
        <fgColor rgb="FFFFCCCC"/>
        <bgColor indexed="64"/>
      </patternFill>
    </fill>
    <fill>
      <patternFill patternType="solid">
        <fgColor rgb="FF66FF66"/>
        <bgColor indexed="64"/>
      </patternFill>
    </fill>
    <fill>
      <patternFill patternType="solid">
        <fgColor rgb="FFF2F2F2"/>
      </patternFill>
    </fill>
    <fill>
      <patternFill patternType="solid">
        <fgColor indexed="53"/>
      </patternFill>
    </fill>
    <fill>
      <patternFill patternType="solid">
        <fgColor indexed="10"/>
      </patternFill>
    </fill>
    <fill>
      <patternFill patternType="solid">
        <fgColor indexed="56"/>
        <bgColor indexed="64"/>
      </patternFill>
    </fill>
    <fill>
      <patternFill patternType="solid">
        <fgColor indexed="11"/>
        <bgColor indexed="0"/>
      </patternFill>
    </fill>
    <fill>
      <patternFill patternType="solid">
        <fgColor indexed="12"/>
        <bgColor indexed="0"/>
      </patternFill>
    </fill>
    <fill>
      <patternFill patternType="solid">
        <fgColor indexed="9"/>
        <bgColor indexed="0"/>
      </patternFill>
    </fill>
    <fill>
      <patternFill patternType="solid">
        <fgColor theme="0" tint="-0.14999847407452621"/>
        <bgColor indexed="0"/>
      </patternFill>
    </fill>
    <fill>
      <patternFill patternType="solid">
        <fgColor theme="4" tint="-0.499984740745262"/>
        <bgColor theme="4" tint="-0.499984740745262"/>
      </patternFill>
    </fill>
    <fill>
      <patternFill patternType="solid">
        <fgColor rgb="FF4F81BD"/>
        <bgColor indexed="64"/>
      </patternFill>
    </fill>
    <fill>
      <patternFill patternType="solid">
        <fgColor rgb="FFDBE5F1"/>
        <bgColor indexed="64"/>
      </patternFill>
    </fill>
    <fill>
      <patternFill patternType="solid">
        <fgColor rgb="FFC6D9F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4" tint="0.79998168889431442"/>
        <bgColor theme="4" tint="0.79998168889431442"/>
      </patternFill>
    </fill>
    <fill>
      <patternFill patternType="solid">
        <fgColor rgb="FFB2A97E"/>
        <bgColor indexed="64"/>
      </patternFill>
    </fill>
    <fill>
      <patternFill patternType="solid">
        <fgColor rgb="FFC0000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s>
  <borders count="178">
    <border>
      <left/>
      <right/>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top/>
      <bottom style="medium">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auto="1"/>
      </right>
      <top/>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ck">
        <color rgb="FF000000"/>
      </left>
      <right style="medium">
        <color rgb="FF000000"/>
      </right>
      <top style="thick">
        <color rgb="FF000000"/>
      </top>
      <bottom style="thick">
        <color rgb="FF000000"/>
      </bottom>
      <diagonal/>
    </border>
    <border>
      <left/>
      <right style="medium">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medium">
        <color rgb="FF000000"/>
      </right>
      <top/>
      <bottom style="thick">
        <color rgb="FF000000"/>
      </bottom>
      <diagonal/>
    </border>
    <border>
      <left/>
      <right style="thick">
        <color rgb="FF000000"/>
      </right>
      <top/>
      <bottom style="thick">
        <color rgb="FF000000"/>
      </bottom>
      <diagonal/>
    </border>
    <border>
      <left style="medium">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auto="1"/>
      </right>
      <top style="hair">
        <color auto="1"/>
      </top>
      <bottom style="thin">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style="thin">
        <color auto="1"/>
      </left>
      <right style="thin">
        <color auto="1"/>
      </right>
      <top style="hair">
        <color auto="1"/>
      </top>
      <bottom/>
      <diagonal/>
    </border>
    <border>
      <left/>
      <right style="medium">
        <color indexed="64"/>
      </right>
      <top style="hair">
        <color indexed="64"/>
      </top>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thin">
        <color auto="1"/>
      </left>
      <right style="thin">
        <color auto="1"/>
      </right>
      <top/>
      <bottom style="hair">
        <color auto="1"/>
      </bottom>
      <diagonal/>
    </border>
    <border>
      <left/>
      <right style="medium">
        <color indexed="64"/>
      </right>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auto="1"/>
      </top>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rgb="FFD0D7E5"/>
      </left>
      <right style="thin">
        <color rgb="FFD0D7E5"/>
      </right>
      <top style="thin">
        <color rgb="FFD0D7E5"/>
      </top>
      <bottom style="thin">
        <color rgb="FFD0D7E5"/>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hair">
        <color auto="1"/>
      </top>
      <bottom style="hair">
        <color auto="1"/>
      </bottom>
      <diagonal/>
    </border>
    <border>
      <left style="medium">
        <color auto="1"/>
      </left>
      <right style="thin">
        <color auto="1"/>
      </right>
      <top style="hair">
        <color auto="1"/>
      </top>
      <bottom style="hair">
        <color auto="1"/>
      </bottom>
      <diagonal/>
    </border>
    <border>
      <left style="thin">
        <color indexed="64"/>
      </left>
      <right style="medium">
        <color indexed="64"/>
      </right>
      <top/>
      <bottom/>
      <diagonal/>
    </border>
    <border>
      <left style="medium">
        <color indexed="64"/>
      </left>
      <right style="medium">
        <color indexed="64"/>
      </right>
      <top/>
      <bottom/>
      <diagonal/>
    </border>
    <border>
      <left/>
      <right/>
      <top style="thin">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medium">
        <color auto="1"/>
      </right>
      <top style="hair">
        <color auto="1"/>
      </top>
      <bottom style="medium">
        <color auto="1"/>
      </bottom>
      <diagonal/>
    </border>
    <border>
      <left style="thin">
        <color indexed="64"/>
      </left>
      <right style="thin">
        <color indexed="64"/>
      </right>
      <top style="hair">
        <color indexed="64"/>
      </top>
      <bottom style="medium">
        <color indexed="64"/>
      </bottom>
      <diagonal/>
    </border>
    <border>
      <left style="medium">
        <color auto="1"/>
      </left>
      <right style="thin">
        <color auto="1"/>
      </right>
      <top style="hair">
        <color auto="1"/>
      </top>
      <bottom style="medium">
        <color auto="1"/>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auto="1"/>
      </bottom>
      <diagonal/>
    </border>
    <border>
      <left style="thin">
        <color indexed="64"/>
      </left>
      <right style="medium">
        <color indexed="64"/>
      </right>
      <top/>
      <bottom style="hair">
        <color indexed="64"/>
      </bottom>
      <diagonal/>
    </border>
    <border>
      <left style="medium">
        <color indexed="64"/>
      </left>
      <right/>
      <top style="hair">
        <color auto="1"/>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auto="1"/>
      </left>
      <right style="medium">
        <color indexed="64"/>
      </right>
      <top style="medium">
        <color indexed="64"/>
      </top>
      <bottom/>
      <diagonal/>
    </border>
    <border>
      <left style="thin">
        <color auto="1"/>
      </left>
      <right style="thin">
        <color auto="1"/>
      </right>
      <top style="medium">
        <color indexed="64"/>
      </top>
      <bottom/>
      <diagonal/>
    </border>
    <border>
      <left style="medium">
        <color indexed="64"/>
      </left>
      <right style="thin">
        <color indexed="64"/>
      </right>
      <top/>
      <bottom/>
      <diagonal/>
    </border>
    <border>
      <left/>
      <right style="thin">
        <color auto="1"/>
      </right>
      <top style="medium">
        <color indexed="64"/>
      </top>
      <bottom/>
      <diagonal/>
    </border>
    <border>
      <left style="thin">
        <color auto="1"/>
      </left>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8"/>
      </left>
      <right style="thin">
        <color indexed="8"/>
      </right>
      <top/>
      <bottom/>
      <diagonal/>
    </border>
    <border>
      <left style="thin">
        <color indexed="8"/>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4F81BD"/>
      </left>
      <right/>
      <top/>
      <bottom/>
      <diagonal/>
    </border>
    <border>
      <left/>
      <right style="medium">
        <color rgb="FF4F81BD"/>
      </right>
      <top/>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right/>
      <top/>
      <bottom style="thin">
        <color indexed="64"/>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auto="1"/>
      </top>
      <bottom/>
      <diagonal/>
    </border>
    <border>
      <left style="thin">
        <color auto="1"/>
      </left>
      <right/>
      <top style="thin">
        <color auto="1"/>
      </top>
      <bottom/>
      <diagonal/>
    </border>
    <border>
      <left style="medium">
        <color indexed="64"/>
      </left>
      <right style="thin">
        <color indexed="64"/>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top style="thin">
        <color indexed="64"/>
      </top>
      <bottom/>
      <diagonal/>
    </border>
  </borders>
  <cellStyleXfs count="82">
    <xf numFmtId="0" fontId="0" fillId="0" borderId="0"/>
    <xf numFmtId="0" fontId="1" fillId="0" borderId="0"/>
    <xf numFmtId="0" fontId="2" fillId="0" borderId="0" applyProtection="0"/>
    <xf numFmtId="0" fontId="2" fillId="0" borderId="0" applyProtection="0"/>
    <xf numFmtId="0" fontId="1" fillId="0" borderId="0"/>
    <xf numFmtId="0" fontId="1" fillId="0" borderId="0"/>
    <xf numFmtId="0" fontId="1" fillId="0" borderId="0"/>
    <xf numFmtId="0" fontId="1" fillId="0" borderId="0"/>
    <xf numFmtId="167" fontId="25" fillId="0" borderId="0" applyFont="0" applyFill="0" applyBorder="0" applyAlignment="0" applyProtection="0"/>
    <xf numFmtId="166" fontId="25" fillId="0" borderId="0" applyFont="0" applyFill="0" applyBorder="0" applyAlignment="0" applyProtection="0"/>
    <xf numFmtId="9" fontId="25" fillId="0" borderId="0" applyFont="0" applyFill="0" applyBorder="0" applyAlignment="0" applyProtection="0"/>
    <xf numFmtId="0" fontId="1" fillId="0" borderId="0"/>
    <xf numFmtId="0" fontId="25" fillId="0" borderId="0"/>
    <xf numFmtId="170" fontId="42" fillId="0" borderId="0"/>
    <xf numFmtId="167" fontId="1" fillId="0" borderId="0" applyFont="0" applyFill="0" applyBorder="0" applyAlignment="0" applyProtection="0"/>
    <xf numFmtId="0" fontId="4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applyFont="0" applyFill="0" applyBorder="0" applyAlignment="0" applyProtection="0"/>
    <xf numFmtId="0" fontId="49" fillId="0" borderId="0">
      <protection locked="0"/>
    </xf>
    <xf numFmtId="0" fontId="50" fillId="0" borderId="0">
      <protection locked="0"/>
    </xf>
    <xf numFmtId="0" fontId="49" fillId="0" borderId="0">
      <protection locked="0"/>
    </xf>
    <xf numFmtId="0" fontId="49" fillId="0" borderId="0">
      <protection locked="0"/>
    </xf>
    <xf numFmtId="0" fontId="50" fillId="0" borderId="0">
      <protection locked="0"/>
    </xf>
    <xf numFmtId="0" fontId="49" fillId="0" borderId="0">
      <protection locked="0"/>
    </xf>
    <xf numFmtId="0" fontId="51" fillId="0" borderId="90" applyNumberFormat="0" applyFill="0" applyBorder="0" applyAlignment="0">
      <alignment horizontal="centerContinuous"/>
    </xf>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1" fillId="0" borderId="0"/>
    <xf numFmtId="0" fontId="17" fillId="0" borderId="0">
      <alignment vertical="top"/>
    </xf>
    <xf numFmtId="0" fontId="57" fillId="0" borderId="0">
      <alignment vertical="top"/>
    </xf>
    <xf numFmtId="167" fontId="17" fillId="0" borderId="0" applyFont="0" applyFill="0" applyBorder="0" applyAlignment="0" applyProtection="0"/>
    <xf numFmtId="0" fontId="25" fillId="0" borderId="0"/>
    <xf numFmtId="0" fontId="56" fillId="20" borderId="0" applyNumberFormat="0" applyBorder="0" applyAlignment="0" applyProtection="0"/>
    <xf numFmtId="0" fontId="56" fillId="21" borderId="0" applyNumberFormat="0" applyBorder="0" applyAlignment="0" applyProtection="0"/>
    <xf numFmtId="0" fontId="55" fillId="19" borderId="94" applyNumberFormat="0" applyAlignment="0" applyProtection="0"/>
    <xf numFmtId="167" fontId="6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0" fontId="17" fillId="0" borderId="0" applyFont="0" applyFill="0" applyBorder="0" applyAlignment="0" applyProtection="0"/>
    <xf numFmtId="0" fontId="17" fillId="0" borderId="0">
      <alignment vertical="top"/>
    </xf>
    <xf numFmtId="0" fontId="17" fillId="0" borderId="0">
      <alignment vertical="top"/>
    </xf>
    <xf numFmtId="0" fontId="17" fillId="0" borderId="0">
      <alignment vertical="top"/>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62" fillId="0" borderId="0">
      <alignment horizontal="center"/>
    </xf>
    <xf numFmtId="172" fontId="25" fillId="0" borderId="0"/>
    <xf numFmtId="172" fontId="2" fillId="0" borderId="0" applyProtection="0"/>
    <xf numFmtId="167" fontId="25" fillId="0" borderId="0" applyFont="0" applyFill="0" applyBorder="0" applyAlignment="0" applyProtection="0"/>
    <xf numFmtId="166" fontId="25" fillId="0" borderId="0" applyFont="0" applyFill="0" applyBorder="0" applyAlignment="0" applyProtection="0"/>
    <xf numFmtId="0" fontId="17" fillId="0" borderId="0">
      <alignment vertical="top"/>
    </xf>
    <xf numFmtId="0" fontId="119" fillId="0" borderId="0"/>
    <xf numFmtId="0" fontId="1" fillId="0" borderId="0"/>
    <xf numFmtId="167" fontId="25" fillId="0" borderId="0" applyFont="0" applyFill="0" applyBorder="0" applyAlignment="0" applyProtection="0"/>
    <xf numFmtId="166" fontId="25" fillId="0" borderId="0" applyFont="0" applyFill="0" applyBorder="0" applyAlignment="0" applyProtection="0"/>
    <xf numFmtId="43" fontId="25" fillId="0" borderId="0" applyFont="0" applyFill="0" applyBorder="0" applyAlignment="0" applyProtection="0"/>
    <xf numFmtId="0" fontId="126" fillId="0" borderId="0"/>
    <xf numFmtId="43" fontId="126"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135" fillId="0" borderId="0" applyNumberFormat="0" applyFill="0" applyBorder="0" applyAlignment="0" applyProtection="0"/>
  </cellStyleXfs>
  <cellXfs count="2511">
    <xf numFmtId="0" fontId="0" fillId="0" borderId="0" xfId="0"/>
    <xf numFmtId="0" fontId="1" fillId="0" borderId="3" xfId="0" applyFont="1" applyBorder="1" applyAlignment="1">
      <alignment horizontal="left" vertical="center"/>
    </xf>
    <xf numFmtId="0" fontId="1" fillId="0" borderId="15" xfId="0" applyFont="1" applyBorder="1" applyAlignment="1">
      <alignment horizontal="left" vertical="center"/>
    </xf>
    <xf numFmtId="0" fontId="1" fillId="0" borderId="1" xfId="0" applyFont="1" applyBorder="1" applyAlignment="1">
      <alignment horizontal="left" vertical="center"/>
    </xf>
    <xf numFmtId="0" fontId="9" fillId="0" borderId="25" xfId="0" applyFont="1" applyBorder="1" applyAlignment="1">
      <alignment horizontal="center"/>
    </xf>
    <xf numFmtId="0" fontId="3" fillId="0" borderId="28" xfId="0" applyFont="1" applyBorder="1" applyAlignment="1">
      <alignment vertical="top"/>
    </xf>
    <xf numFmtId="0" fontId="3" fillId="0" borderId="31" xfId="0" applyFont="1" applyBorder="1" applyAlignment="1">
      <alignment vertical="top"/>
    </xf>
    <xf numFmtId="0" fontId="0" fillId="0" borderId="0" xfId="0" applyAlignment="1">
      <alignment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11" fillId="0" borderId="29" xfId="0" applyFont="1" applyBorder="1" applyAlignment="1">
      <alignment vertical="center" wrapText="1"/>
    </xf>
    <xf numFmtId="0" fontId="11" fillId="0" borderId="30" xfId="0" applyFont="1" applyBorder="1" applyAlignment="1">
      <alignment vertical="center" wrapText="1"/>
    </xf>
    <xf numFmtId="0" fontId="12" fillId="0" borderId="29" xfId="0" applyFont="1" applyBorder="1" applyAlignment="1">
      <alignment vertical="center" wrapText="1"/>
    </xf>
    <xf numFmtId="0" fontId="13" fillId="0" borderId="30" xfId="0" applyFont="1" applyBorder="1" applyAlignment="1">
      <alignment vertical="center" wrapText="1"/>
    </xf>
    <xf numFmtId="0" fontId="13" fillId="0" borderId="29" xfId="0" applyFont="1" applyBorder="1" applyAlignment="1">
      <alignment vertical="center" wrapText="1"/>
    </xf>
    <xf numFmtId="0" fontId="12" fillId="0" borderId="30" xfId="0" applyFont="1" applyBorder="1" applyAlignment="1">
      <alignment vertical="center" wrapText="1"/>
    </xf>
    <xf numFmtId="0" fontId="11" fillId="0" borderId="32" xfId="0" applyFont="1" applyBorder="1" applyAlignment="1">
      <alignment vertical="center" wrapText="1"/>
    </xf>
    <xf numFmtId="0" fontId="13" fillId="0" borderId="33" xfId="0" applyFont="1" applyBorder="1" applyAlignment="1">
      <alignment vertical="center" wrapText="1"/>
    </xf>
    <xf numFmtId="0" fontId="0" fillId="0" borderId="0" xfId="0" applyAlignment="1">
      <alignment vertical="center" wrapText="1"/>
    </xf>
    <xf numFmtId="0" fontId="13" fillId="0" borderId="29" xfId="0" applyFont="1" applyBorder="1" applyAlignment="1">
      <alignment vertical="center"/>
    </xf>
    <xf numFmtId="0" fontId="11" fillId="0" borderId="29" xfId="0" applyFont="1" applyBorder="1" applyAlignment="1">
      <alignment vertical="center"/>
    </xf>
    <xf numFmtId="0" fontId="13" fillId="0" borderId="30" xfId="0" applyFont="1" applyBorder="1" applyAlignment="1">
      <alignment vertical="center"/>
    </xf>
    <xf numFmtId="0" fontId="12" fillId="0" borderId="30" xfId="0" applyFont="1" applyBorder="1" applyAlignment="1">
      <alignment vertical="center"/>
    </xf>
    <xf numFmtId="0" fontId="11" fillId="0" borderId="30" xfId="0" applyFont="1" applyBorder="1" applyAlignment="1">
      <alignment vertical="center"/>
    </xf>
    <xf numFmtId="0" fontId="12" fillId="0" borderId="29" xfId="0" applyFont="1" applyBorder="1" applyAlignment="1">
      <alignment vertical="center"/>
    </xf>
    <xf numFmtId="0" fontId="11" fillId="0" borderId="32" xfId="0" applyFont="1" applyBorder="1" applyAlignment="1">
      <alignment vertical="center"/>
    </xf>
    <xf numFmtId="0" fontId="11" fillId="0" borderId="33" xfId="0" applyFont="1" applyBorder="1" applyAlignment="1">
      <alignment vertical="center"/>
    </xf>
    <xf numFmtId="0" fontId="3" fillId="0" borderId="28" xfId="0" applyFont="1" applyBorder="1" applyAlignment="1">
      <alignment vertical="center"/>
    </xf>
    <xf numFmtId="0" fontId="0" fillId="0" borderId="40" xfId="0" applyBorder="1"/>
    <xf numFmtId="0" fontId="1" fillId="0" borderId="41" xfId="0" applyFont="1" applyBorder="1" applyAlignment="1">
      <alignment horizontal="left" vertical="center"/>
    </xf>
    <xf numFmtId="0" fontId="1" fillId="0" borderId="40" xfId="0" applyFont="1" applyBorder="1" applyAlignment="1">
      <alignment vertical="center"/>
    </xf>
    <xf numFmtId="0" fontId="1" fillId="0" borderId="40" xfId="0" applyFont="1" applyBorder="1" applyAlignment="1">
      <alignment horizontal="left" vertical="center"/>
    </xf>
    <xf numFmtId="0" fontId="1" fillId="2" borderId="39" xfId="0" applyFont="1" applyFill="1" applyBorder="1" applyAlignment="1">
      <alignment horizontal="left" vertical="center"/>
    </xf>
    <xf numFmtId="0" fontId="1" fillId="4" borderId="11" xfId="0" applyFont="1" applyFill="1" applyBorder="1" applyAlignment="1">
      <alignment horizontal="left" vertical="center"/>
    </xf>
    <xf numFmtId="0" fontId="1" fillId="4" borderId="39" xfId="0" applyFont="1" applyFill="1" applyBorder="1" applyAlignment="1">
      <alignment horizontal="left" vertical="center"/>
    </xf>
    <xf numFmtId="0" fontId="1" fillId="4" borderId="42" xfId="0" applyFont="1" applyFill="1" applyBorder="1" applyAlignment="1">
      <alignment horizontal="left" vertical="center"/>
    </xf>
    <xf numFmtId="0" fontId="1" fillId="3" borderId="19" xfId="0" applyFont="1" applyFill="1" applyBorder="1" applyAlignment="1">
      <alignment horizontal="left" vertical="center"/>
    </xf>
    <xf numFmtId="0" fontId="1" fillId="0" borderId="19" xfId="0" applyFont="1" applyBorder="1" applyAlignment="1">
      <alignment horizontal="left" vertical="center"/>
    </xf>
    <xf numFmtId="0" fontId="1" fillId="0" borderId="18" xfId="0" applyFont="1" applyBorder="1" applyAlignment="1">
      <alignment horizontal="left" vertical="center"/>
    </xf>
    <xf numFmtId="0" fontId="1" fillId="3" borderId="1" xfId="0" applyFont="1" applyFill="1" applyBorder="1" applyAlignment="1">
      <alignment horizontal="left" vertical="center"/>
    </xf>
    <xf numFmtId="0" fontId="1" fillId="4" borderId="13" xfId="0" applyFont="1" applyFill="1" applyBorder="1" applyAlignment="1">
      <alignment horizontal="left" vertical="center"/>
    </xf>
    <xf numFmtId="0" fontId="1" fillId="2" borderId="13" xfId="0" applyFont="1" applyFill="1" applyBorder="1" applyAlignment="1">
      <alignment horizontal="left" vertical="center"/>
    </xf>
    <xf numFmtId="0" fontId="17" fillId="3" borderId="4" xfId="0" applyFont="1" applyFill="1" applyBorder="1" applyAlignment="1">
      <alignment horizontal="left" vertical="center"/>
    </xf>
    <xf numFmtId="0" fontId="17" fillId="3" borderId="3" xfId="0" applyFont="1" applyFill="1" applyBorder="1" applyAlignment="1">
      <alignment horizontal="left" vertical="center"/>
    </xf>
    <xf numFmtId="0" fontId="17" fillId="3" borderId="15" xfId="0" applyFont="1" applyFill="1" applyBorder="1" applyAlignment="1">
      <alignment horizontal="left" vertical="center"/>
    </xf>
    <xf numFmtId="0" fontId="17" fillId="3" borderId="19" xfId="0" applyFont="1" applyFill="1" applyBorder="1" applyAlignment="1">
      <alignment horizontal="left" vertical="center"/>
    </xf>
    <xf numFmtId="0" fontId="17" fillId="0" borderId="4" xfId="0" applyFont="1" applyBorder="1" applyAlignment="1">
      <alignment horizontal="left" vertical="center"/>
    </xf>
    <xf numFmtId="0" fontId="17" fillId="0" borderId="3" xfId="0" applyFont="1" applyBorder="1" applyAlignment="1">
      <alignment horizontal="left" vertical="center"/>
    </xf>
    <xf numFmtId="0" fontId="17" fillId="0" borderId="15" xfId="0" applyFont="1" applyBorder="1" applyAlignment="1">
      <alignment horizontal="left" vertical="center"/>
    </xf>
    <xf numFmtId="0" fontId="17" fillId="0" borderId="19" xfId="0" applyFont="1" applyBorder="1" applyAlignment="1">
      <alignment horizontal="left" vertical="center"/>
    </xf>
    <xf numFmtId="0" fontId="17" fillId="0" borderId="6" xfId="0" applyFont="1" applyBorder="1" applyAlignment="1">
      <alignment horizontal="left" vertical="center"/>
    </xf>
    <xf numFmtId="0" fontId="17" fillId="0" borderId="5" xfId="0" applyFont="1" applyBorder="1" applyAlignment="1">
      <alignment horizontal="left" vertical="center"/>
    </xf>
    <xf numFmtId="0" fontId="17" fillId="0" borderId="16" xfId="0" applyFont="1" applyBorder="1" applyAlignment="1">
      <alignment horizontal="left" vertical="center"/>
    </xf>
    <xf numFmtId="0" fontId="17" fillId="0" borderId="14" xfId="0" applyFont="1" applyBorder="1" applyAlignment="1">
      <alignment horizontal="left" vertical="center"/>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18" fillId="0" borderId="14"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7" fillId="2" borderId="11" xfId="0" applyFont="1" applyFill="1" applyBorder="1" applyAlignment="1">
      <alignment horizontal="left" vertical="center"/>
    </xf>
    <xf numFmtId="0" fontId="17" fillId="2" borderId="42" xfId="0" applyFont="1" applyFill="1" applyBorder="1" applyAlignment="1">
      <alignment horizontal="left" vertical="center"/>
    </xf>
    <xf numFmtId="0" fontId="17" fillId="4" borderId="11" xfId="0" applyFont="1" applyFill="1" applyBorder="1" applyAlignment="1">
      <alignment horizontal="left" vertical="center"/>
    </xf>
    <xf numFmtId="0" fontId="17" fillId="4" borderId="42" xfId="0" applyFont="1" applyFill="1" applyBorder="1" applyAlignment="1">
      <alignment horizontal="left" vertical="center"/>
    </xf>
    <xf numFmtId="0" fontId="18" fillId="4" borderId="11" xfId="0" applyFont="1" applyFill="1" applyBorder="1" applyAlignment="1">
      <alignment horizontal="left" vertical="center"/>
    </xf>
    <xf numFmtId="0" fontId="17" fillId="0" borderId="0" xfId="0" applyFont="1" applyAlignment="1">
      <alignment vertical="center"/>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7" xfId="0" applyFont="1" applyBorder="1" applyAlignment="1">
      <alignment horizontal="left" vertical="center"/>
    </xf>
    <xf numFmtId="0" fontId="17" fillId="0" borderId="0" xfId="0" applyFont="1" applyAlignment="1">
      <alignment horizontal="left" vertical="center"/>
    </xf>
    <xf numFmtId="0" fontId="18" fillId="0" borderId="16" xfId="0" applyFont="1" applyBorder="1" applyAlignment="1">
      <alignment horizontal="left" vertical="center"/>
    </xf>
    <xf numFmtId="0" fontId="17" fillId="3" borderId="22" xfId="0" applyFont="1" applyFill="1" applyBorder="1" applyAlignment="1">
      <alignment horizontal="left" vertical="center"/>
    </xf>
    <xf numFmtId="0" fontId="17" fillId="3" borderId="23" xfId="0" applyFont="1" applyFill="1" applyBorder="1" applyAlignment="1">
      <alignment horizontal="left" vertical="center"/>
    </xf>
    <xf numFmtId="0" fontId="17" fillId="3" borderId="24" xfId="0" applyFont="1" applyFill="1" applyBorder="1" applyAlignment="1">
      <alignment horizontal="left" vertical="center"/>
    </xf>
    <xf numFmtId="0" fontId="17" fillId="3" borderId="1" xfId="0" applyFont="1" applyFill="1" applyBorder="1" applyAlignment="1">
      <alignment horizontal="left" vertical="center"/>
    </xf>
    <xf numFmtId="0" fontId="17" fillId="5" borderId="18" xfId="0" applyFont="1" applyFill="1" applyBorder="1" applyAlignment="1">
      <alignment horizontal="left" vertical="center"/>
    </xf>
    <xf numFmtId="0" fontId="17" fillId="0" borderId="18" xfId="0" applyFont="1" applyBorder="1" applyAlignment="1">
      <alignment horizontal="left" vertical="center" wrapText="1"/>
    </xf>
    <xf numFmtId="0" fontId="8" fillId="0" borderId="10" xfId="0" applyFont="1" applyBorder="1" applyAlignment="1">
      <alignment horizontal="center" vertical="center" wrapText="1"/>
    </xf>
    <xf numFmtId="0" fontId="1" fillId="4" borderId="11" xfId="0" applyFont="1" applyFill="1" applyBorder="1" applyAlignment="1">
      <alignment horizontal="left" vertical="center" wrapText="1"/>
    </xf>
    <xf numFmtId="0" fontId="1" fillId="4" borderId="13" xfId="0" applyFont="1" applyFill="1" applyBorder="1" applyAlignment="1">
      <alignment horizontal="left" vertical="center" wrapText="1"/>
    </xf>
    <xf numFmtId="0" fontId="1" fillId="0" borderId="1" xfId="0" applyFont="1" applyBorder="1" applyAlignment="1">
      <alignment horizontal="left" vertical="center" wrapText="1"/>
    </xf>
    <xf numFmtId="0" fontId="1" fillId="3" borderId="19" xfId="0" applyFont="1" applyFill="1" applyBorder="1" applyAlignment="1">
      <alignment horizontal="left" vertical="center" wrapText="1"/>
    </xf>
    <xf numFmtId="0" fontId="1" fillId="0" borderId="19" xfId="0" applyFont="1" applyBorder="1" applyAlignment="1">
      <alignment horizontal="left" vertical="center" wrapText="1"/>
    </xf>
    <xf numFmtId="0" fontId="17" fillId="0" borderId="19" xfId="0" applyFont="1" applyBorder="1" applyAlignment="1">
      <alignment horizontal="left" vertical="center" wrapText="1"/>
    </xf>
    <xf numFmtId="0" fontId="17" fillId="3" borderId="19" xfId="0" applyFont="1" applyFill="1" applyBorder="1" applyAlignment="1">
      <alignment horizontal="left" vertical="center" wrapText="1"/>
    </xf>
    <xf numFmtId="0" fontId="17" fillId="6" borderId="19" xfId="0" applyFont="1" applyFill="1" applyBorder="1" applyAlignment="1">
      <alignment horizontal="left" vertical="center"/>
    </xf>
    <xf numFmtId="0" fontId="17" fillId="0" borderId="44" xfId="0" applyFont="1" applyBorder="1" applyAlignment="1">
      <alignment horizontal="left" vertical="center" wrapText="1"/>
    </xf>
    <xf numFmtId="0" fontId="17" fillId="2" borderId="13" xfId="0" applyFont="1" applyFill="1" applyBorder="1" applyAlignment="1">
      <alignment horizontal="left" vertical="center" wrapText="1"/>
    </xf>
    <xf numFmtId="0" fontId="17" fillId="4" borderId="13" xfId="0" applyFont="1" applyFill="1" applyBorder="1" applyAlignment="1">
      <alignment horizontal="left" vertical="center" wrapText="1"/>
    </xf>
    <xf numFmtId="0" fontId="17" fillId="6" borderId="18" xfId="0" applyFont="1" applyFill="1" applyBorder="1" applyAlignment="1">
      <alignment horizontal="left" vertical="center"/>
    </xf>
    <xf numFmtId="0" fontId="17" fillId="5" borderId="19" xfId="0" applyFont="1" applyFill="1" applyBorder="1" applyAlignment="1">
      <alignment horizontal="left" vertical="center"/>
    </xf>
    <xf numFmtId="0" fontId="17" fillId="3" borderId="1" xfId="0" applyFont="1" applyFill="1" applyBorder="1" applyAlignment="1">
      <alignment horizontal="left" vertical="center" wrapText="1"/>
    </xf>
    <xf numFmtId="0" fontId="17" fillId="7" borderId="18" xfId="0" applyFont="1" applyFill="1" applyBorder="1" applyAlignment="1">
      <alignment horizontal="left" vertical="center"/>
    </xf>
    <xf numFmtId="0" fontId="17" fillId="8" borderId="18" xfId="0" applyFont="1" applyFill="1" applyBorder="1" applyAlignment="1">
      <alignment horizontal="left" vertical="center"/>
    </xf>
    <xf numFmtId="0" fontId="17" fillId="9" borderId="18" xfId="0" applyFont="1" applyFill="1" applyBorder="1" applyAlignment="1">
      <alignment horizontal="left" vertical="center"/>
    </xf>
    <xf numFmtId="0" fontId="17" fillId="9" borderId="18" xfId="0" applyFont="1" applyFill="1" applyBorder="1" applyAlignment="1">
      <alignment horizontal="left" vertical="center" wrapText="1"/>
    </xf>
    <xf numFmtId="0" fontId="17" fillId="8" borderId="19" xfId="0" applyFont="1" applyFill="1" applyBorder="1" applyAlignment="1">
      <alignment horizontal="left" vertical="center"/>
    </xf>
    <xf numFmtId="0" fontId="17" fillId="0" borderId="46" xfId="0" applyFont="1" applyBorder="1" applyAlignment="1">
      <alignment horizontal="left" vertical="center"/>
    </xf>
    <xf numFmtId="0" fontId="17" fillId="0" borderId="47" xfId="0" applyFont="1" applyBorder="1" applyAlignment="1">
      <alignment horizontal="left" vertical="center"/>
    </xf>
    <xf numFmtId="0" fontId="17" fillId="0" borderId="48" xfId="0" applyFont="1" applyBorder="1" applyAlignment="1">
      <alignment horizontal="left" vertical="center"/>
    </xf>
    <xf numFmtId="0" fontId="17" fillId="0" borderId="49" xfId="0" applyFont="1" applyBorder="1" applyAlignment="1">
      <alignment horizontal="left" vertical="center"/>
    </xf>
    <xf numFmtId="0" fontId="17" fillId="0" borderId="50" xfId="0" applyFont="1" applyBorder="1" applyAlignment="1">
      <alignment horizontal="left" vertical="center" wrapText="1"/>
    </xf>
    <xf numFmtId="0" fontId="17" fillId="6" borderId="50" xfId="0" applyFont="1" applyFill="1" applyBorder="1" applyAlignment="1">
      <alignment horizontal="left" vertical="center"/>
    </xf>
    <xf numFmtId="0" fontId="1" fillId="0" borderId="50" xfId="0" applyFont="1" applyBorder="1" applyAlignment="1">
      <alignment horizontal="left" vertical="center"/>
    </xf>
    <xf numFmtId="0" fontId="1" fillId="0" borderId="51" xfId="0" applyFont="1" applyBorder="1" applyAlignment="1">
      <alignment horizontal="left" vertical="center"/>
    </xf>
    <xf numFmtId="0" fontId="18" fillId="0" borderId="54" xfId="0" applyFont="1" applyBorder="1" applyAlignment="1">
      <alignment horizontal="left" vertical="center"/>
    </xf>
    <xf numFmtId="0" fontId="18" fillId="0" borderId="53" xfId="0" applyFont="1" applyBorder="1" applyAlignment="1">
      <alignment horizontal="left" vertical="center"/>
    </xf>
    <xf numFmtId="0" fontId="17" fillId="0" borderId="54" xfId="0" applyFont="1" applyBorder="1" applyAlignment="1">
      <alignment horizontal="left" vertical="center"/>
    </xf>
    <xf numFmtId="0" fontId="17" fillId="0" borderId="55" xfId="0" applyFont="1" applyBorder="1" applyAlignment="1">
      <alignment horizontal="left" vertical="center"/>
    </xf>
    <xf numFmtId="0" fontId="18" fillId="0" borderId="56" xfId="0" applyFont="1" applyBorder="1" applyAlignment="1">
      <alignment horizontal="left" vertical="center"/>
    </xf>
    <xf numFmtId="0" fontId="17" fillId="0" borderId="57" xfId="0" applyFont="1" applyBorder="1" applyAlignment="1">
      <alignment horizontal="left" vertical="center" wrapText="1"/>
    </xf>
    <xf numFmtId="0" fontId="17" fillId="6" borderId="57" xfId="0" applyFont="1" applyFill="1" applyBorder="1" applyAlignment="1">
      <alignment horizontal="left" vertical="center"/>
    </xf>
    <xf numFmtId="0" fontId="1" fillId="0" borderId="57" xfId="0" applyFont="1" applyBorder="1" applyAlignment="1">
      <alignment horizontal="left" vertical="center"/>
    </xf>
    <xf numFmtId="0" fontId="1" fillId="0" borderId="58" xfId="0" applyFont="1" applyBorder="1" applyAlignment="1">
      <alignment horizontal="left" vertical="center"/>
    </xf>
    <xf numFmtId="0" fontId="17" fillId="8" borderId="50" xfId="0" applyFont="1" applyFill="1" applyBorder="1" applyAlignment="1">
      <alignment horizontal="left" vertical="center"/>
    </xf>
    <xf numFmtId="0" fontId="17" fillId="0" borderId="60" xfId="0" applyFont="1" applyBorder="1" applyAlignment="1">
      <alignment horizontal="left" vertical="center"/>
    </xf>
    <xf numFmtId="0" fontId="17" fillId="0" borderId="61" xfId="0" applyFont="1" applyBorder="1" applyAlignment="1">
      <alignment horizontal="left" vertical="center"/>
    </xf>
    <xf numFmtId="0" fontId="17" fillId="0" borderId="62" xfId="0" applyFont="1" applyBorder="1" applyAlignment="1">
      <alignment horizontal="left" vertical="center"/>
    </xf>
    <xf numFmtId="0" fontId="17" fillId="0" borderId="63" xfId="0" applyFont="1" applyBorder="1" applyAlignment="1">
      <alignment horizontal="left" vertical="center"/>
    </xf>
    <xf numFmtId="0" fontId="17" fillId="8" borderId="64" xfId="0" applyFont="1" applyFill="1" applyBorder="1" applyAlignment="1">
      <alignment horizontal="left" vertical="center"/>
    </xf>
    <xf numFmtId="0" fontId="17" fillId="0" borderId="64" xfId="0" applyFont="1" applyBorder="1" applyAlignment="1">
      <alignment horizontal="left" vertical="center" wrapText="1"/>
    </xf>
    <xf numFmtId="0" fontId="1" fillId="0" borderId="64" xfId="0" applyFont="1" applyBorder="1" applyAlignment="1">
      <alignment horizontal="left" vertical="center"/>
    </xf>
    <xf numFmtId="0" fontId="1" fillId="0" borderId="65" xfId="0" applyFont="1" applyBorder="1" applyAlignment="1">
      <alignment horizontal="left" vertical="center"/>
    </xf>
    <xf numFmtId="0" fontId="1" fillId="4" borderId="42" xfId="0" applyFont="1" applyFill="1" applyBorder="1" applyAlignment="1">
      <alignment horizontal="left" vertical="center" wrapText="1"/>
    </xf>
    <xf numFmtId="0" fontId="1" fillId="0" borderId="43" xfId="0" applyFont="1" applyBorder="1" applyAlignment="1">
      <alignment horizontal="left" vertical="center" wrapText="1"/>
    </xf>
    <xf numFmtId="0" fontId="17" fillId="2" borderId="42" xfId="0" applyFont="1" applyFill="1" applyBorder="1" applyAlignment="1">
      <alignment horizontal="left" vertical="center" wrapText="1"/>
    </xf>
    <xf numFmtId="0" fontId="17" fillId="4" borderId="42" xfId="0" applyFont="1" applyFill="1" applyBorder="1" applyAlignment="1">
      <alignment horizontal="left" vertical="center" wrapText="1"/>
    </xf>
    <xf numFmtId="0" fontId="17" fillId="0" borderId="15" xfId="0" applyFont="1" applyBorder="1" applyAlignment="1">
      <alignment horizontal="left" vertical="center" wrapText="1"/>
    </xf>
    <xf numFmtId="0" fontId="17" fillId="9" borderId="64" xfId="0" applyFont="1" applyFill="1" applyBorder="1" applyAlignment="1">
      <alignment horizontal="left" vertical="center" wrapText="1"/>
    </xf>
    <xf numFmtId="0" fontId="7" fillId="0" borderId="0" xfId="0" applyFont="1" applyAlignment="1">
      <alignment horizontal="left" vertical="center"/>
    </xf>
    <xf numFmtId="0" fontId="10" fillId="0" borderId="2" xfId="0" applyFont="1" applyBorder="1" applyAlignment="1">
      <alignment horizontal="left" vertical="center"/>
    </xf>
    <xf numFmtId="0" fontId="8" fillId="0" borderId="10" xfId="0" applyFont="1" applyBorder="1" applyAlignment="1">
      <alignment horizontal="center" vertical="center"/>
    </xf>
    <xf numFmtId="0" fontId="6" fillId="4" borderId="9" xfId="0" applyFont="1" applyFill="1" applyBorder="1" applyAlignment="1">
      <alignment horizontal="left" vertical="center"/>
    </xf>
    <xf numFmtId="0" fontId="6" fillId="4" borderId="11" xfId="0" applyFont="1" applyFill="1" applyBorder="1" applyAlignment="1">
      <alignment horizontal="left" vertical="center"/>
    </xf>
    <xf numFmtId="0" fontId="17" fillId="3" borderId="7" xfId="0" applyFont="1" applyFill="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9" fillId="2" borderId="9" xfId="0" applyFont="1" applyFill="1" applyBorder="1" applyAlignment="1">
      <alignment horizontal="left" vertical="center"/>
    </xf>
    <xf numFmtId="0" fontId="19" fillId="2" borderId="11" xfId="0" applyFont="1" applyFill="1" applyBorder="1" applyAlignment="1">
      <alignment horizontal="left" vertical="center"/>
    </xf>
    <xf numFmtId="0" fontId="19" fillId="4" borderId="9" xfId="0" applyFont="1" applyFill="1" applyBorder="1" applyAlignment="1">
      <alignment horizontal="left" vertical="center"/>
    </xf>
    <xf numFmtId="0" fontId="19" fillId="4" borderId="11" xfId="0" applyFont="1" applyFill="1" applyBorder="1" applyAlignment="1">
      <alignment horizontal="left" vertical="center"/>
    </xf>
    <xf numFmtId="0" fontId="20" fillId="4" borderId="11" xfId="0" applyFont="1" applyFill="1" applyBorder="1" applyAlignment="1">
      <alignment horizontal="left" vertical="center"/>
    </xf>
    <xf numFmtId="0" fontId="17" fillId="0" borderId="34" xfId="0" applyFont="1" applyBorder="1" applyAlignment="1">
      <alignment horizontal="left" vertical="center"/>
    </xf>
    <xf numFmtId="0" fontId="17" fillId="3" borderId="21" xfId="0" applyFont="1" applyFill="1" applyBorder="1" applyAlignment="1">
      <alignment horizontal="left" vertical="center"/>
    </xf>
    <xf numFmtId="0" fontId="21" fillId="0" borderId="2" xfId="0" applyFont="1" applyBorder="1" applyAlignment="1">
      <alignment horizontal="left" vertical="center"/>
    </xf>
    <xf numFmtId="0" fontId="17" fillId="0" borderId="45" xfId="0" applyFont="1" applyBorder="1" applyAlignment="1">
      <alignment horizontal="left" vertical="center"/>
    </xf>
    <xf numFmtId="0" fontId="17" fillId="0" borderId="52" xfId="0" applyFont="1" applyBorder="1" applyAlignment="1">
      <alignment horizontal="left" vertical="center"/>
    </xf>
    <xf numFmtId="0" fontId="17" fillId="0" borderId="53" xfId="0" applyFont="1" applyBorder="1" applyAlignment="1">
      <alignment horizontal="left" vertical="center"/>
    </xf>
    <xf numFmtId="0" fontId="17" fillId="0" borderId="59" xfId="0" applyFont="1" applyBorder="1" applyAlignment="1">
      <alignment horizontal="left" vertical="center"/>
    </xf>
    <xf numFmtId="0" fontId="17" fillId="0" borderId="1" xfId="0" applyFont="1" applyBorder="1" applyAlignment="1">
      <alignment horizontal="left" vertical="center" wrapText="1"/>
    </xf>
    <xf numFmtId="0" fontId="17" fillId="7" borderId="64" xfId="0" applyFont="1" applyFill="1" applyBorder="1" applyAlignment="1">
      <alignment horizontal="left" vertical="center"/>
    </xf>
    <xf numFmtId="0" fontId="17" fillId="9" borderId="57" xfId="0" applyFont="1" applyFill="1" applyBorder="1" applyAlignment="1">
      <alignment horizontal="left" vertical="center" wrapText="1"/>
    </xf>
    <xf numFmtId="0" fontId="17" fillId="9" borderId="50" xfId="0" applyFont="1" applyFill="1" applyBorder="1" applyAlignment="1">
      <alignment horizontal="left" vertical="center" wrapText="1"/>
    </xf>
    <xf numFmtId="0" fontId="17" fillId="9" borderId="19" xfId="0" applyFont="1" applyFill="1" applyBorder="1" applyAlignment="1">
      <alignment horizontal="left" vertical="center" wrapText="1"/>
    </xf>
    <xf numFmtId="0" fontId="17" fillId="7" borderId="44" xfId="0" applyFont="1" applyFill="1" applyBorder="1" applyAlignment="1">
      <alignment horizontal="left" vertical="center"/>
    </xf>
    <xf numFmtId="0" fontId="8" fillId="0" borderId="38" xfId="0" applyFont="1" applyBorder="1" applyAlignment="1">
      <alignment horizontal="center" vertical="center" wrapText="1"/>
    </xf>
    <xf numFmtId="0" fontId="23" fillId="3" borderId="4" xfId="0" applyFont="1" applyFill="1" applyBorder="1" applyAlignment="1">
      <alignment horizontal="left" vertical="center"/>
    </xf>
    <xf numFmtId="0" fontId="23" fillId="3" borderId="3" xfId="0" applyFont="1" applyFill="1" applyBorder="1" applyAlignment="1">
      <alignment horizontal="left" vertical="center"/>
    </xf>
    <xf numFmtId="0" fontId="24" fillId="0" borderId="0" xfId="0" applyFont="1"/>
    <xf numFmtId="0" fontId="24" fillId="0" borderId="0" xfId="0" applyFont="1" applyAlignment="1">
      <alignment wrapText="1"/>
    </xf>
    <xf numFmtId="165" fontId="0" fillId="0" borderId="0" xfId="0" applyNumberFormat="1"/>
    <xf numFmtId="0" fontId="0" fillId="0" borderId="0" xfId="0" applyAlignment="1">
      <alignment horizontal="right"/>
    </xf>
    <xf numFmtId="165" fontId="0" fillId="0" borderId="0" xfId="0" applyNumberFormat="1" applyAlignment="1">
      <alignment horizontal="right"/>
    </xf>
    <xf numFmtId="0" fontId="24" fillId="0" borderId="0" xfId="0" applyFont="1" applyAlignment="1">
      <alignment horizontal="center" wrapText="1"/>
    </xf>
    <xf numFmtId="0" fontId="24" fillId="0" borderId="0" xfId="0" applyFont="1" applyAlignment="1">
      <alignment vertical="top" wrapText="1"/>
    </xf>
    <xf numFmtId="167" fontId="0" fillId="0" borderId="0" xfId="8" applyFont="1"/>
    <xf numFmtId="167" fontId="0" fillId="0" borderId="0" xfId="0" applyNumberFormat="1"/>
    <xf numFmtId="167" fontId="24" fillId="0" borderId="0" xfId="8" applyFont="1" applyAlignment="1">
      <alignment vertical="top" wrapText="1"/>
    </xf>
    <xf numFmtId="167" fontId="0" fillId="0" borderId="0" xfId="8" applyFont="1" applyAlignment="1">
      <alignment vertical="top"/>
    </xf>
    <xf numFmtId="0" fontId="0" fillId="0" borderId="0" xfId="0" applyAlignment="1">
      <alignment horizontal="left"/>
    </xf>
    <xf numFmtId="0" fontId="24" fillId="0" borderId="0" xfId="0" applyFont="1" applyAlignment="1">
      <alignment vertical="top"/>
    </xf>
    <xf numFmtId="0" fontId="0" fillId="0" borderId="0" xfId="0" applyAlignment="1">
      <alignment vertical="top" wrapText="1"/>
    </xf>
    <xf numFmtId="0" fontId="0" fillId="0" borderId="19" xfId="0" applyBorder="1"/>
    <xf numFmtId="0" fontId="0" fillId="0" borderId="64" xfId="0" applyBorder="1"/>
    <xf numFmtId="0" fontId="0" fillId="0" borderId="1" xfId="0" applyBorder="1"/>
    <xf numFmtId="0" fontId="24" fillId="0" borderId="12" xfId="0" applyFont="1" applyBorder="1"/>
    <xf numFmtId="0" fontId="24" fillId="0" borderId="13" xfId="0" applyFont="1" applyBorder="1"/>
    <xf numFmtId="0" fontId="24" fillId="0" borderId="38" xfId="0" applyFont="1" applyBorder="1"/>
    <xf numFmtId="0" fontId="24" fillId="0" borderId="0" xfId="0" applyFont="1" applyAlignment="1">
      <alignment horizontal="center" vertical="top" wrapText="1"/>
    </xf>
    <xf numFmtId="0" fontId="33" fillId="11" borderId="19" xfId="0" applyFont="1" applyFill="1" applyBorder="1" applyAlignment="1">
      <alignment horizontal="left"/>
    </xf>
    <xf numFmtId="0" fontId="0" fillId="11" borderId="19" xfId="0" applyFill="1" applyBorder="1" applyAlignment="1">
      <alignment horizontal="left"/>
    </xf>
    <xf numFmtId="0" fontId="27" fillId="11" borderId="19" xfId="0" applyFont="1" applyFill="1" applyBorder="1" applyAlignment="1">
      <alignment horizontal="left"/>
    </xf>
    <xf numFmtId="0" fontId="28" fillId="11" borderId="19" xfId="0" applyFont="1" applyFill="1" applyBorder="1" applyAlignment="1">
      <alignment horizontal="left"/>
    </xf>
    <xf numFmtId="0" fontId="26" fillId="0" borderId="0" xfId="0" applyFont="1" applyAlignment="1">
      <alignment horizontal="left" indent="1"/>
    </xf>
    <xf numFmtId="0" fontId="0" fillId="0" borderId="0" xfId="0" applyAlignment="1">
      <alignment horizontal="left" indent="1"/>
    </xf>
    <xf numFmtId="0" fontId="0" fillId="0" borderId="0" xfId="0" applyAlignment="1">
      <alignment horizontal="left" wrapText="1"/>
    </xf>
    <xf numFmtId="0" fontId="0" fillId="10" borderId="0" xfId="0" applyFill="1"/>
    <xf numFmtId="167" fontId="0" fillId="10" borderId="0" xfId="8" applyFont="1" applyFill="1" applyAlignment="1">
      <alignment vertical="top"/>
    </xf>
    <xf numFmtId="0" fontId="0" fillId="10" borderId="0" xfId="0" applyFill="1" applyAlignment="1">
      <alignment wrapText="1"/>
    </xf>
    <xf numFmtId="166" fontId="0" fillId="0" borderId="0" xfId="9" applyFont="1"/>
    <xf numFmtId="0" fontId="35" fillId="0" borderId="0" xfId="0" applyFont="1" applyAlignment="1">
      <alignment horizontal="center"/>
    </xf>
    <xf numFmtId="0" fontId="35" fillId="0" borderId="0" xfId="0" applyFont="1"/>
    <xf numFmtId="0" fontId="0" fillId="0" borderId="0" xfId="0" applyAlignment="1">
      <alignment horizontal="center"/>
    </xf>
    <xf numFmtId="2" fontId="0" fillId="0" borderId="0" xfId="0" applyNumberFormat="1"/>
    <xf numFmtId="166" fontId="0" fillId="0" borderId="0" xfId="9" applyFont="1" applyFill="1"/>
    <xf numFmtId="0" fontId="0" fillId="0" borderId="0" xfId="0" quotePrefix="1"/>
    <xf numFmtId="11" fontId="0" fillId="0" borderId="0" xfId="0" applyNumberFormat="1" applyAlignment="1">
      <alignment horizontal="center"/>
    </xf>
    <xf numFmtId="0" fontId="35" fillId="0" borderId="0" xfId="0" applyFont="1" applyAlignment="1">
      <alignment horizontal="left"/>
    </xf>
    <xf numFmtId="0" fontId="0" fillId="13" borderId="0" xfId="0" applyFill="1"/>
    <xf numFmtId="0" fontId="35" fillId="0" borderId="73" xfId="0" applyFont="1" applyBorder="1"/>
    <xf numFmtId="0" fontId="0" fillId="0" borderId="74" xfId="0" applyBorder="1"/>
    <xf numFmtId="0" fontId="0" fillId="0" borderId="73" xfId="0" applyBorder="1" applyAlignment="1">
      <alignment horizontal="right"/>
    </xf>
    <xf numFmtId="0" fontId="0" fillId="0" borderId="73" xfId="0" applyBorder="1"/>
    <xf numFmtId="166" fontId="0" fillId="0" borderId="0" xfId="0" applyNumberFormat="1"/>
    <xf numFmtId="0" fontId="35" fillId="0" borderId="73" xfId="0" applyFont="1" applyBorder="1" applyAlignment="1">
      <alignment horizontal="left"/>
    </xf>
    <xf numFmtId="0" fontId="0" fillId="0" borderId="73" xfId="0" applyBorder="1" applyAlignment="1">
      <alignment horizontal="left"/>
    </xf>
    <xf numFmtId="0" fontId="0" fillId="0" borderId="74" xfId="0" applyBorder="1" applyAlignment="1">
      <alignment horizontal="left"/>
    </xf>
    <xf numFmtId="166" fontId="0" fillId="0" borderId="0" xfId="0" applyNumberFormat="1" applyAlignment="1">
      <alignment horizontal="left"/>
    </xf>
    <xf numFmtId="166" fontId="24" fillId="0" borderId="72" xfId="9" applyFont="1" applyFill="1" applyBorder="1"/>
    <xf numFmtId="0" fontId="36" fillId="0" borderId="0" xfId="0" applyFont="1" applyAlignment="1">
      <alignment horizontal="left" indent="1"/>
    </xf>
    <xf numFmtId="167" fontId="0" fillId="0" borderId="0" xfId="8" applyFont="1" applyFill="1" applyBorder="1"/>
    <xf numFmtId="0" fontId="0" fillId="0" borderId="72" xfId="0" applyBorder="1"/>
    <xf numFmtId="166" fontId="0" fillId="0" borderId="72" xfId="9" applyFont="1" applyFill="1" applyBorder="1"/>
    <xf numFmtId="166" fontId="36" fillId="0" borderId="0" xfId="9" applyFont="1" applyFill="1" applyBorder="1" applyAlignment="1">
      <alignment horizontal="left" indent="1"/>
    </xf>
    <xf numFmtId="0" fontId="1" fillId="0" borderId="0" xfId="11"/>
    <xf numFmtId="49" fontId="1" fillId="0" borderId="0" xfId="11" applyNumberFormat="1" applyAlignment="1">
      <alignment horizontal="center"/>
    </xf>
    <xf numFmtId="49" fontId="1" fillId="0" borderId="0" xfId="11" applyNumberFormat="1"/>
    <xf numFmtId="0" fontId="38" fillId="0" borderId="0" xfId="12" applyFont="1"/>
    <xf numFmtId="166" fontId="38" fillId="0" borderId="76" xfId="11" applyNumberFormat="1" applyFont="1" applyBorder="1" applyAlignment="1">
      <alignment horizontal="right" vertical="center"/>
    </xf>
    <xf numFmtId="166" fontId="38" fillId="0" borderId="17" xfId="11" applyNumberFormat="1" applyFont="1" applyBorder="1" applyAlignment="1">
      <alignment horizontal="right" vertical="center"/>
    </xf>
    <xf numFmtId="166" fontId="38" fillId="0" borderId="11" xfId="11" applyNumberFormat="1" applyFont="1" applyBorder="1" applyAlignment="1">
      <alignment horizontal="right"/>
    </xf>
    <xf numFmtId="49" fontId="38" fillId="0" borderId="11" xfId="11" applyNumberFormat="1" applyFont="1" applyBorder="1" applyAlignment="1">
      <alignment horizontal="center"/>
    </xf>
    <xf numFmtId="49" fontId="38" fillId="0" borderId="11" xfId="11" applyNumberFormat="1" applyFont="1" applyBorder="1" applyAlignment="1">
      <alignment horizontal="right"/>
    </xf>
    <xf numFmtId="49" fontId="38" fillId="0" borderId="9" xfId="11" applyNumberFormat="1" applyFont="1" applyBorder="1"/>
    <xf numFmtId="166" fontId="39" fillId="0" borderId="77" xfId="11" applyNumberFormat="1" applyFont="1" applyBorder="1" applyAlignment="1">
      <alignment horizontal="right" vertical="center"/>
    </xf>
    <xf numFmtId="166" fontId="39" fillId="0" borderId="12" xfId="11" applyNumberFormat="1" applyFont="1" applyBorder="1" applyAlignment="1">
      <alignment horizontal="right" vertical="center"/>
    </xf>
    <xf numFmtId="166" fontId="40" fillId="0" borderId="77" xfId="11" applyNumberFormat="1" applyFont="1" applyBorder="1" applyAlignment="1">
      <alignment horizontal="right" vertical="center"/>
    </xf>
    <xf numFmtId="49" fontId="41" fillId="0" borderId="38" xfId="11" applyNumberFormat="1" applyFont="1" applyBorder="1" applyAlignment="1">
      <alignment horizontal="center" vertical="center"/>
    </xf>
    <xf numFmtId="49" fontId="41" fillId="0" borderId="42" xfId="11" applyNumberFormat="1" applyFont="1" applyBorder="1" applyAlignment="1">
      <alignment horizontal="right" vertical="center"/>
    </xf>
    <xf numFmtId="49" fontId="39" fillId="0" borderId="77" xfId="11" applyNumberFormat="1" applyFont="1" applyBorder="1" applyAlignment="1">
      <alignment horizontal="center" vertical="center"/>
    </xf>
    <xf numFmtId="49" fontId="39" fillId="0" borderId="38" xfId="11" applyNumberFormat="1" applyFont="1" applyBorder="1" applyAlignment="1">
      <alignment horizontal="right" vertical="center"/>
    </xf>
    <xf numFmtId="49" fontId="39" fillId="0" borderId="12" xfId="11" applyNumberFormat="1" applyFont="1" applyBorder="1" applyAlignment="1">
      <alignment vertical="center"/>
    </xf>
    <xf numFmtId="166" fontId="38" fillId="0" borderId="77" xfId="11" applyNumberFormat="1" applyFont="1" applyBorder="1" applyAlignment="1">
      <alignment horizontal="right" vertical="center"/>
    </xf>
    <xf numFmtId="166" fontId="38" fillId="0" borderId="11" xfId="11" applyNumberFormat="1" applyFont="1" applyBorder="1" applyAlignment="1">
      <alignment horizontal="right" vertical="center"/>
    </xf>
    <xf numFmtId="49" fontId="1" fillId="0" borderId="10" xfId="11" applyNumberFormat="1" applyBorder="1" applyAlignment="1">
      <alignment horizontal="center" vertical="center"/>
    </xf>
    <xf numFmtId="49" fontId="38" fillId="0" borderId="77" xfId="11" applyNumberFormat="1" applyFont="1" applyBorder="1" applyAlignment="1">
      <alignment horizontal="center" vertical="center"/>
    </xf>
    <xf numFmtId="49" fontId="38" fillId="0" borderId="38" xfId="11" applyNumberFormat="1" applyFont="1" applyBorder="1" applyAlignment="1">
      <alignment horizontal="right" vertical="center"/>
    </xf>
    <xf numFmtId="49" fontId="38" fillId="0" borderId="12" xfId="11" applyNumberFormat="1" applyFont="1" applyBorder="1" applyAlignment="1">
      <alignment vertical="center"/>
    </xf>
    <xf numFmtId="166" fontId="1" fillId="0" borderId="67" xfId="11" quotePrefix="1" applyNumberFormat="1" applyBorder="1" applyAlignment="1" applyProtection="1">
      <alignment horizontal="center" vertical="center"/>
      <protection locked="0"/>
    </xf>
    <xf numFmtId="49" fontId="38" fillId="0" borderId="79" xfId="11" applyNumberFormat="1" applyFont="1" applyBorder="1" applyAlignment="1">
      <alignment horizontal="center" vertical="center"/>
    </xf>
    <xf numFmtId="49" fontId="1" fillId="0" borderId="79" xfId="11" applyNumberFormat="1" applyBorder="1" applyAlignment="1">
      <alignment vertical="center"/>
    </xf>
    <xf numFmtId="0" fontId="1" fillId="0" borderId="0" xfId="12" applyFont="1"/>
    <xf numFmtId="166" fontId="1" fillId="0" borderId="71" xfId="13" quotePrefix="1" applyNumberFormat="1" applyFont="1" applyBorder="1" applyAlignment="1" applyProtection="1">
      <alignment horizontal="center" vertical="center"/>
      <protection locked="0" hidden="1"/>
    </xf>
    <xf numFmtId="166" fontId="1" fillId="0" borderId="71" xfId="11" quotePrefix="1" applyNumberFormat="1" applyBorder="1" applyAlignment="1" applyProtection="1">
      <alignment horizontal="center" vertical="center"/>
      <protection locked="0" hidden="1"/>
    </xf>
    <xf numFmtId="168" fontId="0" fillId="0" borderId="80" xfId="14" applyNumberFormat="1" applyFont="1" applyFill="1" applyBorder="1" applyAlignment="1">
      <alignment horizontal="right" vertical="center"/>
    </xf>
    <xf numFmtId="0" fontId="38" fillId="0" borderId="81" xfId="11" applyFont="1" applyBorder="1" applyAlignment="1">
      <alignment horizontal="center" vertical="center" wrapText="1"/>
    </xf>
    <xf numFmtId="0" fontId="38" fillId="0" borderId="78" xfId="11" applyFont="1" applyBorder="1" applyAlignment="1">
      <alignment horizontal="center" vertical="center" wrapText="1"/>
    </xf>
    <xf numFmtId="49" fontId="38" fillId="0" borderId="79" xfId="11" applyNumberFormat="1" applyFont="1" applyBorder="1" applyAlignment="1">
      <alignment vertical="center" wrapText="1"/>
    </xf>
    <xf numFmtId="166" fontId="1" fillId="0" borderId="71" xfId="11" quotePrefix="1" applyNumberFormat="1" applyBorder="1" applyAlignment="1" applyProtection="1">
      <alignment horizontal="center" vertical="center"/>
      <protection locked="0"/>
    </xf>
    <xf numFmtId="49" fontId="38" fillId="0" borderId="81" xfId="11" applyNumberFormat="1" applyFont="1" applyBorder="1" applyAlignment="1">
      <alignment horizontal="center" vertical="center" wrapText="1"/>
    </xf>
    <xf numFmtId="49" fontId="38" fillId="0" borderId="78" xfId="11" applyNumberFormat="1" applyFont="1" applyBorder="1" applyAlignment="1">
      <alignment horizontal="center" vertical="center" wrapText="1"/>
    </xf>
    <xf numFmtId="49" fontId="38" fillId="0" borderId="81" xfId="11" applyNumberFormat="1" applyFont="1" applyBorder="1" applyAlignment="1">
      <alignment vertical="center" wrapText="1"/>
    </xf>
    <xf numFmtId="49" fontId="38" fillId="0" borderId="79" xfId="11" applyNumberFormat="1" applyFont="1" applyBorder="1" applyAlignment="1">
      <alignment horizontal="center" vertical="center" wrapText="1"/>
    </xf>
    <xf numFmtId="166" fontId="38" fillId="14" borderId="39" xfId="11" applyNumberFormat="1" applyFont="1" applyFill="1" applyBorder="1" applyAlignment="1">
      <alignment horizontal="right" vertical="center"/>
    </xf>
    <xf numFmtId="166" fontId="1" fillId="14" borderId="38" xfId="11" quotePrefix="1" applyNumberFormat="1" applyFill="1" applyBorder="1" applyAlignment="1">
      <alignment horizontal="center" vertical="center"/>
    </xf>
    <xf numFmtId="49" fontId="1" fillId="14" borderId="38" xfId="11" applyNumberFormat="1" applyFill="1" applyBorder="1" applyAlignment="1">
      <alignment horizontal="center" vertical="center" wrapText="1"/>
    </xf>
    <xf numFmtId="49" fontId="1" fillId="14" borderId="42" xfId="11" applyNumberFormat="1" applyFill="1" applyBorder="1" applyAlignment="1">
      <alignment horizontal="right" vertical="center" wrapText="1"/>
    </xf>
    <xf numFmtId="49" fontId="38" fillId="14" borderId="77" xfId="11" applyNumberFormat="1" applyFont="1" applyFill="1" applyBorder="1" applyAlignment="1">
      <alignment horizontal="center" vertical="center" wrapText="1"/>
    </xf>
    <xf numFmtId="49" fontId="38" fillId="14" borderId="39" xfId="13" applyNumberFormat="1" applyFont="1" applyFill="1" applyBorder="1" applyAlignment="1">
      <alignment horizontal="left" vertical="center" wrapText="1"/>
    </xf>
    <xf numFmtId="49" fontId="38" fillId="14" borderId="77" xfId="11" applyNumberFormat="1" applyFont="1" applyFill="1" applyBorder="1" applyAlignment="1">
      <alignment vertical="center" wrapText="1"/>
    </xf>
    <xf numFmtId="166" fontId="38" fillId="0" borderId="67" xfId="11" quotePrefix="1" applyNumberFormat="1" applyFont="1" applyBorder="1" applyAlignment="1">
      <alignment horizontal="center" vertical="center"/>
    </xf>
    <xf numFmtId="49" fontId="1" fillId="0" borderId="71" xfId="11" applyNumberFormat="1" applyBorder="1" applyAlignment="1">
      <alignment horizontal="center" vertical="center" wrapText="1"/>
    </xf>
    <xf numFmtId="49" fontId="38" fillId="0" borderId="81" xfId="11" applyNumberFormat="1" applyFont="1" applyBorder="1" applyAlignment="1">
      <alignment vertical="center"/>
    </xf>
    <xf numFmtId="39" fontId="38" fillId="15" borderId="39" xfId="11" applyNumberFormat="1" applyFont="1" applyFill="1" applyBorder="1" applyAlignment="1">
      <alignment horizontal="center" vertical="center" wrapText="1"/>
    </xf>
    <xf numFmtId="49" fontId="38" fillId="15" borderId="38" xfId="11" applyNumberFormat="1" applyFont="1" applyFill="1" applyBorder="1" applyAlignment="1">
      <alignment horizontal="center" vertical="center" wrapText="1"/>
    </xf>
    <xf numFmtId="39" fontId="38" fillId="16" borderId="39" xfId="11" applyNumberFormat="1" applyFont="1" applyFill="1" applyBorder="1" applyAlignment="1">
      <alignment horizontal="center" vertical="center" wrapText="1"/>
    </xf>
    <xf numFmtId="49" fontId="38" fillId="16" borderId="38" xfId="11" applyNumberFormat="1" applyFont="1" applyFill="1" applyBorder="1" applyAlignment="1">
      <alignment horizontal="center" vertical="center" wrapText="1"/>
    </xf>
    <xf numFmtId="39" fontId="38" fillId="17" borderId="39" xfId="11" applyNumberFormat="1" applyFont="1" applyFill="1" applyBorder="1" applyAlignment="1">
      <alignment horizontal="center" vertical="center" wrapText="1"/>
    </xf>
    <xf numFmtId="49" fontId="38" fillId="17" borderId="38" xfId="11" applyNumberFormat="1" applyFont="1" applyFill="1" applyBorder="1" applyAlignment="1">
      <alignment horizontal="center" vertical="center" wrapText="1"/>
    </xf>
    <xf numFmtId="39" fontId="38" fillId="18" borderId="39" xfId="11" applyNumberFormat="1" applyFont="1" applyFill="1" applyBorder="1" applyAlignment="1">
      <alignment horizontal="center" vertical="center" wrapText="1"/>
    </xf>
    <xf numFmtId="49" fontId="38" fillId="18" borderId="38" xfId="11" applyNumberFormat="1" applyFont="1" applyFill="1" applyBorder="1" applyAlignment="1">
      <alignment horizontal="center" vertical="center" wrapText="1"/>
    </xf>
    <xf numFmtId="49" fontId="38" fillId="0" borderId="38" xfId="11" applyNumberFormat="1" applyFont="1" applyBorder="1" applyAlignment="1">
      <alignment horizontal="center" vertical="center" wrapText="1"/>
    </xf>
    <xf numFmtId="49" fontId="38" fillId="0" borderId="42" xfId="11" applyNumberFormat="1" applyFont="1" applyBorder="1" applyAlignment="1">
      <alignment horizontal="center" vertical="center" wrapText="1"/>
    </xf>
    <xf numFmtId="49" fontId="38" fillId="0" borderId="77" xfId="11" applyNumberFormat="1" applyFont="1" applyBorder="1" applyAlignment="1">
      <alignment horizontal="center" vertical="center" wrapText="1"/>
    </xf>
    <xf numFmtId="49" fontId="38" fillId="0" borderId="11" xfId="11" applyNumberFormat="1" applyFont="1" applyBorder="1" applyAlignment="1">
      <alignment horizontal="center" vertical="center" wrapText="1"/>
    </xf>
    <xf numFmtId="49" fontId="38" fillId="0" borderId="12" xfId="11" applyNumberFormat="1" applyFont="1" applyBorder="1" applyAlignment="1">
      <alignment horizontal="center" vertical="center" wrapText="1"/>
    </xf>
    <xf numFmtId="166" fontId="1" fillId="0" borderId="71" xfId="11" quotePrefix="1" applyNumberFormat="1" applyBorder="1" applyAlignment="1">
      <alignment horizontal="center" vertical="center"/>
    </xf>
    <xf numFmtId="4" fontId="43" fillId="0" borderId="66" xfId="13" applyNumberFormat="1" applyFont="1" applyBorder="1" applyAlignment="1">
      <alignment horizontal="right" vertical="center" wrapText="1"/>
    </xf>
    <xf numFmtId="49" fontId="38" fillId="0" borderId="80" xfId="11" applyNumberFormat="1" applyFont="1" applyBorder="1" applyAlignment="1">
      <alignment horizontal="center" vertical="center" wrapText="1"/>
    </xf>
    <xf numFmtId="166" fontId="1" fillId="0" borderId="67" xfId="11" quotePrefix="1" applyNumberFormat="1" applyBorder="1" applyAlignment="1">
      <alignment horizontal="center" vertical="center"/>
    </xf>
    <xf numFmtId="166" fontId="1" fillId="0" borderId="67" xfId="13" quotePrefix="1" applyNumberFormat="1" applyFont="1" applyBorder="1" applyAlignment="1" applyProtection="1">
      <alignment horizontal="center" vertical="center"/>
      <protection locked="0" hidden="1"/>
    </xf>
    <xf numFmtId="49" fontId="1" fillId="0" borderId="80" xfId="11" applyNumberFormat="1" applyBorder="1" applyAlignment="1">
      <alignment horizontal="center" vertical="center" wrapText="1"/>
    </xf>
    <xf numFmtId="3" fontId="1" fillId="0" borderId="66" xfId="11" applyNumberFormat="1" applyBorder="1" applyAlignment="1">
      <alignment horizontal="right" vertical="center" wrapText="1"/>
    </xf>
    <xf numFmtId="4" fontId="43" fillId="7" borderId="82" xfId="13" applyNumberFormat="1" applyFont="1" applyFill="1" applyBorder="1" applyAlignment="1">
      <alignment horizontal="right" vertical="center" wrapText="1"/>
    </xf>
    <xf numFmtId="49" fontId="1" fillId="0" borderId="79" xfId="11" applyNumberFormat="1" applyBorder="1" applyAlignment="1">
      <alignment vertical="center" wrapText="1"/>
    </xf>
    <xf numFmtId="3" fontId="1" fillId="0" borderId="83" xfId="11" applyNumberFormat="1" applyBorder="1" applyAlignment="1">
      <alignment horizontal="right" vertical="center" wrapText="1"/>
    </xf>
    <xf numFmtId="49" fontId="38" fillId="0" borderId="10" xfId="11" applyNumberFormat="1" applyFont="1" applyBorder="1" applyAlignment="1">
      <alignment horizontal="center" vertical="center"/>
    </xf>
    <xf numFmtId="166" fontId="38" fillId="0" borderId="65" xfId="13" applyNumberFormat="1" applyFont="1" applyBorder="1" applyAlignment="1">
      <alignment horizontal="right" vertical="center"/>
    </xf>
    <xf numFmtId="166" fontId="1" fillId="0" borderId="65" xfId="13" quotePrefix="1" applyNumberFormat="1" applyFont="1" applyBorder="1" applyAlignment="1" applyProtection="1">
      <alignment horizontal="center" vertical="center"/>
      <protection locked="0"/>
    </xf>
    <xf numFmtId="49" fontId="1" fillId="0" borderId="84" xfId="13" applyNumberFormat="1" applyFont="1" applyBorder="1" applyAlignment="1">
      <alignment horizontal="center" vertical="center" wrapText="1"/>
    </xf>
    <xf numFmtId="3" fontId="1" fillId="0" borderId="85" xfId="13" applyNumberFormat="1" applyFont="1" applyBorder="1" applyAlignment="1">
      <alignment horizontal="right" vertical="center" wrapText="1"/>
    </xf>
    <xf numFmtId="49" fontId="38" fillId="0" borderId="84" xfId="13" applyNumberFormat="1" applyFont="1" applyBorder="1" applyAlignment="1">
      <alignment horizontal="center" vertical="center" wrapText="1"/>
    </xf>
    <xf numFmtId="49" fontId="38" fillId="0" borderId="85" xfId="13" applyNumberFormat="1" applyFont="1" applyBorder="1" applyAlignment="1">
      <alignment horizontal="center" vertical="center" wrapText="1"/>
    </xf>
    <xf numFmtId="0" fontId="44" fillId="0" borderId="85" xfId="13" applyNumberFormat="1" applyFont="1" applyBorder="1" applyAlignment="1">
      <alignment vertical="center" wrapText="1"/>
    </xf>
    <xf numFmtId="49" fontId="38" fillId="0" borderId="84" xfId="13" applyNumberFormat="1" applyFont="1" applyBorder="1" applyAlignment="1">
      <alignment vertical="center" wrapText="1"/>
    </xf>
    <xf numFmtId="0" fontId="1" fillId="0" borderId="79" xfId="13" applyNumberFormat="1" applyFont="1" applyBorder="1" applyAlignment="1">
      <alignment horizontal="center" vertical="center"/>
    </xf>
    <xf numFmtId="49" fontId="38" fillId="0" borderId="79" xfId="13" applyNumberFormat="1" applyFont="1" applyBorder="1" applyAlignment="1">
      <alignment horizontal="center" vertical="center" wrapText="1"/>
    </xf>
    <xf numFmtId="49" fontId="38" fillId="0" borderId="80" xfId="13" applyNumberFormat="1" applyFont="1" applyBorder="1" applyAlignment="1">
      <alignment horizontal="center" vertical="center" wrapText="1"/>
    </xf>
    <xf numFmtId="0" fontId="3" fillId="0" borderId="79" xfId="15" applyFont="1" applyBorder="1" applyAlignment="1">
      <alignment horizontal="right" vertical="center" wrapText="1"/>
    </xf>
    <xf numFmtId="49" fontId="38" fillId="0" borderId="79" xfId="13" applyNumberFormat="1" applyFont="1" applyBorder="1" applyAlignment="1">
      <alignment vertical="center" wrapText="1"/>
    </xf>
    <xf numFmtId="49" fontId="1" fillId="0" borderId="79" xfId="13" applyNumberFormat="1" applyFont="1" applyBorder="1" applyAlignment="1">
      <alignment horizontal="center" vertical="center" wrapText="1"/>
    </xf>
    <xf numFmtId="49" fontId="1" fillId="0" borderId="79" xfId="13" applyNumberFormat="1" applyFont="1" applyBorder="1" applyAlignment="1">
      <alignment horizontal="right" vertical="center" wrapText="1"/>
    </xf>
    <xf numFmtId="49" fontId="38" fillId="0" borderId="81" xfId="13" applyNumberFormat="1" applyFont="1" applyBorder="1" applyAlignment="1">
      <alignment vertical="center" wrapText="1"/>
    </xf>
    <xf numFmtId="0" fontId="3" fillId="7" borderId="66" xfId="15" applyFont="1" applyFill="1" applyBorder="1" applyAlignment="1">
      <alignment horizontal="right" vertical="center" wrapText="1"/>
    </xf>
    <xf numFmtId="0" fontId="3" fillId="7" borderId="79" xfId="15" applyFont="1" applyFill="1" applyBorder="1" applyAlignment="1">
      <alignment horizontal="right" vertical="center" wrapText="1"/>
    </xf>
    <xf numFmtId="49" fontId="1" fillId="0" borderId="67" xfId="11" applyNumberFormat="1" applyBorder="1" applyAlignment="1">
      <alignment horizontal="center" vertical="center" wrapText="1"/>
    </xf>
    <xf numFmtId="49" fontId="38" fillId="0" borderId="81" xfId="13" applyNumberFormat="1" applyFont="1" applyBorder="1" applyAlignment="1">
      <alignment horizontal="center" vertical="center" wrapText="1"/>
    </xf>
    <xf numFmtId="3" fontId="1" fillId="0" borderId="80" xfId="13" applyNumberFormat="1" applyFont="1" applyBorder="1" applyAlignment="1">
      <alignment horizontal="right" vertical="center" wrapText="1"/>
    </xf>
    <xf numFmtId="49" fontId="1" fillId="0" borderId="79" xfId="13" applyNumberFormat="1" applyFont="1" applyBorder="1" applyAlignment="1">
      <alignment horizontal="left" vertical="center" wrapText="1"/>
    </xf>
    <xf numFmtId="0" fontId="1" fillId="7" borderId="79" xfId="13" applyNumberFormat="1" applyFont="1" applyFill="1" applyBorder="1" applyAlignment="1">
      <alignment horizontal="center" vertical="center"/>
    </xf>
    <xf numFmtId="168" fontId="0" fillId="7" borderId="80" xfId="14" applyNumberFormat="1" applyFont="1" applyFill="1" applyBorder="1" applyAlignment="1">
      <alignment horizontal="right" vertical="center"/>
    </xf>
    <xf numFmtId="49" fontId="38" fillId="7" borderId="79" xfId="13" applyNumberFormat="1" applyFont="1" applyFill="1" applyBorder="1" applyAlignment="1">
      <alignment horizontal="center" vertical="center" wrapText="1"/>
    </xf>
    <xf numFmtId="0" fontId="42" fillId="0" borderId="79" xfId="13" applyNumberFormat="1" applyBorder="1" applyAlignment="1">
      <alignment horizontal="center" vertical="center"/>
    </xf>
    <xf numFmtId="0" fontId="3" fillId="0" borderId="66" xfId="15" applyFont="1" applyBorder="1" applyAlignment="1">
      <alignment horizontal="right" vertical="center" wrapText="1"/>
    </xf>
    <xf numFmtId="0" fontId="3" fillId="0" borderId="79" xfId="13" applyNumberFormat="1" applyFont="1" applyBorder="1" applyAlignment="1">
      <alignment horizontal="center" vertical="center"/>
    </xf>
    <xf numFmtId="0" fontId="7" fillId="0" borderId="80" xfId="13" applyNumberFormat="1" applyFont="1" applyBorder="1" applyAlignment="1">
      <alignment horizontal="right" vertical="center"/>
    </xf>
    <xf numFmtId="0" fontId="1" fillId="0" borderId="66" xfId="13" applyNumberFormat="1" applyFont="1" applyBorder="1" applyAlignment="1">
      <alignment horizontal="right" vertical="center"/>
    </xf>
    <xf numFmtId="0" fontId="1" fillId="7" borderId="66" xfId="15" applyFont="1" applyFill="1" applyBorder="1" applyAlignment="1">
      <alignment horizontal="right" vertical="center" wrapText="1"/>
    </xf>
    <xf numFmtId="0" fontId="1" fillId="0" borderId="66" xfId="15" applyFont="1" applyBorder="1" applyAlignment="1">
      <alignment horizontal="right" vertical="center" wrapText="1"/>
    </xf>
    <xf numFmtId="0" fontId="44" fillId="0" borderId="80" xfId="13" applyNumberFormat="1" applyFont="1" applyBorder="1" applyAlignment="1">
      <alignment vertical="center"/>
    </xf>
    <xf numFmtId="49" fontId="1" fillId="0" borderId="79" xfId="13" applyNumberFormat="1" applyFont="1" applyBorder="1" applyAlignment="1">
      <alignment vertical="center" wrapText="1"/>
    </xf>
    <xf numFmtId="166" fontId="38" fillId="14" borderId="39" xfId="13" applyNumberFormat="1" applyFont="1" applyFill="1" applyBorder="1" applyAlignment="1">
      <alignment horizontal="right" vertical="center"/>
    </xf>
    <xf numFmtId="166" fontId="1" fillId="14" borderId="39" xfId="13" quotePrefix="1" applyNumberFormat="1" applyFont="1" applyFill="1" applyBorder="1" applyAlignment="1" applyProtection="1">
      <alignment horizontal="center" vertical="center"/>
      <protection locked="0"/>
    </xf>
    <xf numFmtId="49" fontId="1" fillId="14" borderId="77" xfId="13" applyNumberFormat="1" applyFont="1" applyFill="1" applyBorder="1" applyAlignment="1">
      <alignment horizontal="center" vertical="center" wrapText="1"/>
    </xf>
    <xf numFmtId="49" fontId="1" fillId="14" borderId="11" xfId="13" applyNumberFormat="1" applyFont="1" applyFill="1" applyBorder="1" applyAlignment="1">
      <alignment horizontal="right" vertical="center" wrapText="1"/>
    </xf>
    <xf numFmtId="49" fontId="38" fillId="14" borderId="77" xfId="13" applyNumberFormat="1" applyFont="1" applyFill="1" applyBorder="1" applyAlignment="1">
      <alignment horizontal="center" vertical="center" wrapText="1"/>
    </xf>
    <xf numFmtId="49" fontId="38" fillId="14" borderId="9" xfId="13" applyNumberFormat="1" applyFont="1" applyFill="1" applyBorder="1" applyAlignment="1">
      <alignment horizontal="center" vertical="center" wrapText="1"/>
    </xf>
    <xf numFmtId="49" fontId="38" fillId="14" borderId="77" xfId="13" applyNumberFormat="1" applyFont="1" applyFill="1" applyBorder="1" applyAlignment="1">
      <alignment vertical="center" wrapText="1"/>
    </xf>
    <xf numFmtId="0" fontId="42" fillId="0" borderId="86" xfId="13" applyNumberFormat="1" applyBorder="1" applyAlignment="1">
      <alignment horizontal="center" vertical="center"/>
    </xf>
    <xf numFmtId="0" fontId="3" fillId="0" borderId="87" xfId="15" applyFont="1" applyBorder="1" applyAlignment="1">
      <alignment horizontal="right" vertical="center" wrapText="1"/>
    </xf>
    <xf numFmtId="49" fontId="1" fillId="0" borderId="81" xfId="13" applyNumberFormat="1" applyFont="1" applyBorder="1" applyAlignment="1">
      <alignment horizontal="center" vertical="center" wrapText="1"/>
    </xf>
    <xf numFmtId="49" fontId="38" fillId="0" borderId="78" xfId="13" applyNumberFormat="1" applyFont="1" applyBorder="1" applyAlignment="1">
      <alignment horizontal="center" vertical="center" wrapText="1"/>
    </xf>
    <xf numFmtId="0" fontId="1" fillId="0" borderId="79" xfId="13" applyNumberFormat="1" applyFont="1" applyBorder="1" applyAlignment="1">
      <alignment horizontal="right" vertical="center"/>
    </xf>
    <xf numFmtId="0" fontId="1" fillId="7" borderId="79" xfId="15" applyFont="1" applyFill="1" applyBorder="1" applyAlignment="1">
      <alignment horizontal="right" vertical="center" wrapText="1"/>
    </xf>
    <xf numFmtId="49" fontId="1" fillId="0" borderId="81" xfId="13" applyNumberFormat="1" applyFont="1" applyBorder="1" applyAlignment="1">
      <alignment vertical="center" wrapText="1"/>
    </xf>
    <xf numFmtId="166" fontId="38" fillId="14" borderId="39" xfId="13" quotePrefix="1" applyNumberFormat="1" applyFont="1" applyFill="1" applyBorder="1" applyAlignment="1">
      <alignment horizontal="center" vertical="center"/>
    </xf>
    <xf numFmtId="39" fontId="1" fillId="14" borderId="11" xfId="13" quotePrefix="1" applyNumberFormat="1" applyFont="1" applyFill="1" applyBorder="1" applyAlignment="1">
      <alignment horizontal="right" vertical="center"/>
    </xf>
    <xf numFmtId="39" fontId="38" fillId="14" borderId="77" xfId="13" applyNumberFormat="1" applyFont="1" applyFill="1" applyBorder="1" applyAlignment="1">
      <alignment horizontal="center" vertical="center"/>
    </xf>
    <xf numFmtId="39" fontId="38" fillId="14" borderId="9" xfId="13" applyNumberFormat="1" applyFont="1" applyFill="1" applyBorder="1" applyAlignment="1">
      <alignment horizontal="center" vertical="center"/>
    </xf>
    <xf numFmtId="49" fontId="1" fillId="0" borderId="81" xfId="11" applyNumberFormat="1" applyBorder="1" applyAlignment="1">
      <alignment vertical="center"/>
    </xf>
    <xf numFmtId="0" fontId="38" fillId="0" borderId="0" xfId="11" applyFont="1"/>
    <xf numFmtId="166" fontId="38" fillId="0" borderId="40" xfId="13" applyNumberFormat="1" applyFont="1" applyBorder="1" applyAlignment="1">
      <alignment horizontal="right" vertical="center"/>
    </xf>
    <xf numFmtId="166" fontId="1" fillId="0" borderId="88" xfId="13" quotePrefix="1" applyNumberFormat="1" applyFont="1" applyBorder="1" applyAlignment="1" applyProtection="1">
      <alignment horizontal="center" vertical="center"/>
      <protection locked="0"/>
    </xf>
    <xf numFmtId="49" fontId="1" fillId="0" borderId="88" xfId="11" applyNumberFormat="1" applyBorder="1" applyAlignment="1">
      <alignment horizontal="center" vertical="center" wrapText="1"/>
    </xf>
    <xf numFmtId="49" fontId="1" fillId="0" borderId="74" xfId="11" applyNumberFormat="1" applyBorder="1" applyAlignment="1" applyProtection="1">
      <alignment horizontal="right" vertical="center" wrapText="1"/>
      <protection locked="0"/>
    </xf>
    <xf numFmtId="49" fontId="38" fillId="0" borderId="89" xfId="11" applyNumberFormat="1" applyFont="1" applyBorder="1" applyAlignment="1">
      <alignment horizontal="center" vertical="center" wrapText="1"/>
    </xf>
    <xf numFmtId="49" fontId="38" fillId="0" borderId="0" xfId="11" applyNumberFormat="1" applyFont="1" applyAlignment="1">
      <alignment horizontal="center" vertical="center" wrapText="1"/>
    </xf>
    <xf numFmtId="49" fontId="1" fillId="0" borderId="40" xfId="11" applyNumberFormat="1" applyBorder="1" applyAlignment="1">
      <alignment horizontal="left" vertical="center" wrapText="1"/>
    </xf>
    <xf numFmtId="49" fontId="1" fillId="0" borderId="89" xfId="11" applyNumberFormat="1" applyBorder="1" applyAlignment="1">
      <alignment vertical="center"/>
    </xf>
    <xf numFmtId="166" fontId="1" fillId="0" borderId="71" xfId="13" applyNumberFormat="1" applyFont="1" applyBorder="1" applyAlignment="1" applyProtection="1">
      <alignment horizontal="center" vertical="center"/>
      <protection locked="0" hidden="1"/>
    </xf>
    <xf numFmtId="166" fontId="38" fillId="0" borderId="67" xfId="11" quotePrefix="1" applyNumberFormat="1" applyFont="1" applyBorder="1" applyAlignment="1" applyProtection="1">
      <alignment horizontal="center" vertical="center"/>
      <protection locked="0"/>
    </xf>
    <xf numFmtId="0" fontId="38" fillId="0" borderId="0" xfId="11" applyFont="1" applyAlignment="1">
      <alignment horizontal="center" wrapText="1"/>
    </xf>
    <xf numFmtId="39" fontId="38" fillId="0" borderId="0" xfId="11" applyNumberFormat="1" applyFont="1" applyAlignment="1">
      <alignment horizontal="right"/>
    </xf>
    <xf numFmtId="49" fontId="38" fillId="0" borderId="0" xfId="11" applyNumberFormat="1" applyFont="1" applyAlignment="1">
      <alignment horizontal="left"/>
    </xf>
    <xf numFmtId="49" fontId="38" fillId="0" borderId="0" xfId="11" applyNumberFormat="1" applyFont="1"/>
    <xf numFmtId="49" fontId="8" fillId="0" borderId="0" xfId="11" applyNumberFormat="1" applyFont="1"/>
    <xf numFmtId="39" fontId="38" fillId="0" borderId="0" xfId="11" applyNumberFormat="1" applyFont="1"/>
    <xf numFmtId="0" fontId="46" fillId="0" borderId="0" xfId="12" applyFont="1"/>
    <xf numFmtId="0" fontId="46" fillId="0" borderId="0" xfId="12" applyFont="1" applyAlignment="1">
      <alignment horizontal="left"/>
    </xf>
    <xf numFmtId="0" fontId="47" fillId="0" borderId="0" xfId="12" applyFont="1"/>
    <xf numFmtId="0" fontId="47" fillId="0" borderId="0" xfId="12" applyFont="1" applyAlignment="1">
      <alignment horizontal="left"/>
    </xf>
    <xf numFmtId="0" fontId="47" fillId="0" borderId="72" xfId="12" applyFont="1" applyBorder="1"/>
    <xf numFmtId="0" fontId="47" fillId="0" borderId="72" xfId="12" applyFont="1" applyBorder="1" applyAlignment="1">
      <alignment horizontal="left"/>
    </xf>
    <xf numFmtId="39" fontId="38" fillId="0" borderId="75" xfId="11" applyNumberFormat="1" applyFont="1" applyBorder="1"/>
    <xf numFmtId="0" fontId="24" fillId="0" borderId="19" xfId="0" applyFont="1" applyBorder="1" applyAlignment="1">
      <alignment horizontal="center"/>
    </xf>
    <xf numFmtId="0" fontId="24" fillId="0" borderId="20" xfId="0" applyFont="1" applyBorder="1" applyAlignment="1">
      <alignment horizontal="center"/>
    </xf>
    <xf numFmtId="0" fontId="0" fillId="0" borderId="20" xfId="0" applyBorder="1" applyAlignment="1">
      <alignment horizontal="left"/>
    </xf>
    <xf numFmtId="9" fontId="0" fillId="0" borderId="73" xfId="10" applyFont="1" applyBorder="1"/>
    <xf numFmtId="0" fontId="0" fillId="0" borderId="20" xfId="0" applyBorder="1"/>
    <xf numFmtId="166" fontId="0" fillId="0" borderId="73" xfId="9" applyFont="1" applyBorder="1"/>
    <xf numFmtId="0" fontId="24" fillId="0" borderId="1" xfId="0" applyFont="1" applyBorder="1" applyAlignment="1">
      <alignment horizontal="center"/>
    </xf>
    <xf numFmtId="168" fontId="0" fillId="0" borderId="0" xfId="0" applyNumberFormat="1"/>
    <xf numFmtId="166" fontId="0" fillId="0" borderId="0" xfId="9" applyFont="1" applyBorder="1"/>
    <xf numFmtId="0" fontId="0" fillId="0" borderId="74" xfId="0" quotePrefix="1" applyBorder="1"/>
    <xf numFmtId="167" fontId="25" fillId="0" borderId="0" xfId="8" applyFont="1" applyBorder="1"/>
    <xf numFmtId="165" fontId="25" fillId="0" borderId="0" xfId="8" applyNumberFormat="1" applyFont="1" applyBorder="1"/>
    <xf numFmtId="165" fontId="0" fillId="0" borderId="0" xfId="8" applyNumberFormat="1" applyFont="1" applyAlignment="1">
      <alignment vertical="top"/>
    </xf>
    <xf numFmtId="167" fontId="24" fillId="0" borderId="0" xfId="8" applyFont="1" applyAlignment="1">
      <alignment vertical="top"/>
    </xf>
    <xf numFmtId="167" fontId="24" fillId="7" borderId="91" xfId="8" applyFont="1" applyFill="1" applyBorder="1" applyAlignment="1">
      <alignment vertical="top"/>
    </xf>
    <xf numFmtId="167" fontId="24" fillId="7" borderId="92" xfId="8" applyFont="1" applyFill="1" applyBorder="1" applyAlignment="1">
      <alignment vertical="top"/>
    </xf>
    <xf numFmtId="167" fontId="24" fillId="7" borderId="93" xfId="8" applyFont="1" applyFill="1" applyBorder="1" applyAlignment="1">
      <alignment vertical="top"/>
    </xf>
    <xf numFmtId="0" fontId="24" fillId="7" borderId="0" xfId="0" applyFont="1" applyFill="1"/>
    <xf numFmtId="0" fontId="52" fillId="6" borderId="0" xfId="0" applyFont="1" applyFill="1"/>
    <xf numFmtId="0" fontId="24" fillId="12" borderId="0" xfId="0" applyFont="1" applyFill="1"/>
    <xf numFmtId="0" fontId="24" fillId="10" borderId="0" xfId="0" applyFont="1" applyFill="1"/>
    <xf numFmtId="0" fontId="52" fillId="0" borderId="0" xfId="0" applyFont="1" applyAlignment="1">
      <alignment horizontal="center"/>
    </xf>
    <xf numFmtId="0" fontId="0" fillId="0" borderId="0" xfId="0" applyAlignment="1">
      <alignment horizontal="center" vertical="top" wrapText="1"/>
    </xf>
    <xf numFmtId="0" fontId="0" fillId="0" borderId="0" xfId="0" applyAlignment="1">
      <alignment horizontal="center" wrapText="1"/>
    </xf>
    <xf numFmtId="0" fontId="24" fillId="0" borderId="0" xfId="0" applyFont="1" applyAlignment="1">
      <alignment horizontal="center" vertical="top"/>
    </xf>
    <xf numFmtId="0" fontId="26" fillId="0" borderId="0" xfId="0" applyFont="1" applyAlignment="1">
      <alignment horizontal="center"/>
    </xf>
    <xf numFmtId="0" fontId="24" fillId="0" borderId="0" xfId="0" applyFont="1" applyAlignment="1">
      <alignment horizontal="center"/>
    </xf>
    <xf numFmtId="169" fontId="0" fillId="0" borderId="71" xfId="9" applyNumberFormat="1" applyFont="1" applyBorder="1"/>
    <xf numFmtId="169" fontId="0" fillId="0" borderId="67" xfId="9" applyNumberFormat="1" applyFont="1" applyBorder="1"/>
    <xf numFmtId="169" fontId="0" fillId="8" borderId="67" xfId="9" applyNumberFormat="1" applyFont="1" applyFill="1" applyBorder="1"/>
    <xf numFmtId="169" fontId="0" fillId="8" borderId="69" xfId="9" applyNumberFormat="1" applyFont="1" applyFill="1" applyBorder="1"/>
    <xf numFmtId="0" fontId="0" fillId="8" borderId="0" xfId="0" applyFill="1"/>
    <xf numFmtId="0" fontId="24" fillId="13" borderId="0" xfId="0" applyFont="1" applyFill="1"/>
    <xf numFmtId="0" fontId="24" fillId="0" borderId="0" xfId="0" applyFont="1" applyAlignment="1">
      <alignment horizontal="left"/>
    </xf>
    <xf numFmtId="3" fontId="0" fillId="0" borderId="0" xfId="0" applyNumberFormat="1" applyAlignment="1">
      <alignment horizontal="center"/>
    </xf>
    <xf numFmtId="3" fontId="0" fillId="0" borderId="0" xfId="16" applyNumberFormat="1" applyFont="1" applyAlignment="1">
      <alignment horizontal="center"/>
    </xf>
    <xf numFmtId="3" fontId="1" fillId="0" borderId="0" xfId="47" applyNumberFormat="1" applyFont="1" applyAlignment="1" applyProtection="1">
      <alignment horizontal="center"/>
      <protection locked="0"/>
    </xf>
    <xf numFmtId="3" fontId="0" fillId="0" borderId="0" xfId="16" applyNumberFormat="1" applyFont="1" applyFill="1" applyAlignment="1">
      <alignment horizontal="center"/>
    </xf>
    <xf numFmtId="3" fontId="0" fillId="0" borderId="76" xfId="0" applyNumberFormat="1" applyBorder="1" applyAlignment="1">
      <alignment horizontal="center"/>
    </xf>
    <xf numFmtId="3" fontId="1" fillId="0" borderId="93" xfId="47" applyNumberFormat="1" applyFont="1" applyBorder="1" applyAlignment="1" applyProtection="1">
      <alignment horizontal="center"/>
      <protection locked="0"/>
    </xf>
    <xf numFmtId="3" fontId="1" fillId="0" borderId="76" xfId="16" applyNumberFormat="1" applyFont="1" applyFill="1" applyBorder="1" applyAlignment="1" applyProtection="1">
      <alignment horizontal="center"/>
      <protection locked="0"/>
    </xf>
    <xf numFmtId="0" fontId="1" fillId="0" borderId="76" xfId="47" applyFont="1" applyBorder="1" applyAlignment="1" applyProtection="1">
      <protection locked="0"/>
    </xf>
    <xf numFmtId="0" fontId="0" fillId="0" borderId="17" xfId="0" applyBorder="1"/>
    <xf numFmtId="0" fontId="0" fillId="0" borderId="93" xfId="0" applyBorder="1"/>
    <xf numFmtId="0" fontId="0" fillId="0" borderId="95" xfId="0" applyBorder="1"/>
    <xf numFmtId="3" fontId="0" fillId="0" borderId="40" xfId="0" applyNumberFormat="1" applyBorder="1" applyAlignment="1">
      <alignment horizontal="center"/>
    </xf>
    <xf numFmtId="3" fontId="1" fillId="0" borderId="2" xfId="16" applyNumberFormat="1" applyFont="1" applyFill="1" applyBorder="1" applyAlignment="1" applyProtection="1">
      <alignment horizontal="center"/>
      <protection locked="0"/>
    </xf>
    <xf numFmtId="3" fontId="1" fillId="0" borderId="40" xfId="16" applyNumberFormat="1" applyFont="1" applyFill="1" applyBorder="1" applyAlignment="1" applyProtection="1">
      <alignment horizontal="center"/>
      <protection locked="0"/>
    </xf>
    <xf numFmtId="0" fontId="1" fillId="0" borderId="40" xfId="47" applyFont="1" applyBorder="1" applyAlignment="1" applyProtection="1">
      <protection locked="0"/>
    </xf>
    <xf numFmtId="0" fontId="0" fillId="0" borderId="2" xfId="0" applyBorder="1"/>
    <xf numFmtId="0" fontId="0" fillId="0" borderId="89" xfId="0" applyBorder="1"/>
    <xf numFmtId="3" fontId="1" fillId="0" borderId="40" xfId="47" applyNumberFormat="1" applyFont="1" applyBorder="1" applyAlignment="1" applyProtection="1">
      <alignment horizontal="center"/>
      <protection locked="0"/>
    </xf>
    <xf numFmtId="3" fontId="0" fillId="0" borderId="2" xfId="0" applyNumberFormat="1" applyBorder="1" applyAlignment="1">
      <alignment horizontal="center"/>
    </xf>
    <xf numFmtId="3" fontId="1" fillId="0" borderId="2" xfId="47" applyNumberFormat="1" applyFont="1" applyBorder="1" applyAlignment="1" applyProtection="1">
      <alignment horizontal="center"/>
      <protection locked="0"/>
    </xf>
    <xf numFmtId="3" fontId="1" fillId="0" borderId="2" xfId="47" applyNumberFormat="1" applyFont="1" applyBorder="1" applyAlignment="1" applyProtection="1">
      <alignment horizontal="center" vertical="center"/>
      <protection locked="0"/>
    </xf>
    <xf numFmtId="0" fontId="1" fillId="0" borderId="40" xfId="47" applyFont="1" applyBorder="1" applyAlignment="1" applyProtection="1">
      <alignment horizontal="right" vertical="center"/>
      <protection locked="0"/>
    </xf>
    <xf numFmtId="0" fontId="1" fillId="0" borderId="40" xfId="47" applyFont="1" applyBorder="1" applyAlignment="1" applyProtection="1">
      <alignment vertical="center"/>
      <protection locked="0"/>
    </xf>
    <xf numFmtId="0" fontId="1" fillId="0" borderId="0" xfId="47" applyFont="1" applyAlignment="1" applyProtection="1">
      <protection locked="0"/>
    </xf>
    <xf numFmtId="3" fontId="1" fillId="0" borderId="2" xfId="49" applyNumberFormat="1" applyFont="1" applyFill="1" applyBorder="1" applyAlignment="1" applyProtection="1">
      <alignment horizontal="center" vertical="center"/>
      <protection locked="0"/>
    </xf>
    <xf numFmtId="3" fontId="1" fillId="0" borderId="2" xfId="47" applyNumberFormat="1" applyFont="1" applyBorder="1" applyAlignment="1">
      <alignment horizontal="center"/>
    </xf>
    <xf numFmtId="0" fontId="1" fillId="0" borderId="40" xfId="47" applyFont="1" applyBorder="1" applyAlignment="1"/>
    <xf numFmtId="0" fontId="1" fillId="0" borderId="40" xfId="47" applyFont="1" applyBorder="1" applyAlignment="1">
      <alignment vertical="center"/>
    </xf>
    <xf numFmtId="3" fontId="1" fillId="0" borderId="40" xfId="49" applyNumberFormat="1" applyFont="1" applyFill="1" applyBorder="1" applyAlignment="1" applyProtection="1">
      <alignment horizontal="center"/>
      <protection locked="0"/>
    </xf>
    <xf numFmtId="3" fontId="58" fillId="0" borderId="40" xfId="16" applyNumberFormat="1" applyFont="1" applyFill="1" applyBorder="1" applyAlignment="1">
      <alignment horizontal="center"/>
    </xf>
    <xf numFmtId="3" fontId="58" fillId="0" borderId="2" xfId="50" applyNumberFormat="1" applyFont="1" applyBorder="1" applyAlignment="1">
      <alignment horizontal="center"/>
    </xf>
    <xf numFmtId="3" fontId="58" fillId="0" borderId="2" xfId="16" applyNumberFormat="1" applyFont="1" applyFill="1" applyBorder="1" applyAlignment="1">
      <alignment horizontal="center"/>
    </xf>
    <xf numFmtId="0" fontId="1" fillId="0" borderId="0" xfId="47" applyFont="1" applyAlignment="1"/>
    <xf numFmtId="3" fontId="0" fillId="0" borderId="40" xfId="16" applyNumberFormat="1" applyFont="1" applyFill="1" applyBorder="1" applyAlignment="1">
      <alignment horizontal="center"/>
    </xf>
    <xf numFmtId="0" fontId="59" fillId="0" borderId="40" xfId="47" applyFont="1" applyBorder="1" applyAlignment="1" applyProtection="1">
      <protection locked="0"/>
    </xf>
    <xf numFmtId="3" fontId="0" fillId="0" borderId="2" xfId="16" applyNumberFormat="1" applyFont="1" applyFill="1" applyBorder="1" applyAlignment="1">
      <alignment horizontal="center"/>
    </xf>
    <xf numFmtId="3" fontId="60" fillId="0" borderId="40" xfId="16" applyNumberFormat="1" applyFont="1" applyFill="1" applyBorder="1" applyAlignment="1">
      <alignment horizontal="center"/>
    </xf>
    <xf numFmtId="0" fontId="1" fillId="0" borderId="40" xfId="48" applyFont="1" applyBorder="1" applyAlignment="1" applyProtection="1">
      <protection locked="0"/>
    </xf>
    <xf numFmtId="3" fontId="1" fillId="0" borderId="2" xfId="48" applyNumberFormat="1" applyFont="1" applyBorder="1" applyAlignment="1" applyProtection="1">
      <alignment horizontal="center"/>
      <protection locked="0"/>
    </xf>
    <xf numFmtId="0" fontId="0" fillId="0" borderId="0" xfId="0" applyAlignment="1">
      <alignment vertical="center"/>
    </xf>
    <xf numFmtId="3" fontId="0" fillId="0" borderId="40" xfId="0" applyNumberFormat="1" applyBorder="1" applyAlignment="1">
      <alignment horizontal="center" vertical="center"/>
    </xf>
    <xf numFmtId="3" fontId="0" fillId="0" borderId="2" xfId="16" applyNumberFormat="1" applyFont="1" applyFill="1" applyBorder="1" applyAlignment="1">
      <alignment horizontal="center" vertical="center"/>
    </xf>
    <xf numFmtId="3" fontId="0" fillId="0" borderId="40" xfId="16" applyNumberFormat="1" applyFont="1" applyFill="1" applyBorder="1" applyAlignment="1">
      <alignment horizontal="center" vertical="center"/>
    </xf>
    <xf numFmtId="3" fontId="0" fillId="0" borderId="2" xfId="0" applyNumberFormat="1" applyBorder="1" applyAlignment="1">
      <alignment horizontal="center" vertical="center"/>
    </xf>
    <xf numFmtId="0" fontId="1" fillId="0" borderId="40" xfId="47" applyFont="1" applyBorder="1" applyAlignment="1">
      <alignment horizontal="right" vertical="center"/>
    </xf>
    <xf numFmtId="0" fontId="0" fillId="0" borderId="40" xfId="0" applyBorder="1" applyAlignment="1">
      <alignment horizontal="right" vertical="center"/>
    </xf>
    <xf numFmtId="0" fontId="1" fillId="0" borderId="40" xfId="48" applyFont="1" applyBorder="1" applyAlignment="1" applyProtection="1">
      <alignment horizontal="right" vertical="center"/>
      <protection locked="0"/>
    </xf>
    <xf numFmtId="0" fontId="1" fillId="0" borderId="76" xfId="47" applyFont="1" applyBorder="1" applyAlignment="1" applyProtection="1">
      <alignment horizontal="right" vertical="center"/>
      <protection locked="0"/>
    </xf>
    <xf numFmtId="0" fontId="0" fillId="0" borderId="0" xfId="0" applyAlignment="1">
      <alignment horizontal="right" vertical="center"/>
    </xf>
    <xf numFmtId="2" fontId="1" fillId="0" borderId="0" xfId="47" applyNumberFormat="1" applyFont="1" applyAlignment="1" applyProtection="1">
      <alignment horizontal="right" vertical="center"/>
      <protection locked="0"/>
    </xf>
    <xf numFmtId="171" fontId="0" fillId="0" borderId="2" xfId="8" applyNumberFormat="1" applyFont="1" applyFill="1" applyBorder="1" applyAlignment="1">
      <alignment horizontal="center" vertical="center"/>
    </xf>
    <xf numFmtId="171" fontId="0" fillId="0" borderId="2" xfId="8" applyNumberFormat="1" applyFont="1" applyFill="1" applyBorder="1" applyAlignment="1">
      <alignment horizontal="center"/>
    </xf>
    <xf numFmtId="171" fontId="1" fillId="0" borderId="2" xfId="8" applyNumberFormat="1" applyFont="1" applyFill="1" applyBorder="1" applyAlignment="1" applyProtection="1">
      <alignment horizontal="center"/>
      <protection locked="0"/>
    </xf>
    <xf numFmtId="171" fontId="1" fillId="0" borderId="2" xfId="8" applyNumberFormat="1" applyFont="1" applyFill="1" applyBorder="1" applyAlignment="1" applyProtection="1">
      <protection locked="0"/>
    </xf>
    <xf numFmtId="171" fontId="0" fillId="0" borderId="93" xfId="8" applyNumberFormat="1" applyFont="1" applyFill="1" applyBorder="1" applyAlignment="1">
      <alignment horizontal="center"/>
    </xf>
    <xf numFmtId="171" fontId="0" fillId="0" borderId="0" xfId="8" applyNumberFormat="1" applyFont="1" applyFill="1" applyAlignment="1">
      <alignment horizontal="center"/>
    </xf>
    <xf numFmtId="0" fontId="24" fillId="10" borderId="0" xfId="0" applyFont="1" applyFill="1" applyAlignment="1">
      <alignment horizontal="left" wrapText="1"/>
    </xf>
    <xf numFmtId="172" fontId="5" fillId="0" borderId="0" xfId="65" applyFont="1" applyProtection="1">
      <protection locked="0"/>
    </xf>
    <xf numFmtId="172" fontId="65" fillId="0" borderId="0" xfId="65" applyFont="1" applyProtection="1">
      <protection locked="0"/>
    </xf>
    <xf numFmtId="1" fontId="65" fillId="0" borderId="0" xfId="65" applyNumberFormat="1" applyFont="1" applyProtection="1">
      <protection locked="0"/>
    </xf>
    <xf numFmtId="173" fontId="65" fillId="0" borderId="0" xfId="65" applyNumberFormat="1" applyFont="1" applyProtection="1">
      <protection locked="0"/>
    </xf>
    <xf numFmtId="0" fontId="65" fillId="0" borderId="0" xfId="65" applyNumberFormat="1" applyFont="1" applyProtection="1">
      <protection locked="0"/>
    </xf>
    <xf numFmtId="0" fontId="65" fillId="0" borderId="0" xfId="65" applyNumberFormat="1" applyFont="1" applyAlignment="1" applyProtection="1">
      <alignment horizontal="center"/>
      <protection locked="0"/>
    </xf>
    <xf numFmtId="172" fontId="19" fillId="0" borderId="0" xfId="65" applyFont="1" applyAlignment="1" applyProtection="1">
      <alignment horizontal="center" vertical="center"/>
      <protection locked="0"/>
    </xf>
    <xf numFmtId="172" fontId="19" fillId="0" borderId="0" xfId="65" applyFont="1" applyAlignment="1" applyProtection="1">
      <alignment vertical="center"/>
      <protection locked="0"/>
    </xf>
    <xf numFmtId="172" fontId="5" fillId="0" borderId="0" xfId="65" applyFont="1" applyAlignment="1" applyProtection="1">
      <alignment vertical="center"/>
      <protection locked="0"/>
    </xf>
    <xf numFmtId="172" fontId="65" fillId="0" borderId="0" xfId="65" applyFont="1" applyAlignment="1" applyProtection="1">
      <alignment vertical="center"/>
      <protection locked="0"/>
    </xf>
    <xf numFmtId="1" fontId="65" fillId="0" borderId="0" xfId="65" applyNumberFormat="1" applyFont="1" applyAlignment="1" applyProtection="1">
      <alignment vertical="center"/>
      <protection locked="0"/>
    </xf>
    <xf numFmtId="173" fontId="65" fillId="0" borderId="0" xfId="65" applyNumberFormat="1" applyFont="1" applyAlignment="1" applyProtection="1">
      <alignment vertical="center"/>
      <protection locked="0"/>
    </xf>
    <xf numFmtId="0" fontId="65" fillId="0" borderId="0" xfId="65" applyNumberFormat="1" applyFont="1" applyAlignment="1" applyProtection="1">
      <alignment vertical="center"/>
      <protection locked="0"/>
    </xf>
    <xf numFmtId="0" fontId="65" fillId="0" borderId="0" xfId="65" applyNumberFormat="1" applyFont="1" applyAlignment="1" applyProtection="1">
      <alignment horizontal="center" vertical="center"/>
      <protection locked="0"/>
    </xf>
    <xf numFmtId="172" fontId="65" fillId="0" borderId="0" xfId="65" applyFont="1" applyAlignment="1" applyProtection="1">
      <alignment horizontal="center" vertical="center"/>
      <protection locked="0"/>
    </xf>
    <xf numFmtId="174" fontId="65" fillId="0" borderId="0" xfId="65" applyNumberFormat="1" applyFont="1" applyAlignment="1" applyProtection="1">
      <alignment horizontal="center" vertical="center"/>
      <protection locked="0"/>
    </xf>
    <xf numFmtId="172" fontId="65" fillId="0" borderId="99" xfId="65" applyFont="1" applyBorder="1" applyAlignment="1" applyProtection="1">
      <alignment horizontal="center" vertical="center"/>
      <protection locked="0"/>
    </xf>
    <xf numFmtId="172" fontId="19" fillId="2" borderId="76" xfId="65" applyFont="1" applyFill="1" applyBorder="1" applyAlignment="1" applyProtection="1">
      <alignment horizontal="center" vertical="center"/>
      <protection locked="0"/>
    </xf>
    <xf numFmtId="172" fontId="19" fillId="2" borderId="93" xfId="65" applyFont="1" applyFill="1" applyBorder="1" applyAlignment="1" applyProtection="1">
      <alignment horizontal="center" vertical="center"/>
      <protection locked="0"/>
    </xf>
    <xf numFmtId="172" fontId="65" fillId="0" borderId="87" xfId="65" applyFont="1" applyBorder="1" applyAlignment="1" applyProtection="1">
      <alignment horizontal="center" vertical="center"/>
      <protection locked="0"/>
    </xf>
    <xf numFmtId="172" fontId="65" fillId="0" borderId="41" xfId="65" applyFont="1" applyBorder="1" applyAlignment="1" applyProtection="1">
      <alignment horizontal="center" vertical="center"/>
      <protection locked="0"/>
    </xf>
    <xf numFmtId="172" fontId="65" fillId="0" borderId="86" xfId="65" applyFont="1" applyBorder="1" applyAlignment="1" applyProtection="1">
      <alignment horizontal="center" vertical="center"/>
      <protection locked="0"/>
    </xf>
    <xf numFmtId="0" fontId="65" fillId="0" borderId="14" xfId="65" quotePrefix="1" applyNumberFormat="1" applyFont="1" applyBorder="1" applyAlignment="1" applyProtection="1">
      <alignment horizontal="center" vertical="center"/>
      <protection locked="0"/>
    </xf>
    <xf numFmtId="172" fontId="17" fillId="0" borderId="87" xfId="65" applyFont="1" applyBorder="1" applyAlignment="1" applyProtection="1">
      <alignment horizontal="center" vertical="center"/>
      <protection locked="0"/>
    </xf>
    <xf numFmtId="0" fontId="17" fillId="0" borderId="14" xfId="65" quotePrefix="1" applyNumberFormat="1" applyFont="1" applyBorder="1" applyAlignment="1" applyProtection="1">
      <alignment horizontal="center" vertical="center"/>
      <protection locked="0"/>
    </xf>
    <xf numFmtId="172" fontId="65" fillId="0" borderId="110" xfId="65" applyFont="1" applyBorder="1" applyAlignment="1" applyProtection="1">
      <alignment horizontal="center" vertical="center"/>
      <protection locked="0"/>
    </xf>
    <xf numFmtId="172" fontId="66" fillId="0" borderId="0" xfId="65" applyFont="1" applyAlignment="1" applyProtection="1">
      <alignment vertical="center"/>
      <protection locked="0"/>
    </xf>
    <xf numFmtId="172" fontId="65" fillId="0" borderId="107" xfId="65" applyFont="1" applyBorder="1" applyAlignment="1" applyProtection="1">
      <alignment vertical="center"/>
      <protection locked="0"/>
    </xf>
    <xf numFmtId="172" fontId="65" fillId="0" borderId="112" xfId="65" applyFont="1" applyBorder="1" applyAlignment="1" applyProtection="1">
      <alignment vertical="center"/>
      <protection locked="0"/>
    </xf>
    <xf numFmtId="0" fontId="65" fillId="0" borderId="111" xfId="65" applyNumberFormat="1" applyFont="1" applyBorder="1" applyAlignment="1" applyProtection="1">
      <alignment vertical="center"/>
      <protection locked="0"/>
    </xf>
    <xf numFmtId="1" fontId="65" fillId="9" borderId="0" xfId="65" applyNumberFormat="1" applyFont="1" applyFill="1" applyProtection="1">
      <protection locked="0"/>
    </xf>
    <xf numFmtId="172" fontId="65" fillId="0" borderId="19" xfId="65" applyFont="1" applyBorder="1" applyProtection="1">
      <protection locked="0"/>
    </xf>
    <xf numFmtId="1" fontId="67" fillId="0" borderId="19" xfId="65" applyNumberFormat="1" applyFont="1" applyBorder="1" applyAlignment="1" applyProtection="1">
      <alignment horizontal="center" vertical="center"/>
      <protection locked="0"/>
    </xf>
    <xf numFmtId="173" fontId="67" fillId="0" borderId="19" xfId="65" applyNumberFormat="1" applyFont="1" applyBorder="1" applyAlignment="1" applyProtection="1">
      <alignment horizontal="center" vertical="center"/>
      <protection locked="0"/>
    </xf>
    <xf numFmtId="172" fontId="67" fillId="0" borderId="19" xfId="65" applyFont="1" applyBorder="1" applyAlignment="1" applyProtection="1">
      <alignment horizontal="center" vertical="center"/>
      <protection locked="0"/>
    </xf>
    <xf numFmtId="172" fontId="68" fillId="0" borderId="19" xfId="65" applyFont="1" applyBorder="1" applyAlignment="1" applyProtection="1">
      <alignment horizontal="center" vertical="center"/>
      <protection locked="0"/>
    </xf>
    <xf numFmtId="172" fontId="67" fillId="0" borderId="19" xfId="65" quotePrefix="1" applyFont="1" applyBorder="1" applyAlignment="1" applyProtection="1">
      <alignment horizontal="center" vertical="center"/>
      <protection locked="0"/>
    </xf>
    <xf numFmtId="172" fontId="68" fillId="0" borderId="19" xfId="65" applyFont="1" applyBorder="1" applyAlignment="1">
      <alignment horizontal="center" vertical="center"/>
    </xf>
    <xf numFmtId="172" fontId="69" fillId="0" borderId="19" xfId="65" applyFont="1" applyBorder="1" applyAlignment="1" applyProtection="1">
      <alignment horizontal="center" vertical="center" wrapText="1"/>
      <protection locked="0"/>
    </xf>
    <xf numFmtId="0" fontId="67" fillId="0" borderId="19" xfId="65" applyNumberFormat="1" applyFont="1" applyBorder="1" applyAlignment="1" applyProtection="1">
      <alignment horizontal="center" vertical="center"/>
      <protection locked="0"/>
    </xf>
    <xf numFmtId="49" fontId="67" fillId="0" borderId="19" xfId="65" applyNumberFormat="1" applyFont="1" applyBorder="1" applyAlignment="1" applyProtection="1">
      <alignment horizontal="center" vertical="center"/>
      <protection locked="0"/>
    </xf>
    <xf numFmtId="172" fontId="67" fillId="0" borderId="19" xfId="65" applyFont="1" applyBorder="1" applyAlignment="1" applyProtection="1">
      <alignment horizontal="center" vertical="center" wrapText="1"/>
      <protection locked="0"/>
    </xf>
    <xf numFmtId="168" fontId="17" fillId="0" borderId="19" xfId="16" applyNumberFormat="1" applyFont="1" applyFill="1" applyBorder="1" applyAlignment="1" applyProtection="1">
      <alignment horizontal="center" vertical="center"/>
      <protection locked="0"/>
    </xf>
    <xf numFmtId="168" fontId="17" fillId="0" borderId="19" xfId="16" applyNumberFormat="1" applyFont="1" applyFill="1" applyBorder="1" applyAlignment="1">
      <alignment horizontal="center" vertical="center"/>
    </xf>
    <xf numFmtId="171" fontId="69" fillId="0" borderId="19" xfId="16" applyNumberFormat="1" applyFont="1" applyFill="1" applyBorder="1" applyAlignment="1" applyProtection="1">
      <alignment horizontal="center" vertical="center"/>
      <protection locked="0"/>
    </xf>
    <xf numFmtId="171" fontId="67" fillId="0" borderId="19" xfId="16" applyNumberFormat="1" applyFont="1" applyFill="1" applyBorder="1" applyAlignment="1" applyProtection="1">
      <alignment horizontal="center" vertical="center"/>
      <protection locked="0"/>
    </xf>
    <xf numFmtId="172" fontId="69" fillId="0" borderId="19" xfId="65" applyFont="1" applyBorder="1" applyAlignment="1" applyProtection="1">
      <alignment horizontal="left" vertical="center" wrapText="1"/>
      <protection locked="0"/>
    </xf>
    <xf numFmtId="175" fontId="17" fillId="0" borderId="19" xfId="65" applyNumberFormat="1" applyFont="1" applyBorder="1" applyAlignment="1" applyProtection="1">
      <alignment horizontal="center" vertical="center" wrapText="1"/>
      <protection locked="0"/>
    </xf>
    <xf numFmtId="175" fontId="69" fillId="0" borderId="19" xfId="65" applyNumberFormat="1" applyFont="1" applyBorder="1" applyAlignment="1" applyProtection="1">
      <alignment horizontal="center" vertical="center" wrapText="1"/>
      <protection locked="0"/>
    </xf>
    <xf numFmtId="172" fontId="17" fillId="0" borderId="19" xfId="65" applyFont="1" applyBorder="1" applyAlignment="1" applyProtection="1">
      <alignment horizontal="left" vertical="center" wrapText="1"/>
      <protection locked="0"/>
    </xf>
    <xf numFmtId="0" fontId="17" fillId="0" borderId="19" xfId="65" applyNumberFormat="1" applyFont="1" applyBorder="1" applyAlignment="1" applyProtection="1">
      <alignment horizontal="left" vertical="center"/>
      <protection locked="0"/>
    </xf>
    <xf numFmtId="0" fontId="69" fillId="0" borderId="19" xfId="65" applyNumberFormat="1" applyFont="1" applyBorder="1" applyAlignment="1" applyProtection="1">
      <alignment horizontal="center" vertical="center"/>
      <protection locked="0"/>
    </xf>
    <xf numFmtId="172" fontId="70" fillId="0" borderId="19" xfId="65" applyFont="1" applyBorder="1" applyAlignment="1" applyProtection="1">
      <alignment horizontal="center" vertical="center"/>
      <protection locked="0"/>
    </xf>
    <xf numFmtId="172" fontId="71" fillId="0" borderId="0" xfId="65" applyFont="1"/>
    <xf numFmtId="1" fontId="23" fillId="9" borderId="0" xfId="65" applyNumberFormat="1" applyFont="1" applyFill="1"/>
    <xf numFmtId="172" fontId="23" fillId="0" borderId="0" xfId="65" applyFont="1"/>
    <xf numFmtId="172" fontId="23" fillId="0" borderId="19" xfId="65" applyFont="1" applyBorder="1"/>
    <xf numFmtId="172" fontId="23" fillId="0" borderId="19" xfId="65" quotePrefix="1" applyFont="1" applyBorder="1" applyAlignment="1">
      <alignment horizontal="center" vertical="center"/>
    </xf>
    <xf numFmtId="173" fontId="23" fillId="0" borderId="19" xfId="65" quotePrefix="1" applyNumberFormat="1" applyFont="1" applyBorder="1" applyAlignment="1">
      <alignment horizontal="center" vertical="center"/>
    </xf>
    <xf numFmtId="172" fontId="23" fillId="0" borderId="19" xfId="65" applyFont="1" applyBorder="1" applyAlignment="1">
      <alignment horizontal="center" vertical="center"/>
    </xf>
    <xf numFmtId="172" fontId="23" fillId="0" borderId="19" xfId="65" applyFont="1" applyBorder="1" applyAlignment="1">
      <alignment horizontal="center" vertical="center" wrapText="1"/>
    </xf>
    <xf numFmtId="0" fontId="23" fillId="0" borderId="19" xfId="65" applyNumberFormat="1" applyFont="1" applyBorder="1" applyAlignment="1">
      <alignment horizontal="center" vertical="center"/>
    </xf>
    <xf numFmtId="49" fontId="23" fillId="0" borderId="19" xfId="65" applyNumberFormat="1" applyFont="1" applyBorder="1" applyAlignment="1">
      <alignment horizontal="center" vertical="center"/>
    </xf>
    <xf numFmtId="172" fontId="69" fillId="0" borderId="19" xfId="65" applyFont="1" applyBorder="1" applyAlignment="1">
      <alignment horizontal="center" vertical="center"/>
    </xf>
    <xf numFmtId="172" fontId="69" fillId="0" borderId="19" xfId="65" applyFont="1" applyBorder="1" applyAlignment="1">
      <alignment horizontal="center" vertical="center" wrapText="1"/>
    </xf>
    <xf numFmtId="168" fontId="23" fillId="0" borderId="19" xfId="16" applyNumberFormat="1" applyFont="1" applyFill="1" applyBorder="1" applyAlignment="1">
      <alignment horizontal="center" vertical="center"/>
    </xf>
    <xf numFmtId="171" fontId="23" fillId="0" borderId="19" xfId="16" applyNumberFormat="1" applyFont="1" applyFill="1" applyBorder="1" applyAlignment="1">
      <alignment horizontal="center" vertical="center"/>
    </xf>
    <xf numFmtId="0" fontId="69" fillId="0" borderId="19" xfId="65" applyNumberFormat="1" applyFont="1" applyBorder="1" applyAlignment="1">
      <alignment horizontal="center" vertical="center"/>
    </xf>
    <xf numFmtId="172" fontId="69" fillId="0" borderId="19" xfId="65" quotePrefix="1" applyFont="1" applyBorder="1" applyAlignment="1">
      <alignment horizontal="center" vertical="center" wrapText="1"/>
    </xf>
    <xf numFmtId="172" fontId="23" fillId="0" borderId="19" xfId="65" applyFont="1" applyBorder="1" applyAlignment="1">
      <alignment horizontal="left" vertical="center" wrapText="1"/>
    </xf>
    <xf numFmtId="172" fontId="69" fillId="0" borderId="19" xfId="65" applyFont="1" applyBorder="1" applyAlignment="1">
      <alignment horizontal="left" vertical="center" wrapText="1"/>
    </xf>
    <xf numFmtId="175" fontId="17" fillId="0" borderId="19" xfId="65" applyNumberFormat="1" applyFont="1" applyBorder="1" applyAlignment="1">
      <alignment horizontal="center" vertical="center" wrapText="1"/>
    </xf>
    <xf numFmtId="175" fontId="69" fillId="0" borderId="19" xfId="65" applyNumberFormat="1" applyFont="1" applyBorder="1" applyAlignment="1">
      <alignment horizontal="center" vertical="center" wrapText="1"/>
    </xf>
    <xf numFmtId="172" fontId="70" fillId="0" borderId="19" xfId="65" applyFont="1" applyBorder="1" applyAlignment="1">
      <alignment horizontal="center" vertical="center"/>
    </xf>
    <xf numFmtId="0" fontId="67" fillId="0" borderId="19" xfId="65" quotePrefix="1" applyNumberFormat="1" applyFont="1" applyBorder="1" applyAlignment="1" applyProtection="1">
      <alignment horizontal="center" vertical="center"/>
      <protection locked="0"/>
    </xf>
    <xf numFmtId="1" fontId="67" fillId="0" borderId="19" xfId="65" quotePrefix="1" applyNumberFormat="1" applyFont="1" applyBorder="1" applyAlignment="1" applyProtection="1">
      <alignment horizontal="center" vertical="center"/>
      <protection locked="0"/>
    </xf>
    <xf numFmtId="173" fontId="67" fillId="0" borderId="19" xfId="65" quotePrefix="1" applyNumberFormat="1" applyFont="1" applyBorder="1" applyAlignment="1" applyProtection="1">
      <alignment horizontal="center" vertical="center"/>
      <protection locked="0"/>
    </xf>
    <xf numFmtId="172" fontId="67" fillId="0" borderId="113" xfId="65" quotePrefix="1" applyFont="1" applyBorder="1" applyAlignment="1" applyProtection="1">
      <alignment horizontal="center" vertical="center"/>
      <protection locked="0"/>
    </xf>
    <xf numFmtId="172" fontId="67" fillId="0" borderId="113" xfId="65" applyFont="1" applyBorder="1" applyAlignment="1" applyProtection="1">
      <alignment horizontal="center" vertical="center"/>
      <protection locked="0"/>
    </xf>
    <xf numFmtId="172" fontId="68" fillId="0" borderId="113" xfId="65" applyFont="1" applyBorder="1" applyAlignment="1" applyProtection="1">
      <alignment horizontal="center" vertical="center"/>
      <protection locked="0"/>
    </xf>
    <xf numFmtId="172" fontId="69" fillId="0" borderId="113" xfId="65" applyFont="1" applyBorder="1" applyAlignment="1" applyProtection="1">
      <alignment horizontal="center" vertical="center" wrapText="1"/>
      <protection locked="0"/>
    </xf>
    <xf numFmtId="0" fontId="67" fillId="0" borderId="113" xfId="65" applyNumberFormat="1" applyFont="1" applyBorder="1" applyAlignment="1" applyProtection="1">
      <alignment horizontal="center" vertical="center"/>
      <protection locked="0"/>
    </xf>
    <xf numFmtId="49" fontId="67" fillId="0" borderId="113" xfId="65" applyNumberFormat="1" applyFont="1" applyBorder="1" applyAlignment="1" applyProtection="1">
      <alignment horizontal="center" vertical="center"/>
      <protection locked="0"/>
    </xf>
    <xf numFmtId="172" fontId="68" fillId="0" borderId="113" xfId="65" applyFont="1" applyBorder="1" applyAlignment="1">
      <alignment horizontal="center" vertical="center"/>
    </xf>
    <xf numFmtId="172" fontId="67" fillId="0" borderId="113" xfId="65" applyFont="1" applyBorder="1" applyAlignment="1" applyProtection="1">
      <alignment horizontal="center" vertical="center" wrapText="1"/>
      <protection locked="0"/>
    </xf>
    <xf numFmtId="168" fontId="17" fillId="0" borderId="113" xfId="16" applyNumberFormat="1" applyFont="1" applyFill="1" applyBorder="1" applyAlignment="1" applyProtection="1">
      <alignment horizontal="center" vertical="center"/>
      <protection locked="0"/>
    </xf>
    <xf numFmtId="168" fontId="17" fillId="0" borderId="113" xfId="16" applyNumberFormat="1" applyFont="1" applyFill="1" applyBorder="1" applyAlignment="1">
      <alignment horizontal="center" vertical="center"/>
    </xf>
    <xf numFmtId="171" fontId="69" fillId="0" borderId="113" xfId="16" applyNumberFormat="1" applyFont="1" applyFill="1" applyBorder="1" applyAlignment="1" applyProtection="1">
      <alignment horizontal="center" vertical="center"/>
      <protection locked="0"/>
    </xf>
    <xf numFmtId="171" fontId="67" fillId="0" borderId="113" xfId="16" applyNumberFormat="1" applyFont="1" applyFill="1" applyBorder="1" applyAlignment="1" applyProtection="1">
      <alignment horizontal="center" vertical="center"/>
      <protection locked="0"/>
    </xf>
    <xf numFmtId="0" fontId="67" fillId="0" borderId="113" xfId="65" quotePrefix="1" applyNumberFormat="1" applyFont="1" applyBorder="1" applyAlignment="1" applyProtection="1">
      <alignment horizontal="center" vertical="center"/>
      <protection locked="0"/>
    </xf>
    <xf numFmtId="172" fontId="69" fillId="0" borderId="113" xfId="65" applyFont="1" applyBorder="1" applyAlignment="1" applyProtection="1">
      <alignment horizontal="left" vertical="center" wrapText="1"/>
      <protection locked="0"/>
    </xf>
    <xf numFmtId="175" fontId="17" fillId="0" borderId="113" xfId="65" applyNumberFormat="1" applyFont="1" applyBorder="1" applyAlignment="1" applyProtection="1">
      <alignment horizontal="center" vertical="center" wrapText="1"/>
      <protection locked="0"/>
    </xf>
    <xf numFmtId="175" fontId="69" fillId="0" borderId="113" xfId="65" applyNumberFormat="1" applyFont="1" applyBorder="1" applyAlignment="1" applyProtection="1">
      <alignment horizontal="center" vertical="center" wrapText="1"/>
      <protection locked="0"/>
    </xf>
    <xf numFmtId="172" fontId="17" fillId="0" borderId="113" xfId="65" applyFont="1" applyBorder="1" applyAlignment="1" applyProtection="1">
      <alignment horizontal="left" vertical="center" wrapText="1"/>
      <protection locked="0"/>
    </xf>
    <xf numFmtId="0" fontId="17" fillId="0" borderId="113" xfId="65" applyNumberFormat="1" applyFont="1" applyBorder="1" applyAlignment="1" applyProtection="1">
      <alignment horizontal="left" vertical="center"/>
      <protection locked="0"/>
    </xf>
    <xf numFmtId="0" fontId="69" fillId="0" borderId="113" xfId="65" applyNumberFormat="1" applyFont="1" applyBorder="1" applyAlignment="1" applyProtection="1">
      <alignment horizontal="center" vertical="center"/>
      <protection locked="0"/>
    </xf>
    <xf numFmtId="172" fontId="70" fillId="0" borderId="113" xfId="65" applyFont="1" applyBorder="1" applyAlignment="1">
      <alignment horizontal="center" vertical="center"/>
    </xf>
    <xf numFmtId="172" fontId="5" fillId="0" borderId="0" xfId="65" applyFont="1"/>
    <xf numFmtId="172" fontId="65" fillId="0" borderId="0" xfId="65" applyFont="1"/>
    <xf numFmtId="1" fontId="65" fillId="0" borderId="0" xfId="65" applyNumberFormat="1" applyFont="1" applyAlignment="1">
      <alignment wrapText="1"/>
    </xf>
    <xf numFmtId="172" fontId="65" fillId="0" borderId="19" xfId="65" applyFont="1" applyBorder="1" applyAlignment="1">
      <alignment wrapText="1"/>
    </xf>
    <xf numFmtId="172" fontId="72" fillId="0" borderId="19" xfId="65" applyFont="1" applyBorder="1" applyAlignment="1">
      <alignment horizontal="center" vertical="center" wrapText="1"/>
    </xf>
    <xf numFmtId="172" fontId="67" fillId="0" borderId="19" xfId="65" quotePrefix="1" applyFont="1" applyBorder="1" applyAlignment="1">
      <alignment horizontal="center" vertical="center"/>
    </xf>
    <xf numFmtId="173" fontId="67" fillId="0" borderId="19" xfId="65" quotePrefix="1" applyNumberFormat="1" applyFont="1" applyBorder="1" applyAlignment="1">
      <alignment horizontal="center" vertical="center"/>
    </xf>
    <xf numFmtId="172" fontId="67" fillId="0" borderId="19" xfId="65" applyFont="1" applyBorder="1" applyAlignment="1">
      <alignment horizontal="center" vertical="center"/>
    </xf>
    <xf numFmtId="0" fontId="67" fillId="0" borderId="19" xfId="65" applyNumberFormat="1" applyFont="1" applyBorder="1" applyAlignment="1">
      <alignment horizontal="center" vertical="center"/>
    </xf>
    <xf numFmtId="49" fontId="67" fillId="0" borderId="19" xfId="65" applyNumberFormat="1" applyFont="1" applyBorder="1" applyAlignment="1">
      <alignment horizontal="center" vertical="center"/>
    </xf>
    <xf numFmtId="172" fontId="67" fillId="0" borderId="19" xfId="65" applyFont="1" applyBorder="1" applyAlignment="1">
      <alignment horizontal="center" vertical="center" wrapText="1"/>
    </xf>
    <xf numFmtId="171" fontId="69" fillId="0" borderId="19" xfId="16" applyNumberFormat="1" applyFont="1" applyFill="1" applyBorder="1" applyAlignment="1">
      <alignment horizontal="center" vertical="center"/>
    </xf>
    <xf numFmtId="171" fontId="67" fillId="0" borderId="19" xfId="16" applyNumberFormat="1" applyFont="1" applyFill="1" applyBorder="1" applyAlignment="1">
      <alignment horizontal="center" vertical="center"/>
    </xf>
    <xf numFmtId="172" fontId="17" fillId="0" borderId="19" xfId="65" applyFont="1" applyBorder="1" applyAlignment="1">
      <alignment horizontal="left" vertical="center" wrapText="1"/>
    </xf>
    <xf numFmtId="0" fontId="17" fillId="0" borderId="19" xfId="65" applyNumberFormat="1" applyFont="1" applyBorder="1" applyAlignment="1">
      <alignment horizontal="left" vertical="center"/>
    </xf>
    <xf numFmtId="173" fontId="67" fillId="0" borderId="19" xfId="65" applyNumberFormat="1" applyFont="1" applyBorder="1" applyAlignment="1">
      <alignment horizontal="center" vertical="center"/>
    </xf>
    <xf numFmtId="1" fontId="65" fillId="0" borderId="0" xfId="65" applyNumberFormat="1" applyFont="1" applyAlignment="1" applyProtection="1">
      <alignment wrapText="1"/>
      <protection locked="0"/>
    </xf>
    <xf numFmtId="172" fontId="65" fillId="0" borderId="19" xfId="65" applyFont="1" applyBorder="1" applyAlignment="1" applyProtection="1">
      <alignment wrapText="1"/>
      <protection locked="0"/>
    </xf>
    <xf numFmtId="172" fontId="72" fillId="0" borderId="19" xfId="65" applyFont="1" applyBorder="1" applyAlignment="1" applyProtection="1">
      <alignment horizontal="center" vertical="center" wrapText="1"/>
      <protection locked="0"/>
    </xf>
    <xf numFmtId="1" fontId="67" fillId="0" borderId="19" xfId="65" applyNumberFormat="1" applyFont="1" applyBorder="1" applyAlignment="1">
      <alignment horizontal="center" vertical="center"/>
    </xf>
    <xf numFmtId="172" fontId="72" fillId="7" borderId="19" xfId="65" applyFont="1" applyFill="1" applyBorder="1" applyAlignment="1">
      <alignment horizontal="center" vertical="center" wrapText="1"/>
    </xf>
    <xf numFmtId="172" fontId="65" fillId="0" borderId="19" xfId="65" applyFont="1" applyBorder="1"/>
    <xf numFmtId="1" fontId="65" fillId="0" borderId="0" xfId="65" applyNumberFormat="1" applyFont="1"/>
    <xf numFmtId="0" fontId="67" fillId="0" borderId="19" xfId="65" quotePrefix="1" applyNumberFormat="1" applyFont="1" applyBorder="1" applyAlignment="1">
      <alignment horizontal="center" vertical="center"/>
    </xf>
    <xf numFmtId="172" fontId="73" fillId="0" borderId="19" xfId="65" applyFont="1" applyBorder="1" applyAlignment="1">
      <alignment horizontal="left" vertical="center" wrapText="1"/>
    </xf>
    <xf numFmtId="175" fontId="74" fillId="0" borderId="19" xfId="65" applyNumberFormat="1" applyFont="1" applyBorder="1" applyAlignment="1">
      <alignment horizontal="center" vertical="center" wrapText="1"/>
    </xf>
    <xf numFmtId="175" fontId="73" fillId="0" borderId="19" xfId="65" applyNumberFormat="1" applyFont="1" applyBorder="1" applyAlignment="1">
      <alignment horizontal="center" vertical="center" wrapText="1"/>
    </xf>
    <xf numFmtId="172" fontId="74" fillId="0" borderId="19" xfId="65" applyFont="1" applyBorder="1" applyAlignment="1">
      <alignment horizontal="left" vertical="center" wrapText="1"/>
    </xf>
    <xf numFmtId="0" fontId="74" fillId="0" borderId="19" xfId="65" applyNumberFormat="1" applyFont="1" applyBorder="1" applyAlignment="1">
      <alignment horizontal="left" vertical="center"/>
    </xf>
    <xf numFmtId="0" fontId="73" fillId="0" borderId="19" xfId="65" applyNumberFormat="1" applyFont="1" applyBorder="1" applyAlignment="1">
      <alignment horizontal="center" vertical="center"/>
    </xf>
    <xf numFmtId="172" fontId="69" fillId="0" borderId="19" xfId="65" quotePrefix="1" applyFont="1" applyBorder="1" applyAlignment="1" applyProtection="1">
      <alignment horizontal="center" vertical="center"/>
      <protection locked="0"/>
    </xf>
    <xf numFmtId="172" fontId="71" fillId="0" borderId="0" xfId="65" applyFont="1" applyProtection="1">
      <protection locked="0"/>
    </xf>
    <xf numFmtId="172" fontId="23" fillId="0" borderId="0" xfId="65" applyFont="1" applyProtection="1">
      <protection locked="0"/>
    </xf>
    <xf numFmtId="172" fontId="23" fillId="0" borderId="19" xfId="65" applyFont="1" applyBorder="1" applyProtection="1">
      <protection locked="0"/>
    </xf>
    <xf numFmtId="1" fontId="69" fillId="0" borderId="19" xfId="65" applyNumberFormat="1" applyFont="1" applyBorder="1" applyAlignment="1" applyProtection="1">
      <alignment horizontal="center" vertical="center"/>
      <protection locked="0"/>
    </xf>
    <xf numFmtId="173" fontId="69" fillId="0" borderId="19" xfId="65" applyNumberFormat="1" applyFont="1" applyBorder="1" applyAlignment="1" applyProtection="1">
      <alignment horizontal="center" vertical="center"/>
      <protection locked="0"/>
    </xf>
    <xf numFmtId="172" fontId="69" fillId="0" borderId="19" xfId="65" quotePrefix="1" applyFont="1" applyBorder="1" applyAlignment="1">
      <alignment horizontal="center" vertical="center"/>
    </xf>
    <xf numFmtId="172" fontId="75" fillId="0" borderId="19" xfId="65" applyFont="1" applyBorder="1" applyAlignment="1">
      <alignment horizontal="center" vertical="center"/>
    </xf>
    <xf numFmtId="49" fontId="69" fillId="0" borderId="19" xfId="65" applyNumberFormat="1" applyFont="1" applyBorder="1" applyAlignment="1">
      <alignment horizontal="center" vertical="center"/>
    </xf>
    <xf numFmtId="49" fontId="68" fillId="0" borderId="19" xfId="65" applyNumberFormat="1" applyFont="1" applyBorder="1" applyAlignment="1" applyProtection="1">
      <alignment horizontal="center" vertical="center"/>
      <protection locked="0"/>
    </xf>
    <xf numFmtId="172" fontId="23" fillId="0" borderId="19" xfId="65" applyFont="1" applyBorder="1" applyAlignment="1" applyProtection="1">
      <alignment horizontal="left" vertical="center" wrapText="1"/>
      <protection locked="0"/>
    </xf>
    <xf numFmtId="172" fontId="5" fillId="7" borderId="0" xfId="65" applyFont="1" applyFill="1"/>
    <xf numFmtId="1" fontId="65" fillId="7" borderId="0" xfId="65" applyNumberFormat="1" applyFont="1" applyFill="1"/>
    <xf numFmtId="1" fontId="65" fillId="7" borderId="19" xfId="65" applyNumberFormat="1" applyFont="1" applyFill="1" applyBorder="1"/>
    <xf numFmtId="172" fontId="67" fillId="7" borderId="19" xfId="65" applyFont="1" applyFill="1" applyBorder="1" applyAlignment="1">
      <alignment horizontal="center" vertical="center"/>
    </xf>
    <xf numFmtId="173" fontId="67" fillId="7" borderId="19" xfId="65" applyNumberFormat="1" applyFont="1" applyFill="1" applyBorder="1" applyAlignment="1">
      <alignment horizontal="center" vertical="center"/>
    </xf>
    <xf numFmtId="172" fontId="68" fillId="7" borderId="19" xfId="65" applyFont="1" applyFill="1" applyBorder="1" applyAlignment="1">
      <alignment horizontal="center" vertical="center"/>
    </xf>
    <xf numFmtId="172" fontId="67" fillId="7" borderId="19" xfId="65" quotePrefix="1" applyFont="1" applyFill="1" applyBorder="1" applyAlignment="1">
      <alignment horizontal="center" vertical="center"/>
    </xf>
    <xf numFmtId="49" fontId="67" fillId="7" borderId="19" xfId="65" applyNumberFormat="1" applyFont="1" applyFill="1" applyBorder="1" applyAlignment="1">
      <alignment horizontal="center" vertical="center"/>
    </xf>
    <xf numFmtId="0" fontId="67" fillId="7" borderId="19" xfId="65" applyNumberFormat="1" applyFont="1" applyFill="1" applyBorder="1" applyAlignment="1">
      <alignment horizontal="center" vertical="center"/>
    </xf>
    <xf numFmtId="172" fontId="67" fillId="7" borderId="19" xfId="65" applyFont="1" applyFill="1" applyBorder="1" applyAlignment="1">
      <alignment horizontal="center" vertical="center" wrapText="1"/>
    </xf>
    <xf numFmtId="168" fontId="17" fillId="7" borderId="19" xfId="16" applyNumberFormat="1" applyFont="1" applyFill="1" applyBorder="1" applyAlignment="1">
      <alignment horizontal="center" vertical="center"/>
    </xf>
    <xf numFmtId="171" fontId="69" fillId="7" borderId="19" xfId="16" applyNumberFormat="1" applyFont="1" applyFill="1" applyBorder="1" applyAlignment="1">
      <alignment horizontal="center" vertical="center"/>
    </xf>
    <xf numFmtId="171" fontId="67" fillId="7" borderId="19" xfId="16" applyNumberFormat="1" applyFont="1" applyFill="1" applyBorder="1" applyAlignment="1">
      <alignment horizontal="center" vertical="center"/>
    </xf>
    <xf numFmtId="172" fontId="69" fillId="7" borderId="19" xfId="65" applyFont="1" applyFill="1" applyBorder="1" applyAlignment="1">
      <alignment horizontal="center" vertical="center" wrapText="1"/>
    </xf>
    <xf numFmtId="172" fontId="69" fillId="7" borderId="19" xfId="65" applyFont="1" applyFill="1" applyBorder="1" applyAlignment="1">
      <alignment horizontal="left" vertical="center" wrapText="1"/>
    </xf>
    <xf numFmtId="175" fontId="17" fillId="7" borderId="19" xfId="65" applyNumberFormat="1" applyFont="1" applyFill="1" applyBorder="1" applyAlignment="1">
      <alignment horizontal="center" vertical="center" wrapText="1"/>
    </xf>
    <xf numFmtId="175" fontId="69" fillId="7" borderId="19" xfId="65" applyNumberFormat="1" applyFont="1" applyFill="1" applyBorder="1" applyAlignment="1">
      <alignment horizontal="center" vertical="center" wrapText="1"/>
    </xf>
    <xf numFmtId="172" fontId="17" fillId="7" borderId="19" xfId="65" applyFont="1" applyFill="1" applyBorder="1" applyAlignment="1">
      <alignment horizontal="left" vertical="center" wrapText="1"/>
    </xf>
    <xf numFmtId="0" fontId="17" fillId="7" borderId="19" xfId="65" applyNumberFormat="1" applyFont="1" applyFill="1" applyBorder="1" applyAlignment="1">
      <alignment horizontal="left" vertical="center"/>
    </xf>
    <xf numFmtId="0" fontId="69" fillId="7" borderId="19" xfId="65" applyNumberFormat="1" applyFont="1" applyFill="1" applyBorder="1" applyAlignment="1">
      <alignment horizontal="center" vertical="center"/>
    </xf>
    <xf numFmtId="172" fontId="70" fillId="7" borderId="19" xfId="65" applyFont="1" applyFill="1" applyBorder="1" applyAlignment="1">
      <alignment horizontal="center" vertical="center"/>
    </xf>
    <xf numFmtId="172" fontId="67" fillId="0" borderId="113" xfId="65" applyFont="1" applyBorder="1" applyAlignment="1">
      <alignment horizontal="center" vertical="center"/>
    </xf>
    <xf numFmtId="172" fontId="67" fillId="0" borderId="113" xfId="65" quotePrefix="1" applyFont="1" applyBorder="1" applyAlignment="1">
      <alignment horizontal="center" vertical="center"/>
    </xf>
    <xf numFmtId="49" fontId="67" fillId="0" borderId="113" xfId="65" applyNumberFormat="1" applyFont="1" applyBorder="1" applyAlignment="1">
      <alignment horizontal="center" vertical="center"/>
    </xf>
    <xf numFmtId="0" fontId="67" fillId="0" borderId="113" xfId="65" applyNumberFormat="1" applyFont="1" applyBorder="1" applyAlignment="1">
      <alignment horizontal="center" vertical="center"/>
    </xf>
    <xf numFmtId="172" fontId="67" fillId="0" borderId="113" xfId="65" applyFont="1" applyBorder="1" applyAlignment="1">
      <alignment horizontal="center" vertical="center" wrapText="1"/>
    </xf>
    <xf numFmtId="171" fontId="69" fillId="0" borderId="113" xfId="16" applyNumberFormat="1" applyFont="1" applyFill="1" applyBorder="1" applyAlignment="1">
      <alignment horizontal="center" vertical="center"/>
    </xf>
    <xf numFmtId="171" fontId="67" fillId="0" borderId="113" xfId="16" applyNumberFormat="1" applyFont="1" applyFill="1" applyBorder="1" applyAlignment="1">
      <alignment horizontal="center" vertical="center"/>
    </xf>
    <xf numFmtId="172" fontId="69" fillId="0" borderId="113" xfId="65" applyFont="1" applyBorder="1" applyAlignment="1">
      <alignment horizontal="center" vertical="center" wrapText="1"/>
    </xf>
    <xf numFmtId="172" fontId="69" fillId="0" borderId="113" xfId="65" applyFont="1" applyBorder="1" applyAlignment="1">
      <alignment horizontal="left" vertical="center" wrapText="1"/>
    </xf>
    <xf numFmtId="175" fontId="17" fillId="0" borderId="113" xfId="65" applyNumberFormat="1" applyFont="1" applyBorder="1" applyAlignment="1">
      <alignment horizontal="center" vertical="center" wrapText="1"/>
    </xf>
    <xf numFmtId="175" fontId="69" fillId="0" borderId="113" xfId="65" applyNumberFormat="1" applyFont="1" applyBorder="1" applyAlignment="1">
      <alignment horizontal="center" vertical="center" wrapText="1"/>
    </xf>
    <xf numFmtId="172" fontId="17" fillId="0" borderId="113" xfId="65" applyFont="1" applyBorder="1" applyAlignment="1">
      <alignment horizontal="left" vertical="center" wrapText="1"/>
    </xf>
    <xf numFmtId="0" fontId="17" fillId="0" borderId="113" xfId="65" applyNumberFormat="1" applyFont="1" applyBorder="1" applyAlignment="1">
      <alignment horizontal="left" vertical="center"/>
    </xf>
    <xf numFmtId="0" fontId="69" fillId="0" borderId="113" xfId="65" applyNumberFormat="1" applyFont="1" applyBorder="1" applyAlignment="1">
      <alignment horizontal="center" vertical="center"/>
    </xf>
    <xf numFmtId="1" fontId="23" fillId="0" borderId="0" xfId="65" applyNumberFormat="1" applyFont="1"/>
    <xf numFmtId="1" fontId="23" fillId="0" borderId="0" xfId="65" applyNumberFormat="1" applyFont="1" applyAlignment="1">
      <alignment wrapText="1"/>
    </xf>
    <xf numFmtId="172" fontId="23" fillId="0" borderId="19" xfId="65" applyFont="1" applyBorder="1" applyAlignment="1">
      <alignment wrapText="1"/>
    </xf>
    <xf numFmtId="173" fontId="23" fillId="0" borderId="19" xfId="65" applyNumberFormat="1" applyFont="1" applyBorder="1" applyAlignment="1">
      <alignment horizontal="center" vertical="center"/>
    </xf>
    <xf numFmtId="0" fontId="17" fillId="0" borderId="19" xfId="65" applyNumberFormat="1" applyFont="1" applyBorder="1" applyAlignment="1">
      <alignment horizontal="center" vertical="center"/>
    </xf>
    <xf numFmtId="1" fontId="65" fillId="9" borderId="0" xfId="65" applyNumberFormat="1" applyFont="1" applyFill="1"/>
    <xf numFmtId="172" fontId="72" fillId="7" borderId="19" xfId="65" applyFont="1" applyFill="1" applyBorder="1" applyAlignment="1" applyProtection="1">
      <alignment horizontal="center" vertical="center" wrapText="1"/>
      <protection locked="0"/>
    </xf>
    <xf numFmtId="172" fontId="17" fillId="7" borderId="19" xfId="65" applyFont="1" applyFill="1" applyBorder="1" applyAlignment="1" applyProtection="1">
      <alignment horizontal="center" vertical="center" wrapText="1"/>
      <protection locked="0"/>
    </xf>
    <xf numFmtId="172" fontId="67" fillId="0" borderId="1" xfId="65" quotePrefix="1" applyFont="1" applyBorder="1" applyAlignment="1" applyProtection="1">
      <alignment horizontal="center" vertical="center"/>
      <protection locked="0"/>
    </xf>
    <xf numFmtId="172" fontId="67" fillId="0" borderId="1" xfId="65" applyFont="1" applyBorder="1" applyAlignment="1" applyProtection="1">
      <alignment horizontal="center" vertical="center"/>
      <protection locked="0"/>
    </xf>
    <xf numFmtId="172" fontId="68" fillId="0" borderId="1" xfId="65" applyFont="1" applyBorder="1" applyAlignment="1">
      <alignment horizontal="center" vertical="center"/>
    </xf>
    <xf numFmtId="172" fontId="69" fillId="0" borderId="1" xfId="65" applyFont="1" applyBorder="1" applyAlignment="1" applyProtection="1">
      <alignment horizontal="center" vertical="center" wrapText="1"/>
      <protection locked="0"/>
    </xf>
    <xf numFmtId="0" fontId="67" fillId="0" borderId="1" xfId="65" applyNumberFormat="1" applyFont="1" applyBorder="1" applyAlignment="1" applyProtection="1">
      <alignment horizontal="center" vertical="center"/>
      <protection locked="0"/>
    </xf>
    <xf numFmtId="49" fontId="68" fillId="0" borderId="1" xfId="65" applyNumberFormat="1" applyFont="1" applyBorder="1" applyAlignment="1" applyProtection="1">
      <alignment horizontal="center" vertical="center"/>
      <protection locked="0"/>
    </xf>
    <xf numFmtId="49" fontId="67" fillId="0" borderId="1" xfId="65" applyNumberFormat="1" applyFont="1" applyBorder="1" applyAlignment="1" applyProtection="1">
      <alignment horizontal="center" vertical="center"/>
      <protection locked="0"/>
    </xf>
    <xf numFmtId="172" fontId="67" fillId="0" borderId="1" xfId="65" applyFont="1" applyBorder="1" applyAlignment="1" applyProtection="1">
      <alignment horizontal="center" vertical="center" wrapText="1"/>
      <protection locked="0"/>
    </xf>
    <xf numFmtId="168" fontId="17" fillId="0" borderId="1" xfId="16" applyNumberFormat="1" applyFont="1" applyFill="1" applyBorder="1" applyAlignment="1" applyProtection="1">
      <alignment horizontal="center" vertical="center"/>
      <protection locked="0"/>
    </xf>
    <xf numFmtId="168" fontId="17" fillId="0" borderId="1" xfId="16" applyNumberFormat="1" applyFont="1" applyFill="1" applyBorder="1" applyAlignment="1">
      <alignment horizontal="center" vertical="center"/>
    </xf>
    <xf numFmtId="171" fontId="69" fillId="0" borderId="1" xfId="16" applyNumberFormat="1" applyFont="1" applyFill="1" applyBorder="1" applyAlignment="1" applyProtection="1">
      <alignment horizontal="center" vertical="center"/>
      <protection locked="0"/>
    </xf>
    <xf numFmtId="171" fontId="67" fillId="0" borderId="1" xfId="16" applyNumberFormat="1" applyFont="1" applyFill="1" applyBorder="1" applyAlignment="1" applyProtection="1">
      <alignment horizontal="center" vertical="center"/>
      <protection locked="0"/>
    </xf>
    <xf numFmtId="172" fontId="69" fillId="0" borderId="1" xfId="65" applyFont="1" applyBorder="1" applyAlignment="1" applyProtection="1">
      <alignment horizontal="left" vertical="center" wrapText="1"/>
      <protection locked="0"/>
    </xf>
    <xf numFmtId="175" fontId="17" fillId="0" borderId="1" xfId="65" applyNumberFormat="1" applyFont="1" applyBorder="1" applyAlignment="1" applyProtection="1">
      <alignment horizontal="center" vertical="center" wrapText="1"/>
      <protection locked="0"/>
    </xf>
    <xf numFmtId="175" fontId="69" fillId="0" borderId="1" xfId="65" applyNumberFormat="1" applyFont="1" applyBorder="1" applyAlignment="1" applyProtection="1">
      <alignment horizontal="center" vertical="center" wrapText="1"/>
      <protection locked="0"/>
    </xf>
    <xf numFmtId="172" fontId="17" fillId="0" borderId="1" xfId="65" applyFont="1" applyBorder="1" applyAlignment="1" applyProtection="1">
      <alignment horizontal="left" vertical="center" wrapText="1"/>
      <protection locked="0"/>
    </xf>
    <xf numFmtId="0" fontId="17" fillId="0" borderId="1" xfId="65" applyNumberFormat="1" applyFont="1" applyBorder="1" applyAlignment="1" applyProtection="1">
      <alignment horizontal="left" vertical="center"/>
      <protection locked="0"/>
    </xf>
    <xf numFmtId="0" fontId="69" fillId="0" borderId="1" xfId="65" applyNumberFormat="1" applyFont="1" applyBorder="1" applyAlignment="1" applyProtection="1">
      <alignment horizontal="center" vertical="center"/>
      <protection locked="0"/>
    </xf>
    <xf numFmtId="172" fontId="70" fillId="0" borderId="1" xfId="65" applyFont="1" applyBorder="1" applyAlignment="1" applyProtection="1">
      <alignment horizontal="center" vertical="center"/>
      <protection locked="0"/>
    </xf>
    <xf numFmtId="172" fontId="67" fillId="0" borderId="114" xfId="65" applyFont="1" applyBorder="1" applyAlignment="1">
      <alignment horizontal="center" vertical="center"/>
    </xf>
    <xf numFmtId="172" fontId="67" fillId="0" borderId="114" xfId="65" applyFont="1" applyBorder="1" applyAlignment="1" applyProtection="1">
      <alignment horizontal="center" vertical="center"/>
      <protection locked="0"/>
    </xf>
    <xf numFmtId="172" fontId="68" fillId="0" borderId="114" xfId="65" applyFont="1" applyBorder="1" applyAlignment="1">
      <alignment horizontal="center" vertical="center"/>
    </xf>
    <xf numFmtId="172" fontId="67" fillId="0" borderId="114" xfId="65" quotePrefix="1" applyFont="1" applyBorder="1" applyAlignment="1">
      <alignment horizontal="center" vertical="center"/>
    </xf>
    <xf numFmtId="49" fontId="67" fillId="0" borderId="114" xfId="65" applyNumberFormat="1" applyFont="1" applyBorder="1" applyAlignment="1">
      <alignment horizontal="center" vertical="center"/>
    </xf>
    <xf numFmtId="0" fontId="67" fillId="0" borderId="114" xfId="65" applyNumberFormat="1" applyFont="1" applyBorder="1" applyAlignment="1">
      <alignment horizontal="center" vertical="center"/>
    </xf>
    <xf numFmtId="172" fontId="67" fillId="0" borderId="114" xfId="65" applyFont="1" applyBorder="1" applyAlignment="1">
      <alignment horizontal="center" vertical="center" wrapText="1"/>
    </xf>
    <xf numFmtId="168" fontId="17" fillId="0" borderId="114" xfId="16" applyNumberFormat="1" applyFont="1" applyFill="1" applyBorder="1" applyAlignment="1">
      <alignment horizontal="center" vertical="center"/>
    </xf>
    <xf numFmtId="171" fontId="69" fillId="0" borderId="114" xfId="16" applyNumberFormat="1" applyFont="1" applyFill="1" applyBorder="1" applyAlignment="1">
      <alignment horizontal="center" vertical="center"/>
    </xf>
    <xf numFmtId="171" fontId="67" fillId="0" borderId="114" xfId="16" applyNumberFormat="1" applyFont="1" applyFill="1" applyBorder="1" applyAlignment="1">
      <alignment horizontal="center" vertical="center"/>
    </xf>
    <xf numFmtId="172" fontId="69" fillId="0" borderId="114" xfId="65" applyFont="1" applyBorder="1" applyAlignment="1">
      <alignment horizontal="center" vertical="center" wrapText="1"/>
    </xf>
    <xf numFmtId="172" fontId="69" fillId="0" borderId="114" xfId="65" applyFont="1" applyBorder="1" applyAlignment="1">
      <alignment horizontal="left" vertical="center" wrapText="1"/>
    </xf>
    <xf numFmtId="175" fontId="17" fillId="0" borderId="114" xfId="65" applyNumberFormat="1" applyFont="1" applyBorder="1" applyAlignment="1">
      <alignment horizontal="center" vertical="center" wrapText="1"/>
    </xf>
    <xf numFmtId="175" fontId="69" fillId="0" borderId="114" xfId="65" applyNumberFormat="1" applyFont="1" applyBorder="1" applyAlignment="1">
      <alignment horizontal="center" vertical="center" wrapText="1"/>
    </xf>
    <xf numFmtId="172" fontId="17" fillId="0" borderId="114" xfId="65" applyFont="1" applyBorder="1" applyAlignment="1">
      <alignment horizontal="left" vertical="center" wrapText="1"/>
    </xf>
    <xf numFmtId="0" fontId="17" fillId="0" borderId="114" xfId="65" applyNumberFormat="1" applyFont="1" applyBorder="1" applyAlignment="1">
      <alignment horizontal="left" vertical="center"/>
    </xf>
    <xf numFmtId="0" fontId="69" fillId="0" borderId="114" xfId="65" applyNumberFormat="1" applyFont="1" applyBorder="1" applyAlignment="1">
      <alignment horizontal="center" vertical="center"/>
    </xf>
    <xf numFmtId="172" fontId="70" fillId="0" borderId="114" xfId="65" applyFont="1" applyBorder="1" applyAlignment="1">
      <alignment horizontal="center" vertical="center"/>
    </xf>
    <xf numFmtId="173" fontId="67" fillId="0" borderId="19" xfId="65" applyNumberFormat="1" applyFont="1" applyBorder="1" applyAlignment="1" applyProtection="1">
      <alignment horizontal="center" vertical="center" wrapText="1"/>
      <protection locked="0"/>
    </xf>
    <xf numFmtId="1" fontId="65" fillId="0" borderId="19" xfId="65" applyNumberFormat="1" applyFont="1" applyBorder="1" applyProtection="1">
      <protection locked="0"/>
    </xf>
    <xf numFmtId="1" fontId="65" fillId="0" borderId="19" xfId="65" applyNumberFormat="1" applyFont="1" applyBorder="1"/>
    <xf numFmtId="173" fontId="67" fillId="0" borderId="1" xfId="65" applyNumberFormat="1" applyFont="1" applyBorder="1" applyAlignment="1" applyProtection="1">
      <alignment horizontal="center" vertical="center"/>
      <protection locked="0"/>
    </xf>
    <xf numFmtId="1" fontId="67" fillId="0" borderId="1" xfId="65" applyNumberFormat="1" applyFont="1" applyBorder="1" applyAlignment="1" applyProtection="1">
      <alignment horizontal="center" vertical="center"/>
      <protection locked="0"/>
    </xf>
    <xf numFmtId="172" fontId="67" fillId="0" borderId="1" xfId="65" applyFont="1" applyBorder="1" applyAlignment="1">
      <alignment horizontal="center" vertical="center"/>
    </xf>
    <xf numFmtId="172" fontId="67" fillId="0" borderId="1" xfId="65" quotePrefix="1" applyFont="1" applyBorder="1" applyAlignment="1">
      <alignment horizontal="center" vertical="center"/>
    </xf>
    <xf numFmtId="172" fontId="69" fillId="0" borderId="1" xfId="65" applyFont="1" applyBorder="1" applyAlignment="1">
      <alignment horizontal="center" vertical="center" wrapText="1"/>
    </xf>
    <xf numFmtId="0" fontId="67" fillId="0" borderId="1" xfId="65" applyNumberFormat="1" applyFont="1" applyBorder="1" applyAlignment="1">
      <alignment horizontal="center" vertical="center"/>
    </xf>
    <xf numFmtId="49" fontId="67" fillId="0" borderId="1" xfId="65" applyNumberFormat="1" applyFont="1" applyBorder="1" applyAlignment="1">
      <alignment horizontal="center" vertical="center"/>
    </xf>
    <xf numFmtId="172" fontId="67" fillId="0" borderId="1" xfId="65" applyFont="1" applyBorder="1" applyAlignment="1">
      <alignment horizontal="center" vertical="center" wrapText="1"/>
    </xf>
    <xf numFmtId="171" fontId="69" fillId="0" borderId="1" xfId="16" applyNumberFormat="1" applyFont="1" applyFill="1" applyBorder="1" applyAlignment="1">
      <alignment horizontal="center" vertical="center"/>
    </xf>
    <xf numFmtId="171" fontId="67" fillId="0" borderId="1" xfId="16" applyNumberFormat="1" applyFont="1" applyFill="1" applyBorder="1" applyAlignment="1">
      <alignment horizontal="center" vertical="center"/>
    </xf>
    <xf numFmtId="172" fontId="69" fillId="0" borderId="1" xfId="65" applyFont="1" applyBorder="1" applyAlignment="1">
      <alignment horizontal="left" vertical="center" wrapText="1"/>
    </xf>
    <xf numFmtId="175" fontId="17" fillId="0" borderId="1" xfId="65" applyNumberFormat="1" applyFont="1" applyBorder="1" applyAlignment="1">
      <alignment horizontal="center" vertical="center" wrapText="1"/>
    </xf>
    <xf numFmtId="175" fontId="69" fillId="0" borderId="1" xfId="65" applyNumberFormat="1" applyFont="1" applyBorder="1" applyAlignment="1">
      <alignment horizontal="center" vertical="center" wrapText="1"/>
    </xf>
    <xf numFmtId="172" fontId="17" fillId="0" borderId="1" xfId="65" applyFont="1" applyBorder="1" applyAlignment="1">
      <alignment horizontal="left" vertical="center" wrapText="1"/>
    </xf>
    <xf numFmtId="0" fontId="17" fillId="0" borderId="1" xfId="65" applyNumberFormat="1" applyFont="1" applyBorder="1" applyAlignment="1">
      <alignment horizontal="left" vertical="center"/>
    </xf>
    <xf numFmtId="0" fontId="69" fillId="0" borderId="1" xfId="65" applyNumberFormat="1" applyFont="1" applyBorder="1" applyAlignment="1">
      <alignment horizontal="center" vertical="center"/>
    </xf>
    <xf numFmtId="172" fontId="40" fillId="3" borderId="77" xfId="65" applyFont="1" applyFill="1" applyBorder="1" applyAlignment="1" applyProtection="1">
      <alignment horizontal="center" wrapText="1"/>
      <protection locked="0"/>
    </xf>
    <xf numFmtId="172" fontId="40" fillId="3" borderId="96" xfId="65" applyFont="1" applyFill="1" applyBorder="1" applyAlignment="1" applyProtection="1">
      <alignment horizontal="center" wrapText="1"/>
      <protection locked="0"/>
    </xf>
    <xf numFmtId="1" fontId="40" fillId="9" borderId="0" xfId="65" applyNumberFormat="1" applyFont="1" applyFill="1" applyAlignment="1" applyProtection="1">
      <alignment horizontal="center" textRotation="90" wrapText="1"/>
      <protection locked="0"/>
    </xf>
    <xf numFmtId="1" fontId="40" fillId="9" borderId="89" xfId="65" applyNumberFormat="1" applyFont="1" applyFill="1" applyBorder="1" applyAlignment="1" applyProtection="1">
      <alignment horizontal="center" textRotation="90" wrapText="1"/>
      <protection locked="0"/>
    </xf>
    <xf numFmtId="172" fontId="40" fillId="9" borderId="71" xfId="65" applyFont="1" applyFill="1" applyBorder="1" applyAlignment="1" applyProtection="1">
      <alignment horizontal="center" textRotation="90" wrapText="1"/>
      <protection locked="0"/>
    </xf>
    <xf numFmtId="172" fontId="40" fillId="9" borderId="1" xfId="65" applyFont="1" applyFill="1" applyBorder="1" applyAlignment="1" applyProtection="1">
      <alignment horizontal="center" textRotation="90" wrapText="1"/>
      <protection locked="0"/>
    </xf>
    <xf numFmtId="172" fontId="40" fillId="9" borderId="70" xfId="65" applyFont="1" applyFill="1" applyBorder="1" applyAlignment="1" applyProtection="1">
      <alignment horizontal="center" textRotation="90" wrapText="1"/>
      <protection locked="0"/>
    </xf>
    <xf numFmtId="172" fontId="40" fillId="9" borderId="1" xfId="65" applyFont="1" applyFill="1" applyBorder="1" applyAlignment="1" applyProtection="1">
      <alignment horizontal="center" textRotation="90"/>
      <protection locked="0"/>
    </xf>
    <xf numFmtId="1" fontId="40" fillId="9" borderId="71" xfId="65" applyNumberFormat="1" applyFont="1" applyFill="1" applyBorder="1" applyAlignment="1" applyProtection="1">
      <alignment horizontal="center" textRotation="90"/>
      <protection locked="0"/>
    </xf>
    <xf numFmtId="1" fontId="40" fillId="9" borderId="1" xfId="65" applyNumberFormat="1" applyFont="1" applyFill="1" applyBorder="1" applyAlignment="1" applyProtection="1">
      <alignment horizontal="center" textRotation="90"/>
      <protection locked="0"/>
    </xf>
    <xf numFmtId="0" fontId="40" fillId="9" borderId="70" xfId="65" applyNumberFormat="1" applyFont="1" applyFill="1" applyBorder="1" applyAlignment="1" applyProtection="1">
      <alignment horizontal="center" textRotation="90"/>
      <protection locked="0"/>
    </xf>
    <xf numFmtId="172" fontId="40" fillId="9" borderId="71" xfId="65" applyFont="1" applyFill="1" applyBorder="1" applyAlignment="1" applyProtection="1">
      <alignment horizontal="center"/>
      <protection locked="0"/>
    </xf>
    <xf numFmtId="0" fontId="77" fillId="9" borderId="1" xfId="65" applyNumberFormat="1" applyFont="1" applyFill="1" applyBorder="1" applyAlignment="1" applyProtection="1">
      <alignment horizontal="center" vertical="center" textRotation="90"/>
      <protection locked="0"/>
    </xf>
    <xf numFmtId="0" fontId="77" fillId="9" borderId="70" xfId="65" applyNumberFormat="1" applyFont="1" applyFill="1" applyBorder="1" applyAlignment="1" applyProtection="1">
      <alignment horizontal="center" vertical="center" textRotation="90"/>
      <protection locked="0"/>
    </xf>
    <xf numFmtId="172" fontId="77" fillId="9" borderId="78" xfId="65" applyFont="1" applyFill="1" applyBorder="1" applyAlignment="1" applyProtection="1">
      <alignment horizontal="center" vertical="center" textRotation="90"/>
      <protection locked="0"/>
    </xf>
    <xf numFmtId="172" fontId="40" fillId="3" borderId="77" xfId="65" applyFont="1" applyFill="1" applyBorder="1" applyAlignment="1" applyProtection="1">
      <alignment textRotation="90" wrapText="1"/>
      <protection locked="0"/>
    </xf>
    <xf numFmtId="172" fontId="40" fillId="3" borderId="11" xfId="65" applyFont="1" applyFill="1" applyBorder="1" applyAlignment="1" applyProtection="1">
      <alignment horizontal="center" textRotation="90" wrapText="1"/>
      <protection locked="0"/>
    </xf>
    <xf numFmtId="1" fontId="40" fillId="9" borderId="2" xfId="65" applyNumberFormat="1" applyFont="1" applyFill="1" applyBorder="1" applyAlignment="1" applyProtection="1">
      <alignment horizontal="center" textRotation="90" wrapText="1"/>
      <protection locked="0"/>
    </xf>
    <xf numFmtId="1" fontId="40" fillId="9" borderId="91" xfId="65" applyNumberFormat="1" applyFont="1" applyFill="1" applyBorder="1" applyAlignment="1" applyProtection="1">
      <alignment horizontal="center" textRotation="90" wrapText="1"/>
      <protection locked="0"/>
    </xf>
    <xf numFmtId="173" fontId="40" fillId="9" borderId="91" xfId="65" applyNumberFormat="1" applyFont="1" applyFill="1" applyBorder="1" applyAlignment="1" applyProtection="1">
      <alignment horizontal="center" textRotation="90" wrapText="1"/>
      <protection locked="0"/>
    </xf>
    <xf numFmtId="1" fontId="40" fillId="9" borderId="96" xfId="65" applyNumberFormat="1" applyFont="1" applyFill="1" applyBorder="1" applyAlignment="1" applyProtection="1">
      <alignment horizontal="center" textRotation="90" wrapText="1"/>
      <protection locked="0"/>
    </xf>
    <xf numFmtId="172" fontId="40" fillId="9" borderId="115" xfId="65" applyFont="1" applyFill="1" applyBorder="1" applyAlignment="1" applyProtection="1">
      <alignment horizontal="center" textRotation="90" wrapText="1"/>
      <protection locked="0"/>
    </xf>
    <xf numFmtId="172" fontId="40" fillId="9" borderId="116" xfId="65" applyFont="1" applyFill="1" applyBorder="1" applyAlignment="1" applyProtection="1">
      <alignment horizontal="center" textRotation="90" wrapText="1"/>
      <protection locked="0"/>
    </xf>
    <xf numFmtId="172" fontId="40" fillId="9" borderId="20" xfId="65" applyFont="1" applyFill="1" applyBorder="1" applyAlignment="1" applyProtection="1">
      <alignment horizontal="center" textRotation="90" wrapText="1"/>
      <protection locked="0"/>
    </xf>
    <xf numFmtId="172" fontId="40" fillId="9" borderId="117" xfId="65" applyFont="1" applyFill="1" applyBorder="1" applyAlignment="1" applyProtection="1">
      <alignment horizontal="center" textRotation="90" wrapText="1"/>
      <protection locked="0"/>
    </xf>
    <xf numFmtId="172" fontId="40" fillId="9" borderId="73" xfId="65" applyFont="1" applyFill="1" applyBorder="1" applyAlignment="1" applyProtection="1">
      <alignment horizontal="center" textRotation="90" wrapText="1"/>
      <protection locked="0"/>
    </xf>
    <xf numFmtId="172" fontId="40" fillId="9" borderId="20" xfId="65" applyFont="1" applyFill="1" applyBorder="1" applyAlignment="1" applyProtection="1">
      <alignment horizontal="center" textRotation="90"/>
      <protection locked="0"/>
    </xf>
    <xf numFmtId="172" fontId="40" fillId="9" borderId="88" xfId="65" applyFont="1" applyFill="1" applyBorder="1" applyAlignment="1" applyProtection="1">
      <alignment horizontal="center" textRotation="90" wrapText="1"/>
      <protection locked="0"/>
    </xf>
    <xf numFmtId="1" fontId="40" fillId="9" borderId="115" xfId="65" applyNumberFormat="1" applyFont="1" applyFill="1" applyBorder="1" applyAlignment="1" applyProtection="1">
      <alignment horizontal="center" textRotation="90" wrapText="1"/>
      <protection locked="0"/>
    </xf>
    <xf numFmtId="1" fontId="40" fillId="9" borderId="116" xfId="65" applyNumberFormat="1" applyFont="1" applyFill="1" applyBorder="1" applyAlignment="1" applyProtection="1">
      <alignment horizontal="center" textRotation="90" wrapText="1"/>
      <protection locked="0"/>
    </xf>
    <xf numFmtId="1" fontId="40" fillId="9" borderId="20" xfId="65" applyNumberFormat="1" applyFont="1" applyFill="1" applyBorder="1" applyAlignment="1" applyProtection="1">
      <alignment horizontal="center" textRotation="90"/>
      <protection locked="0"/>
    </xf>
    <xf numFmtId="1" fontId="40" fillId="9" borderId="20" xfId="65" applyNumberFormat="1" applyFont="1" applyFill="1" applyBorder="1" applyAlignment="1" applyProtection="1">
      <alignment horizontal="center" textRotation="90" wrapText="1"/>
      <protection locked="0"/>
    </xf>
    <xf numFmtId="0" fontId="40" fillId="9" borderId="74" xfId="65" applyNumberFormat="1" applyFont="1" applyFill="1" applyBorder="1" applyAlignment="1" applyProtection="1">
      <alignment horizontal="center" textRotation="90" wrapText="1"/>
      <protection locked="0"/>
    </xf>
    <xf numFmtId="0" fontId="40" fillId="9" borderId="117" xfId="65" applyNumberFormat="1" applyFont="1" applyFill="1" applyBorder="1" applyAlignment="1" applyProtection="1">
      <alignment horizontal="center" textRotation="90"/>
      <protection locked="0"/>
    </xf>
    <xf numFmtId="0" fontId="40" fillId="9" borderId="20" xfId="65" applyNumberFormat="1" applyFont="1" applyFill="1" applyBorder="1" applyAlignment="1" applyProtection="1">
      <alignment horizontal="center" textRotation="90" wrapText="1"/>
      <protection locked="0"/>
    </xf>
    <xf numFmtId="172" fontId="5" fillId="0" borderId="0" xfId="65" applyFont="1" applyAlignment="1" applyProtection="1">
      <alignment horizontal="left"/>
      <protection locked="0"/>
    </xf>
    <xf numFmtId="1" fontId="80" fillId="22" borderId="0" xfId="65" applyNumberFormat="1" applyFont="1" applyFill="1" applyAlignment="1" applyProtection="1">
      <alignment horizontal="center" vertical="center"/>
      <protection locked="0"/>
    </xf>
    <xf numFmtId="173" fontId="80" fillId="22" borderId="0" xfId="65" applyNumberFormat="1" applyFont="1" applyFill="1" applyAlignment="1" applyProtection="1">
      <alignment horizontal="center" vertical="center"/>
      <protection locked="0"/>
    </xf>
    <xf numFmtId="1" fontId="80" fillId="22" borderId="77" xfId="65" applyNumberFormat="1" applyFont="1" applyFill="1" applyBorder="1" applyAlignment="1" applyProtection="1">
      <alignment horizontal="center" vertical="center"/>
      <protection locked="0"/>
    </xf>
    <xf numFmtId="172" fontId="80" fillId="22" borderId="77" xfId="65" applyFont="1" applyFill="1" applyBorder="1" applyAlignment="1" applyProtection="1">
      <alignment horizontal="center" vertical="center"/>
      <protection locked="0"/>
    </xf>
    <xf numFmtId="0" fontId="5" fillId="0" borderId="0" xfId="39" applyFont="1" applyAlignment="1" applyProtection="1">
      <alignment horizontal="center" vertical="center"/>
      <protection locked="0"/>
    </xf>
    <xf numFmtId="0" fontId="65" fillId="0" borderId="0" xfId="39" applyFont="1" applyAlignment="1" applyProtection="1">
      <alignment horizontal="center" vertical="center"/>
      <protection locked="0"/>
    </xf>
    <xf numFmtId="1" fontId="65" fillId="0" borderId="0" xfId="39" applyNumberFormat="1" applyFont="1" applyAlignment="1" applyProtection="1">
      <alignment horizontal="center" vertical="center"/>
      <protection locked="0"/>
    </xf>
    <xf numFmtId="173" fontId="65" fillId="0" borderId="0" xfId="39" applyNumberFormat="1" applyFont="1" applyAlignment="1" applyProtection="1">
      <alignment horizontal="center" vertical="center"/>
      <protection locked="0"/>
    </xf>
    <xf numFmtId="0" fontId="17" fillId="0" borderId="0" xfId="39" applyFont="1" applyAlignment="1" applyProtection="1">
      <alignment horizontal="right" vertical="top"/>
      <protection locked="0"/>
    </xf>
    <xf numFmtId="0" fontId="40" fillId="0" borderId="0" xfId="39" applyFont="1" applyAlignment="1" applyProtection="1">
      <alignment horizontal="left" vertical="center"/>
      <protection locked="0"/>
    </xf>
    <xf numFmtId="0" fontId="17" fillId="0" borderId="0" xfId="39" applyFont="1" applyAlignment="1" applyProtection="1">
      <alignment horizontal="center" vertical="center"/>
      <protection locked="0"/>
    </xf>
    <xf numFmtId="0" fontId="17" fillId="0" borderId="0" xfId="39" applyFont="1" applyAlignment="1" applyProtection="1">
      <alignment horizontal="left" vertical="center"/>
      <protection locked="0"/>
    </xf>
    <xf numFmtId="1" fontId="17" fillId="0" borderId="0" xfId="39" applyNumberFormat="1" applyFont="1" applyAlignment="1" applyProtection="1">
      <alignment horizontal="right" vertical="top"/>
      <protection locked="0"/>
    </xf>
    <xf numFmtId="173" fontId="17" fillId="0" borderId="0" xfId="39" applyNumberFormat="1" applyFont="1" applyAlignment="1" applyProtection="1">
      <alignment horizontal="right" vertical="top"/>
      <protection locked="0"/>
    </xf>
    <xf numFmtId="0" fontId="65" fillId="0" borderId="0" xfId="39" applyFont="1" applyAlignment="1" applyProtection="1">
      <alignment horizontal="left" vertical="center"/>
      <protection locked="0"/>
    </xf>
    <xf numFmtId="0" fontId="5" fillId="0" borderId="0" xfId="39" applyFont="1" applyAlignment="1" applyProtection="1">
      <alignment horizontal="left" vertical="top"/>
      <protection locked="0"/>
    </xf>
    <xf numFmtId="1" fontId="17" fillId="0" borderId="0" xfId="39" applyNumberFormat="1" applyFont="1" applyAlignment="1" applyProtection="1">
      <alignment horizontal="right"/>
      <protection locked="0"/>
    </xf>
    <xf numFmtId="173" fontId="17" fillId="0" borderId="0" xfId="39" applyNumberFormat="1" applyFont="1" applyAlignment="1" applyProtection="1">
      <alignment horizontal="right"/>
      <protection locked="0"/>
    </xf>
    <xf numFmtId="0" fontId="17" fillId="0" borderId="0" xfId="39" applyFont="1" applyAlignment="1" applyProtection="1">
      <alignment horizontal="right"/>
      <protection locked="0"/>
    </xf>
    <xf numFmtId="0" fontId="40" fillId="0" borderId="0" xfId="39" applyFont="1" applyProtection="1">
      <protection locked="0"/>
    </xf>
    <xf numFmtId="0" fontId="81" fillId="0" borderId="0" xfId="39" applyFont="1" applyAlignment="1" applyProtection="1">
      <alignment vertical="center"/>
      <protection locked="0"/>
    </xf>
    <xf numFmtId="0" fontId="66" fillId="0" borderId="0" xfId="39" applyFont="1" applyAlignment="1" applyProtection="1">
      <alignment vertical="center"/>
      <protection locked="0"/>
    </xf>
    <xf numFmtId="0" fontId="5" fillId="0" borderId="0" xfId="39" applyFont="1" applyAlignment="1" applyProtection="1">
      <alignment horizontal="left"/>
      <protection locked="0"/>
    </xf>
    <xf numFmtId="0" fontId="5" fillId="0" borderId="0" xfId="39" applyFont="1" applyAlignment="1" applyProtection="1">
      <alignment vertical="center"/>
      <protection locked="0"/>
    </xf>
    <xf numFmtId="0" fontId="65" fillId="0" borderId="0" xfId="39" applyFont="1" applyAlignment="1" applyProtection="1">
      <alignment vertical="center"/>
      <protection locked="0"/>
    </xf>
    <xf numFmtId="1" fontId="65" fillId="0" borderId="0" xfId="39" applyNumberFormat="1" applyFont="1" applyAlignment="1" applyProtection="1">
      <alignment horizontal="right" vertical="center"/>
      <protection locked="0"/>
    </xf>
    <xf numFmtId="173" fontId="65" fillId="0" borderId="0" xfId="39" applyNumberFormat="1" applyFont="1" applyAlignment="1" applyProtection="1">
      <alignment horizontal="right" vertical="center"/>
      <protection locked="0"/>
    </xf>
    <xf numFmtId="0" fontId="21" fillId="0" borderId="0" xfId="39" applyFont="1" applyProtection="1">
      <protection locked="0"/>
    </xf>
    <xf numFmtId="173" fontId="21" fillId="0" borderId="0" xfId="39" applyNumberFormat="1" applyFont="1" applyProtection="1">
      <protection locked="0"/>
    </xf>
    <xf numFmtId="0" fontId="82" fillId="0" borderId="0" xfId="39" applyFont="1" applyAlignment="1" applyProtection="1">
      <alignment horizontal="left" vertical="center"/>
      <protection locked="0"/>
    </xf>
    <xf numFmtId="0" fontId="83" fillId="0" borderId="0" xfId="39" applyFont="1" applyAlignment="1" applyProtection="1">
      <alignment horizontal="left" vertical="center"/>
      <protection locked="0"/>
    </xf>
    <xf numFmtId="0" fontId="83" fillId="0" borderId="0" xfId="39" applyFont="1" applyAlignment="1" applyProtection="1">
      <alignment horizontal="left"/>
      <protection locked="0"/>
    </xf>
    <xf numFmtId="0" fontId="84" fillId="0" borderId="0" xfId="39" applyFont="1" applyProtection="1">
      <protection locked="0"/>
    </xf>
    <xf numFmtId="173" fontId="84" fillId="0" borderId="0" xfId="39" applyNumberFormat="1" applyFont="1" applyProtection="1">
      <protection locked="0"/>
    </xf>
    <xf numFmtId="0" fontId="84" fillId="0" borderId="72" xfId="39" applyFont="1" applyBorder="1" applyProtection="1">
      <protection locked="0"/>
    </xf>
    <xf numFmtId="0" fontId="65" fillId="0" borderId="72" xfId="39" applyFont="1" applyBorder="1" applyAlignment="1" applyProtection="1">
      <alignment vertical="center"/>
      <protection locked="0"/>
    </xf>
    <xf numFmtId="0" fontId="81" fillId="0" borderId="72" xfId="39" applyFont="1" applyBorder="1" applyAlignment="1" applyProtection="1">
      <alignment vertical="center"/>
      <protection locked="0"/>
    </xf>
    <xf numFmtId="0" fontId="17" fillId="0" borderId="72" xfId="39" applyFont="1" applyBorder="1" applyAlignment="1" applyProtection="1">
      <alignment horizontal="left" vertical="center"/>
      <protection locked="0"/>
    </xf>
    <xf numFmtId="0" fontId="65" fillId="0" borderId="72" xfId="39" applyFont="1" applyBorder="1" applyAlignment="1" applyProtection="1">
      <alignment horizontal="left" vertical="center"/>
      <protection locked="0"/>
    </xf>
    <xf numFmtId="0" fontId="5" fillId="0" borderId="72" xfId="39" applyFont="1" applyBorder="1" applyAlignment="1" applyProtection="1">
      <alignment horizontal="left" vertical="center"/>
      <protection locked="0"/>
    </xf>
    <xf numFmtId="1" fontId="65" fillId="0" borderId="0" xfId="39" applyNumberFormat="1" applyFont="1" applyAlignment="1" applyProtection="1">
      <alignment vertical="center"/>
      <protection locked="0"/>
    </xf>
    <xf numFmtId="173" fontId="65" fillId="0" borderId="0" xfId="39" applyNumberFormat="1" applyFont="1" applyAlignment="1" applyProtection="1">
      <alignment vertical="center"/>
      <protection locked="0"/>
    </xf>
    <xf numFmtId="0" fontId="85" fillId="0" borderId="0" xfId="39" applyFont="1" applyAlignment="1" applyProtection="1">
      <alignment vertical="center"/>
      <protection locked="0"/>
    </xf>
    <xf numFmtId="0" fontId="5" fillId="0" borderId="0" xfId="39" applyFont="1" applyAlignment="1" applyProtection="1">
      <alignment horizontal="left" vertical="center"/>
      <protection locked="0"/>
    </xf>
    <xf numFmtId="0" fontId="21" fillId="0" borderId="19" xfId="0" applyFont="1" applyBorder="1" applyAlignment="1">
      <alignment horizontal="left" vertical="center"/>
    </xf>
    <xf numFmtId="172" fontId="40" fillId="9" borderId="91" xfId="65" applyFont="1" applyFill="1" applyBorder="1" applyAlignment="1" applyProtection="1">
      <alignment horizontal="center" textRotation="90"/>
      <protection locked="0"/>
    </xf>
    <xf numFmtId="172" fontId="80" fillId="22" borderId="12" xfId="65" applyFont="1" applyFill="1" applyBorder="1" applyAlignment="1" applyProtection="1">
      <alignment horizontal="center" vertical="center"/>
      <protection locked="0"/>
    </xf>
    <xf numFmtId="172" fontId="80" fillId="22" borderId="13" xfId="65" applyFont="1" applyFill="1" applyBorder="1" applyAlignment="1" applyProtection="1">
      <alignment horizontal="center" vertical="center"/>
      <protection locked="0"/>
    </xf>
    <xf numFmtId="172" fontId="80" fillId="22" borderId="38" xfId="65" applyFont="1" applyFill="1" applyBorder="1" applyAlignment="1" applyProtection="1">
      <alignment horizontal="center" vertical="center"/>
      <protection locked="0"/>
    </xf>
    <xf numFmtId="172" fontId="80" fillId="22" borderId="11" xfId="65" applyFont="1" applyFill="1" applyBorder="1" applyAlignment="1" applyProtection="1">
      <alignment horizontal="center" vertical="center"/>
      <protection locked="0"/>
    </xf>
    <xf numFmtId="172" fontId="80" fillId="22" borderId="39" xfId="65" applyFont="1" applyFill="1" applyBorder="1" applyAlignment="1" applyProtection="1">
      <alignment horizontal="center" vertical="center"/>
      <protection locked="0"/>
    </xf>
    <xf numFmtId="1" fontId="80" fillId="22" borderId="12" xfId="65" applyNumberFormat="1" applyFont="1" applyFill="1" applyBorder="1" applyAlignment="1" applyProtection="1">
      <alignment horizontal="center" vertical="center"/>
      <protection locked="0"/>
    </xf>
    <xf numFmtId="1" fontId="80" fillId="22" borderId="42" xfId="65" applyNumberFormat="1" applyFont="1" applyFill="1" applyBorder="1" applyAlignment="1" applyProtection="1">
      <alignment horizontal="center" vertical="center"/>
      <protection locked="0"/>
    </xf>
    <xf numFmtId="1" fontId="80" fillId="22" borderId="13" xfId="65" applyNumberFormat="1" applyFont="1" applyFill="1" applyBorder="1" applyAlignment="1" applyProtection="1">
      <alignment horizontal="center" vertical="center"/>
      <protection locked="0"/>
    </xf>
    <xf numFmtId="1" fontId="80" fillId="22" borderId="10" xfId="65" applyNumberFormat="1" applyFont="1" applyFill="1" applyBorder="1" applyAlignment="1" applyProtection="1">
      <alignment horizontal="center" vertical="center"/>
      <protection locked="0"/>
    </xf>
    <xf numFmtId="1" fontId="80" fillId="22" borderId="38" xfId="65" applyNumberFormat="1" applyFont="1" applyFill="1" applyBorder="1" applyAlignment="1" applyProtection="1">
      <alignment horizontal="center" vertical="center"/>
      <protection locked="0"/>
    </xf>
    <xf numFmtId="172" fontId="80" fillId="22" borderId="10" xfId="65" applyFont="1" applyFill="1" applyBorder="1" applyAlignment="1" applyProtection="1">
      <alignment horizontal="center" vertical="center"/>
      <protection locked="0"/>
    </xf>
    <xf numFmtId="172" fontId="80" fillId="22" borderId="9" xfId="65" applyFont="1" applyFill="1" applyBorder="1" applyAlignment="1" applyProtection="1">
      <alignment horizontal="center" vertical="center"/>
      <protection locked="0"/>
    </xf>
    <xf numFmtId="172" fontId="66" fillId="3" borderId="0" xfId="65" applyFont="1" applyFill="1" applyAlignment="1" applyProtection="1">
      <alignment horizontal="center" wrapText="1"/>
      <protection locked="0"/>
    </xf>
    <xf numFmtId="172" fontId="40" fillId="9" borderId="2" xfId="65" applyFont="1" applyFill="1" applyBorder="1" applyAlignment="1" applyProtection="1">
      <alignment horizontal="center" textRotation="90"/>
      <protection locked="0"/>
    </xf>
    <xf numFmtId="172" fontId="40" fillId="9" borderId="116" xfId="65" applyFont="1" applyFill="1" applyBorder="1" applyAlignment="1" applyProtection="1">
      <alignment vertical="center"/>
      <protection locked="0"/>
    </xf>
    <xf numFmtId="172" fontId="40" fillId="9" borderId="119" xfId="65" applyFont="1" applyFill="1" applyBorder="1" applyAlignment="1" applyProtection="1">
      <alignment vertical="center"/>
      <protection locked="0"/>
    </xf>
    <xf numFmtId="172" fontId="40" fillId="9" borderId="75" xfId="65" applyFont="1" applyFill="1" applyBorder="1" applyAlignment="1" applyProtection="1">
      <alignment vertical="center"/>
      <protection locked="0"/>
    </xf>
    <xf numFmtId="172" fontId="40" fillId="9" borderId="118" xfId="65" applyFont="1" applyFill="1" applyBorder="1" applyAlignment="1" applyProtection="1">
      <alignment vertical="center"/>
      <protection locked="0"/>
    </xf>
    <xf numFmtId="172" fontId="40" fillId="9" borderId="115" xfId="65" applyFont="1" applyFill="1" applyBorder="1" applyAlignment="1" applyProtection="1">
      <alignment vertical="center"/>
      <protection locked="0"/>
    </xf>
    <xf numFmtId="172" fontId="40" fillId="9" borderId="96" xfId="65" applyFont="1" applyFill="1" applyBorder="1" applyAlignment="1" applyProtection="1">
      <alignment vertical="center"/>
      <protection locked="0"/>
    </xf>
    <xf numFmtId="172" fontId="40" fillId="3" borderId="9" xfId="65" applyFont="1" applyFill="1" applyBorder="1" applyAlignment="1" applyProtection="1">
      <alignment textRotation="90" wrapText="1"/>
      <protection locked="0"/>
    </xf>
    <xf numFmtId="172" fontId="40" fillId="3" borderId="39" xfId="65" applyFont="1" applyFill="1" applyBorder="1" applyAlignment="1" applyProtection="1">
      <alignment textRotation="90" wrapText="1"/>
      <protection locked="0"/>
    </xf>
    <xf numFmtId="172" fontId="40" fillId="3" borderId="11" xfId="65" applyFont="1" applyFill="1" applyBorder="1" applyAlignment="1" applyProtection="1">
      <alignment textRotation="90" wrapText="1"/>
      <protection locked="0"/>
    </xf>
    <xf numFmtId="172" fontId="76" fillId="0" borderId="1" xfId="65" applyFont="1" applyBorder="1" applyAlignment="1">
      <alignment vertical="center"/>
    </xf>
    <xf numFmtId="172" fontId="76" fillId="0" borderId="71" xfId="65" applyFont="1" applyBorder="1"/>
    <xf numFmtId="172" fontId="76" fillId="0" borderId="81" xfId="65" applyFont="1" applyBorder="1"/>
    <xf numFmtId="0" fontId="0" fillId="0" borderId="0" xfId="0" pivotButton="1"/>
    <xf numFmtId="0" fontId="8" fillId="0" borderId="83" xfId="0" applyFont="1" applyBorder="1" applyAlignment="1">
      <alignment horizontal="left" vertical="center"/>
    </xf>
    <xf numFmtId="0" fontId="8" fillId="0" borderId="43" xfId="0" applyFont="1" applyBorder="1" applyAlignment="1">
      <alignment horizontal="left" vertical="center"/>
    </xf>
    <xf numFmtId="0" fontId="8" fillId="0" borderId="43" xfId="0" applyFont="1" applyBorder="1" applyAlignment="1">
      <alignment horizontal="center" vertical="center"/>
    </xf>
    <xf numFmtId="0" fontId="1" fillId="0" borderId="0" xfId="11" applyAlignment="1">
      <alignment horizontal="center"/>
    </xf>
    <xf numFmtId="0" fontId="86" fillId="25" borderId="126" xfId="11" applyFont="1" applyFill="1" applyBorder="1" applyAlignment="1" applyProtection="1">
      <alignment horizontal="center" vertical="center" wrapText="1" readingOrder="1"/>
      <protection locked="0"/>
    </xf>
    <xf numFmtId="0" fontId="86" fillId="25" borderId="127" xfId="11" applyFont="1" applyFill="1" applyBorder="1" applyAlignment="1" applyProtection="1">
      <alignment horizontal="center" vertical="center" wrapText="1" readingOrder="1"/>
      <protection locked="0"/>
    </xf>
    <xf numFmtId="0" fontId="1" fillId="0" borderId="0" xfId="11" applyAlignment="1">
      <alignment horizontal="left" vertical="center"/>
    </xf>
    <xf numFmtId="0" fontId="1" fillId="9" borderId="0" xfId="11" applyFill="1"/>
    <xf numFmtId="0" fontId="1" fillId="0" borderId="0" xfId="11" applyAlignment="1">
      <alignment horizontal="left"/>
    </xf>
    <xf numFmtId="0" fontId="0" fillId="0" borderId="0" xfId="0" pivotButton="1" applyAlignment="1">
      <alignment wrapText="1"/>
    </xf>
    <xf numFmtId="176" fontId="24" fillId="7" borderId="76" xfId="8" applyNumberFormat="1" applyFont="1" applyFill="1" applyBorder="1" applyAlignment="1">
      <alignment horizontal="right" vertical="top"/>
    </xf>
    <xf numFmtId="177" fontId="0" fillId="0" borderId="0" xfId="9" applyNumberFormat="1" applyFont="1"/>
    <xf numFmtId="177" fontId="0" fillId="0" borderId="122" xfId="9" applyNumberFormat="1" applyFont="1" applyBorder="1"/>
    <xf numFmtId="177" fontId="24" fillId="0" borderId="0" xfId="9" applyNumberFormat="1" applyFont="1"/>
    <xf numFmtId="177" fontId="24" fillId="0" borderId="122" xfId="9" applyNumberFormat="1" applyFont="1" applyBorder="1"/>
    <xf numFmtId="167" fontId="0" fillId="0" borderId="122" xfId="8" applyFont="1" applyBorder="1"/>
    <xf numFmtId="178" fontId="0" fillId="0" borderId="122" xfId="8" applyNumberFormat="1" applyFont="1" applyBorder="1"/>
    <xf numFmtId="178" fontId="0" fillId="0" borderId="0" xfId="8" applyNumberFormat="1" applyFont="1"/>
    <xf numFmtId="0" fontId="0" fillId="0" borderId="0" xfId="0" applyAlignment="1">
      <alignment horizontal="center" vertical="center"/>
    </xf>
    <xf numFmtId="178" fontId="0" fillId="0" borderId="0" xfId="8" applyNumberFormat="1" applyFont="1" applyAlignment="1">
      <alignment horizontal="center" vertical="center"/>
    </xf>
    <xf numFmtId="0" fontId="89" fillId="0" borderId="12" xfId="0" applyFont="1" applyBorder="1" applyAlignment="1">
      <alignment horizontal="center" vertical="center" wrapText="1"/>
    </xf>
    <xf numFmtId="0" fontId="89" fillId="0" borderId="42" xfId="0" applyFont="1" applyBorder="1" applyAlignment="1">
      <alignment horizontal="center" vertical="center" wrapText="1"/>
    </xf>
    <xf numFmtId="0" fontId="89" fillId="0" borderId="13" xfId="0" applyFont="1" applyBorder="1" applyAlignment="1">
      <alignment horizontal="center" vertical="center" wrapText="1"/>
    </xf>
    <xf numFmtId="178" fontId="89" fillId="0" borderId="13" xfId="8" applyNumberFormat="1" applyFont="1" applyBorder="1" applyAlignment="1">
      <alignment horizontal="center" vertical="center" wrapText="1"/>
    </xf>
    <xf numFmtId="167" fontId="89" fillId="0" borderId="10" xfId="8" applyFont="1" applyBorder="1" applyAlignment="1">
      <alignment horizontal="center" vertical="center" wrapText="1"/>
    </xf>
    <xf numFmtId="0" fontId="89" fillId="0" borderId="10" xfId="0" applyFont="1" applyBorder="1" applyAlignment="1">
      <alignment horizontal="center" vertical="center" wrapText="1"/>
    </xf>
    <xf numFmtId="177" fontId="89" fillId="0" borderId="10" xfId="9" applyNumberFormat="1" applyFont="1" applyBorder="1" applyAlignment="1">
      <alignment horizontal="center" vertical="center" wrapText="1"/>
    </xf>
    <xf numFmtId="0" fontId="89" fillId="0" borderId="38" xfId="0" applyFont="1" applyBorder="1" applyAlignment="1">
      <alignment horizontal="center" vertical="center" wrapText="1"/>
    </xf>
    <xf numFmtId="0" fontId="91" fillId="0" borderId="121" xfId="0" applyFont="1" applyBorder="1" applyAlignment="1">
      <alignment horizontal="center" vertical="center" wrapText="1"/>
    </xf>
    <xf numFmtId="179" fontId="0" fillId="0" borderId="0" xfId="8" applyNumberFormat="1" applyFont="1"/>
    <xf numFmtId="0" fontId="0" fillId="7" borderId="66" xfId="0" applyFill="1" applyBorder="1"/>
    <xf numFmtId="4" fontId="1" fillId="0" borderId="0" xfId="11" applyNumberFormat="1"/>
    <xf numFmtId="0" fontId="0" fillId="7" borderId="68" xfId="0" applyFill="1" applyBorder="1"/>
    <xf numFmtId="0" fontId="0" fillId="7" borderId="70" xfId="0" applyFill="1" applyBorder="1"/>
    <xf numFmtId="167" fontId="0" fillId="0" borderId="43" xfId="8" applyFont="1" applyFill="1" applyBorder="1"/>
    <xf numFmtId="167" fontId="0" fillId="0" borderId="19" xfId="8" applyFont="1" applyFill="1" applyBorder="1"/>
    <xf numFmtId="164" fontId="92" fillId="27" borderId="9" xfId="0" applyNumberFormat="1" applyFont="1" applyFill="1" applyBorder="1" applyAlignment="1">
      <alignment wrapText="1"/>
    </xf>
    <xf numFmtId="164" fontId="92" fillId="27" borderId="11" xfId="0" applyNumberFormat="1" applyFont="1" applyFill="1" applyBorder="1" applyAlignment="1">
      <alignment wrapText="1"/>
    </xf>
    <xf numFmtId="178" fontId="92" fillId="27" borderId="11" xfId="8" applyNumberFormat="1" applyFont="1" applyFill="1" applyBorder="1" applyAlignment="1">
      <alignment wrapText="1"/>
    </xf>
    <xf numFmtId="177" fontId="93" fillId="27" borderId="11" xfId="0" applyNumberFormat="1" applyFont="1" applyFill="1" applyBorder="1" applyAlignment="1">
      <alignment wrapText="1"/>
    </xf>
    <xf numFmtId="164" fontId="92" fillId="27" borderId="39" xfId="0" applyNumberFormat="1" applyFont="1" applyFill="1" applyBorder="1" applyAlignment="1">
      <alignment wrapText="1"/>
    </xf>
    <xf numFmtId="9" fontId="92" fillId="27" borderId="11" xfId="0" applyNumberFormat="1" applyFont="1" applyFill="1" applyBorder="1" applyAlignment="1">
      <alignment wrapText="1"/>
    </xf>
    <xf numFmtId="0" fontId="94" fillId="0" borderId="0" xfId="0" applyFont="1"/>
    <xf numFmtId="179" fontId="94" fillId="0" borderId="0" xfId="0" applyNumberFormat="1" applyFont="1"/>
    <xf numFmtId="167" fontId="94" fillId="0" borderId="0" xfId="0" applyNumberFormat="1" applyFont="1"/>
    <xf numFmtId="178" fontId="94" fillId="0" borderId="0" xfId="0" applyNumberFormat="1" applyFont="1"/>
    <xf numFmtId="0" fontId="52" fillId="0" borderId="0" xfId="0" applyFont="1"/>
    <xf numFmtId="0" fontId="52" fillId="0" borderId="0" xfId="0" applyFont="1" applyAlignment="1">
      <alignment horizontal="left" indent="1"/>
    </xf>
    <xf numFmtId="0" fontId="0" fillId="12" borderId="0" xfId="0" applyFill="1"/>
    <xf numFmtId="3" fontId="0" fillId="0" borderId="0" xfId="0" applyNumberFormat="1" applyAlignment="1">
      <alignment wrapText="1"/>
    </xf>
    <xf numFmtId="180" fontId="0" fillId="0" borderId="0" xfId="0" applyNumberFormat="1" applyAlignment="1">
      <alignment wrapText="1"/>
    </xf>
    <xf numFmtId="0" fontId="43" fillId="0" borderId="0" xfId="0" applyFont="1"/>
    <xf numFmtId="0" fontId="0" fillId="5" borderId="0" xfId="0" applyFill="1"/>
    <xf numFmtId="178" fontId="0" fillId="0" borderId="0" xfId="0" applyNumberFormat="1"/>
    <xf numFmtId="4" fontId="0" fillId="0" borderId="0" xfId="0" applyNumberFormat="1"/>
    <xf numFmtId="178" fontId="1" fillId="0" borderId="0" xfId="8" applyNumberFormat="1" applyFont="1"/>
    <xf numFmtId="0" fontId="96" fillId="28" borderId="131" xfId="0" applyFont="1" applyFill="1" applyBorder="1" applyAlignment="1">
      <alignment horizontal="center" vertical="top"/>
    </xf>
    <xf numFmtId="0" fontId="96" fillId="28" borderId="132" xfId="0" applyFont="1" applyFill="1" applyBorder="1" applyAlignment="1">
      <alignment horizontal="center" vertical="top"/>
    </xf>
    <xf numFmtId="0" fontId="96" fillId="28" borderId="133" xfId="0" applyFont="1" applyFill="1" applyBorder="1" applyAlignment="1">
      <alignment horizontal="center" vertical="top" wrapText="1"/>
    </xf>
    <xf numFmtId="0" fontId="97" fillId="29" borderId="136" xfId="0" applyFont="1" applyFill="1" applyBorder="1" applyAlignment="1">
      <alignment horizontal="center" vertical="top" wrapText="1"/>
    </xf>
    <xf numFmtId="0" fontId="24" fillId="0" borderId="137" xfId="0" applyFont="1" applyBorder="1" applyAlignment="1">
      <alignment vertical="top"/>
    </xf>
    <xf numFmtId="0" fontId="0" fillId="0" borderId="0" xfId="0" applyAlignment="1">
      <alignment vertical="top"/>
    </xf>
    <xf numFmtId="0" fontId="0" fillId="0" borderId="138" xfId="0" applyBorder="1" applyAlignment="1">
      <alignment vertical="top" wrapText="1"/>
    </xf>
    <xf numFmtId="0" fontId="98" fillId="0" borderId="138" xfId="0" applyFont="1" applyBorder="1" applyAlignment="1">
      <alignment vertical="top" wrapText="1"/>
    </xf>
    <xf numFmtId="0" fontId="97" fillId="0" borderId="134" xfId="0" applyFont="1" applyBorder="1" applyAlignment="1">
      <alignment vertical="top"/>
    </xf>
    <xf numFmtId="0" fontId="98" fillId="0" borderId="0" xfId="0" applyFont="1" applyAlignment="1">
      <alignment vertical="top"/>
    </xf>
    <xf numFmtId="0" fontId="98" fillId="0" borderId="135" xfId="0" applyFont="1" applyBorder="1" applyAlignment="1">
      <alignment vertical="top"/>
    </xf>
    <xf numFmtId="0" fontId="0" fillId="0" borderId="136" xfId="0" applyBorder="1" applyAlignment="1">
      <alignment vertical="top" wrapText="1"/>
    </xf>
    <xf numFmtId="0" fontId="98" fillId="0" borderId="136" xfId="0" applyFont="1" applyBorder="1" applyAlignment="1">
      <alignment vertical="top" wrapText="1"/>
    </xf>
    <xf numFmtId="0" fontId="97" fillId="0" borderId="137" xfId="0" applyFont="1" applyBorder="1" applyAlignment="1">
      <alignment vertical="top"/>
    </xf>
    <xf numFmtId="0" fontId="0" fillId="0" borderId="135" xfId="0" applyBorder="1" applyAlignment="1">
      <alignment vertical="top"/>
    </xf>
    <xf numFmtId="0" fontId="98" fillId="0" borderId="136" xfId="0" applyFont="1" applyBorder="1" applyAlignment="1">
      <alignment vertical="top"/>
    </xf>
    <xf numFmtId="0" fontId="97" fillId="0" borderId="139" xfId="0" applyFont="1" applyBorder="1" applyAlignment="1">
      <alignment vertical="top"/>
    </xf>
    <xf numFmtId="0" fontId="0" fillId="0" borderId="140" xfId="0" applyBorder="1" applyAlignment="1">
      <alignment vertical="top"/>
    </xf>
    <xf numFmtId="0" fontId="0" fillId="0" borderId="141" xfId="0" applyBorder="1" applyAlignment="1">
      <alignment vertical="top" wrapText="1"/>
    </xf>
    <xf numFmtId="0" fontId="98" fillId="0" borderId="141" xfId="0" applyFont="1" applyBorder="1" applyAlignment="1">
      <alignment vertical="top" wrapText="1"/>
    </xf>
    <xf numFmtId="0" fontId="24" fillId="0" borderId="134" xfId="0" applyFont="1" applyBorder="1" applyAlignment="1">
      <alignment vertical="top"/>
    </xf>
    <xf numFmtId="0" fontId="97" fillId="30" borderId="141" xfId="0" applyFont="1" applyFill="1" applyBorder="1" applyAlignment="1">
      <alignment horizontal="center" vertical="top" wrapText="1"/>
    </xf>
    <xf numFmtId="0" fontId="101" fillId="0" borderId="136" xfId="0" applyFont="1" applyBorder="1" applyAlignment="1">
      <alignment vertical="top" wrapText="1"/>
    </xf>
    <xf numFmtId="0" fontId="97" fillId="0" borderId="138" xfId="0" applyFont="1" applyBorder="1" applyAlignment="1">
      <alignment vertical="top" wrapText="1"/>
    </xf>
    <xf numFmtId="178" fontId="96" fillId="28" borderId="132" xfId="8" applyNumberFormat="1" applyFont="1" applyFill="1" applyBorder="1" applyAlignment="1">
      <alignment horizontal="center" vertical="top" wrapText="1"/>
    </xf>
    <xf numFmtId="178" fontId="0" fillId="0" borderId="0" xfId="8" applyNumberFormat="1" applyFont="1" applyAlignment="1">
      <alignment vertical="top" wrapText="1"/>
    </xf>
    <xf numFmtId="178" fontId="98" fillId="0" borderId="135" xfId="8" applyNumberFormat="1" applyFont="1" applyBorder="1" applyAlignment="1">
      <alignment vertical="top" wrapText="1"/>
    </xf>
    <xf numFmtId="178" fontId="0" fillId="0" borderId="135" xfId="8" applyNumberFormat="1" applyFont="1" applyBorder="1" applyAlignment="1">
      <alignment vertical="top" wrapText="1"/>
    </xf>
    <xf numFmtId="178" fontId="0" fillId="0" borderId="140" xfId="8" applyNumberFormat="1" applyFont="1" applyBorder="1" applyAlignment="1">
      <alignment vertical="top" wrapText="1"/>
    </xf>
    <xf numFmtId="178" fontId="98" fillId="0" borderId="0" xfId="8" applyNumberFormat="1" applyFont="1" applyAlignment="1">
      <alignment vertical="top" wrapText="1"/>
    </xf>
    <xf numFmtId="178" fontId="98" fillId="0" borderId="140" xfId="8" applyNumberFormat="1" applyFont="1" applyBorder="1" applyAlignment="1">
      <alignment vertical="top" wrapText="1"/>
    </xf>
    <xf numFmtId="0" fontId="97" fillId="29" borderId="134" xfId="0" applyFont="1" applyFill="1" applyBorder="1" applyAlignment="1">
      <alignment vertical="top" wrapText="1"/>
    </xf>
    <xf numFmtId="0" fontId="97" fillId="29" borderId="135" xfId="0" applyFont="1" applyFill="1" applyBorder="1" applyAlignment="1">
      <alignment vertical="top" wrapText="1"/>
    </xf>
    <xf numFmtId="0" fontId="97" fillId="29" borderId="136" xfId="0" applyFont="1" applyFill="1" applyBorder="1" applyAlignment="1">
      <alignment vertical="top" wrapText="1"/>
    </xf>
    <xf numFmtId="0" fontId="97" fillId="30" borderId="134" xfId="0" applyFont="1" applyFill="1" applyBorder="1" applyAlignment="1">
      <alignment vertical="top" wrapText="1"/>
    </xf>
    <xf numFmtId="0" fontId="97" fillId="30" borderId="135" xfId="0" applyFont="1" applyFill="1" applyBorder="1" applyAlignment="1">
      <alignment vertical="top" wrapText="1"/>
    </xf>
    <xf numFmtId="0" fontId="97" fillId="30" borderId="136" xfId="0" applyFont="1" applyFill="1" applyBorder="1" applyAlignment="1">
      <alignment vertical="top" wrapText="1"/>
    </xf>
    <xf numFmtId="0" fontId="24" fillId="6" borderId="0" xfId="0" applyFont="1" applyFill="1" applyAlignment="1">
      <alignment horizontal="left" wrapText="1"/>
    </xf>
    <xf numFmtId="167" fontId="0" fillId="0" borderId="0" xfId="0" applyNumberFormat="1" applyAlignment="1">
      <alignment wrapText="1"/>
    </xf>
    <xf numFmtId="4" fontId="0" fillId="0" borderId="0" xfId="0" applyNumberFormat="1" applyAlignment="1">
      <alignment wrapText="1"/>
    </xf>
    <xf numFmtId="4" fontId="24" fillId="0" borderId="0" xfId="0" applyNumberFormat="1" applyFont="1" applyAlignment="1">
      <alignment wrapText="1"/>
    </xf>
    <xf numFmtId="4" fontId="0" fillId="0" borderId="19" xfId="8" applyNumberFormat="1" applyFont="1" applyFill="1" applyBorder="1"/>
    <xf numFmtId="4" fontId="0" fillId="7" borderId="0" xfId="0" applyNumberFormat="1" applyFill="1" applyAlignment="1">
      <alignment wrapText="1"/>
    </xf>
    <xf numFmtId="181" fontId="0" fillId="0" borderId="0" xfId="8" applyNumberFormat="1" applyFont="1" applyFill="1" applyBorder="1"/>
    <xf numFmtId="3" fontId="0" fillId="0" borderId="0" xfId="0" applyNumberFormat="1"/>
    <xf numFmtId="3" fontId="0" fillId="0" borderId="0" xfId="8" applyNumberFormat="1" applyFont="1"/>
    <xf numFmtId="0" fontId="95" fillId="0" borderId="10" xfId="0" applyFont="1" applyBorder="1" applyAlignment="1">
      <alignment horizontal="center" vertical="center" wrapText="1"/>
    </xf>
    <xf numFmtId="0" fontId="102" fillId="0" borderId="74" xfId="0" applyFont="1" applyBorder="1"/>
    <xf numFmtId="0" fontId="0" fillId="7" borderId="0" xfId="0" applyFill="1" applyAlignment="1">
      <alignment wrapText="1"/>
    </xf>
    <xf numFmtId="0" fontId="103" fillId="0" borderId="0" xfId="0" applyFont="1" applyAlignment="1">
      <alignment wrapText="1"/>
    </xf>
    <xf numFmtId="0" fontId="103" fillId="0" borderId="0" xfId="0" applyFont="1" applyAlignment="1">
      <alignment horizontal="left" indent="1"/>
    </xf>
    <xf numFmtId="0" fontId="103" fillId="0" borderId="0" xfId="0" applyFont="1" applyAlignment="1">
      <alignment horizontal="center"/>
    </xf>
    <xf numFmtId="0" fontId="104" fillId="0" borderId="0" xfId="0" applyFont="1" applyAlignment="1">
      <alignment wrapText="1"/>
    </xf>
    <xf numFmtId="0" fontId="104" fillId="0" borderId="0" xfId="0" applyFont="1"/>
    <xf numFmtId="0" fontId="104" fillId="0" borderId="0" xfId="0" applyFont="1" applyAlignment="1">
      <alignment horizontal="center"/>
    </xf>
    <xf numFmtId="0" fontId="1" fillId="0" borderId="119" xfId="11" applyBorder="1" applyAlignment="1">
      <alignment horizontal="center"/>
    </xf>
    <xf numFmtId="0" fontId="38" fillId="0" borderId="122" xfId="11" applyFont="1" applyBorder="1" applyAlignment="1">
      <alignment horizontal="center" vertical="center"/>
    </xf>
    <xf numFmtId="171" fontId="0" fillId="0" borderId="0" xfId="67" applyNumberFormat="1" applyFont="1" applyAlignment="1">
      <alignment vertical="top" wrapText="1"/>
    </xf>
    <xf numFmtId="167" fontId="0" fillId="0" borderId="0" xfId="67" applyFont="1" applyAlignment="1">
      <alignment vertical="top" wrapText="1"/>
    </xf>
    <xf numFmtId="171" fontId="0" fillId="0" borderId="0" xfId="67" applyNumberFormat="1" applyFont="1" applyAlignment="1"/>
    <xf numFmtId="171" fontId="0" fillId="0" borderId="0" xfId="67" applyNumberFormat="1" applyFont="1" applyFill="1" applyAlignment="1"/>
    <xf numFmtId="167" fontId="0" fillId="0" borderId="0" xfId="67" applyFont="1" applyAlignment="1">
      <alignment wrapText="1"/>
    </xf>
    <xf numFmtId="167" fontId="24" fillId="0" borderId="0" xfId="67" applyFont="1" applyBorder="1" applyAlignment="1">
      <alignment horizontal="center" vertical="top" wrapText="1"/>
    </xf>
    <xf numFmtId="0" fontId="24" fillId="0" borderId="12" xfId="0" applyFont="1" applyBorder="1" applyAlignment="1">
      <alignment vertical="top" wrapText="1"/>
    </xf>
    <xf numFmtId="0" fontId="24" fillId="0" borderId="13" xfId="0" applyFont="1" applyBorder="1" applyAlignment="1">
      <alignment vertical="top"/>
    </xf>
    <xf numFmtId="0" fontId="24" fillId="0" borderId="13" xfId="0" applyFont="1" applyBorder="1" applyAlignment="1">
      <alignment horizontal="center" vertical="top"/>
    </xf>
    <xf numFmtId="0" fontId="24" fillId="0" borderId="38" xfId="0" applyFont="1" applyBorder="1" applyAlignment="1">
      <alignment vertical="top" wrapText="1"/>
    </xf>
    <xf numFmtId="171" fontId="24" fillId="0" borderId="0" xfId="67" applyNumberFormat="1" applyFont="1" applyBorder="1" applyAlignment="1">
      <alignment horizontal="center" vertical="top" wrapText="1"/>
    </xf>
    <xf numFmtId="167" fontId="24" fillId="0" borderId="77" xfId="67" applyFont="1" applyBorder="1" applyAlignment="1">
      <alignment horizontal="center" vertical="top" wrapText="1"/>
    </xf>
    <xf numFmtId="171" fontId="24" fillId="0" borderId="0" xfId="67" applyNumberFormat="1" applyFont="1" applyAlignment="1">
      <alignment wrapText="1"/>
    </xf>
    <xf numFmtId="166" fontId="24" fillId="0" borderId="0" xfId="0" applyNumberFormat="1" applyFont="1" applyAlignment="1">
      <alignment wrapText="1"/>
    </xf>
    <xf numFmtId="167" fontId="24" fillId="0" borderId="0" xfId="67" applyFont="1" applyAlignment="1">
      <alignment wrapText="1"/>
    </xf>
    <xf numFmtId="171" fontId="0" fillId="0" borderId="0" xfId="67" applyNumberFormat="1" applyFont="1" applyFill="1" applyAlignment="1">
      <alignment wrapText="1"/>
    </xf>
    <xf numFmtId="166" fontId="0" fillId="0" borderId="0" xfId="68" applyFont="1" applyFill="1" applyAlignment="1">
      <alignment wrapText="1"/>
    </xf>
    <xf numFmtId="167" fontId="0" fillId="0" borderId="0" xfId="67" applyFont="1" applyFill="1" applyAlignment="1">
      <alignment wrapText="1"/>
    </xf>
    <xf numFmtId="167" fontId="24" fillId="0" borderId="0" xfId="67" applyFont="1" applyFill="1" applyAlignment="1">
      <alignment wrapText="1"/>
    </xf>
    <xf numFmtId="166" fontId="24" fillId="0" borderId="0" xfId="68" applyFont="1" applyFill="1" applyAlignment="1">
      <alignment wrapText="1"/>
    </xf>
    <xf numFmtId="181" fontId="0" fillId="0" borderId="0" xfId="67" applyNumberFormat="1" applyFont="1" applyFill="1" applyAlignment="1">
      <alignment wrapText="1"/>
    </xf>
    <xf numFmtId="166" fontId="24" fillId="0" borderId="0" xfId="68" applyFont="1" applyAlignment="1">
      <alignment wrapText="1"/>
    </xf>
    <xf numFmtId="4" fontId="24" fillId="0" borderId="0" xfId="67" applyNumberFormat="1" applyFont="1" applyAlignment="1">
      <alignment wrapText="1"/>
    </xf>
    <xf numFmtId="4" fontId="0" fillId="0" borderId="0" xfId="67" applyNumberFormat="1" applyFont="1" applyFill="1" applyAlignment="1">
      <alignment wrapText="1"/>
    </xf>
    <xf numFmtId="167" fontId="25" fillId="0" borderId="0" xfId="67" applyFont="1" applyFill="1" applyAlignment="1">
      <alignment wrapText="1"/>
    </xf>
    <xf numFmtId="171" fontId="25" fillId="0" borderId="0" xfId="67" applyNumberFormat="1" applyFont="1" applyFill="1" applyAlignment="1">
      <alignment wrapText="1"/>
    </xf>
    <xf numFmtId="166" fontId="25" fillId="0" borderId="0" xfId="68" applyFont="1" applyFill="1" applyAlignment="1">
      <alignment wrapText="1"/>
    </xf>
    <xf numFmtId="0" fontId="24" fillId="0" borderId="12" xfId="0" applyFont="1" applyBorder="1" applyAlignment="1">
      <alignment wrapText="1"/>
    </xf>
    <xf numFmtId="0" fontId="52" fillId="0" borderId="13" xfId="0" applyFont="1" applyBorder="1"/>
    <xf numFmtId="0" fontId="52" fillId="0" borderId="13" xfId="0" applyFont="1" applyBorder="1" applyAlignment="1">
      <alignment horizontal="center"/>
    </xf>
    <xf numFmtId="0" fontId="24" fillId="0" borderId="38" xfId="0" applyFont="1" applyBorder="1" applyAlignment="1">
      <alignment wrapText="1"/>
    </xf>
    <xf numFmtId="171" fontId="24" fillId="0" borderId="0" xfId="67" applyNumberFormat="1" applyFont="1" applyFill="1" applyAlignment="1">
      <alignment wrapText="1"/>
    </xf>
    <xf numFmtId="167" fontId="24" fillId="0" borderId="77" xfId="67" applyFont="1" applyFill="1" applyBorder="1" applyAlignment="1">
      <alignment wrapText="1"/>
    </xf>
    <xf numFmtId="168" fontId="0" fillId="0" borderId="0" xfId="67" applyNumberFormat="1" applyFont="1" applyFill="1" applyAlignment="1">
      <alignment wrapText="1"/>
    </xf>
    <xf numFmtId="166" fontId="0" fillId="0" borderId="0" xfId="68" applyFont="1" applyAlignment="1">
      <alignment wrapText="1"/>
    </xf>
    <xf numFmtId="171" fontId="103" fillId="0" borderId="0" xfId="67" applyNumberFormat="1" applyFont="1" applyFill="1" applyAlignment="1">
      <alignment wrapText="1"/>
    </xf>
    <xf numFmtId="166" fontId="103" fillId="0" borderId="0" xfId="68" applyFont="1" applyAlignment="1">
      <alignment wrapText="1"/>
    </xf>
    <xf numFmtId="167" fontId="103" fillId="0" borderId="0" xfId="67" applyFont="1" applyAlignment="1">
      <alignment wrapText="1"/>
    </xf>
    <xf numFmtId="167" fontId="104" fillId="0" borderId="0" xfId="67" applyFont="1" applyFill="1" applyAlignment="1">
      <alignment wrapText="1"/>
    </xf>
    <xf numFmtId="171" fontId="104" fillId="0" borderId="0" xfId="67" applyNumberFormat="1" applyFont="1" applyFill="1" applyAlignment="1">
      <alignment wrapText="1"/>
    </xf>
    <xf numFmtId="166" fontId="104" fillId="0" borderId="0" xfId="68" applyFont="1" applyFill="1" applyAlignment="1">
      <alignment wrapText="1"/>
    </xf>
    <xf numFmtId="168" fontId="103" fillId="0" borderId="0" xfId="67" applyNumberFormat="1" applyFont="1" applyFill="1" applyAlignment="1">
      <alignment wrapText="1"/>
    </xf>
    <xf numFmtId="166" fontId="103" fillId="0" borderId="0" xfId="68" applyFont="1" applyFill="1" applyAlignment="1">
      <alignment wrapText="1"/>
    </xf>
    <xf numFmtId="167" fontId="103" fillId="0" borderId="0" xfId="67" applyFont="1" applyFill="1" applyAlignment="1">
      <alignment wrapText="1"/>
    </xf>
    <xf numFmtId="0" fontId="52" fillId="0" borderId="13" xfId="0" applyFont="1" applyBorder="1" applyAlignment="1">
      <alignment horizontal="left" indent="1"/>
    </xf>
    <xf numFmtId="178" fontId="1" fillId="0" borderId="0" xfId="67" applyNumberFormat="1" applyFont="1"/>
    <xf numFmtId="0" fontId="0" fillId="0" borderId="13" xfId="0" applyBorder="1" applyAlignment="1">
      <alignment horizontal="center" wrapText="1"/>
    </xf>
    <xf numFmtId="0" fontId="0" fillId="0" borderId="38" xfId="0" applyBorder="1" applyAlignment="1">
      <alignment wrapText="1"/>
    </xf>
    <xf numFmtId="166" fontId="25" fillId="0" borderId="0" xfId="68" applyFont="1" applyAlignment="1">
      <alignment wrapText="1"/>
    </xf>
    <xf numFmtId="171" fontId="0" fillId="0" borderId="0" xfId="67" applyNumberFormat="1" applyFont="1" applyAlignment="1">
      <alignment wrapText="1"/>
    </xf>
    <xf numFmtId="0" fontId="1" fillId="0" borderId="130" xfId="11" applyBorder="1" applyAlignment="1">
      <alignment horizontal="center"/>
    </xf>
    <xf numFmtId="0" fontId="105" fillId="0" borderId="19" xfId="0" quotePrefix="1" applyFont="1" applyBorder="1" applyAlignment="1">
      <alignment horizontal="left" vertical="center" wrapText="1"/>
    </xf>
    <xf numFmtId="178" fontId="34" fillId="7" borderId="0" xfId="8" applyNumberFormat="1" applyFont="1" applyFill="1" applyAlignment="1">
      <alignment wrapText="1"/>
    </xf>
    <xf numFmtId="177" fontId="0" fillId="0" borderId="0" xfId="9" applyNumberFormat="1" applyFont="1" applyFill="1"/>
    <xf numFmtId="177" fontId="24" fillId="0" borderId="0" xfId="9" applyNumberFormat="1" applyFont="1" applyFill="1"/>
    <xf numFmtId="3" fontId="0" fillId="0" borderId="0" xfId="9" applyNumberFormat="1" applyFont="1" applyFill="1"/>
    <xf numFmtId="3" fontId="110" fillId="0" borderId="19" xfId="0" applyNumberFormat="1" applyFont="1" applyBorder="1" applyAlignment="1">
      <alignment horizontal="center" vertical="top" wrapText="1"/>
    </xf>
    <xf numFmtId="0" fontId="107" fillId="0" borderId="19" xfId="0" applyFont="1" applyBorder="1" applyAlignment="1">
      <alignment horizontal="left" vertical="center" wrapText="1"/>
    </xf>
    <xf numFmtId="168" fontId="107" fillId="0" borderId="19" xfId="8" applyNumberFormat="1" applyFont="1" applyFill="1" applyBorder="1" applyAlignment="1">
      <alignment horizontal="left" vertical="center" wrapText="1"/>
    </xf>
    <xf numFmtId="0" fontId="107" fillId="8" borderId="19" xfId="0" applyFont="1" applyFill="1" applyBorder="1" applyAlignment="1">
      <alignment horizontal="left" vertical="center" wrapText="1"/>
    </xf>
    <xf numFmtId="0" fontId="105" fillId="0" borderId="43" xfId="0" applyFont="1" applyBorder="1" applyAlignment="1">
      <alignment horizontal="left" vertical="center" wrapText="1"/>
    </xf>
    <xf numFmtId="0" fontId="105" fillId="0" borderId="43" xfId="0" applyFont="1" applyBorder="1" applyAlignment="1">
      <alignment horizontal="left" vertical="center" textRotation="90" wrapText="1"/>
    </xf>
    <xf numFmtId="0" fontId="105" fillId="0" borderId="43" xfId="0" applyFont="1" applyBorder="1" applyAlignment="1">
      <alignment horizontal="center" vertical="center" wrapText="1"/>
    </xf>
    <xf numFmtId="168" fontId="105" fillId="0" borderId="43" xfId="8" applyNumberFormat="1" applyFont="1" applyFill="1" applyBorder="1" applyAlignment="1">
      <alignment horizontal="left" vertical="center" wrapText="1"/>
    </xf>
    <xf numFmtId="0" fontId="112" fillId="0" borderId="19" xfId="0" applyFont="1" applyBorder="1" applyAlignment="1">
      <alignment vertical="top" wrapText="1"/>
    </xf>
    <xf numFmtId="0" fontId="112" fillId="0" borderId="19" xfId="0" applyFont="1" applyBorder="1" applyAlignment="1">
      <alignment horizontal="center" vertical="top" wrapText="1"/>
    </xf>
    <xf numFmtId="3" fontId="112" fillId="0" borderId="19" xfId="0" applyNumberFormat="1" applyFont="1" applyBorder="1" applyAlignment="1">
      <alignment horizontal="center" vertical="top" wrapText="1"/>
    </xf>
    <xf numFmtId="0" fontId="110" fillId="0" borderId="19" xfId="0" applyFont="1" applyBorder="1" applyAlignment="1">
      <alignment vertical="top"/>
    </xf>
    <xf numFmtId="0" fontId="110" fillId="0" borderId="19" xfId="0" applyFont="1" applyBorder="1" applyAlignment="1">
      <alignment horizontal="left" vertical="top" wrapText="1" indent="2"/>
    </xf>
    <xf numFmtId="0" fontId="110" fillId="0" borderId="19" xfId="0" applyFont="1" applyBorder="1" applyAlignment="1">
      <alignment horizontal="center" vertical="top" wrapText="1"/>
    </xf>
    <xf numFmtId="0" fontId="89" fillId="0" borderId="0" xfId="0" applyFont="1"/>
    <xf numFmtId="3" fontId="89" fillId="0" borderId="0" xfId="0" applyNumberFormat="1" applyFont="1"/>
    <xf numFmtId="3" fontId="113" fillId="0" borderId="0" xfId="0" applyNumberFormat="1" applyFont="1" applyAlignment="1">
      <alignment horizontal="center" vertical="top" wrapText="1"/>
    </xf>
    <xf numFmtId="178" fontId="89" fillId="0" borderId="0" xfId="8" applyNumberFormat="1" applyFont="1"/>
    <xf numFmtId="178" fontId="111" fillId="0" borderId="19" xfId="16" applyNumberFormat="1" applyFont="1" applyFill="1" applyBorder="1" applyAlignment="1">
      <alignment horizontal="center" vertical="top" wrapText="1"/>
    </xf>
    <xf numFmtId="178" fontId="17" fillId="0" borderId="19" xfId="16" applyNumberFormat="1" applyFont="1" applyFill="1" applyBorder="1" applyAlignment="1">
      <alignment horizontal="center" vertical="center"/>
    </xf>
    <xf numFmtId="178" fontId="0" fillId="0" borderId="19" xfId="16" applyNumberFormat="1" applyFont="1" applyFill="1" applyBorder="1"/>
    <xf numFmtId="178" fontId="17" fillId="0" borderId="19" xfId="16" applyNumberFormat="1" applyFont="1" applyFill="1" applyBorder="1" applyAlignment="1" applyProtection="1">
      <alignment horizontal="center" vertical="center"/>
      <protection locked="0"/>
    </xf>
    <xf numFmtId="3" fontId="105" fillId="0" borderId="19" xfId="0" applyNumberFormat="1" applyFont="1" applyBorder="1" applyAlignment="1">
      <alignment horizontal="left" vertical="center" wrapText="1"/>
    </xf>
    <xf numFmtId="178" fontId="0" fillId="0" borderId="0" xfId="8" applyNumberFormat="1" applyFont="1" applyAlignment="1">
      <alignment wrapText="1"/>
    </xf>
    <xf numFmtId="178" fontId="93" fillId="27" borderId="11" xfId="8" applyNumberFormat="1" applyFont="1" applyFill="1" applyBorder="1" applyAlignment="1">
      <alignment wrapText="1"/>
    </xf>
    <xf numFmtId="178" fontId="0" fillId="0" borderId="0" xfId="8" pivotButton="1" applyNumberFormat="1" applyFont="1" applyAlignment="1">
      <alignment wrapText="1"/>
    </xf>
    <xf numFmtId="3" fontId="5" fillId="0" borderId="0" xfId="0" applyNumberFormat="1" applyFont="1" applyAlignment="1">
      <alignment horizontal="center" vertical="center" wrapText="1"/>
    </xf>
    <xf numFmtId="44" fontId="0" fillId="0" borderId="0" xfId="0" applyNumberFormat="1"/>
    <xf numFmtId="43" fontId="0" fillId="0" borderId="0" xfId="0" applyNumberFormat="1"/>
    <xf numFmtId="0" fontId="0" fillId="9" borderId="0" xfId="0" applyFill="1"/>
    <xf numFmtId="0" fontId="0" fillId="31" borderId="0" xfId="0" applyFill="1"/>
    <xf numFmtId="1" fontId="0" fillId="0" borderId="0" xfId="0" applyNumberFormat="1"/>
    <xf numFmtId="0" fontId="0" fillId="32" borderId="0" xfId="0" applyFill="1"/>
    <xf numFmtId="0" fontId="0" fillId="33" borderId="0" xfId="0" applyFill="1"/>
    <xf numFmtId="0" fontId="0" fillId="34" borderId="0" xfId="0" applyFill="1"/>
    <xf numFmtId="0" fontId="0" fillId="35" borderId="0" xfId="0" applyFill="1"/>
    <xf numFmtId="0" fontId="0" fillId="36" borderId="0" xfId="0" applyFill="1"/>
    <xf numFmtId="9" fontId="0" fillId="11" borderId="0" xfId="0" applyNumberFormat="1" applyFill="1"/>
    <xf numFmtId="164" fontId="92" fillId="27" borderId="93" xfId="0" applyNumberFormat="1" applyFont="1" applyFill="1" applyBorder="1" applyAlignment="1">
      <alignment wrapText="1"/>
    </xf>
    <xf numFmtId="164" fontId="92" fillId="27" borderId="92" xfId="0" applyNumberFormat="1" applyFont="1" applyFill="1" applyBorder="1" applyAlignment="1">
      <alignment wrapText="1"/>
    </xf>
    <xf numFmtId="177" fontId="93" fillId="27" borderId="17" xfId="0" applyNumberFormat="1" applyFont="1" applyFill="1" applyBorder="1" applyAlignment="1">
      <alignment wrapText="1"/>
    </xf>
    <xf numFmtId="177" fontId="93" fillId="27" borderId="75" xfId="0" applyNumberFormat="1" applyFont="1" applyFill="1" applyBorder="1" applyAlignment="1">
      <alignment wrapText="1"/>
    </xf>
    <xf numFmtId="164" fontId="92" fillId="27" borderId="75" xfId="0" applyNumberFormat="1" applyFont="1" applyFill="1" applyBorder="1" applyAlignment="1">
      <alignment wrapText="1"/>
    </xf>
    <xf numFmtId="164" fontId="92" fillId="27" borderId="76" xfId="0" applyNumberFormat="1" applyFont="1" applyFill="1" applyBorder="1" applyAlignment="1">
      <alignment wrapText="1"/>
    </xf>
    <xf numFmtId="9" fontId="92" fillId="27" borderId="17" xfId="0" applyNumberFormat="1" applyFont="1" applyFill="1" applyBorder="1" applyAlignment="1">
      <alignment wrapText="1"/>
    </xf>
    <xf numFmtId="3" fontId="0" fillId="11" borderId="0" xfId="0" applyNumberFormat="1" applyFill="1"/>
    <xf numFmtId="164" fontId="92" fillId="27" borderId="0" xfId="0" applyNumberFormat="1" applyFont="1" applyFill="1" applyAlignment="1">
      <alignment wrapText="1"/>
    </xf>
    <xf numFmtId="178" fontId="92" fillId="27" borderId="17" xfId="8" applyNumberFormat="1" applyFont="1" applyFill="1" applyBorder="1" applyAlignment="1">
      <alignment wrapText="1"/>
    </xf>
    <xf numFmtId="0" fontId="0" fillId="11" borderId="0" xfId="0" applyFill="1" applyAlignment="1">
      <alignment wrapText="1"/>
    </xf>
    <xf numFmtId="164" fontId="92" fillId="27" borderId="17" xfId="0" applyNumberFormat="1" applyFont="1" applyFill="1" applyBorder="1" applyAlignment="1">
      <alignment wrapText="1"/>
    </xf>
    <xf numFmtId="178" fontId="92" fillId="27" borderId="75" xfId="8" applyNumberFormat="1" applyFont="1" applyFill="1" applyBorder="1" applyAlignment="1">
      <alignment wrapText="1"/>
    </xf>
    <xf numFmtId="164" fontId="92" fillId="27" borderId="91" xfId="0" applyNumberFormat="1" applyFont="1" applyFill="1" applyBorder="1" applyAlignment="1">
      <alignment wrapText="1"/>
    </xf>
    <xf numFmtId="0" fontId="0" fillId="0" borderId="123" xfId="0" applyBorder="1"/>
    <xf numFmtId="0" fontId="91" fillId="0" borderId="43" xfId="0" applyFont="1" applyBorder="1" applyAlignment="1">
      <alignment horizontal="center" vertical="center" wrapText="1"/>
    </xf>
    <xf numFmtId="0" fontId="91" fillId="0" borderId="19" xfId="0" applyFont="1" applyBorder="1" applyAlignment="1">
      <alignment horizontal="center" vertical="center" textRotation="90" wrapText="1"/>
    </xf>
    <xf numFmtId="178" fontId="0" fillId="0" borderId="1" xfId="8" applyNumberFormat="1" applyFont="1" applyFill="1" applyBorder="1"/>
    <xf numFmtId="0" fontId="91" fillId="0" borderId="19" xfId="0" applyFont="1" applyBorder="1" applyAlignment="1">
      <alignment horizontal="center" vertical="center" wrapText="1"/>
    </xf>
    <xf numFmtId="178" fontId="0" fillId="0" borderId="64" xfId="8" applyNumberFormat="1" applyFont="1" applyFill="1" applyBorder="1"/>
    <xf numFmtId="0" fontId="91" fillId="0" borderId="64" xfId="0" applyFont="1" applyBorder="1" applyAlignment="1">
      <alignment horizontal="center" vertical="center" wrapText="1"/>
    </xf>
    <xf numFmtId="0" fontId="91" fillId="0" borderId="123" xfId="0" applyFont="1" applyBorder="1" applyAlignment="1">
      <alignment horizontal="center" vertical="center" wrapText="1"/>
    </xf>
    <xf numFmtId="178" fontId="0" fillId="0" borderId="43" xfId="8" applyNumberFormat="1" applyFont="1" applyFill="1" applyBorder="1"/>
    <xf numFmtId="0" fontId="0" fillId="11" borderId="0" xfId="0" applyFill="1"/>
    <xf numFmtId="9" fontId="0" fillId="11" borderId="0" xfId="8" applyNumberFormat="1" applyFont="1" applyFill="1" applyBorder="1"/>
    <xf numFmtId="167" fontId="0" fillId="11" borderId="0" xfId="8" applyFont="1" applyFill="1" applyBorder="1"/>
    <xf numFmtId="177" fontId="0" fillId="11" borderId="0" xfId="9" applyNumberFormat="1" applyFont="1" applyFill="1" applyBorder="1"/>
    <xf numFmtId="178" fontId="0" fillId="11" borderId="0" xfId="8" applyNumberFormat="1" applyFont="1" applyFill="1" applyBorder="1"/>
    <xf numFmtId="164" fontId="0" fillId="11" borderId="0" xfId="0" applyNumberFormat="1" applyFill="1"/>
    <xf numFmtId="164" fontId="34" fillId="11" borderId="0" xfId="0" applyNumberFormat="1" applyFont="1" applyFill="1"/>
    <xf numFmtId="3" fontId="0" fillId="11" borderId="0" xfId="8" applyNumberFormat="1" applyFont="1" applyFill="1" applyBorder="1"/>
    <xf numFmtId="0" fontId="0" fillId="0" borderId="43" xfId="0" applyBorder="1"/>
    <xf numFmtId="9" fontId="5" fillId="0" borderId="0" xfId="10" applyFont="1" applyFill="1" applyBorder="1" applyAlignment="1">
      <alignment horizontal="center" vertical="center" wrapText="1"/>
    </xf>
    <xf numFmtId="177" fontId="24" fillId="0" borderId="19" xfId="9" applyNumberFormat="1" applyFont="1" applyFill="1" applyBorder="1"/>
    <xf numFmtId="178" fontId="0" fillId="0" borderId="0" xfId="8" applyNumberFormat="1" applyFont="1" applyFill="1" applyAlignment="1">
      <alignment wrapText="1"/>
    </xf>
    <xf numFmtId="169" fontId="0" fillId="0" borderId="0" xfId="0" applyNumberFormat="1"/>
    <xf numFmtId="167" fontId="0" fillId="0" borderId="0" xfId="8" applyFont="1" applyFill="1"/>
    <xf numFmtId="0" fontId="115" fillId="0" borderId="19" xfId="0" applyFont="1" applyBorder="1" applyAlignment="1">
      <alignment vertical="top" wrapText="1"/>
    </xf>
    <xf numFmtId="177" fontId="0" fillId="0" borderId="43" xfId="9" applyNumberFormat="1" applyFont="1" applyFill="1" applyBorder="1"/>
    <xf numFmtId="177" fontId="24" fillId="0" borderId="43" xfId="9" applyNumberFormat="1" applyFont="1" applyFill="1" applyBorder="1"/>
    <xf numFmtId="177" fontId="0" fillId="0" borderId="19" xfId="9" applyNumberFormat="1" applyFont="1" applyFill="1" applyBorder="1"/>
    <xf numFmtId="177" fontId="0" fillId="0" borderId="64" xfId="9" applyNumberFormat="1" applyFont="1" applyFill="1" applyBorder="1"/>
    <xf numFmtId="177" fontId="24" fillId="0" borderId="64" xfId="9" applyNumberFormat="1" applyFont="1" applyFill="1" applyBorder="1"/>
    <xf numFmtId="177" fontId="24" fillId="0" borderId="130" xfId="9" applyNumberFormat="1" applyFont="1" applyFill="1" applyBorder="1"/>
    <xf numFmtId="177" fontId="0" fillId="0" borderId="125" xfId="9" applyNumberFormat="1" applyFont="1" applyFill="1" applyBorder="1"/>
    <xf numFmtId="177" fontId="24" fillId="0" borderId="125" xfId="9" applyNumberFormat="1" applyFont="1" applyFill="1" applyBorder="1"/>
    <xf numFmtId="182" fontId="0" fillId="11" borderId="0" xfId="8" applyNumberFormat="1" applyFont="1" applyFill="1" applyBorder="1"/>
    <xf numFmtId="182" fontId="0" fillId="11" borderId="0" xfId="10" applyNumberFormat="1" applyFont="1" applyFill="1" applyBorder="1"/>
    <xf numFmtId="183" fontId="0" fillId="11" borderId="0" xfId="8" applyNumberFormat="1" applyFont="1" applyFill="1" applyBorder="1"/>
    <xf numFmtId="0" fontId="94" fillId="0" borderId="0" xfId="0" applyFont="1" applyAlignment="1">
      <alignment wrapText="1"/>
    </xf>
    <xf numFmtId="0" fontId="91" fillId="0" borderId="144" xfId="0" applyFont="1" applyBorder="1" applyAlignment="1">
      <alignment horizontal="center" vertical="center" wrapText="1"/>
    </xf>
    <xf numFmtId="0" fontId="0" fillId="0" borderId="121" xfId="0" applyBorder="1"/>
    <xf numFmtId="0" fontId="24" fillId="0" borderId="0" xfId="0" applyFont="1" applyAlignment="1">
      <alignment horizontal="center" vertical="center"/>
    </xf>
    <xf numFmtId="177" fontId="24" fillId="0" borderId="122" xfId="9" applyNumberFormat="1" applyFont="1" applyFill="1" applyBorder="1"/>
    <xf numFmtId="0" fontId="26" fillId="0" borderId="0" xfId="0" applyFont="1" applyAlignment="1">
      <alignment wrapText="1"/>
    </xf>
    <xf numFmtId="177" fontId="24" fillId="0" borderId="0" xfId="9" applyNumberFormat="1" applyFont="1" applyFill="1" applyBorder="1"/>
    <xf numFmtId="178" fontId="0" fillId="0" borderId="19" xfId="8" applyNumberFormat="1" applyFont="1" applyFill="1" applyBorder="1"/>
    <xf numFmtId="177" fontId="24" fillId="0" borderId="119" xfId="9" applyNumberFormat="1" applyFont="1" applyFill="1" applyBorder="1"/>
    <xf numFmtId="0" fontId="90" fillId="0" borderId="65" xfId="0" applyFont="1" applyBorder="1"/>
    <xf numFmtId="177" fontId="24" fillId="0" borderId="147" xfId="9" applyNumberFormat="1" applyFont="1" applyFill="1" applyBorder="1"/>
    <xf numFmtId="177" fontId="24" fillId="0" borderId="79" xfId="9" applyNumberFormat="1" applyFont="1" applyFill="1" applyBorder="1"/>
    <xf numFmtId="177" fontId="24" fillId="0" borderId="84" xfId="9" applyNumberFormat="1" applyFont="1" applyFill="1" applyBorder="1"/>
    <xf numFmtId="177" fontId="89" fillId="0" borderId="119" xfId="9" applyNumberFormat="1" applyFont="1" applyFill="1" applyBorder="1" applyAlignment="1">
      <alignment horizontal="center" vertical="center" wrapText="1"/>
    </xf>
    <xf numFmtId="177" fontId="89" fillId="0" borderId="119" xfId="9" applyNumberFormat="1" applyFont="1" applyBorder="1" applyAlignment="1">
      <alignment horizontal="center" vertical="center" wrapText="1"/>
    </xf>
    <xf numFmtId="0" fontId="0" fillId="0" borderId="146" xfId="0" applyBorder="1"/>
    <xf numFmtId="167" fontId="0" fillId="0" borderId="64" xfId="8" applyFont="1" applyFill="1" applyBorder="1"/>
    <xf numFmtId="0" fontId="0" fillId="0" borderId="65" xfId="0" applyBorder="1"/>
    <xf numFmtId="167" fontId="0" fillId="0" borderId="130" xfId="8" applyFont="1" applyFill="1" applyBorder="1"/>
    <xf numFmtId="178" fontId="0" fillId="0" borderId="130" xfId="8" applyNumberFormat="1" applyFont="1" applyFill="1" applyBorder="1"/>
    <xf numFmtId="0" fontId="0" fillId="0" borderId="145" xfId="0" applyBorder="1"/>
    <xf numFmtId="167" fontId="0" fillId="0" borderId="125" xfId="8" applyFont="1" applyFill="1" applyBorder="1"/>
    <xf numFmtId="178" fontId="0" fillId="0" borderId="125" xfId="8" applyNumberFormat="1" applyFont="1" applyFill="1" applyBorder="1"/>
    <xf numFmtId="0" fontId="90" fillId="0" borderId="146" xfId="0" applyFont="1" applyBorder="1"/>
    <xf numFmtId="178" fontId="0" fillId="0" borderId="0" xfId="8" applyNumberFormat="1" applyFont="1" applyFill="1"/>
    <xf numFmtId="0" fontId="90" fillId="0" borderId="67" xfId="0" applyFont="1" applyBorder="1"/>
    <xf numFmtId="167" fontId="0" fillId="0" borderId="122" xfId="8" applyFont="1" applyFill="1" applyBorder="1"/>
    <xf numFmtId="178" fontId="0" fillId="0" borderId="122" xfId="8" applyNumberFormat="1" applyFont="1" applyFill="1" applyBorder="1"/>
    <xf numFmtId="177" fontId="0" fillId="0" borderId="122" xfId="9" applyNumberFormat="1" applyFont="1" applyFill="1" applyBorder="1"/>
    <xf numFmtId="0" fontId="90" fillId="0" borderId="69" xfId="0" applyFont="1" applyBorder="1"/>
    <xf numFmtId="4" fontId="90" fillId="0" borderId="146" xfId="0" applyNumberFormat="1" applyFont="1" applyBorder="1"/>
    <xf numFmtId="0" fontId="91" fillId="0" borderId="83" xfId="0" applyFont="1" applyBorder="1" applyAlignment="1">
      <alignment horizontal="center" vertical="center" wrapText="1"/>
    </xf>
    <xf numFmtId="0" fontId="91" fillId="0" borderId="66" xfId="0" applyFont="1" applyBorder="1" applyAlignment="1">
      <alignment horizontal="center" vertical="center" wrapText="1"/>
    </xf>
    <xf numFmtId="0" fontId="91" fillId="0" borderId="68" xfId="0" applyFont="1" applyBorder="1" applyAlignment="1">
      <alignment horizontal="center" vertical="center" wrapText="1"/>
    </xf>
    <xf numFmtId="0" fontId="91" fillId="0" borderId="70" xfId="0" applyFont="1" applyBorder="1" applyAlignment="1">
      <alignment horizontal="center" vertical="center" wrapText="1"/>
    </xf>
    <xf numFmtId="177" fontId="0" fillId="0" borderId="130" xfId="9" applyNumberFormat="1" applyFont="1" applyFill="1" applyBorder="1"/>
    <xf numFmtId="0" fontId="90" fillId="0" borderId="145" xfId="0" applyFont="1" applyBorder="1"/>
    <xf numFmtId="3" fontId="26" fillId="0" borderId="0" xfId="0" applyNumberFormat="1" applyFont="1"/>
    <xf numFmtId="177" fontId="26" fillId="0" borderId="0" xfId="9" applyNumberFormat="1" applyFont="1" applyFill="1"/>
    <xf numFmtId="177" fontId="52" fillId="0" borderId="0" xfId="0" applyNumberFormat="1" applyFont="1"/>
    <xf numFmtId="0" fontId="5" fillId="0" borderId="0" xfId="0" applyFont="1" applyAlignment="1">
      <alignment horizontal="left" vertical="center" wrapText="1"/>
    </xf>
    <xf numFmtId="3" fontId="107" fillId="3" borderId="19" xfId="0" applyNumberFormat="1" applyFont="1" applyFill="1" applyBorder="1" applyAlignment="1">
      <alignment horizontal="left" vertical="center" wrapText="1"/>
    </xf>
    <xf numFmtId="0" fontId="118" fillId="0" borderId="0" xfId="0" applyFont="1"/>
    <xf numFmtId="0" fontId="118" fillId="0" borderId="0" xfId="0" applyFont="1" applyAlignment="1">
      <alignment wrapText="1"/>
    </xf>
    <xf numFmtId="177" fontId="0" fillId="0" borderId="0" xfId="0" applyNumberFormat="1"/>
    <xf numFmtId="177" fontId="0" fillId="0" borderId="19" xfId="9" applyNumberFormat="1" applyFont="1" applyBorder="1"/>
    <xf numFmtId="177" fontId="0" fillId="11" borderId="19" xfId="9" applyNumberFormat="1" applyFont="1" applyFill="1" applyBorder="1" applyAlignment="1">
      <alignment horizontal="right"/>
    </xf>
    <xf numFmtId="177" fontId="24" fillId="11" borderId="19" xfId="9" applyNumberFormat="1" applyFont="1" applyFill="1" applyBorder="1"/>
    <xf numFmtId="3" fontId="24" fillId="11" borderId="64" xfId="0" applyNumberFormat="1" applyFont="1" applyFill="1" applyBorder="1" applyAlignment="1">
      <alignment horizontal="right"/>
    </xf>
    <xf numFmtId="0" fontId="24" fillId="0" borderId="17" xfId="0" applyFont="1" applyBorder="1"/>
    <xf numFmtId="0" fontId="0" fillId="11" borderId="83" xfId="0" applyFill="1" applyBorder="1" applyAlignment="1">
      <alignment horizontal="left"/>
    </xf>
    <xf numFmtId="177" fontId="0" fillId="0" borderId="43" xfId="9" applyNumberFormat="1" applyFont="1" applyBorder="1"/>
    <xf numFmtId="177" fontId="0" fillId="11" borderId="43" xfId="9" applyNumberFormat="1" applyFont="1" applyFill="1" applyBorder="1" applyAlignment="1">
      <alignment horizontal="right"/>
    </xf>
    <xf numFmtId="177" fontId="0" fillId="0" borderId="120" xfId="9" applyNumberFormat="1" applyFont="1" applyBorder="1"/>
    <xf numFmtId="0" fontId="0" fillId="11" borderId="66" xfId="0" applyFill="1" applyBorder="1" applyAlignment="1">
      <alignment horizontal="left" wrapText="1"/>
    </xf>
    <xf numFmtId="177" fontId="0" fillId="0" borderId="67" xfId="9" applyNumberFormat="1" applyFont="1" applyBorder="1"/>
    <xf numFmtId="0" fontId="0" fillId="11" borderId="66" xfId="0" applyFill="1" applyBorder="1" applyAlignment="1">
      <alignment wrapText="1"/>
    </xf>
    <xf numFmtId="0" fontId="24" fillId="0" borderId="68" xfId="0" applyFont="1" applyBorder="1" applyAlignment="1">
      <alignment horizontal="right"/>
    </xf>
    <xf numFmtId="177" fontId="24" fillId="0" borderId="64" xfId="9" applyNumberFormat="1" applyFont="1" applyBorder="1"/>
    <xf numFmtId="177" fontId="0" fillId="0" borderId="64" xfId="9" applyNumberFormat="1" applyFont="1" applyBorder="1"/>
    <xf numFmtId="177" fontId="0" fillId="0" borderId="69" xfId="9" applyNumberFormat="1" applyFont="1" applyBorder="1"/>
    <xf numFmtId="9" fontId="26" fillId="0" borderId="0" xfId="10" applyFont="1" applyFill="1"/>
    <xf numFmtId="44" fontId="26" fillId="0" borderId="0" xfId="0" applyNumberFormat="1" applyFont="1"/>
    <xf numFmtId="182" fontId="26" fillId="0" borderId="0" xfId="10" applyNumberFormat="1" applyFont="1" applyFill="1"/>
    <xf numFmtId="0" fontId="26" fillId="0" borderId="0" xfId="0" applyFont="1"/>
    <xf numFmtId="44" fontId="0" fillId="0" borderId="0" xfId="0" applyNumberFormat="1" applyAlignment="1">
      <alignment horizontal="center"/>
    </xf>
    <xf numFmtId="0" fontId="0" fillId="0" borderId="0" xfId="0" applyAlignment="1">
      <alignment horizontal="left" indent="11"/>
    </xf>
    <xf numFmtId="0" fontId="114" fillId="0" borderId="0" xfId="0" applyFont="1" applyAlignment="1">
      <alignment horizontal="left" indent="15"/>
    </xf>
    <xf numFmtId="3" fontId="24" fillId="0" borderId="0" xfId="0" applyNumberFormat="1" applyFont="1"/>
    <xf numFmtId="3" fontId="0" fillId="7" borderId="0" xfId="0" applyNumberFormat="1" applyFill="1"/>
    <xf numFmtId="9" fontId="107" fillId="0" borderId="19" xfId="10" applyFont="1" applyFill="1" applyBorder="1" applyAlignment="1">
      <alignment horizontal="left" vertical="center" wrapText="1"/>
    </xf>
    <xf numFmtId="0" fontId="105" fillId="0" borderId="19" xfId="0" applyFont="1" applyBorder="1" applyAlignment="1">
      <alignment horizontal="left" vertical="center" wrapText="1"/>
    </xf>
    <xf numFmtId="3" fontId="107" fillId="0" borderId="19" xfId="0" applyNumberFormat="1" applyFont="1" applyBorder="1" applyAlignment="1">
      <alignment horizontal="left" vertical="center" wrapText="1"/>
    </xf>
    <xf numFmtId="0" fontId="105" fillId="0" borderId="19" xfId="0" applyFont="1" applyBorder="1" applyAlignment="1">
      <alignment horizontal="center" vertical="center" wrapText="1"/>
    </xf>
    <xf numFmtId="182" fontId="107" fillId="0" borderId="19" xfId="10" applyNumberFormat="1" applyFont="1" applyFill="1" applyBorder="1" applyAlignment="1">
      <alignment horizontal="left" vertical="center" wrapText="1"/>
    </xf>
    <xf numFmtId="0" fontId="115" fillId="0" borderId="19" xfId="0" applyFont="1" applyBorder="1"/>
    <xf numFmtId="178" fontId="107" fillId="0" borderId="19" xfId="8" applyNumberFormat="1" applyFont="1" applyFill="1" applyBorder="1" applyAlignment="1">
      <alignment horizontal="left" vertical="center" wrapText="1"/>
    </xf>
    <xf numFmtId="178" fontId="24" fillId="0" borderId="0" xfId="8" applyNumberFormat="1" applyFont="1"/>
    <xf numFmtId="2" fontId="107" fillId="0" borderId="19" xfId="0" applyNumberFormat="1" applyFont="1" applyBorder="1" applyAlignment="1">
      <alignment horizontal="left" vertical="center" wrapText="1"/>
    </xf>
    <xf numFmtId="0" fontId="34" fillId="0" borderId="0" xfId="0" applyFont="1" applyAlignment="1">
      <alignment wrapText="1"/>
    </xf>
    <xf numFmtId="0" fontId="120" fillId="0" borderId="0" xfId="0" applyFont="1" applyAlignment="1">
      <alignment horizontal="left" wrapText="1"/>
    </xf>
    <xf numFmtId="184" fontId="0" fillId="0" borderId="0" xfId="0" applyNumberFormat="1"/>
    <xf numFmtId="0" fontId="0" fillId="7" borderId="0" xfId="0" applyFill="1"/>
    <xf numFmtId="177" fontId="0" fillId="7" borderId="0" xfId="9" applyNumberFormat="1" applyFont="1" applyFill="1"/>
    <xf numFmtId="184" fontId="0" fillId="11" borderId="0" xfId="0" applyNumberFormat="1" applyFill="1"/>
    <xf numFmtId="184" fontId="0" fillId="11" borderId="40" xfId="0" applyNumberFormat="1" applyFill="1" applyBorder="1"/>
    <xf numFmtId="184" fontId="0" fillId="11" borderId="17" xfId="0" applyNumberFormat="1" applyFill="1" applyBorder="1"/>
    <xf numFmtId="184" fontId="0" fillId="11" borderId="76" xfId="0" applyNumberFormat="1" applyFill="1" applyBorder="1"/>
    <xf numFmtId="0" fontId="24" fillId="37" borderId="9" xfId="0" applyFont="1" applyFill="1" applyBorder="1" applyAlignment="1">
      <alignment horizontal="right"/>
    </xf>
    <xf numFmtId="184" fontId="24" fillId="37" borderId="9" xfId="0" applyNumberFormat="1" applyFont="1" applyFill="1" applyBorder="1" applyAlignment="1">
      <alignment horizontal="right"/>
    </xf>
    <xf numFmtId="184" fontId="0" fillId="11" borderId="93" xfId="0" applyNumberFormat="1" applyFill="1" applyBorder="1"/>
    <xf numFmtId="0" fontId="0" fillId="11" borderId="96" xfId="0" applyFill="1" applyBorder="1" applyAlignment="1">
      <alignment horizontal="left"/>
    </xf>
    <xf numFmtId="0" fontId="0" fillId="11" borderId="95" xfId="0" applyFill="1" applyBorder="1" applyAlignment="1">
      <alignment horizontal="left"/>
    </xf>
    <xf numFmtId="0" fontId="24" fillId="37" borderId="39" xfId="0" applyFont="1" applyFill="1" applyBorder="1"/>
    <xf numFmtId="184" fontId="0" fillId="11" borderId="96" xfId="0" applyNumberFormat="1" applyFill="1" applyBorder="1"/>
    <xf numFmtId="184" fontId="0" fillId="11" borderId="89" xfId="0" applyNumberFormat="1" applyFill="1" applyBorder="1"/>
    <xf numFmtId="0" fontId="24" fillId="37" borderId="0" xfId="0" applyFont="1" applyFill="1"/>
    <xf numFmtId="184" fontId="0" fillId="11" borderId="95" xfId="0" applyNumberFormat="1" applyFill="1" applyBorder="1"/>
    <xf numFmtId="185" fontId="105" fillId="0" borderId="19" xfId="8" applyNumberFormat="1" applyFont="1" applyFill="1" applyBorder="1" applyAlignment="1">
      <alignment horizontal="left" vertical="center" wrapText="1"/>
    </xf>
    <xf numFmtId="185" fontId="107" fillId="0" borderId="19" xfId="0" applyNumberFormat="1" applyFont="1" applyBorder="1" applyAlignment="1">
      <alignment horizontal="center" vertical="top" wrapText="1"/>
    </xf>
    <xf numFmtId="1" fontId="107" fillId="3" borderId="19" xfId="0" applyNumberFormat="1" applyFont="1" applyFill="1" applyBorder="1" applyAlignment="1">
      <alignment horizontal="left" vertical="center" wrapText="1"/>
    </xf>
    <xf numFmtId="184" fontId="0" fillId="11" borderId="2" xfId="0" applyNumberFormat="1" applyFill="1" applyBorder="1"/>
    <xf numFmtId="184" fontId="24" fillId="37" borderId="11" xfId="0" applyNumberFormat="1" applyFont="1" applyFill="1" applyBorder="1" applyAlignment="1">
      <alignment horizontal="right"/>
    </xf>
    <xf numFmtId="184" fontId="24" fillId="37" borderId="39" xfId="0" applyNumberFormat="1" applyFont="1" applyFill="1" applyBorder="1" applyAlignment="1">
      <alignment horizontal="right"/>
    </xf>
    <xf numFmtId="0" fontId="123" fillId="0" borderId="1" xfId="0" applyFont="1" applyBorder="1" applyAlignment="1">
      <alignment vertical="center"/>
    </xf>
    <xf numFmtId="0" fontId="123" fillId="0" borderId="0" xfId="0" applyFont="1" applyAlignment="1">
      <alignment vertical="center"/>
    </xf>
    <xf numFmtId="0" fontId="124" fillId="0" borderId="19" xfId="0" applyFont="1" applyBorder="1"/>
    <xf numFmtId="6" fontId="124" fillId="0" borderId="19" xfId="8" applyNumberFormat="1" applyFont="1" applyFill="1" applyBorder="1"/>
    <xf numFmtId="6" fontId="124" fillId="0" borderId="19" xfId="0" applyNumberFormat="1" applyFont="1" applyBorder="1"/>
    <xf numFmtId="0" fontId="124" fillId="0" borderId="0" xfId="0" applyFont="1"/>
    <xf numFmtId="0" fontId="123" fillId="0" borderId="0" xfId="0" applyFont="1" applyAlignment="1">
      <alignment horizontal="center" vertical="center" wrapText="1"/>
    </xf>
    <xf numFmtId="0" fontId="123" fillId="0" borderId="0" xfId="0" applyFont="1" applyAlignment="1">
      <alignment horizontal="center" vertical="center"/>
    </xf>
    <xf numFmtId="0" fontId="123" fillId="0" borderId="120" xfId="0" applyFont="1" applyBorder="1" applyAlignment="1">
      <alignment horizontal="center" vertical="center"/>
    </xf>
    <xf numFmtId="0" fontId="123" fillId="0" borderId="83" xfId="0" applyFont="1" applyBorder="1" applyAlignment="1">
      <alignment horizontal="center" vertical="center"/>
    </xf>
    <xf numFmtId="0" fontId="123" fillId="0" borderId="149" xfId="0" applyFont="1" applyBorder="1" applyAlignment="1">
      <alignment vertical="center"/>
    </xf>
    <xf numFmtId="0" fontId="123" fillId="0" borderId="150" xfId="0" applyFont="1" applyBorder="1" applyAlignment="1">
      <alignment vertical="center" wrapText="1"/>
    </xf>
    <xf numFmtId="0" fontId="123" fillId="0" borderId="19" xfId="0" applyFont="1" applyBorder="1" applyAlignment="1">
      <alignment horizontal="center" vertical="center"/>
    </xf>
    <xf numFmtId="0" fontId="123" fillId="0" borderId="43" xfId="0" applyFont="1" applyBorder="1" applyAlignment="1">
      <alignment horizontal="center" vertical="center"/>
    </xf>
    <xf numFmtId="0" fontId="123" fillId="0" borderId="19" xfId="0" applyFont="1" applyBorder="1" applyAlignment="1">
      <alignment horizontal="center" vertical="center" wrapText="1"/>
    </xf>
    <xf numFmtId="6" fontId="125" fillId="0" borderId="0" xfId="8" applyNumberFormat="1" applyFont="1" applyFill="1" applyBorder="1" applyAlignment="1">
      <alignment horizontal="right"/>
    </xf>
    <xf numFmtId="0" fontId="123" fillId="0" borderId="68" xfId="0" applyFont="1" applyBorder="1" applyAlignment="1">
      <alignment vertical="center"/>
    </xf>
    <xf numFmtId="0" fontId="123" fillId="0" borderId="67" xfId="0" applyFont="1" applyBorder="1" applyAlignment="1">
      <alignment horizontal="center" vertical="center" wrapText="1"/>
    </xf>
    <xf numFmtId="0" fontId="123" fillId="0" borderId="0" xfId="0" applyFont="1" applyAlignment="1">
      <alignment vertical="center" wrapText="1"/>
    </xf>
    <xf numFmtId="6" fontId="124" fillId="0" borderId="0" xfId="0" applyNumberFormat="1" applyFont="1"/>
    <xf numFmtId="0" fontId="123" fillId="0" borderId="66" xfId="0" applyFont="1" applyBorder="1" applyAlignment="1">
      <alignment horizontal="center" vertical="center"/>
    </xf>
    <xf numFmtId="6" fontId="125" fillId="0" borderId="0" xfId="0" applyNumberFormat="1" applyFont="1" applyAlignment="1">
      <alignment horizontal="right"/>
    </xf>
    <xf numFmtId="6" fontId="124" fillId="0" borderId="0" xfId="8" applyNumberFormat="1" applyFont="1" applyFill="1" applyBorder="1"/>
    <xf numFmtId="0" fontId="125" fillId="0" borderId="0" xfId="0" applyFont="1" applyAlignment="1">
      <alignment horizontal="right"/>
    </xf>
    <xf numFmtId="6" fontId="118" fillId="0" borderId="19" xfId="8" applyNumberFormat="1" applyFont="1" applyFill="1" applyBorder="1" applyAlignment="1">
      <alignment horizontal="right"/>
    </xf>
    <xf numFmtId="0" fontId="124" fillId="0" borderId="83" xfId="0" applyFont="1" applyBorder="1"/>
    <xf numFmtId="0" fontId="124" fillId="0" borderId="43" xfId="0" applyFont="1" applyBorder="1"/>
    <xf numFmtId="6" fontId="124" fillId="0" borderId="43" xfId="8" applyNumberFormat="1" applyFont="1" applyFill="1" applyBorder="1"/>
    <xf numFmtId="6" fontId="124" fillId="0" borderId="120" xfId="0" applyNumberFormat="1" applyFont="1" applyBorder="1"/>
    <xf numFmtId="0" fontId="124" fillId="0" borderId="66" xfId="0" applyFont="1" applyBorder="1"/>
    <xf numFmtId="6" fontId="124" fillId="0" borderId="67" xfId="0" applyNumberFormat="1" applyFont="1" applyBorder="1"/>
    <xf numFmtId="0" fontId="125" fillId="0" borderId="68" xfId="0" applyFont="1" applyBorder="1" applyAlignment="1">
      <alignment horizontal="right"/>
    </xf>
    <xf numFmtId="6" fontId="125" fillId="0" borderId="64" xfId="0" applyNumberFormat="1" applyFont="1" applyBorder="1" applyAlignment="1">
      <alignment horizontal="right"/>
    </xf>
    <xf numFmtId="6" fontId="125" fillId="0" borderId="64" xfId="8" applyNumberFormat="1" applyFont="1" applyFill="1" applyBorder="1" applyAlignment="1">
      <alignment horizontal="right"/>
    </xf>
    <xf numFmtId="6" fontId="125" fillId="0" borderId="69" xfId="0" applyNumberFormat="1" applyFont="1" applyBorder="1" applyAlignment="1">
      <alignment horizontal="right"/>
    </xf>
    <xf numFmtId="6" fontId="124" fillId="0" borderId="43" xfId="0" applyNumberFormat="1" applyFont="1" applyBorder="1"/>
    <xf numFmtId="6" fontId="124" fillId="0" borderId="120" xfId="8" applyNumberFormat="1" applyFont="1" applyFill="1" applyBorder="1"/>
    <xf numFmtId="6" fontId="124" fillId="0" borderId="67" xfId="8" applyNumberFormat="1" applyFont="1" applyFill="1" applyBorder="1"/>
    <xf numFmtId="6" fontId="125" fillId="0" borderId="69" xfId="8" applyNumberFormat="1" applyFont="1" applyFill="1" applyBorder="1" applyAlignment="1">
      <alignment horizontal="right"/>
    </xf>
    <xf numFmtId="0" fontId="118" fillId="0" borderId="12" xfId="0" applyFont="1" applyBorder="1" applyAlignment="1">
      <alignment horizontal="right"/>
    </xf>
    <xf numFmtId="6" fontId="125" fillId="0" borderId="13" xfId="0" applyNumberFormat="1" applyFont="1" applyBorder="1" applyAlignment="1">
      <alignment horizontal="right"/>
    </xf>
    <xf numFmtId="6" fontId="125" fillId="0" borderId="38" xfId="0" applyNumberFormat="1" applyFont="1" applyBorder="1" applyAlignment="1">
      <alignment horizontal="right"/>
    </xf>
    <xf numFmtId="0" fontId="123" fillId="0" borderId="66" xfId="0" applyFont="1" applyBorder="1" applyAlignment="1">
      <alignment vertical="center"/>
    </xf>
    <xf numFmtId="0" fontId="123" fillId="0" borderId="71" xfId="0" applyFont="1" applyBorder="1" applyAlignment="1">
      <alignment vertical="center" wrapText="1"/>
    </xf>
    <xf numFmtId="0" fontId="125" fillId="0" borderId="66" xfId="0" applyFont="1" applyBorder="1" applyAlignment="1">
      <alignment horizontal="right"/>
    </xf>
    <xf numFmtId="6" fontId="118" fillId="0" borderId="67" xfId="8" applyNumberFormat="1" applyFont="1" applyFill="1" applyBorder="1" applyAlignment="1">
      <alignment horizontal="right"/>
    </xf>
    <xf numFmtId="0" fontId="118" fillId="0" borderId="68" xfId="0" applyFont="1" applyBorder="1" applyAlignment="1">
      <alignment horizontal="right"/>
    </xf>
    <xf numFmtId="6" fontId="118" fillId="0" borderId="64" xfId="8" applyNumberFormat="1" applyFont="1" applyFill="1" applyBorder="1" applyAlignment="1">
      <alignment horizontal="right"/>
    </xf>
    <xf numFmtId="6" fontId="118" fillId="0" borderId="69" xfId="8" applyNumberFormat="1" applyFont="1" applyFill="1" applyBorder="1" applyAlignment="1">
      <alignment horizontal="right"/>
    </xf>
    <xf numFmtId="173" fontId="67" fillId="7" borderId="1" xfId="65" applyNumberFormat="1" applyFont="1" applyFill="1" applyBorder="1" applyAlignment="1" applyProtection="1">
      <alignment horizontal="center" vertical="center"/>
      <protection locked="0"/>
    </xf>
    <xf numFmtId="1" fontId="67" fillId="7" borderId="19" xfId="65" applyNumberFormat="1" applyFont="1" applyFill="1" applyBorder="1" applyAlignment="1" applyProtection="1">
      <alignment horizontal="center" vertical="center"/>
      <protection locked="0"/>
    </xf>
    <xf numFmtId="9" fontId="107" fillId="0" borderId="19" xfId="10" applyFont="1" applyFill="1" applyBorder="1" applyAlignment="1">
      <alignment horizontal="center" vertical="center" wrapText="1"/>
    </xf>
    <xf numFmtId="1" fontId="105" fillId="0" borderId="128" xfId="0" applyNumberFormat="1" applyFont="1" applyBorder="1" applyAlignment="1">
      <alignment horizontal="left" vertical="center" textRotation="90" wrapText="1"/>
    </xf>
    <xf numFmtId="0" fontId="105" fillId="0" borderId="116" xfId="0" applyFont="1" applyBorder="1" applyAlignment="1">
      <alignment horizontal="left" vertical="center" wrapText="1"/>
    </xf>
    <xf numFmtId="1" fontId="105" fillId="0" borderId="116" xfId="0" applyNumberFormat="1" applyFont="1" applyBorder="1" applyAlignment="1">
      <alignment horizontal="left" vertical="center" textRotation="90" wrapText="1"/>
    </xf>
    <xf numFmtId="0" fontId="105" fillId="0" borderId="116" xfId="0" applyFont="1" applyBorder="1" applyAlignment="1">
      <alignment horizontal="left" vertical="center" textRotation="90" wrapText="1"/>
    </xf>
    <xf numFmtId="0" fontId="105" fillId="0" borderId="115" xfId="0" applyFont="1" applyBorder="1" applyAlignment="1">
      <alignment horizontal="left" vertical="center" wrapText="1"/>
    </xf>
    <xf numFmtId="0" fontId="105" fillId="0" borderId="116" xfId="0" applyFont="1" applyBorder="1" applyAlignment="1">
      <alignment horizontal="center" vertical="center" textRotation="90" wrapText="1"/>
    </xf>
    <xf numFmtId="0" fontId="105" fillId="0" borderId="119" xfId="0" applyFont="1" applyBorder="1" applyAlignment="1">
      <alignment horizontal="center" vertical="center" textRotation="90" wrapText="1"/>
    </xf>
    <xf numFmtId="0" fontId="105" fillId="0" borderId="118" xfId="0" applyFont="1" applyBorder="1" applyAlignment="1">
      <alignment horizontal="center" vertical="center" wrapText="1"/>
    </xf>
    <xf numFmtId="0" fontId="105" fillId="0" borderId="116" xfId="0" applyFont="1" applyBorder="1" applyAlignment="1">
      <alignment horizontal="center" vertical="center" wrapText="1"/>
    </xf>
    <xf numFmtId="0" fontId="105" fillId="0" borderId="119" xfId="0" applyFont="1" applyBorder="1" applyAlignment="1">
      <alignment horizontal="center" vertical="center" wrapText="1"/>
    </xf>
    <xf numFmtId="0" fontId="105" fillId="0" borderId="128" xfId="0" applyFont="1" applyBorder="1" applyAlignment="1">
      <alignment horizontal="center" vertical="center" wrapText="1"/>
    </xf>
    <xf numFmtId="185" fontId="105" fillId="0" borderId="116" xfId="8" applyNumberFormat="1" applyFont="1" applyFill="1" applyBorder="1" applyAlignment="1">
      <alignment horizontal="left" vertical="center" wrapText="1"/>
    </xf>
    <xf numFmtId="3" fontId="105" fillId="0" borderId="116" xfId="0" applyNumberFormat="1" applyFont="1" applyBorder="1" applyAlignment="1">
      <alignment horizontal="center" vertical="center" textRotation="90" wrapText="1"/>
    </xf>
    <xf numFmtId="3" fontId="116" fillId="3" borderId="115" xfId="8" applyNumberFormat="1" applyFont="1" applyFill="1" applyBorder="1" applyAlignment="1">
      <alignment horizontal="center" vertical="center" textRotation="90" wrapText="1"/>
    </xf>
    <xf numFmtId="2" fontId="116" fillId="0" borderId="92" xfId="8" applyNumberFormat="1" applyFont="1" applyFill="1" applyBorder="1" applyAlignment="1">
      <alignment horizontal="center" vertical="center" textRotation="90" wrapText="1"/>
    </xf>
    <xf numFmtId="2" fontId="116" fillId="0" borderId="115" xfId="8" applyNumberFormat="1" applyFont="1" applyFill="1" applyBorder="1" applyAlignment="1">
      <alignment horizontal="center" vertical="center" textRotation="90" wrapText="1"/>
    </xf>
    <xf numFmtId="9" fontId="105" fillId="0" borderId="116" xfId="10" applyFont="1" applyFill="1" applyBorder="1" applyAlignment="1">
      <alignment horizontal="center" vertical="center" textRotation="90" wrapText="1"/>
    </xf>
    <xf numFmtId="9" fontId="105" fillId="0" borderId="119" xfId="10" applyFont="1" applyFill="1" applyBorder="1" applyAlignment="1">
      <alignment horizontal="center" vertical="center" textRotation="90" wrapText="1"/>
    </xf>
    <xf numFmtId="3" fontId="105" fillId="0" borderId="128" xfId="0" applyNumberFormat="1" applyFont="1" applyBorder="1" applyAlignment="1">
      <alignment horizontal="center" vertical="center" textRotation="90" wrapText="1"/>
    </xf>
    <xf numFmtId="3" fontId="105" fillId="0" borderId="115" xfId="0" applyNumberFormat="1" applyFont="1" applyBorder="1" applyAlignment="1">
      <alignment horizontal="center" vertical="center" textRotation="90" wrapText="1"/>
    </xf>
    <xf numFmtId="3" fontId="105" fillId="0" borderId="75" xfId="0" applyNumberFormat="1" applyFont="1" applyBorder="1" applyAlignment="1">
      <alignment horizontal="center" vertical="center" textRotation="90" wrapText="1"/>
    </xf>
    <xf numFmtId="1" fontId="105" fillId="3" borderId="96" xfId="0" applyNumberFormat="1" applyFont="1" applyFill="1" applyBorder="1" applyAlignment="1">
      <alignment horizontal="center" vertical="center" textRotation="90" wrapText="1"/>
    </xf>
    <xf numFmtId="0" fontId="105" fillId="0" borderId="118" xfId="0" applyFont="1" applyBorder="1" applyAlignment="1">
      <alignment horizontal="left" vertical="center" wrapText="1"/>
    </xf>
    <xf numFmtId="2" fontId="105" fillId="0" borderId="19" xfId="0" applyNumberFormat="1" applyFont="1" applyBorder="1" applyAlignment="1">
      <alignment horizontal="left" vertical="center" wrapText="1"/>
    </xf>
    <xf numFmtId="2" fontId="107" fillId="0" borderId="19" xfId="8" applyNumberFormat="1" applyFont="1" applyFill="1" applyBorder="1" applyAlignment="1">
      <alignment horizontal="left" vertical="center" wrapText="1"/>
    </xf>
    <xf numFmtId="178" fontId="24" fillId="0" borderId="0" xfId="8" applyNumberFormat="1" applyFont="1" applyFill="1"/>
    <xf numFmtId="9" fontId="0" fillId="0" borderId="0" xfId="10" applyFont="1"/>
    <xf numFmtId="4" fontId="107" fillId="0" borderId="19" xfId="0" applyNumberFormat="1" applyFont="1" applyBorder="1" applyAlignment="1">
      <alignment horizontal="left" vertical="center" wrapText="1"/>
    </xf>
    <xf numFmtId="3" fontId="105" fillId="0" borderId="116" xfId="0" applyNumberFormat="1" applyFont="1" applyBorder="1" applyAlignment="1">
      <alignment horizontal="left" vertical="center" textRotation="90" wrapText="1"/>
    </xf>
    <xf numFmtId="0" fontId="105" fillId="8" borderId="96" xfId="0" applyFont="1" applyFill="1" applyBorder="1" applyAlignment="1">
      <alignment horizontal="center" vertical="center" wrapText="1"/>
    </xf>
    <xf numFmtId="44" fontId="0" fillId="0" borderId="0" xfId="0" applyNumberFormat="1" applyAlignment="1">
      <alignment wrapText="1"/>
    </xf>
    <xf numFmtId="166" fontId="0" fillId="0" borderId="0" xfId="0" applyNumberFormat="1" applyAlignment="1">
      <alignment wrapText="1"/>
    </xf>
    <xf numFmtId="0" fontId="115" fillId="0" borderId="19" xfId="0" applyFont="1" applyBorder="1" applyAlignment="1">
      <alignment horizontal="left" vertical="center" wrapText="1"/>
    </xf>
    <xf numFmtId="0" fontId="115" fillId="0" borderId="19" xfId="0" applyFont="1" applyBorder="1" applyAlignment="1">
      <alignment wrapText="1"/>
    </xf>
    <xf numFmtId="0" fontId="122" fillId="0" borderId="19" xfId="0" applyFont="1" applyBorder="1" applyAlignment="1">
      <alignment wrapText="1"/>
    </xf>
    <xf numFmtId="185" fontId="107" fillId="0" borderId="0" xfId="0" applyNumberFormat="1" applyFont="1" applyAlignment="1">
      <alignment horizontal="left" vertical="center" wrapText="1"/>
    </xf>
    <xf numFmtId="185" fontId="107" fillId="7" borderId="0" xfId="0" applyNumberFormat="1" applyFont="1" applyFill="1" applyAlignment="1">
      <alignment horizontal="left" vertical="center" wrapText="1"/>
    </xf>
    <xf numFmtId="3" fontId="24" fillId="5" borderId="0" xfId="0" applyNumberFormat="1" applyFont="1" applyFill="1"/>
    <xf numFmtId="178" fontId="0" fillId="5" borderId="0" xfId="8" applyNumberFormat="1" applyFont="1" applyFill="1"/>
    <xf numFmtId="177" fontId="0" fillId="5" borderId="0" xfId="9" applyNumberFormat="1" applyFont="1" applyFill="1"/>
    <xf numFmtId="0" fontId="105" fillId="0" borderId="96" xfId="0" applyFont="1" applyBorder="1" applyAlignment="1">
      <alignment horizontal="center" vertical="center" wrapText="1"/>
    </xf>
    <xf numFmtId="9" fontId="107" fillId="0" borderId="0" xfId="10" applyFont="1" applyFill="1" applyBorder="1" applyAlignment="1">
      <alignment horizontal="left" vertical="center" wrapText="1"/>
    </xf>
    <xf numFmtId="0" fontId="121" fillId="0" borderId="0" xfId="0" applyFont="1" applyAlignment="1">
      <alignment wrapText="1"/>
    </xf>
    <xf numFmtId="3" fontId="107" fillId="0" borderId="0" xfId="0" applyNumberFormat="1" applyFont="1" applyAlignment="1">
      <alignment horizontal="left" vertical="center" wrapText="1"/>
    </xf>
    <xf numFmtId="185" fontId="107" fillId="0" borderId="0" xfId="8" applyNumberFormat="1" applyFont="1" applyFill="1" applyBorder="1" applyAlignment="1">
      <alignment horizontal="left" vertical="center" wrapText="1"/>
    </xf>
    <xf numFmtId="1" fontId="107" fillId="0" borderId="0" xfId="0" applyNumberFormat="1" applyFont="1" applyAlignment="1">
      <alignment horizontal="left" vertical="center" wrapText="1"/>
    </xf>
    <xf numFmtId="0" fontId="116" fillId="0" borderId="19" xfId="0" applyFont="1" applyBorder="1" applyAlignment="1">
      <alignment wrapText="1"/>
    </xf>
    <xf numFmtId="0" fontId="121" fillId="0" borderId="19" xfId="0" applyFont="1" applyBorder="1" applyAlignment="1">
      <alignment wrapText="1"/>
    </xf>
    <xf numFmtId="1" fontId="106" fillId="3" borderId="19" xfId="0" applyNumberFormat="1" applyFont="1" applyFill="1" applyBorder="1" applyAlignment="1">
      <alignment horizontal="left" vertical="center" wrapText="1"/>
    </xf>
    <xf numFmtId="3" fontId="107" fillId="3" borderId="0" xfId="0" applyNumberFormat="1" applyFont="1" applyFill="1" applyAlignment="1">
      <alignment horizontal="left" vertical="center" wrapText="1"/>
    </xf>
    <xf numFmtId="0" fontId="107" fillId="0" borderId="0" xfId="0" quotePrefix="1" applyFont="1" applyAlignment="1">
      <alignment horizontal="left" vertical="center" wrapText="1"/>
    </xf>
    <xf numFmtId="2" fontId="107" fillId="0" borderId="0" xfId="0" applyNumberFormat="1" applyFont="1" applyAlignment="1">
      <alignment horizontal="left" vertical="center" wrapText="1"/>
    </xf>
    <xf numFmtId="0" fontId="107" fillId="0" borderId="0" xfId="0" applyFont="1" applyAlignment="1">
      <alignment horizontal="left" vertical="center" wrapText="1"/>
    </xf>
    <xf numFmtId="0" fontId="107" fillId="0" borderId="19" xfId="0" applyFont="1" applyBorder="1" applyAlignment="1">
      <alignment horizontal="center" vertical="center" wrapText="1"/>
    </xf>
    <xf numFmtId="3" fontId="107" fillId="3" borderId="19" xfId="8" applyNumberFormat="1" applyFont="1" applyFill="1" applyBorder="1" applyAlignment="1">
      <alignment horizontal="left" vertical="center" wrapText="1"/>
    </xf>
    <xf numFmtId="3" fontId="21" fillId="0" borderId="0" xfId="0" applyNumberFormat="1" applyFont="1" applyAlignment="1">
      <alignment horizontal="center" vertical="center" wrapText="1"/>
    </xf>
    <xf numFmtId="0" fontId="118" fillId="0" borderId="0" xfId="0" pivotButton="1" applyFont="1"/>
    <xf numFmtId="178" fontId="118" fillId="0" borderId="0" xfId="0" applyNumberFormat="1" applyFont="1"/>
    <xf numFmtId="0" fontId="118" fillId="0" borderId="0" xfId="0" pivotButton="1" applyFont="1" applyAlignment="1">
      <alignment wrapText="1"/>
    </xf>
    <xf numFmtId="1" fontId="107" fillId="0" borderId="19" xfId="0" applyNumberFormat="1" applyFont="1" applyBorder="1" applyAlignment="1">
      <alignment horizontal="left" vertical="center" wrapText="1"/>
    </xf>
    <xf numFmtId="0" fontId="107" fillId="0" borderId="19" xfId="0" quotePrefix="1" applyFont="1" applyBorder="1" applyAlignment="1">
      <alignment horizontal="left" vertical="center" wrapText="1"/>
    </xf>
    <xf numFmtId="185" fontId="107" fillId="0" borderId="19" xfId="8" applyNumberFormat="1" applyFont="1" applyFill="1" applyBorder="1" applyAlignment="1">
      <alignment horizontal="left" vertical="center" wrapText="1"/>
    </xf>
    <xf numFmtId="185" fontId="107" fillId="0" borderId="19" xfId="0" applyNumberFormat="1" applyFont="1" applyBorder="1" applyAlignment="1">
      <alignment horizontal="left" vertical="center" wrapText="1"/>
    </xf>
    <xf numFmtId="0" fontId="5" fillId="0" borderId="0" xfId="0" applyFont="1" applyAlignment="1">
      <alignment horizontal="center" vertical="center" wrapText="1"/>
    </xf>
    <xf numFmtId="1" fontId="107" fillId="3" borderId="0" xfId="0" applyNumberFormat="1" applyFont="1" applyFill="1" applyAlignment="1">
      <alignment horizontal="left" vertical="center" wrapText="1"/>
    </xf>
    <xf numFmtId="0" fontId="122" fillId="0" borderId="0" xfId="0" applyFont="1" applyAlignment="1">
      <alignment wrapText="1"/>
    </xf>
    <xf numFmtId="1" fontId="105" fillId="0" borderId="19" xfId="0" applyNumberFormat="1" applyFont="1" applyBorder="1" applyAlignment="1">
      <alignment horizontal="left" vertical="center" textRotation="90" wrapText="1"/>
    </xf>
    <xf numFmtId="0" fontId="105" fillId="0" borderId="19" xfId="0" applyFont="1" applyBorder="1" applyAlignment="1">
      <alignment horizontal="left" vertical="center" textRotation="90" wrapText="1"/>
    </xf>
    <xf numFmtId="0" fontId="105" fillId="0" borderId="19" xfId="0" applyFont="1" applyBorder="1" applyAlignment="1">
      <alignment horizontal="center" vertical="center" textRotation="90" wrapText="1"/>
    </xf>
    <xf numFmtId="3" fontId="105" fillId="0" borderId="19" xfId="0" applyNumberFormat="1" applyFont="1" applyBorder="1" applyAlignment="1">
      <alignment horizontal="left" vertical="center" textRotation="90" wrapText="1"/>
    </xf>
    <xf numFmtId="3" fontId="105" fillId="0" borderId="19" xfId="0" applyNumberFormat="1" applyFont="1" applyBorder="1" applyAlignment="1">
      <alignment horizontal="center" vertical="center" textRotation="90" wrapText="1"/>
    </xf>
    <xf numFmtId="3" fontId="116" fillId="3" borderId="19" xfId="8" applyNumberFormat="1" applyFont="1" applyFill="1" applyBorder="1" applyAlignment="1">
      <alignment horizontal="center" vertical="center" textRotation="90" wrapText="1"/>
    </xf>
    <xf numFmtId="2" fontId="116" fillId="0" borderId="19" xfId="8" applyNumberFormat="1" applyFont="1" applyFill="1" applyBorder="1" applyAlignment="1">
      <alignment horizontal="center" vertical="center" textRotation="90" wrapText="1"/>
    </xf>
    <xf numFmtId="9" fontId="105" fillId="0" borderId="19" xfId="10" applyFont="1" applyFill="1" applyBorder="1" applyAlignment="1">
      <alignment horizontal="center" vertical="center" textRotation="90" wrapText="1"/>
    </xf>
    <xf numFmtId="1" fontId="105" fillId="3" borderId="19" xfId="0" applyNumberFormat="1" applyFont="1" applyFill="1" applyBorder="1" applyAlignment="1">
      <alignment horizontal="center" vertical="center" textRotation="90" wrapText="1"/>
    </xf>
    <xf numFmtId="178" fontId="26" fillId="0" borderId="0" xfId="8" applyNumberFormat="1" applyFont="1" applyFill="1"/>
    <xf numFmtId="169" fontId="26" fillId="0" borderId="0" xfId="0" applyNumberFormat="1" applyFont="1"/>
    <xf numFmtId="0" fontId="127" fillId="0" borderId="0" xfId="0" applyFont="1"/>
    <xf numFmtId="1" fontId="5" fillId="0" borderId="0" xfId="0" applyNumberFormat="1" applyFont="1" applyAlignment="1">
      <alignment horizontal="left" vertical="center" wrapText="1"/>
    </xf>
    <xf numFmtId="3" fontId="5" fillId="0" borderId="0" xfId="8" applyNumberFormat="1" applyFont="1" applyFill="1" applyBorder="1" applyAlignment="1">
      <alignment horizontal="center" vertical="center" wrapText="1"/>
    </xf>
    <xf numFmtId="0" fontId="105" fillId="0" borderId="19" xfId="0" applyFont="1" applyBorder="1" applyAlignment="1">
      <alignment horizontal="left" vertical="top" wrapText="1"/>
    </xf>
    <xf numFmtId="9" fontId="107" fillId="0" borderId="19" xfId="10" applyFont="1" applyFill="1" applyBorder="1" applyAlignment="1">
      <alignment horizontal="center" vertical="top" wrapText="1"/>
    </xf>
    <xf numFmtId="0" fontId="107" fillId="0" borderId="19" xfId="0" applyFont="1" applyBorder="1" applyAlignment="1">
      <alignment horizontal="left" vertical="top"/>
    </xf>
    <xf numFmtId="3" fontId="107" fillId="0" borderId="19" xfId="8" applyNumberFormat="1" applyFont="1" applyFill="1" applyBorder="1" applyAlignment="1">
      <alignment horizontal="center" vertical="top"/>
    </xf>
    <xf numFmtId="0" fontId="107" fillId="0" borderId="19" xfId="0" applyFont="1" applyBorder="1" applyAlignment="1">
      <alignment horizontal="center" vertical="top"/>
    </xf>
    <xf numFmtId="185" fontId="107" fillId="0" borderId="19" xfId="0" applyNumberFormat="1" applyFont="1" applyBorder="1" applyAlignment="1">
      <alignment horizontal="center" vertical="top"/>
    </xf>
    <xf numFmtId="3" fontId="107" fillId="0" borderId="19" xfId="0" applyNumberFormat="1" applyFont="1" applyBorder="1" applyAlignment="1">
      <alignment horizontal="center" vertical="top"/>
    </xf>
    <xf numFmtId="185" fontId="24" fillId="0" borderId="0" xfId="0" applyNumberFormat="1" applyFont="1"/>
    <xf numFmtId="3" fontId="107" fillId="0" borderId="19" xfId="0" applyNumberFormat="1" applyFont="1" applyBorder="1" applyAlignment="1">
      <alignment horizontal="center" vertical="top" wrapText="1"/>
    </xf>
    <xf numFmtId="1" fontId="107" fillId="0" borderId="19" xfId="0" applyNumberFormat="1" applyFont="1" applyBorder="1" applyAlignment="1">
      <alignment horizontal="left" vertical="top" wrapText="1"/>
    </xf>
    <xf numFmtId="0" fontId="107" fillId="0" borderId="19" xfId="0" applyFont="1" applyBorder="1" applyAlignment="1">
      <alignment horizontal="left" vertical="top" wrapText="1"/>
    </xf>
    <xf numFmtId="0" fontId="107" fillId="0" borderId="19" xfId="0" quotePrefix="1" applyFont="1" applyBorder="1" applyAlignment="1">
      <alignment horizontal="left" vertical="top" wrapText="1"/>
    </xf>
    <xf numFmtId="3" fontId="107" fillId="0" borderId="19" xfId="0" applyNumberFormat="1" applyFont="1" applyBorder="1" applyAlignment="1">
      <alignment horizontal="left" vertical="top" wrapText="1"/>
    </xf>
    <xf numFmtId="0" fontId="105" fillId="0" borderId="0" xfId="0" applyFont="1" applyAlignment="1">
      <alignment vertical="top" wrapText="1"/>
    </xf>
    <xf numFmtId="0" fontId="0" fillId="0" borderId="77" xfId="0" applyBorder="1"/>
    <xf numFmtId="184" fontId="0" fillId="11" borderId="75" xfId="0" applyNumberFormat="1" applyFill="1" applyBorder="1"/>
    <xf numFmtId="184" fontId="0" fillId="11" borderId="92" xfId="0" applyNumberFormat="1" applyFill="1" applyBorder="1"/>
    <xf numFmtId="184" fontId="0" fillId="11" borderId="91" xfId="0" applyNumberFormat="1" applyFill="1" applyBorder="1"/>
    <xf numFmtId="0" fontId="0" fillId="0" borderId="96" xfId="0" pivotButton="1" applyBorder="1"/>
    <xf numFmtId="0" fontId="0" fillId="0" borderId="75" xfId="0" applyBorder="1"/>
    <xf numFmtId="0" fontId="0" fillId="0" borderId="9" xfId="0" applyBorder="1"/>
    <xf numFmtId="0" fontId="0" fillId="0" borderId="92" xfId="0" applyBorder="1"/>
    <xf numFmtId="178" fontId="5" fillId="0" borderId="0" xfId="8" applyNumberFormat="1" applyFont="1" applyFill="1" applyBorder="1" applyAlignment="1">
      <alignment horizontal="center" vertical="center" wrapText="1"/>
    </xf>
    <xf numFmtId="0" fontId="105" fillId="0" borderId="0" xfId="0" applyFont="1" applyAlignment="1">
      <alignment horizontal="center" vertical="center" wrapText="1"/>
    </xf>
    <xf numFmtId="1" fontId="105" fillId="39" borderId="19" xfId="0" applyNumberFormat="1" applyFont="1" applyFill="1" applyBorder="1" applyAlignment="1">
      <alignment horizontal="left" vertical="center" wrapText="1"/>
    </xf>
    <xf numFmtId="0" fontId="105" fillId="39" borderId="19" xfId="0" applyFont="1" applyFill="1" applyBorder="1" applyAlignment="1">
      <alignment horizontal="left" vertical="center" wrapText="1"/>
    </xf>
    <xf numFmtId="3" fontId="105" fillId="39" borderId="19" xfId="0" applyNumberFormat="1" applyFont="1" applyFill="1" applyBorder="1" applyAlignment="1">
      <alignment horizontal="center" vertical="center" wrapText="1"/>
    </xf>
    <xf numFmtId="0" fontId="105" fillId="39" borderId="19" xfId="0" applyFont="1" applyFill="1" applyBorder="1" applyAlignment="1">
      <alignment horizontal="center" vertical="center" wrapText="1"/>
    </xf>
    <xf numFmtId="185" fontId="105" fillId="39" borderId="19" xfId="0" applyNumberFormat="1" applyFont="1" applyFill="1" applyBorder="1" applyAlignment="1">
      <alignment horizontal="center" vertical="center" wrapText="1"/>
    </xf>
    <xf numFmtId="9" fontId="105" fillId="39" borderId="19" xfId="10" applyFont="1" applyFill="1" applyBorder="1" applyAlignment="1">
      <alignment horizontal="center" vertical="center" wrapText="1"/>
    </xf>
    <xf numFmtId="0" fontId="0" fillId="0" borderId="2" xfId="0" applyBorder="1" applyAlignment="1">
      <alignment horizontal="center" vertical="center" wrapText="1"/>
    </xf>
    <xf numFmtId="4" fontId="24" fillId="0" borderId="0" xfId="8" applyNumberFormat="1" applyFont="1" applyFill="1" applyBorder="1" applyAlignment="1">
      <alignment horizontal="center" vertical="center" wrapText="1"/>
    </xf>
    <xf numFmtId="3" fontId="24" fillId="0" borderId="17" xfId="0" applyNumberFormat="1" applyFont="1" applyBorder="1" applyAlignment="1">
      <alignment horizontal="center" vertical="center" wrapText="1"/>
    </xf>
    <xf numFmtId="0" fontId="24" fillId="0" borderId="76" xfId="0" applyFont="1" applyBorder="1" applyAlignment="1">
      <alignment horizontal="center" vertical="center" wrapText="1"/>
    </xf>
    <xf numFmtId="4" fontId="24" fillId="0" borderId="93" xfId="8" applyNumberFormat="1" applyFont="1" applyFill="1" applyBorder="1" applyAlignment="1">
      <alignment horizontal="center" vertical="center" wrapText="1"/>
    </xf>
    <xf numFmtId="4" fontId="24" fillId="0" borderId="17" xfId="8" applyNumberFormat="1" applyFont="1" applyFill="1" applyBorder="1" applyAlignment="1">
      <alignment horizontal="center" vertical="center" wrapText="1"/>
    </xf>
    <xf numFmtId="187" fontId="24" fillId="0" borderId="17" xfId="0" applyNumberFormat="1" applyFont="1" applyBorder="1" applyAlignment="1">
      <alignment horizontal="center" vertical="center" wrapText="1"/>
    </xf>
    <xf numFmtId="184" fontId="24" fillId="0" borderId="76" xfId="0" applyNumberFormat="1" applyFont="1" applyBorder="1" applyAlignment="1">
      <alignment horizontal="center" vertical="center" wrapText="1"/>
    </xf>
    <xf numFmtId="0" fontId="24" fillId="0" borderId="0" xfId="0" applyFont="1" applyAlignment="1">
      <alignment horizontal="center" vertical="center" wrapText="1"/>
    </xf>
    <xf numFmtId="187" fontId="24" fillId="0" borderId="93" xfId="0" applyNumberFormat="1" applyFont="1" applyBorder="1" applyAlignment="1">
      <alignment vertical="center" wrapText="1"/>
    </xf>
    <xf numFmtId="187" fontId="24" fillId="0" borderId="76" xfId="0" applyNumberFormat="1" applyFont="1" applyBorder="1" applyAlignment="1">
      <alignment vertical="center" wrapText="1"/>
    </xf>
    <xf numFmtId="0" fontId="0" fillId="0" borderId="0" xfId="0" applyAlignment="1">
      <alignment horizontal="center" vertical="center" wrapText="1"/>
    </xf>
    <xf numFmtId="0" fontId="24" fillId="0" borderId="2" xfId="0" applyFont="1" applyBorder="1" applyAlignment="1">
      <alignment horizontal="center" vertical="center" wrapText="1"/>
    </xf>
    <xf numFmtId="3" fontId="24" fillId="0" borderId="0" xfId="0" applyNumberFormat="1" applyFont="1" applyAlignment="1">
      <alignment horizontal="center" vertical="center" wrapText="1"/>
    </xf>
    <xf numFmtId="0" fontId="24" fillId="0" borderId="40" xfId="0" applyFont="1" applyBorder="1" applyAlignment="1">
      <alignment horizontal="center" vertical="center" wrapText="1"/>
    </xf>
    <xf numFmtId="4" fontId="24" fillId="0" borderId="0" xfId="8" applyNumberFormat="1" applyFont="1" applyFill="1" applyBorder="1" applyAlignment="1">
      <alignment vertical="center" wrapText="1"/>
    </xf>
    <xf numFmtId="9" fontId="24" fillId="42" borderId="0" xfId="10" applyFont="1" applyFill="1" applyBorder="1" applyAlignment="1">
      <alignment horizontal="center" vertical="center" wrapText="1"/>
    </xf>
    <xf numFmtId="187" fontId="24" fillId="42" borderId="0" xfId="9" applyNumberFormat="1" applyFont="1" applyFill="1" applyBorder="1" applyAlignment="1">
      <alignment horizontal="center" vertical="center" wrapText="1"/>
    </xf>
    <xf numFmtId="187" fontId="24" fillId="0" borderId="0" xfId="0" applyNumberFormat="1" applyFont="1" applyAlignment="1">
      <alignment vertical="center" wrapText="1"/>
    </xf>
    <xf numFmtId="184" fontId="24" fillId="0" borderId="40" xfId="0" applyNumberFormat="1" applyFont="1" applyBorder="1" applyAlignment="1">
      <alignment vertical="center" wrapText="1"/>
    </xf>
    <xf numFmtId="0" fontId="24" fillId="0" borderId="0" xfId="0" applyFont="1" applyAlignment="1">
      <alignment vertical="center" wrapText="1"/>
    </xf>
    <xf numFmtId="9" fontId="24" fillId="42" borderId="2" xfId="10" applyFont="1" applyFill="1" applyBorder="1" applyAlignment="1">
      <alignment horizontal="center" vertical="center" wrapText="1"/>
    </xf>
    <xf numFmtId="187" fontId="24" fillId="0" borderId="0" xfId="9" applyNumberFormat="1" applyFont="1" applyFill="1" applyBorder="1" applyAlignment="1">
      <alignment horizontal="center" vertical="top" wrapText="1"/>
    </xf>
    <xf numFmtId="184" fontId="24" fillId="0" borderId="40" xfId="9" applyNumberFormat="1" applyFont="1" applyFill="1" applyBorder="1" applyAlignment="1">
      <alignment horizontal="center" vertical="top" wrapText="1"/>
    </xf>
    <xf numFmtId="187" fontId="24" fillId="0" borderId="2" xfId="0" applyNumberFormat="1" applyFont="1" applyBorder="1" applyAlignment="1">
      <alignment horizontal="center" vertical="center" wrapText="1"/>
    </xf>
    <xf numFmtId="187" fontId="24" fillId="0" borderId="40" xfId="0" applyNumberFormat="1" applyFont="1" applyBorder="1" applyAlignment="1">
      <alignment horizontal="center" vertical="center" wrapText="1"/>
    </xf>
    <xf numFmtId="166" fontId="24" fillId="0" borderId="0" xfId="9" applyFont="1" applyFill="1" applyBorder="1" applyAlignment="1">
      <alignment horizontal="center" vertical="top" wrapText="1"/>
    </xf>
    <xf numFmtId="0" fontId="0" fillId="42" borderId="0" xfId="0" applyFill="1" applyAlignment="1">
      <alignment wrapText="1"/>
    </xf>
    <xf numFmtId="0" fontId="0" fillId="42" borderId="2" xfId="0" applyFill="1" applyBorder="1" applyAlignment="1">
      <alignment wrapText="1"/>
    </xf>
    <xf numFmtId="187" fontId="24" fillId="42" borderId="0" xfId="9" applyNumberFormat="1" applyFont="1" applyFill="1" applyBorder="1" applyAlignment="1">
      <alignment horizontal="center" vertical="top" wrapText="1"/>
    </xf>
    <xf numFmtId="9" fontId="24" fillId="0" borderId="0" xfId="10" applyFont="1" applyFill="1" applyBorder="1" applyAlignment="1">
      <alignment horizontal="center" vertical="center" wrapText="1"/>
    </xf>
    <xf numFmtId="187" fontId="24" fillId="0" borderId="0" xfId="9" applyNumberFormat="1" applyFont="1" applyFill="1" applyBorder="1" applyAlignment="1">
      <alignment horizontal="center" vertical="center" wrapText="1"/>
    </xf>
    <xf numFmtId="184" fontId="24" fillId="0" borderId="0" xfId="9" applyNumberFormat="1" applyFont="1" applyFill="1" applyBorder="1" applyAlignment="1">
      <alignment horizontal="center" vertical="center" wrapText="1"/>
    </xf>
    <xf numFmtId="184" fontId="24" fillId="0" borderId="0" xfId="0" applyNumberFormat="1" applyFont="1" applyAlignment="1">
      <alignment vertical="center" wrapText="1"/>
    </xf>
    <xf numFmtId="184" fontId="24" fillId="0" borderId="2" xfId="9" applyNumberFormat="1" applyFont="1" applyFill="1" applyBorder="1" applyAlignment="1">
      <alignment horizontal="center" vertical="top" wrapText="1"/>
    </xf>
    <xf numFmtId="184" fontId="24" fillId="0" borderId="0" xfId="9" applyNumberFormat="1" applyFont="1" applyFill="1" applyBorder="1" applyAlignment="1">
      <alignment horizontal="center" vertical="top" wrapText="1"/>
    </xf>
    <xf numFmtId="187" fontId="24" fillId="0" borderId="2" xfId="9" applyNumberFormat="1" applyFont="1" applyFill="1" applyBorder="1" applyAlignment="1">
      <alignment horizontal="center" vertical="top" wrapText="1"/>
    </xf>
    <xf numFmtId="0" fontId="52" fillId="43" borderId="0" xfId="0" applyFont="1" applyFill="1" applyAlignment="1">
      <alignment wrapText="1"/>
    </xf>
    <xf numFmtId="3" fontId="26" fillId="43" borderId="0" xfId="0" applyNumberFormat="1" applyFont="1" applyFill="1" applyAlignment="1">
      <alignment horizontal="center" vertical="center"/>
    </xf>
    <xf numFmtId="0" fontId="26" fillId="0" borderId="0" xfId="0" applyFont="1" applyAlignment="1">
      <alignment horizontal="left" wrapText="1"/>
    </xf>
    <xf numFmtId="3" fontId="26" fillId="0" borderId="0" xfId="0" applyNumberFormat="1" applyFont="1" applyAlignment="1">
      <alignment horizontal="center" vertical="center"/>
    </xf>
    <xf numFmtId="0" fontId="0" fillId="0" borderId="40" xfId="0" applyBorder="1" applyAlignment="1">
      <alignment horizontal="center" vertical="center" wrapText="1"/>
    </xf>
    <xf numFmtId="4" fontId="25" fillId="0" borderId="0" xfId="8" applyNumberFormat="1" applyFont="1" applyFill="1" applyBorder="1" applyAlignment="1">
      <alignment horizontal="center" vertical="center" wrapText="1"/>
    </xf>
    <xf numFmtId="187" fontId="25" fillId="0" borderId="0" xfId="9" applyNumberFormat="1" applyFont="1" applyFill="1" applyBorder="1" applyAlignment="1">
      <alignment horizontal="center" vertical="center" wrapText="1"/>
    </xf>
    <xf numFmtId="187" fontId="25" fillId="0" borderId="0" xfId="9" applyNumberFormat="1" applyFont="1" applyFill="1" applyBorder="1" applyAlignment="1">
      <alignment vertical="center" wrapText="1"/>
    </xf>
    <xf numFmtId="184" fontId="25" fillId="0" borderId="40" xfId="9" applyNumberFormat="1" applyFont="1" applyFill="1" applyBorder="1" applyAlignment="1">
      <alignment vertical="center" wrapText="1"/>
    </xf>
    <xf numFmtId="166" fontId="25" fillId="0" borderId="0" xfId="9" applyFont="1" applyFill="1" applyBorder="1" applyAlignment="1">
      <alignment vertical="center" wrapText="1"/>
    </xf>
    <xf numFmtId="4" fontId="25" fillId="0" borderId="2" xfId="8" applyNumberFormat="1" applyFont="1" applyFill="1" applyBorder="1" applyAlignment="1">
      <alignment horizontal="center" wrapText="1"/>
    </xf>
    <xf numFmtId="187" fontId="25" fillId="0" borderId="0" xfId="9" applyNumberFormat="1" applyFont="1" applyFill="1" applyBorder="1" applyAlignment="1">
      <alignment horizontal="center" wrapText="1"/>
    </xf>
    <xf numFmtId="184" fontId="25" fillId="0" borderId="40" xfId="9" applyNumberFormat="1" applyFont="1" applyFill="1" applyBorder="1" applyAlignment="1">
      <alignment horizontal="center" wrapText="1"/>
    </xf>
    <xf numFmtId="166" fontId="25" fillId="0" borderId="0" xfId="9" applyFont="1" applyFill="1" applyBorder="1" applyAlignment="1">
      <alignment wrapText="1"/>
    </xf>
    <xf numFmtId="4" fontId="0" fillId="0" borderId="0" xfId="8" applyNumberFormat="1" applyFont="1" applyFill="1" applyBorder="1" applyAlignment="1">
      <alignment horizontal="center" vertical="center" wrapText="1"/>
    </xf>
    <xf numFmtId="187" fontId="0" fillId="0" borderId="0" xfId="9" applyNumberFormat="1" applyFont="1" applyFill="1" applyBorder="1" applyAlignment="1">
      <alignment horizontal="center" vertical="center" wrapText="1"/>
    </xf>
    <xf numFmtId="187" fontId="0" fillId="0" borderId="0" xfId="9" applyNumberFormat="1" applyFont="1" applyFill="1" applyBorder="1" applyAlignment="1">
      <alignment vertical="center" wrapText="1"/>
    </xf>
    <xf numFmtId="184" fontId="0" fillId="0" borderId="40" xfId="9" applyNumberFormat="1" applyFont="1" applyFill="1" applyBorder="1" applyAlignment="1">
      <alignment vertical="center" wrapText="1"/>
    </xf>
    <xf numFmtId="166" fontId="0" fillId="0" borderId="0" xfId="9" applyFont="1" applyFill="1" applyBorder="1" applyAlignment="1">
      <alignment vertical="center" wrapText="1"/>
    </xf>
    <xf numFmtId="4" fontId="0" fillId="0" borderId="2" xfId="8" applyNumberFormat="1" applyFont="1" applyFill="1" applyBorder="1" applyAlignment="1">
      <alignment horizontal="center" wrapText="1"/>
    </xf>
    <xf numFmtId="187" fontId="0" fillId="0" borderId="0" xfId="9" applyNumberFormat="1" applyFont="1" applyFill="1" applyBorder="1" applyAlignment="1">
      <alignment horizontal="center" wrapText="1"/>
    </xf>
    <xf numFmtId="184" fontId="0" fillId="0" borderId="0" xfId="0" applyNumberFormat="1" applyAlignment="1">
      <alignment horizontal="center" wrapText="1"/>
    </xf>
    <xf numFmtId="184" fontId="0" fillId="0" borderId="40" xfId="9" applyNumberFormat="1" applyFont="1" applyFill="1" applyBorder="1" applyAlignment="1">
      <alignment horizontal="center" wrapText="1"/>
    </xf>
    <xf numFmtId="166" fontId="0" fillId="0" borderId="0" xfId="9" applyFont="1" applyFill="1" applyBorder="1" applyAlignment="1">
      <alignment wrapText="1"/>
    </xf>
    <xf numFmtId="0" fontId="52" fillId="43" borderId="40" xfId="0" applyFont="1" applyFill="1" applyBorder="1" applyAlignment="1">
      <alignment horizontal="center" vertical="center" wrapText="1"/>
    </xf>
    <xf numFmtId="4" fontId="52" fillId="43" borderId="0" xfId="8" applyNumberFormat="1" applyFont="1" applyFill="1" applyBorder="1" applyAlignment="1">
      <alignment horizontal="center" vertical="center" wrapText="1"/>
    </xf>
    <xf numFmtId="184" fontId="52" fillId="43" borderId="40" xfId="0" applyNumberFormat="1" applyFont="1" applyFill="1" applyBorder="1" applyAlignment="1">
      <alignment vertical="center" wrapText="1"/>
    </xf>
    <xf numFmtId="166" fontId="52" fillId="43" borderId="0" xfId="0" applyNumberFormat="1" applyFont="1" applyFill="1" applyAlignment="1">
      <alignment vertical="center" wrapText="1"/>
    </xf>
    <xf numFmtId="187" fontId="52" fillId="43" borderId="0" xfId="0" applyNumberFormat="1" applyFont="1" applyFill="1" applyAlignment="1">
      <alignment horizontal="center" wrapText="1"/>
    </xf>
    <xf numFmtId="184" fontId="52" fillId="43" borderId="40" xfId="0" applyNumberFormat="1" applyFont="1" applyFill="1" applyBorder="1" applyAlignment="1">
      <alignment horizontal="center" wrapText="1"/>
    </xf>
    <xf numFmtId="187" fontId="52" fillId="43" borderId="2" xfId="0" applyNumberFormat="1" applyFont="1" applyFill="1" applyBorder="1" applyAlignment="1">
      <alignment horizontal="center" vertical="center" wrapText="1"/>
    </xf>
    <xf numFmtId="166" fontId="52" fillId="43" borderId="0" xfId="0" applyNumberFormat="1" applyFont="1" applyFill="1" applyAlignment="1">
      <alignment wrapText="1"/>
    </xf>
    <xf numFmtId="0" fontId="26" fillId="0" borderId="2" xfId="0" applyFont="1" applyBorder="1" applyAlignment="1">
      <alignment horizontal="center" vertical="center" wrapText="1"/>
    </xf>
    <xf numFmtId="0" fontId="26" fillId="0" borderId="40" xfId="0" applyFont="1" applyBorder="1" applyAlignment="1">
      <alignment horizontal="center" vertical="center" wrapText="1"/>
    </xf>
    <xf numFmtId="4" fontId="26" fillId="0" borderId="0" xfId="8" applyNumberFormat="1" applyFont="1" applyFill="1" applyBorder="1" applyAlignment="1">
      <alignment horizontal="center" vertical="center" wrapText="1"/>
    </xf>
    <xf numFmtId="187" fontId="26" fillId="0" borderId="0" xfId="9" applyNumberFormat="1" applyFont="1" applyFill="1" applyBorder="1" applyAlignment="1">
      <alignment horizontal="center" vertical="center" wrapText="1"/>
    </xf>
    <xf numFmtId="187" fontId="26" fillId="0" borderId="0" xfId="9" applyNumberFormat="1" applyFont="1" applyFill="1" applyBorder="1" applyAlignment="1">
      <alignment vertical="center" wrapText="1"/>
    </xf>
    <xf numFmtId="184" fontId="26" fillId="0" borderId="40" xfId="9" applyNumberFormat="1" applyFont="1" applyFill="1" applyBorder="1" applyAlignment="1">
      <alignment vertical="center" wrapText="1"/>
    </xf>
    <xf numFmtId="166" fontId="26" fillId="0" borderId="0" xfId="9" applyFont="1" applyFill="1" applyBorder="1" applyAlignment="1">
      <alignment vertical="center" wrapText="1"/>
    </xf>
    <xf numFmtId="187" fontId="26" fillId="0" borderId="2" xfId="9" applyNumberFormat="1" applyFont="1" applyFill="1" applyBorder="1" applyAlignment="1">
      <alignment horizontal="center" wrapText="1"/>
    </xf>
    <xf numFmtId="187" fontId="26" fillId="0" borderId="0" xfId="9" applyNumberFormat="1" applyFont="1" applyFill="1" applyBorder="1" applyAlignment="1">
      <alignment horizontal="center" wrapText="1"/>
    </xf>
    <xf numFmtId="187" fontId="26" fillId="0" borderId="0" xfId="0" applyNumberFormat="1" applyFont="1" applyAlignment="1">
      <alignment horizontal="center" wrapText="1"/>
    </xf>
    <xf numFmtId="184" fontId="26" fillId="0" borderId="40" xfId="9" applyNumberFormat="1" applyFont="1" applyFill="1" applyBorder="1" applyAlignment="1">
      <alignment horizontal="center" wrapText="1"/>
    </xf>
    <xf numFmtId="187" fontId="52" fillId="0" borderId="2" xfId="0" applyNumberFormat="1" applyFont="1" applyBorder="1" applyAlignment="1">
      <alignment horizontal="center" vertical="center" wrapText="1"/>
    </xf>
    <xf numFmtId="187" fontId="52" fillId="0" borderId="40" xfId="0" applyNumberFormat="1" applyFont="1" applyBorder="1" applyAlignment="1">
      <alignment horizontal="center" vertical="center" wrapText="1"/>
    </xf>
    <xf numFmtId="166" fontId="26" fillId="0" borderId="0" xfId="9" applyFont="1" applyFill="1" applyBorder="1" applyAlignment="1">
      <alignment wrapText="1"/>
    </xf>
    <xf numFmtId="166" fontId="26" fillId="0" borderId="0" xfId="0" applyNumberFormat="1" applyFont="1" applyAlignment="1">
      <alignment wrapText="1"/>
    </xf>
    <xf numFmtId="188" fontId="26" fillId="0" borderId="0" xfId="9" applyNumberFormat="1" applyFont="1" applyFill="1" applyBorder="1" applyAlignment="1">
      <alignment vertical="center" wrapText="1"/>
    </xf>
    <xf numFmtId="4" fontId="26" fillId="0" borderId="2" xfId="8" applyNumberFormat="1" applyFont="1" applyFill="1" applyBorder="1" applyAlignment="1">
      <alignment horizontal="center" wrapText="1"/>
    </xf>
    <xf numFmtId="166" fontId="52" fillId="0" borderId="0" xfId="0" applyNumberFormat="1" applyFont="1" applyAlignment="1">
      <alignment wrapText="1"/>
    </xf>
    <xf numFmtId="4" fontId="52" fillId="43" borderId="2" xfId="8" applyNumberFormat="1" applyFont="1" applyFill="1" applyBorder="1" applyAlignment="1">
      <alignment horizontal="center" wrapText="1"/>
    </xf>
    <xf numFmtId="187" fontId="52" fillId="43" borderId="40" xfId="0" applyNumberFormat="1" applyFont="1" applyFill="1" applyBorder="1" applyAlignment="1">
      <alignment horizontal="center" vertical="center" wrapText="1"/>
    </xf>
    <xf numFmtId="187" fontId="26" fillId="0" borderId="0" xfId="8" applyNumberFormat="1" applyFont="1" applyFill="1" applyBorder="1" applyAlignment="1">
      <alignment horizontal="center" vertical="center" wrapText="1"/>
    </xf>
    <xf numFmtId="187" fontId="26" fillId="0" borderId="0" xfId="8" applyNumberFormat="1" applyFont="1" applyFill="1" applyBorder="1" applyAlignment="1">
      <alignment vertical="center" wrapText="1"/>
    </xf>
    <xf numFmtId="184" fontId="26" fillId="0" borderId="40" xfId="8" applyNumberFormat="1" applyFont="1" applyFill="1" applyBorder="1" applyAlignment="1">
      <alignment vertical="center" wrapText="1"/>
    </xf>
    <xf numFmtId="181" fontId="26" fillId="0" borderId="0" xfId="8" applyNumberFormat="1" applyFont="1" applyFill="1" applyBorder="1" applyAlignment="1">
      <alignment vertical="center" wrapText="1"/>
    </xf>
    <xf numFmtId="187" fontId="26" fillId="0" borderId="0" xfId="8" applyNumberFormat="1" applyFont="1" applyFill="1" applyBorder="1" applyAlignment="1">
      <alignment horizontal="center" wrapText="1"/>
    </xf>
    <xf numFmtId="184" fontId="26" fillId="0" borderId="40" xfId="8" applyNumberFormat="1" applyFont="1" applyFill="1" applyBorder="1" applyAlignment="1">
      <alignment horizontal="center" wrapText="1"/>
    </xf>
    <xf numFmtId="181" fontId="26" fillId="0" borderId="0" xfId="8" applyNumberFormat="1" applyFont="1" applyFill="1" applyBorder="1" applyAlignment="1">
      <alignment wrapText="1"/>
    </xf>
    <xf numFmtId="187" fontId="26" fillId="0" borderId="40" xfId="9" applyNumberFormat="1" applyFont="1" applyFill="1" applyBorder="1" applyAlignment="1">
      <alignment horizontal="center" vertical="center" wrapText="1"/>
    </xf>
    <xf numFmtId="187" fontId="52" fillId="43" borderId="0" xfId="9" applyNumberFormat="1" applyFont="1" applyFill="1" applyBorder="1" applyAlignment="1">
      <alignment horizontal="center" vertical="center" wrapText="1"/>
    </xf>
    <xf numFmtId="187" fontId="52" fillId="43" borderId="0" xfId="9" applyNumberFormat="1" applyFont="1" applyFill="1" applyBorder="1" applyAlignment="1">
      <alignment vertical="center" wrapText="1"/>
    </xf>
    <xf numFmtId="187" fontId="52" fillId="43" borderId="0" xfId="9" applyNumberFormat="1" applyFont="1" applyFill="1" applyBorder="1" applyAlignment="1">
      <alignment horizontal="center" wrapText="1"/>
    </xf>
    <xf numFmtId="166" fontId="52" fillId="43" borderId="0" xfId="9" applyFont="1" applyFill="1" applyBorder="1" applyAlignment="1">
      <alignment wrapText="1"/>
    </xf>
    <xf numFmtId="3" fontId="0" fillId="0" borderId="0" xfId="0" applyNumberFormat="1" applyAlignment="1">
      <alignment horizontal="center" vertical="center"/>
    </xf>
    <xf numFmtId="187" fontId="0" fillId="0" borderId="0" xfId="0" applyNumberFormat="1" applyAlignment="1">
      <alignment horizontal="center" wrapText="1"/>
    </xf>
    <xf numFmtId="3" fontId="0" fillId="0" borderId="0" xfId="0" applyNumberFormat="1" applyAlignment="1">
      <alignment horizontal="center" vertical="center" wrapText="1"/>
    </xf>
    <xf numFmtId="187" fontId="25" fillId="0" borderId="40" xfId="9" applyNumberFormat="1" applyFont="1" applyFill="1" applyBorder="1" applyAlignment="1">
      <alignment horizontal="center" vertical="center" wrapText="1"/>
    </xf>
    <xf numFmtId="187" fontId="25" fillId="0" borderId="0" xfId="9" applyNumberFormat="1" applyFont="1" applyBorder="1" applyAlignment="1">
      <alignment horizontal="center" vertical="center" wrapText="1"/>
    </xf>
    <xf numFmtId="187" fontId="25" fillId="0" borderId="0" xfId="9" applyNumberFormat="1" applyFont="1" applyBorder="1" applyAlignment="1">
      <alignment horizontal="center" wrapText="1"/>
    </xf>
    <xf numFmtId="187" fontId="25" fillId="0" borderId="0" xfId="9" applyNumberFormat="1" applyFont="1" applyBorder="1" applyAlignment="1">
      <alignment vertical="center" wrapText="1"/>
    </xf>
    <xf numFmtId="184" fontId="25" fillId="0" borderId="40" xfId="9" applyNumberFormat="1" applyFont="1" applyBorder="1" applyAlignment="1">
      <alignment vertical="center" wrapText="1"/>
    </xf>
    <xf numFmtId="166" fontId="25" fillId="0" borderId="0" xfId="9" applyFont="1" applyBorder="1" applyAlignment="1">
      <alignment vertical="center" wrapText="1"/>
    </xf>
    <xf numFmtId="184" fontId="25" fillId="0" borderId="40" xfId="9" applyNumberFormat="1" applyFont="1" applyBorder="1" applyAlignment="1">
      <alignment horizontal="center" wrapText="1"/>
    </xf>
    <xf numFmtId="187" fontId="25" fillId="0" borderId="40" xfId="9" applyNumberFormat="1" applyFont="1" applyBorder="1" applyAlignment="1">
      <alignment horizontal="center" vertical="center" wrapText="1"/>
    </xf>
    <xf numFmtId="166" fontId="25" fillId="0" borderId="0" xfId="9" applyFont="1" applyBorder="1" applyAlignment="1">
      <alignment wrapText="1"/>
    </xf>
    <xf numFmtId="0" fontId="103" fillId="0" borderId="2" xfId="0" applyFont="1" applyBorder="1" applyAlignment="1">
      <alignment horizontal="center" vertical="center" wrapText="1"/>
    </xf>
    <xf numFmtId="0" fontId="103" fillId="0" borderId="0" xfId="0" applyFont="1" applyAlignment="1">
      <alignment horizontal="left" wrapText="1"/>
    </xf>
    <xf numFmtId="3" fontId="103" fillId="0" borderId="0" xfId="0" applyNumberFormat="1" applyFont="1" applyAlignment="1">
      <alignment horizontal="center" vertical="center"/>
    </xf>
    <xf numFmtId="0" fontId="103" fillId="0" borderId="40" xfId="0" applyFont="1" applyBorder="1" applyAlignment="1">
      <alignment horizontal="center" vertical="center" wrapText="1"/>
    </xf>
    <xf numFmtId="4" fontId="103" fillId="0" borderId="0" xfId="8" applyNumberFormat="1" applyFont="1" applyFill="1" applyBorder="1" applyAlignment="1">
      <alignment horizontal="center" vertical="center" wrapText="1"/>
    </xf>
    <xf numFmtId="4" fontId="103" fillId="0" borderId="2" xfId="8" applyNumberFormat="1" applyFont="1" applyFill="1" applyBorder="1" applyAlignment="1">
      <alignment horizontal="center" wrapText="1"/>
    </xf>
    <xf numFmtId="187" fontId="103" fillId="0" borderId="0" xfId="0" applyNumberFormat="1" applyFont="1" applyAlignment="1">
      <alignment horizontal="center" wrapText="1"/>
    </xf>
    <xf numFmtId="187" fontId="103" fillId="0" borderId="0" xfId="8" applyNumberFormat="1" applyFont="1" applyFill="1" applyBorder="1" applyAlignment="1">
      <alignment horizontal="center" vertical="center" wrapText="1"/>
    </xf>
    <xf numFmtId="187" fontId="103" fillId="0" borderId="0" xfId="9" applyNumberFormat="1" applyFont="1" applyFill="1" applyBorder="1" applyAlignment="1">
      <alignment vertical="center" wrapText="1"/>
    </xf>
    <xf numFmtId="184" fontId="103" fillId="0" borderId="40" xfId="9" applyNumberFormat="1" applyFont="1" applyFill="1" applyBorder="1" applyAlignment="1">
      <alignment vertical="center" wrapText="1"/>
    </xf>
    <xf numFmtId="166" fontId="103" fillId="0" borderId="0" xfId="9" applyFont="1" applyFill="1" applyBorder="1" applyAlignment="1">
      <alignment vertical="center" wrapText="1"/>
    </xf>
    <xf numFmtId="187" fontId="103" fillId="0" borderId="0" xfId="8" applyNumberFormat="1" applyFont="1" applyFill="1" applyBorder="1" applyAlignment="1">
      <alignment horizontal="center" wrapText="1"/>
    </xf>
    <xf numFmtId="187" fontId="103" fillId="0" borderId="0" xfId="9" applyNumberFormat="1" applyFont="1" applyFill="1" applyBorder="1" applyAlignment="1">
      <alignment horizontal="center" wrapText="1"/>
    </xf>
    <xf numFmtId="184" fontId="103" fillId="0" borderId="40" xfId="9" applyNumberFormat="1" applyFont="1" applyFill="1" applyBorder="1" applyAlignment="1">
      <alignment horizontal="center" wrapText="1"/>
    </xf>
    <xf numFmtId="166" fontId="103" fillId="0" borderId="0" xfId="9" applyFont="1" applyFill="1" applyBorder="1" applyAlignment="1">
      <alignment wrapText="1"/>
    </xf>
    <xf numFmtId="187" fontId="0" fillId="0" borderId="0" xfId="9" applyNumberFormat="1" applyFont="1" applyBorder="1" applyAlignment="1">
      <alignment horizontal="center" vertical="center" wrapText="1"/>
    </xf>
    <xf numFmtId="187" fontId="0" fillId="0" borderId="0" xfId="9" applyNumberFormat="1" applyFont="1" applyBorder="1" applyAlignment="1">
      <alignment vertical="center" wrapText="1"/>
    </xf>
    <xf numFmtId="184" fontId="0" fillId="0" borderId="40" xfId="9" applyNumberFormat="1" applyFont="1" applyBorder="1" applyAlignment="1">
      <alignment vertical="center" wrapText="1"/>
    </xf>
    <xf numFmtId="166" fontId="0" fillId="0" borderId="0" xfId="9" applyFont="1" applyBorder="1" applyAlignment="1">
      <alignment vertical="center" wrapText="1"/>
    </xf>
    <xf numFmtId="187" fontId="0" fillId="0" borderId="0" xfId="9" applyNumberFormat="1" applyFont="1" applyBorder="1" applyAlignment="1">
      <alignment horizontal="center" wrapText="1"/>
    </xf>
    <xf numFmtId="184" fontId="0" fillId="0" borderId="40" xfId="9" applyNumberFormat="1" applyFont="1" applyBorder="1" applyAlignment="1">
      <alignment horizontal="center" wrapText="1"/>
    </xf>
    <xf numFmtId="166" fontId="0" fillId="0" borderId="0" xfId="9" applyFont="1" applyBorder="1" applyAlignment="1">
      <alignment wrapText="1"/>
    </xf>
    <xf numFmtId="177" fontId="25" fillId="0" borderId="0" xfId="9" applyNumberFormat="1" applyFont="1" applyFill="1" applyBorder="1" applyAlignment="1">
      <alignment vertical="center" wrapText="1"/>
    </xf>
    <xf numFmtId="177" fontId="25" fillId="0" borderId="0" xfId="9" applyNumberFormat="1" applyFont="1" applyFill="1" applyBorder="1" applyAlignment="1">
      <alignment wrapText="1"/>
    </xf>
    <xf numFmtId="187" fontId="26" fillId="43" borderId="0" xfId="0" applyNumberFormat="1" applyFont="1" applyFill="1" applyAlignment="1">
      <alignment horizontal="center" wrapText="1"/>
    </xf>
    <xf numFmtId="0" fontId="26" fillId="43" borderId="0" xfId="0" applyFont="1" applyFill="1" applyAlignment="1">
      <alignment wrapText="1"/>
    </xf>
    <xf numFmtId="187" fontId="0" fillId="0" borderId="0" xfId="0" applyNumberFormat="1" applyAlignment="1">
      <alignment horizontal="center" vertical="center" wrapText="1"/>
    </xf>
    <xf numFmtId="187" fontId="0" fillId="0" borderId="0" xfId="0" applyNumberFormat="1" applyAlignment="1">
      <alignment vertical="center" wrapText="1"/>
    </xf>
    <xf numFmtId="184" fontId="0" fillId="0" borderId="40" xfId="0" applyNumberFormat="1" applyBorder="1" applyAlignment="1">
      <alignment vertical="center" wrapText="1"/>
    </xf>
    <xf numFmtId="184" fontId="0" fillId="0" borderId="40" xfId="0" applyNumberFormat="1" applyBorder="1" applyAlignment="1">
      <alignment horizontal="center" wrapText="1"/>
    </xf>
    <xf numFmtId="187" fontId="0" fillId="0" borderId="40" xfId="0" applyNumberFormat="1" applyBorder="1" applyAlignment="1">
      <alignment horizontal="center" vertical="center" wrapText="1"/>
    </xf>
    <xf numFmtId="187" fontId="0" fillId="0" borderId="40" xfId="9" applyNumberFormat="1" applyFont="1" applyFill="1" applyBorder="1" applyAlignment="1">
      <alignment horizontal="center" vertical="center" wrapText="1"/>
    </xf>
    <xf numFmtId="0" fontId="26" fillId="43" borderId="2" xfId="0" applyFont="1" applyFill="1" applyBorder="1" applyAlignment="1">
      <alignment horizontal="center" vertical="center" wrapText="1"/>
    </xf>
    <xf numFmtId="187" fontId="26" fillId="0" borderId="0" xfId="0" applyNumberFormat="1" applyFont="1" applyAlignment="1">
      <alignment horizontal="center" vertical="center" wrapText="1"/>
    </xf>
    <xf numFmtId="187" fontId="26" fillId="0" borderId="0" xfId="0" applyNumberFormat="1" applyFont="1" applyAlignment="1">
      <alignment vertical="center" wrapText="1"/>
    </xf>
    <xf numFmtId="184" fontId="26" fillId="0" borderId="40" xfId="0" applyNumberFormat="1" applyFont="1" applyBorder="1" applyAlignment="1">
      <alignment vertical="center" wrapText="1"/>
    </xf>
    <xf numFmtId="0" fontId="26" fillId="0" borderId="0" xfId="0" applyFont="1" applyAlignment="1">
      <alignment vertical="center" wrapText="1"/>
    </xf>
    <xf numFmtId="184" fontId="26" fillId="0" borderId="40" xfId="0" applyNumberFormat="1" applyFont="1" applyBorder="1" applyAlignment="1">
      <alignment horizontal="center" wrapText="1"/>
    </xf>
    <xf numFmtId="187" fontId="26" fillId="0" borderId="40" xfId="0" applyNumberFormat="1" applyFont="1" applyBorder="1" applyAlignment="1">
      <alignment horizontal="center" vertical="center" wrapText="1"/>
    </xf>
    <xf numFmtId="187" fontId="26" fillId="0" borderId="0" xfId="9" applyNumberFormat="1" applyFont="1" applyBorder="1" applyAlignment="1">
      <alignment horizontal="center" vertical="center" wrapText="1"/>
    </xf>
    <xf numFmtId="187" fontId="26" fillId="0" borderId="0" xfId="9" applyNumberFormat="1" applyFont="1" applyBorder="1" applyAlignment="1">
      <alignment horizontal="center" wrapText="1"/>
    </xf>
    <xf numFmtId="0" fontId="117" fillId="0" borderId="0" xfId="0" applyFont="1" applyAlignment="1">
      <alignment horizontal="left" wrapText="1"/>
    </xf>
    <xf numFmtId="3" fontId="117" fillId="0" borderId="0" xfId="0" applyNumberFormat="1" applyFont="1" applyAlignment="1">
      <alignment horizontal="center" vertical="center"/>
    </xf>
    <xf numFmtId="0" fontId="94" fillId="0" borderId="40" xfId="0" applyFont="1" applyBorder="1" applyAlignment="1">
      <alignment horizontal="center" vertical="center" wrapText="1"/>
    </xf>
    <xf numFmtId="4" fontId="94" fillId="0" borderId="0" xfId="8" applyNumberFormat="1" applyFont="1" applyFill="1" applyBorder="1" applyAlignment="1">
      <alignment horizontal="center" vertical="center" wrapText="1"/>
    </xf>
    <xf numFmtId="187" fontId="94" fillId="0" borderId="0" xfId="8" applyNumberFormat="1" applyFont="1" applyFill="1" applyBorder="1" applyAlignment="1">
      <alignment horizontal="center" vertical="center" wrapText="1"/>
    </xf>
    <xf numFmtId="187" fontId="94" fillId="0" borderId="0" xfId="9" applyNumberFormat="1" applyFont="1" applyFill="1" applyBorder="1" applyAlignment="1">
      <alignment vertical="center" wrapText="1"/>
    </xf>
    <xf numFmtId="184" fontId="94" fillId="0" borderId="40" xfId="9" applyNumberFormat="1" applyFont="1" applyFill="1" applyBorder="1" applyAlignment="1">
      <alignment vertical="center" wrapText="1"/>
    </xf>
    <xf numFmtId="166" fontId="94" fillId="0" borderId="0" xfId="9" applyFont="1" applyFill="1" applyBorder="1" applyAlignment="1">
      <alignment vertical="center" wrapText="1"/>
    </xf>
    <xf numFmtId="4" fontId="94" fillId="0" borderId="2" xfId="8" applyNumberFormat="1" applyFont="1" applyFill="1" applyBorder="1" applyAlignment="1">
      <alignment horizontal="center" wrapText="1"/>
    </xf>
    <xf numFmtId="187" fontId="94" fillId="0" borderId="0" xfId="8" applyNumberFormat="1" applyFont="1" applyFill="1" applyBorder="1" applyAlignment="1">
      <alignment horizontal="center" wrapText="1"/>
    </xf>
    <xf numFmtId="187" fontId="94" fillId="0" borderId="0" xfId="0" applyNumberFormat="1" applyFont="1" applyAlignment="1">
      <alignment horizontal="center" wrapText="1"/>
    </xf>
    <xf numFmtId="187" fontId="94" fillId="0" borderId="0" xfId="9" applyNumberFormat="1" applyFont="1" applyFill="1" applyBorder="1" applyAlignment="1">
      <alignment horizontal="center" wrapText="1"/>
    </xf>
    <xf numFmtId="184" fontId="94" fillId="0" borderId="40" xfId="9" applyNumberFormat="1" applyFont="1" applyFill="1" applyBorder="1" applyAlignment="1">
      <alignment horizontal="center" wrapText="1"/>
    </xf>
    <xf numFmtId="187" fontId="94" fillId="0" borderId="40" xfId="9" applyNumberFormat="1" applyFont="1" applyFill="1" applyBorder="1" applyAlignment="1">
      <alignment horizontal="center" vertical="center" wrapText="1"/>
    </xf>
    <xf numFmtId="166" fontId="94" fillId="0" borderId="0" xfId="9" applyFont="1" applyFill="1" applyBorder="1" applyAlignment="1">
      <alignment wrapText="1"/>
    </xf>
    <xf numFmtId="4" fontId="1" fillId="0" borderId="0" xfId="8" applyNumberFormat="1" applyFont="1" applyBorder="1" applyAlignment="1">
      <alignment horizontal="center" vertical="center"/>
    </xf>
    <xf numFmtId="4" fontId="25" fillId="0" borderId="0" xfId="8" applyNumberFormat="1" applyFont="1" applyFill="1" applyBorder="1" applyAlignment="1">
      <alignment horizontal="center" vertical="center"/>
    </xf>
    <xf numFmtId="4" fontId="25" fillId="0" borderId="2" xfId="8" applyNumberFormat="1" applyFont="1" applyFill="1" applyBorder="1" applyAlignment="1">
      <alignment horizontal="center"/>
    </xf>
    <xf numFmtId="187" fontId="25" fillId="0" borderId="0" xfId="8" applyNumberFormat="1" applyFont="1" applyFill="1" applyBorder="1" applyAlignment="1">
      <alignment horizontal="center" vertical="center" wrapText="1"/>
    </xf>
    <xf numFmtId="187" fontId="25" fillId="0" borderId="0" xfId="8" applyNumberFormat="1" applyFont="1" applyFill="1" applyBorder="1" applyAlignment="1">
      <alignment vertical="center" wrapText="1"/>
    </xf>
    <xf numFmtId="184" fontId="25" fillId="0" borderId="40" xfId="8" applyNumberFormat="1" applyFont="1" applyFill="1" applyBorder="1" applyAlignment="1">
      <alignment vertical="center" wrapText="1"/>
    </xf>
    <xf numFmtId="167" fontId="25" fillId="0" borderId="0" xfId="8" applyFont="1" applyFill="1" applyBorder="1" applyAlignment="1">
      <alignment vertical="center" wrapText="1"/>
    </xf>
    <xf numFmtId="187" fontId="25" fillId="0" borderId="0" xfId="8" applyNumberFormat="1" applyFont="1" applyFill="1" applyBorder="1" applyAlignment="1">
      <alignment horizontal="center" wrapText="1"/>
    </xf>
    <xf numFmtId="184" fontId="25" fillId="0" borderId="40" xfId="8" applyNumberFormat="1" applyFont="1" applyFill="1" applyBorder="1" applyAlignment="1">
      <alignment horizontal="center" wrapText="1"/>
    </xf>
    <xf numFmtId="187" fontId="25" fillId="0" borderId="40" xfId="8" applyNumberFormat="1" applyFont="1" applyFill="1" applyBorder="1" applyAlignment="1">
      <alignment horizontal="center" vertical="center" wrapText="1"/>
    </xf>
    <xf numFmtId="167" fontId="25" fillId="0" borderId="0" xfId="8" applyFont="1" applyFill="1" applyBorder="1" applyAlignment="1">
      <alignment wrapText="1"/>
    </xf>
    <xf numFmtId="4" fontId="25" fillId="0" borderId="0" xfId="8" applyNumberFormat="1" applyFont="1" applyBorder="1" applyAlignment="1">
      <alignment horizontal="center" vertical="center"/>
    </xf>
    <xf numFmtId="187" fontId="25" fillId="0" borderId="0" xfId="8" applyNumberFormat="1" applyFont="1" applyBorder="1" applyAlignment="1">
      <alignment horizontal="center" vertical="center"/>
    </xf>
    <xf numFmtId="187" fontId="25" fillId="0" borderId="0" xfId="8" applyNumberFormat="1" applyFont="1" applyBorder="1" applyAlignment="1">
      <alignment vertical="center"/>
    </xf>
    <xf numFmtId="184" fontId="25" fillId="0" borderId="40" xfId="8" applyNumberFormat="1" applyFont="1" applyBorder="1" applyAlignment="1">
      <alignment vertical="center"/>
    </xf>
    <xf numFmtId="171" fontId="25" fillId="0" borderId="0" xfId="8" applyNumberFormat="1" applyFont="1" applyBorder="1" applyAlignment="1">
      <alignment vertical="center"/>
    </xf>
    <xf numFmtId="187" fontId="25" fillId="0" borderId="0" xfId="8" applyNumberFormat="1" applyFont="1" applyBorder="1" applyAlignment="1">
      <alignment horizontal="center"/>
    </xf>
    <xf numFmtId="184" fontId="25" fillId="0" borderId="40" xfId="8" applyNumberFormat="1" applyFont="1" applyBorder="1" applyAlignment="1">
      <alignment horizontal="center"/>
    </xf>
    <xf numFmtId="187" fontId="25" fillId="0" borderId="40" xfId="8" applyNumberFormat="1" applyFont="1" applyBorder="1" applyAlignment="1">
      <alignment horizontal="center" vertical="center"/>
    </xf>
    <xf numFmtId="171" fontId="25" fillId="0" borderId="0" xfId="8" applyNumberFormat="1" applyFont="1" applyBorder="1" applyAlignment="1"/>
    <xf numFmtId="0" fontId="0" fillId="0" borderId="17" xfId="0" applyBorder="1" applyAlignment="1">
      <alignment wrapText="1"/>
    </xf>
    <xf numFmtId="3" fontId="26" fillId="0" borderId="17" xfId="0" applyNumberFormat="1" applyFont="1" applyBorder="1" applyAlignment="1">
      <alignment horizontal="center" vertical="center"/>
    </xf>
    <xf numFmtId="0" fontId="0" fillId="0" borderId="76" xfId="0" applyBorder="1" applyAlignment="1">
      <alignment horizontal="center" vertical="center" wrapText="1"/>
    </xf>
    <xf numFmtId="4" fontId="25" fillId="0" borderId="17" xfId="8" applyNumberFormat="1" applyFont="1" applyBorder="1" applyAlignment="1">
      <alignment horizontal="center" vertical="center"/>
    </xf>
    <xf numFmtId="4" fontId="25" fillId="0" borderId="17" xfId="8" applyNumberFormat="1" applyFont="1" applyFill="1" applyBorder="1" applyAlignment="1">
      <alignment horizontal="center" vertical="center"/>
    </xf>
    <xf numFmtId="187" fontId="0" fillId="0" borderId="17" xfId="0" applyNumberFormat="1" applyBorder="1" applyAlignment="1">
      <alignment horizontal="center" vertical="center" wrapText="1"/>
    </xf>
    <xf numFmtId="187" fontId="25" fillId="0" borderId="17" xfId="8" applyNumberFormat="1" applyFont="1" applyBorder="1" applyAlignment="1">
      <alignment vertical="center"/>
    </xf>
    <xf numFmtId="184" fontId="25" fillId="0" borderId="76" xfId="8" applyNumberFormat="1" applyFont="1" applyBorder="1" applyAlignment="1">
      <alignment vertical="center"/>
    </xf>
    <xf numFmtId="4" fontId="25" fillId="0" borderId="93" xfId="8" applyNumberFormat="1" applyFont="1" applyFill="1" applyBorder="1" applyAlignment="1">
      <alignment horizontal="center"/>
    </xf>
    <xf numFmtId="187" fontId="0" fillId="0" borderId="17" xfId="0" applyNumberFormat="1" applyBorder="1" applyAlignment="1">
      <alignment horizontal="center" wrapText="1"/>
    </xf>
    <xf numFmtId="187" fontId="25" fillId="0" borderId="17" xfId="8" applyNumberFormat="1" applyFont="1" applyBorder="1" applyAlignment="1">
      <alignment horizontal="center"/>
    </xf>
    <xf numFmtId="184" fontId="25" fillId="0" borderId="76" xfId="8" applyNumberFormat="1" applyFont="1" applyBorder="1" applyAlignment="1">
      <alignment horizontal="center"/>
    </xf>
    <xf numFmtId="187" fontId="24" fillId="0" borderId="93" xfId="0" applyNumberFormat="1" applyFont="1" applyBorder="1" applyAlignment="1">
      <alignment horizontal="center" vertical="center" wrapText="1"/>
    </xf>
    <xf numFmtId="187" fontId="25" fillId="0" borderId="76" xfId="8" applyNumberFormat="1" applyFont="1" applyBorder="1" applyAlignment="1">
      <alignment horizontal="center" vertical="center"/>
    </xf>
    <xf numFmtId="4" fontId="128" fillId="12" borderId="11" xfId="8" applyNumberFormat="1" applyFont="1" applyFill="1" applyBorder="1" applyAlignment="1">
      <alignment horizontal="center" vertical="center"/>
    </xf>
    <xf numFmtId="187" fontId="128" fillId="12" borderId="11" xfId="0" applyNumberFormat="1" applyFont="1" applyFill="1" applyBorder="1" applyAlignment="1">
      <alignment horizontal="center" vertical="center" wrapText="1"/>
    </xf>
    <xf numFmtId="187" fontId="128" fillId="12" borderId="11" xfId="0" applyNumberFormat="1" applyFont="1" applyFill="1" applyBorder="1" applyAlignment="1">
      <alignment vertical="center" wrapText="1"/>
    </xf>
    <xf numFmtId="184" fontId="128" fillId="12" borderId="39" xfId="0" applyNumberFormat="1" applyFont="1" applyFill="1" applyBorder="1" applyAlignment="1">
      <alignment vertical="center" wrapText="1"/>
    </xf>
    <xf numFmtId="166" fontId="128" fillId="0" borderId="0" xfId="0" applyNumberFormat="1" applyFont="1" applyAlignment="1">
      <alignment vertical="center" wrapText="1"/>
    </xf>
    <xf numFmtId="4" fontId="128" fillId="12" borderId="9" xfId="0" applyNumberFormat="1" applyFont="1" applyFill="1" applyBorder="1" applyAlignment="1">
      <alignment horizontal="center" vertical="center" wrapText="1"/>
    </xf>
    <xf numFmtId="187" fontId="128" fillId="0" borderId="0" xfId="0" applyNumberFormat="1" applyFont="1" applyAlignment="1">
      <alignment horizontal="center" vertical="center" wrapText="1"/>
    </xf>
    <xf numFmtId="184" fontId="128" fillId="12" borderId="9" xfId="0" applyNumberFormat="1" applyFont="1" applyFill="1" applyBorder="1" applyAlignment="1">
      <alignment vertical="center" wrapText="1"/>
    </xf>
    <xf numFmtId="0" fontId="128" fillId="0" borderId="0" xfId="0" applyFont="1" applyAlignment="1">
      <alignment vertical="center" wrapText="1"/>
    </xf>
    <xf numFmtId="4" fontId="0" fillId="0" borderId="0" xfId="8" applyNumberFormat="1" applyFont="1" applyAlignment="1">
      <alignment horizontal="center" vertical="center"/>
    </xf>
    <xf numFmtId="4" fontId="0" fillId="0" borderId="0" xfId="8" applyNumberFormat="1" applyFont="1" applyFill="1" applyAlignment="1">
      <alignment horizontal="center" vertical="center"/>
    </xf>
    <xf numFmtId="184" fontId="0" fillId="0" borderId="0" xfId="0" applyNumberFormat="1" applyAlignment="1">
      <alignment vertical="center" wrapText="1"/>
    </xf>
    <xf numFmtId="4" fontId="0" fillId="0" borderId="0" xfId="0" applyNumberFormat="1" applyAlignment="1">
      <alignment horizontal="center" wrapText="1"/>
    </xf>
    <xf numFmtId="0" fontId="128" fillId="0" borderId="0" xfId="0" applyFont="1" applyAlignment="1">
      <alignment horizontal="left" vertical="center"/>
    </xf>
    <xf numFmtId="166" fontId="0" fillId="7" borderId="130" xfId="9" applyFont="1" applyFill="1" applyBorder="1"/>
    <xf numFmtId="0" fontId="0" fillId="0" borderId="144" xfId="0" applyBorder="1"/>
    <xf numFmtId="168" fontId="0" fillId="0" borderId="0" xfId="8" applyNumberFormat="1" applyFont="1" applyFill="1"/>
    <xf numFmtId="169" fontId="0" fillId="0" borderId="0" xfId="9" applyNumberFormat="1" applyFont="1" applyFill="1" applyBorder="1"/>
    <xf numFmtId="166" fontId="0" fillId="0" borderId="142" xfId="0" applyNumberFormat="1" applyBorder="1"/>
    <xf numFmtId="0" fontId="0" fillId="0" borderId="130" xfId="0" applyBorder="1" applyAlignment="1">
      <alignment horizontal="right"/>
    </xf>
    <xf numFmtId="166" fontId="24" fillId="0" borderId="142" xfId="0" applyNumberFormat="1" applyFont="1" applyBorder="1"/>
    <xf numFmtId="0" fontId="24" fillId="0" borderId="144" xfId="0" applyFont="1" applyBorder="1"/>
    <xf numFmtId="0" fontId="24" fillId="0" borderId="142" xfId="0" applyFont="1" applyBorder="1"/>
    <xf numFmtId="169" fontId="0" fillId="0" borderId="0" xfId="9" applyNumberFormat="1" applyFont="1" applyFill="1" applyBorder="1" applyAlignment="1">
      <alignment horizontal="left"/>
    </xf>
    <xf numFmtId="166" fontId="0" fillId="0" borderId="142" xfId="0" applyNumberFormat="1" applyBorder="1" applyAlignment="1">
      <alignment horizontal="left"/>
    </xf>
    <xf numFmtId="0" fontId="0" fillId="0" borderId="144" xfId="0" applyBorder="1" applyAlignment="1">
      <alignment horizontal="left"/>
    </xf>
    <xf numFmtId="0" fontId="0" fillId="0" borderId="130" xfId="0" applyBorder="1" applyAlignment="1">
      <alignment horizontal="left"/>
    </xf>
    <xf numFmtId="166" fontId="24" fillId="0" borderId="142" xfId="0" applyNumberFormat="1" applyFont="1" applyBorder="1" applyAlignment="1">
      <alignment horizontal="left"/>
    </xf>
    <xf numFmtId="0" fontId="24" fillId="0" borderId="144" xfId="0" applyFont="1" applyBorder="1" applyAlignment="1">
      <alignment horizontal="left"/>
    </xf>
    <xf numFmtId="169" fontId="0" fillId="7" borderId="0" xfId="9" applyNumberFormat="1" applyFont="1" applyFill="1" applyBorder="1" applyAlignment="1">
      <alignment horizontal="left"/>
    </xf>
    <xf numFmtId="177" fontId="0" fillId="0" borderId="0" xfId="9" applyNumberFormat="1" applyFont="1" applyFill="1" applyBorder="1" applyAlignment="1">
      <alignment horizontal="center" vertical="center"/>
    </xf>
    <xf numFmtId="37" fontId="0" fillId="0" borderId="0" xfId="8" applyNumberFormat="1" applyFont="1" applyFill="1" applyBorder="1" applyAlignment="1">
      <alignment horizontal="center" vertical="center"/>
    </xf>
    <xf numFmtId="37" fontId="0" fillId="0" borderId="0" xfId="8" applyNumberFormat="1" applyFont="1" applyFill="1" applyAlignment="1">
      <alignment horizontal="center" vertical="center"/>
    </xf>
    <xf numFmtId="9" fontId="26" fillId="0" borderId="0" xfId="10" applyFont="1" applyFill="1" applyAlignment="1">
      <alignment horizontal="center" vertical="center"/>
    </xf>
    <xf numFmtId="182" fontId="26" fillId="0" borderId="0" xfId="10" applyNumberFormat="1" applyFont="1" applyFill="1" applyAlignment="1">
      <alignment horizontal="center" vertical="center"/>
    </xf>
    <xf numFmtId="0" fontId="26" fillId="0" borderId="0" xfId="0" applyFont="1" applyAlignment="1">
      <alignment horizontal="center" vertical="center"/>
    </xf>
    <xf numFmtId="0" fontId="24" fillId="44" borderId="0" xfId="0" applyFont="1" applyFill="1" applyAlignment="1">
      <alignment wrapText="1"/>
    </xf>
    <xf numFmtId="177" fontId="0" fillId="44" borderId="0" xfId="9" applyNumberFormat="1" applyFont="1" applyFill="1" applyAlignment="1">
      <alignment horizontal="center" vertical="center"/>
    </xf>
    <xf numFmtId="177" fontId="0" fillId="44" borderId="0" xfId="0" applyNumberFormat="1" applyFill="1"/>
    <xf numFmtId="0" fontId="0" fillId="44" borderId="0" xfId="0" applyFill="1"/>
    <xf numFmtId="0" fontId="0" fillId="45" borderId="0" xfId="0" applyFill="1" applyAlignment="1">
      <alignment wrapText="1"/>
    </xf>
    <xf numFmtId="177" fontId="25" fillId="45" borderId="0" xfId="9" applyNumberFormat="1" applyFont="1" applyFill="1" applyAlignment="1">
      <alignment horizontal="center" vertical="center"/>
    </xf>
    <xf numFmtId="0" fontId="0" fillId="45" borderId="0" xfId="0" applyFill="1" applyAlignment="1">
      <alignment horizontal="center" vertical="center"/>
    </xf>
    <xf numFmtId="177" fontId="0" fillId="45" borderId="0" xfId="9" applyNumberFormat="1" applyFont="1" applyFill="1"/>
    <xf numFmtId="0" fontId="0" fillId="45" borderId="0" xfId="0" applyFill="1"/>
    <xf numFmtId="0" fontId="0" fillId="0" borderId="0" xfId="0" applyAlignment="1">
      <alignment horizontal="left" indent="3"/>
    </xf>
    <xf numFmtId="178" fontId="25" fillId="0" borderId="0" xfId="8" applyNumberFormat="1" applyFont="1" applyFill="1" applyAlignment="1">
      <alignment horizontal="center" vertical="center"/>
    </xf>
    <xf numFmtId="0" fontId="0" fillId="7" borderId="0" xfId="0" applyFill="1" applyAlignment="1">
      <alignment horizontal="left" indent="3"/>
    </xf>
    <xf numFmtId="166" fontId="25" fillId="0" borderId="0" xfId="9" applyFont="1" applyFill="1" applyAlignment="1">
      <alignment horizontal="center" vertical="center"/>
    </xf>
    <xf numFmtId="177" fontId="25" fillId="0" borderId="0" xfId="9" applyNumberFormat="1" applyFont="1" applyAlignment="1">
      <alignment horizontal="center" vertical="center"/>
    </xf>
    <xf numFmtId="9" fontId="0" fillId="0" borderId="0" xfId="0" applyNumberFormat="1"/>
    <xf numFmtId="0" fontId="0" fillId="0" borderId="0" xfId="0" applyAlignment="1">
      <alignment horizontal="left" indent="8"/>
    </xf>
    <xf numFmtId="1" fontId="0" fillId="0" borderId="0" xfId="0" applyNumberFormat="1" applyAlignment="1">
      <alignment horizontal="center" vertical="center"/>
    </xf>
    <xf numFmtId="178" fontId="0" fillId="0" borderId="0" xfId="0" applyNumberFormat="1" applyAlignment="1">
      <alignment horizontal="center" vertical="center"/>
    </xf>
    <xf numFmtId="0" fontId="26" fillId="0" borderId="0" xfId="0" applyFont="1" applyAlignment="1">
      <alignment horizontal="left" indent="3"/>
    </xf>
    <xf numFmtId="168" fontId="0" fillId="0" borderId="0" xfId="0" applyNumberFormat="1" applyAlignment="1">
      <alignment horizontal="center" vertical="center"/>
    </xf>
    <xf numFmtId="44" fontId="0" fillId="0" borderId="0" xfId="0" applyNumberFormat="1" applyAlignment="1">
      <alignment horizontal="center" vertical="center"/>
    </xf>
    <xf numFmtId="166" fontId="25" fillId="45" borderId="0" xfId="9" applyFont="1" applyFill="1" applyAlignment="1">
      <alignment horizontal="center" vertical="center"/>
    </xf>
    <xf numFmtId="44" fontId="0" fillId="45" borderId="0" xfId="0" applyNumberFormat="1" applyFill="1" applyAlignment="1">
      <alignment horizontal="center" vertical="center"/>
    </xf>
    <xf numFmtId="177" fontId="25" fillId="45" borderId="0" xfId="9" applyNumberFormat="1" applyFont="1" applyFill="1"/>
    <xf numFmtId="0" fontId="0" fillId="45" borderId="0" xfId="0" applyFill="1" applyAlignment="1">
      <alignment vertical="center" wrapText="1"/>
    </xf>
    <xf numFmtId="177" fontId="25" fillId="45" borderId="0" xfId="9" applyNumberFormat="1" applyFont="1" applyFill="1" applyAlignment="1">
      <alignment vertical="center"/>
    </xf>
    <xf numFmtId="177" fontId="0" fillId="45" borderId="0" xfId="9" applyNumberFormat="1" applyFont="1" applyFill="1" applyAlignment="1">
      <alignment vertical="center"/>
    </xf>
    <xf numFmtId="0" fontId="0" fillId="45" borderId="0" xfId="0" applyFill="1" applyAlignment="1">
      <alignment vertical="center"/>
    </xf>
    <xf numFmtId="0" fontId="0" fillId="45" borderId="0" xfId="0" applyFill="1" applyAlignment="1">
      <alignment horizontal="left" vertical="center" wrapText="1"/>
    </xf>
    <xf numFmtId="0" fontId="24" fillId="46" borderId="0" xfId="0" applyFont="1" applyFill="1" applyAlignment="1">
      <alignment wrapText="1"/>
    </xf>
    <xf numFmtId="177" fontId="24" fillId="46" borderId="0" xfId="9" applyNumberFormat="1" applyFont="1" applyFill="1" applyAlignment="1">
      <alignment horizontal="center" vertical="center"/>
    </xf>
    <xf numFmtId="0" fontId="24" fillId="46" borderId="0" xfId="0" applyFont="1" applyFill="1"/>
    <xf numFmtId="9" fontId="0" fillId="0" borderId="0" xfId="10" applyFont="1" applyAlignment="1">
      <alignment horizontal="center" vertical="center"/>
    </xf>
    <xf numFmtId="0" fontId="24" fillId="0" borderId="19" xfId="0" applyFont="1" applyBorder="1" applyAlignment="1">
      <alignment horizontal="center" wrapText="1"/>
    </xf>
    <xf numFmtId="9" fontId="0" fillId="0" borderId="19" xfId="10" applyFont="1" applyBorder="1" applyAlignment="1">
      <alignment horizontal="center" vertical="center"/>
    </xf>
    <xf numFmtId="0" fontId="0" fillId="0" borderId="0" xfId="0" applyAlignment="1">
      <alignment horizontal="left" vertical="center"/>
    </xf>
    <xf numFmtId="0" fontId="0" fillId="45" borderId="19" xfId="0" applyFill="1" applyBorder="1" applyAlignment="1">
      <alignment vertical="center" wrapText="1"/>
    </xf>
    <xf numFmtId="9" fontId="0" fillId="7" borderId="19" xfId="10" applyFont="1" applyFill="1" applyBorder="1" applyAlignment="1">
      <alignment horizontal="center" vertical="center"/>
    </xf>
    <xf numFmtId="10" fontId="0" fillId="7" borderId="19" xfId="10" applyNumberFormat="1" applyFont="1" applyFill="1" applyBorder="1" applyAlignment="1">
      <alignment horizontal="center" vertical="center"/>
    </xf>
    <xf numFmtId="0" fontId="0" fillId="45" borderId="19" xfId="0" applyFill="1" applyBorder="1" applyAlignment="1">
      <alignment horizontal="left" vertical="center" wrapText="1"/>
    </xf>
    <xf numFmtId="9" fontId="0" fillId="0" borderId="0" xfId="0" applyNumberFormat="1" applyAlignment="1">
      <alignment horizontal="center" vertical="center"/>
    </xf>
    <xf numFmtId="0" fontId="24" fillId="44" borderId="19" xfId="0" applyFont="1" applyFill="1" applyBorder="1" applyAlignment="1">
      <alignment horizontal="center" vertical="center" wrapText="1"/>
    </xf>
    <xf numFmtId="10" fontId="0" fillId="0" borderId="19" xfId="10" applyNumberFormat="1" applyFont="1" applyBorder="1" applyAlignment="1">
      <alignment horizontal="center" vertical="center"/>
    </xf>
    <xf numFmtId="182" fontId="0" fillId="0" borderId="19" xfId="10" applyNumberFormat="1" applyFont="1" applyBorder="1" applyAlignment="1">
      <alignment horizontal="center" vertical="center"/>
    </xf>
    <xf numFmtId="0" fontId="0" fillId="45" borderId="19" xfId="0" applyFill="1" applyBorder="1" applyAlignment="1">
      <alignment wrapText="1"/>
    </xf>
    <xf numFmtId="0" fontId="0" fillId="7" borderId="19" xfId="0" applyFill="1" applyBorder="1" applyAlignment="1">
      <alignment wrapText="1"/>
    </xf>
    <xf numFmtId="182" fontId="0" fillId="7" borderId="19" xfId="10" applyNumberFormat="1" applyFont="1" applyFill="1" applyBorder="1" applyAlignment="1">
      <alignment horizontal="center" vertical="center"/>
    </xf>
    <xf numFmtId="0" fontId="0" fillId="7" borderId="19" xfId="0" applyFill="1" applyBorder="1" applyAlignment="1">
      <alignment vertical="center" wrapText="1"/>
    </xf>
    <xf numFmtId="0" fontId="0" fillId="7" borderId="19" xfId="0" applyFill="1" applyBorder="1" applyAlignment="1">
      <alignment horizontal="left" vertical="center" wrapText="1"/>
    </xf>
    <xf numFmtId="0" fontId="24" fillId="6" borderId="96" xfId="0" applyFont="1" applyFill="1" applyBorder="1"/>
    <xf numFmtId="0" fontId="24" fillId="44" borderId="147" xfId="0" applyFont="1" applyFill="1" applyBorder="1" applyAlignment="1">
      <alignment horizontal="center" vertical="center" wrapText="1"/>
    </xf>
    <xf numFmtId="0" fontId="24" fillId="47" borderId="66" xfId="0" applyFont="1" applyFill="1" applyBorder="1" applyAlignment="1">
      <alignment horizontal="center" vertical="center" wrapText="1"/>
    </xf>
    <xf numFmtId="0" fontId="24" fillId="47" borderId="19" xfId="0" applyFont="1" applyFill="1" applyBorder="1" applyAlignment="1">
      <alignment horizontal="center" vertical="center" wrapText="1"/>
    </xf>
    <xf numFmtId="0" fontId="24" fillId="47" borderId="67" xfId="0" applyFont="1" applyFill="1" applyBorder="1" applyAlignment="1">
      <alignment horizontal="center" vertical="center" wrapText="1"/>
    </xf>
    <xf numFmtId="0" fontId="24" fillId="31" borderId="66" xfId="0" applyFont="1" applyFill="1" applyBorder="1" applyAlignment="1">
      <alignment horizontal="center" vertical="center" wrapText="1"/>
    </xf>
    <xf numFmtId="0" fontId="24" fillId="31" borderId="19" xfId="0" applyFont="1" applyFill="1" applyBorder="1" applyAlignment="1">
      <alignment horizontal="center" vertical="center" wrapText="1"/>
    </xf>
    <xf numFmtId="0" fontId="24" fillId="31" borderId="67" xfId="0" applyFont="1" applyFill="1" applyBorder="1" applyAlignment="1">
      <alignment horizontal="center" vertical="center" wrapText="1"/>
    </xf>
    <xf numFmtId="0" fontId="24" fillId="6" borderId="89" xfId="0" applyFont="1" applyFill="1" applyBorder="1" applyAlignment="1">
      <alignment horizontal="center" vertical="center" wrapText="1"/>
    </xf>
    <xf numFmtId="0" fontId="0" fillId="0" borderId="79" xfId="0" applyBorder="1" applyAlignment="1">
      <alignment horizontal="left" vertical="center" wrapText="1"/>
    </xf>
    <xf numFmtId="183" fontId="0" fillId="0" borderId="66" xfId="9" applyNumberFormat="1" applyFont="1" applyBorder="1" applyAlignment="1">
      <alignment horizontal="center" vertical="center"/>
    </xf>
    <xf numFmtId="183" fontId="0" fillId="0" borderId="19" xfId="9" applyNumberFormat="1" applyFont="1" applyBorder="1" applyAlignment="1">
      <alignment horizontal="center" vertical="center"/>
    </xf>
    <xf numFmtId="183" fontId="0" fillId="6" borderId="67" xfId="9" applyNumberFormat="1" applyFont="1" applyFill="1" applyBorder="1" applyAlignment="1">
      <alignment horizontal="center" vertical="center"/>
    </xf>
    <xf numFmtId="183" fontId="0" fillId="0" borderId="67" xfId="9" applyNumberFormat="1" applyFont="1" applyBorder="1" applyAlignment="1">
      <alignment horizontal="center" vertical="center"/>
    </xf>
    <xf numFmtId="183" fontId="0" fillId="0" borderId="0" xfId="0" applyNumberFormat="1"/>
    <xf numFmtId="183" fontId="0" fillId="0" borderId="96" xfId="0" applyNumberFormat="1" applyBorder="1"/>
    <xf numFmtId="0" fontId="0" fillId="0" borderId="79" xfId="0" applyBorder="1" applyAlignment="1">
      <alignment wrapText="1"/>
    </xf>
    <xf numFmtId="183" fontId="0" fillId="0" borderId="89" xfId="0" applyNumberFormat="1" applyBorder="1"/>
    <xf numFmtId="0" fontId="0" fillId="0" borderId="84" xfId="0" applyBorder="1" applyAlignment="1">
      <alignment horizontal="left" vertical="center" wrapText="1"/>
    </xf>
    <xf numFmtId="183" fontId="0" fillId="0" borderId="68" xfId="9" applyNumberFormat="1" applyFont="1" applyBorder="1" applyAlignment="1">
      <alignment horizontal="center" vertical="center"/>
    </xf>
    <xf numFmtId="183" fontId="0" fillId="0" borderId="64" xfId="9" applyNumberFormat="1" applyFont="1" applyBorder="1" applyAlignment="1">
      <alignment horizontal="center" vertical="center"/>
    </xf>
    <xf numFmtId="183" fontId="0" fillId="0" borderId="95" xfId="0" applyNumberFormat="1" applyBorder="1"/>
    <xf numFmtId="177" fontId="0" fillId="0" borderId="0" xfId="9" applyNumberFormat="1" applyFont="1" applyBorder="1" applyAlignment="1">
      <alignment horizontal="center" vertical="center"/>
    </xf>
    <xf numFmtId="183" fontId="0" fillId="0" borderId="0" xfId="9" applyNumberFormat="1" applyFont="1" applyBorder="1" applyAlignment="1">
      <alignment horizontal="center" vertical="center"/>
    </xf>
    <xf numFmtId="183" fontId="24" fillId="0" borderId="13" xfId="9" applyNumberFormat="1" applyFont="1" applyBorder="1" applyAlignment="1">
      <alignment horizontal="center" vertical="center"/>
    </xf>
    <xf numFmtId="183" fontId="24" fillId="0" borderId="0" xfId="0" applyNumberFormat="1" applyFont="1"/>
    <xf numFmtId="183" fontId="24" fillId="0" borderId="77" xfId="0" applyNumberFormat="1" applyFont="1" applyBorder="1"/>
    <xf numFmtId="183" fontId="0" fillId="0" borderId="0" xfId="0" applyNumberFormat="1" applyAlignment="1">
      <alignment horizontal="center" vertical="center"/>
    </xf>
    <xf numFmtId="183" fontId="24" fillId="0" borderId="13" xfId="0" applyNumberFormat="1" applyFont="1" applyBorder="1" applyAlignment="1">
      <alignment horizontal="center" vertical="center"/>
    </xf>
    <xf numFmtId="183" fontId="24" fillId="0" borderId="13" xfId="0" applyNumberFormat="1" applyFont="1" applyBorder="1"/>
    <xf numFmtId="166" fontId="0" fillId="0" borderId="0" xfId="0" applyNumberFormat="1" applyAlignment="1">
      <alignment vertical="center" wrapText="1"/>
    </xf>
    <xf numFmtId="187" fontId="0" fillId="0" borderId="2" xfId="0" applyNumberFormat="1" applyBorder="1" applyAlignment="1">
      <alignment horizontal="center" vertical="center" wrapText="1"/>
    </xf>
    <xf numFmtId="166" fontId="26" fillId="0" borderId="0" xfId="0" applyNumberFormat="1" applyFont="1" applyAlignment="1">
      <alignment vertical="center" wrapText="1"/>
    </xf>
    <xf numFmtId="187" fontId="26" fillId="0" borderId="2" xfId="8" applyNumberFormat="1" applyFont="1" applyFill="1" applyBorder="1" applyAlignment="1">
      <alignment horizontal="center" wrapText="1"/>
    </xf>
    <xf numFmtId="187" fontId="26" fillId="0" borderId="2" xfId="0" applyNumberFormat="1" applyFont="1" applyBorder="1" applyAlignment="1">
      <alignment horizontal="center" vertical="center" wrapText="1"/>
    </xf>
    <xf numFmtId="184" fontId="26" fillId="0" borderId="40" xfId="0" applyNumberFormat="1" applyFont="1" applyBorder="1" applyAlignment="1">
      <alignment horizontal="center" vertical="center" wrapText="1"/>
    </xf>
    <xf numFmtId="167" fontId="26" fillId="0" borderId="0" xfId="8" applyFont="1" applyFill="1" applyBorder="1" applyAlignment="1">
      <alignment wrapText="1"/>
    </xf>
    <xf numFmtId="171" fontId="25" fillId="0" borderId="0" xfId="8" applyNumberFormat="1" applyFont="1" applyFill="1" applyBorder="1" applyAlignment="1">
      <alignment wrapText="1"/>
    </xf>
    <xf numFmtId="187" fontId="103" fillId="0" borderId="0" xfId="9" applyNumberFormat="1" applyFont="1" applyFill="1" applyBorder="1" applyAlignment="1">
      <alignment horizontal="center" vertical="center" wrapText="1"/>
    </xf>
    <xf numFmtId="187" fontId="94" fillId="0" borderId="0" xfId="9" applyNumberFormat="1" applyFont="1" applyFill="1" applyBorder="1" applyAlignment="1">
      <alignment horizontal="center" vertical="center" wrapText="1"/>
    </xf>
    <xf numFmtId="0" fontId="34" fillId="7" borderId="0" xfId="0" applyFont="1" applyFill="1"/>
    <xf numFmtId="177" fontId="34" fillId="7" borderId="0" xfId="9" applyNumberFormat="1" applyFont="1" applyFill="1"/>
    <xf numFmtId="166" fontId="0" fillId="7" borderId="0" xfId="9" applyFont="1" applyFill="1"/>
    <xf numFmtId="167" fontId="0" fillId="7" borderId="0" xfId="8" applyFont="1" applyFill="1"/>
    <xf numFmtId="0" fontId="34" fillId="0" borderId="0" xfId="0" applyFont="1"/>
    <xf numFmtId="0" fontId="76" fillId="0" borderId="0" xfId="0" applyFont="1"/>
    <xf numFmtId="166" fontId="76" fillId="0" borderId="0" xfId="9" applyFont="1" applyFill="1"/>
    <xf numFmtId="0" fontId="131" fillId="0" borderId="0" xfId="0" applyFont="1"/>
    <xf numFmtId="177" fontId="76" fillId="48" borderId="92" xfId="9" applyNumberFormat="1" applyFont="1" applyFill="1" applyBorder="1"/>
    <xf numFmtId="3" fontId="24" fillId="0" borderId="40" xfId="0" applyNumberFormat="1" applyFont="1" applyBorder="1"/>
    <xf numFmtId="0" fontId="0" fillId="0" borderId="40" xfId="0" applyBorder="1" applyAlignment="1">
      <alignment horizontal="right"/>
    </xf>
    <xf numFmtId="177" fontId="0" fillId="0" borderId="40" xfId="9" applyNumberFormat="1" applyFont="1" applyFill="1" applyBorder="1"/>
    <xf numFmtId="166" fontId="0" fillId="0" borderId="39" xfId="0" applyNumberFormat="1" applyBorder="1"/>
    <xf numFmtId="0" fontId="76" fillId="0" borderId="96" xfId="0" applyFont="1" applyBorder="1"/>
    <xf numFmtId="0" fontId="132" fillId="0" borderId="77" xfId="0" applyFont="1" applyBorder="1" applyAlignment="1">
      <alignment vertical="center"/>
    </xf>
    <xf numFmtId="44" fontId="132" fillId="0" borderId="39" xfId="0" applyNumberFormat="1" applyFont="1" applyBorder="1" applyAlignment="1">
      <alignment vertical="center"/>
    </xf>
    <xf numFmtId="0" fontId="34" fillId="8" borderId="89" xfId="0" applyFont="1" applyFill="1" applyBorder="1"/>
    <xf numFmtId="177" fontId="34" fillId="11" borderId="40" xfId="9" applyNumberFormat="1" applyFont="1" applyFill="1" applyBorder="1"/>
    <xf numFmtId="177" fontId="0" fillId="11" borderId="40" xfId="9" applyNumberFormat="1" applyFont="1" applyFill="1" applyBorder="1"/>
    <xf numFmtId="0" fontId="0" fillId="11" borderId="89" xfId="0" applyFill="1" applyBorder="1"/>
    <xf numFmtId="166" fontId="76" fillId="0" borderId="0" xfId="9" applyFont="1"/>
    <xf numFmtId="182" fontId="0" fillId="0" borderId="0" xfId="10" applyNumberFormat="1" applyFont="1"/>
    <xf numFmtId="182" fontId="76" fillId="0" borderId="0" xfId="10" applyNumberFormat="1" applyFont="1" applyFill="1"/>
    <xf numFmtId="182" fontId="0" fillId="0" borderId="0" xfId="10" applyNumberFormat="1" applyFont="1" applyFill="1"/>
    <xf numFmtId="182" fontId="0" fillId="8" borderId="0" xfId="10" applyNumberFormat="1" applyFont="1" applyFill="1"/>
    <xf numFmtId="0" fontId="0" fillId="35" borderId="91" xfId="0" applyFill="1" applyBorder="1"/>
    <xf numFmtId="166" fontId="0" fillId="0" borderId="40" xfId="9" applyFont="1" applyFill="1" applyBorder="1"/>
    <xf numFmtId="44" fontId="0" fillId="0" borderId="76" xfId="0" applyNumberFormat="1" applyBorder="1"/>
    <xf numFmtId="0" fontId="0" fillId="36" borderId="91" xfId="0" applyFill="1" applyBorder="1"/>
    <xf numFmtId="0" fontId="0" fillId="34" borderId="91" xfId="0" applyFill="1" applyBorder="1"/>
    <xf numFmtId="44" fontId="0" fillId="0" borderId="40" xfId="0" applyNumberFormat="1" applyBorder="1"/>
    <xf numFmtId="169" fontId="0" fillId="0" borderId="40" xfId="0" applyNumberFormat="1" applyBorder="1"/>
    <xf numFmtId="0" fontId="0" fillId="0" borderId="2" xfId="0" applyBorder="1" applyAlignment="1">
      <alignment wrapText="1"/>
    </xf>
    <xf numFmtId="44" fontId="0" fillId="0" borderId="40" xfId="0" applyNumberFormat="1" applyBorder="1" applyAlignment="1">
      <alignment vertical="center"/>
    </xf>
    <xf numFmtId="0" fontId="26" fillId="0" borderId="2" xfId="0" applyFont="1" applyBorder="1" applyAlignment="1">
      <alignment wrapText="1"/>
    </xf>
    <xf numFmtId="9" fontId="26" fillId="0" borderId="0" xfId="10" applyFont="1" applyFill="1" applyBorder="1"/>
    <xf numFmtId="178" fontId="26" fillId="0" borderId="40" xfId="8" applyNumberFormat="1" applyFont="1" applyFill="1" applyBorder="1"/>
    <xf numFmtId="0" fontId="26" fillId="0" borderId="2" xfId="0" applyFont="1" applyBorder="1"/>
    <xf numFmtId="182" fontId="26" fillId="0" borderId="0" xfId="10" applyNumberFormat="1" applyFont="1" applyFill="1" applyBorder="1"/>
    <xf numFmtId="169" fontId="26" fillId="0" borderId="40" xfId="0" applyNumberFormat="1" applyFont="1" applyBorder="1"/>
    <xf numFmtId="44" fontId="26" fillId="0" borderId="40" xfId="0" applyNumberFormat="1" applyFont="1" applyBorder="1"/>
    <xf numFmtId="0" fontId="26" fillId="0" borderId="40" xfId="0" applyFont="1" applyBorder="1"/>
    <xf numFmtId="0" fontId="26" fillId="0" borderId="93" xfId="0" applyFont="1" applyBorder="1"/>
    <xf numFmtId="182" fontId="26" fillId="0" borderId="17" xfId="10" applyNumberFormat="1" applyFont="1" applyFill="1" applyBorder="1"/>
    <xf numFmtId="44" fontId="26" fillId="0" borderId="76" xfId="0" applyNumberFormat="1" applyFont="1" applyBorder="1"/>
    <xf numFmtId="0" fontId="0" fillId="9" borderId="91" xfId="0" applyFill="1" applyBorder="1"/>
    <xf numFmtId="178" fontId="0" fillId="0" borderId="40" xfId="8" applyNumberFormat="1" applyFont="1" applyFill="1" applyBorder="1"/>
    <xf numFmtId="178" fontId="24" fillId="0" borderId="76" xfId="8" applyNumberFormat="1" applyFont="1" applyFill="1" applyBorder="1"/>
    <xf numFmtId="3" fontId="0" fillId="0" borderId="2" xfId="0" applyNumberFormat="1" applyBorder="1"/>
    <xf numFmtId="1" fontId="0" fillId="0" borderId="2" xfId="0" applyNumberFormat="1" applyBorder="1"/>
    <xf numFmtId="167" fontId="0" fillId="7" borderId="93" xfId="8" applyFont="1" applyFill="1" applyBorder="1"/>
    <xf numFmtId="0" fontId="0" fillId="0" borderId="76" xfId="0" applyBorder="1"/>
    <xf numFmtId="0" fontId="0" fillId="33" borderId="91" xfId="0" applyFill="1" applyBorder="1"/>
    <xf numFmtId="0" fontId="0" fillId="32" borderId="91" xfId="0" applyFill="1" applyBorder="1"/>
    <xf numFmtId="0" fontId="52" fillId="0" borderId="93" xfId="0" applyFont="1" applyBorder="1"/>
    <xf numFmtId="0" fontId="0" fillId="0" borderId="91" xfId="0" applyBorder="1"/>
    <xf numFmtId="0" fontId="0" fillId="9" borderId="92" xfId="0" applyFill="1" applyBorder="1"/>
    <xf numFmtId="189" fontId="0" fillId="0" borderId="40" xfId="0" applyNumberFormat="1" applyBorder="1"/>
    <xf numFmtId="178" fontId="0" fillId="0" borderId="40" xfId="0" applyNumberFormat="1" applyBorder="1"/>
    <xf numFmtId="177" fontId="24" fillId="0" borderId="76" xfId="0" applyNumberFormat="1" applyFont="1" applyBorder="1"/>
    <xf numFmtId="1" fontId="0" fillId="0" borderId="40" xfId="0" applyNumberFormat="1" applyBorder="1"/>
    <xf numFmtId="166" fontId="0" fillId="7" borderId="40" xfId="9" applyFont="1" applyFill="1" applyBorder="1"/>
    <xf numFmtId="166" fontId="0" fillId="0" borderId="76" xfId="9" applyFont="1" applyFill="1" applyBorder="1"/>
    <xf numFmtId="3" fontId="26" fillId="0" borderId="40" xfId="0" applyNumberFormat="1" applyFont="1" applyBorder="1"/>
    <xf numFmtId="177" fontId="76" fillId="0" borderId="0" xfId="9" applyNumberFormat="1" applyFont="1"/>
    <xf numFmtId="0" fontId="0" fillId="0" borderId="0" xfId="9" applyNumberFormat="1" applyFont="1"/>
    <xf numFmtId="0" fontId="0" fillId="31" borderId="2" xfId="0" applyFill="1" applyBorder="1"/>
    <xf numFmtId="186" fontId="0" fillId="0" borderId="0" xfId="0" applyNumberFormat="1"/>
    <xf numFmtId="178" fontId="0" fillId="0" borderId="89" xfId="8" applyNumberFormat="1" applyFont="1" applyFill="1" applyBorder="1"/>
    <xf numFmtId="166" fontId="0" fillId="0" borderId="89" xfId="9" applyFont="1" applyFill="1" applyBorder="1"/>
    <xf numFmtId="178" fontId="0" fillId="0" borderId="89" xfId="0" applyNumberFormat="1" applyBorder="1"/>
    <xf numFmtId="177" fontId="0" fillId="0" borderId="89" xfId="9" applyNumberFormat="1" applyFont="1" applyFill="1" applyBorder="1"/>
    <xf numFmtId="177" fontId="24" fillId="0" borderId="95" xfId="0" applyNumberFormat="1" applyFont="1" applyBorder="1"/>
    <xf numFmtId="169" fontId="132" fillId="0" borderId="39" xfId="0" applyNumberFormat="1" applyFont="1" applyBorder="1" applyAlignment="1">
      <alignment vertical="center"/>
    </xf>
    <xf numFmtId="10" fontId="0" fillId="0" borderId="0" xfId="10" applyNumberFormat="1" applyFont="1"/>
    <xf numFmtId="177" fontId="76" fillId="48" borderId="0" xfId="9" applyNumberFormat="1" applyFont="1" applyFill="1" applyBorder="1"/>
    <xf numFmtId="44" fontId="0" fillId="0" borderId="0" xfId="0" applyNumberFormat="1" applyAlignment="1">
      <alignment vertical="center"/>
    </xf>
    <xf numFmtId="177" fontId="76" fillId="48" borderId="96" xfId="9" applyNumberFormat="1" applyFont="1" applyFill="1" applyBorder="1"/>
    <xf numFmtId="3" fontId="24" fillId="0" borderId="89" xfId="0" applyNumberFormat="1" applyFont="1" applyBorder="1"/>
    <xf numFmtId="0" fontId="0" fillId="0" borderId="89" xfId="0" applyBorder="1" applyAlignment="1">
      <alignment horizontal="right"/>
    </xf>
    <xf numFmtId="177" fontId="34" fillId="11" borderId="89" xfId="9" applyNumberFormat="1" applyFont="1" applyFill="1" applyBorder="1"/>
    <xf numFmtId="177" fontId="0" fillId="11" borderId="89" xfId="9" applyNumberFormat="1" applyFont="1" applyFill="1" applyBorder="1"/>
    <xf numFmtId="166" fontId="0" fillId="0" borderId="77" xfId="0" applyNumberFormat="1" applyBorder="1"/>
    <xf numFmtId="169" fontId="132" fillId="0" borderId="77" xfId="0" applyNumberFormat="1" applyFont="1" applyBorder="1" applyAlignment="1">
      <alignment vertical="center"/>
    </xf>
    <xf numFmtId="3" fontId="24" fillId="48" borderId="40" xfId="0" applyNumberFormat="1" applyFont="1" applyFill="1" applyBorder="1"/>
    <xf numFmtId="182" fontId="0" fillId="48" borderId="0" xfId="10" applyNumberFormat="1" applyFont="1" applyFill="1"/>
    <xf numFmtId="178" fontId="0" fillId="48" borderId="40" xfId="8" applyNumberFormat="1" applyFont="1" applyFill="1" applyBorder="1"/>
    <xf numFmtId="3" fontId="24" fillId="48" borderId="89" xfId="0" applyNumberFormat="1" applyFont="1" applyFill="1" applyBorder="1"/>
    <xf numFmtId="3" fontId="0" fillId="48" borderId="2" xfId="0" applyNumberFormat="1" applyFill="1" applyBorder="1"/>
    <xf numFmtId="3" fontId="0" fillId="48" borderId="0" xfId="0" applyNumberFormat="1" applyFill="1"/>
    <xf numFmtId="3" fontId="0" fillId="48" borderId="40" xfId="0" applyNumberFormat="1" applyFill="1" applyBorder="1"/>
    <xf numFmtId="185" fontId="107" fillId="0" borderId="19" xfId="0" applyNumberFormat="1" applyFont="1" applyBorder="1" applyAlignment="1">
      <alignment horizontal="center" vertical="center" wrapText="1"/>
    </xf>
    <xf numFmtId="3" fontId="107" fillId="0" borderId="19" xfId="0" applyNumberFormat="1" applyFont="1" applyBorder="1" applyAlignment="1">
      <alignment horizontal="center" vertical="center" wrapText="1"/>
    </xf>
    <xf numFmtId="3" fontId="107" fillId="9" borderId="19" xfId="0" applyNumberFormat="1" applyFont="1" applyFill="1" applyBorder="1" applyAlignment="1">
      <alignment horizontal="center" vertical="center" wrapText="1"/>
    </xf>
    <xf numFmtId="0" fontId="134" fillId="5" borderId="0" xfId="0" applyFont="1" applyFill="1" applyAlignment="1">
      <alignment horizontal="center"/>
    </xf>
    <xf numFmtId="3" fontId="26" fillId="0" borderId="89" xfId="0" applyNumberFormat="1" applyFont="1" applyBorder="1"/>
    <xf numFmtId="0" fontId="26" fillId="0" borderId="89" xfId="0" applyFont="1" applyBorder="1"/>
    <xf numFmtId="0" fontId="0" fillId="32" borderId="2" xfId="0" applyFill="1" applyBorder="1"/>
    <xf numFmtId="3" fontId="26" fillId="0" borderId="2" xfId="0" applyNumberFormat="1" applyFont="1" applyBorder="1"/>
    <xf numFmtId="0" fontId="0" fillId="0" borderId="96" xfId="0" applyBorder="1"/>
    <xf numFmtId="3" fontId="0" fillId="0" borderId="40" xfId="0" applyNumberFormat="1" applyBorder="1"/>
    <xf numFmtId="0" fontId="76" fillId="0" borderId="91" xfId="0" applyFont="1" applyBorder="1" applyAlignment="1">
      <alignment vertical="center"/>
    </xf>
    <xf numFmtId="0" fontId="132" fillId="0" borderId="9" xfId="0" applyFont="1" applyBorder="1" applyAlignment="1">
      <alignment horizontal="right" vertical="center"/>
    </xf>
    <xf numFmtId="0" fontId="21" fillId="0" borderId="19" xfId="0" applyFont="1" applyBorder="1" applyAlignment="1">
      <alignment horizontal="justify" vertical="center"/>
    </xf>
    <xf numFmtId="0" fontId="8"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xf>
    <xf numFmtId="0" fontId="26" fillId="0" borderId="0" xfId="0" applyFont="1" applyAlignment="1">
      <alignment horizontal="left" vertical="top" wrapText="1"/>
    </xf>
    <xf numFmtId="190" fontId="21" fillId="0" borderId="19" xfId="0" applyNumberFormat="1" applyFont="1" applyBorder="1" applyAlignment="1">
      <alignment horizontal="center" vertical="center"/>
    </xf>
    <xf numFmtId="0" fontId="135" fillId="0" borderId="0" xfId="81"/>
    <xf numFmtId="0" fontId="107" fillId="0" borderId="0" xfId="0" applyFont="1" applyAlignment="1">
      <alignment horizontal="center" vertical="center" wrapText="1"/>
    </xf>
    <xf numFmtId="1" fontId="5" fillId="0" borderId="0" xfId="0" applyNumberFormat="1" applyFont="1" applyAlignment="1">
      <alignment horizontal="center" vertical="center" wrapText="1"/>
    </xf>
    <xf numFmtId="1" fontId="105" fillId="39" borderId="19" xfId="0" applyNumberFormat="1" applyFont="1" applyFill="1" applyBorder="1" applyAlignment="1">
      <alignment horizontal="center" vertical="center" wrapText="1"/>
    </xf>
    <xf numFmtId="1" fontId="107" fillId="9" borderId="19" xfId="0" applyNumberFormat="1" applyFont="1" applyFill="1" applyBorder="1" applyAlignment="1">
      <alignment horizontal="center" vertical="center" wrapText="1"/>
    </xf>
    <xf numFmtId="0" fontId="122" fillId="0" borderId="0" xfId="0" applyFont="1" applyAlignment="1">
      <alignment horizontal="center" vertical="center" wrapText="1"/>
    </xf>
    <xf numFmtId="3" fontId="0" fillId="0" borderId="0" xfId="8" applyNumberFormat="1" applyFont="1" applyFill="1" applyAlignment="1">
      <alignment horizontal="center" vertical="center" wrapText="1"/>
    </xf>
    <xf numFmtId="9" fontId="0" fillId="0" borderId="0" xfId="10" applyFont="1" applyFill="1" applyAlignment="1">
      <alignment horizontal="center" vertical="center" wrapText="1"/>
    </xf>
    <xf numFmtId="3" fontId="26" fillId="0" borderId="0" xfId="0" applyNumberFormat="1" applyFont="1" applyAlignment="1">
      <alignment horizontal="center" vertical="center" wrapText="1"/>
    </xf>
    <xf numFmtId="1" fontId="0" fillId="0" borderId="0" xfId="0" applyNumberFormat="1" applyAlignment="1">
      <alignment horizontal="center" vertical="center" wrapText="1"/>
    </xf>
    <xf numFmtId="0" fontId="34" fillId="0" borderId="0" xfId="0" applyFont="1" applyAlignment="1">
      <alignment horizontal="center" vertical="center" wrapText="1"/>
    </xf>
    <xf numFmtId="178" fontId="0" fillId="0" borderId="0" xfId="8" applyNumberFormat="1" applyFont="1" applyFill="1" applyAlignment="1">
      <alignment horizontal="center" vertical="center" wrapText="1"/>
    </xf>
    <xf numFmtId="0" fontId="121" fillId="0" borderId="0" xfId="0" applyFont="1" applyAlignment="1">
      <alignment horizontal="center" vertical="center" wrapText="1"/>
    </xf>
    <xf numFmtId="1" fontId="107" fillId="38" borderId="19" xfId="0" applyNumberFormat="1" applyFont="1" applyFill="1" applyBorder="1" applyAlignment="1">
      <alignment horizontal="center" vertical="center" wrapText="1"/>
    </xf>
    <xf numFmtId="0" fontId="107" fillId="38" borderId="19" xfId="0" applyFont="1" applyFill="1" applyBorder="1" applyAlignment="1">
      <alignment horizontal="center" vertical="center" wrapText="1"/>
    </xf>
    <xf numFmtId="3" fontId="107" fillId="38" borderId="19" xfId="0" applyNumberFormat="1" applyFont="1" applyFill="1" applyBorder="1" applyAlignment="1">
      <alignment horizontal="center" vertical="center" wrapText="1"/>
    </xf>
    <xf numFmtId="185" fontId="107" fillId="38" borderId="19" xfId="0" applyNumberFormat="1" applyFont="1" applyFill="1" applyBorder="1" applyAlignment="1">
      <alignment horizontal="center" vertical="center" wrapText="1"/>
    </xf>
    <xf numFmtId="9" fontId="107" fillId="38" borderId="19" xfId="10" applyFont="1" applyFill="1" applyBorder="1" applyAlignment="1">
      <alignment horizontal="center" vertical="center" wrapText="1"/>
    </xf>
    <xf numFmtId="3" fontId="107" fillId="39" borderId="19" xfId="0" applyNumberFormat="1" applyFont="1" applyFill="1" applyBorder="1" applyAlignment="1">
      <alignment horizontal="center" vertical="center" wrapText="1"/>
    </xf>
    <xf numFmtId="1" fontId="108" fillId="39" borderId="19" xfId="0" applyNumberFormat="1" applyFont="1" applyFill="1" applyBorder="1" applyAlignment="1">
      <alignment horizontal="center" vertical="center" wrapText="1"/>
    </xf>
    <xf numFmtId="0" fontId="108" fillId="39" borderId="19" xfId="0" applyFont="1" applyFill="1" applyBorder="1" applyAlignment="1">
      <alignment horizontal="center" vertical="center" wrapText="1"/>
    </xf>
    <xf numFmtId="3" fontId="108" fillId="39" borderId="19" xfId="0" applyNumberFormat="1" applyFont="1" applyFill="1" applyBorder="1" applyAlignment="1">
      <alignment horizontal="center" vertical="center" wrapText="1"/>
    </xf>
    <xf numFmtId="185" fontId="108" fillId="39" borderId="19" xfId="0" applyNumberFormat="1" applyFont="1" applyFill="1" applyBorder="1" applyAlignment="1">
      <alignment horizontal="center" vertical="center" wrapText="1"/>
    </xf>
    <xf numFmtId="9" fontId="108" fillId="39" borderId="19" xfId="10" applyFont="1" applyFill="1" applyBorder="1" applyAlignment="1">
      <alignment horizontal="center" vertical="center" wrapText="1"/>
    </xf>
    <xf numFmtId="0" fontId="105" fillId="38" borderId="19" xfId="0" applyFont="1" applyFill="1" applyBorder="1" applyAlignment="1">
      <alignment horizontal="center" vertical="center" wrapText="1"/>
    </xf>
    <xf numFmtId="185" fontId="105" fillId="38" borderId="19" xfId="0" applyNumberFormat="1" applyFont="1" applyFill="1" applyBorder="1" applyAlignment="1">
      <alignment horizontal="center" vertical="center" wrapText="1"/>
    </xf>
    <xf numFmtId="1" fontId="115" fillId="38" borderId="19" xfId="0" applyNumberFormat="1" applyFont="1" applyFill="1" applyBorder="1" applyAlignment="1">
      <alignment horizontal="center" vertical="center" wrapText="1"/>
    </xf>
    <xf numFmtId="185" fontId="0" fillId="0" borderId="0" xfId="0" applyNumberFormat="1" applyAlignment="1">
      <alignment horizontal="center" vertical="center" wrapText="1"/>
    </xf>
    <xf numFmtId="3" fontId="115" fillId="3" borderId="0" xfId="8" applyNumberFormat="1" applyFont="1" applyFill="1" applyBorder="1" applyAlignment="1">
      <alignment horizontal="center" vertical="center" wrapText="1"/>
    </xf>
    <xf numFmtId="9" fontId="0" fillId="0" borderId="0" xfId="10" applyFont="1" applyFill="1" applyBorder="1" applyAlignment="1">
      <alignment horizontal="center" vertical="center" wrapText="1"/>
    </xf>
    <xf numFmtId="1" fontId="0" fillId="3" borderId="0" xfId="0" applyNumberFormat="1" applyFill="1" applyAlignment="1">
      <alignment horizontal="center" vertical="center" wrapText="1"/>
    </xf>
    <xf numFmtId="4" fontId="0" fillId="0" borderId="0" xfId="0" applyNumberFormat="1" applyAlignment="1">
      <alignment horizontal="center" vertical="center" wrapText="1"/>
    </xf>
    <xf numFmtId="0" fontId="115" fillId="0" borderId="0" xfId="0" applyFont="1" applyAlignment="1">
      <alignment horizontal="center" vertical="center" wrapText="1"/>
    </xf>
    <xf numFmtId="185" fontId="115" fillId="0" borderId="0" xfId="0" applyNumberFormat="1" applyFont="1" applyAlignment="1">
      <alignment horizontal="center" vertical="center" wrapText="1"/>
    </xf>
    <xf numFmtId="3" fontId="115" fillId="0" borderId="0" xfId="0" applyNumberFormat="1" applyFont="1" applyAlignment="1">
      <alignment horizontal="center" vertical="center" wrapText="1"/>
    </xf>
    <xf numFmtId="9" fontId="115" fillId="0" borderId="0" xfId="10" applyFont="1" applyFill="1" applyAlignment="1">
      <alignment horizontal="center" vertical="center" wrapText="1"/>
    </xf>
    <xf numFmtId="3" fontId="107"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3" fontId="9" fillId="0" borderId="0" xfId="0" applyNumberFormat="1" applyFont="1" applyAlignment="1">
      <alignment horizontal="center" vertical="center" wrapText="1"/>
    </xf>
    <xf numFmtId="1" fontId="0" fillId="0" borderId="0" xfId="0" applyNumberFormat="1" applyAlignment="1">
      <alignment horizontal="left" vertical="center" wrapText="1"/>
    </xf>
    <xf numFmtId="0" fontId="0" fillId="0" borderId="0" xfId="0" applyAlignment="1">
      <alignment horizontal="left" vertical="center" wrapText="1"/>
    </xf>
    <xf numFmtId="1" fontId="109" fillId="0" borderId="0" xfId="0" applyNumberFormat="1" applyFont="1" applyAlignment="1">
      <alignment horizontal="left" vertical="center"/>
    </xf>
    <xf numFmtId="1" fontId="107" fillId="38" borderId="19" xfId="0" applyNumberFormat="1" applyFont="1" applyFill="1" applyBorder="1" applyAlignment="1">
      <alignment horizontal="left" vertical="center" wrapText="1"/>
    </xf>
    <xf numFmtId="0" fontId="107" fillId="38" borderId="19" xfId="0" applyFont="1" applyFill="1" applyBorder="1" applyAlignment="1">
      <alignment horizontal="left" vertical="center" wrapText="1"/>
    </xf>
    <xf numFmtId="1" fontId="108" fillId="39" borderId="19" xfId="0" applyNumberFormat="1" applyFont="1" applyFill="1" applyBorder="1" applyAlignment="1">
      <alignment horizontal="left" vertical="center" wrapText="1"/>
    </xf>
    <xf numFmtId="0" fontId="108" fillId="39" borderId="19" xfId="0" applyFont="1" applyFill="1" applyBorder="1" applyAlignment="1">
      <alignment horizontal="left" vertical="center" wrapText="1"/>
    </xf>
    <xf numFmtId="0" fontId="107" fillId="38" borderId="19" xfId="0" quotePrefix="1" applyFont="1" applyFill="1" applyBorder="1" applyAlignment="1">
      <alignment horizontal="left" vertical="center" wrapText="1"/>
    </xf>
    <xf numFmtId="0" fontId="105" fillId="38" borderId="19" xfId="0" applyFont="1" applyFill="1" applyBorder="1" applyAlignment="1">
      <alignment horizontal="left" vertical="center" wrapText="1"/>
    </xf>
    <xf numFmtId="0" fontId="105" fillId="39" borderId="19" xfId="0" applyFont="1" applyFill="1" applyBorder="1" applyAlignment="1">
      <alignment horizontal="left" vertical="center"/>
    </xf>
    <xf numFmtId="1" fontId="115" fillId="0" borderId="0" xfId="0" applyNumberFormat="1" applyFont="1" applyAlignment="1">
      <alignment horizontal="left" vertical="center" wrapText="1"/>
    </xf>
    <xf numFmtId="0" fontId="115" fillId="0" borderId="0" xfId="0" applyFont="1" applyAlignment="1">
      <alignment horizontal="left" vertical="center" wrapText="1"/>
    </xf>
    <xf numFmtId="178" fontId="0" fillId="0" borderId="0" xfId="8" applyNumberFormat="1" applyFont="1" applyAlignment="1">
      <alignment horizontal="left" vertical="center" wrapText="1"/>
    </xf>
    <xf numFmtId="3" fontId="3" fillId="0" borderId="0" xfId="0" applyNumberFormat="1" applyFont="1" applyAlignment="1">
      <alignment horizontal="left" vertical="center" wrapText="1"/>
    </xf>
    <xf numFmtId="186" fontId="5" fillId="0" borderId="0" xfId="0" applyNumberFormat="1" applyFont="1" applyAlignment="1">
      <alignment horizontal="center" vertical="center" wrapText="1"/>
    </xf>
    <xf numFmtId="1" fontId="109" fillId="0" borderId="0" xfId="0" quotePrefix="1" applyNumberFormat="1" applyFont="1" applyAlignment="1">
      <alignment horizontal="left" vertical="center"/>
    </xf>
    <xf numFmtId="38" fontId="26" fillId="0" borderId="40" xfId="0" applyNumberFormat="1" applyFont="1" applyBorder="1"/>
    <xf numFmtId="49" fontId="0" fillId="0" borderId="0" xfId="0" applyNumberFormat="1" applyAlignment="1">
      <alignment horizontal="left" vertical="center" wrapText="1"/>
    </xf>
    <xf numFmtId="49" fontId="115" fillId="0" borderId="0" xfId="0" applyNumberFormat="1" applyFont="1" applyAlignment="1">
      <alignment horizontal="left" vertical="center" wrapText="1"/>
    </xf>
    <xf numFmtId="182" fontId="56" fillId="20" borderId="0" xfId="51" applyNumberFormat="1" applyBorder="1"/>
    <xf numFmtId="0" fontId="8" fillId="7" borderId="19" xfId="0" applyFont="1" applyFill="1" applyBorder="1" applyAlignment="1">
      <alignment horizontal="justify" vertical="center"/>
    </xf>
    <xf numFmtId="0" fontId="8" fillId="7" borderId="19" xfId="0" applyFont="1" applyFill="1" applyBorder="1" applyAlignment="1">
      <alignment horizontal="center" vertical="center" wrapText="1"/>
    </xf>
    <xf numFmtId="0" fontId="1" fillId="0" borderId="145" xfId="0" applyFont="1" applyBorder="1" applyAlignment="1">
      <alignment horizontal="left" vertical="center"/>
    </xf>
    <xf numFmtId="0" fontId="1" fillId="0" borderId="148" xfId="0" applyFont="1" applyBorder="1" applyAlignment="1">
      <alignment vertical="center"/>
    </xf>
    <xf numFmtId="0" fontId="1" fillId="0" borderId="148" xfId="0" applyFont="1" applyBorder="1" applyAlignment="1">
      <alignment horizontal="left" vertical="center"/>
    </xf>
    <xf numFmtId="0" fontId="17" fillId="7" borderId="148" xfId="0" applyFont="1" applyFill="1" applyBorder="1" applyAlignment="1">
      <alignment horizontal="left" vertical="center"/>
    </xf>
    <xf numFmtId="0" fontId="17" fillId="3" borderId="142" xfId="0" applyFont="1" applyFill="1" applyBorder="1" applyAlignment="1">
      <alignment horizontal="left" vertical="center"/>
    </xf>
    <xf numFmtId="0" fontId="1" fillId="3" borderId="145" xfId="0" applyFont="1" applyFill="1" applyBorder="1" applyAlignment="1">
      <alignment horizontal="left" vertical="center"/>
    </xf>
    <xf numFmtId="0" fontId="1" fillId="0" borderId="72" xfId="11" applyBorder="1"/>
    <xf numFmtId="0" fontId="1" fillId="0" borderId="142" xfId="11" applyBorder="1"/>
    <xf numFmtId="0" fontId="86" fillId="26" borderId="153" xfId="11" applyFont="1" applyFill="1" applyBorder="1" applyAlignment="1" applyProtection="1">
      <alignment horizontal="left" vertical="top" wrapText="1" readingOrder="1"/>
      <protection locked="0"/>
    </xf>
    <xf numFmtId="0" fontId="83" fillId="0" borderId="142" xfId="39" applyFont="1" applyBorder="1" applyAlignment="1" applyProtection="1">
      <alignment horizontal="left" vertical="top"/>
      <protection locked="0"/>
    </xf>
    <xf numFmtId="0" fontId="83" fillId="0" borderId="142" xfId="39" applyFont="1" applyBorder="1" applyAlignment="1" applyProtection="1">
      <alignment horizontal="left" vertical="center"/>
      <protection locked="0"/>
    </xf>
    <xf numFmtId="0" fontId="82" fillId="0" borderId="142" xfId="39" applyFont="1" applyBorder="1" applyAlignment="1" applyProtection="1">
      <alignment horizontal="left" vertical="center"/>
      <protection locked="0"/>
    </xf>
    <xf numFmtId="0" fontId="17" fillId="0" borderId="142" xfId="39" applyFont="1" applyBorder="1" applyAlignment="1" applyProtection="1">
      <alignment horizontal="left" vertical="center"/>
      <protection locked="0"/>
    </xf>
    <xf numFmtId="0" fontId="81" fillId="0" borderId="142" xfId="39" applyFont="1" applyBorder="1" applyAlignment="1" applyProtection="1">
      <alignment vertical="center"/>
      <protection locked="0"/>
    </xf>
    <xf numFmtId="0" fontId="40" fillId="0" borderId="142" xfId="39" applyFont="1" applyBorder="1" applyProtection="1">
      <protection locked="0"/>
    </xf>
    <xf numFmtId="0" fontId="65" fillId="0" borderId="142" xfId="39" applyFont="1" applyBorder="1" applyAlignment="1" applyProtection="1">
      <alignment vertical="center"/>
      <protection locked="0"/>
    </xf>
    <xf numFmtId="0" fontId="65" fillId="0" borderId="142" xfId="39" applyFont="1" applyBorder="1" applyAlignment="1" applyProtection="1">
      <alignment horizontal="right" vertical="center"/>
      <protection locked="0"/>
    </xf>
    <xf numFmtId="1" fontId="65" fillId="0" borderId="142" xfId="39" applyNumberFormat="1" applyFont="1" applyBorder="1" applyAlignment="1" applyProtection="1">
      <alignment horizontal="right" vertical="center"/>
      <protection locked="0"/>
    </xf>
    <xf numFmtId="172" fontId="76" fillId="0" borderId="130" xfId="65" applyFont="1" applyBorder="1" applyAlignment="1">
      <alignment vertical="center"/>
    </xf>
    <xf numFmtId="172" fontId="76" fillId="0" borderId="142" xfId="65" applyFont="1" applyBorder="1" applyAlignment="1">
      <alignment vertical="center"/>
    </xf>
    <xf numFmtId="172" fontId="76" fillId="0" borderId="144" xfId="65" applyFont="1" applyBorder="1" applyAlignment="1">
      <alignment vertical="center"/>
    </xf>
    <xf numFmtId="172" fontId="40" fillId="9" borderId="144" xfId="65" applyFont="1" applyFill="1" applyBorder="1" applyAlignment="1" applyProtection="1">
      <alignment horizontal="center"/>
      <protection locked="0"/>
    </xf>
    <xf numFmtId="0" fontId="40" fillId="9" borderId="144" xfId="65" applyNumberFormat="1" applyFont="1" applyFill="1" applyBorder="1" applyAlignment="1" applyProtection="1">
      <alignment horizontal="center" textRotation="90"/>
      <protection locked="0"/>
    </xf>
    <xf numFmtId="172" fontId="40" fillId="9" borderId="130" xfId="65" applyFont="1" applyFill="1" applyBorder="1" applyAlignment="1" applyProtection="1">
      <alignment horizontal="center" textRotation="90" wrapText="1"/>
      <protection locked="0"/>
    </xf>
    <xf numFmtId="49" fontId="38" fillId="0" borderId="145" xfId="11" applyNumberFormat="1" applyFont="1" applyBorder="1" applyAlignment="1">
      <alignment horizontal="left" vertical="center" wrapText="1"/>
    </xf>
    <xf numFmtId="49" fontId="38" fillId="0" borderId="142" xfId="11" applyNumberFormat="1" applyFont="1" applyBorder="1" applyAlignment="1">
      <alignment horizontal="center" vertical="center" wrapText="1"/>
    </xf>
    <xf numFmtId="49" fontId="1" fillId="0" borderId="144" xfId="11" applyNumberFormat="1" applyBorder="1" applyAlignment="1" applyProtection="1">
      <alignment horizontal="right" vertical="center" wrapText="1"/>
      <protection locked="0"/>
    </xf>
    <xf numFmtId="166" fontId="38" fillId="0" borderId="145" xfId="13" applyNumberFormat="1" applyFont="1" applyBorder="1" applyAlignment="1">
      <alignment horizontal="right" vertical="center"/>
    </xf>
    <xf numFmtId="49" fontId="1" fillId="0" borderId="144" xfId="11" applyNumberFormat="1" applyBorder="1" applyAlignment="1">
      <alignment horizontal="right" vertical="center" wrapText="1"/>
    </xf>
    <xf numFmtId="166" fontId="38" fillId="0" borderId="145" xfId="13" quotePrefix="1" applyNumberFormat="1" applyFont="1" applyBorder="1" applyAlignment="1" applyProtection="1">
      <alignment horizontal="center" vertical="center"/>
      <protection locked="0"/>
    </xf>
    <xf numFmtId="166" fontId="1" fillId="0" borderId="145" xfId="13" quotePrefix="1" applyNumberFormat="1" applyFont="1" applyBorder="1" applyAlignment="1" applyProtection="1">
      <alignment horizontal="center" vertical="center"/>
      <protection locked="0"/>
    </xf>
    <xf numFmtId="166" fontId="1" fillId="0" borderId="145" xfId="13" quotePrefix="1" applyNumberFormat="1" applyFont="1" applyBorder="1" applyAlignment="1" applyProtection="1">
      <alignment horizontal="center" vertical="center"/>
      <protection locked="0" hidden="1"/>
    </xf>
    <xf numFmtId="166" fontId="1" fillId="0" borderId="145" xfId="13" applyNumberFormat="1" applyFont="1" applyBorder="1" applyAlignment="1" applyProtection="1">
      <alignment horizontal="center" vertical="center"/>
      <protection locked="0" hidden="1"/>
    </xf>
    <xf numFmtId="168" fontId="0" fillId="0" borderId="142" xfId="14" applyNumberFormat="1" applyFont="1" applyFill="1" applyBorder="1" applyAlignment="1">
      <alignment horizontal="right" vertical="center"/>
    </xf>
    <xf numFmtId="3" fontId="1" fillId="0" borderId="144" xfId="11" applyNumberFormat="1" applyBorder="1" applyAlignment="1" applyProtection="1">
      <alignment horizontal="right" vertical="center" wrapText="1"/>
      <protection locked="0"/>
    </xf>
    <xf numFmtId="49" fontId="1" fillId="0" borderId="145" xfId="13" applyNumberFormat="1" applyFont="1" applyBorder="1" applyAlignment="1">
      <alignment horizontal="left" vertical="center" wrapText="1"/>
    </xf>
    <xf numFmtId="3" fontId="1" fillId="0" borderId="142" xfId="13" applyNumberFormat="1" applyFont="1" applyBorder="1" applyAlignment="1">
      <alignment horizontal="right" vertical="center" wrapText="1"/>
    </xf>
    <xf numFmtId="0" fontId="42" fillId="0" borderId="142" xfId="13" applyNumberFormat="1" applyBorder="1" applyAlignment="1">
      <alignment horizontal="center" vertical="center"/>
    </xf>
    <xf numFmtId="3" fontId="1" fillId="0" borderId="144" xfId="11" applyNumberFormat="1" applyBorder="1" applyAlignment="1">
      <alignment horizontal="right" vertical="center" wrapText="1"/>
    </xf>
    <xf numFmtId="49" fontId="1" fillId="0" borderId="130" xfId="11" applyNumberFormat="1" applyBorder="1" applyAlignment="1">
      <alignment horizontal="center" vertical="center" wrapText="1"/>
    </xf>
    <xf numFmtId="3" fontId="1" fillId="0" borderId="161" xfId="11" applyNumberFormat="1" applyBorder="1" applyAlignment="1">
      <alignment horizontal="right" vertical="center"/>
    </xf>
    <xf numFmtId="0" fontId="0" fillId="0" borderId="161" xfId="0" applyBorder="1"/>
    <xf numFmtId="0" fontId="0" fillId="0" borderId="159" xfId="0" applyBorder="1"/>
    <xf numFmtId="177" fontId="0" fillId="0" borderId="159" xfId="9" applyNumberFormat="1" applyFont="1" applyFill="1" applyBorder="1"/>
    <xf numFmtId="177" fontId="0" fillId="0" borderId="160" xfId="9" applyNumberFormat="1" applyFont="1" applyFill="1" applyBorder="1"/>
    <xf numFmtId="177" fontId="0" fillId="11" borderId="159" xfId="9" applyNumberFormat="1" applyFont="1" applyFill="1" applyBorder="1"/>
    <xf numFmtId="177" fontId="0" fillId="11" borderId="160" xfId="9" applyNumberFormat="1" applyFont="1" applyFill="1" applyBorder="1"/>
    <xf numFmtId="177" fontId="34" fillId="11" borderId="159" xfId="9" applyNumberFormat="1" applyFont="1" applyFill="1" applyBorder="1"/>
    <xf numFmtId="0" fontId="0" fillId="0" borderId="159" xfId="0" applyBorder="1" applyAlignment="1">
      <alignment wrapText="1"/>
    </xf>
    <xf numFmtId="0" fontId="0" fillId="11" borderId="159" xfId="0" applyFill="1" applyBorder="1"/>
    <xf numFmtId="177" fontId="34" fillId="11" borderId="160" xfId="9" applyNumberFormat="1" applyFont="1" applyFill="1" applyBorder="1"/>
    <xf numFmtId="0" fontId="91" fillId="0" borderId="156" xfId="0" applyFont="1" applyBorder="1" applyAlignment="1">
      <alignment horizontal="center" vertical="center" wrapText="1"/>
    </xf>
    <xf numFmtId="177" fontId="24" fillId="0" borderId="154" xfId="9" applyNumberFormat="1" applyFont="1" applyFill="1" applyBorder="1"/>
    <xf numFmtId="4" fontId="0" fillId="0" borderId="158" xfId="0" applyNumberFormat="1" applyBorder="1"/>
    <xf numFmtId="0" fontId="0" fillId="0" borderId="158" xfId="0" applyBorder="1"/>
    <xf numFmtId="167" fontId="0" fillId="0" borderId="154" xfId="8" applyFont="1" applyFill="1" applyBorder="1"/>
    <xf numFmtId="178" fontId="0" fillId="0" borderId="154" xfId="8" applyNumberFormat="1" applyFont="1" applyFill="1" applyBorder="1"/>
    <xf numFmtId="0" fontId="91" fillId="0" borderId="161" xfId="0" applyFont="1" applyBorder="1" applyAlignment="1">
      <alignment horizontal="center" vertical="center" wrapText="1"/>
    </xf>
    <xf numFmtId="0" fontId="0" fillId="0" borderId="157" xfId="0" applyBorder="1"/>
    <xf numFmtId="178" fontId="0" fillId="0" borderId="157" xfId="8" applyNumberFormat="1" applyFont="1" applyFill="1" applyBorder="1"/>
    <xf numFmtId="167" fontId="0" fillId="0" borderId="162" xfId="8" applyFont="1" applyFill="1" applyBorder="1"/>
    <xf numFmtId="178" fontId="0" fillId="0" borderId="162" xfId="8" applyNumberFormat="1" applyFont="1" applyFill="1" applyBorder="1"/>
    <xf numFmtId="177" fontId="0" fillId="0" borderId="162" xfId="9" applyNumberFormat="1" applyFont="1" applyFill="1" applyBorder="1"/>
    <xf numFmtId="177" fontId="24" fillId="0" borderId="162" xfId="9" applyNumberFormat="1" applyFont="1" applyFill="1" applyBorder="1"/>
    <xf numFmtId="0" fontId="0" fillId="0" borderId="160" xfId="0" applyBorder="1"/>
    <xf numFmtId="177" fontId="0" fillId="0" borderId="154" xfId="9" applyNumberFormat="1" applyFont="1" applyFill="1" applyBorder="1"/>
    <xf numFmtId="0" fontId="90" fillId="0" borderId="158" xfId="0" applyFont="1" applyBorder="1"/>
    <xf numFmtId="166" fontId="0" fillId="0" borderId="154" xfId="9" applyFont="1" applyFill="1" applyBorder="1"/>
    <xf numFmtId="4" fontId="90" fillId="0" borderId="158" xfId="0" applyNumberFormat="1" applyFont="1" applyBorder="1"/>
    <xf numFmtId="4" fontId="90" fillId="0" borderId="160" xfId="0" applyNumberFormat="1" applyFont="1" applyBorder="1"/>
    <xf numFmtId="177" fontId="24" fillId="0" borderId="157" xfId="9" applyNumberFormat="1" applyFont="1" applyFill="1" applyBorder="1"/>
    <xf numFmtId="0" fontId="90" fillId="0" borderId="160" xfId="0" applyFont="1" applyBorder="1"/>
    <xf numFmtId="0" fontId="91" fillId="0" borderId="156" xfId="0" applyFont="1" applyBorder="1" applyAlignment="1">
      <alignment horizontal="center" vertical="center" textRotation="90" wrapText="1"/>
    </xf>
    <xf numFmtId="0" fontId="0" fillId="0" borderId="156" xfId="0" applyBorder="1"/>
    <xf numFmtId="177" fontId="24" fillId="0" borderId="154" xfId="9" applyNumberFormat="1" applyFont="1" applyBorder="1"/>
    <xf numFmtId="0" fontId="34" fillId="8" borderId="159" xfId="0" applyFont="1" applyFill="1" applyBorder="1"/>
    <xf numFmtId="0" fontId="17" fillId="0" borderId="155" xfId="0" applyFont="1" applyBorder="1" applyAlignment="1">
      <alignment horizontal="left" vertical="center"/>
    </xf>
    <xf numFmtId="0" fontId="17" fillId="3" borderId="155" xfId="0" applyFont="1" applyFill="1" applyBorder="1" applyAlignment="1">
      <alignment horizontal="left" vertical="center"/>
    </xf>
    <xf numFmtId="0" fontId="1" fillId="3" borderId="158" xfId="0" applyFont="1" applyFill="1" applyBorder="1" applyAlignment="1">
      <alignment horizontal="left" vertical="center"/>
    </xf>
    <xf numFmtId="0" fontId="1" fillId="0" borderId="158" xfId="0" applyFont="1" applyBorder="1" applyAlignment="1">
      <alignment horizontal="left" vertical="center"/>
    </xf>
    <xf numFmtId="0" fontId="18" fillId="3" borderId="155" xfId="0" applyFont="1" applyFill="1" applyBorder="1" applyAlignment="1">
      <alignment horizontal="left" vertical="center"/>
    </xf>
    <xf numFmtId="0" fontId="18" fillId="0" borderId="155" xfId="0" applyFont="1" applyBorder="1" applyAlignment="1">
      <alignment horizontal="left" vertical="center"/>
    </xf>
    <xf numFmtId="0" fontId="17" fillId="3" borderId="156" xfId="0" applyFont="1" applyFill="1" applyBorder="1" applyAlignment="1">
      <alignment horizontal="left" vertical="center"/>
    </xf>
    <xf numFmtId="0" fontId="86" fillId="25" borderId="167" xfId="11" applyFont="1" applyFill="1" applyBorder="1" applyAlignment="1" applyProtection="1">
      <alignment horizontal="center" vertical="center" wrapText="1" readingOrder="1"/>
      <protection locked="0"/>
    </xf>
    <xf numFmtId="0" fontId="38" fillId="0" borderId="166" xfId="11" applyFont="1" applyBorder="1" applyAlignment="1" applyProtection="1">
      <alignment vertical="top" wrapText="1"/>
      <protection locked="0"/>
    </xf>
    <xf numFmtId="0" fontId="86" fillId="25" borderId="168" xfId="11" applyFont="1" applyFill="1" applyBorder="1" applyAlignment="1" applyProtection="1">
      <alignment horizontal="center" vertical="center" wrapText="1" readingOrder="1"/>
      <protection locked="0"/>
    </xf>
    <xf numFmtId="0" fontId="1" fillId="0" borderId="166" xfId="11" applyBorder="1" applyAlignment="1" applyProtection="1">
      <alignment vertical="top" wrapText="1"/>
      <protection locked="0"/>
    </xf>
    <xf numFmtId="0" fontId="86" fillId="24" borderId="167" xfId="11" applyFont="1" applyFill="1" applyBorder="1" applyAlignment="1" applyProtection="1">
      <alignment horizontal="left" vertical="top" wrapText="1" readingOrder="1"/>
      <protection locked="0"/>
    </xf>
    <xf numFmtId="0" fontId="86" fillId="26" borderId="167" xfId="11" applyFont="1" applyFill="1" applyBorder="1" applyAlignment="1" applyProtection="1">
      <alignment horizontal="left" vertical="top" wrapText="1" readingOrder="1"/>
      <protection locked="0"/>
    </xf>
    <xf numFmtId="0" fontId="88" fillId="24" borderId="167" xfId="11" applyFont="1" applyFill="1" applyBorder="1" applyAlignment="1" applyProtection="1">
      <alignment horizontal="left" vertical="top" wrapText="1" readingOrder="1"/>
      <protection locked="0"/>
    </xf>
    <xf numFmtId="0" fontId="88" fillId="26" borderId="167" xfId="11" applyFont="1" applyFill="1" applyBorder="1" applyAlignment="1" applyProtection="1">
      <alignment horizontal="left" vertical="top" wrapText="1" readingOrder="1"/>
      <protection locked="0"/>
    </xf>
    <xf numFmtId="167" fontId="86" fillId="26" borderId="167" xfId="8" applyFont="1" applyFill="1" applyBorder="1" applyAlignment="1" applyProtection="1">
      <alignment horizontal="left" vertical="top" wrapText="1" readingOrder="1"/>
      <protection locked="0"/>
    </xf>
    <xf numFmtId="0" fontId="1" fillId="0" borderId="169" xfId="11" applyBorder="1" applyAlignment="1">
      <alignment horizontal="center" vertical="center"/>
    </xf>
    <xf numFmtId="172" fontId="70" fillId="0" borderId="172" xfId="65" applyFont="1" applyBorder="1" applyAlignment="1" applyProtection="1">
      <alignment horizontal="center" vertical="center"/>
      <protection locked="0"/>
    </xf>
    <xf numFmtId="0" fontId="69" fillId="0" borderId="172" xfId="65" applyNumberFormat="1" applyFont="1" applyBorder="1" applyAlignment="1" applyProtection="1">
      <alignment horizontal="center" vertical="center"/>
      <protection locked="0"/>
    </xf>
    <xf numFmtId="0" fontId="17" fillId="0" borderId="172" xfId="65" applyNumberFormat="1" applyFont="1" applyBorder="1" applyAlignment="1" applyProtection="1">
      <alignment horizontal="left" vertical="center"/>
      <protection locked="0"/>
    </xf>
    <xf numFmtId="172" fontId="17" fillId="0" borderId="172" xfId="65" applyFont="1" applyBorder="1" applyAlignment="1" applyProtection="1">
      <alignment horizontal="left" vertical="center" wrapText="1"/>
      <protection locked="0"/>
    </xf>
    <xf numFmtId="175" fontId="69" fillId="0" borderId="172" xfId="65" applyNumberFormat="1" applyFont="1" applyBorder="1" applyAlignment="1" applyProtection="1">
      <alignment horizontal="center" vertical="center" wrapText="1"/>
      <protection locked="0"/>
    </xf>
    <xf numFmtId="175" fontId="17" fillId="0" borderId="172" xfId="65" applyNumberFormat="1" applyFont="1" applyBorder="1" applyAlignment="1" applyProtection="1">
      <alignment horizontal="center" vertical="center" wrapText="1"/>
      <protection locked="0"/>
    </xf>
    <xf numFmtId="172" fontId="69" fillId="0" borderId="172" xfId="65" applyFont="1" applyBorder="1" applyAlignment="1" applyProtection="1">
      <alignment horizontal="left" vertical="center" wrapText="1"/>
      <protection locked="0"/>
    </xf>
    <xf numFmtId="172" fontId="69" fillId="0" borderId="172" xfId="65" applyFont="1" applyBorder="1" applyAlignment="1" applyProtection="1">
      <alignment horizontal="center" vertical="center" wrapText="1"/>
      <protection locked="0"/>
    </xf>
    <xf numFmtId="0" fontId="67" fillId="0" borderId="172" xfId="65" applyNumberFormat="1" applyFont="1" applyBorder="1" applyAlignment="1" applyProtection="1">
      <alignment horizontal="center" vertical="center"/>
      <protection locked="0"/>
    </xf>
    <xf numFmtId="0" fontId="67" fillId="0" borderId="172" xfId="65" quotePrefix="1" applyNumberFormat="1" applyFont="1" applyBorder="1" applyAlignment="1" applyProtection="1">
      <alignment horizontal="center" vertical="center"/>
      <protection locked="0"/>
    </xf>
    <xf numFmtId="171" fontId="67" fillId="0" borderId="172" xfId="16" applyNumberFormat="1" applyFont="1" applyFill="1" applyBorder="1" applyAlignment="1" applyProtection="1">
      <alignment horizontal="center" vertical="center"/>
      <protection locked="0"/>
    </xf>
    <xf numFmtId="171" fontId="69" fillId="0" borderId="172" xfId="16" applyNumberFormat="1" applyFont="1" applyFill="1" applyBorder="1" applyAlignment="1" applyProtection="1">
      <alignment horizontal="center" vertical="center"/>
      <protection locked="0"/>
    </xf>
    <xf numFmtId="168" fontId="17" fillId="0" borderId="172" xfId="16" applyNumberFormat="1" applyFont="1" applyFill="1" applyBorder="1" applyAlignment="1" applyProtection="1">
      <alignment horizontal="center" vertical="center"/>
      <protection locked="0"/>
    </xf>
    <xf numFmtId="168" fontId="17" fillId="0" borderId="172" xfId="16" applyNumberFormat="1" applyFont="1" applyFill="1" applyBorder="1" applyAlignment="1">
      <alignment horizontal="center" vertical="center"/>
    </xf>
    <xf numFmtId="172" fontId="67" fillId="0" borderId="172" xfId="65" applyFont="1" applyBorder="1" applyAlignment="1" applyProtection="1">
      <alignment horizontal="center" vertical="center" wrapText="1"/>
      <protection locked="0"/>
    </xf>
    <xf numFmtId="172" fontId="67" fillId="0" borderId="172" xfId="65" applyFont="1" applyBorder="1" applyAlignment="1" applyProtection="1">
      <alignment horizontal="center" vertical="center"/>
      <protection locked="0"/>
    </xf>
    <xf numFmtId="49" fontId="67" fillId="0" borderId="172" xfId="65" applyNumberFormat="1" applyFont="1" applyBorder="1" applyAlignment="1" applyProtection="1">
      <alignment horizontal="center" vertical="center"/>
      <protection locked="0"/>
    </xf>
    <xf numFmtId="172" fontId="68" fillId="0" borderId="172" xfId="65" applyFont="1" applyBorder="1" applyAlignment="1">
      <alignment horizontal="center" vertical="center"/>
    </xf>
    <xf numFmtId="172" fontId="67" fillId="0" borderId="172" xfId="65" quotePrefix="1" applyFont="1" applyBorder="1" applyAlignment="1" applyProtection="1">
      <alignment horizontal="center" vertical="center"/>
      <protection locked="0"/>
    </xf>
    <xf numFmtId="49" fontId="68" fillId="0" borderId="172" xfId="65" applyNumberFormat="1" applyFont="1" applyBorder="1" applyAlignment="1" applyProtection="1">
      <alignment horizontal="center" vertical="center"/>
      <protection locked="0"/>
    </xf>
    <xf numFmtId="172" fontId="70" fillId="0" borderId="172" xfId="65" applyFont="1" applyBorder="1" applyAlignment="1">
      <alignment horizontal="center" vertical="center"/>
    </xf>
    <xf numFmtId="0" fontId="69" fillId="0" borderId="172" xfId="65" applyNumberFormat="1" applyFont="1" applyBorder="1" applyAlignment="1">
      <alignment horizontal="center" vertical="center"/>
    </xf>
    <xf numFmtId="0" fontId="17" fillId="0" borderId="172" xfId="65" applyNumberFormat="1" applyFont="1" applyBorder="1" applyAlignment="1">
      <alignment horizontal="left" vertical="center"/>
    </xf>
    <xf numFmtId="172" fontId="17" fillId="0" borderId="172" xfId="65" applyFont="1" applyBorder="1" applyAlignment="1">
      <alignment horizontal="left" vertical="center" wrapText="1"/>
    </xf>
    <xf numFmtId="175" fontId="69" fillId="0" borderId="172" xfId="65" applyNumberFormat="1" applyFont="1" applyBorder="1" applyAlignment="1">
      <alignment horizontal="center" vertical="center" wrapText="1"/>
    </xf>
    <xf numFmtId="175" fontId="17" fillId="0" borderId="172" xfId="65" applyNumberFormat="1" applyFont="1" applyBorder="1" applyAlignment="1">
      <alignment horizontal="center" vertical="center" wrapText="1"/>
    </xf>
    <xf numFmtId="172" fontId="69" fillId="0" borderId="172" xfId="65" applyFont="1" applyBorder="1" applyAlignment="1">
      <alignment horizontal="left" vertical="center" wrapText="1"/>
    </xf>
    <xf numFmtId="172" fontId="69" fillId="0" borderId="172" xfId="65" applyFont="1" applyBorder="1" applyAlignment="1">
      <alignment horizontal="center" vertical="center" wrapText="1"/>
    </xf>
    <xf numFmtId="0" fontId="67" fillId="0" borderId="172" xfId="65" applyNumberFormat="1" applyFont="1" applyBorder="1" applyAlignment="1">
      <alignment horizontal="center" vertical="center"/>
    </xf>
    <xf numFmtId="171" fontId="67" fillId="0" borderId="172" xfId="16" applyNumberFormat="1" applyFont="1" applyFill="1" applyBorder="1" applyAlignment="1">
      <alignment horizontal="center" vertical="center"/>
    </xf>
    <xf numFmtId="171" fontId="69" fillId="0" borderId="172" xfId="16" applyNumberFormat="1" applyFont="1" applyFill="1" applyBorder="1" applyAlignment="1">
      <alignment horizontal="center" vertical="center"/>
    </xf>
    <xf numFmtId="172" fontId="67" fillId="0" borderId="172" xfId="65" applyFont="1" applyBorder="1" applyAlignment="1">
      <alignment horizontal="center" vertical="center" wrapText="1"/>
    </xf>
    <xf numFmtId="172" fontId="67" fillId="0" borderId="172" xfId="65" applyFont="1" applyBorder="1" applyAlignment="1">
      <alignment horizontal="center" vertical="center"/>
    </xf>
    <xf numFmtId="49" fontId="67" fillId="0" borderId="172" xfId="65" applyNumberFormat="1" applyFont="1" applyBorder="1" applyAlignment="1">
      <alignment horizontal="center" vertical="center"/>
    </xf>
    <xf numFmtId="172" fontId="67" fillId="0" borderId="172" xfId="65" quotePrefix="1" applyFont="1" applyBorder="1" applyAlignment="1">
      <alignment horizontal="center" vertical="center"/>
    </xf>
    <xf numFmtId="49" fontId="1" fillId="0" borderId="173" xfId="11" applyNumberFormat="1" applyBorder="1" applyAlignment="1">
      <alignment horizontal="left" vertical="center" wrapText="1"/>
    </xf>
    <xf numFmtId="49" fontId="38" fillId="0" borderId="170" xfId="11" applyNumberFormat="1" applyFont="1" applyBorder="1" applyAlignment="1">
      <alignment horizontal="center" vertical="center" wrapText="1"/>
    </xf>
    <xf numFmtId="49" fontId="1" fillId="0" borderId="171" xfId="11" applyNumberFormat="1" applyBorder="1" applyAlignment="1" applyProtection="1">
      <alignment horizontal="right" vertical="center" wrapText="1"/>
      <protection locked="0"/>
    </xf>
    <xf numFmtId="3" fontId="1" fillId="0" borderId="170" xfId="13" applyNumberFormat="1" applyFont="1" applyBorder="1" applyAlignment="1">
      <alignment horizontal="right" vertical="center" wrapText="1"/>
    </xf>
    <xf numFmtId="168" fontId="0" fillId="0" borderId="169" xfId="14" applyNumberFormat="1" applyFont="1" applyFill="1" applyBorder="1" applyAlignment="1">
      <alignment horizontal="right" vertical="center"/>
    </xf>
    <xf numFmtId="168" fontId="0" fillId="7" borderId="169" xfId="14" applyNumberFormat="1" applyFont="1" applyFill="1" applyBorder="1" applyAlignment="1">
      <alignment horizontal="right" vertical="center"/>
    </xf>
    <xf numFmtId="168" fontId="26" fillId="7" borderId="169" xfId="14" applyNumberFormat="1" applyFont="1" applyFill="1" applyBorder="1" applyAlignment="1">
      <alignment horizontal="right" vertical="center"/>
    </xf>
    <xf numFmtId="166" fontId="1" fillId="0" borderId="173" xfId="13" quotePrefix="1" applyNumberFormat="1" applyFont="1" applyBorder="1" applyAlignment="1" applyProtection="1">
      <alignment horizontal="center" vertical="center"/>
      <protection locked="0"/>
    </xf>
    <xf numFmtId="0" fontId="3" fillId="0" borderId="173" xfId="15" applyFont="1" applyBorder="1" applyAlignment="1">
      <alignment horizontal="right" vertical="center" wrapText="1"/>
    </xf>
    <xf numFmtId="0" fontId="42" fillId="0" borderId="173" xfId="13" applyNumberFormat="1" applyBorder="1" applyAlignment="1">
      <alignment horizontal="center" vertical="center"/>
    </xf>
    <xf numFmtId="49" fontId="1" fillId="0" borderId="173" xfId="13" applyNumberFormat="1" applyFont="1" applyBorder="1" applyAlignment="1">
      <alignment horizontal="left" vertical="center" wrapText="1"/>
    </xf>
    <xf numFmtId="49" fontId="38" fillId="0" borderId="173" xfId="13" applyNumberFormat="1" applyFont="1" applyBorder="1" applyAlignment="1">
      <alignment horizontal="left" vertical="center" wrapText="1"/>
    </xf>
    <xf numFmtId="166" fontId="38" fillId="0" borderId="173" xfId="13" applyNumberFormat="1" applyFont="1" applyBorder="1" applyAlignment="1">
      <alignment horizontal="right" vertical="center"/>
    </xf>
    <xf numFmtId="166" fontId="1" fillId="0" borderId="173" xfId="13" quotePrefix="1" applyNumberFormat="1" applyFont="1" applyBorder="1" applyAlignment="1" applyProtection="1">
      <alignment horizontal="center" vertical="center"/>
      <protection locked="0" hidden="1"/>
    </xf>
    <xf numFmtId="168" fontId="0" fillId="0" borderId="170" xfId="14" applyNumberFormat="1" applyFont="1" applyFill="1" applyBorder="1" applyAlignment="1">
      <alignment horizontal="right" vertical="center"/>
    </xf>
    <xf numFmtId="49" fontId="38" fillId="0" borderId="173" xfId="11" applyNumberFormat="1" applyFont="1" applyBorder="1" applyAlignment="1">
      <alignment horizontal="left" vertical="center" wrapText="1"/>
    </xf>
    <xf numFmtId="49" fontId="1" fillId="0" borderId="169" xfId="11" applyNumberFormat="1" applyBorder="1" applyAlignment="1">
      <alignment horizontal="center" vertical="center" wrapText="1"/>
    </xf>
    <xf numFmtId="166" fontId="38" fillId="0" borderId="173" xfId="11" applyNumberFormat="1" applyFont="1" applyBorder="1" applyAlignment="1">
      <alignment horizontal="right" vertical="center"/>
    </xf>
    <xf numFmtId="0" fontId="42" fillId="0" borderId="170" xfId="13" applyNumberFormat="1" applyBorder="1" applyAlignment="1">
      <alignment horizontal="center" vertical="center"/>
    </xf>
    <xf numFmtId="3" fontId="1" fillId="0" borderId="171" xfId="11" applyNumberFormat="1" applyBorder="1" applyAlignment="1">
      <alignment horizontal="right" vertical="center" wrapText="1"/>
    </xf>
    <xf numFmtId="49" fontId="1" fillId="7" borderId="169" xfId="11" applyNumberFormat="1" applyFill="1" applyBorder="1" applyAlignment="1">
      <alignment horizontal="center" vertical="center" wrapText="1"/>
    </xf>
    <xf numFmtId="49" fontId="1" fillId="0" borderId="173" xfId="11" applyNumberFormat="1" applyBorder="1" applyAlignment="1">
      <alignment vertical="center"/>
    </xf>
    <xf numFmtId="3" fontId="1" fillId="0" borderId="171" xfId="11" applyNumberFormat="1" applyBorder="1" applyAlignment="1">
      <alignment horizontal="right" vertical="center"/>
    </xf>
    <xf numFmtId="49" fontId="1" fillId="0" borderId="169" xfId="11" applyNumberFormat="1" applyBorder="1" applyAlignment="1">
      <alignment horizontal="center" vertical="center"/>
    </xf>
    <xf numFmtId="49" fontId="38" fillId="0" borderId="174" xfId="11" applyNumberFormat="1" applyFont="1" applyBorder="1" applyAlignment="1">
      <alignment vertical="center"/>
    </xf>
    <xf numFmtId="49" fontId="38" fillId="0" borderId="175" xfId="11" applyNumberFormat="1" applyFont="1" applyBorder="1" applyAlignment="1">
      <alignment vertical="center"/>
    </xf>
    <xf numFmtId="49" fontId="38" fillId="0" borderId="174" xfId="11" applyNumberFormat="1" applyFont="1" applyBorder="1" applyAlignment="1">
      <alignment horizontal="center" vertical="center"/>
    </xf>
    <xf numFmtId="49" fontId="1" fillId="0" borderId="176" xfId="11" applyNumberFormat="1" applyBorder="1" applyAlignment="1">
      <alignment horizontal="center" vertical="center"/>
    </xf>
    <xf numFmtId="166" fontId="1" fillId="0" borderId="173" xfId="11" quotePrefix="1" applyNumberFormat="1" applyBorder="1" applyAlignment="1">
      <alignment horizontal="center" vertical="center"/>
    </xf>
    <xf numFmtId="0" fontId="112" fillId="0" borderId="169" xfId="0" applyFont="1" applyBorder="1" applyAlignment="1">
      <alignment horizontal="center" vertical="top" wrapText="1"/>
    </xf>
    <xf numFmtId="0" fontId="107" fillId="8" borderId="172" xfId="0" applyFont="1" applyFill="1" applyBorder="1" applyAlignment="1">
      <alignment horizontal="left" vertical="center" wrapText="1"/>
    </xf>
    <xf numFmtId="168" fontId="107" fillId="8" borderId="172" xfId="8" applyNumberFormat="1" applyFont="1" applyFill="1" applyBorder="1" applyAlignment="1">
      <alignment horizontal="left" vertical="center" wrapText="1"/>
    </xf>
    <xf numFmtId="0" fontId="107" fillId="0" borderId="171" xfId="0" applyFont="1" applyBorder="1" applyAlignment="1">
      <alignment horizontal="left" vertical="center" wrapText="1"/>
    </xf>
    <xf numFmtId="0" fontId="24" fillId="13" borderId="169" xfId="0" applyFont="1" applyFill="1" applyBorder="1" applyAlignment="1">
      <alignment horizontal="left"/>
    </xf>
    <xf numFmtId="0" fontId="24" fillId="13" borderId="170" xfId="0" applyFont="1" applyFill="1" applyBorder="1" applyAlignment="1">
      <alignment horizontal="center"/>
    </xf>
    <xf numFmtId="0" fontId="24" fillId="13" borderId="171" xfId="0" applyFont="1" applyFill="1" applyBorder="1" applyAlignment="1">
      <alignment horizontal="center"/>
    </xf>
    <xf numFmtId="0" fontId="24" fillId="0" borderId="172" xfId="0" applyFont="1" applyBorder="1" applyAlignment="1">
      <alignment horizontal="center"/>
    </xf>
    <xf numFmtId="0" fontId="0" fillId="0" borderId="172" xfId="0" applyBorder="1" applyAlignment="1">
      <alignment horizontal="left"/>
    </xf>
    <xf numFmtId="166" fontId="0" fillId="7" borderId="176" xfId="9" applyFont="1" applyFill="1" applyBorder="1"/>
    <xf numFmtId="11" fontId="24" fillId="13" borderId="169" xfId="0" applyNumberFormat="1" applyFont="1" applyFill="1" applyBorder="1" applyAlignment="1">
      <alignment horizontal="left"/>
    </xf>
    <xf numFmtId="0" fontId="24" fillId="13" borderId="170" xfId="0" applyFont="1" applyFill="1" applyBorder="1" applyAlignment="1">
      <alignment horizontal="left"/>
    </xf>
    <xf numFmtId="0" fontId="24" fillId="13" borderId="171" xfId="0" applyFont="1" applyFill="1" applyBorder="1" applyAlignment="1">
      <alignment horizontal="left"/>
    </xf>
    <xf numFmtId="0" fontId="24" fillId="44" borderId="169" xfId="0" applyFont="1" applyFill="1" applyBorder="1" applyAlignment="1">
      <alignment wrapText="1"/>
    </xf>
    <xf numFmtId="0" fontId="0" fillId="45" borderId="169" xfId="0" applyFill="1" applyBorder="1" applyAlignment="1">
      <alignment horizontal="left" vertical="center" wrapText="1"/>
    </xf>
    <xf numFmtId="0" fontId="26" fillId="0" borderId="2" xfId="0" applyFont="1" applyFill="1" applyBorder="1" applyAlignment="1">
      <alignment wrapText="1"/>
    </xf>
    <xf numFmtId="0" fontId="26" fillId="0" borderId="0" xfId="0" applyFont="1" applyFill="1"/>
    <xf numFmtId="0" fontId="0" fillId="0" borderId="0" xfId="0" applyFill="1"/>
    <xf numFmtId="0" fontId="26" fillId="0" borderId="0" xfId="0" applyFont="1" applyAlignment="1"/>
    <xf numFmtId="0" fontId="24" fillId="0" borderId="0" xfId="0" applyFont="1" applyAlignment="1">
      <alignment horizontal="center"/>
    </xf>
    <xf numFmtId="0" fontId="76" fillId="0" borderId="91" xfId="0" applyFont="1" applyBorder="1"/>
    <xf numFmtId="0" fontId="0" fillId="0" borderId="177" xfId="0" applyBorder="1"/>
    <xf numFmtId="0" fontId="26" fillId="0" borderId="177" xfId="0" applyFont="1" applyBorder="1"/>
    <xf numFmtId="0" fontId="0" fillId="0" borderId="177" xfId="0" applyBorder="1" applyAlignment="1">
      <alignment wrapText="1"/>
    </xf>
    <xf numFmtId="0" fontId="132" fillId="0" borderId="9" xfId="0" applyFont="1" applyBorder="1" applyAlignment="1">
      <alignment vertical="center"/>
    </xf>
    <xf numFmtId="38" fontId="26" fillId="0" borderId="89" xfId="0" applyNumberFormat="1" applyFont="1" applyBorder="1"/>
    <xf numFmtId="6" fontId="52" fillId="0" borderId="89" xfId="0" applyNumberFormat="1" applyFont="1" applyBorder="1"/>
    <xf numFmtId="6" fontId="26" fillId="0" borderId="89" xfId="0" applyNumberFormat="1" applyFont="1" applyBorder="1" applyAlignment="1">
      <alignment horizontal="right"/>
    </xf>
    <xf numFmtId="6" fontId="26" fillId="0" borderId="174" xfId="9" applyNumberFormat="1" applyFont="1" applyFill="1" applyBorder="1"/>
    <xf numFmtId="6" fontId="26" fillId="0" borderId="89" xfId="9" applyNumberFormat="1" applyFont="1" applyFill="1" applyBorder="1"/>
    <xf numFmtId="6" fontId="26" fillId="0" borderId="89" xfId="0" applyNumberFormat="1" applyFont="1" applyBorder="1"/>
    <xf numFmtId="6" fontId="138" fillId="0" borderId="77" xfId="0" applyNumberFormat="1" applyFont="1" applyBorder="1" applyAlignment="1">
      <alignment vertical="center"/>
    </xf>
    <xf numFmtId="6" fontId="26" fillId="0" borderId="96" xfId="0" applyNumberFormat="1" applyFont="1" applyBorder="1" applyAlignment="1">
      <alignment vertical="center"/>
    </xf>
    <xf numFmtId="6" fontId="24" fillId="0" borderId="89" xfId="0" applyNumberFormat="1" applyFont="1" applyBorder="1"/>
    <xf numFmtId="6" fontId="24" fillId="0" borderId="40" xfId="0" applyNumberFormat="1" applyFont="1" applyBorder="1"/>
    <xf numFmtId="6" fontId="0" fillId="0" borderId="89" xfId="0" applyNumberFormat="1" applyBorder="1" applyAlignment="1">
      <alignment horizontal="right"/>
    </xf>
    <xf numFmtId="6" fontId="0" fillId="0" borderId="40" xfId="0" applyNumberFormat="1" applyBorder="1" applyAlignment="1">
      <alignment horizontal="right"/>
    </xf>
    <xf numFmtId="6" fontId="0" fillId="0" borderId="174" xfId="9" applyNumberFormat="1" applyFont="1" applyFill="1" applyBorder="1"/>
    <xf numFmtId="6" fontId="0" fillId="0" borderId="175" xfId="9" applyNumberFormat="1" applyFont="1" applyFill="1" applyBorder="1"/>
    <xf numFmtId="6" fontId="26" fillId="0" borderId="175" xfId="9" applyNumberFormat="1" applyFont="1" applyFill="1" applyBorder="1"/>
    <xf numFmtId="6" fontId="34" fillId="11" borderId="89" xfId="9" applyNumberFormat="1" applyFont="1" applyFill="1" applyBorder="1"/>
    <xf numFmtId="6" fontId="34" fillId="11" borderId="40" xfId="9" applyNumberFormat="1" applyFont="1" applyFill="1" applyBorder="1"/>
    <xf numFmtId="6" fontId="26" fillId="11" borderId="40" xfId="9" applyNumberFormat="1" applyFont="1" applyFill="1" applyBorder="1"/>
    <xf numFmtId="6" fontId="0" fillId="11" borderId="40" xfId="9" applyNumberFormat="1" applyFont="1" applyFill="1" applyBorder="1"/>
    <xf numFmtId="6" fontId="0" fillId="11" borderId="89" xfId="9" applyNumberFormat="1" applyFont="1" applyFill="1" applyBorder="1"/>
    <xf numFmtId="6" fontId="0" fillId="11" borderId="174" xfId="9" applyNumberFormat="1" applyFont="1" applyFill="1" applyBorder="1"/>
    <xf numFmtId="6" fontId="0" fillId="11" borderId="175" xfId="9" applyNumberFormat="1" applyFont="1" applyFill="1" applyBorder="1"/>
    <xf numFmtId="6" fontId="26" fillId="11" borderId="175" xfId="9" applyNumberFormat="1" applyFont="1" applyFill="1" applyBorder="1"/>
    <xf numFmtId="6" fontId="34" fillId="11" borderId="174" xfId="9" applyNumberFormat="1" applyFont="1" applyFill="1" applyBorder="1"/>
    <xf numFmtId="6" fontId="26" fillId="11" borderId="174" xfId="9" applyNumberFormat="1" applyFont="1" applyFill="1" applyBorder="1"/>
    <xf numFmtId="6" fontId="26" fillId="11" borderId="89" xfId="9" applyNumberFormat="1" applyFont="1" applyFill="1" applyBorder="1"/>
    <xf numFmtId="6" fontId="0" fillId="0" borderId="89" xfId="9" applyNumberFormat="1" applyFont="1" applyFill="1" applyBorder="1"/>
    <xf numFmtId="6" fontId="0" fillId="0" borderId="40" xfId="9" applyNumberFormat="1" applyFont="1" applyFill="1" applyBorder="1"/>
    <xf numFmtId="6" fontId="26" fillId="0" borderId="40" xfId="9" applyNumberFormat="1" applyFont="1" applyFill="1" applyBorder="1"/>
    <xf numFmtId="6" fontId="34" fillId="11" borderId="81" xfId="9" applyNumberFormat="1" applyFont="1" applyFill="1" applyBorder="1"/>
    <xf numFmtId="6" fontId="0" fillId="0" borderId="89" xfId="0" applyNumberFormat="1" applyBorder="1"/>
    <xf numFmtId="6" fontId="0" fillId="0" borderId="40" xfId="0" applyNumberFormat="1" applyBorder="1"/>
    <xf numFmtId="6" fontId="0" fillId="0" borderId="77" xfId="0" applyNumberFormat="1" applyBorder="1"/>
    <xf numFmtId="6" fontId="0" fillId="0" borderId="39" xfId="0" applyNumberFormat="1" applyBorder="1"/>
    <xf numFmtId="6" fontId="132" fillId="0" borderId="77" xfId="0" applyNumberFormat="1" applyFont="1" applyBorder="1" applyAlignment="1">
      <alignment vertical="center"/>
    </xf>
    <xf numFmtId="6" fontId="0" fillId="0" borderId="96" xfId="0" applyNumberFormat="1" applyBorder="1" applyAlignment="1">
      <alignment vertical="center"/>
    </xf>
    <xf numFmtId="0" fontId="0" fillId="0" borderId="0" xfId="0" applyBorder="1"/>
    <xf numFmtId="0" fontId="0" fillId="0" borderId="0" xfId="0" applyBorder="1" applyAlignment="1">
      <alignment wrapText="1"/>
    </xf>
    <xf numFmtId="6" fontId="0" fillId="0" borderId="40" xfId="0" applyNumberFormat="1" applyBorder="1" applyAlignment="1">
      <alignment vertical="center"/>
    </xf>
    <xf numFmtId="6" fontId="26" fillId="0" borderId="40" xfId="8" applyNumberFormat="1" applyFont="1" applyFill="1" applyBorder="1"/>
    <xf numFmtId="6" fontId="26" fillId="0" borderId="40" xfId="0" applyNumberFormat="1" applyFont="1" applyBorder="1"/>
    <xf numFmtId="6" fontId="26" fillId="0" borderId="76" xfId="0" applyNumberFormat="1" applyFont="1" applyBorder="1"/>
    <xf numFmtId="6" fontId="0" fillId="0" borderId="89" xfId="0" applyNumberFormat="1" applyBorder="1" applyAlignment="1">
      <alignment vertical="center"/>
    </xf>
    <xf numFmtId="6" fontId="26" fillId="0" borderId="95" xfId="0" applyNumberFormat="1" applyFont="1" applyBorder="1"/>
    <xf numFmtId="6" fontId="0" fillId="0" borderId="2" xfId="9" applyNumberFormat="1" applyFont="1" applyFill="1" applyBorder="1"/>
    <xf numFmtId="6" fontId="0" fillId="0" borderId="2" xfId="0" applyNumberFormat="1" applyBorder="1"/>
    <xf numFmtId="6" fontId="24" fillId="0" borderId="93" xfId="0" applyNumberFormat="1" applyFont="1" applyBorder="1"/>
    <xf numFmtId="6" fontId="24" fillId="0" borderId="95" xfId="0" applyNumberFormat="1" applyFont="1" applyBorder="1"/>
    <xf numFmtId="6" fontId="24" fillId="0" borderId="76" xfId="0" applyNumberFormat="1" applyFont="1" applyBorder="1"/>
    <xf numFmtId="187" fontId="0" fillId="0" borderId="40" xfId="0" applyNumberFormat="1" applyBorder="1"/>
    <xf numFmtId="184" fontId="0" fillId="0" borderId="40" xfId="9" applyNumberFormat="1" applyFont="1" applyFill="1" applyBorder="1"/>
    <xf numFmtId="184" fontId="0" fillId="0" borderId="40" xfId="0" applyNumberFormat="1" applyBorder="1"/>
    <xf numFmtId="8" fontId="0" fillId="0" borderId="2" xfId="9" applyNumberFormat="1" applyFont="1" applyFill="1" applyBorder="1"/>
    <xf numFmtId="8" fontId="0" fillId="0" borderId="89" xfId="9" applyNumberFormat="1" applyFont="1" applyFill="1" applyBorder="1"/>
    <xf numFmtId="8" fontId="0" fillId="0" borderId="40" xfId="9" applyNumberFormat="1" applyFont="1" applyFill="1" applyBorder="1"/>
    <xf numFmtId="38" fontId="0" fillId="0" borderId="40" xfId="8" applyNumberFormat="1" applyFont="1" applyFill="1" applyBorder="1"/>
    <xf numFmtId="38" fontId="0" fillId="0" borderId="89" xfId="8" applyNumberFormat="1" applyFont="1" applyFill="1" applyBorder="1"/>
    <xf numFmtId="38" fontId="0" fillId="0" borderId="40" xfId="0" applyNumberFormat="1" applyBorder="1"/>
    <xf numFmtId="38" fontId="0" fillId="0" borderId="2" xfId="0" applyNumberFormat="1" applyBorder="1"/>
    <xf numFmtId="38" fontId="0" fillId="0" borderId="89" xfId="0" applyNumberFormat="1" applyBorder="1"/>
    <xf numFmtId="6" fontId="0" fillId="0" borderId="0" xfId="0" applyNumberFormat="1"/>
    <xf numFmtId="40" fontId="0" fillId="0" borderId="2" xfId="0" applyNumberFormat="1" applyBorder="1"/>
    <xf numFmtId="40" fontId="0" fillId="0" borderId="89" xfId="0" applyNumberFormat="1" applyBorder="1"/>
    <xf numFmtId="40" fontId="0" fillId="0" borderId="40" xfId="0" applyNumberFormat="1" applyBorder="1"/>
    <xf numFmtId="6" fontId="0" fillId="0" borderId="76" xfId="9" applyNumberFormat="1" applyFont="1" applyFill="1" applyBorder="1"/>
    <xf numFmtId="6" fontId="0" fillId="0" borderId="93" xfId="9" applyNumberFormat="1" applyFont="1" applyFill="1" applyBorder="1"/>
    <xf numFmtId="38" fontId="26" fillId="0" borderId="2" xfId="0" applyNumberFormat="1" applyFont="1" applyBorder="1"/>
    <xf numFmtId="38" fontId="26" fillId="0" borderId="40" xfId="8" applyNumberFormat="1" applyFont="1" applyFill="1" applyBorder="1"/>
    <xf numFmtId="184" fontId="0" fillId="0" borderId="89" xfId="0" applyNumberFormat="1" applyBorder="1"/>
    <xf numFmtId="6" fontId="0" fillId="0" borderId="2" xfId="8" applyNumberFormat="1" applyFont="1" applyFill="1" applyBorder="1"/>
    <xf numFmtId="6" fontId="0" fillId="0" borderId="89" xfId="8" applyNumberFormat="1" applyFont="1" applyFill="1" applyBorder="1"/>
    <xf numFmtId="6" fontId="0" fillId="0" borderId="40" xfId="8" applyNumberFormat="1" applyFont="1" applyFill="1" applyBorder="1"/>
    <xf numFmtId="6" fontId="24" fillId="0" borderId="76" xfId="8" applyNumberFormat="1" applyFont="1" applyFill="1" applyBorder="1"/>
    <xf numFmtId="6" fontId="24" fillId="0" borderId="93" xfId="8" applyNumberFormat="1" applyFont="1" applyFill="1" applyBorder="1"/>
    <xf numFmtId="6" fontId="0" fillId="0" borderId="159" xfId="9" applyNumberFormat="1" applyFont="1" applyFill="1" applyBorder="1"/>
    <xf numFmtId="6" fontId="0" fillId="0" borderId="160" xfId="9" applyNumberFormat="1" applyFont="1" applyFill="1" applyBorder="1"/>
    <xf numFmtId="6" fontId="0" fillId="11" borderId="160" xfId="9" applyNumberFormat="1" applyFont="1" applyFill="1" applyBorder="1"/>
    <xf numFmtId="6" fontId="0" fillId="11" borderId="159" xfId="9" applyNumberFormat="1" applyFont="1" applyFill="1" applyBorder="1"/>
    <xf numFmtId="6" fontId="34" fillId="11" borderId="160" xfId="9" applyNumberFormat="1" applyFont="1" applyFill="1" applyBorder="1"/>
    <xf numFmtId="6" fontId="34" fillId="11" borderId="159" xfId="9" applyNumberFormat="1" applyFont="1" applyFill="1" applyBorder="1"/>
    <xf numFmtId="6" fontId="34" fillId="0" borderId="40" xfId="9" applyNumberFormat="1" applyFont="1" applyFill="1" applyBorder="1"/>
    <xf numFmtId="6" fontId="0" fillId="0" borderId="0" xfId="9" applyNumberFormat="1" applyFont="1" applyFill="1"/>
    <xf numFmtId="6" fontId="132" fillId="0" borderId="39" xfId="0" applyNumberFormat="1" applyFont="1" applyBorder="1" applyAlignment="1">
      <alignment vertical="center"/>
    </xf>
    <xf numFmtId="6" fontId="0" fillId="0" borderId="0" xfId="0" applyNumberFormat="1" applyBorder="1"/>
    <xf numFmtId="6" fontId="0" fillId="0" borderId="2" xfId="0" applyNumberFormat="1" applyBorder="1" applyAlignment="1">
      <alignment vertical="center"/>
    </xf>
    <xf numFmtId="6" fontId="0" fillId="0" borderId="0" xfId="0" applyNumberFormat="1" applyBorder="1" applyAlignment="1">
      <alignment vertical="center"/>
    </xf>
    <xf numFmtId="6" fontId="0" fillId="0" borderId="2" xfId="0" applyNumberFormat="1" applyFill="1" applyBorder="1"/>
    <xf numFmtId="6" fontId="0" fillId="0" borderId="0" xfId="0" applyNumberFormat="1" applyFill="1" applyBorder="1"/>
    <xf numFmtId="6" fontId="0" fillId="0" borderId="40" xfId="0" applyNumberFormat="1" applyFill="1" applyBorder="1"/>
    <xf numFmtId="6" fontId="26" fillId="0" borderId="0" xfId="0" applyNumberFormat="1" applyFont="1" applyBorder="1"/>
    <xf numFmtId="6" fontId="26" fillId="0" borderId="93" xfId="0" applyNumberFormat="1" applyFont="1" applyBorder="1"/>
    <xf numFmtId="6" fontId="26" fillId="0" borderId="17" xfId="0" applyNumberFormat="1" applyFont="1" applyBorder="1"/>
    <xf numFmtId="40" fontId="0" fillId="0" borderId="96" xfId="0" applyNumberFormat="1" applyBorder="1"/>
    <xf numFmtId="40" fontId="0" fillId="0" borderId="92" xfId="0" applyNumberFormat="1" applyBorder="1"/>
    <xf numFmtId="40" fontId="26" fillId="0" borderId="2" xfId="51" applyNumberFormat="1" applyFont="1" applyFill="1" applyBorder="1"/>
    <xf numFmtId="184" fontId="0" fillId="0" borderId="76" xfId="9" applyNumberFormat="1" applyFont="1" applyFill="1" applyBorder="1"/>
    <xf numFmtId="184" fontId="0" fillId="0" borderId="95" xfId="9" applyNumberFormat="1" applyFont="1" applyFill="1" applyBorder="1"/>
    <xf numFmtId="6" fontId="24" fillId="0" borderId="95" xfId="8" applyNumberFormat="1" applyFont="1" applyFill="1" applyBorder="1"/>
    <xf numFmtId="9" fontId="24" fillId="0" borderId="0" xfId="10" applyFont="1" applyAlignment="1">
      <alignment horizontal="center"/>
    </xf>
    <xf numFmtId="40" fontId="0" fillId="0" borderId="0" xfId="8" applyNumberFormat="1" applyFont="1" applyFill="1" applyAlignment="1">
      <alignment horizontal="center" vertical="center" wrapText="1"/>
    </xf>
    <xf numFmtId="40" fontId="5" fillId="0" borderId="0" xfId="8" applyNumberFormat="1" applyFont="1" applyFill="1" applyBorder="1" applyAlignment="1">
      <alignment horizontal="center" vertical="center" wrapText="1"/>
    </xf>
    <xf numFmtId="40" fontId="105" fillId="0" borderId="19" xfId="8" applyNumberFormat="1" applyFont="1" applyFill="1" applyBorder="1" applyAlignment="1">
      <alignment horizontal="center" vertical="center" wrapText="1"/>
    </xf>
    <xf numFmtId="40" fontId="105" fillId="39" borderId="19" xfId="0" applyNumberFormat="1" applyFont="1" applyFill="1" applyBorder="1" applyAlignment="1">
      <alignment horizontal="center" vertical="center" wrapText="1"/>
    </xf>
    <xf numFmtId="40" fontId="107" fillId="0" borderId="19" xfId="0" applyNumberFormat="1" applyFont="1" applyBorder="1" applyAlignment="1">
      <alignment horizontal="center" vertical="center" wrapText="1"/>
    </xf>
    <xf numFmtId="40" fontId="107" fillId="38" borderId="19" xfId="0" applyNumberFormat="1" applyFont="1" applyFill="1" applyBorder="1" applyAlignment="1">
      <alignment horizontal="center" vertical="center" wrapText="1"/>
    </xf>
    <xf numFmtId="40" fontId="108" fillId="39" borderId="19" xfId="0" applyNumberFormat="1" applyFont="1" applyFill="1" applyBorder="1" applyAlignment="1">
      <alignment horizontal="center" vertical="center" wrapText="1"/>
    </xf>
    <xf numFmtId="40" fontId="105" fillId="38" borderId="19" xfId="8" applyNumberFormat="1" applyFont="1" applyFill="1" applyBorder="1" applyAlignment="1">
      <alignment horizontal="center" vertical="center" wrapText="1"/>
    </xf>
    <xf numFmtId="40" fontId="105" fillId="39" borderId="19" xfId="8" applyNumberFormat="1" applyFont="1" applyFill="1" applyBorder="1" applyAlignment="1">
      <alignment horizontal="center" vertical="center" wrapText="1"/>
    </xf>
    <xf numFmtId="40" fontId="107" fillId="38" borderId="19" xfId="8" applyNumberFormat="1" applyFont="1" applyFill="1" applyBorder="1" applyAlignment="1">
      <alignment horizontal="center" vertical="center" wrapText="1"/>
    </xf>
    <xf numFmtId="40" fontId="0" fillId="0" borderId="0" xfId="8" applyNumberFormat="1" applyFont="1" applyFill="1" applyBorder="1" applyAlignment="1">
      <alignment horizontal="center" vertical="center" wrapText="1"/>
    </xf>
    <xf numFmtId="40" fontId="115" fillId="0" borderId="0" xfId="8" applyNumberFormat="1" applyFont="1" applyFill="1" applyAlignment="1">
      <alignment horizontal="center" vertical="center" wrapText="1"/>
    </xf>
    <xf numFmtId="40" fontId="3" fillId="0" borderId="0" xfId="0" applyNumberFormat="1" applyFont="1" applyAlignment="1">
      <alignment horizontal="center" vertical="center" wrapText="1"/>
    </xf>
    <xf numFmtId="40" fontId="0" fillId="0" borderId="0" xfId="0" applyNumberFormat="1" applyAlignment="1">
      <alignment horizontal="center" vertical="center" wrapText="1"/>
    </xf>
    <xf numFmtId="40" fontId="5" fillId="0" borderId="0" xfId="0" applyNumberFormat="1" applyFont="1" applyAlignment="1">
      <alignment horizontal="center" vertical="center" wrapText="1"/>
    </xf>
    <xf numFmtId="40" fontId="105" fillId="38" borderId="19" xfId="0" applyNumberFormat="1" applyFont="1" applyFill="1" applyBorder="1" applyAlignment="1">
      <alignment horizontal="center" vertical="center" wrapText="1"/>
    </xf>
    <xf numFmtId="40" fontId="115" fillId="0" borderId="0" xfId="0" applyNumberFormat="1" applyFont="1" applyAlignment="1">
      <alignment horizontal="center" vertical="center" wrapText="1"/>
    </xf>
    <xf numFmtId="40" fontId="115" fillId="3" borderId="0" xfId="8" applyNumberFormat="1" applyFont="1" applyFill="1" applyBorder="1" applyAlignment="1">
      <alignment horizontal="center" vertical="center" wrapText="1"/>
    </xf>
    <xf numFmtId="40" fontId="133" fillId="0" borderId="0" xfId="0" applyNumberFormat="1" applyFont="1" applyAlignment="1">
      <alignment horizontal="center" vertical="center" wrapText="1"/>
    </xf>
    <xf numFmtId="40" fontId="0" fillId="0" borderId="0" xfId="0" applyNumberFormat="1"/>
    <xf numFmtId="38" fontId="0" fillId="0" borderId="0" xfId="8" applyNumberFormat="1" applyFont="1" applyFill="1" applyAlignment="1">
      <alignment horizontal="center" vertical="center" wrapText="1"/>
    </xf>
    <xf numFmtId="38" fontId="5" fillId="0" borderId="0" xfId="8" applyNumberFormat="1" applyFont="1" applyFill="1" applyBorder="1" applyAlignment="1">
      <alignment horizontal="center" vertical="center" wrapText="1"/>
    </xf>
    <xf numFmtId="38" fontId="116" fillId="0" borderId="19" xfId="8" applyNumberFormat="1" applyFont="1" applyFill="1" applyBorder="1" applyAlignment="1">
      <alignment horizontal="center" vertical="center" textRotation="90" wrapText="1"/>
    </xf>
    <xf numFmtId="38" fontId="105" fillId="39" borderId="19" xfId="0" applyNumberFormat="1" applyFont="1" applyFill="1" applyBorder="1" applyAlignment="1">
      <alignment horizontal="center" vertical="center" wrapText="1"/>
    </xf>
    <xf numFmtId="38" fontId="107" fillId="0" borderId="19" xfId="0" applyNumberFormat="1" applyFont="1" applyBorder="1" applyAlignment="1">
      <alignment horizontal="center" vertical="center" wrapText="1"/>
    </xf>
    <xf numFmtId="38" fontId="107" fillId="38" borderId="19" xfId="0" applyNumberFormat="1" applyFont="1" applyFill="1" applyBorder="1" applyAlignment="1">
      <alignment horizontal="center" vertical="center" wrapText="1"/>
    </xf>
    <xf numFmtId="38" fontId="105" fillId="39" borderId="19" xfId="8" applyNumberFormat="1" applyFont="1" applyFill="1" applyBorder="1" applyAlignment="1">
      <alignment horizontal="center" vertical="center" wrapText="1"/>
    </xf>
    <xf numFmtId="38" fontId="107" fillId="38" borderId="19" xfId="8" applyNumberFormat="1" applyFont="1" applyFill="1" applyBorder="1" applyAlignment="1">
      <alignment horizontal="center" vertical="center" wrapText="1"/>
    </xf>
    <xf numFmtId="38" fontId="108" fillId="39" borderId="19" xfId="8" applyNumberFormat="1" applyFont="1" applyFill="1" applyBorder="1" applyAlignment="1">
      <alignment horizontal="center" vertical="center" wrapText="1"/>
    </xf>
    <xf numFmtId="38" fontId="105" fillId="38" borderId="19" xfId="8" applyNumberFormat="1" applyFont="1" applyFill="1" applyBorder="1" applyAlignment="1">
      <alignment horizontal="center" vertical="center" wrapText="1"/>
    </xf>
    <xf numFmtId="38" fontId="107" fillId="9" borderId="19" xfId="0" applyNumberFormat="1" applyFont="1" applyFill="1" applyBorder="1" applyAlignment="1">
      <alignment horizontal="center" vertical="center" wrapText="1"/>
    </xf>
    <xf numFmtId="38" fontId="0" fillId="0" borderId="0" xfId="8" applyNumberFormat="1" applyFont="1" applyFill="1" applyBorder="1" applyAlignment="1">
      <alignment horizontal="center" vertical="center" wrapText="1"/>
    </xf>
    <xf numFmtId="38" fontId="115" fillId="0" borderId="0" xfId="8" applyNumberFormat="1" applyFont="1" applyFill="1" applyAlignment="1">
      <alignment horizontal="center" vertical="center" wrapText="1"/>
    </xf>
    <xf numFmtId="9" fontId="107" fillId="0" borderId="19" xfId="10" applyFont="1" applyBorder="1" applyAlignment="1">
      <alignment horizontal="center" vertical="center" wrapText="1"/>
    </xf>
    <xf numFmtId="38" fontId="0" fillId="0" borderId="0" xfId="0" applyNumberFormat="1" applyAlignment="1">
      <alignment horizontal="center" vertical="center" wrapText="1"/>
    </xf>
    <xf numFmtId="38" fontId="5" fillId="0" borderId="0" xfId="0" applyNumberFormat="1" applyFont="1" applyAlignment="1">
      <alignment horizontal="center" vertical="center" wrapText="1"/>
    </xf>
    <xf numFmtId="38" fontId="115" fillId="0" borderId="0" xfId="8" applyNumberFormat="1" applyFont="1" applyFill="1" applyBorder="1" applyAlignment="1">
      <alignment horizontal="center" vertical="center" wrapText="1"/>
    </xf>
    <xf numFmtId="38" fontId="108" fillId="39" borderId="19" xfId="0" applyNumberFormat="1" applyFont="1" applyFill="1" applyBorder="1" applyAlignment="1">
      <alignment horizontal="center" vertical="center" wrapText="1"/>
    </xf>
    <xf numFmtId="38" fontId="105" fillId="38" borderId="19" xfId="0" applyNumberFormat="1" applyFont="1" applyFill="1" applyBorder="1" applyAlignment="1">
      <alignment horizontal="center" vertical="center" wrapText="1"/>
    </xf>
    <xf numFmtId="38" fontId="115" fillId="3" borderId="0" xfId="8" applyNumberFormat="1" applyFont="1" applyFill="1" applyBorder="1" applyAlignment="1">
      <alignment horizontal="center" vertical="center" wrapText="1"/>
    </xf>
    <xf numFmtId="38" fontId="115" fillId="0" borderId="0" xfId="0" applyNumberFormat="1" applyFont="1" applyAlignment="1">
      <alignment horizontal="center" vertical="center" wrapText="1"/>
    </xf>
    <xf numFmtId="9" fontId="0" fillId="0" borderId="0" xfId="10" applyFont="1" applyAlignment="1">
      <alignment horizontal="center" vertical="center" wrapText="1"/>
    </xf>
    <xf numFmtId="9" fontId="5" fillId="0" borderId="0" xfId="10" applyFont="1" applyAlignment="1">
      <alignment horizontal="center" vertical="center" wrapText="1"/>
    </xf>
    <xf numFmtId="9" fontId="115" fillId="0" borderId="0" xfId="10" applyFont="1" applyAlignment="1">
      <alignment horizontal="center" vertical="center" wrapText="1"/>
    </xf>
    <xf numFmtId="38" fontId="0" fillId="0" borderId="0" xfId="10" applyNumberFormat="1" applyFont="1" applyFill="1" applyAlignment="1">
      <alignment horizontal="center" vertical="center" wrapText="1"/>
    </xf>
    <xf numFmtId="38" fontId="5" fillId="0" borderId="0" xfId="10" applyNumberFormat="1" applyFont="1" applyFill="1" applyBorder="1" applyAlignment="1">
      <alignment horizontal="center" vertical="center" wrapText="1"/>
    </xf>
    <xf numFmtId="38" fontId="105" fillId="39" borderId="19" xfId="10" applyNumberFormat="1" applyFont="1" applyFill="1" applyBorder="1" applyAlignment="1">
      <alignment horizontal="center" vertical="center" wrapText="1"/>
    </xf>
    <xf numFmtId="38" fontId="107" fillId="39" borderId="19" xfId="0" applyNumberFormat="1" applyFont="1" applyFill="1" applyBorder="1" applyAlignment="1">
      <alignment horizontal="center" vertical="center" wrapText="1"/>
    </xf>
    <xf numFmtId="38" fontId="0" fillId="0" borderId="0" xfId="10" applyNumberFormat="1" applyFont="1" applyFill="1" applyBorder="1" applyAlignment="1">
      <alignment horizontal="center" vertical="center" wrapText="1"/>
    </xf>
    <xf numFmtId="38" fontId="0" fillId="0" borderId="0" xfId="0" applyNumberFormat="1" applyAlignment="1">
      <alignment horizontal="center" vertical="center"/>
    </xf>
    <xf numFmtId="38" fontId="115" fillId="0" borderId="0" xfId="10" applyNumberFormat="1" applyFont="1" applyFill="1" applyAlignment="1">
      <alignment horizontal="center" vertical="center" wrapText="1"/>
    </xf>
    <xf numFmtId="1" fontId="105" fillId="0" borderId="19" xfId="0" applyNumberFormat="1" applyFont="1" applyFill="1" applyBorder="1" applyAlignment="1">
      <alignment horizontal="center" vertical="center" textRotation="90" wrapText="1"/>
    </xf>
    <xf numFmtId="0" fontId="105" fillId="0" borderId="19" xfId="0" applyFont="1" applyFill="1" applyBorder="1" applyAlignment="1">
      <alignment horizontal="center" vertical="center" wrapText="1"/>
    </xf>
    <xf numFmtId="0" fontId="105" fillId="0" borderId="19" xfId="0" applyFont="1" applyFill="1" applyBorder="1" applyAlignment="1">
      <alignment horizontal="center" vertical="center" textRotation="90" wrapText="1"/>
    </xf>
    <xf numFmtId="3" fontId="105" fillId="0" borderId="19" xfId="0" applyNumberFormat="1" applyFont="1" applyFill="1" applyBorder="1" applyAlignment="1">
      <alignment horizontal="center" vertical="center" textRotation="90" wrapText="1"/>
    </xf>
    <xf numFmtId="40" fontId="105" fillId="0" borderId="19" xfId="0" applyNumberFormat="1" applyFont="1" applyFill="1" applyBorder="1" applyAlignment="1">
      <alignment horizontal="center" vertical="center" textRotation="90" wrapText="1"/>
    </xf>
    <xf numFmtId="38" fontId="105" fillId="0" borderId="19" xfId="0" applyNumberFormat="1" applyFont="1" applyFill="1" applyBorder="1" applyAlignment="1">
      <alignment horizontal="center" vertical="center" textRotation="90" wrapText="1"/>
    </xf>
    <xf numFmtId="0" fontId="122" fillId="0" borderId="0" xfId="0" applyFont="1" applyFill="1" applyAlignment="1">
      <alignment horizontal="center" vertical="center" wrapText="1"/>
    </xf>
    <xf numFmtId="6" fontId="52" fillId="0" borderId="89" xfId="0" applyNumberFormat="1" applyFont="1" applyFill="1" applyBorder="1"/>
    <xf numFmtId="6" fontId="26" fillId="0" borderId="89" xfId="0" applyNumberFormat="1" applyFont="1" applyFill="1" applyBorder="1"/>
    <xf numFmtId="6" fontId="26" fillId="0" borderId="77" xfId="0" applyNumberFormat="1" applyFont="1" applyFill="1" applyBorder="1"/>
    <xf numFmtId="38" fontId="0" fillId="0" borderId="40" xfId="0" applyNumberFormat="1" applyFill="1" applyBorder="1"/>
    <xf numFmtId="0" fontId="0" fillId="0" borderId="40" xfId="0" applyFill="1" applyBorder="1"/>
    <xf numFmtId="6" fontId="76" fillId="0" borderId="92" xfId="9" applyNumberFormat="1" applyFont="1" applyFill="1" applyBorder="1"/>
    <xf numFmtId="177" fontId="76" fillId="0" borderId="0" xfId="9" applyNumberFormat="1" applyFont="1" applyFill="1" applyBorder="1"/>
    <xf numFmtId="6" fontId="76" fillId="0" borderId="96" xfId="9" applyNumberFormat="1" applyFont="1" applyFill="1" applyBorder="1"/>
    <xf numFmtId="38" fontId="0" fillId="0" borderId="2" xfId="0" applyNumberFormat="1" applyFill="1" applyBorder="1"/>
    <xf numFmtId="38" fontId="0" fillId="0" borderId="89" xfId="0" applyNumberFormat="1" applyFill="1" applyBorder="1"/>
    <xf numFmtId="0" fontId="0" fillId="0" borderId="2" xfId="0" applyFill="1" applyBorder="1"/>
    <xf numFmtId="0" fontId="0" fillId="0" borderId="89" xfId="0" applyFill="1" applyBorder="1"/>
    <xf numFmtId="8" fontId="0" fillId="0" borderId="0" xfId="9" applyNumberFormat="1" applyFont="1" applyFill="1" applyBorder="1"/>
    <xf numFmtId="38" fontId="115" fillId="3" borderId="0" xfId="8" applyNumberFormat="1" applyFont="1" applyFill="1" applyAlignment="1">
      <alignment horizontal="center" vertical="center" wrapText="1"/>
    </xf>
    <xf numFmtId="6" fontId="137" fillId="0" borderId="96" xfId="9" applyNumberFormat="1" applyFont="1" applyFill="1" applyBorder="1"/>
    <xf numFmtId="6" fontId="24" fillId="0" borderId="89" xfId="0" applyNumberFormat="1" applyFont="1" applyFill="1" applyBorder="1"/>
    <xf numFmtId="6" fontId="24" fillId="0" borderId="40" xfId="0" applyNumberFormat="1" applyFont="1" applyFill="1" applyBorder="1"/>
    <xf numFmtId="178" fontId="0" fillId="0" borderId="0" xfId="8" applyNumberFormat="1" applyFont="1" applyFill="1" applyBorder="1"/>
    <xf numFmtId="38" fontId="0" fillId="0" borderId="0" xfId="0" applyNumberFormat="1" applyFill="1" applyBorder="1"/>
    <xf numFmtId="38" fontId="0" fillId="0" borderId="0" xfId="8" applyNumberFormat="1" applyFont="1" applyFill="1" applyBorder="1"/>
    <xf numFmtId="0" fontId="0" fillId="0" borderId="0" xfId="0" applyFill="1" applyBorder="1"/>
    <xf numFmtId="6" fontId="0" fillId="0" borderId="0" xfId="9" applyNumberFormat="1" applyFont="1" applyFill="1" applyBorder="1"/>
    <xf numFmtId="6" fontId="24" fillId="0" borderId="17" xfId="0" applyNumberFormat="1" applyFont="1" applyBorder="1"/>
    <xf numFmtId="40" fontId="0" fillId="0" borderId="0" xfId="0" applyNumberFormat="1" applyBorder="1"/>
    <xf numFmtId="6" fontId="0" fillId="0" borderId="17" xfId="9" applyNumberFormat="1" applyFont="1" applyFill="1" applyBorder="1"/>
    <xf numFmtId="38" fontId="26" fillId="0" borderId="0" xfId="0" applyNumberFormat="1" applyFont="1" applyBorder="1"/>
    <xf numFmtId="0" fontId="26" fillId="0" borderId="0" xfId="0" applyFont="1" applyBorder="1"/>
    <xf numFmtId="6" fontId="0" fillId="0" borderId="0" xfId="8" applyNumberFormat="1" applyFont="1" applyFill="1" applyBorder="1"/>
    <xf numFmtId="6" fontId="24" fillId="0" borderId="17" xfId="8" applyNumberFormat="1" applyFont="1" applyFill="1" applyBorder="1"/>
    <xf numFmtId="38" fontId="0" fillId="0" borderId="0" xfId="0" applyNumberFormat="1" applyBorder="1"/>
    <xf numFmtId="3" fontId="0" fillId="0" borderId="0" xfId="0" applyNumberFormat="1" applyBorder="1"/>
    <xf numFmtId="6" fontId="76" fillId="0" borderId="0" xfId="10" applyNumberFormat="1" applyFont="1" applyFill="1"/>
    <xf numFmtId="6" fontId="0" fillId="0" borderId="0" xfId="0" applyNumberFormat="1" applyFill="1"/>
    <xf numFmtId="0" fontId="0" fillId="0" borderId="159" xfId="0" applyFill="1" applyBorder="1"/>
    <xf numFmtId="0" fontId="26" fillId="0" borderId="89" xfId="0" applyFont="1" applyFill="1" applyBorder="1"/>
    <xf numFmtId="0" fontId="26" fillId="0" borderId="159" xfId="0" applyFont="1" applyFill="1" applyBorder="1"/>
    <xf numFmtId="6" fontId="76" fillId="0" borderId="91" xfId="9" applyNumberFormat="1" applyFont="1" applyFill="1" applyBorder="1"/>
    <xf numFmtId="6" fontId="76" fillId="0" borderId="75" xfId="9" applyNumberFormat="1" applyFont="1" applyFill="1" applyBorder="1"/>
    <xf numFmtId="169" fontId="0" fillId="0" borderId="0" xfId="0" applyNumberFormat="1" applyFill="1"/>
    <xf numFmtId="40" fontId="0" fillId="0" borderId="75" xfId="0" applyNumberFormat="1" applyBorder="1"/>
    <xf numFmtId="40" fontId="26" fillId="0" borderId="0" xfId="51" applyNumberFormat="1" applyFont="1" applyFill="1" applyBorder="1"/>
    <xf numFmtId="3" fontId="26" fillId="0" borderId="0" xfId="0" applyNumberFormat="1" applyFont="1" applyBorder="1"/>
    <xf numFmtId="8" fontId="0" fillId="0" borderId="2" xfId="0" applyNumberFormat="1" applyBorder="1"/>
    <xf numFmtId="8" fontId="0" fillId="0" borderId="0" xfId="0" applyNumberFormat="1" applyBorder="1"/>
    <xf numFmtId="8" fontId="0" fillId="0" borderId="40" xfId="0" applyNumberFormat="1" applyBorder="1"/>
    <xf numFmtId="0" fontId="21" fillId="0" borderId="19" xfId="0" applyFont="1" applyFill="1" applyBorder="1" applyAlignment="1">
      <alignment horizontal="center" vertical="center"/>
    </xf>
    <xf numFmtId="38" fontId="5" fillId="0" borderId="154" xfId="0" applyNumberFormat="1" applyFont="1" applyBorder="1" applyAlignment="1">
      <alignment horizontal="center" vertical="center" wrapText="1"/>
    </xf>
    <xf numFmtId="38" fontId="5" fillId="0" borderId="155" xfId="0" applyNumberFormat="1" applyFont="1" applyBorder="1" applyAlignment="1">
      <alignment horizontal="center" vertical="center" wrapText="1"/>
    </xf>
    <xf numFmtId="38" fontId="5" fillId="0" borderId="156" xfId="0" applyNumberFormat="1" applyFont="1" applyBorder="1" applyAlignment="1">
      <alignment horizontal="center" vertical="center" wrapText="1"/>
    </xf>
    <xf numFmtId="38" fontId="5" fillId="0" borderId="162" xfId="0" applyNumberFormat="1" applyFont="1" applyBorder="1" applyAlignment="1">
      <alignment horizontal="center" vertical="center" wrapText="1"/>
    </xf>
    <xf numFmtId="38" fontId="5" fillId="0" borderId="72" xfId="0" applyNumberFormat="1" applyFont="1" applyBorder="1" applyAlignment="1">
      <alignment horizontal="center" vertical="center" wrapText="1"/>
    </xf>
    <xf numFmtId="38" fontId="5" fillId="0" borderId="161" xfId="0" applyNumberFormat="1" applyFont="1" applyBorder="1" applyAlignment="1">
      <alignment horizontal="center" vertical="center" wrapText="1"/>
    </xf>
    <xf numFmtId="9" fontId="5" fillId="0" borderId="162" xfId="10" applyFont="1" applyFill="1" applyBorder="1" applyAlignment="1">
      <alignment horizontal="center" vertical="center" wrapText="1"/>
    </xf>
    <xf numFmtId="9" fontId="5" fillId="0" borderId="72" xfId="10" applyFont="1" applyFill="1" applyBorder="1" applyAlignment="1">
      <alignment horizontal="center" vertical="center" wrapText="1"/>
    </xf>
    <xf numFmtId="9" fontId="5" fillId="0" borderId="161" xfId="10" applyFont="1" applyFill="1" applyBorder="1" applyAlignment="1">
      <alignment horizontal="center" vertical="center" wrapText="1"/>
    </xf>
    <xf numFmtId="9" fontId="5" fillId="0" borderId="162" xfId="10" applyFont="1" applyBorder="1" applyAlignment="1">
      <alignment horizontal="center" vertical="center" wrapText="1"/>
    </xf>
    <xf numFmtId="9" fontId="5" fillId="0" borderId="161" xfId="10" applyFont="1" applyBorder="1" applyAlignment="1">
      <alignment horizontal="center" vertical="center" wrapText="1"/>
    </xf>
    <xf numFmtId="38" fontId="5" fillId="0" borderId="162" xfId="10" applyNumberFormat="1" applyFont="1" applyFill="1" applyBorder="1" applyAlignment="1">
      <alignment horizontal="center" vertical="center" wrapText="1"/>
    </xf>
    <xf numFmtId="38" fontId="5" fillId="0" borderId="161" xfId="10" applyNumberFormat="1" applyFont="1" applyFill="1" applyBorder="1" applyAlignment="1">
      <alignment horizontal="center" vertical="center" wrapText="1"/>
    </xf>
    <xf numFmtId="9" fontId="5" fillId="0" borderId="154" xfId="10" applyFont="1" applyFill="1" applyBorder="1" applyAlignment="1">
      <alignment horizontal="center" vertical="center" wrapText="1"/>
    </xf>
    <xf numFmtId="9" fontId="5" fillId="0" borderId="155" xfId="10" applyFont="1" applyFill="1" applyBorder="1" applyAlignment="1">
      <alignment horizontal="center" vertical="center" wrapText="1"/>
    </xf>
    <xf numFmtId="9" fontId="5" fillId="0" borderId="156" xfId="10" applyFont="1" applyFill="1" applyBorder="1" applyAlignment="1">
      <alignment horizontal="center" vertical="center" wrapText="1"/>
    </xf>
    <xf numFmtId="0" fontId="24" fillId="0" borderId="9" xfId="0" applyFont="1" applyBorder="1" applyAlignment="1">
      <alignment horizontal="center" vertical="center"/>
    </xf>
    <xf numFmtId="0" fontId="24" fillId="0" borderId="11" xfId="0" applyFont="1" applyBorder="1" applyAlignment="1">
      <alignment horizontal="center" vertical="center"/>
    </xf>
    <xf numFmtId="0" fontId="24" fillId="0" borderId="39" xfId="0" applyFont="1" applyBorder="1" applyAlignment="1">
      <alignment horizontal="center" vertical="center"/>
    </xf>
    <xf numFmtId="0" fontId="0" fillId="11" borderId="0" xfId="0" applyFill="1" applyAlignment="1">
      <alignment horizontal="center" vertical="center" textRotation="90" wrapText="1"/>
    </xf>
    <xf numFmtId="0" fontId="36" fillId="0" borderId="128" xfId="0" applyFont="1" applyBorder="1" applyAlignment="1">
      <alignment horizontal="center" vertical="center" textRotation="90" wrapText="1"/>
    </xf>
    <xf numFmtId="0" fontId="36" fillId="0" borderId="117" xfId="0" applyFont="1" applyBorder="1" applyAlignment="1">
      <alignment horizontal="center" vertical="center" textRotation="90" wrapText="1"/>
    </xf>
    <xf numFmtId="0" fontId="36" fillId="0" borderId="129" xfId="0" applyFont="1" applyBorder="1" applyAlignment="1">
      <alignment horizontal="center" vertical="center" textRotation="90" wrapText="1"/>
    </xf>
    <xf numFmtId="0" fontId="0" fillId="0" borderId="83" xfId="0" applyBorder="1" applyAlignment="1">
      <alignment horizontal="center" vertical="center" textRotation="90" wrapText="1"/>
    </xf>
    <xf numFmtId="0" fontId="0" fillId="0" borderId="66" xfId="0" applyBorder="1" applyAlignment="1">
      <alignment horizontal="center" vertical="center" textRotation="90" wrapText="1"/>
    </xf>
    <xf numFmtId="0" fontId="0" fillId="0" borderId="68" xfId="0" applyBorder="1" applyAlignment="1">
      <alignment horizontal="center" vertical="center" textRotation="90" wrapText="1"/>
    </xf>
    <xf numFmtId="0" fontId="0" fillId="0" borderId="143" xfId="0" applyBorder="1" applyAlignment="1">
      <alignment horizontal="center" vertical="center" textRotation="90" wrapText="1"/>
    </xf>
    <xf numFmtId="0" fontId="0" fillId="0" borderId="80" xfId="0" applyBorder="1" applyAlignment="1">
      <alignment horizontal="center" vertical="center" textRotation="90" wrapText="1"/>
    </xf>
    <xf numFmtId="0" fontId="0" fillId="0" borderId="163" xfId="0" applyBorder="1" applyAlignment="1">
      <alignment horizontal="center" vertical="center" textRotation="90" wrapText="1"/>
    </xf>
    <xf numFmtId="0" fontId="0" fillId="0" borderId="85" xfId="0" applyBorder="1" applyAlignment="1">
      <alignment horizontal="center" vertical="center" textRotation="90" wrapText="1"/>
    </xf>
    <xf numFmtId="0" fontId="0" fillId="0" borderId="128" xfId="0" applyBorder="1" applyAlignment="1">
      <alignment horizontal="center" vertical="center" textRotation="90" wrapText="1"/>
    </xf>
    <xf numFmtId="0" fontId="0" fillId="0" borderId="117" xfId="0" applyBorder="1" applyAlignment="1">
      <alignment horizontal="center" vertical="center" textRotation="90" wrapText="1"/>
    </xf>
    <xf numFmtId="0" fontId="0" fillId="0" borderId="129" xfId="0" applyBorder="1" applyAlignment="1">
      <alignment horizontal="center" vertical="center" textRotation="90" wrapText="1"/>
    </xf>
    <xf numFmtId="171" fontId="24" fillId="0" borderId="0" xfId="67" applyNumberFormat="1" applyFont="1" applyBorder="1" applyAlignment="1">
      <alignment horizontal="center" vertical="top" wrapText="1"/>
    </xf>
    <xf numFmtId="0" fontId="24" fillId="0" borderId="0" xfId="0" applyFont="1" applyAlignment="1">
      <alignment horizontal="center" vertical="top" wrapText="1"/>
    </xf>
    <xf numFmtId="0" fontId="26" fillId="0" borderId="0" xfId="0" applyFont="1" applyAlignment="1">
      <alignment horizontal="left" wrapText="1"/>
    </xf>
    <xf numFmtId="0" fontId="0" fillId="0" borderId="0" xfId="0" applyAlignment="1">
      <alignment horizontal="left"/>
    </xf>
    <xf numFmtId="0" fontId="0" fillId="0" borderId="0" xfId="0" applyAlignment="1">
      <alignment horizontal="left" wrapText="1"/>
    </xf>
    <xf numFmtId="44" fontId="0" fillId="0" borderId="0" xfId="0" applyNumberFormat="1" applyAlignment="1">
      <alignment horizontal="center"/>
    </xf>
    <xf numFmtId="0" fontId="26" fillId="0" borderId="0" xfId="0" applyFont="1" applyAlignment="1">
      <alignment horizontal="left"/>
    </xf>
    <xf numFmtId="0" fontId="0" fillId="0" borderId="0" xfId="0" applyAlignment="1">
      <alignment horizont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42" xfId="0" applyFont="1" applyBorder="1" applyAlignment="1">
      <alignment horizontal="center" vertical="center"/>
    </xf>
    <xf numFmtId="0" fontId="14" fillId="0" borderId="17" xfId="0" applyFont="1" applyBorder="1" applyAlignment="1">
      <alignment horizontal="center" vertical="center" wrapText="1"/>
    </xf>
    <xf numFmtId="0" fontId="5" fillId="0" borderId="17" xfId="0" applyFont="1" applyBorder="1" applyAlignment="1">
      <alignment horizontal="center" vertical="center"/>
    </xf>
    <xf numFmtId="0" fontId="85" fillId="0" borderId="72" xfId="11" applyFont="1" applyBorder="1" applyAlignment="1">
      <alignment horizontal="right" vertical="center"/>
    </xf>
    <xf numFmtId="0" fontId="1" fillId="0" borderId="0" xfId="11" applyAlignment="1">
      <alignment horizontal="left" vertical="center"/>
    </xf>
    <xf numFmtId="0" fontId="1" fillId="0" borderId="142" xfId="11" applyBorder="1" applyAlignment="1">
      <alignment horizontal="left" vertical="center"/>
    </xf>
    <xf numFmtId="0" fontId="86" fillId="25" borderId="167" xfId="11" applyFont="1" applyFill="1" applyBorder="1" applyAlignment="1" applyProtection="1">
      <alignment horizontal="center" vertical="center" wrapText="1" readingOrder="1"/>
      <protection locked="0"/>
    </xf>
    <xf numFmtId="0" fontId="1" fillId="0" borderId="165" xfId="11" applyBorder="1" applyAlignment="1" applyProtection="1">
      <alignment vertical="top" wrapText="1"/>
      <protection locked="0"/>
    </xf>
    <xf numFmtId="0" fontId="1" fillId="0" borderId="166" xfId="11" applyBorder="1" applyAlignment="1" applyProtection="1">
      <alignment vertical="top" wrapText="1"/>
      <protection locked="0"/>
    </xf>
    <xf numFmtId="0" fontId="87" fillId="25" borderId="164" xfId="11" applyFont="1" applyFill="1" applyBorder="1" applyAlignment="1" applyProtection="1">
      <alignment horizontal="center" vertical="top" wrapText="1" readingOrder="1"/>
      <protection locked="0"/>
    </xf>
    <xf numFmtId="0" fontId="86" fillId="25" borderId="165" xfId="11" applyFont="1" applyFill="1" applyBorder="1" applyAlignment="1" applyProtection="1">
      <alignment horizontal="center" vertical="top" wrapText="1" readingOrder="1"/>
      <protection locked="0"/>
    </xf>
    <xf numFmtId="0" fontId="86" fillId="25" borderId="167" xfId="11" applyFont="1" applyFill="1" applyBorder="1" applyAlignment="1" applyProtection="1">
      <alignment horizontal="center" vertical="top" wrapText="1" readingOrder="1"/>
      <protection locked="0"/>
    </xf>
    <xf numFmtId="0" fontId="87" fillId="25" borderId="164" xfId="11" applyFont="1" applyFill="1" applyBorder="1" applyAlignment="1" applyProtection="1">
      <alignment horizontal="center" vertical="center" wrapText="1" readingOrder="1"/>
      <protection locked="0"/>
    </xf>
    <xf numFmtId="0" fontId="86" fillId="25" borderId="165" xfId="11" applyFont="1" applyFill="1" applyBorder="1" applyAlignment="1" applyProtection="1">
      <alignment horizontal="center" vertical="center" wrapText="1" readingOrder="1"/>
      <protection locked="0"/>
    </xf>
    <xf numFmtId="0" fontId="86" fillId="25" borderId="164" xfId="11" applyFont="1" applyFill="1" applyBorder="1" applyAlignment="1" applyProtection="1">
      <alignment horizontal="center" vertical="top" wrapText="1" readingOrder="1"/>
      <protection locked="0"/>
    </xf>
    <xf numFmtId="0" fontId="86" fillId="25" borderId="166" xfId="11" applyFont="1" applyFill="1" applyBorder="1" applyAlignment="1" applyProtection="1">
      <alignment horizontal="center" vertical="top" wrapText="1" readingOrder="1"/>
      <protection locked="0"/>
    </xf>
    <xf numFmtId="0" fontId="87" fillId="25" borderId="127" xfId="11" applyFont="1" applyFill="1" applyBorder="1" applyAlignment="1" applyProtection="1">
      <alignment horizontal="center" vertical="center" wrapText="1" readingOrder="1"/>
      <protection locked="0"/>
    </xf>
    <xf numFmtId="0" fontId="1" fillId="0" borderId="0" xfId="11" applyAlignment="1"/>
    <xf numFmtId="0" fontId="86" fillId="25" borderId="127" xfId="11" applyFont="1" applyFill="1" applyBorder="1" applyAlignment="1" applyProtection="1">
      <alignment horizontal="center" vertical="center" wrapText="1" readingOrder="1"/>
      <protection locked="0"/>
    </xf>
    <xf numFmtId="0" fontId="87" fillId="25" borderId="167" xfId="11" applyFont="1" applyFill="1" applyBorder="1" applyAlignment="1" applyProtection="1">
      <alignment horizontal="center" vertical="center" wrapText="1" readingOrder="1"/>
      <protection locked="0"/>
    </xf>
    <xf numFmtId="0" fontId="86" fillId="26" borderId="153" xfId="11" applyFont="1" applyFill="1" applyBorder="1" applyAlignment="1" applyProtection="1">
      <alignment horizontal="left" vertical="top" wrapText="1" readingOrder="1"/>
      <protection locked="0"/>
    </xf>
    <xf numFmtId="0" fontId="1" fillId="9" borderId="152" xfId="11" applyFill="1" applyBorder="1" applyAlignment="1" applyProtection="1">
      <alignment vertical="top" wrapText="1"/>
      <protection locked="0"/>
    </xf>
    <xf numFmtId="0" fontId="86" fillId="23" borderId="153" xfId="11" applyFont="1" applyFill="1" applyBorder="1" applyAlignment="1" applyProtection="1">
      <alignment horizontal="left" vertical="top" wrapText="1" readingOrder="1"/>
      <protection locked="0"/>
    </xf>
    <xf numFmtId="0" fontId="1" fillId="9" borderId="151" xfId="11" applyFill="1" applyBorder="1" applyAlignment="1" applyProtection="1">
      <alignment vertical="top" wrapText="1"/>
      <protection locked="0"/>
    </xf>
    <xf numFmtId="0" fontId="1" fillId="0" borderId="151" xfId="11" applyBorder="1" applyAlignment="1" applyProtection="1">
      <alignment vertical="top" wrapText="1"/>
      <protection locked="0"/>
    </xf>
    <xf numFmtId="0" fontId="87" fillId="24" borderId="167" xfId="11" applyFont="1" applyFill="1" applyBorder="1" applyAlignment="1" applyProtection="1">
      <alignment horizontal="center" vertical="top" wrapText="1" readingOrder="1"/>
      <protection locked="0"/>
    </xf>
    <xf numFmtId="0" fontId="86" fillId="24" borderId="167" xfId="11" applyFont="1" applyFill="1" applyBorder="1" applyAlignment="1" applyProtection="1">
      <alignment horizontal="left" vertical="top" wrapText="1" readingOrder="1"/>
      <protection locked="0"/>
    </xf>
    <xf numFmtId="0" fontId="87" fillId="26" borderId="153" xfId="11" applyFont="1" applyFill="1" applyBorder="1" applyAlignment="1" applyProtection="1">
      <alignment horizontal="center" vertical="top" wrapText="1" readingOrder="1"/>
      <protection locked="0"/>
    </xf>
    <xf numFmtId="0" fontId="87" fillId="26" borderId="167" xfId="11" applyFont="1" applyFill="1" applyBorder="1" applyAlignment="1" applyProtection="1">
      <alignment horizontal="center" vertical="top" wrapText="1" readingOrder="1"/>
      <protection locked="0"/>
    </xf>
    <xf numFmtId="0" fontId="1" fillId="9" borderId="165" xfId="11" applyFill="1" applyBorder="1" applyAlignment="1" applyProtection="1">
      <alignment vertical="top" wrapText="1"/>
      <protection locked="0"/>
    </xf>
    <xf numFmtId="0" fontId="1" fillId="9" borderId="166" xfId="11" applyFill="1" applyBorder="1" applyAlignment="1" applyProtection="1">
      <alignment vertical="top" wrapText="1"/>
      <protection locked="0"/>
    </xf>
    <xf numFmtId="0" fontId="86" fillId="26" borderId="167" xfId="11" applyFont="1" applyFill="1" applyBorder="1" applyAlignment="1" applyProtection="1">
      <alignment horizontal="left" vertical="top" wrapText="1" readingOrder="1"/>
      <protection locked="0"/>
    </xf>
    <xf numFmtId="0" fontId="86" fillId="23" borderId="167" xfId="11" applyFont="1" applyFill="1" applyBorder="1" applyAlignment="1" applyProtection="1">
      <alignment horizontal="left" vertical="top" wrapText="1" readingOrder="1"/>
      <protection locked="0"/>
    </xf>
    <xf numFmtId="0" fontId="88" fillId="24" borderId="167" xfId="11" applyFont="1" applyFill="1" applyBorder="1" applyAlignment="1" applyProtection="1">
      <alignment horizontal="left" vertical="top" wrapText="1" readingOrder="1"/>
      <protection locked="0"/>
    </xf>
    <xf numFmtId="0" fontId="88" fillId="26" borderId="167" xfId="11" applyFont="1" applyFill="1" applyBorder="1" applyAlignment="1" applyProtection="1">
      <alignment horizontal="left" vertical="top" wrapText="1" readingOrder="1"/>
      <protection locked="0"/>
    </xf>
    <xf numFmtId="0" fontId="88" fillId="23" borderId="167" xfId="11" applyFont="1" applyFill="1" applyBorder="1" applyAlignment="1" applyProtection="1">
      <alignment horizontal="left" vertical="top" wrapText="1" readingOrder="1"/>
      <protection locked="0"/>
    </xf>
    <xf numFmtId="0" fontId="86" fillId="26" borderId="164" xfId="11" applyFont="1" applyFill="1" applyBorder="1" applyAlignment="1" applyProtection="1">
      <alignment horizontal="left" vertical="top" wrapText="1" readingOrder="1"/>
      <protection locked="0"/>
    </xf>
    <xf numFmtId="0" fontId="86" fillId="26" borderId="165" xfId="11" applyFont="1" applyFill="1" applyBorder="1" applyAlignment="1" applyProtection="1">
      <alignment horizontal="left" vertical="top" wrapText="1" readingOrder="1"/>
      <protection locked="0"/>
    </xf>
    <xf numFmtId="0" fontId="86" fillId="23" borderId="165" xfId="11" applyFont="1" applyFill="1" applyBorder="1" applyAlignment="1" applyProtection="1">
      <alignment horizontal="left" vertical="top" wrapText="1" readingOrder="1"/>
      <protection locked="0"/>
    </xf>
    <xf numFmtId="0" fontId="86" fillId="26" borderId="166" xfId="11" applyFont="1" applyFill="1" applyBorder="1" applyAlignment="1" applyProtection="1">
      <alignment horizontal="left" vertical="top" wrapText="1" readingOrder="1"/>
      <protection locked="0"/>
    </xf>
    <xf numFmtId="0" fontId="1" fillId="0" borderId="43" xfId="11" applyBorder="1" applyAlignment="1">
      <alignment horizontal="center"/>
    </xf>
    <xf numFmtId="0" fontId="1" fillId="0" borderId="19" xfId="11" applyBorder="1" applyAlignment="1">
      <alignment horizontal="center"/>
    </xf>
    <xf numFmtId="0" fontId="1" fillId="0" borderId="119" xfId="11" applyBorder="1" applyAlignment="1">
      <alignment horizontal="center"/>
    </xf>
    <xf numFmtId="0" fontId="1" fillId="0" borderId="75" xfId="11" applyBorder="1" applyAlignment="1">
      <alignment horizontal="center"/>
    </xf>
    <xf numFmtId="0" fontId="1" fillId="0" borderId="118" xfId="11" applyBorder="1" applyAlignment="1">
      <alignment horizontal="center"/>
    </xf>
    <xf numFmtId="0" fontId="1" fillId="0" borderId="130" xfId="11" applyBorder="1" applyAlignment="1">
      <alignment horizontal="center"/>
    </xf>
    <xf numFmtId="0" fontId="1" fillId="0" borderId="142" xfId="11" applyBorder="1" applyAlignment="1">
      <alignment horizontal="center"/>
    </xf>
    <xf numFmtId="0" fontId="1" fillId="0" borderId="144" xfId="11" applyBorder="1" applyAlignment="1">
      <alignment horizontal="center"/>
    </xf>
    <xf numFmtId="0" fontId="1" fillId="0" borderId="83" xfId="11" applyBorder="1" applyAlignment="1">
      <alignment horizontal="center"/>
    </xf>
    <xf numFmtId="0" fontId="1" fillId="0" borderId="66" xfId="11" applyBorder="1" applyAlignment="1">
      <alignment horizontal="center"/>
    </xf>
    <xf numFmtId="0" fontId="1" fillId="0" borderId="92" xfId="11" applyBorder="1" applyAlignment="1">
      <alignment horizontal="center"/>
    </xf>
    <xf numFmtId="0" fontId="1" fillId="0" borderId="145" xfId="11" applyBorder="1" applyAlignment="1">
      <alignment horizontal="center"/>
    </xf>
    <xf numFmtId="0" fontId="38" fillId="0" borderId="85" xfId="11" applyFont="1" applyBorder="1" applyAlignment="1">
      <alignment horizontal="center" vertical="center"/>
    </xf>
    <xf numFmtId="0" fontId="38" fillId="0" borderId="63" xfId="11" applyFont="1" applyBorder="1" applyAlignment="1">
      <alignment horizontal="center" vertical="center"/>
    </xf>
    <xf numFmtId="0" fontId="38" fillId="0" borderId="121" xfId="11" applyFont="1" applyBorder="1" applyAlignment="1">
      <alignment horizontal="center" vertical="center"/>
    </xf>
    <xf numFmtId="0" fontId="1" fillId="0" borderId="19" xfId="11" applyBorder="1" applyAlignment="1">
      <alignment horizontal="center" vertical="center"/>
    </xf>
    <xf numFmtId="0" fontId="38" fillId="0" borderId="64" xfId="11" applyFont="1" applyBorder="1" applyAlignment="1">
      <alignment horizontal="center" vertical="center"/>
    </xf>
    <xf numFmtId="0" fontId="38" fillId="0" borderId="122" xfId="11" applyFont="1" applyBorder="1" applyAlignment="1">
      <alignment horizontal="center" vertical="center"/>
    </xf>
    <xf numFmtId="174" fontId="1" fillId="0" borderId="66" xfId="11" applyNumberFormat="1" applyBorder="1" applyAlignment="1">
      <alignment horizontal="center" vertical="center"/>
    </xf>
    <xf numFmtId="174" fontId="1" fillId="0" borderId="19" xfId="11" applyNumberFormat="1" applyBorder="1" applyAlignment="1">
      <alignment horizontal="center" vertical="center"/>
    </xf>
    <xf numFmtId="0" fontId="1" fillId="0" borderId="67" xfId="11" applyBorder="1" applyAlignment="1">
      <alignment horizontal="center"/>
    </xf>
    <xf numFmtId="0" fontId="38" fillId="0" borderId="64" xfId="11" applyFont="1" applyBorder="1" applyAlignment="1">
      <alignment horizontal="center"/>
    </xf>
    <xf numFmtId="0" fontId="38" fillId="0" borderId="69" xfId="11" applyFont="1" applyBorder="1" applyAlignment="1">
      <alignment horizontal="center"/>
    </xf>
    <xf numFmtId="0" fontId="1" fillId="0" borderId="125" xfId="11" applyBorder="1" applyAlignment="1">
      <alignment horizontal="center"/>
    </xf>
    <xf numFmtId="0" fontId="1" fillId="0" borderId="124" xfId="11" applyBorder="1" applyAlignment="1">
      <alignment horizontal="center"/>
    </xf>
    <xf numFmtId="0" fontId="1" fillId="0" borderId="123" xfId="11" applyBorder="1" applyAlignment="1">
      <alignment horizontal="center"/>
    </xf>
    <xf numFmtId="0" fontId="1" fillId="0" borderId="169" xfId="11" applyBorder="1" applyAlignment="1">
      <alignment horizontal="center"/>
    </xf>
    <xf numFmtId="0" fontId="1" fillId="0" borderId="170" xfId="11" applyBorder="1" applyAlignment="1">
      <alignment horizontal="center"/>
    </xf>
    <xf numFmtId="0" fontId="1" fillId="0" borderId="171" xfId="11" applyBorder="1" applyAlignment="1">
      <alignment horizontal="center"/>
    </xf>
    <xf numFmtId="0" fontId="38" fillId="0" borderId="122" xfId="11" applyFont="1" applyBorder="1" applyAlignment="1">
      <alignment horizontal="center"/>
    </xf>
    <xf numFmtId="0" fontId="38" fillId="0" borderId="63" xfId="11" applyFont="1" applyBorder="1" applyAlignment="1">
      <alignment horizontal="center"/>
    </xf>
    <xf numFmtId="0" fontId="38" fillId="0" borderId="121" xfId="11" applyFont="1" applyBorder="1" applyAlignment="1">
      <alignment horizontal="center"/>
    </xf>
    <xf numFmtId="0" fontId="1" fillId="0" borderId="169" xfId="11" applyBorder="1" applyAlignment="1">
      <alignment horizontal="center" vertical="center"/>
    </xf>
    <xf numFmtId="0" fontId="1" fillId="0" borderId="170" xfId="11" applyBorder="1" applyAlignment="1">
      <alignment horizontal="center" vertical="center"/>
    </xf>
    <xf numFmtId="0" fontId="1" fillId="0" borderId="171" xfId="11" applyBorder="1" applyAlignment="1">
      <alignment horizontal="center" vertical="center"/>
    </xf>
    <xf numFmtId="0" fontId="24" fillId="0" borderId="0" xfId="0" applyFont="1" applyAlignment="1">
      <alignment horizontal="center"/>
    </xf>
    <xf numFmtId="172" fontId="19" fillId="2" borderId="93" xfId="65" applyFont="1" applyFill="1" applyBorder="1" applyAlignment="1" applyProtection="1">
      <alignment horizontal="center" vertical="center"/>
      <protection locked="0"/>
    </xf>
    <xf numFmtId="172" fontId="19" fillId="2" borderId="76" xfId="65" applyFont="1" applyFill="1" applyBorder="1" applyAlignment="1" applyProtection="1">
      <alignment horizontal="center" vertical="center"/>
      <protection locked="0"/>
    </xf>
    <xf numFmtId="172" fontId="19" fillId="2" borderId="17" xfId="65" applyFont="1" applyFill="1" applyBorder="1" applyAlignment="1" applyProtection="1">
      <alignment horizontal="center" vertical="center"/>
      <protection locked="0"/>
    </xf>
    <xf numFmtId="172" fontId="65" fillId="0" borderId="98" xfId="65" applyFont="1" applyBorder="1" applyAlignment="1" applyProtection="1">
      <alignment horizontal="left" vertical="center"/>
      <protection locked="0"/>
    </xf>
    <xf numFmtId="172" fontId="65" fillId="0" borderId="97" xfId="65" applyFont="1" applyBorder="1" applyAlignment="1" applyProtection="1">
      <alignment horizontal="left" vertical="center"/>
      <protection locked="0"/>
    </xf>
    <xf numFmtId="172" fontId="65" fillId="0" borderId="105" xfId="65" quotePrefix="1" applyFont="1" applyBorder="1" applyAlignment="1" applyProtection="1">
      <alignment horizontal="center" vertical="center"/>
      <protection locked="0"/>
    </xf>
    <xf numFmtId="172" fontId="65" fillId="0" borderId="41" xfId="65" applyFont="1" applyBorder="1" applyAlignment="1" applyProtection="1">
      <alignment horizontal="center" vertical="center"/>
      <protection locked="0"/>
    </xf>
    <xf numFmtId="172" fontId="65" fillId="0" borderId="105" xfId="65" applyFont="1" applyBorder="1" applyAlignment="1" applyProtection="1">
      <alignment horizontal="center" vertical="center"/>
      <protection locked="0"/>
    </xf>
    <xf numFmtId="172" fontId="65" fillId="0" borderId="14" xfId="65" applyFont="1" applyBorder="1" applyAlignment="1" applyProtection="1">
      <alignment horizontal="center" vertical="center"/>
      <protection locked="0"/>
    </xf>
    <xf numFmtId="172" fontId="65" fillId="0" borderId="104" xfId="65" applyFont="1" applyBorder="1" applyAlignment="1" applyProtection="1">
      <alignment vertical="center" wrapText="1"/>
      <protection locked="0"/>
    </xf>
    <xf numFmtId="172" fontId="0" fillId="0" borderId="101" xfId="65" applyFont="1" applyBorder="1" applyAlignment="1">
      <alignment wrapText="1"/>
    </xf>
    <xf numFmtId="172" fontId="0" fillId="0" borderId="100" xfId="65" applyFont="1" applyBorder="1" applyAlignment="1">
      <alignment wrapText="1"/>
    </xf>
    <xf numFmtId="172" fontId="65" fillId="0" borderId="57" xfId="65" applyFont="1" applyBorder="1" applyAlignment="1" applyProtection="1">
      <alignment horizontal="left" vertical="center"/>
      <protection locked="0"/>
    </xf>
    <xf numFmtId="172" fontId="65" fillId="0" borderId="103" xfId="65" applyFont="1" applyBorder="1" applyAlignment="1" applyProtection="1">
      <alignment horizontal="left" vertical="center"/>
      <protection locked="0"/>
    </xf>
    <xf numFmtId="172" fontId="65" fillId="0" borderId="102" xfId="65" applyFont="1" applyBorder="1" applyAlignment="1" applyProtection="1">
      <alignment horizontal="center" vertical="center"/>
      <protection locked="0"/>
    </xf>
    <xf numFmtId="172" fontId="65" fillId="0" borderId="101" xfId="65" applyFont="1" applyBorder="1" applyAlignment="1" applyProtection="1">
      <alignment horizontal="center" vertical="center"/>
      <protection locked="0"/>
    </xf>
    <xf numFmtId="172" fontId="65" fillId="0" borderId="100" xfId="65" applyFont="1" applyBorder="1" applyAlignment="1" applyProtection="1">
      <alignment horizontal="center" vertical="center"/>
      <protection locked="0"/>
    </xf>
    <xf numFmtId="172" fontId="65" fillId="0" borderId="106" xfId="65" applyFont="1" applyBorder="1" applyAlignment="1" applyProtection="1">
      <alignment horizontal="center" vertical="center"/>
      <protection locked="0"/>
    </xf>
    <xf numFmtId="172" fontId="65" fillId="0" borderId="41" xfId="65" quotePrefix="1" applyFont="1" applyBorder="1" applyAlignment="1" applyProtection="1">
      <alignment horizontal="center" vertical="center"/>
      <protection locked="0"/>
    </xf>
    <xf numFmtId="172" fontId="65" fillId="0" borderId="105" xfId="65" applyFont="1" applyBorder="1" applyAlignment="1" applyProtection="1">
      <alignment vertical="center" wrapText="1"/>
      <protection locked="0"/>
    </xf>
    <xf numFmtId="172" fontId="0" fillId="0" borderId="14" xfId="65" applyFont="1" applyBorder="1" applyAlignment="1">
      <alignment wrapText="1"/>
    </xf>
    <xf numFmtId="172" fontId="0" fillId="0" borderId="41" xfId="65" applyFont="1" applyBorder="1" applyAlignment="1">
      <alignment wrapText="1"/>
    </xf>
    <xf numFmtId="172" fontId="65" fillId="0" borderId="109" xfId="65" applyFont="1" applyBorder="1" applyAlignment="1" applyProtection="1">
      <alignment horizontal="center" vertical="center"/>
      <protection locked="0"/>
    </xf>
    <xf numFmtId="172" fontId="65" fillId="0" borderId="108" xfId="65" applyFont="1" applyBorder="1" applyAlignment="1" applyProtection="1">
      <alignment horizontal="center" vertical="center"/>
      <protection locked="0"/>
    </xf>
    <xf numFmtId="172" fontId="65" fillId="0" borderId="107" xfId="65" applyFont="1" applyBorder="1" applyAlignment="1" applyProtection="1">
      <alignment horizontal="center" vertical="center"/>
      <protection locked="0"/>
    </xf>
    <xf numFmtId="172" fontId="17" fillId="0" borderId="105" xfId="65" applyFont="1" applyBorder="1" applyAlignment="1" applyProtection="1">
      <alignment horizontal="center" vertical="center"/>
      <protection locked="0"/>
    </xf>
    <xf numFmtId="172" fontId="17" fillId="0" borderId="41" xfId="65" applyFont="1" applyBorder="1" applyAlignment="1" applyProtection="1">
      <alignment horizontal="center" vertical="center"/>
      <protection locked="0"/>
    </xf>
    <xf numFmtId="172" fontId="17" fillId="0" borderId="105" xfId="65" applyFont="1" applyBorder="1" applyAlignment="1" applyProtection="1">
      <alignment horizontal="left" vertical="center" wrapText="1"/>
      <protection locked="0"/>
    </xf>
    <xf numFmtId="172" fontId="26" fillId="0" borderId="14" xfId="65" applyFont="1" applyBorder="1" applyAlignment="1">
      <alignment wrapText="1"/>
    </xf>
    <xf numFmtId="172" fontId="26" fillId="0" borderId="41" xfId="65" applyFont="1" applyBorder="1" applyAlignment="1">
      <alignment wrapText="1"/>
    </xf>
    <xf numFmtId="172" fontId="17" fillId="0" borderId="57" xfId="65" applyFont="1" applyBorder="1" applyAlignment="1" applyProtection="1">
      <alignment horizontal="left" vertical="center"/>
      <protection locked="0"/>
    </xf>
    <xf numFmtId="172" fontId="17" fillId="0" borderId="103" xfId="65" applyFont="1" applyBorder="1" applyAlignment="1" applyProtection="1">
      <alignment horizontal="left" vertical="center"/>
      <protection locked="0"/>
    </xf>
    <xf numFmtId="172" fontId="66" fillId="9" borderId="9" xfId="65" applyFont="1" applyFill="1" applyBorder="1" applyAlignment="1" applyProtection="1">
      <alignment vertical="center"/>
      <protection locked="0"/>
    </xf>
    <xf numFmtId="172" fontId="66" fillId="9" borderId="11" xfId="65" applyFont="1" applyFill="1" applyBorder="1" applyAlignment="1" applyProtection="1">
      <alignment vertical="center"/>
      <protection locked="0"/>
    </xf>
    <xf numFmtId="172" fontId="66" fillId="9" borderId="39" xfId="65" applyFont="1" applyFill="1" applyBorder="1" applyAlignment="1" applyProtection="1">
      <alignment vertical="center"/>
      <protection locked="0"/>
    </xf>
    <xf numFmtId="172" fontId="66" fillId="9" borderId="9" xfId="65" applyFont="1" applyFill="1" applyBorder="1" applyAlignment="1" applyProtection="1">
      <alignment horizontal="center" vertical="center"/>
      <protection locked="0"/>
    </xf>
    <xf numFmtId="172" fontId="66" fillId="9" borderId="11" xfId="65" applyFont="1" applyFill="1" applyBorder="1" applyAlignment="1" applyProtection="1">
      <alignment horizontal="center" vertical="center"/>
      <protection locked="0"/>
    </xf>
    <xf numFmtId="172" fontId="66" fillId="9" borderId="39" xfId="65" applyFont="1" applyFill="1" applyBorder="1" applyAlignment="1" applyProtection="1">
      <alignment horizontal="center" vertical="center"/>
      <protection locked="0"/>
    </xf>
    <xf numFmtId="172" fontId="65" fillId="0" borderId="111" xfId="65" applyFont="1" applyBorder="1" applyAlignment="1" applyProtection="1">
      <alignment horizontal="left" vertical="center" wrapText="1"/>
      <protection locked="0"/>
    </xf>
    <xf numFmtId="172" fontId="0" fillId="0" borderId="108" xfId="65" applyFont="1" applyBorder="1" applyAlignment="1">
      <alignment wrapText="1"/>
    </xf>
    <xf numFmtId="172" fontId="0" fillId="0" borderId="107" xfId="65" applyFont="1" applyBorder="1" applyAlignment="1">
      <alignment wrapText="1"/>
    </xf>
    <xf numFmtId="172" fontId="17" fillId="0" borderId="19" xfId="65" applyFont="1" applyBorder="1" applyAlignment="1" applyProtection="1">
      <alignment horizontal="left" vertical="center" wrapText="1"/>
      <protection locked="0"/>
    </xf>
    <xf numFmtId="172" fontId="65" fillId="0" borderId="111" xfId="65" applyFont="1" applyBorder="1" applyAlignment="1" applyProtection="1">
      <alignment horizontal="center" vertical="center"/>
      <protection locked="0"/>
    </xf>
    <xf numFmtId="172" fontId="17" fillId="0" borderId="19" xfId="65" applyFont="1" applyBorder="1" applyAlignment="1">
      <alignment horizontal="left" vertical="center" wrapText="1"/>
    </xf>
    <xf numFmtId="172" fontId="17" fillId="0" borderId="172" xfId="65" applyFont="1" applyBorder="1" applyAlignment="1">
      <alignment horizontal="left" vertical="center" wrapText="1"/>
    </xf>
    <xf numFmtId="172" fontId="17" fillId="0" borderId="113" xfId="65" applyFont="1" applyBorder="1" applyAlignment="1" applyProtection="1">
      <alignment horizontal="left" vertical="center" wrapText="1"/>
      <protection locked="0"/>
    </xf>
    <xf numFmtId="172" fontId="74" fillId="0" borderId="19" xfId="65" applyFont="1" applyBorder="1" applyAlignment="1">
      <alignment horizontal="left" vertical="center" wrapText="1"/>
    </xf>
    <xf numFmtId="172" fontId="17" fillId="0" borderId="172" xfId="65" applyFont="1" applyBorder="1" applyAlignment="1" applyProtection="1">
      <alignment horizontal="left" vertical="center" wrapText="1"/>
      <protection locked="0"/>
    </xf>
    <xf numFmtId="172" fontId="17" fillId="0" borderId="113" xfId="65" applyFont="1" applyBorder="1" applyAlignment="1">
      <alignment horizontal="left" vertical="center" wrapText="1"/>
    </xf>
    <xf numFmtId="172" fontId="17" fillId="7" borderId="19" xfId="65" applyFont="1" applyFill="1" applyBorder="1" applyAlignment="1">
      <alignment horizontal="left" vertical="center" wrapText="1"/>
    </xf>
    <xf numFmtId="172" fontId="17" fillId="0" borderId="114" xfId="65" applyFont="1" applyBorder="1" applyAlignment="1">
      <alignment horizontal="left" vertical="center" wrapText="1"/>
    </xf>
    <xf numFmtId="172" fontId="17" fillId="0" borderId="1" xfId="65" applyFont="1" applyBorder="1" applyAlignment="1" applyProtection="1">
      <alignment horizontal="left" vertical="center" wrapText="1"/>
      <protection locked="0"/>
    </xf>
    <xf numFmtId="172" fontId="17" fillId="0" borderId="1" xfId="65" applyFont="1" applyBorder="1" applyAlignment="1">
      <alignment horizontal="left" vertical="center" wrapText="1"/>
    </xf>
    <xf numFmtId="172" fontId="17" fillId="0" borderId="169" xfId="65" applyFont="1" applyBorder="1" applyAlignment="1">
      <alignment horizontal="left" vertical="center" wrapText="1"/>
    </xf>
    <xf numFmtId="172" fontId="17" fillId="0" borderId="170" xfId="65" applyFont="1" applyBorder="1" applyAlignment="1">
      <alignment horizontal="left" vertical="center" wrapText="1"/>
    </xf>
    <xf numFmtId="172" fontId="17" fillId="0" borderId="171" xfId="65" applyFont="1" applyBorder="1" applyAlignment="1">
      <alignment horizontal="left" vertical="center" wrapText="1"/>
    </xf>
    <xf numFmtId="0" fontId="5" fillId="0" borderId="142" xfId="39" applyFont="1" applyBorder="1" applyAlignment="1" applyProtection="1">
      <alignment horizontal="left" vertical="center"/>
      <protection locked="0"/>
    </xf>
    <xf numFmtId="0" fontId="65" fillId="0" borderId="142" xfId="39" applyFont="1" applyBorder="1" applyAlignment="1" applyProtection="1">
      <alignment horizontal="right" vertical="center"/>
      <protection locked="0"/>
    </xf>
    <xf numFmtId="0" fontId="65" fillId="0" borderId="0" xfId="39" applyFont="1" applyAlignment="1" applyProtection="1">
      <alignment horizontal="right" vertical="center"/>
      <protection locked="0"/>
    </xf>
    <xf numFmtId="0" fontId="84" fillId="0" borderId="72" xfId="39" applyFont="1" applyBorder="1" applyAlignment="1" applyProtection="1">
      <alignment horizontal="right"/>
      <protection locked="0"/>
    </xf>
    <xf numFmtId="0" fontId="21" fillId="0" borderId="0" xfId="39" applyFont="1" applyAlignment="1" applyProtection="1">
      <alignment horizontal="right"/>
      <protection locked="0"/>
    </xf>
    <xf numFmtId="3" fontId="24" fillId="0" borderId="91" xfId="16" applyNumberFormat="1" applyFont="1" applyFill="1" applyBorder="1" applyAlignment="1">
      <alignment horizontal="center"/>
    </xf>
    <xf numFmtId="3" fontId="24" fillId="0" borderId="92" xfId="16" applyNumberFormat="1" applyFont="1" applyFill="1" applyBorder="1" applyAlignment="1">
      <alignment horizontal="center"/>
    </xf>
    <xf numFmtId="3" fontId="24" fillId="0" borderId="91" xfId="0" applyNumberFormat="1" applyFont="1" applyBorder="1" applyAlignment="1">
      <alignment horizontal="center"/>
    </xf>
    <xf numFmtId="3" fontId="24" fillId="0" borderId="92" xfId="0" applyNumberFormat="1" applyFont="1" applyBorder="1" applyAlignment="1">
      <alignment horizontal="center"/>
    </xf>
    <xf numFmtId="0" fontId="0" fillId="0" borderId="96" xfId="0" applyBorder="1" applyAlignment="1">
      <alignment horizontal="center" vertical="center"/>
    </xf>
    <xf numFmtId="0" fontId="0" fillId="0" borderId="89" xfId="0" applyBorder="1" applyAlignment="1">
      <alignment horizontal="center" vertical="center"/>
    </xf>
    <xf numFmtId="0" fontId="0" fillId="0" borderId="91" xfId="0" applyBorder="1" applyAlignment="1">
      <alignment horizontal="center" vertical="center" wrapText="1"/>
    </xf>
    <xf numFmtId="0" fontId="0" fillId="0" borderId="2" xfId="0" applyBorder="1" applyAlignment="1">
      <alignment horizontal="center" vertical="center" wrapText="1"/>
    </xf>
    <xf numFmtId="0" fontId="0" fillId="0" borderId="75" xfId="0" applyBorder="1" applyAlignment="1">
      <alignment horizontal="center" vertical="center"/>
    </xf>
    <xf numFmtId="0" fontId="0" fillId="0" borderId="0" xfId="0" applyAlignment="1">
      <alignment horizontal="center" vertical="center"/>
    </xf>
    <xf numFmtId="0" fontId="0" fillId="0" borderId="92" xfId="0" applyBorder="1" applyAlignment="1">
      <alignment horizontal="center" vertical="center"/>
    </xf>
    <xf numFmtId="0" fontId="0" fillId="0" borderId="40" xfId="0" applyBorder="1" applyAlignment="1">
      <alignment horizontal="center" vertical="center"/>
    </xf>
    <xf numFmtId="0" fontId="24" fillId="0" borderId="91" xfId="0" applyFont="1" applyBorder="1" applyAlignment="1">
      <alignment horizontal="center" vertical="center"/>
    </xf>
    <xf numFmtId="0" fontId="24" fillId="0" borderId="92" xfId="0" applyFont="1" applyBorder="1" applyAlignment="1">
      <alignment horizontal="center" vertical="center"/>
    </xf>
    <xf numFmtId="49" fontId="38" fillId="7" borderId="9" xfId="13" applyNumberFormat="1" applyFont="1" applyFill="1" applyBorder="1" applyAlignment="1">
      <alignment horizontal="center" vertical="center" wrapText="1"/>
    </xf>
    <xf numFmtId="49" fontId="38" fillId="7" borderId="11" xfId="13" applyNumberFormat="1" applyFont="1" applyFill="1" applyBorder="1" applyAlignment="1">
      <alignment horizontal="center" vertical="center" wrapText="1"/>
    </xf>
    <xf numFmtId="0" fontId="48" fillId="0" borderId="0" xfId="11" applyFont="1" applyAlignment="1">
      <alignment horizontal="right" vertical="center"/>
    </xf>
    <xf numFmtId="0" fontId="48" fillId="0" borderId="142" xfId="11" applyFont="1" applyBorder="1" applyAlignment="1">
      <alignment horizontal="right" vertical="center"/>
    </xf>
    <xf numFmtId="0" fontId="42" fillId="7" borderId="11" xfId="13" applyNumberFormat="1" applyFill="1" applyBorder="1" applyAlignment="1">
      <alignment horizontal="center" vertical="center"/>
    </xf>
    <xf numFmtId="49" fontId="38" fillId="0" borderId="78" xfId="11" applyNumberFormat="1" applyFont="1" applyBorder="1" applyAlignment="1">
      <alignment vertical="center"/>
    </xf>
    <xf numFmtId="0" fontId="42" fillId="0" borderId="142" xfId="13" applyNumberFormat="1" applyBorder="1" applyAlignment="1">
      <alignment vertical="center"/>
    </xf>
    <xf numFmtId="0" fontId="37" fillId="0" borderId="0" xfId="11" applyFont="1" applyAlignment="1">
      <alignment vertical="center" wrapText="1"/>
    </xf>
    <xf numFmtId="49" fontId="38" fillId="0" borderId="9" xfId="11" applyNumberFormat="1" applyFont="1" applyBorder="1" applyAlignment="1">
      <alignment vertical="center"/>
    </xf>
    <xf numFmtId="0" fontId="42" fillId="0" borderId="11" xfId="13" applyNumberFormat="1" applyBorder="1" applyAlignment="1">
      <alignment vertical="center"/>
    </xf>
    <xf numFmtId="0" fontId="37" fillId="0" borderId="75" xfId="11" applyFont="1" applyBorder="1" applyAlignment="1">
      <alignment vertical="center" wrapText="1"/>
    </xf>
    <xf numFmtId="0" fontId="110" fillId="0" borderId="19" xfId="0" applyFont="1" applyBorder="1" applyAlignment="1">
      <alignment horizontal="center" vertical="top" wrapText="1"/>
    </xf>
    <xf numFmtId="0" fontId="110" fillId="0" borderId="176" xfId="0" applyFont="1" applyBorder="1" applyAlignment="1">
      <alignment horizontal="center" vertical="top" wrapText="1"/>
    </xf>
    <xf numFmtId="0" fontId="110" fillId="0" borderId="73" xfId="0" applyFont="1" applyBorder="1" applyAlignment="1">
      <alignment horizontal="center" vertical="top" wrapText="1"/>
    </xf>
    <xf numFmtId="0" fontId="110" fillId="0" borderId="130" xfId="0" applyFont="1" applyBorder="1" applyAlignment="1">
      <alignment horizontal="center" vertical="top" wrapText="1"/>
    </xf>
    <xf numFmtId="0" fontId="24" fillId="0" borderId="43" xfId="0" applyFont="1" applyBorder="1" applyAlignment="1">
      <alignment horizontal="center"/>
    </xf>
    <xf numFmtId="0" fontId="24" fillId="0" borderId="128" xfId="0" applyFont="1" applyBorder="1" applyAlignment="1">
      <alignment horizontal="center" vertical="center"/>
    </xf>
    <xf numFmtId="0" fontId="24" fillId="0" borderId="129" xfId="0" applyFont="1" applyBorder="1" applyAlignment="1">
      <alignment horizontal="center" vertical="center"/>
    </xf>
    <xf numFmtId="0" fontId="24" fillId="0" borderId="120" xfId="0" applyFont="1" applyBorder="1" applyAlignment="1">
      <alignment horizontal="center"/>
    </xf>
    <xf numFmtId="0" fontId="24" fillId="0" borderId="69" xfId="0" applyFont="1" applyBorder="1" applyAlignment="1">
      <alignment horizontal="center"/>
    </xf>
    <xf numFmtId="172" fontId="40" fillId="9" borderId="116" xfId="65" applyFont="1" applyFill="1" applyBorder="1" applyAlignment="1" applyProtection="1">
      <alignment horizontal="center" vertical="center"/>
      <protection locked="0"/>
    </xf>
    <xf numFmtId="172" fontId="76" fillId="0" borderId="1" xfId="65" applyFont="1" applyBorder="1" applyAlignment="1">
      <alignment horizontal="center" vertical="center"/>
    </xf>
    <xf numFmtId="172" fontId="40" fillId="9" borderId="91" xfId="65" applyFont="1" applyFill="1" applyBorder="1" applyAlignment="1" applyProtection="1">
      <alignment horizontal="center" textRotation="90"/>
      <protection locked="0"/>
    </xf>
    <xf numFmtId="172" fontId="40" fillId="9" borderId="2" xfId="65" applyFont="1" applyFill="1" applyBorder="1" applyAlignment="1" applyProtection="1">
      <alignment horizontal="center" textRotation="90"/>
      <protection locked="0"/>
    </xf>
    <xf numFmtId="172" fontId="40" fillId="9" borderId="119" xfId="65" applyFont="1" applyFill="1" applyBorder="1" applyAlignment="1" applyProtection="1">
      <alignment horizontal="center" vertical="center"/>
      <protection locked="0"/>
    </xf>
    <xf numFmtId="172" fontId="40" fillId="9" borderId="75" xfId="65" applyFont="1" applyFill="1" applyBorder="1" applyAlignment="1" applyProtection="1">
      <alignment horizontal="center" vertical="center"/>
      <protection locked="0"/>
    </xf>
    <xf numFmtId="172" fontId="40" fillId="9" borderId="118" xfId="65" applyFont="1" applyFill="1" applyBorder="1" applyAlignment="1" applyProtection="1">
      <alignment horizontal="center" vertical="center"/>
      <protection locked="0"/>
    </xf>
    <xf numFmtId="172" fontId="76" fillId="0" borderId="130" xfId="65" applyFont="1" applyBorder="1" applyAlignment="1">
      <alignment horizontal="center" vertical="center"/>
    </xf>
    <xf numFmtId="172" fontId="76" fillId="0" borderId="142" xfId="65" applyFont="1" applyBorder="1" applyAlignment="1">
      <alignment horizontal="center" vertical="center"/>
    </xf>
    <xf numFmtId="172" fontId="76" fillId="0" borderId="144" xfId="65" applyFont="1" applyBorder="1" applyAlignment="1">
      <alignment horizontal="center" vertical="center"/>
    </xf>
    <xf numFmtId="172" fontId="40" fillId="9" borderId="115" xfId="65" applyFont="1" applyFill="1" applyBorder="1" applyAlignment="1" applyProtection="1">
      <alignment horizontal="center" vertical="center"/>
      <protection locked="0"/>
    </xf>
    <xf numFmtId="172" fontId="76" fillId="0" borderId="71" xfId="65" applyFont="1" applyBorder="1" applyAlignment="1">
      <alignment horizontal="center"/>
    </xf>
    <xf numFmtId="172" fontId="40" fillId="9" borderId="96" xfId="65" applyFont="1" applyFill="1" applyBorder="1" applyAlignment="1" applyProtection="1">
      <alignment horizontal="center" vertical="center"/>
      <protection locked="0"/>
    </xf>
    <xf numFmtId="172" fontId="76" fillId="0" borderId="81" xfId="65" applyFont="1" applyBorder="1" applyAlignment="1">
      <alignment horizontal="center"/>
    </xf>
    <xf numFmtId="172" fontId="80" fillId="22" borderId="12" xfId="65" applyFont="1" applyFill="1" applyBorder="1" applyAlignment="1" applyProtection="1">
      <alignment horizontal="center" vertical="center"/>
      <protection locked="0"/>
    </xf>
    <xf numFmtId="172" fontId="80" fillId="22" borderId="13" xfId="65" applyFont="1" applyFill="1" applyBorder="1" applyAlignment="1" applyProtection="1">
      <alignment horizontal="center" vertical="center"/>
      <protection locked="0"/>
    </xf>
    <xf numFmtId="172" fontId="80" fillId="22" borderId="10" xfId="65" applyFont="1" applyFill="1" applyBorder="1" applyAlignment="1" applyProtection="1">
      <alignment horizontal="center" vertical="center"/>
      <protection locked="0"/>
    </xf>
    <xf numFmtId="172" fontId="80" fillId="22" borderId="38" xfId="65" applyFont="1" applyFill="1" applyBorder="1" applyAlignment="1" applyProtection="1">
      <alignment horizontal="center" vertical="center"/>
      <protection locked="0"/>
    </xf>
    <xf numFmtId="172" fontId="66" fillId="3" borderId="0" xfId="65" applyFont="1" applyFill="1" applyAlignment="1" applyProtection="1">
      <alignment horizontal="center" wrapText="1"/>
      <protection locked="0"/>
    </xf>
    <xf numFmtId="172" fontId="40" fillId="3" borderId="91" xfId="65" applyFont="1" applyFill="1" applyBorder="1" applyAlignment="1" applyProtection="1">
      <alignment horizontal="center" textRotation="90" wrapText="1"/>
      <protection locked="0"/>
    </xf>
    <xf numFmtId="172" fontId="40" fillId="3" borderId="92" xfId="65" applyFont="1" applyFill="1" applyBorder="1" applyAlignment="1" applyProtection="1">
      <alignment horizontal="center" textRotation="90" wrapText="1"/>
      <protection locked="0"/>
    </xf>
    <xf numFmtId="172" fontId="40" fillId="3" borderId="9" xfId="65" applyFont="1" applyFill="1" applyBorder="1" applyAlignment="1" applyProtection="1">
      <alignment horizontal="center" textRotation="90" wrapText="1"/>
      <protection locked="0"/>
    </xf>
    <xf numFmtId="172" fontId="40" fillId="3" borderId="11" xfId="65" applyFont="1" applyFill="1" applyBorder="1" applyAlignment="1" applyProtection="1">
      <alignment horizontal="center" textRotation="90" wrapText="1"/>
      <protection locked="0"/>
    </xf>
    <xf numFmtId="172" fontId="80" fillId="22" borderId="9" xfId="65" applyFont="1" applyFill="1" applyBorder="1" applyAlignment="1" applyProtection="1">
      <alignment horizontal="center" vertical="center"/>
      <protection locked="0"/>
    </xf>
    <xf numFmtId="172" fontId="80" fillId="22" borderId="11" xfId="65" applyFont="1" applyFill="1" applyBorder="1" applyAlignment="1" applyProtection="1">
      <alignment horizontal="center" vertical="center"/>
      <protection locked="0"/>
    </xf>
    <xf numFmtId="172" fontId="80" fillId="22" borderId="39" xfId="65" applyFont="1" applyFill="1" applyBorder="1" applyAlignment="1" applyProtection="1">
      <alignment horizontal="center" vertical="center"/>
      <protection locked="0"/>
    </xf>
    <xf numFmtId="1" fontId="80" fillId="22" borderId="12" xfId="65" applyNumberFormat="1" applyFont="1" applyFill="1" applyBorder="1" applyAlignment="1" applyProtection="1">
      <alignment horizontal="center" vertical="center"/>
      <protection locked="0"/>
    </xf>
    <xf numFmtId="1" fontId="80" fillId="22" borderId="42" xfId="65" applyNumberFormat="1" applyFont="1" applyFill="1" applyBorder="1" applyAlignment="1" applyProtection="1">
      <alignment horizontal="center" vertical="center"/>
      <protection locked="0"/>
    </xf>
    <xf numFmtId="1" fontId="80" fillId="22" borderId="13" xfId="65" applyNumberFormat="1" applyFont="1" applyFill="1" applyBorder="1" applyAlignment="1" applyProtection="1">
      <alignment horizontal="center" vertical="center"/>
      <protection locked="0"/>
    </xf>
    <xf numFmtId="1" fontId="80" fillId="22" borderId="10" xfId="65" applyNumberFormat="1" applyFont="1" applyFill="1" applyBorder="1" applyAlignment="1" applyProtection="1">
      <alignment horizontal="center" vertical="center"/>
      <protection locked="0"/>
    </xf>
    <xf numFmtId="1" fontId="80" fillId="22" borderId="38" xfId="65" applyNumberFormat="1" applyFont="1" applyFill="1" applyBorder="1" applyAlignment="1" applyProtection="1">
      <alignment horizontal="center" vertical="center"/>
      <protection locked="0"/>
    </xf>
    <xf numFmtId="0" fontId="0" fillId="0" borderId="0" xfId="0" applyAlignment="1">
      <alignment horizontal="center"/>
    </xf>
    <xf numFmtId="6" fontId="124" fillId="0" borderId="43" xfId="0" applyNumberFormat="1" applyFont="1" applyBorder="1" applyAlignment="1">
      <alignment horizontal="center" vertical="center" wrapText="1"/>
    </xf>
    <xf numFmtId="6" fontId="124" fillId="0" borderId="19" xfId="0" applyNumberFormat="1" applyFont="1" applyBorder="1" applyAlignment="1">
      <alignment horizontal="center" vertical="center" wrapText="1"/>
    </xf>
    <xf numFmtId="6" fontId="124" fillId="0" borderId="64" xfId="0" applyNumberFormat="1" applyFont="1" applyBorder="1" applyAlignment="1">
      <alignment horizontal="center" vertical="center" wrapText="1"/>
    </xf>
    <xf numFmtId="0" fontId="125" fillId="0" borderId="64" xfId="0" applyFont="1" applyBorder="1" applyAlignment="1">
      <alignment horizontal="right" vertical="center"/>
    </xf>
    <xf numFmtId="0" fontId="124" fillId="0" borderId="43" xfId="0" applyFont="1" applyBorder="1" applyAlignment="1">
      <alignment horizontal="center" vertical="center" wrapText="1"/>
    </xf>
    <xf numFmtId="0" fontId="124" fillId="0" borderId="19" xfId="0" applyFont="1" applyBorder="1" applyAlignment="1">
      <alignment horizontal="center" vertical="center"/>
    </xf>
    <xf numFmtId="0" fontId="124" fillId="0" borderId="43" xfId="0" applyFont="1" applyBorder="1" applyAlignment="1">
      <alignment horizontal="center" vertical="center"/>
    </xf>
    <xf numFmtId="0" fontId="125" fillId="0" borderId="13" xfId="0" applyFont="1" applyBorder="1" applyAlignment="1">
      <alignment horizontal="right" vertical="center"/>
    </xf>
    <xf numFmtId="0" fontId="124" fillId="0" borderId="116" xfId="0" applyFont="1" applyBorder="1" applyAlignment="1">
      <alignment horizontal="center" vertical="center" wrapText="1"/>
    </xf>
    <xf numFmtId="0" fontId="124" fillId="0" borderId="20" xfId="0" applyFont="1" applyBorder="1" applyAlignment="1">
      <alignment horizontal="center" vertical="center" wrapText="1"/>
    </xf>
    <xf numFmtId="0" fontId="124" fillId="0" borderId="1" xfId="0" applyFont="1" applyBorder="1" applyAlignment="1">
      <alignment horizontal="center" vertical="center" wrapText="1"/>
    </xf>
    <xf numFmtId="0" fontId="0" fillId="0" borderId="17" xfId="0" applyBorder="1" applyAlignment="1">
      <alignment horizontal="center"/>
    </xf>
    <xf numFmtId="0" fontId="124" fillId="0" borderId="19" xfId="0" applyFont="1" applyBorder="1" applyAlignment="1">
      <alignment horizontal="center" vertical="center" wrapText="1"/>
    </xf>
    <xf numFmtId="0" fontId="124" fillId="0" borderId="172" xfId="0" applyFont="1" applyBorder="1" applyAlignment="1">
      <alignment horizontal="center" vertical="center" wrapText="1"/>
    </xf>
    <xf numFmtId="187" fontId="24" fillId="42" borderId="91" xfId="0" applyNumberFormat="1" applyFont="1" applyFill="1" applyBorder="1" applyAlignment="1">
      <alignment horizontal="center" vertical="center" wrapText="1"/>
    </xf>
    <xf numFmtId="187" fontId="24" fillId="42" borderId="92" xfId="0" applyNumberFormat="1" applyFont="1" applyFill="1" applyBorder="1" applyAlignment="1">
      <alignment horizontal="center" vertical="center" wrapText="1"/>
    </xf>
    <xf numFmtId="0" fontId="24" fillId="0" borderId="91" xfId="0" applyFont="1" applyBorder="1" applyAlignment="1">
      <alignment horizontal="center" vertical="center" wrapText="1"/>
    </xf>
    <xf numFmtId="0" fontId="24" fillId="0" borderId="93"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17" xfId="0" applyFont="1" applyBorder="1" applyAlignment="1">
      <alignment horizontal="center" vertical="center" wrapText="1"/>
    </xf>
    <xf numFmtId="4" fontId="24" fillId="0" borderId="75" xfId="0" applyNumberFormat="1" applyFont="1" applyBorder="1" applyAlignment="1">
      <alignment horizontal="center" vertical="center"/>
    </xf>
    <xf numFmtId="4" fontId="24" fillId="0" borderId="92" xfId="0" applyNumberFormat="1" applyFont="1" applyBorder="1" applyAlignment="1">
      <alignment horizontal="center" vertical="center"/>
    </xf>
    <xf numFmtId="4" fontId="24" fillId="40" borderId="91" xfId="8" applyNumberFormat="1" applyFont="1" applyFill="1" applyBorder="1" applyAlignment="1">
      <alignment horizontal="center" vertical="center" wrapText="1"/>
    </xf>
    <xf numFmtId="4" fontId="24" fillId="40" borderId="75" xfId="8" applyNumberFormat="1" applyFont="1" applyFill="1" applyBorder="1" applyAlignment="1">
      <alignment horizontal="center" vertical="center" wrapText="1"/>
    </xf>
    <xf numFmtId="4" fontId="24" fillId="40" borderId="92" xfId="8" applyNumberFormat="1" applyFont="1" applyFill="1" applyBorder="1" applyAlignment="1">
      <alignment horizontal="center" vertical="center" wrapText="1"/>
    </xf>
    <xf numFmtId="0" fontId="24" fillId="41" borderId="91" xfId="0" applyFont="1" applyFill="1" applyBorder="1" applyAlignment="1">
      <alignment horizontal="center" wrapText="1"/>
    </xf>
    <xf numFmtId="0" fontId="24" fillId="41" borderId="75" xfId="0" applyFont="1" applyFill="1" applyBorder="1" applyAlignment="1">
      <alignment horizontal="center" wrapText="1"/>
    </xf>
    <xf numFmtId="0" fontId="24" fillId="41" borderId="92" xfId="0" applyFont="1" applyFill="1" applyBorder="1" applyAlignment="1">
      <alignment horizontal="center" wrapText="1"/>
    </xf>
    <xf numFmtId="0" fontId="24" fillId="0" borderId="142" xfId="0" applyFont="1" applyBorder="1" applyAlignment="1">
      <alignment horizontal="left"/>
    </xf>
    <xf numFmtId="0" fontId="128" fillId="12" borderId="9" xfId="0" applyFont="1" applyFill="1" applyBorder="1" applyAlignment="1">
      <alignment horizontal="center" vertical="center" wrapText="1"/>
    </xf>
    <xf numFmtId="0" fontId="128" fillId="12" borderId="11" xfId="0" applyFont="1" applyFill="1" applyBorder="1" applyAlignment="1">
      <alignment horizontal="center" vertical="center" wrapText="1"/>
    </xf>
    <xf numFmtId="0" fontId="128" fillId="12" borderId="39" xfId="0" applyFont="1" applyFill="1" applyBorder="1" applyAlignment="1">
      <alignment horizontal="center" vertical="center" wrapText="1"/>
    </xf>
    <xf numFmtId="11" fontId="24" fillId="13" borderId="169" xfId="0" applyNumberFormat="1" applyFont="1" applyFill="1" applyBorder="1" applyAlignment="1">
      <alignment horizontal="center"/>
    </xf>
    <xf numFmtId="0" fontId="24" fillId="13" borderId="170" xfId="0" applyFont="1" applyFill="1" applyBorder="1" applyAlignment="1">
      <alignment horizontal="center"/>
    </xf>
    <xf numFmtId="0" fontId="24" fillId="13" borderId="171" xfId="0" applyFont="1" applyFill="1" applyBorder="1" applyAlignment="1">
      <alignment horizontal="center"/>
    </xf>
    <xf numFmtId="11" fontId="24" fillId="13" borderId="169" xfId="0" applyNumberFormat="1" applyFont="1" applyFill="1" applyBorder="1" applyAlignment="1">
      <alignment horizontal="left"/>
    </xf>
    <xf numFmtId="0" fontId="24" fillId="13" borderId="170" xfId="0" applyFont="1" applyFill="1" applyBorder="1" applyAlignment="1">
      <alignment horizontal="left"/>
    </xf>
    <xf numFmtId="0" fontId="24" fillId="13" borderId="171" xfId="0" applyFont="1" applyFill="1" applyBorder="1" applyAlignment="1">
      <alignment horizontal="left"/>
    </xf>
    <xf numFmtId="0" fontId="0" fillId="0" borderId="19" xfId="0" applyBorder="1" applyAlignment="1">
      <alignment horizontal="center" vertical="center"/>
    </xf>
    <xf numFmtId="0" fontId="24" fillId="0" borderId="19" xfId="0" applyFont="1" applyBorder="1" applyAlignment="1">
      <alignment horizontal="center" vertical="center"/>
    </xf>
    <xf numFmtId="0" fontId="0" fillId="0" borderId="176" xfId="0" applyBorder="1" applyAlignment="1">
      <alignment horizontal="center" vertical="center" wrapText="1"/>
    </xf>
    <xf numFmtId="0" fontId="0" fillId="0" borderId="72" xfId="0" applyBorder="1" applyAlignment="1">
      <alignment horizontal="center" vertical="center" wrapText="1"/>
    </xf>
    <xf numFmtId="0" fontId="0" fillId="0" borderId="161" xfId="0" applyBorder="1" applyAlignment="1">
      <alignment horizontal="center" vertical="center" wrapText="1"/>
    </xf>
    <xf numFmtId="0" fontId="0" fillId="0" borderId="130" xfId="0" applyBorder="1" applyAlignment="1">
      <alignment horizontal="center" vertical="center" wrapText="1"/>
    </xf>
    <xf numFmtId="0" fontId="0" fillId="0" borderId="142" xfId="0" applyBorder="1" applyAlignment="1">
      <alignment horizontal="center" vertical="center" wrapText="1"/>
    </xf>
    <xf numFmtId="0" fontId="0" fillId="0" borderId="144" xfId="0" applyBorder="1" applyAlignment="1">
      <alignment horizontal="center" vertical="center" wrapText="1"/>
    </xf>
    <xf numFmtId="9" fontId="0" fillId="0" borderId="19" xfId="10" applyFont="1" applyBorder="1" applyAlignment="1">
      <alignment horizontal="left" vertical="center" wrapText="1"/>
    </xf>
    <xf numFmtId="0" fontId="24" fillId="47" borderId="83" xfId="0" applyFont="1" applyFill="1" applyBorder="1" applyAlignment="1">
      <alignment horizontal="center" vertical="center" wrapText="1"/>
    </xf>
    <xf numFmtId="0" fontId="24" fillId="47" borderId="43" xfId="0" applyFont="1" applyFill="1" applyBorder="1" applyAlignment="1">
      <alignment horizontal="center" vertical="center" wrapText="1"/>
    </xf>
    <xf numFmtId="0" fontId="24" fillId="47" borderId="120" xfId="0" applyFont="1" applyFill="1" applyBorder="1" applyAlignment="1">
      <alignment horizontal="center" vertical="center" wrapText="1"/>
    </xf>
    <xf numFmtId="0" fontId="24" fillId="31" borderId="83" xfId="0" applyFont="1" applyFill="1" applyBorder="1" applyAlignment="1">
      <alignment horizontal="center" vertical="center" wrapText="1"/>
    </xf>
    <xf numFmtId="0" fontId="24" fillId="31" borderId="43" xfId="0" applyFont="1" applyFill="1" applyBorder="1" applyAlignment="1">
      <alignment horizontal="center" vertical="center" wrapText="1"/>
    </xf>
    <xf numFmtId="0" fontId="24" fillId="31" borderId="120" xfId="0" applyFont="1" applyFill="1" applyBorder="1" applyAlignment="1">
      <alignment horizontal="center" vertical="center" wrapText="1"/>
    </xf>
    <xf numFmtId="9" fontId="0" fillId="0" borderId="19" xfId="10" applyFont="1" applyFill="1" applyBorder="1" applyAlignment="1">
      <alignment horizontal="left" vertical="center" wrapText="1"/>
    </xf>
    <xf numFmtId="0" fontId="24" fillId="44" borderId="142" xfId="0" applyFont="1" applyFill="1" applyBorder="1" applyAlignment="1">
      <alignment horizontal="center" vertical="center" wrapText="1"/>
    </xf>
    <xf numFmtId="0" fontId="24" fillId="44" borderId="144" xfId="0" applyFont="1" applyFill="1" applyBorder="1" applyAlignment="1">
      <alignment horizontal="center" vertical="center" wrapText="1"/>
    </xf>
  </cellXfs>
  <cellStyles count="82">
    <cellStyle name="Accent2 2" xfId="51" xr:uid="{00000000-0005-0000-0000-000000000000}"/>
    <cellStyle name="Accent6 2" xfId="52" xr:uid="{00000000-0005-0000-0000-000001000000}"/>
    <cellStyle name="Calculation 2" xfId="53" xr:uid="{00000000-0005-0000-0000-000002000000}"/>
    <cellStyle name="Comma" xfId="8" builtinId="3"/>
    <cellStyle name="Comma 10" xfId="77" xr:uid="{00000000-0005-0000-0000-000004000000}"/>
    <cellStyle name="Comma 11" xfId="79" xr:uid="{00000000-0005-0000-0000-000005000000}"/>
    <cellStyle name="Comma 2" xfId="16" xr:uid="{00000000-0005-0000-0000-000006000000}"/>
    <cellStyle name="Comma 2 2" xfId="14" xr:uid="{00000000-0005-0000-0000-000007000000}"/>
    <cellStyle name="Comma 2 3" xfId="54" xr:uid="{00000000-0005-0000-0000-000008000000}"/>
    <cellStyle name="Comma 3" xfId="17" xr:uid="{00000000-0005-0000-0000-000009000000}"/>
    <cellStyle name="Comma 3 2" xfId="49" xr:uid="{00000000-0005-0000-0000-00000A000000}"/>
    <cellStyle name="Comma 4" xfId="18" xr:uid="{00000000-0005-0000-0000-00000B000000}"/>
    <cellStyle name="Comma 4 2" xfId="55" xr:uid="{00000000-0005-0000-0000-00000C000000}"/>
    <cellStyle name="Comma 5" xfId="56" xr:uid="{00000000-0005-0000-0000-00000D000000}"/>
    <cellStyle name="Comma 6" xfId="67" xr:uid="{00000000-0005-0000-0000-00000E000000}"/>
    <cellStyle name="Comma 7" xfId="72" xr:uid="{00000000-0005-0000-0000-00000F000000}"/>
    <cellStyle name="Comma 8" xfId="74" xr:uid="{00000000-0005-0000-0000-000010000000}"/>
    <cellStyle name="Comma 9" xfId="76" xr:uid="{00000000-0005-0000-0000-000011000000}"/>
    <cellStyle name="Currency" xfId="9" builtinId="4"/>
    <cellStyle name="Currency 11" xfId="19" xr:uid="{00000000-0005-0000-0000-000013000000}"/>
    <cellStyle name="Currency 2" xfId="20" xr:uid="{00000000-0005-0000-0000-000014000000}"/>
    <cellStyle name="Currency 3" xfId="21" xr:uid="{00000000-0005-0000-0000-000015000000}"/>
    <cellStyle name="Currency 4" xfId="57" xr:uid="{00000000-0005-0000-0000-000016000000}"/>
    <cellStyle name="Currency 5" xfId="68" xr:uid="{00000000-0005-0000-0000-000017000000}"/>
    <cellStyle name="Currency 6" xfId="73" xr:uid="{00000000-0005-0000-0000-000018000000}"/>
    <cellStyle name="Currency 7" xfId="78" xr:uid="{00000000-0005-0000-0000-000019000000}"/>
    <cellStyle name="Currency 8" xfId="80" xr:uid="{00000000-0005-0000-0000-00001A000000}"/>
    <cellStyle name="Euro" xfId="22" xr:uid="{00000000-0005-0000-0000-00001B000000}"/>
    <cellStyle name="F2" xfId="23" xr:uid="{00000000-0005-0000-0000-00001C000000}"/>
    <cellStyle name="F3" xfId="24" xr:uid="{00000000-0005-0000-0000-00001D000000}"/>
    <cellStyle name="F4" xfId="25" xr:uid="{00000000-0005-0000-0000-00001E000000}"/>
    <cellStyle name="F5" xfId="2" xr:uid="{00000000-0005-0000-0000-00001F000000}"/>
    <cellStyle name="F5 2" xfId="3" xr:uid="{00000000-0005-0000-0000-000020000000}"/>
    <cellStyle name="F5 2 2" xfId="66" xr:uid="{00000000-0005-0000-0000-000021000000}"/>
    <cellStyle name="F6" xfId="26" xr:uid="{00000000-0005-0000-0000-000022000000}"/>
    <cellStyle name="F7" xfId="27" xr:uid="{00000000-0005-0000-0000-000023000000}"/>
    <cellStyle name="F8" xfId="28" xr:uid="{00000000-0005-0000-0000-000024000000}"/>
    <cellStyle name="Hand" xfId="29" xr:uid="{00000000-0005-0000-0000-000025000000}"/>
    <cellStyle name="Hyperlink" xfId="81" builtinId="8"/>
    <cellStyle name="Normal" xfId="0" builtinId="0"/>
    <cellStyle name="Normal 10" xfId="11" xr:uid="{00000000-0005-0000-0000-000027000000}"/>
    <cellStyle name="Normal 11" xfId="30" xr:uid="{00000000-0005-0000-0000-000028000000}"/>
    <cellStyle name="Normal 12" xfId="31" xr:uid="{00000000-0005-0000-0000-000029000000}"/>
    <cellStyle name="Normal 13" xfId="65" xr:uid="{00000000-0005-0000-0000-00002A000000}"/>
    <cellStyle name="Normal 14" xfId="70" xr:uid="{00000000-0005-0000-0000-00002B000000}"/>
    <cellStyle name="Normal 14 2" xfId="71" xr:uid="{00000000-0005-0000-0000-00002C000000}"/>
    <cellStyle name="Normal 15" xfId="75" xr:uid="{00000000-0005-0000-0000-00002D000000}"/>
    <cellStyle name="Normal 2" xfId="1" xr:uid="{00000000-0005-0000-0000-00002E000000}"/>
    <cellStyle name="Normal 2 2" xfId="5" xr:uid="{00000000-0005-0000-0000-00002F000000}"/>
    <cellStyle name="Normal 2 3" xfId="32" xr:uid="{00000000-0005-0000-0000-000030000000}"/>
    <cellStyle name="Normal 2 3 2" xfId="33" xr:uid="{00000000-0005-0000-0000-000031000000}"/>
    <cellStyle name="Normal 2 3 3" xfId="34" xr:uid="{00000000-0005-0000-0000-000032000000}"/>
    <cellStyle name="Normal 2 4" xfId="35" xr:uid="{00000000-0005-0000-0000-000033000000}"/>
    <cellStyle name="Normal 2 5" xfId="36" xr:uid="{00000000-0005-0000-0000-000034000000}"/>
    <cellStyle name="Normal 2 5 2" xfId="12" xr:uid="{00000000-0005-0000-0000-000035000000}"/>
    <cellStyle name="Normal 291" xfId="37" xr:uid="{00000000-0005-0000-0000-000036000000}"/>
    <cellStyle name="Normal 3" xfId="4" xr:uid="{00000000-0005-0000-0000-000037000000}"/>
    <cellStyle name="Normal 3 2" xfId="38" xr:uid="{00000000-0005-0000-0000-000038000000}"/>
    <cellStyle name="Normal 4" xfId="13" xr:uid="{00000000-0005-0000-0000-000039000000}"/>
    <cellStyle name="Normal 4 2" xfId="39" xr:uid="{00000000-0005-0000-0000-00003A000000}"/>
    <cellStyle name="Normal 4 2 2" xfId="40" xr:uid="{00000000-0005-0000-0000-00003B000000}"/>
    <cellStyle name="Normal 4 3" xfId="41" xr:uid="{00000000-0005-0000-0000-00003C000000}"/>
    <cellStyle name="Normal 4 4" xfId="42" xr:uid="{00000000-0005-0000-0000-00003D000000}"/>
    <cellStyle name="Normal 4 5" xfId="47" xr:uid="{00000000-0005-0000-0000-00003E000000}"/>
    <cellStyle name="Normal 5" xfId="15" xr:uid="{00000000-0005-0000-0000-00003F000000}"/>
    <cellStyle name="Normal 6" xfId="43" xr:uid="{00000000-0005-0000-0000-000040000000}"/>
    <cellStyle name="Normal 6 2" xfId="50" xr:uid="{00000000-0005-0000-0000-000041000000}"/>
    <cellStyle name="Normal 7" xfId="44" xr:uid="{00000000-0005-0000-0000-000042000000}"/>
    <cellStyle name="Normal 7 2" xfId="58" xr:uid="{00000000-0005-0000-0000-000043000000}"/>
    <cellStyle name="Normal 7 2 2" xfId="59" xr:uid="{00000000-0005-0000-0000-000044000000}"/>
    <cellStyle name="Normal 7 3" xfId="60" xr:uid="{00000000-0005-0000-0000-000045000000}"/>
    <cellStyle name="Normal 8" xfId="6" xr:uid="{00000000-0005-0000-0000-000046000000}"/>
    <cellStyle name="Normal 8 2" xfId="7" xr:uid="{00000000-0005-0000-0000-000047000000}"/>
    <cellStyle name="Normal 9" xfId="45" xr:uid="{00000000-0005-0000-0000-000048000000}"/>
    <cellStyle name="Normal 9 2" xfId="48" xr:uid="{00000000-0005-0000-0000-000049000000}"/>
    <cellStyle name="Normal 9 2 2" xfId="69" xr:uid="{00000000-0005-0000-0000-00004A000000}"/>
    <cellStyle name="Percent" xfId="10" builtinId="5"/>
    <cellStyle name="Percent 2" xfId="61" xr:uid="{00000000-0005-0000-0000-00004C000000}"/>
    <cellStyle name="Percent 3" xfId="62" xr:uid="{00000000-0005-0000-0000-00004D000000}"/>
    <cellStyle name="Percent 4" xfId="63" xr:uid="{00000000-0005-0000-0000-00004E000000}"/>
    <cellStyle name="ROWHIEGHT1" xfId="46" xr:uid="{00000000-0005-0000-0000-00004F000000}"/>
    <cellStyle name="TitleBox" xfId="64" xr:uid="{00000000-0005-0000-0000-000050000000}"/>
  </cellStyles>
  <dxfs count="506">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alignment wrapText="1" readingOrder="0"/>
    </dxf>
    <dxf>
      <alignment wrapText="1" readingOrder="0"/>
    </dxf>
    <dxf>
      <alignment wrapText="1" readingOrder="0"/>
    </dxf>
    <dxf>
      <font>
        <b val="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78" formatCode="_-* #,##0_-;\-* #,##0_-;_-* &quot;-&quot;??_-;_-@_-"/>
    </dxf>
    <dxf>
      <numFmt numFmtId="178" formatCode="_-* #,##0_-;\-* #,##0_-;_-* &quot;-&quot;??_-;_-@_-"/>
    </dxf>
    <dxf>
      <border>
        <right style="medium">
          <color indexed="64"/>
        </right>
      </border>
    </dxf>
    <dxf>
      <border>
        <top style="medium">
          <color indexed="64"/>
        </top>
      </border>
    </dxf>
    <dxf>
      <border>
        <top style="medium">
          <color indexed="64"/>
        </top>
      </border>
    </dxf>
    <dxf>
      <border>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numFmt numFmtId="184" formatCode="&quot;$&quot;#,##0"/>
    </dxf>
    <dxf>
      <alignment horizontal="general" vertical="bottom" textRotation="0" wrapText="1" indent="0" justifyLastLine="0" shrinkToFit="0" readingOrder="0"/>
    </dxf>
    <dxf>
      <alignment wrapText="1" readingOrder="0"/>
    </dxf>
    <dxf>
      <alignment wrapText="1" readingOrder="0"/>
    </dxf>
    <dxf>
      <alignment wrapText="1" readingOrder="0"/>
    </dxf>
    <dxf>
      <font>
        <b val="0"/>
      </font>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alignment wrapText="1" readingOrder="0"/>
    </dxf>
    <dxf>
      <alignment wrapText="1" readingOrder="0"/>
    </dxf>
    <dxf>
      <font>
        <b val="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78" formatCode="_-* #,##0_-;\-* #,##0_-;_-* &quot;-&quot;??_-;_-@_-"/>
    </dxf>
    <dxf>
      <numFmt numFmtId="178" formatCode="_-* #,##0_-;\-* #,##0_-;_-* &quot;-&quot;??_-;_-@_-"/>
    </dxf>
    <dxf>
      <font>
        <condense val="0"/>
        <extend val="0"/>
        <color indexed="16"/>
      </font>
    </dxf>
    <dxf>
      <font>
        <condense val="0"/>
        <extend val="0"/>
        <color indexed="16"/>
      </font>
    </dxf>
    <dxf>
      <fill>
        <patternFill patternType="none">
          <bgColor auto="1"/>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numFmt numFmtId="178" formatCode="_-* #,##0_-;\-* #,##0_-;_-* &quot;-&quot;??_-;_-@_-"/>
    </dxf>
    <dxf>
      <numFmt numFmtId="178" formatCode="_-* #,##0_-;\-* #,##0_-;_-* &quot;-&quot;??_-;_-@_-"/>
    </dxf>
    <dxf>
      <numFmt numFmtId="178" formatCode="_-* #,##0_-;\-* #,##0_-;_-* &quot;-&quot;??_-;_-@_-"/>
    </dxf>
    <dxf>
      <numFmt numFmtId="178" formatCode="_-* #,##0_-;\-* #,##0_-;_-* &quot;-&quot;??_-;_-@_-"/>
    </dxf>
    <dxf>
      <numFmt numFmtId="178" formatCode="_-* #,##0_-;\-* #,##0_-;_-* &quot;-&quot;??_-;_-@_-"/>
    </dxf>
    <dxf>
      <numFmt numFmtId="4" formatCode="#,##0.00"/>
    </dxf>
    <dxf>
      <numFmt numFmtId="167" formatCode="_-* #,##0.00_-;\-* #,##0.00_-;_-* &quot;-&quot;??_-;_-@_-"/>
    </dxf>
  </dxfs>
  <tableStyles count="0" defaultTableStyle="TableStyleMedium9" defaultPivotStyle="PivotStyleLight16"/>
  <colors>
    <mruColors>
      <color rgb="FF66FF66"/>
      <color rgb="FFFFA7A7"/>
      <color rgb="FFB2A9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pivotCacheDefinition" Target="pivotCache/pivotCacheDefinition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wmf"/></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wmf"/></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13607</xdr:rowOff>
    </xdr:from>
    <xdr:ext cx="1954983" cy="480253"/>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1954983" cy="48025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190500</xdr:colOff>
      <xdr:row>0</xdr:row>
      <xdr:rowOff>158750</xdr:rowOff>
    </xdr:from>
    <xdr:to>
      <xdr:col>2</xdr:col>
      <xdr:colOff>489462</xdr:colOff>
      <xdr:row>0</xdr:row>
      <xdr:rowOff>523875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0500" y="158750"/>
          <a:ext cx="2172212" cy="36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165100</xdr:colOff>
      <xdr:row>0</xdr:row>
      <xdr:rowOff>206375</xdr:rowOff>
    </xdr:from>
    <xdr:to>
      <xdr:col>15</xdr:col>
      <xdr:colOff>1827566</xdr:colOff>
      <xdr:row>0</xdr:row>
      <xdr:rowOff>523875</xdr:rowOff>
    </xdr:to>
    <xdr:pic>
      <xdr:nvPicPr>
        <xdr:cNvPr id="3" name="Picture 2" descr="NewLogoBlack">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srcRect b="-22800"/>
        <a:stretch>
          <a:fillRect/>
        </a:stretch>
      </xdr:blipFill>
      <xdr:spPr bwMode="auto">
        <a:xfrm>
          <a:off x="25863550" y="206375"/>
          <a:ext cx="1662466" cy="3175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1</xdr:row>
      <xdr:rowOff>47625</xdr:rowOff>
    </xdr:from>
    <xdr:to>
      <xdr:col>9</xdr:col>
      <xdr:colOff>95250</xdr:colOff>
      <xdr:row>1</xdr:row>
      <xdr:rowOff>390525</xdr:rowOff>
    </xdr:to>
    <xdr:pic>
      <xdr:nvPicPr>
        <xdr:cNvPr id="2" name="Picture 5" descr="NewLogoBlack">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srcRect b="-25470"/>
        <a:stretch>
          <a:fillRect/>
        </a:stretch>
      </xdr:blipFill>
      <xdr:spPr bwMode="auto">
        <a:xfrm>
          <a:off x="1828800" y="209550"/>
          <a:ext cx="3752850" cy="114300"/>
        </a:xfrm>
        <a:prstGeom prst="rect">
          <a:avLst/>
        </a:prstGeom>
        <a:noFill/>
        <a:ln w="9525">
          <a:noFill/>
          <a:miter lim="800000"/>
          <a:headEnd/>
          <a:tailEnd/>
        </a:ln>
      </xdr:spPr>
    </xdr:pic>
    <xdr:clientData/>
  </xdr:twoCellAnchor>
  <xdr:twoCellAnchor editAs="oneCell">
    <xdr:from>
      <xdr:col>34</xdr:col>
      <xdr:colOff>1123950</xdr:colOff>
      <xdr:row>1</xdr:row>
      <xdr:rowOff>66675</xdr:rowOff>
    </xdr:from>
    <xdr:to>
      <xdr:col>41</xdr:col>
      <xdr:colOff>419101</xdr:colOff>
      <xdr:row>1</xdr:row>
      <xdr:rowOff>447675</xdr:rowOff>
    </xdr:to>
    <xdr:pic>
      <xdr:nvPicPr>
        <xdr:cNvPr id="3" name="Picture 6" descr="Baffinland New 2013.jpg">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116800" y="228600"/>
          <a:ext cx="4076700" cy="952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69272</xdr:rowOff>
    </xdr:from>
    <xdr:to>
      <xdr:col>3</xdr:col>
      <xdr:colOff>865909</xdr:colOff>
      <xdr:row>8</xdr:row>
      <xdr:rowOff>233796</xdr:rowOff>
    </xdr:to>
    <xdr:pic>
      <xdr:nvPicPr>
        <xdr:cNvPr id="2" name="Picture 1" descr="NewLogoBlack">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srcRect b="-25470"/>
        <a:stretch>
          <a:fillRect/>
        </a:stretch>
      </xdr:blipFill>
      <xdr:spPr bwMode="auto">
        <a:xfrm>
          <a:off x="0" y="126422"/>
          <a:ext cx="2904259" cy="519546"/>
        </a:xfrm>
        <a:prstGeom prst="rect">
          <a:avLst/>
        </a:prstGeom>
        <a:noFill/>
        <a:ln w="9525">
          <a:noFill/>
          <a:miter lim="800000"/>
          <a:headEnd/>
          <a:tailEnd/>
        </a:ln>
      </xdr:spPr>
    </xdr:pic>
    <xdr:clientData/>
  </xdr:twoCellAnchor>
  <xdr:twoCellAnchor editAs="oneCell">
    <xdr:from>
      <xdr:col>39</xdr:col>
      <xdr:colOff>34640</xdr:colOff>
      <xdr:row>0</xdr:row>
      <xdr:rowOff>0</xdr:rowOff>
    </xdr:from>
    <xdr:to>
      <xdr:col>43</xdr:col>
      <xdr:colOff>464334</xdr:colOff>
      <xdr:row>8</xdr:row>
      <xdr:rowOff>303068</xdr:rowOff>
    </xdr:to>
    <xdr:pic>
      <xdr:nvPicPr>
        <xdr:cNvPr id="3" name="Picture 2" descr="Baffinland New 2013.jpg">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cstate="print"/>
        <a:stretch>
          <a:fillRect/>
        </a:stretch>
      </xdr:blipFill>
      <xdr:spPr>
        <a:xfrm>
          <a:off x="34029365" y="0"/>
          <a:ext cx="3115744" cy="6459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2661261</xdr:colOff>
      <xdr:row>11</xdr:row>
      <xdr:rowOff>148260</xdr:rowOff>
    </xdr:from>
    <xdr:to>
      <xdr:col>1</xdr:col>
      <xdr:colOff>2800350</xdr:colOff>
      <xdr:row>12</xdr:row>
      <xdr:rowOff>85726</xdr:rowOff>
    </xdr:to>
    <xdr:sp macro="" textlink="">
      <xdr:nvSpPr>
        <xdr:cNvPr id="2" name="Text Box 6">
          <a:extLst>
            <a:ext uri="{FF2B5EF4-FFF2-40B4-BE49-F238E27FC236}">
              <a16:creationId xmlns:a16="http://schemas.microsoft.com/office/drawing/2014/main" id="{00000000-0008-0000-2000-000002000000}"/>
            </a:ext>
          </a:extLst>
        </xdr:cNvPr>
        <xdr:cNvSpPr txBox="1">
          <a:spLocks noChangeArrowheads="1"/>
        </xdr:cNvSpPr>
      </xdr:nvSpPr>
      <xdr:spPr bwMode="auto">
        <a:xfrm>
          <a:off x="1527786" y="2348535"/>
          <a:ext cx="0" cy="137491"/>
        </a:xfrm>
        <a:prstGeom prst="rect">
          <a:avLst/>
        </a:prstGeom>
        <a:noFill/>
        <a:ln w="9525">
          <a:noFill/>
          <a:miter lim="800000"/>
          <a:headEnd/>
          <a:tailEnd/>
        </a:ln>
      </xdr:spPr>
      <xdr:txBody>
        <a:bodyPr vertOverflow="clip" wrap="square" lIns="0" tIns="9144" rIns="9144" bIns="0" anchor="t" upright="1"/>
        <a:lstStyle/>
        <a:p>
          <a:pPr algn="l" rtl="0">
            <a:defRPr sz="1000"/>
          </a:pPr>
          <a:endParaRPr lang="en-US" sz="600" b="0" i="0" u="none" strike="noStrike" baseline="0">
            <a:solidFill>
              <a:srgbClr val="000000"/>
            </a:solidFill>
            <a:latin typeface="Arial Narrow"/>
          </a:endParaRPr>
        </a:p>
      </xdr:txBody>
    </xdr:sp>
    <xdr:clientData/>
  </xdr:twoCellAnchor>
  <xdr:twoCellAnchor editAs="oneCell">
    <xdr:from>
      <xdr:col>0</xdr:col>
      <xdr:colOff>66675</xdr:colOff>
      <xdr:row>0</xdr:row>
      <xdr:rowOff>76200</xdr:rowOff>
    </xdr:from>
    <xdr:to>
      <xdr:col>1</xdr:col>
      <xdr:colOff>1211672</xdr:colOff>
      <xdr:row>2</xdr:row>
      <xdr:rowOff>60198</xdr:rowOff>
    </xdr:to>
    <xdr:pic>
      <xdr:nvPicPr>
        <xdr:cNvPr id="3" name="Picture 2" descr="Baffinland New 2013.jpg">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1" cstate="print"/>
        <a:stretch>
          <a:fillRect/>
        </a:stretch>
      </xdr:blipFill>
      <xdr:spPr>
        <a:xfrm>
          <a:off x="66675" y="76200"/>
          <a:ext cx="1459322" cy="3840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69272</xdr:rowOff>
    </xdr:from>
    <xdr:to>
      <xdr:col>3</xdr:col>
      <xdr:colOff>865909</xdr:colOff>
      <xdr:row>1</xdr:row>
      <xdr:rowOff>588818</xdr:rowOff>
    </xdr:to>
    <xdr:pic>
      <xdr:nvPicPr>
        <xdr:cNvPr id="2" name="Picture 1" descr="NewLogoBlack">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srcRect b="-25470"/>
        <a:stretch>
          <a:fillRect/>
        </a:stretch>
      </xdr:blipFill>
      <xdr:spPr bwMode="auto">
        <a:xfrm>
          <a:off x="0" y="259772"/>
          <a:ext cx="2437534" cy="119496"/>
        </a:xfrm>
        <a:prstGeom prst="rect">
          <a:avLst/>
        </a:prstGeom>
        <a:noFill/>
        <a:ln w="9525">
          <a:noFill/>
          <a:miter lim="800000"/>
          <a:headEnd/>
          <a:tailEnd/>
        </a:ln>
      </xdr:spPr>
    </xdr:pic>
    <xdr:clientData/>
  </xdr:twoCellAnchor>
  <xdr:twoCellAnchor editAs="oneCell">
    <xdr:from>
      <xdr:col>39</xdr:col>
      <xdr:colOff>34640</xdr:colOff>
      <xdr:row>0</xdr:row>
      <xdr:rowOff>0</xdr:rowOff>
    </xdr:from>
    <xdr:to>
      <xdr:col>43</xdr:col>
      <xdr:colOff>464334</xdr:colOff>
      <xdr:row>1</xdr:row>
      <xdr:rowOff>588818</xdr:rowOff>
    </xdr:to>
    <xdr:pic>
      <xdr:nvPicPr>
        <xdr:cNvPr id="3" name="Picture 2" descr="Baffinland New 2013.jpg">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2" cstate="print"/>
        <a:stretch>
          <a:fillRect/>
        </a:stretch>
      </xdr:blipFill>
      <xdr:spPr>
        <a:xfrm>
          <a:off x="23809040" y="0"/>
          <a:ext cx="2868094" cy="3792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111882</xdr:colOff>
      <xdr:row>378</xdr:row>
      <xdr:rowOff>89202</xdr:rowOff>
    </xdr:from>
    <xdr:to>
      <xdr:col>7</xdr:col>
      <xdr:colOff>588131</xdr:colOff>
      <xdr:row>386</xdr:row>
      <xdr:rowOff>102810</xdr:rowOff>
    </xdr:to>
    <xdr:cxnSp macro="">
      <xdr:nvCxnSpPr>
        <xdr:cNvPr id="2" name="Straight Arrow Connector 1">
          <a:extLst>
            <a:ext uri="{FF2B5EF4-FFF2-40B4-BE49-F238E27FC236}">
              <a16:creationId xmlns:a16="http://schemas.microsoft.com/office/drawing/2014/main" id="{00000000-0008-0000-3000-000002000000}"/>
            </a:ext>
          </a:extLst>
        </xdr:cNvPr>
        <xdr:cNvCxnSpPr/>
      </xdr:nvCxnSpPr>
      <xdr:spPr>
        <a:xfrm flipH="1" flipV="1">
          <a:off x="5160132" y="78184677"/>
          <a:ext cx="3209924" cy="153760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275167</xdr:colOff>
      <xdr:row>401</xdr:row>
      <xdr:rowOff>84667</xdr:rowOff>
    </xdr:from>
    <xdr:to>
      <xdr:col>8</xdr:col>
      <xdr:colOff>0</xdr:colOff>
      <xdr:row>408</xdr:row>
      <xdr:rowOff>137583</xdr:rowOff>
    </xdr:to>
    <xdr:cxnSp macro="">
      <xdr:nvCxnSpPr>
        <xdr:cNvPr id="3" name="Straight Arrow Connector 2">
          <a:extLst>
            <a:ext uri="{FF2B5EF4-FFF2-40B4-BE49-F238E27FC236}">
              <a16:creationId xmlns:a16="http://schemas.microsoft.com/office/drawing/2014/main" id="{00000000-0008-0000-3000-000003000000}"/>
            </a:ext>
          </a:extLst>
        </xdr:cNvPr>
        <xdr:cNvCxnSpPr/>
      </xdr:nvCxnSpPr>
      <xdr:spPr>
        <a:xfrm flipH="1">
          <a:off x="5323417" y="82561642"/>
          <a:ext cx="3277658" cy="138641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124240</xdr:colOff>
      <xdr:row>305</xdr:row>
      <xdr:rowOff>116417</xdr:rowOff>
    </xdr:from>
    <xdr:to>
      <xdr:col>8</xdr:col>
      <xdr:colOff>0</xdr:colOff>
      <xdr:row>305</xdr:row>
      <xdr:rowOff>124239</xdr:rowOff>
    </xdr:to>
    <xdr:cxnSp macro="">
      <xdr:nvCxnSpPr>
        <xdr:cNvPr id="4" name="Straight Arrow Connector 3">
          <a:extLst>
            <a:ext uri="{FF2B5EF4-FFF2-40B4-BE49-F238E27FC236}">
              <a16:creationId xmlns:a16="http://schemas.microsoft.com/office/drawing/2014/main" id="{00000000-0008-0000-3000-000004000000}"/>
            </a:ext>
          </a:extLst>
        </xdr:cNvPr>
        <xdr:cNvCxnSpPr/>
      </xdr:nvCxnSpPr>
      <xdr:spPr>
        <a:xfrm flipH="1">
          <a:off x="5172490" y="64038692"/>
          <a:ext cx="3428585" cy="782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137585</xdr:colOff>
      <xdr:row>306</xdr:row>
      <xdr:rowOff>84667</xdr:rowOff>
    </xdr:from>
    <xdr:to>
      <xdr:col>7</xdr:col>
      <xdr:colOff>603250</xdr:colOff>
      <xdr:row>315</xdr:row>
      <xdr:rowOff>127000</xdr:rowOff>
    </xdr:to>
    <xdr:cxnSp macro="">
      <xdr:nvCxnSpPr>
        <xdr:cNvPr id="5" name="Straight Arrow Connector 4">
          <a:extLst>
            <a:ext uri="{FF2B5EF4-FFF2-40B4-BE49-F238E27FC236}">
              <a16:creationId xmlns:a16="http://schemas.microsoft.com/office/drawing/2014/main" id="{00000000-0008-0000-3000-000005000000}"/>
            </a:ext>
          </a:extLst>
        </xdr:cNvPr>
        <xdr:cNvCxnSpPr/>
      </xdr:nvCxnSpPr>
      <xdr:spPr>
        <a:xfrm flipH="1" flipV="1">
          <a:off x="5185835" y="64197442"/>
          <a:ext cx="3199340" cy="17568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31751</xdr:colOff>
      <xdr:row>338</xdr:row>
      <xdr:rowOff>105833</xdr:rowOff>
    </xdr:from>
    <xdr:to>
      <xdr:col>8</xdr:col>
      <xdr:colOff>10583</xdr:colOff>
      <xdr:row>339</xdr:row>
      <xdr:rowOff>158750</xdr:rowOff>
    </xdr:to>
    <xdr:cxnSp macro="">
      <xdr:nvCxnSpPr>
        <xdr:cNvPr id="6" name="Straight Arrow Connector 5">
          <a:extLst>
            <a:ext uri="{FF2B5EF4-FFF2-40B4-BE49-F238E27FC236}">
              <a16:creationId xmlns:a16="http://schemas.microsoft.com/office/drawing/2014/main" id="{00000000-0008-0000-3000-000006000000}"/>
            </a:ext>
          </a:extLst>
        </xdr:cNvPr>
        <xdr:cNvCxnSpPr/>
      </xdr:nvCxnSpPr>
      <xdr:spPr>
        <a:xfrm flipH="1">
          <a:off x="5080001" y="70581308"/>
          <a:ext cx="3531657" cy="24341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52917</xdr:colOff>
      <xdr:row>340</xdr:row>
      <xdr:rowOff>116417</xdr:rowOff>
    </xdr:from>
    <xdr:to>
      <xdr:col>7</xdr:col>
      <xdr:colOff>603250</xdr:colOff>
      <xdr:row>352</xdr:row>
      <xdr:rowOff>95250</xdr:rowOff>
    </xdr:to>
    <xdr:cxnSp macro="">
      <xdr:nvCxnSpPr>
        <xdr:cNvPr id="7" name="Straight Arrow Connector 6">
          <a:extLst>
            <a:ext uri="{FF2B5EF4-FFF2-40B4-BE49-F238E27FC236}">
              <a16:creationId xmlns:a16="http://schemas.microsoft.com/office/drawing/2014/main" id="{00000000-0008-0000-3000-000007000000}"/>
            </a:ext>
          </a:extLst>
        </xdr:cNvPr>
        <xdr:cNvCxnSpPr/>
      </xdr:nvCxnSpPr>
      <xdr:spPr>
        <a:xfrm flipH="1" flipV="1">
          <a:off x="5101167" y="70972892"/>
          <a:ext cx="3284008" cy="22648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105834</xdr:colOff>
      <xdr:row>370</xdr:row>
      <xdr:rowOff>95250</xdr:rowOff>
    </xdr:from>
    <xdr:to>
      <xdr:col>7</xdr:col>
      <xdr:colOff>603251</xdr:colOff>
      <xdr:row>377</xdr:row>
      <xdr:rowOff>116417</xdr:rowOff>
    </xdr:to>
    <xdr:cxnSp macro="">
      <xdr:nvCxnSpPr>
        <xdr:cNvPr id="8" name="Straight Arrow Connector 7">
          <a:extLst>
            <a:ext uri="{FF2B5EF4-FFF2-40B4-BE49-F238E27FC236}">
              <a16:creationId xmlns:a16="http://schemas.microsoft.com/office/drawing/2014/main" id="{00000000-0008-0000-3000-000008000000}"/>
            </a:ext>
          </a:extLst>
        </xdr:cNvPr>
        <xdr:cNvCxnSpPr/>
      </xdr:nvCxnSpPr>
      <xdr:spPr>
        <a:xfrm flipH="1">
          <a:off x="5154084" y="76666725"/>
          <a:ext cx="3231092" cy="135466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1857377</xdr:colOff>
      <xdr:row>87</xdr:row>
      <xdr:rowOff>171791</xdr:rowOff>
    </xdr:from>
    <xdr:to>
      <xdr:col>1</xdr:col>
      <xdr:colOff>3178968</xdr:colOff>
      <xdr:row>90</xdr:row>
      <xdr:rowOff>52728</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2466977" y="18154991"/>
          <a:ext cx="1321591"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1847169</xdr:colOff>
      <xdr:row>107</xdr:row>
      <xdr:rowOff>66335</xdr:rowOff>
    </xdr:from>
    <xdr:to>
      <xdr:col>1</xdr:col>
      <xdr:colOff>3156857</xdr:colOff>
      <xdr:row>109</xdr:row>
      <xdr:rowOff>137772</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2456769" y="21878585"/>
          <a:ext cx="1309688"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1961129</xdr:colOff>
      <xdr:row>95</xdr:row>
      <xdr:rowOff>91849</xdr:rowOff>
    </xdr:from>
    <xdr:to>
      <xdr:col>1</xdr:col>
      <xdr:colOff>3211285</xdr:colOff>
      <xdr:row>97</xdr:row>
      <xdr:rowOff>163286</xdr:rowOff>
    </xdr:to>
    <xdr:sp macro="" textlink="">
      <xdr:nvSpPr>
        <xdr:cNvPr id="4" name="Rectangle 3">
          <a:extLst>
            <a:ext uri="{FF2B5EF4-FFF2-40B4-BE49-F238E27FC236}">
              <a16:creationId xmlns:a16="http://schemas.microsoft.com/office/drawing/2014/main" id="{00000000-0008-0000-0D00-000004000000}"/>
            </a:ext>
          </a:extLst>
        </xdr:cNvPr>
        <xdr:cNvSpPr/>
      </xdr:nvSpPr>
      <xdr:spPr>
        <a:xfrm>
          <a:off x="2570729" y="19608574"/>
          <a:ext cx="1250156"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1857377</xdr:colOff>
      <xdr:row>87</xdr:row>
      <xdr:rowOff>171791</xdr:rowOff>
    </xdr:from>
    <xdr:to>
      <xdr:col>1</xdr:col>
      <xdr:colOff>3178968</xdr:colOff>
      <xdr:row>90</xdr:row>
      <xdr:rowOff>52728</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2466977" y="18154991"/>
          <a:ext cx="1321591"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1847169</xdr:colOff>
      <xdr:row>107</xdr:row>
      <xdr:rowOff>66335</xdr:rowOff>
    </xdr:from>
    <xdr:to>
      <xdr:col>1</xdr:col>
      <xdr:colOff>3156857</xdr:colOff>
      <xdr:row>109</xdr:row>
      <xdr:rowOff>137772</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2456769" y="21878585"/>
          <a:ext cx="1309688"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1961129</xdr:colOff>
      <xdr:row>95</xdr:row>
      <xdr:rowOff>91849</xdr:rowOff>
    </xdr:from>
    <xdr:to>
      <xdr:col>1</xdr:col>
      <xdr:colOff>3211285</xdr:colOff>
      <xdr:row>97</xdr:row>
      <xdr:rowOff>163286</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2570729" y="19608574"/>
          <a:ext cx="1250156"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1857377</xdr:colOff>
      <xdr:row>87</xdr:row>
      <xdr:rowOff>171791</xdr:rowOff>
    </xdr:from>
    <xdr:to>
      <xdr:col>1</xdr:col>
      <xdr:colOff>3178968</xdr:colOff>
      <xdr:row>90</xdr:row>
      <xdr:rowOff>52728</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2469698" y="16976612"/>
          <a:ext cx="1321591"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1847169</xdr:colOff>
      <xdr:row>107</xdr:row>
      <xdr:rowOff>66335</xdr:rowOff>
    </xdr:from>
    <xdr:to>
      <xdr:col>1</xdr:col>
      <xdr:colOff>3156857</xdr:colOff>
      <xdr:row>109</xdr:row>
      <xdr:rowOff>137772</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2459490" y="20721978"/>
          <a:ext cx="1309688"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1961129</xdr:colOff>
      <xdr:row>95</xdr:row>
      <xdr:rowOff>91849</xdr:rowOff>
    </xdr:from>
    <xdr:to>
      <xdr:col>1</xdr:col>
      <xdr:colOff>3211285</xdr:colOff>
      <xdr:row>97</xdr:row>
      <xdr:rowOff>163286</xdr:rowOff>
    </xdr:to>
    <xdr:sp macro="" textlink="">
      <xdr:nvSpPr>
        <xdr:cNvPr id="4" name="Rectangle 3">
          <a:extLst>
            <a:ext uri="{FF2B5EF4-FFF2-40B4-BE49-F238E27FC236}">
              <a16:creationId xmlns:a16="http://schemas.microsoft.com/office/drawing/2014/main" id="{00000000-0008-0000-0F00-000004000000}"/>
            </a:ext>
          </a:extLst>
        </xdr:cNvPr>
        <xdr:cNvSpPr/>
      </xdr:nvSpPr>
      <xdr:spPr>
        <a:xfrm>
          <a:off x="2573450" y="18447885"/>
          <a:ext cx="1250156"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904877</xdr:colOff>
      <xdr:row>85</xdr:row>
      <xdr:rowOff>130970</xdr:rowOff>
    </xdr:from>
    <xdr:to>
      <xdr:col>1</xdr:col>
      <xdr:colOff>2226468</xdr:colOff>
      <xdr:row>88</xdr:row>
      <xdr:rowOff>11907</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1514477" y="16704470"/>
          <a:ext cx="1321591"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4</xdr:col>
      <xdr:colOff>690562</xdr:colOff>
      <xdr:row>87</xdr:row>
      <xdr:rowOff>107156</xdr:rowOff>
    </xdr:from>
    <xdr:to>
      <xdr:col>4</xdr:col>
      <xdr:colOff>2000250</xdr:colOff>
      <xdr:row>89</xdr:row>
      <xdr:rowOff>178593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7986712" y="17061656"/>
          <a:ext cx="1309688"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940594</xdr:colOff>
      <xdr:row>97</xdr:row>
      <xdr:rowOff>119063</xdr:rowOff>
    </xdr:from>
    <xdr:to>
      <xdr:col>1</xdr:col>
      <xdr:colOff>2190750</xdr:colOff>
      <xdr:row>100</xdr:row>
      <xdr:rowOff>0</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1550194" y="18978563"/>
          <a:ext cx="1250156"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904877</xdr:colOff>
      <xdr:row>85</xdr:row>
      <xdr:rowOff>130970</xdr:rowOff>
    </xdr:from>
    <xdr:to>
      <xdr:col>1</xdr:col>
      <xdr:colOff>2226468</xdr:colOff>
      <xdr:row>88</xdr:row>
      <xdr:rowOff>11907</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1514477" y="16704470"/>
          <a:ext cx="1321591"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4</xdr:col>
      <xdr:colOff>690562</xdr:colOff>
      <xdr:row>87</xdr:row>
      <xdr:rowOff>107156</xdr:rowOff>
    </xdr:from>
    <xdr:to>
      <xdr:col>4</xdr:col>
      <xdr:colOff>2000250</xdr:colOff>
      <xdr:row>89</xdr:row>
      <xdr:rowOff>178593</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7986712" y="17061656"/>
          <a:ext cx="1309688"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940594</xdr:colOff>
      <xdr:row>97</xdr:row>
      <xdr:rowOff>119063</xdr:rowOff>
    </xdr:from>
    <xdr:to>
      <xdr:col>1</xdr:col>
      <xdr:colOff>2190750</xdr:colOff>
      <xdr:row>100</xdr:row>
      <xdr:rowOff>0</xdr:rowOff>
    </xdr:to>
    <xdr:sp macro="" textlink="">
      <xdr:nvSpPr>
        <xdr:cNvPr id="4" name="Rectangle 3">
          <a:extLst>
            <a:ext uri="{FF2B5EF4-FFF2-40B4-BE49-F238E27FC236}">
              <a16:creationId xmlns:a16="http://schemas.microsoft.com/office/drawing/2014/main" id="{00000000-0008-0000-1100-000004000000}"/>
            </a:ext>
          </a:extLst>
        </xdr:cNvPr>
        <xdr:cNvSpPr/>
      </xdr:nvSpPr>
      <xdr:spPr>
        <a:xfrm>
          <a:off x="1550194" y="18978563"/>
          <a:ext cx="1250156"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904877</xdr:colOff>
      <xdr:row>85</xdr:row>
      <xdr:rowOff>130970</xdr:rowOff>
    </xdr:from>
    <xdr:to>
      <xdr:col>1</xdr:col>
      <xdr:colOff>2226468</xdr:colOff>
      <xdr:row>88</xdr:row>
      <xdr:rowOff>11907</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1514477" y="16704470"/>
          <a:ext cx="1321591"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4</xdr:col>
      <xdr:colOff>690562</xdr:colOff>
      <xdr:row>87</xdr:row>
      <xdr:rowOff>107156</xdr:rowOff>
    </xdr:from>
    <xdr:to>
      <xdr:col>4</xdr:col>
      <xdr:colOff>2000250</xdr:colOff>
      <xdr:row>89</xdr:row>
      <xdr:rowOff>178593</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7986712" y="17061656"/>
          <a:ext cx="1309688"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940594</xdr:colOff>
      <xdr:row>97</xdr:row>
      <xdr:rowOff>119063</xdr:rowOff>
    </xdr:from>
    <xdr:to>
      <xdr:col>1</xdr:col>
      <xdr:colOff>2190750</xdr:colOff>
      <xdr:row>100</xdr:row>
      <xdr:rowOff>0</xdr:rowOff>
    </xdr:to>
    <xdr:sp macro="" textlink="">
      <xdr:nvSpPr>
        <xdr:cNvPr id="4" name="Rectangle 3">
          <a:extLst>
            <a:ext uri="{FF2B5EF4-FFF2-40B4-BE49-F238E27FC236}">
              <a16:creationId xmlns:a16="http://schemas.microsoft.com/office/drawing/2014/main" id="{00000000-0008-0000-1200-000004000000}"/>
            </a:ext>
          </a:extLst>
        </xdr:cNvPr>
        <xdr:cNvSpPr/>
      </xdr:nvSpPr>
      <xdr:spPr>
        <a:xfrm>
          <a:off x="1550194" y="18978563"/>
          <a:ext cx="1250156"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904877</xdr:colOff>
      <xdr:row>85</xdr:row>
      <xdr:rowOff>130970</xdr:rowOff>
    </xdr:from>
    <xdr:to>
      <xdr:col>1</xdr:col>
      <xdr:colOff>2226468</xdr:colOff>
      <xdr:row>88</xdr:row>
      <xdr:rowOff>11907</xdr:rowOff>
    </xdr:to>
    <xdr:sp macro="" textlink="">
      <xdr:nvSpPr>
        <xdr:cNvPr id="2" name="Rectangle 1">
          <a:extLst>
            <a:ext uri="{FF2B5EF4-FFF2-40B4-BE49-F238E27FC236}">
              <a16:creationId xmlns:a16="http://schemas.microsoft.com/office/drawing/2014/main" id="{00000000-0008-0000-1300-000002000000}"/>
            </a:ext>
          </a:extLst>
        </xdr:cNvPr>
        <xdr:cNvSpPr/>
      </xdr:nvSpPr>
      <xdr:spPr>
        <a:xfrm>
          <a:off x="1514477" y="16704470"/>
          <a:ext cx="1321591"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4</xdr:col>
      <xdr:colOff>690562</xdr:colOff>
      <xdr:row>87</xdr:row>
      <xdr:rowOff>107156</xdr:rowOff>
    </xdr:from>
    <xdr:to>
      <xdr:col>4</xdr:col>
      <xdr:colOff>2000250</xdr:colOff>
      <xdr:row>89</xdr:row>
      <xdr:rowOff>178593</xdr:rowOff>
    </xdr:to>
    <xdr:sp macro="" textlink="">
      <xdr:nvSpPr>
        <xdr:cNvPr id="3" name="Rectangle 2">
          <a:extLst>
            <a:ext uri="{FF2B5EF4-FFF2-40B4-BE49-F238E27FC236}">
              <a16:creationId xmlns:a16="http://schemas.microsoft.com/office/drawing/2014/main" id="{00000000-0008-0000-1300-000003000000}"/>
            </a:ext>
          </a:extLst>
        </xdr:cNvPr>
        <xdr:cNvSpPr/>
      </xdr:nvSpPr>
      <xdr:spPr>
        <a:xfrm>
          <a:off x="7986712" y="17061656"/>
          <a:ext cx="1309688"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940594</xdr:colOff>
      <xdr:row>97</xdr:row>
      <xdr:rowOff>119063</xdr:rowOff>
    </xdr:from>
    <xdr:to>
      <xdr:col>1</xdr:col>
      <xdr:colOff>2190750</xdr:colOff>
      <xdr:row>100</xdr:row>
      <xdr:rowOff>0</xdr:rowOff>
    </xdr:to>
    <xdr:sp macro="" textlink="">
      <xdr:nvSpPr>
        <xdr:cNvPr id="4" name="Rectangle 3">
          <a:extLst>
            <a:ext uri="{FF2B5EF4-FFF2-40B4-BE49-F238E27FC236}">
              <a16:creationId xmlns:a16="http://schemas.microsoft.com/office/drawing/2014/main" id="{00000000-0008-0000-1300-000004000000}"/>
            </a:ext>
          </a:extLst>
        </xdr:cNvPr>
        <xdr:cNvSpPr/>
      </xdr:nvSpPr>
      <xdr:spPr>
        <a:xfrm>
          <a:off x="1550194" y="18978563"/>
          <a:ext cx="1250156"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904877</xdr:colOff>
      <xdr:row>85</xdr:row>
      <xdr:rowOff>130970</xdr:rowOff>
    </xdr:from>
    <xdr:to>
      <xdr:col>1</xdr:col>
      <xdr:colOff>2226468</xdr:colOff>
      <xdr:row>88</xdr:row>
      <xdr:rowOff>11907</xdr:rowOff>
    </xdr:to>
    <xdr:sp macro="" textlink="">
      <xdr:nvSpPr>
        <xdr:cNvPr id="2" name="Rectangle 1">
          <a:extLst>
            <a:ext uri="{FF2B5EF4-FFF2-40B4-BE49-F238E27FC236}">
              <a16:creationId xmlns:a16="http://schemas.microsoft.com/office/drawing/2014/main" id="{00000000-0008-0000-1400-000002000000}"/>
            </a:ext>
          </a:extLst>
        </xdr:cNvPr>
        <xdr:cNvSpPr/>
      </xdr:nvSpPr>
      <xdr:spPr>
        <a:xfrm>
          <a:off x="1512096" y="16704470"/>
          <a:ext cx="1321591"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4</xdr:col>
      <xdr:colOff>690562</xdr:colOff>
      <xdr:row>87</xdr:row>
      <xdr:rowOff>107156</xdr:rowOff>
    </xdr:from>
    <xdr:to>
      <xdr:col>4</xdr:col>
      <xdr:colOff>2000250</xdr:colOff>
      <xdr:row>89</xdr:row>
      <xdr:rowOff>178593</xdr:rowOff>
    </xdr:to>
    <xdr:sp macro="" textlink="">
      <xdr:nvSpPr>
        <xdr:cNvPr id="3" name="Rectangle 2">
          <a:extLst>
            <a:ext uri="{FF2B5EF4-FFF2-40B4-BE49-F238E27FC236}">
              <a16:creationId xmlns:a16="http://schemas.microsoft.com/office/drawing/2014/main" id="{00000000-0008-0000-1400-000003000000}"/>
            </a:ext>
          </a:extLst>
        </xdr:cNvPr>
        <xdr:cNvSpPr/>
      </xdr:nvSpPr>
      <xdr:spPr>
        <a:xfrm>
          <a:off x="7977187" y="17061656"/>
          <a:ext cx="1309688"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twoCellAnchor>
    <xdr:from>
      <xdr:col>1</xdr:col>
      <xdr:colOff>940594</xdr:colOff>
      <xdr:row>97</xdr:row>
      <xdr:rowOff>119063</xdr:rowOff>
    </xdr:from>
    <xdr:to>
      <xdr:col>1</xdr:col>
      <xdr:colOff>2190750</xdr:colOff>
      <xdr:row>100</xdr:row>
      <xdr:rowOff>0</xdr:rowOff>
    </xdr:to>
    <xdr:sp macro="" textlink="">
      <xdr:nvSpPr>
        <xdr:cNvPr id="4" name="Rectangle 3">
          <a:extLst>
            <a:ext uri="{FF2B5EF4-FFF2-40B4-BE49-F238E27FC236}">
              <a16:creationId xmlns:a16="http://schemas.microsoft.com/office/drawing/2014/main" id="{00000000-0008-0000-1400-000004000000}"/>
            </a:ext>
          </a:extLst>
        </xdr:cNvPr>
        <xdr:cNvSpPr/>
      </xdr:nvSpPr>
      <xdr:spPr>
        <a:xfrm>
          <a:off x="1547813" y="18978563"/>
          <a:ext cx="1250156" cy="452437"/>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solidFill>
                <a:sysClr val="windowText" lastClr="000000"/>
              </a:solidFill>
            </a:rPr>
            <a:t>Included in 2014 Re-baseline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os0007\24813\PROJEC~1\TDR\SUMSH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ocuments%20and%20Settings\arel47530\Local%20Settings\Temporary%20Internet%20Files\OLKB7\H318608-000-M-44-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MARACA\316420\EST\Cost%20Estimate\CostEstimateChapadaProject%20currentx_R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RACA\317777\DES\M\EqList\Emitido\H317777000MLI001-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te49044/AppData/Roaming/OpenText/OTEdit/EC_ipasdmmis/c75095659/H349000-1000-00-144-0001#5f.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ndata\proyectos\PELAMBRES\314776\EST\Capital%20Costs\175kpd%20option\Pelambres175tmpdvalorizadoJR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mis.hatchworkshare.com/Documents%20and%20Settings/marj1068/My%20Documents/00%20H-PROJECTS/011%20H-BAFFINLAND/01%20BLDS_IN%20PROGRESS/00%20MASTER%20BUILDING%20LIST/Mary%20River%20Master%20Building%20List%20-%20Rev%20A%20-%20Work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SUM"/>
      <sheetName val="Comsum"/>
      <sheetName val="N-detail"/>
      <sheetName val="T-detail"/>
      <sheetName val="X-detail"/>
      <sheetName val="Bulksum"/>
      <sheetName val="Subcont"/>
      <sheetName val="Indirects "/>
      <sheetName val="FieldOffice"/>
      <sheetName val="LIMAengr"/>
      <sheetName val="SFROengr"/>
      <sheetName val="Contingency"/>
      <sheetName val="Contingency (2)"/>
      <sheetName val="Cover"/>
      <sheetName val="WBS"/>
      <sheetName val="Codes"/>
      <sheetName val="H324748 Mech Equipment List"/>
      <sheetName val="12Administration Expen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
      <sheetName val="Drop-down Lists"/>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HOURS"/>
      <sheetName val="PRECIOS EQUIPOS"/>
      <sheetName val="COTIZACIONES EQ.MECANICAS"/>
      <sheetName val="Sheet1"/>
      <sheetName val="Final Summary"/>
      <sheetName val="Estimate"/>
      <sheetName val="Chart"/>
      <sheetName val="Risk Mode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g_s"/>
      <sheetName val="Sheet1"/>
      <sheetName val="EQUIP"/>
      <sheetName val="Portada"/>
      <sheetName val="Classifications"/>
      <sheetName val="Estimate"/>
      <sheetName val="Configuration"/>
      <sheetName val="Cash Flows"/>
      <sheetName val="Mine Plan"/>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s>
    <sheetDataSet>
      <sheetData sheetId="0">
        <row r="1">
          <cell r="B1">
            <v>1000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ANTECEDENTES DISPONIBLES"/>
      <sheetName val="Rates Sheet"/>
      <sheetName val="Cash Flow"/>
      <sheetName val="Manpower Curves"/>
    </sheetNames>
    <sheetDataSet>
      <sheetData sheetId="0">
        <row r="350">
          <cell r="F350" t="str">
            <v>DETALLE DE COSTOS</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Portrait)"/>
      <sheetName val="CoverSheet(Landscape)"/>
      <sheetName val="Plant 1 Bldgs"/>
      <sheetName val="How to fill in columns"/>
      <sheetName val="Facility #"/>
      <sheetName val="Details"/>
      <sheetName val="NewBuilding"/>
      <sheetName val="Change Log"/>
      <sheetName val="Properties"/>
      <sheetName val="Circulation List"/>
      <sheetName val="SecurityWarning"/>
    </sheetNames>
    <sheetDataSet>
      <sheetData sheetId="0"/>
      <sheetData sheetId="1"/>
      <sheetData sheetId="2"/>
      <sheetData sheetId="3"/>
      <sheetData sheetId="4">
        <row r="3">
          <cell r="M3" t="str">
            <v>B</v>
          </cell>
        </row>
      </sheetData>
      <sheetData sheetId="5">
        <row r="9">
          <cell r="F9" t="str">
            <v>0040-BLD-0420</v>
          </cell>
        </row>
      </sheetData>
      <sheetData sheetId="6">
        <row r="6">
          <cell r="C6" t="str">
            <v>1711</v>
          </cell>
        </row>
      </sheetData>
      <sheetData sheetId="7"/>
      <sheetData sheetId="8">
        <row r="21">
          <cell r="E21" t="str">
            <v>O</v>
          </cell>
        </row>
      </sheetData>
      <sheetData sheetId="9"/>
      <sheetData sheetId="10"/>
    </sheetDataSet>
  </externalBook>
</externalLink>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uthor" refreshedDate="43047.388299537037" createdVersion="3" refreshedVersion="5" minRefreshableVersion="3" recordCount="890" xr:uid="{00000000-000A-0000-FFFF-FFFF01000000}">
  <cacheSource type="worksheet">
    <worksheetSource ref="A7:BU1712" sheet="Estimate Details"/>
  </cacheSource>
  <cacheFields count="67">
    <cacheField name="Level 0 - Site Location" numFmtId="1">
      <sharedItems containsSemiMixedTypes="0" containsString="0" containsNumber="1" containsInteger="1" minValue="1000" maxValue="9000" count="7">
        <n v="1000"/>
        <n v="2000"/>
        <n v="9000"/>
        <n v="7000"/>
        <n v="8000"/>
        <n v="3000"/>
        <n v="4000"/>
      </sharedItems>
    </cacheField>
    <cacheField name="Level 0 - Description" numFmtId="0">
      <sharedItems containsBlank="1" count="9">
        <s v="Project Wide"/>
        <s v="Milne Port"/>
        <s v="Owner Accounts"/>
        <s v="Construction Facilities &amp; Services"/>
        <s v="Other Indirects"/>
        <s v="Tote Road"/>
        <s v="Mine Site"/>
        <m u="1"/>
        <s v="Mine Ste" u="1"/>
      </sharedItems>
    </cacheField>
    <cacheField name="Level 1 - Area" numFmtId="0">
      <sharedItems containsString="0" containsBlank="1" containsNumber="1" containsInteger="1" minValue="1100" maxValue="9100"/>
    </cacheField>
    <cacheField name="Level 1 - Description" numFmtId="0">
      <sharedItems containsBlank="1"/>
    </cacheField>
    <cacheField name="Level 2 - Facility / System" numFmtId="0">
      <sharedItems containsBlank="1" containsMixedTypes="1" containsNumber="1" containsInteger="1" minValue="1100" maxValue="9190"/>
    </cacheField>
    <cacheField name="Level 2 - Description" numFmtId="0">
      <sharedItems containsBlank="1"/>
    </cacheField>
    <cacheField name="Level 3 - Sub Facility / Sub System" numFmtId="0">
      <sharedItems containsBlank="1" containsMixedTypes="1" containsNumber="1" containsInteger="1" minValue="1100" maxValue="9191"/>
    </cacheField>
    <cacheField name="Level 3 - Description" numFmtId="0">
      <sharedItems containsBlank="1"/>
    </cacheField>
    <cacheField name="ID CODE" numFmtId="0">
      <sharedItems containsBlank="1"/>
    </cacheField>
    <cacheField name="Equipment Type" numFmtId="0">
      <sharedItems containsBlank="1"/>
    </cacheField>
    <cacheField name="Price Code " numFmtId="0">
      <sharedItems containsBlank="1" count="44">
        <s v="CON"/>
        <s v="A2"/>
        <s v="A3"/>
        <m/>
        <s v="CV"/>
        <s v="FF1"/>
        <s v="CS"/>
        <s v="piping"/>
        <s v="MT4-d"/>
        <s v="cable"/>
        <s v="A3l"/>
        <s v="FF2-c"/>
        <s v="MT3-d"/>
        <s v="MM1"/>
        <s v="MM2"/>
        <s v="MM3"/>
        <s v="FF1-c"/>
        <s v="CP"/>
        <s v="MT5-d"/>
        <s v="O3"/>
        <s v="FF2"/>
        <s v="MT2-d"/>
        <s v="MT2"/>
        <s v="MT1"/>
        <s v="O2"/>
        <s v="VP3"/>
        <s v="O1"/>
        <s v="VP1"/>
        <s v="VP2"/>
        <s v="FW"/>
        <s v="MT1-d"/>
        <s v="Cu"/>
        <s v="FF4"/>
        <s v="EG"/>
        <s v="VP6"/>
        <s v="MISC"/>
        <s v="A5"/>
        <s v="FF3-c"/>
        <s v="A4"/>
        <s v="Br"/>
        <s v="FF3"/>
        <s v="25ka"/>
        <s v="VP5" u="1"/>
        <e v="#N/A" u="1"/>
      </sharedItems>
    </cacheField>
    <cacheField name="Price Code Description" numFmtId="0">
      <sharedItems containsBlank="1"/>
    </cacheField>
    <cacheField name="Qty Code" numFmtId="0">
      <sharedItems containsBlank="1" count="65">
        <s v="CON"/>
        <s v="Fill"/>
        <s v="A2"/>
        <m/>
        <s v="CV"/>
        <s v="FS"/>
        <s v="CS"/>
        <s v="Indirect"/>
        <s v="Piping"/>
        <s v="MT4-d"/>
        <s v="Cable"/>
        <s v="A3l"/>
        <s v="FFL-c"/>
        <s v="MT3-d"/>
        <s v="MM1"/>
        <s v="MM2"/>
        <s v="MM3"/>
        <s v="FTR2-c"/>
        <s v="CP"/>
        <s v="A9"/>
        <s v="MT5-d"/>
        <s v="O3"/>
        <s v="FFL"/>
        <s v="MT2-d"/>
        <s v="MT2"/>
        <s v="FTR1-c"/>
        <s v="MT1"/>
        <s v="O2"/>
        <s v="VP3"/>
        <s v="FS-c"/>
        <s v="O1"/>
        <s v="VP1"/>
        <s v="VP2"/>
        <s v="FT"/>
        <s v="FTR2"/>
        <s v="FC-c"/>
        <s v="MT1-d"/>
        <s v="cu"/>
        <s v="FW"/>
        <s v="FTR1"/>
        <s v="FC"/>
        <s v="EG"/>
        <s v="VP6"/>
        <s v="Ship Loader"/>
        <s v="MISC"/>
        <s v="A5"/>
        <s v="FF3-c"/>
        <s v="Piping - Heat Tracing"/>
        <s v="A4"/>
        <s v="Br"/>
        <s v="FF3"/>
        <s v="25ka"/>
        <s v="VP7"/>
        <s v="VP incinerator" u="1"/>
        <s v="STP" u="1"/>
        <s v="VP Truck wash facility" u="1"/>
        <s v="FF1" u="1"/>
        <s v="STPfl" u="1"/>
        <s v="FF4" u="1"/>
        <s v="VP5" u="1"/>
        <s v="MMED - weight req." u="1"/>
        <s v="VP Potable water" u="1"/>
        <s v="Conveyor" u="1"/>
        <s v="No Quantities" u="1"/>
        <s v="A2l" u="1"/>
      </sharedItems>
    </cacheField>
    <cacheField name="Area - QTY Code" numFmtId="0">
      <sharedItems containsBlank="1" count="11">
        <m/>
        <s v="Site Works"/>
        <s v="Mechanical Equipment"/>
        <s v="Buildings (Not Contaminated)"/>
        <s v="Flooring / Foundations"/>
        <s v="Indirect"/>
        <s v="Bulks"/>
        <s v="Buildings (Contaminated)"/>
        <s v="Mobile Equipment"/>
        <s v="Packaged_x000a_Facilities"/>
        <s v="Consumables" u="1"/>
      </sharedItems>
    </cacheField>
    <cacheField name="QTY Code Description" numFmtId="0">
      <sharedItems containsBlank="1" count="60">
        <s v="Consumables"/>
        <s v="Fill Application"/>
        <s v="Grade and Re-Contour"/>
        <m/>
        <s v="Reclaim Conveyor"/>
        <s v="Prefabricated Special Modular"/>
        <s v="Slab on Grade"/>
        <s v="Indirect"/>
        <s v="Piping"/>
        <s v="Largest Diesel Tanks"/>
        <s v="Cable"/>
        <s v="Grade and Re-Contour With Liner"/>
        <s v="Fold Away Building"/>
        <s v="Large Diesel Tanks"/>
        <s v="Light Equipment"/>
        <s v="Medium Equipment"/>
        <s v="Heavy Equipment"/>
        <s v="Double Trailer (2 or more)"/>
        <s v="Precast Foundations"/>
        <s v="Grade and Re-Contour Building Footprints"/>
        <s v="Medium Mobile Diesel Tanks"/>
        <s v="Heavy Mobile Equipment"/>
        <s v="Medium Diesel Tanks"/>
        <s v="Medium Tanks"/>
        <s v="Single Trailers (modular)"/>
        <s v="Light Tanks"/>
        <s v="Medium Mobile Equipment "/>
        <s v="Sewage Treatment Plant"/>
        <s v="Light Mobile Equipment"/>
        <s v="Incinerator"/>
        <s v="Potable Water"/>
        <s v="Timber Cribbing"/>
        <s v="ISO Shipping Containers"/>
        <s v="Light Diesel Tanks"/>
        <s v="Medium Mobile Equipment"/>
        <s v="Culvert Removal"/>
        <s v="Wood Floor"/>
        <s v="Gravel Base"/>
        <s v="Ship Loader"/>
        <s v="Miscellaneous Items (Minor)"/>
        <s v="Liner Removal"/>
        <s v="Soft walled Building (tent)"/>
        <s v="Piping - Heat Tracing"/>
        <s v="Grade and Re-Contour Significant Disturbed Areas"/>
        <s v="Bridge Removal"/>
        <s v="Temporary construction warehouses and offices Allowance"/>
        <s v="Geotechnical Inspections" u="1"/>
        <s v="Project Environmental Site Assessment" u="1"/>
        <s v="Fuel" u="1"/>
        <s v="Supervision, Project Management &amp; Contract Administration " u="1"/>
        <s v="Contingency" u="1"/>
        <s v="Closure &amp; Post Closure Monitoring" u="1"/>
        <s v="Worker Accommodation &amp; Camp Operation" u="1"/>
        <s v="Mobilization and Demobilization of Equipment and Materials by Sealift" u="1"/>
        <s v="Contaminated Soil Treatment" u="1"/>
        <s v="Off-Site Disposal of Waste &amp; Material" u="1"/>
        <s v="Total Gravel Base" u="1"/>
        <s v="Ammonium Nitrate (explosive Material)" u="1"/>
        <s v="Engineering Fees " u="1"/>
        <s v="Mobilization of Workers Required for Reclamation" u="1"/>
      </sharedItems>
    </cacheField>
    <cacheField name="Type" numFmtId="0">
      <sharedItems containsBlank="1"/>
    </cacheField>
    <cacheField name="Description" numFmtId="0">
      <sharedItems containsBlank="1" count="3176">
        <s v="Consumables"/>
        <s v="Fill Application - Shiploader"/>
        <s v="Fill Application - 2017-A"/>
        <s v="Consumables - addition of 49 person camp"/>
        <s v="Fill Application - 2017"/>
        <s v="Fill Application - 2015"/>
        <s v="Fill Application - 2016"/>
        <s v="Fill Application - 2015 A"/>
        <s v="Additional Laydown Areas "/>
        <s v="Fill Application - 2015 R"/>
        <s v="Fill Application - 2014"/>
        <m/>
        <s v="CONVEYING  - RECLAIM CONVEYOR - FAM  _x000a_L: 850000, W: 1524, H: 47000 VERTICAL LIFT SEE REMARKS kg"/>
        <s v="380 man temporary hardwall camp at Milne Port inclusive of kitchen, dining, locker, recreational and washroom (assume footprint of 10,720 m2)"/>
        <s v="Ore Stockpile Laydown"/>
        <s v="Laydown Pad development (Milne Port)"/>
        <s v="Addition of 380 person camp at Milne Port"/>
        <s v="Pre-Cast Concrete Foundations (Mobilized to Site)"/>
        <s v="Contingency "/>
        <s v="Ore Stockpile Footprints"/>
        <s v="Cross' Conveyor at Ore Stockpile Pad (assume 1/6 length of existing shiploader conveyor)"/>
        <s v="Treated Effluent Piping - Piping Installation - STP to effluent pond and ocean discharge"/>
        <s v="TANK  - ARCTIC DIESEL TANK W: 27800 DI _x000a_H: 15250 "/>
        <s v="Additional 15ML Arctic Diesel Tank at Milne Port"/>
        <s v="Additional 3ML Arctic Diesel Tank at Milne Port"/>
        <s v="Car Dumper Module (mobilized in 2018, installed following expansion approval) "/>
        <s v="Power Distribution System - Electrical Cable Installation 5kV - Electrical distribution system from power gen to e-house"/>
        <s v="Ore Stockpile Pad Expansion"/>
        <s v="Fuel Tank Farm Berm"/>
        <s v="Power Distribution System - Electrical Cable Installation 600V - Connections from e-house to facilities"/>
        <s v="Maintenance Building - Demolish and Decontaminate Building - Fold-away Building (Steel)"/>
        <s v="Camp Pad @ Milne Port"/>
        <s v="Mobilization and Demobilization of Equipment and Materials by Sealift"/>
        <s v="Supervision, Project Management &amp; Contract Administration"/>
        <s v="TANK  - ARCTIC DIESEL TANK W: 25600 DI _x000a_H: 9760 "/>
        <s v="Additional outdoor lighting for safety (with cables) at Port Site"/>
        <s v="Crushing Module (mobilized in 2018, installed following expansion approval) "/>
        <s v="Accommodation Service Core - Demolish and Decontaminate Building - Special Modular / Prefabricated"/>
        <s v="Disturbed Area @ Milne Port (adjacent to Steel Tank Farm)"/>
        <s v="Camp Pad development (Milne Port)"/>
        <s v="Frost Fighter Heater"/>
        <s v="Landfarm"/>
        <s v="Milne Laydown Area"/>
        <s v="Waste Management Building - Demolish and Decontaminate Building - Fold-away Building (Steel)"/>
        <s v="Ore Stockpile Settling Ponds"/>
        <s v="BMH Conveyors (mobilized in 2018, installed following expansion approval) "/>
        <s v="Q1 Quarry (marginal increase to existing in remainder 2017)"/>
        <s v="Jump Conveyor"/>
        <s v="Screening Module (mobilized in 2018, installed following expansion approval) "/>
        <s v="Worker Accommodation &amp; Camp Operation"/>
        <s v="Laydown Pad Development - Km 88 IT Tower Pad (200m x 200m)"/>
        <s v="Engineering Fees"/>
        <s v="Reclaim Feeding, Line 2 "/>
        <s v="Reclaim Feeding, Line 3"/>
        <s v="Reclaim Feeding, Line 4 "/>
        <s v="Cone Crusher"/>
        <s v="Rail Construction Materials (mobilized in 2018, installed following expansion approval) "/>
        <s v="Medium Equipment on 2017 Sea Lift"/>
        <s v="Workshop Office Building - Demolish and Decontaminate Building - Trailer - Modular (2 or more modules)"/>
        <s v="2018 Tote Road Improvements (Twinned Sections) - IOL"/>
        <s v="Accommodation Wing BA - Demolish and Decontaminate Building - Special Modular / Prefabricated"/>
        <s v="Accommodation Wing BB - Demolish and Decontaminate Building - Special Modular / Prefabricated"/>
        <s v="Accommodation Wing BC - Demolish and Decontaminate Building - Special Modular / Prefabricated"/>
        <s v="Accommodation Wing BD - Demolish and Decontaminate Building - Special Modular / Prefabricated"/>
        <s v="Maintenance Building - Demolish and foundations - Precast Footing (Perimeter Beam)"/>
        <s v="Mobilization of Workers Required for Reclamation"/>
        <s v="Maintenance Building - Demolish floor finish - Slab on grade C/W Drainage"/>
        <s v="Grade and Re-Contour Building Footprints"/>
        <s v="Sewage Treatment Plant - Demolish and Decontaminate Building - Trailer - Modular (2 or more modules)"/>
        <s v="Accommodation Laundry - Demolish and Decontaminate Building - Special Modular / Prefabricated"/>
        <s v="Fuel"/>
        <s v="Mine Truck Workshop (2018)"/>
        <s v="Rolling Stock Workshop (2018)"/>
        <s v="PWSP"/>
        <s v="Site Roads"/>
        <s v="Heavy equipment on 2017 Sea Lift"/>
        <s v="Welding Shop Building - Demolish and Decontaminate Building - Fold-away Building (Steel)"/>
        <s v="50,000 L Portable Fuel Dispensing Unit"/>
        <s v="Accommodation Office - Demolish and Decontaminate Building - Special Modular / Prefabricated"/>
        <s v="Light Plant"/>
        <s v="Laydown LP3"/>
        <s v="3rd Party Heavy Mobile Equipment (make up for typical fleet)"/>
        <s v="Waste Management Building - Demolish and foundations - Precast Footing (Perimeter Beam)"/>
        <s v="Sewage Treatment Piping - Piping Installation - Sewage truck bldg to STP"/>
        <s v="Snow Dump"/>
        <s v="Maintenance Building Utility Piping - Piping Installation - Water, air and lube piping inside building"/>
        <s v="Water Building - Demolish and Decontaminate Building - Fold-away Building (Steel)"/>
        <s v="TANK  - JET-A1 TANK W: 10250 DI _x000a_H: 9140 "/>
        <s v="Additional 750 kL Jet-A Tank at Milne Port"/>
        <s v="Water Building - Demolish and foundations - Precast Footing (Perimeter Beam)"/>
        <s v="Waste Management Building - Demolish floor finish - Slab on grade C/W Drainage"/>
        <s v="Mobile Light Plant, Large"/>
        <s v="TANK  - WORKSHOP OFFICE WASHCAR SEWAGE COLLECTION TANK - LAGRANGE MECHANICAL SERVICES  L: 3791, W: 1829, H: 610 "/>
        <s v="Workshop Office Washcar - Demolish and Decontaminate Building - Trailer - Single"/>
        <s v="TANK  - WORKSHOP OFFICE WASHCAR RAW WATER TANK - PLASTIC-MART 866-310-2556  L: 1803, W: 1245, H: 1346 "/>
        <s v="Feeder (Small)"/>
        <s v="3rd Party Medium Mobile Equipment (make up for typical fleet)"/>
        <s v="Emergency Response Garage - Demolish and Decontaminate Building - Fold-away Building (Steel)"/>
        <s v="SEWAGE TREATMENT PLANT VENDOR PACKAGE "/>
        <s v="Sewage Treatment Plant for 380-person temporary soft-walled camp at Milne Port"/>
        <s v="Liner Removal for Soft Wall Maintenance Garage (assume same size as existing on Tote Road)"/>
        <s v="Power Generation E-House #1 - Demolish and Decontaminate Building - Special Modular / Prefabricated"/>
        <s v="Power Generation E-House #2 - Demolish and Decontaminate Building - Special Modular / Prefabricated"/>
        <s v="Emergency Response Garage - Demolish and foundations - Precast Footing (Perimeter Beam)"/>
        <s v="Hazardous Waste Berm"/>
        <s v="3rd Party Light Mobile Equipment (make up for typical fleet)"/>
        <s v="2017 Sea Lift 3rd Party  Equipment in addition to addendum numbers"/>
        <s v="CAT 992 Loader"/>
        <s v="WASTE INCINERATOR VENDOR PACKAGE "/>
        <s v="POTABLE WATER TREATMENT PLANT VENDOR PACKAGE_x000a_VENDOR PACKAGE "/>
        <s v="Incinerator for 380-person temporary soft-walled camp at Milne Port"/>
        <s v="Potable Water System for 380-person temporary soft-walled camp at Milne Port"/>
        <s v="Emergency Response Garage - Demolish floor finish - Slab on grade C/W Drainage"/>
        <s v="Anmar Workshop"/>
        <s v="Sewage Truck Building - Demolish and Decontaminate Building - Fold-away Building (Steel)"/>
        <s v="Waste Incinerators - Demolish and Decontaminate Building - Trailer - Modular (2 or more modules)"/>
        <s v="Power Generation Module #1 - Demolish and Decontaminate Building - Special Modular / Prefabricated"/>
        <s v="Power Generation Module #2 - Demolish and Decontaminate Building - Special Modular / Prefabricated"/>
        <s v="Power Generation Module #3 - Demolish and Decontaminate Building - Special Modular / Prefabricated"/>
        <s v="Power Generation Module #4 - Demolish and Decontaminate Building - Special Modular / Prefabricated"/>
        <s v="Power Generation Module #5 - Demolish and Decontaminate Building - Special Modular / Prefabricated"/>
        <s v="Power Generation Module #6 - Demolish and Decontaminate Building - Special Modular / Prefabricated"/>
        <s v="Power Generation Module #7 - Demolish and Decontaminate Building - Special Modular / Prefabricated"/>
        <s v="Power Generation Module #8 - Demolish and Decontaminate Building - Special Modular / Prefabricated"/>
        <s v="TANK  - EMERGENCY RESPONSE OFFICE SEWAGE COLLECTION TANK - LAGRANGE MECHANICAL SERVICES  _x000a_L: 3791, W: 1829, H: 610 "/>
        <s v="Workshop Office Washcar - Demolish and foundations - Timber Cribbing to Elevate Building"/>
        <s v="TANK  - RAW WATER TANK "/>
        <s v="TANK  - FIRE WATER TANK "/>
        <s v="TANK  - POTABLE WATER STORAGE TANK "/>
        <s v="TANK  - BACKWASH SETTLING TANK "/>
        <s v="Genset modules"/>
        <s v="Conveyors"/>
        <s v="Laydown Pad development - Crushing Plant and Crushed Material Stockpile"/>
        <s v="Pick-Up Truck"/>
        <s v="Welding Shop Building - Demolish and foundations - Precast Footing (Perimeter Beam)"/>
        <s v="Ford F350 Pickup"/>
        <s v="Workshop Office Building - Demolish and foundations - Timber Cribbing to Elevate Building"/>
        <s v="Emergency Response Office - Demolish and Decontaminate Building - Trailer - Modular (2 or more modules)"/>
        <s v="PUMP  - WORKSHOP OFFICE WASHCAR RAW WATER PUMP - SIMER JET PUMPS 2205C  L: 483, W: 275, H: 267 "/>
        <s v="Welding Shop Building - Demolish floor finish - Slab on grade"/>
        <s v="Marine Manifold Building - Demolish and Decontaminate Building - Fold-away Building (Steel)"/>
        <s v="Marine Manifold Building - Demolish and foundations - Precast Footing (Perimeter Beam)"/>
        <s v="Power Generation Stores - Demolish and Decontaminate Building - ISO Shipping Container"/>
        <s v="Diesel Fuel Dispensing Module - Demolish and Decontaminate Building - ISO Shipping Container"/>
        <s v="Sewage Chemical Storage Container - Demolish and Decontaminate Building - ISO Shipping Container"/>
        <s v="Screener"/>
        <s v="Diesel Module"/>
        <s v="Jet A1 Module"/>
        <s v="TANK  - TREATED EFFLUENT TANK "/>
        <s v="TANK, DOUBLE WALLED 2494 LITER"/>
        <s v="TANK  - MILNE EMERGENCY RESPONSE GARAGE DIESEL FUEL TANK - DTE ULC601-07  "/>
        <s v="TANK  - MILNE WELDING SHOP DIESEL FUEL TANK - DTE ULC601-07  "/>
        <s v="TANK  - MAINTENANCE BUILDING DIESEL FUEL TANK - DTE ULC601-07  "/>
        <s v="TANK  - MILNE  WASTE MANAGEMENT BUILDING DIESEL FUEL TANK - DTE ULC601-07  "/>
        <s v="TANK  - MILNE WATER BUILDING DIESEL FUEL TANK - DTE ULC601-07  "/>
        <s v="TANK  - MILNE SEWAGE TRUCK BUILDING DIESEL FUEL TANK - DTE ULC601-07  "/>
        <s v="Accommodation Area E-House #1 - Demolish and Decontaminate Building - Special Modular / Prefabricated"/>
        <s v="Stockpile Reclaim Loader, 988"/>
        <s v="Culverts - IOL"/>
        <s v="Weatherhaven genset fuel bladder berm "/>
        <s v="KENWORTH SERVICE TRUCK TOROMONT ML"/>
        <s v="FREIGHTLINER VAC TRUCK"/>
        <s v="950H SNOW REMOVAL LOADER"/>
        <s v="Electrical sub station"/>
        <s v="Laydown LP5"/>
        <s v="INTERNATIONAL 4400 FUEL TRUCK"/>
        <s v="740B ARTICULATING ROCK TRUCK"/>
        <s v="Sewage Treatment Piping - Piping Installation - Realignment of the effluent discharge line around the new crusher pad in 2018"/>
        <s v="TK Portable Fuel Tank "/>
        <s v="80-person mobile temporary camps for Tote Road construction (2 camps)"/>
        <s v="PQ5A Quarry"/>
        <s v="PQ5B Quarry"/>
        <s v="PQ2A Quarry"/>
        <s v="Laydown No. 1 - 2018 Work Plan"/>
        <s v="KALMAR CONTAINER HANDLER"/>
        <s v="GROVE RT890E CRANE"/>
        <s v="MASABA PORTABLE CONVEYOR"/>
        <s v="345DL EXCAVATOR CATERPILLAR"/>
        <s v="320BL EXCAVATOR CATERPILLAR"/>
        <s v="2008 GEHL LIFT TRUCK"/>
        <s v="988H WHEEL LOADER"/>
        <s v="Grove 60 Ton Crane"/>
        <s v="CAT 988 Loader"/>
        <s v="CAT 345 Excavator"/>
        <s v="John Deere 850 Excavator"/>
        <s v="Stockpile Mobile Feeder"/>
        <s v="Stockpile Mobile Stacker"/>
        <s v="Reclaim Mobile Feeder"/>
        <s v="Container Handler"/>
        <s v="Gantry Crane"/>
        <s v="WESTERN STAR TRI-DRIVE V.I.N. # 5KJRASD18CPBF7663"/>
        <s v="WESTERN STAR TRUCK VIN # 5KJRAS013BPAZ8119"/>
        <s v="WESTERN STAR TRUCK VIN # 5KJRASD1XBPAZ8117"/>
        <s v="WESTERN STAR TRUCK NO: OHT033"/>
        <s v="WESTERN STAR TRUCK NO: OHT028"/>
        <s v="WESTERN STAR TRUCK OTH027"/>
        <s v="WESTERN STAR TRUCK VIN # 5KJRASD14BPAZ8114"/>
        <s v="40' FLATRACK TOLU 897574-0, STC JET FUEL A1 FS II DRUMS 205 L"/>
        <s v="WESTERN STAR TRUCK VIN# 5KJRASD16BPA28115"/>
        <s v="M320F WHEELED EXCAVATOR"/>
        <s v="2015 FREIGHTLINER SERVICE TRUCK"/>
        <s v="2004 PETERBILT TANKER TRUCK VIN# 2NPNHD8X24M822016"/>
        <s v="777G MINING TRUCK"/>
        <s v="60/30 CENTER CAR BODY W BELLY PLATE"/>
        <s v="777G BODY"/>
        <s v="2016 WESTERN STAR TRUCK VIN: 5KJRASD18GPHD7176"/>
        <s v="2016 WESTERN STAR TRUCK VIN: 5KJRASD18GPHD7175"/>
        <s v="WESTERN STAR SNOW PLOW"/>
        <s v="WESTERN STAR PLOW TRUCK"/>
        <s v="WESTERN STAR TRACTOR"/>
        <s v="TRACTOR FRTL CABOVER UNIT 512202"/>
        <s v="TRACTOR FRTL CABOVER UNIT 512402"/>
        <s v="PQ6A Quarry"/>
        <s v="PQ6B Quarry"/>
        <s v="Electrical Shop - Demolish and Decontaminate Building - Fold-away Building (Steel)"/>
        <s v="Accommodation Area E-House #2 - Demolish and Decontaminate Building - Special Modular / Prefabricated"/>
        <s v="Services Area E-House #1 - Demolish and Decontaminate Building - Special Modular / Prefabricated"/>
        <s v="Services Area E-House #2 - Demolish and Decontaminate Building - Special Modular / Prefabricated"/>
        <s v="Electrical Shop - Demolish and foundations - Precast Footing (Perimeter Beam)"/>
        <s v="4400 GAL STAINLESS STEEL WATER TANK"/>
        <s v="SEWAGE TANK SERAIL # ST111-0716"/>
        <s v="WATER TANK SERIAL # WT110-0070"/>
        <s v="TANK  - POTABLE WATER STORAGE TANK (20 m3)"/>
        <s v="TANK  - EMERGENCY RESPONSE OFFICE RAW WATER TANK - NORWESCO  L: 1613, W: 737, H: 1676 "/>
        <s v="Workshop Office Washcar - Demolish floor finish - Raised Steel or Wooden Floor"/>
        <s v="Laydown LP2"/>
        <s v="Sewage Truck Building - Demolish and foundations - Precast Footing (Perimeter Beam)"/>
        <s v="Jet-A1 Fuel Dispensing Module  - Demolish and Decontaminate Building - ISO Shipping Container"/>
        <s v="Ford F550 Mechanics Truck"/>
        <s v="Emergency Response Office - Demolish and foundations - Timber Cribbing to Elevate Building"/>
        <s v="OSHKOSH FIRE TRUCK 1998 -T13000 MILNE"/>
        <s v="FIRE TRUCK"/>
        <s v="GMC C8500 FOUNTAIN TIRE"/>
        <s v="FLOAT TRAILER 20 FT - PINTLE HOOK"/>
        <s v="48 PASSENGER BUS"/>
        <s v="24 PASSENGER BUS"/>
        <s v="D6T CATERPILLAR DOZER"/>
        <s v="PETERBILT WATER TRUCK ML  2013"/>
        <s v="WATER TRUCK"/>
        <s v="KENWORTH WATER/METHANOL TRUCK"/>
        <s v="KENWORTH T800 W/ KNUCKLE BOOM 2004"/>
        <s v="PETERBILT 367 2014"/>
        <s v="PETERBILT 379 2014"/>
        <s v="PETERBILT ROLL OFF TRUCK"/>
        <s v="JLG MAN LIFT"/>
        <s v="JLG MAN LIFT Z45/25"/>
        <s v="JLG MAN LIFT Z60/34"/>
        <s v="JLG MAN LIFT 450 AJ SERIES"/>
        <s v="ROLLER CP563E"/>
        <s v="TELEHANDLER CAT TL1255"/>
        <s v="TELEHANDLER GEHL"/>
        <s v="CAT TELEHANDLER TL1055C"/>
        <s v="MINI-CRAWLER CRANE URW-295 (diesel)"/>
        <s v="Freightliner School Bus"/>
        <s v="Kenworth Fuel Lube Truck"/>
        <s v="CAT 930 Loader"/>
        <s v="Generator 3412-725 KW (Seacan)"/>
        <s v="Lunch Rooms"/>
        <s v="Man Lift"/>
        <s v="Zoom Boom"/>
        <s v="Boom Truck"/>
        <s v="Passenger Bus"/>
        <s v="Integrated Tool Carrier, 938"/>
        <s v="WRECKER TRUCK"/>
        <s v="FREIGHT HAUL TRACTOR ,"/>
        <s v="MAINTENANCE FUEL/LUBE TRUCK ,"/>
        <s v="FORD F-350 SILVER PICK-UP , VIN # 1FTWW3BROAEB22478"/>
        <s v="HYDRAULIC PRESS"/>
        <s v="FORD F-550 WHITE SERVICE TRUCK XLT FEC061335A"/>
        <s v="FORD F-550 WHITE SERVICE TRUCK XLT FEC061336A"/>
        <s v="2008 KENWORTH MECHANICAL TRUCK VIN# 2NKMHN7XX8M212914"/>
        <s v="MOBILE OFFICE ON WHEELS SERIAL # 240073498"/>
        <s v="FLATBED 3 AXLES 533C001"/>
        <s v="FLATBED 3 AXLES 133W003"/>
        <s v="FLATBED 3 AXLES UNIT 833X004"/>
        <s v="STEP DECK 3 AXLES UNIT 5334652"/>
        <s v="Electrical office - Demolish and Decontaminate Building - Fold-away Building (Steel)"/>
        <s v="INGERSOLL RAND LIGHT TOWER"/>
        <s v="JOHN DEREE LIGHT TOWER"/>
        <s v="F350 AMBULANCE 2014"/>
        <s v="FOUNTAIN TIRE ATLAS COPCO COMPRESSOR"/>
        <s v="FORKLIFT CATERPILLAR PD7000"/>
        <s v="FORKLIFT CATERPILLAR 2ET4000"/>
        <s v="FORKLIFT MITSUBISHI FB20PNT"/>
        <s v="FORKLIFT CATERPILLAR DP40K-D"/>
        <s v="FORKLIFT VALLEE"/>
        <s v="FLAMELESS SPARKLESS HEATER"/>
        <s v="HOTSY MOUNTED ON TRAILER"/>
        <s v="F350 SD CREW CAB 4X4 2014"/>
        <s v="F250 SD CREW CAB 4X4 2008"/>
        <s v="F250 SD CREW CAB 4X4 2013"/>
        <s v="F350 SD CREW CAB 4X4 2008"/>
        <s v="F350 SD CREW CAB 4X4 2013"/>
        <s v="F250 CREW CAB 4X4 - 2011"/>
        <s v="F350 CREW CAB 4X4"/>
        <s v="F250 CREW CAB 4X4 2012"/>
        <s v="Addition of 80 person mobile camp on Tote Road (1 of 2)"/>
        <s v="F350 CREW CAB 4X4 2008"/>
        <s v="F550 SD CREW CAB 4X4 2013   DECK TRUCK"/>
        <s v="F550 SD CREW CAB 4X4 2013"/>
        <s v="F550 SERVICE TRUCK FOUNTAIN TIRE 2015"/>
        <s v="PORTABLE WATR PUMP"/>
        <s v="SKID STEER CATERPILLAR 247B"/>
        <s v="SKID STEER CATERPILLAR 289C ALL TERRAIN"/>
        <s v="SKID STEER CATERPILLAR 246 ALL TERRAIN"/>
        <s v="CAT SKID STEER 2622C2"/>
        <s v="SCISSOR LIFT 01"/>
        <s v="SCISSOR LIFT 02"/>
        <s v="SCISSOR LIFT 04"/>
        <s v="SCISSOR LIFT 05"/>
        <s v="SCISSOR LIFT 06"/>
        <s v="SKYJACK/MANLIFT"/>
        <s v="SKYJACK/SCISSOR LIFT"/>
        <s v="MANLIFT - CROWN WAVE"/>
        <s v="TUNDRA SKI-DOO 2007"/>
        <s v="TUNDRA SKI-DOO 2008"/>
        <s v="SIDE BY SIDE KUBOTA RTV900"/>
        <s v="SIDE BY SIDE BOBCAT"/>
        <s v="TRAILER TANDEM UTILITY FLAT DECK"/>
        <s v="WELDER LINCOLN 300D"/>
        <s v="WELDER MILLER AIR PAK"/>
        <s v="SNOW BLOWER VOHL DV4000"/>
        <s v="Skid-steer"/>
        <s v="Flat Deck Truck"/>
        <s v="Mini-Crane"/>
        <s v="Marine Patrol Boat"/>
        <s v="MECHANICS TRUCK,"/>
        <s v="SKELETON TRAILER,"/>
        <s v="CATERPILLAR 2620 SKID STEER LOADER C/W BUCKET (BOBCAT) S/N 6555GP113734, VIN # CAT0262DVLST00504"/>
        <s v="GENSET RADIATOR"/>
        <s v="SW-95 IRONWORKER"/>
        <s v="KNEE MILL"/>
        <s v="BANDSAW"/>
        <s v="LATHE"/>
        <s v="TANK  - WORKSHOP OFFICE WASHCAR SEWAGE COLLECTION TANK - LAGRANGE MECHANICAL SERVICES  L: 3791  W: 1829  H: 610 "/>
        <s v="Communication Shed  - Demolish Building - ISO Shipping Container"/>
        <s v="Fuel Tank Farm E-House - Demolish and Decontaminate Building - Special Modular / Prefabricated"/>
        <s v="Satellite Dish Sea Can - Demolish and Decontaminate Building - Undefined"/>
        <s v="Satellite Dish Sea Can - Demolish and foundations - Undefined"/>
        <s v="Satellite Dish Sea Can - Demolish floor finish - Undefined"/>
        <s v="Dock Office - Demolish and Decontaminate Building - Trailer - Single"/>
        <s v="Dock Office - Demolish and foundations - Gravel Base - Skidded Building"/>
        <s v="Dock Office - Demolish floor finish - Raised Steel or Wooden Floor"/>
        <s v="Additional sealift laydown area"/>
        <s v="Shiploading E-House - Demolish and Decontaminate Building - Special Modular / Prefabricated"/>
        <s v="Shiploading E-House - Demolish and foundations - Gravel Base - Skidded Building"/>
        <s v="Shiploading E-House - Demolish floor finish - Raised Steel or Wooden Floor"/>
        <s v="Shiploader Package"/>
        <s v="Shiploader E-House #1 - Demolish and Decontaminate Building - Undefined"/>
        <s v="Shiploader E-House #1 - Demolish and foundations - Undefined"/>
        <s v="Shiploader E-House #1 - Demolish floor finish - Undefined"/>
        <s v="Shiploader E-House #2 - Demolish and Decontaminate Building - Undefined"/>
        <s v="Shiploader E-House #2 - Demolish and foundations - Undefined"/>
        <s v="Shiploader E-House #2 - Demolish floor finish - Undefined"/>
        <s v="CHUTE / DIVERTER  - SHIPLOADER PROPORTIONAL GATE - FAM  "/>
        <s v="CHUTE / DIVERTER  - SHIPLOADING PROPORTIONAL DIVERTER DISCHARGE CHUTE - FAM  "/>
        <s v="CHUTE / DIVERTER  - SHIPLOADER DISCHARGE CHUTE - FAM  "/>
        <s v="CHUTE / DIVERTER  - SHIPLOADER LINK CONVEYOR DISCHARGE CHUTE - FAM  "/>
        <s v="CONVEYING  - SHIPLOADER LINK CONVEYOR - FAM  212330 kg"/>
        <s v="   SHIPLOADER LINK CONVEYOR DRIVE  "/>
        <s v="   SHIPLOADER LINK CONVEYOR BRAKE  "/>
        <s v="   SHIPLOADER LINK CONVEYOR DIVIDER CHUTE MOVING SADDLE  "/>
        <s v="   SHIPLOADER LINK CONVEYOR DEDUSTING SYSTEM FAN  "/>
        <s v="   SHIPLOADER LINK CONVEYOR DEDUSTING SYSTEM COMPRESSOR  "/>
        <s v="   SHIPLOADER LINK CONVEYOR MAINTENANCE WINCH  "/>
        <s v="SHIPLOADER  - SHIPLOADER  - FAM  1960000 kg"/>
        <s v="   SHIPLOADER BOOM CONVEYOR DRIVE  "/>
        <s v="   SHIPLOADER BOOM CONVEYOR BRAKE  "/>
        <s v="   SHIPLOADER HOISTING WINCH DRIVE TELESCOPIC CHUTE  "/>
        <s v="   SHIPLOADER SLEWING DRIVE  "/>
        <s v="   SHIPLOADER SLEWING DRIVE BRAKE  "/>
        <s v="   SHIPLOADER SLEWING DRIVE TRIMMING SPOON  "/>
        <s v="   SHIPLOADER LUFFING DRIVE TRIMMING SPOON  "/>
        <s v="   SHIPLOADER SHUTTLE DRIVE DISCHARGE CONVEYOR  "/>
        <s v="   SHIPLOADER SHUTTLE DRIVE FAN  "/>
        <s v="   SHIPLOADER CENTRAL LUBE SYSTEM  "/>
        <s v="   SHIPLOADER PINION LUBE SYSTEM  "/>
        <s v="   SHIPLOADER DEDUSTING SYSTEM FAN  "/>
        <s v="   SHIPLOADER DEDUSTING SYSTEM COMPRESSOR  "/>
        <s v="   SHIPLOADER MAINTENANCE WINCH  "/>
        <s v="SHIPLOADER  - SHIPLOADER  - FAM  "/>
        <s v="   SHIPLOADER SHUTTLE DRIVE BRAKE  "/>
        <s v="GENERATOR  - STOCKPILE GENERATOR - CUMMINS C500DR6G  _x000a_L: 6070, W: 2440, H: 3760, 29440 kg"/>
        <s v="Addition of 80 person mobile camp on Tote Road (2 of 2)"/>
        <s v="Q1 Quarry (additional marginal increase in 2018)"/>
        <s v="FEEDER  - FINES STOCKPILE MOBILE FEEDER - MASABA MINING EQUIPMENT  "/>
        <s v="FEEDER  - LUMPS STOCKPILE MOBILE FEEDER - MASABA MINING EQUIPMENT  "/>
        <s v="STACKER / STOCKPILE  - LUMPS STOCKPILE MOBILE STACKER - MASABA MINING EQUIPMENT  "/>
        <s v="STACKER / STOCKPILE  - FINES STOCKPILE MOBILE STACKER - MASABA MINING EQUIPMENT  "/>
        <s v="FEEDER  - STOCKPILE MOBILE FEEDER - MASABA MINING EQUIPMENT  "/>
        <s v="STACKER / STOCKPILE  - STOCKPILE MOBILE STACKER  - MASABA MINING EQUIPMENT  "/>
        <s v="CHUTE / DIVERTER  - RECLAIM CONVEYOR DISCHARGE CHUTE - FAM  "/>
        <s v="CHUTE / DIVERTER  - RECLAIM CONVEYOR MOBILE CHUTE - FAM  "/>
        <s v="FEEDER  - MOBILE FEEDER - MASABA MINING EQUIPMENT  "/>
        <s v="HOPPER  - SAMPLER BIN  - FAM  "/>
        <s v="SAMPLER  - ORE SAMPLER - FAM  _x000a_L: N/A, W: N/A, H: N/A "/>
        <s v="FEEDER  - RECLAIM MOBILE FEEDER - MASABA MINING EQUIPMENT  "/>
        <s v="Accommodation Service Core Extension - Demolish and Decontaminate Building - Special Modular / Prefabricated"/>
        <s v="Accommodation Service Core Extension - Demolish and foundations - Gravel Base - Skidded Building"/>
        <s v="Accommodation Service Core Extension - Demolish floor finish - Raised Steel or Wooden Floor"/>
        <s v="Accommodation Change Rooms - Demolish and Decontaminate Building - Special Modular / Prefabricated"/>
        <s v="Accommodation Change Rooms - Demolish and foundations - Gravel Base - Skidded Building"/>
        <s v="Accommodation Change Rooms - Demolish floor finish - Raised Steel or Wooden Floor"/>
        <s v="Accommodation Exercise Facility - Demolish and Decontaminate Building - Special Modular / Prefabricated"/>
        <s v="Accommodation Exercise Facility - Demolish and foundations - Gravel Base - Skidded Building"/>
        <s v="Accommodation Exercise Facility - Demolish floor finish - Raised Steel or Wooden Floor"/>
        <s v="Accommodation Arctic Corridor Extension - Demolish and Decontaminate Building - Special Modular / Prefabricated"/>
        <s v="Accommodation Arctic Corridor Extension - Demolish and foundations - Gravel Base - Skidded Building"/>
        <s v="Accommodation Arctic Corridor Extension - Demolish floor finish - Raised Steel or Wooden Floor"/>
        <s v="Accommodation Wing BE - Demolish and Decontaminate Building - Special Modular / Prefabricated"/>
        <s v="Accommodation Wing BE - Demolish and foundations - Gravel Base - Skidded Building"/>
        <s v="Accommodation Wing BE - Demolish floor finish - Raised Steel or Wooden Floor"/>
        <s v="Accommodation Wing BF - Demolish and Decontaminate Building - Special Modular / Prefabricated"/>
        <s v="Accommodation Wing BF - Demolish and foundations - Gravel Base - Skidded Building"/>
        <s v="Accommodation Wing BF - Demolish floor finish - Raised Steel or Wooden Floor"/>
        <s v="Accommodation Wing BG - Demolish and Decontaminate Building - Special Modular / Prefabricated"/>
        <s v="Accommodation Wing BH - Demolish and Decontaminate Building - Special Modular / Prefabricated"/>
        <s v="Maintenance Building #2 - Demolish and Decontaminate Building - Fold-away Building (Steel)"/>
        <s v="Maintenance Building #2 - Demolish and foundations - Precast Footing (Perimeter Beam)"/>
        <s v="Maintenance Building #2 - Demolish floor finish - Slab on grade C/W Drainage"/>
        <s v="Welding Shop Building #2 - Demolish and Decontaminate Building - Fold-away Building (Steel)"/>
        <s v="Welding Shop Building #2- Demolish and foundations - Precast Footing (Perimeter Beam)"/>
        <s v="Welding Shop Building #2- Demolish floor finish - Slab on grade"/>
        <s v="SHOP / MAINTENANCE EQUIPMENT  - MAGNETIC BASE DRILL  - AG - MTL4210-1  33 kg"/>
        <s v="SHOP / MAINTENANCE EQUIPMENT  - PORTABLE WELDING FUME EXTRACTOR - AG - NED12634345  73 kg"/>
        <s v="SHOP / MAINTENANCE EQUIPMENT  - PARTS WASHER  - AG - GRYPL422A  _x000a_L: 1070, W: 560, H: 406, 84 kg"/>
        <s v="SHOP / MAINTENANCE EQUIPMENT  - PARTS WASHER  - AG - GRYPL422A  L: 1070, W: 560, H: 406, 84 kg"/>
        <s v="Truck Wash (Repurposed Warehouse) - Demolish and Decontaminate Building - Fold-away Building (Steel)"/>
        <s v="Truck Wash (Repurposed Warehouse) - Demolish and foundations - Precast Footing (Perimeter Beam)"/>
        <s v="Truck Wash (Repurposed Warehouse) - Demolish floor finish - Gravel"/>
        <s v="SHOP / MAINTENANCE EQUIPMENT  - AEROSOL CAN RECYCLING SYSTEM - AG - SAYCPU03  5 kg"/>
        <s v="Hazardous Waste Berm at Milne Inlet - New waste management building"/>
        <s v="Future Hazardous Waste Berm"/>
        <s v="PUMP  - RAW SEWAGE LIFT STATION "/>
        <s v="PUMP  - EMERGENCY RESPONSE OFFICE RAW WATER PUMP - SIMER JET PUMPS 2205C  L: 483, W: 275, H: 267"/>
        <s v="   RAW WATER TANK PUMP  "/>
        <s v="PUMP  - MILNE EMERGENCY RESPONSE GARAGE FUEL OIL PUMP (PUMP) - VIKING DUPLEX OIL SYSTEMS  "/>
        <s v="   FUEL OIL PUMP  "/>
        <s v="PUMP  - MILNE EMERGENCY RESPONSE GARAGE FUEL OIL PUMP (STANDBY) - VIKING DUPLEX OIL SYSTEMS  "/>
        <s v="SHOP / MAINTENANCE EQUIPMENT  - DRY CHEMICAL REFILL STATION - TYCO FIRE PROTECTION  "/>
        <s v="PUMP  - MAINTENANCE BUILDING FUEL OIL PUMP (DUTY) - VIKING DUPLEX OIL SYSTEMS  "/>
        <s v="PUMP  - MAINTENANCE BUILDING FUEL OIL PUMP (STANDBY) - VIKING DUPLEX OIL SYSTEMS  "/>
        <s v="PUMP  - MILNE WELDING SHOP FUEL OIL PUMP (DUTY) - VIKING DUPLEX OIL SYSTEMS  "/>
        <s v="PUMP  - MILNE WELDING SHOP FUEL OIL PUMP (STANDBY) - VIKING DUPLEX OIL SYSTEMS  "/>
        <s v="SHOP / MAINTENANCE EQUIPMENT  - EVAC TANK  - NORTHERN TOOL 30070V  _x000a_L: 1118, W: 508, H: 1093, 200 kg"/>
        <s v="SHOP / MAINTENANCE EQUIPMENT  - DRILL PRESS  - AG - DPE18-900  _x000a_L: 508, W: 356, H: 1778, 120 kg"/>
        <s v="P8 Quarry"/>
        <s v="PQ12B Quarry"/>
        <s v="PQ14A Quarry"/>
        <s v="PQ14B Quarry"/>
        <s v="2018 Tote Road Improvements (Twinned Sections) - CROWN"/>
        <s v="Laydown Pad development (Crusher Pad Expansion)"/>
        <s v="2017 - Diesel tanks on sea lift"/>
        <s v="Heated facility for emulsion truck parking"/>
        <s v="Treated Effluent Piping - Piping installation - 2018 Realignment of the effluent discharge line"/>
        <s v="Fuel System Piping - Realignment of the fuel manifold"/>
        <s v="Ore Stockpile Laydown - Realignment of the shipload conveyor"/>
        <s v="Laydown R3  (2017 Carry Over)"/>
        <s v="PQ4A Quarry"/>
        <s v="PQ4B Quarry"/>
        <s v="Laydown No. 10 - 2018 Work Plan"/>
        <s v="Herman Nelson extreme cold BT400NEX-D4A"/>
        <s v="Laydown Pad development - KM12.8 Explosives Magazine"/>
        <s v="E-House"/>
        <s v="Apron Feeder (TK)"/>
        <s v="SHOP / MAINTENANCE EQUIPMENT  - OIL FILTER PRESS  - OBERG P300  _x000a_L: 1524, W: 914, H: 2640, 680 kg"/>
        <s v="SHOP / MAINTENANCE EQUIPMENT  - HYDRAULIC PORTA POWER PUMP  - AG  "/>
        <s v="SHOP / MAINTENANCE EQUIPMENT  - WELDING MACHINE  - AG - MLW951-277  _x000a_L: 965, W: 584, H: 762, 192 kg"/>
        <s v="SHOP / MAINTENANCE EQUIPMENT  - PORTABLE WELDING SPARK PROTECTOR - AG - NED12375241  "/>
        <s v="SHOP / MAINTENANCE EQUIPMENT  - SWEEPER  - AG  "/>
        <s v="SHOP / MAINTENANCE EQUIPMENT  - TIRE CHANGER  - COATS APX80A  "/>
        <s v="SHOP / MAINTENANCE EQUIPMENT  - BULK FLUID DISTRIBUTION SYSTEM  - AG  "/>
        <s v="SHOP / MAINTENANCE EQUIPMENT  - TIRE SPREADER  - ZHUHAI TEAMROC TR-S825  "/>
        <s v="SHOP / MAINTENANCE EQUIPMENT  - BENCH GRINDER  - AG - WSWBG10D  W: 610, H: 345 "/>
        <s v="   BENCH GRINDER  "/>
        <s v="SHOP / MAINTENANCE EQUIPMENT  - TRUCK MOUNT GOODALL BOOST SYSTEM - AG  "/>
        <s v="SHOP / MAINTENANCE EQUIPMENT  - GOODALL BOOST SYSTEM  - AG  "/>
        <s v="SHOP / MAINTENANCE EQUIPMENT  - A/C RECOVERY RECHARGE UNIT - ROBINAIR RBN17800B _x000a_L: 584, W: 864, H: 1120, 110 kg"/>
        <s v="SHOP / MAINTENANCE EQUIPMENT  - BATTERY CHARGER  - AG - WSW1JYU3  "/>
        <s v="SHOP / MAINTENANCE EQUIPMENT  - TUBE BENDER  - AG  "/>
        <s v="PUMP  - MILNE WASTE MANAGEMENT BUILDING FUEL OIL PUMP (DUTY) - VIKING DUPLEX OIL SYSTEMS  "/>
        <s v="PUMP  - MILNE WASTE MANAGEMENT BUILDING FUEL OIL PUMP (STANDBY) - VIKING DUPLEX OIL SYSTEMS  "/>
        <s v="SHOP / MAINTENANCE EQUIPMENT  - DRUM CRUSHER  - AG - VESHDC900IDC  650 kg"/>
        <s v="SHOP / MAINTENANCE EQUIPMENT  - PLATFORM SCALE  - AG - OHAVX32XW10000X  "/>
        <s v="PUMP  - OIL WATER SEPARATOR FEED PUMP "/>
        <s v="FUEL DISPENSER  - EXISTING DIESEL FUEL DISPENSING MODULE "/>
        <s v="FUEL DISPENSER  - DIESEL FUEL DISPENSING MODULE "/>
        <s v="PUMP  - DIESEL FUEL DISPENSING MODULE ARCTIC DIESEL PUMP NO.1 "/>
        <s v="PUMP  - DIESEL FUEL DISPENSING MODULE ARCTIC DIESEL PUMP NO.2 "/>
        <s v="PUMP  - DIESEL FUEL DISPENSING MODULE ARCTIC DIESEL PUMP NO.3 "/>
        <s v="PUMP  - DIESEL FUEL DISPENSING MODULE ARCTIC DIESEL PUMP NO.4 "/>
        <s v="PUMP  - DIESEL FUEL DISPENSING MODULE ARCTIC DIESEL PUMP NO.5 "/>
        <s v="PUMP  - DIESEL FUEL DISPENSING MODULE ARCTIC DIESEL PUMP NO.6 "/>
        <s v="FUEL DISPENSER  - JET-A1 FUEL DISPENSING MODULE "/>
        <s v="FIRE SERVICES  - JET-A1 FUEL DIESPENSING MODULE FUELLING STATION "/>
        <s v="PUMP  - JET-A1 FUEL DIESPENSING MODULE DISCHARGE PUMP "/>
        <s v="GENERATOR  - GENERATOR  "/>
        <s v="Additional Light Size tanks"/>
        <s v="Additional Medium Size tanks"/>
        <s v="TANK  - RAW WATER TANK (25 m3)"/>
        <s v="Accommodation Area E-House #3 - Demolish and Decontaminate Building - Special Modular / Prefabricated"/>
        <s v="Accommodation Area E-House #3 - Demolish and foundations - Gravel Base - Skidded Building"/>
        <s v="Accommodation Area E-House #3 - Demolish floor finish - Raised Steel or Wooden Floor"/>
        <s v="Services Area E-House #3 - Demolish and Decontaminate Building - Special Modular / Prefabricated"/>
        <s v="Services Area E-House #3 - Demolish and foundations - Gravel Base - Skidded Building"/>
        <s v="Services Area E-House #3 - Demolish floor finish - Raised Steel or Wooden Floor"/>
        <s v="PUMP  - RAW WATER DISTRIBUTION PUMP "/>
        <s v="PUMP  - DIESEL FIRE WATER PUMP "/>
        <s v="PUMP  - ELECTRIC FIRE WATER PUMP "/>
        <s v="PUMP  - JOCKEY PUMP "/>
        <s v="PUMP  - POTABLE WATER DISCHARGE PUMP NO.1 "/>
        <s v="PUMP  - POTABLE WATER DISCHARGE PUMP NO.2 "/>
        <s v="PUMP  - BACKWASH SLURRY PUMP "/>
        <s v="PUMP  - CLEAN BACKWASH PUMP "/>
        <s v="PUMP  - RAW WATER UNLOADING PUMP - HAYWARD GORDON S-3 "/>
        <s v="PUMP  - MILNE WATER BUILDING FUEL OIL PUMP (DUTY) - VIKING DUPLEX OIL SYSTEMS  "/>
        <s v="PUMP  - MILNE WATER BUILDING FUEL OIL PUMP (STANDBY) - VIKING DUPLEX OIL SYSTEMS  "/>
        <s v="PUMP  - TREATED EFFLUENT DISCHARGE PUMP NO.1 "/>
        <s v="PUMP  - TREATED EFFLUENT DISCHARGE PUMP NO.2 "/>
        <s v="SCREEN  - SCREEN  "/>
        <s v="PUMP  - MILNE SEWAGE TRUCK BUILDING FUEL OIL PUMP (DUTY) - VIKING DUPLEX OIL SYSTEMS  "/>
        <s v="PUMP  - MILNE SEWAGE TRUCK BUILDING FUEL OIL PUMP (STANDBY) - VIKING DUPLEX OIL SYSTEMS  "/>
        <s v="RECLAIM CONVEYOR  "/>
        <s v="SPOT  "/>
        <s v="FEEDER CABIN  "/>
        <s v="AIR CONDITIONER E-HOUSE  "/>
        <s v="HEATER E-HOUSE  "/>
        <s v="DUST COLLECTOR E-HOUSE  "/>
        <s v="WELDING RECEPTACLE  "/>
        <s v="HEATER/ILLUMINATION OUTDOOR/INDOOR SWITCH GEAR  "/>
        <s v="Fuel Tank Farm E-House - Demolish and foundations - Gravel Base - Skidded Building"/>
        <s v="Fuel Tank Farm E-House - Demolish floor finish - Raised Steel or Wooden Floor"/>
        <s v="Diesel Fuel Dispensing Module - Demolish floor finish - Raised Steel or Wooden Floor"/>
        <s v="Jet-A1 Fuel Dispensing Module  - Demolish floor finish - Raised Steel or Wooden Floor"/>
        <s v="Communication Shed  - Demolish and foundations - Gravel Base - Skidded Building"/>
        <s v="Communication Shed  - Demolish floor finish - Raised Steel or Wooden Floor"/>
        <s v="Diesel Fuel Dispensing Module - Demolish and foundations - Gravel Base - Skidded Building"/>
        <s v="Jet-A1 Fuel Dispensing Module  - Demolish and foundations - Gravel Base - Skidded Building"/>
        <s v="Electrical office - Demolish and foundations - Precast Footing (Perimeter Beam)"/>
        <s v="Electrical office - Demolish floor finish - Gravel"/>
        <s v="Power Generation Stores - Demolish and foundations - Gravel Base - Skidded Building"/>
        <s v="Power Generation Stores - Demolish floor finish - Raised Steel or Wooden Floor"/>
        <s v="Sewage Chemical Storage Container - Demolish and foundations - Gravel Base - Skidded Building"/>
        <s v="Sewage Chemical Storage Container - Demolish floor finish - Raised Steel or Wooden Floor"/>
        <s v="Marine Manifold Building - Demolish floor finish - Raised Steel or Wooden Floor"/>
        <s v="Pit Office Washcar - Demolish and Decontaminate Building - Trailer - Single"/>
        <s v="Accommodation Area E-House #2 - Demolish and foundations - Gravel Base - Skidded Building"/>
        <s v="Accommodation Area E-House #2 - Demolish floor finish - Raised Steel or Wooden Floor"/>
        <s v="Services Area E-House #1 - Demolish and foundations - Gravel Base - Skidded Building"/>
        <s v="Services Area E-House #1 - Demolish floor finish - Raised Steel or Wooden Floor"/>
        <s v="Services Area E-House #2 - Demolish and foundations - Gravel Base - Skidded Building"/>
        <s v="Services Area E-House #2 - Demolish floor finish - Raised Steel or Wooden Floor"/>
        <s v="Power Generation Module #1 - Demolish and foundations - Gravel Base - Skidded Building"/>
        <s v="Power Generation Module #1 - Demolish floor finish - Raised Steel or Wooden Floor"/>
        <s v="Power Generation Module #2 - Demolish and foundations - Gravel Base - Skidded Building"/>
        <s v="Power Generation Module #2 - Demolish floor finish - Raised Steel or Wooden Floor"/>
        <s v="Power Generation Module #3 - Demolish and foundations - Gravel Base - Skidded Building"/>
        <s v="Power Generation Module #3 - Demolish floor finish - Raised Steel or Wooden Floor"/>
        <s v="Power Generation Module #4 - Demolish and foundations - Gravel Base - Skidded Building"/>
        <s v="Power Generation Module #4 - Demolish floor finish - Raised Steel or Wooden Floor"/>
        <s v="Power Generation Module #5 - Demolish and foundations - Gravel Base - Skidded Building"/>
        <s v="Power Generation Module #5 - Demolish floor finish - Raised Steel or Wooden Floor"/>
        <s v="Power Generation Module #6 - Demolish and foundations - Gravel Base - Skidded Building"/>
        <s v="Power Generation Module #6 - Demolish floor finish - Raised Steel or Wooden Floor"/>
        <s v="Power Generation Module #7 - Demolish and foundations - Gravel Base - Skidded Building"/>
        <s v="Power Generation Module #7 - Demolish floor finish - Raised Steel or Wooden Floor"/>
        <s v="Power Generation Module #8 - Demolish and foundations - Gravel Base - Skidded Building"/>
        <s v="Power Generation Module #8 - Demolish floor finish - Raised Steel or Wooden Floor"/>
        <s v="Waste Incinerators - Demolish and foundations - Gravel Base - Skidded Building"/>
        <s v="Waste Incinerators - Demolish floor finish - Raised Steel or Wooden Floor"/>
        <s v="Sewage Truck Building - Demolish floor finish - Gravel"/>
        <s v="Electrical Shop - Demolish floor finish - Gravel"/>
        <s v="Accommodation Area E-House #1 - Demolish and foundations - Gravel Base - Skidded Building"/>
        <s v="Accommodation Area E-House #1 - Demolish floor finish - Raised Steel or Wooden Floor"/>
        <s v="Power Generation E-House #1 - Demolish and foundations - Gravel Base - Skidded Building"/>
        <s v="Power Generation E-House #1 - Demolish floor finish - Raised Steel or Wooden Floor"/>
        <s v="Power Generation E-House #2 - Demolish and foundations - Gravel Base - Skidded Building"/>
        <s v="Power Generation E-House #2 - Demolish floor finish - Raised Steel or Wooden Floor"/>
        <s v="Emergency Response Office - Demolish floor finish - Raised Steel or Wooden Floor"/>
        <s v="Sewage Treatment Piping - Heat Trace Installation - Sewage truck bldg to STP"/>
        <s v="Sewage Treatment Plant - Demolish and foundations - Gravel Base - Skidded Building"/>
        <s v="Sewage Treatment Plant - Demolish floor finish - Raised Steel or Wooden Floor"/>
        <s v="Workshop Office Building - Demolish floor finish - Raised Steel or Wooden Floor"/>
        <s v="Accommodation Office - Demolish and foundations - Gravel Base - Skidded Building"/>
        <s v="Accommodation Office - Demolish floor finish - Raised Steel or Wooden Floor"/>
        <s v="Water Building - Demolish floor finish - Gravel"/>
        <s v="Accommodation Laundry - Demolish and foundations - Gravel Base - Skidded Building"/>
        <s v="Accommodation Laundry - Demolish floor finish - Raised Steel or Wooden Floor"/>
        <s v="Accommodation Wing BA - Demolish and foundations - Gravel Base - Skidded Building"/>
        <s v="Accommodation Wing BA - Demolish floor finish - Raised Steel or Wooden Floor"/>
        <s v="Accommodation Wing BB - Demolish and foundations - Gravel Base - Skidded Building"/>
        <s v="Accommodation Wing BB - Demolish floor finish - Raised Steel or Wooden Floor"/>
        <s v="Accommodation Wing BC - Demolish and foundations - Gravel Base - Skidded Building"/>
        <s v="Accommodation Wing BC - Demolish floor finish - Raised Steel or Wooden Floor"/>
        <s v="Accommodation Wing BD - Demolish and foundations - Gravel Base - Skidded Building"/>
        <s v="Accommodation Wing BD - Demolish floor finish - Raised Steel or Wooden Floor"/>
        <s v="Treated Effluent Piping - Heat Trace Installation - STP to effluent pond and ocean discharge"/>
        <s v="Accommodation Service Core - Demolish and foundations - Gravel Base - Skidded Building"/>
        <s v="Accommodation Service Core - Demolish floor finish - Raised Steel or Wooden Floor"/>
        <s v="MOBILE EQUIPMENT  - PICKUP TRUCK  - FORD F350  _x000a_L: 6274 _x000a_W: 2665, H: 2032, 6350 kg"/>
        <s v="MOBILE EQUIPMENT  - PICKUP TRUCK  - FORD F350  _x000a_L: 6274, W: 2665, H: 2032, 6350 kg"/>
        <s v="MOBILE EQUIPMENT  - STOCKPILE FRONT END LOADER - CAT 988H  L: 10390, W: 3600, H: 4115, 43400 kg"/>
        <s v="MOBILE EQUIPMENT  - NIGHT WORK AREA LIGHT PLANTS - TEREX AL4  _x000a_L: 4623, W: 2007, H: 9000, 925 kg"/>
        <s v="MOBILE EQUIPMENT  - CONVEYOR CLEANUP/SNOW REMOVAL ALL TERRAIN LOADER - CAT 247B  _x000a_L: 3277, W: 1676, H: 3810, 3175 kg"/>
        <s v="MOBILE EQUIPMENT  - STOCKPILE RECLAIM FRONT END LOADER - CAT 988H   _x000a_L: 10390, W: 3600, H: 4115, 43400 kg"/>
        <s v="MOBILE EQUIPMENT  - SITE MAINTENANCE GRADER - CAT 14M  _x000a_L: 9412, W: 2791, H: 3535, 24400 kg"/>
        <s v="MOBILE EQUIPMENT  - SITE MAINTENANCE TRACK DOZER - CAT D6T XW  _x000a_L: 4064, W: 2464, H: 2439, 21600 kg"/>
        <s v="MOBILE EQUIPMENT  - PLANT AND MOBILE EQUIPMENT MAINTENANCE SERVICE TRUCK - FORD F550  _x000a_L: 7264, W: 2418, H: 2022, 7300 kg"/>
        <s v="MOBILE EQUIPMENT  - PLANT AND MOBILE EQUIPMENT MAINTENANCE SERVICE TRUCK - PETERBILT 348  _x000a_L: 7264, W: 2418, H: 2022, 7300 kg"/>
        <s v="MOBILE EQUIPMENT  - SITE MAINTENANCE SMALL LOADER - CAT 930K  _x000a_L: 6050, W: 2390, H: 3150, 9600 kg"/>
        <s v="MOBILE EQUIPMENT  - SITE MAINTENANCE MID SIZE EXCAVATOR - CAT 345DL  _x000a_L: 11910, W: 3490, H: 3770, 45000 kg"/>
        <s v="MOBILE EQUIPMENT  - MAINTENANCE FUEL/LUBE TRUCK - KENWORTH T800  "/>
        <s v="MOBILE EQUIPMENT  - MINE/TOTE ROAD MAINTENANCE PLOW/SAND TRUCK - WESTERN STAR 4700 SF  "/>
        <s v="MOBILE EQUIPMENT  - SITE DEWATERING PUMP - GORMAN-RUPP 14C2-F3L  _x000a_L: 2057, W: 979, H: 1510, 834 kg"/>
        <s v="MOBILE EQUIPMENT  - MAINTENANCE HOT BOX - ECOBLAZE CUBE 1100  _x000a_L: 4877, W: 2235, H: 1829, 1850 kg"/>
        <s v="MOBILE EQUIPMENT  - MAINTENANCE TRAILER WELDER "/>
        <s v="MOBILE EQUIPMENT  - FREIGHT TELEHANDLER - CAT TH514  _x000a_L: 6100, W: 2570, H: 2570, 15800 kg"/>
        <s v="MOBILE EQUIPMENT  - TOTE ROAD MAINTENANCE GRADER - CAT 14M  _x000a_L: 9412, W: 2791, H: 3535, 24400 kg"/>
        <s v="MOBILE EQUIPMENT  - TOTE ROAD MAINTENANCE COMPACTOR - CAT CS56  _x000a_L: 5860, W: 2300, H: 3070, 12250 kg"/>
        <s v="CS56B"/>
        <s v="MOBILE EQUIPMENT  - TOTE ROAD MAINTENANCE PLOW/SAND TRUCK - WESTERN STAR 4700 SF  "/>
        <s v="MOBILE EQUIPMENT  - TOTE ROAD MAINTENANCE MID SIZE EXCAVATOR - CAT 345DL HEX  _x000a_L: 11910, W: 3490, H: 3770, 45000 kg"/>
        <s v="MOBILE EQUIPMENT  - ROAD SNOW BLOWER  - CAT 950H  _x000a_L: 6170, W: 2410, H: 3320, 18338 kg"/>
        <s v="MOBILE EQUIPMENT  - MINI CRAWLER CRANE  - SPYDER CRANE URW295  "/>
        <s v="MOBILE EQUIPMENT  - FORKLIFT  - MITSUBISHI FD35N  _x000a_L: 2540, W: 1300, H: 2540, 4800 kg"/>
        <s v="MOBILE EQUIPMENT  - SPILL RESPONSE TRUCK  - STERLING M8500  "/>
        <s v="MOBILE EQUIPMENT  - FORKLIFT  - CAT DP50K  _x000a_L: 3305, W: 1460, H: 2400, 7160 kg"/>
        <s v="MOBILE EQUIPMENT  - FORKLIFT  - CAT 2ET4000 _x000a_ L: 2000, W: 1100, H: 2040, 3330 kg"/>
        <s v="MOBILE EQUIPMENT  - GRADER  - CAT 16M  _x000a_L: 9994, W: 3077, H: 3524, 24400 kg"/>
        <s v="MOBILE EQUIPMENT  - INTEGRATED TOOL CARRIER CAT IT38"/>
        <s v="MOBILE EQUIPMENT  - MOBILE LIGHT PLANT - TEREX AL4_x000a_L: 4623, W: 2007, H: 9000, 925 kg"/>
        <s v="MOBILE EQUIPMENT  - SERVICE TRUCK - FREIGHTLINER  "/>
        <s v="MOBILE EQUIPMENT  - WATER TRUCK  - PETERBILT 348 AUTO S/S 100 BBL  "/>
        <s v="MOBILE EQUIPMENT  - CONTAINER HANDLER - KALMAR DRF 450-6555  _x000a_L: 11684, W: 3454, H: 2146, 72000 kg"/>
        <s v="MOBILE EQUIPMENT  - PASSENGER TRANSFER BUS - BLUE BIRD BBCV DIESEL 3507A  _x000a_L: 12192, W: 2440, H: 2900, 14000 kg"/>
        <s v="MOBILE EQUIPMENT  - WORKER TRANSFER MINI BUS - BLUE BIRD BBCV DIESEL 1910 A  _x000a_L: 7470, W: 2440, H: 1930, 7080 kg"/>
        <s v="MOBILE EQUIPMENT  - WATER DELIVERY TRUCK  - PETERBILT 367 TRI-DRIVE   "/>
        <s v="MOBILE EQUIPMENT  - MILNE/MR FREIGHT HAUL TRACTOR - PETERBILT 367  "/>
        <s v="MOBILE EQUIPMENT  - MILNE/MR FREIGHT HAUL HIBOY TRAILER_x000a_L: 12192, W: 2438 "/>
        <s v="MOBILE EQUIPMENT  - MILNE/MR FREIGHT HAUL HIBOY TRAILER _x000a_L: 12192, W: 2438 "/>
        <s v="MOBILE EQUIPMENT  - MILNE/MR FREIGHT HAUL HIBOY TRAILER_x000a_L: 12192, W: 2438 _x000a_"/>
        <s v="MOBILE EQUIPMENT  - SEWAGE HOLDING TANK SKID MOUNTED VACUUM UNIT - TEXLA "/>
        <s v="MOBILE EQUIPMENT  - GARBAGE TRUCK  - PETERBILT 365  "/>
        <s v="MOBILE EQUIPMENT  - GARBAGE BIN - LARGE  "/>
        <s v="MOBILE EQUIPMENT  - GARBAGE BIN - SMALL  "/>
        <s v="MOBILE EQUIPMENT  - WILDLIFE DETERGENT GARBAGE BIN "/>
        <s v="MOBILE EQUIPMENT  - HEATED/REFRIGERATED SEA CONTAINER _x000a_L: 6096, W: 2440, H: 2440 "/>
        <s v="MOBILE EQUIPMENT  - REFRIGERATED SEA CONTAINER _x000a_L: 6096, W: 2440, H: 2440 "/>
        <s v="MOBILE EQUIPMENT  - REFRIGERATED SEA CONTAINER L: 6096, _x000a_W: 2440, H: 2440 "/>
        <s v="MOBILE EQUIPMENT  - AMBULANCE  - FORD F350  _x000a_L: 5715, W: 1752, H: 2032, 6350 kg"/>
        <s v="MOBILE EQUIPMENT  - FREIGHT HAUL TRACTOR - WeSTERN STAR 4900 "/>
        <s v="MOBILE EQUIPMENT  - LOWBOY TRAILER_x000a_"/>
        <s v="MOBILE EQUIPMENT  - HIBOY TRAILER,  SEMI DUMP_x000a_"/>
        <s v="MOBILE EQUIPMENT  - MAINTENANCE FUEL/LUBE TRUCK  - PETERBILT"/>
        <s v="MOBILE EQUIPMENT  - WATER TRUCK  - CAT 740 (8000 GAL)  "/>
        <s v="CONVEYING  - JUMP CONVEYOR  - MASABA MINING EQUIPMENT  "/>
        <s v="CONVEYING  - JUMP CONVEYOR  - MASABA MINING EQUIPMENT"/>
        <s v="CONVEYING  - JUMP CONVEYOR  - MASABA MINING EQUIPMENT  _x000a_L: 230000, W: 1524 "/>
        <s v="CONVEYING  - STOCKPILE RECLAIM EXTENSION CONVEYOR "/>
        <s v="MOBILE EQUIPMENT  - FIRE TRUCK  - OSHKOSH T1500  _x000a_L: 10540, W: 3100, H: 3810, 16500 kg"/>
        <s v="Polishing Waste Stabilization Pond #3"/>
        <s v="Hopper (TK)"/>
        <s v="Unidentified Borrow Sources"/>
        <s v="Out-of-Service Tote Road "/>
        <s v="KM 97 Borrow Source"/>
        <s v="Genset Trailers"/>
        <s v="Inclined Screen"/>
        <s v="Screener Power Screener"/>
        <s v="Unidentified High Priority Disturbed Areas"/>
        <s v="Bridge Removal"/>
        <s v="Laydown LP7"/>
        <s v="P1 Borrow Source"/>
        <s v="Q1 Quarry"/>
        <s v="Mobile Maintenance Depot - Demolish and Decontaminate Building - Fold-away Building (Steel)"/>
        <s v="Q7 Quarry"/>
        <s v="Q11 Quarry"/>
        <s v="Q1 Quarry (marginal increase to existing)"/>
        <s v="Laydown R1  (2017 Carry Over)"/>
        <s v="Borrow development areas"/>
        <s v="Km 2 Borrow source"/>
        <s v="Q12 Quarry"/>
        <s v="Q7 Quarry (additional marginal increase in 2018)"/>
        <s v="Q11 Quarry (additional marginal increase in 2018)"/>
        <s v="Q19 Quarry (additional marginal increase in 2018)"/>
        <s v="Laydown R2  (2017 Carry Over)"/>
        <s v="Laydown No. 2 - 2018 Work Plan"/>
        <s v="Laydown No. 12 - 2018 Work Plan"/>
        <s v="Laydown No. 13 - 2018 Work Plan"/>
        <s v="Laydown No. 14 - 2018 Work Plan"/>
        <s v="Laydown Pad development - KM64 Explosives Magazine"/>
        <s v="400,000 BTU Indirect Fired Diesel Heater "/>
        <s v="Offices, washcars (assume 16 units @  36 m2 per wash car)"/>
        <s v="Diesel Welding machines 400-500 amps "/>
        <s v="Laydown No. 4 - 2018 Work Plan"/>
        <s v="TK Large Fuel Tank for Generators (22,500L)"/>
        <s v="QMR2 Quarry (additional marginal increase in 2018)"/>
        <s v="Light equipment 2017 Sea Lift"/>
        <s v="Q5 Quarry"/>
        <s v="Q13 Quarry"/>
        <s v="Laydown No. 3 - 2018 Work Plan"/>
        <s v="Laydown No. 11 - 2018 Work Plan"/>
        <s v="Offices, washcars (assume 12 units @  36 m2 per wash car)"/>
        <s v="Laydown No. 7 - 2018 Work Plan"/>
        <s v="Laydown No. 8 - 2018 Work Plan"/>
        <s v="Laydown No. 9 - 2018 Work Plan"/>
        <s v="Realignment of service road adjacent to effluent discharge line"/>
        <s v="Milne Port Module Road 2018"/>
        <s v="Crusher Pad Sedimentation Pond 2018"/>
        <s v="Laydown LP1"/>
        <s v="P10 Borrow Source"/>
        <s v="Q19 Quarry"/>
        <s v="Laydown LP4"/>
        <s v="Q9 Quarry"/>
        <s v="Milne Port Haul Road 2018"/>
        <s v="Gas Tank 50,000L"/>
        <s v="Power Pack 5/10 gallon per minute"/>
        <s v="Laydown No. 5 - 2018 Work Plan"/>
        <s v="Q14 Quarry"/>
        <s v="Mobile Maintenance Depot - Demolish floor finish - Slab on grade C/W Drainage"/>
        <s v="Q16A Quarry"/>
        <s v="Q15 Quarry"/>
        <s v="Laydown No. 6 - 2018 Work Plan"/>
        <s v="Laydown Pad development - KM48 Explosives Magazine"/>
        <s v="Milne Port Surface Water Management Diversion Berms &amp; Ditching"/>
        <s v="Diesel Generator +/- 15-20kw "/>
        <s v="P13 Borrow Source"/>
        <s v="P8 Borrow Source"/>
        <s v="P7 Borrow Source"/>
        <s v="Herman Nelson 6700"/>
        <s v="P6 Borrow Source"/>
        <s v="Culverts - Crown"/>
        <s v="Laydown Pad development (Crusher Pad Expansion Haul Road)"/>
        <s v="Herman Nelson 6700 all in one"/>
        <s v="Laydown LP6"/>
        <s v="Clipping machine"/>
        <s v="Q1 Quarry (additional marginal increase in 2017)"/>
        <s v="Laydown at km 61"/>
        <s v="P5 Borrow Source"/>
        <s v="P15 Borrow Source"/>
        <s v="P14 Borrow Source"/>
        <s v="Laydown Pad development - Heated Emulsion Truck Parking"/>
        <s v="Q18 Quarry"/>
        <s v="KM 97 Borrow Source (marginal increase in 2017)"/>
        <s v="Laydown Pad development - Temporary Camp and Access Roads KM18"/>
        <s v="Mobile Maintenance Depot -Liner Removal"/>
        <s v="Km 2 Borrow source (marginal increase in 2017)"/>
        <s v="Explosive magazine pads along Tote Road"/>
        <s v="Laydown Pad development - Temporary Camp and Access Roads KM38"/>
        <s v="Communication Shed No. 1 - Demolish Building - ISO Shipping Container"/>
        <s v="Communication Shed No. 2 - Demolish Building - ISO Shipping Container"/>
        <s v="Communication Shed No. 3 - Demolish Building - ISO Shipping Container"/>
        <s v="Communication Shed No. 4 - Demolish Building - ISO Shipping Container"/>
        <s v="Communication Shed No. 5 - Demolish Building - ISO Shipping Container"/>
        <s v="Communication Shed No. 6 - Demolish Building - ISO Shipping Container"/>
        <s v="Communication Shed No. 7 - Demolish Building - ISO Shipping Container"/>
        <s v="Communication Shed No. 8 - Demolish Building - ISO Shipping Container"/>
        <s v="Communication Shed No. 9 - Demolish Building - ISO Shipping Container"/>
        <s v="Communication Shed No. 10 - Demolish Building - ISO Shipping Container"/>
        <s v="Communication Shed No. 11 - Demolish Building - ISO Shipping Container"/>
        <s v="Emergency Shelter  No. 1 - Demolish Building - ISO Shipping Container"/>
        <s v="Emergency Shelter  No. 2 - Demolish Building - ISO Shipping Container"/>
        <s v="Emergency Shelter  No. 3 - Demolish Building - ISO Shipping Container"/>
        <s v="Emergency Shelter  No. 4 - Demolish Building - ISO Shipping Container"/>
        <s v="Emergency Shelter  No. 1 - Demolish and foundations - Timber Cribbing to Elevate Building"/>
        <s v="Emergency Shelter  No. 2 - Demolish and foundations - Timber Cribbing to Elevate Building"/>
        <s v="Emergency Shelter  No. 3 - Demolish and foundations - Timber Cribbing to Elevate Building"/>
        <s v="Emergency Shelter  No. 4 - Demolish and foundations - Timber Cribbing to Elevate Building"/>
        <s v="Communication Shed No. 1 - Demolish and foundations - Gravel Base - Skidded Building"/>
        <s v="Communication Shed No. 1 - Demolish floor finish - Raised Steel or Wooden Floor"/>
        <s v="Communication Shed No. 2 - Demolish and foundations - Gravel Base - Skidded Building"/>
        <s v="Communication Shed No. 2 - Demolish floor finish - Raised Steel or Wooden Floor"/>
        <s v="Communication Shed No. 3 - Demolish and foundations - Gravel Base - Skidded Building"/>
        <s v="Communication Shed No. 3 - Demolish floor finish - Raised Steel or Wooden Floor"/>
        <s v="Communication Shed No. 4 - Demolish and foundations - Gravel Base - Skidded Building"/>
        <s v="Communication Shed No. 4 - Demolish floor finish - Raised Steel or Wooden Floor"/>
        <s v="Communication Shed No. 5 - Demolish and foundations - Gravel Base - Skidded Building"/>
        <s v="Communication Shed No. 5 - Demolish floor finish - Raised Steel or Wooden Floor"/>
        <s v="Communication Shed No. 6 - Demolish and foundations - Gravel Base - Skidded Building"/>
        <s v="Communication Shed No. 6 - Demolish floor finish - Raised Steel or Wooden Floor"/>
        <s v="Communication Shed No. 7 - Demolish and foundations - Gravel Base - Skidded Building"/>
        <s v="Communication Shed No. 7 - Demolish floor finish - Raised Steel or Wooden Floor"/>
        <s v="Communication Shed No. 8 - Demolish and foundations - Gravel Base - Skidded Building"/>
        <s v="Communication Shed No. 8 - Demolish floor finish - Raised Steel or Wooden Floor"/>
        <s v="Communication Shed No. 9 - Demolish and foundations - Gravel Base - Skidded Building"/>
        <s v="Communication Shed No. 9 - Demolish floor finish - Raised Steel or Wooden Floor"/>
        <s v="Communication Shed No. 10 - Demolish and foundations - Gravel Base - Skidded Building"/>
        <s v="Communication Shed No. 10 - Demolish floor finish - Raised Steel or Wooden Floor"/>
        <s v="Communication Shed No. 11 - Demolish and foundations - Gravel Base - Skidded Building"/>
        <s v="Communication Shed No. 11 - Demolish floor finish - Raised Steel or Wooden Floor"/>
        <s v="Emergency Shelter  No. 1 - Demolish floor finish - Raised Steel or Wooden Floor"/>
        <s v="Emergency Shelter  No. 2 - Demolish floor finish - Raised Steel or Wooden Floor"/>
        <s v="Emergency Shelter  No. 3 - Demolish floor finish - Raised Steel or Wooden Floor"/>
        <s v="Emergency Shelter  No. 4 - Demolish floor finish - Raised Steel or Wooden Floor"/>
        <s v="Mobile Maintenance Depot - Demolish and foundations - Gravel Base - Skidded Building"/>
        <s v="MOBILE EQUIPMENT  -EXCAVATOR - CAT M322D"/>
        <s v="Removal of Quarry and Borrow No Longer being Developed (Q9, Q14, Q15, P5, P6, P7, P8, P10, P13, P14, and P15)_x000a_"/>
        <s v="800 man temporary hard-walled camp at Mine Site inclusive of kitchen, dining, locker, recreational and washroom (assume footprint of 13,000 m2)"/>
        <s v="Raw Water Supply Pipe - Piping Installation - Pumphouse to Water Building"/>
        <s v="Addition of 800 person camp at Mine Site"/>
        <s v="QMR2 Quarry"/>
        <s v="Pit 1 - Marginal increase "/>
        <s v="Stockpile Drain Pipe - Piping Installation - Ore stockpile to effluent pond and Mary River"/>
        <s v="Power Distribution System - Electrical Cable Installation 5kV &amp; Ground Wire - Electrical distribution system from power gen to e-house"/>
        <s v="Existing Landfill"/>
        <s v="Ore crushing and Loading Pad, Utility &amp; Accommodation Pads"/>
        <s v="Additional Truck Wash Building "/>
        <s v="D1Q2 Quarry"/>
        <s v="Landfill Expansion"/>
        <s v="Waste Rock Dump"/>
        <s v="Laydown Pad development - Temporary Camp and Access Roads KM50"/>
        <s v="Aerodrome Equipment Building - Demolish and Decontaminate Building - Undefined"/>
        <s v="Laydown Pad development - Temporary Camp and Access Roads KM80"/>
        <s v="Mobile Crusher/Screener"/>
        <s v="Truck Wash Building - Demolish and Decontaminate Building - Fold-away Building (Steel)"/>
        <s v="Treated Effluent Piping - Piping Installation - STP to connection with Stockpile Drain Pipe"/>
        <s v="Haul Truck (40- and 50- ton)"/>
        <s v="Diesel Tank 22,500 L"/>
        <s v="Warehouse - Demolish and Decontaminate Building - Fold-away Building (Steel)"/>
        <s v="D1Q1 Quarry"/>
        <s v="Pit 1"/>
        <s v="Additional outdoor lighting for safety (with cables) at Mine Site"/>
        <s v="QMR2 Quarry (marginal increase to existing)"/>
        <s v="992 Loader"/>
        <s v="Tire Shop at Ore Haul Truck Lineup (seacan construction)"/>
        <s v="Crusher extension Pad"/>
        <s v="Construction Laydown Area"/>
        <s v="Misc. Support Mobile Equipment (assume medium sized)"/>
        <s v="Additional Truck Wash Building - Demolish and foundations - Precast Footing (Perimeter Beam)"/>
        <s v="Laydown Pad Development (Nuna services)"/>
        <s v="Explosives Shop - Demolish and Decontaminate Building - Fold-away Building (Steel)"/>
        <s v="Aerodrome Equipment Building - Demolish and foundations - Undefined"/>
        <s v="Explosives Plant Building - Demolish and Decontaminate Building - Trailer - Modular (2 or more modules)"/>
        <s v="Truck Weigh Building - Demolish and Decontaminate Building - Fold-away Building (Steel)"/>
        <s v="Crusher Pad Expansion"/>
        <s v="50- Person Rapid Deploy Camp  (assume same footprint as former Shanco Trailer Camp) "/>
        <s v="35- Person 'Norse-man Style' Camp  (assume same footprint as former Shanco Trailer Camp) "/>
        <s v="Aerodrome Equipment Building - Demolish floor finish - Undefined"/>
        <s v="Quarry Drills"/>
        <s v="Additional Truck Wash Building - Truck Wash System"/>
        <s v="C 125 JAW CRUSHER"/>
        <s v="SANDVIK  NEW QJ341 JAW CRUSHER S/N# QJ34100262"/>
        <s v="Explosives Magazines (31m2 x 2) - Demolish and Decontaminate Building - Trailer"/>
        <s v="FRP Water tanks for 800p camp"/>
        <s v="Herman Nelson Flagro-1000 trailer mount"/>
        <s v="55KW Generator"/>
        <s v="Diesel Generators 60+kw "/>
        <s v="Diesel Generators 135kw (shipment 2017)"/>
        <s v="Engine System for mobile trolly movement"/>
        <s v="Spread A, Primary Jaw Plant"/>
        <s v="Spread B, Primary Jaw Plant"/>
        <s v="Spread C, Primary Jaw Plant"/>
        <s v="Spread A, Secondary Cone Feed "/>
        <s v="Spread A, Primary Screen Plant Discharge"/>
        <s v="Spread A, Primary Screen Plant "/>
        <s v="Spread A, Secondary Cone Plant"/>
        <s v="Spread A, Tertiary Cone Plant"/>
        <s v="Spread A, Twin Screen Plant"/>
        <s v="Spread B, Secondary Cone Feed "/>
        <s v="Spread B, Primary Screen Plant "/>
        <s v="Spread B, Secondary Cone Plant"/>
        <s v="Spread B, Tertiary Cone Plant"/>
        <s v="Spread B, Twin Screen Plant"/>
        <s v="Spread C, Secondary Cone Feed "/>
        <s v="Spread C, Primary Screen Plant Discharge"/>
        <s v="Spread C, Primary Screen Plant "/>
        <s v="Spread C, Secondary Cone Plant"/>
        <s v="Spread C, Tertiary Cone Plant"/>
        <s v="Spread C, Twin Screen Plant"/>
        <s v="Excavators"/>
        <s v="Truck Wash Building - Demolish and foundations - Precast Footing (Perimeter Beam)"/>
        <s v="Infill between service and utility pads"/>
        <s v="Accommodation Wing AA - Demolish and Decontaminate Building - Special Modular / Prefabricated"/>
        <s v="Accommodation Wing AB - Demolish and Decontaminate Building - Special Modular / Prefabricated"/>
        <s v="Accommodation Wing AC - Demolish and Decontaminate Building - Special Modular / Prefabricated"/>
        <s v="Accommodation Wing AD - Demolish and Decontaminate Building - Special Modular / Prefabricated"/>
        <s v="Accommodation Wing AE - Demolish and Decontaminate Building - Special Modular / Prefabricated"/>
        <s v="Accommodation Wing AF - Demolish and Decontaminate Building - Special Modular / Prefabricated"/>
        <s v="Accommodation Wing AG - Demolish and Decontaminate Building - Special Modular / Prefabricated"/>
        <s v="Waste Rock Road"/>
        <s v="Explosive pad haul road"/>
        <s v="Addition of 50 person camp at Mine Site"/>
        <s v="Ore Crushing Sedimentation Pond"/>
        <s v="Warehouse - Demolish and foundations - Precast Footing (Perimeter Beam)"/>
        <s v="Waste Rock Pond"/>
        <s v="Heater (Flagro)"/>
        <s v="Existing Laydown Area"/>
        <s v="Dozer"/>
        <s v="Front End Loader"/>
        <s v="Warehouse - Demolish floor finish - Slab on grade C/W Drainage"/>
        <s v="Air compressor"/>
        <s v="Light Vehicles"/>
        <s v="Laydown Pad development (Mine Site)"/>
        <s v="Water Tank Main Unit"/>
        <s v="2017 -Water tanks on Sea Lift"/>
        <s v="Diesel Tank 10,000L"/>
        <s v="Truck Weigh Facility disturbed area"/>
        <s v="Ore Haul Truck"/>
        <s v="Additional laydown next to Hatch old office/carpentry shack "/>
        <s v="Accommodation Laboratory - Demolish and Decontaminate Building - Special Modular / Prefabricated"/>
        <s v="Explosives Magazines (15m2 x 3) - Demolish and Decontaminate Building - Trailer"/>
        <s v="TANK  - ARCTIC DIESEL TANK W: 8350 DIA H: 9140 "/>
        <s v="Pit Office Building - Demolish and Decontaminate Building - Trailer - Modular (2 or more modules)"/>
        <s v="Welding Shop Building - Demolish floor finish - Slab on grade C/W Drainage"/>
        <s v="Truck Weigh Building - Demolish and foundations - Precast Footing (Perimeter Beam)"/>
        <s v="TANK  - WORKSHOP OFFICE WASHCAR RAW WATER TANK - PLASTIC-MART 866-310-2556  L: 1803  W: 1245  H: 1346 "/>
        <s v="Explosives Shop - Demolish floor finish - Slab on grade C/W Drainage"/>
        <s v="B-Train Trailer (for Ore Haul Truck)"/>
        <s v="Sewage Treatment Plant for 800-person camp at Mine Site"/>
        <s v="QMR2 Quarry (additional marginal increase in 2017)"/>
        <s v="Laydown Pad development (Crusher Pad Expansion Access Road)"/>
        <s v="IT Towers Communication Sheds (10 units at 15m2 ea)"/>
        <s v="Heli Pad"/>
        <s v="Fuel Farm Tank Dike"/>
        <s v="POTABLE WATER TREATMENT PLANT VENDOR PACKAGE "/>
        <s v="Incinerator for 380-person camp at Mine Site"/>
        <s v="Potable Water System for 800-person camp at Mine Site"/>
        <s v="Ore Stockpiles"/>
        <s v="Generator 114 kW"/>
        <s v="Generator 150 kVA, Generator 250 kVA, Generator 30 kVA, Generator 100 kVA"/>
        <s v="Chain Conveyor (1 for under jaw crusher, 1 for under crusher bin)"/>
        <s v="Generator for 380-person temporary soft-walled camp"/>
        <s v="Hot Box Heater "/>
        <s v="Piling Rig"/>
        <s v="Mine Haul Truck, 777"/>
        <s v="7m3/min / 250cft/min mobile compressors, set of 50 mm PVC perforated tubes"/>
        <s v="Mobile Light Plant"/>
        <s v="TANK  - AERODROME OFFICE SEWAGE COLLECTION TANK - LAGRANGE MECHANICAL SERVICES  L: 3791 _x000a_W: 1829 _x000a_H: 610 "/>
        <s v="TANK  - EMERGENCY RESPONSE OFFICE SEWAGE COLLECTION TANK - LAGRANGE MECHANICAL SERVICES  L: 3791 _x000a_W: 1829 _x000a_H: 610 "/>
        <s v="TANK  - POTABLE WATER STORAGE TANK (40 m3)"/>
        <s v="TANK  - RAW WATER TANK (60 m3)"/>
        <s v="Oxy fuel cutting systems, induction heating system, 400A welding generators, welding sets, 7m3/min / 250cft/min mobile compressors"/>
        <s v="Additional Buildings by BIM Site Services slab on grade"/>
        <s v="Crushing &amp; Screening Electrical Trailer - Demolish and Decontaminate Building - Special Modular / Prefabricated"/>
        <s v="Pick Up Truck"/>
        <s v="Pit Office Building - Demolish and foundations - Timber Cribbing to Elevate Building"/>
        <s v="Excavator"/>
        <s v="Large Forklift"/>
        <s v="PUMP  - WORKSHOP OFFICE WASHCAR RAW WATER PUMP - SIMER JET PUMPS 2205C  L: 483 _x000a_W: 275 _x000a_H: 267 "/>
        <s v="KM 97 Borrow Source (marginal increase in 2018)"/>
        <s v="Lined Containment Cell"/>
        <s v="Explosives Magazines - Demolish and Decontaminate Building - Trailer - Single"/>
        <s v="Gas Tank 10,000L"/>
        <s v="Explosives Magazine (22m2) - Demolish and Decontaminate Building - Trailer"/>
        <s v="Km 2 Borrow source (marginal increase in 2018)"/>
        <s v="950M Loader"/>
        <s v="Geology ‘core’ building  - Demolish and Decontaminate Building - Trailer - Single"/>
        <s v="Diesel Fuel Dispensing Module  - Demolish and Decontaminate Building - ISO Shipping Container"/>
        <s v="Spread A, Control Room"/>
        <s v="Spread A, Fine Discharge"/>
        <s v="Spread A, Lumps Discharge"/>
        <s v="Spread B, Control Room"/>
        <s v="Spread B, Fine Discharge"/>
        <s v="Spread B, Lumps Discharge"/>
        <s v="Spread B, Primary Screen Plant Discharge"/>
        <s v="Spread C, Fine Discharge"/>
        <s v="Spread C, Lumps Discharge"/>
        <s v="TANK  - TRUCK WASH BUILDING DIESEL TANK "/>
        <s v="Diesel Module 1"/>
        <s v="TANK  - MINE WATER BUILDING DIESEL FUEL TANK - DTE ULC601-07  "/>
        <s v="Aerodrome Office - Demolish and Decontaminate Building - Trailer - Single"/>
        <s v="TANK  - MINE EMERGENCY RESPONSE GARAGE DIESEL FUEL TANK - DTE ULC601-07  "/>
        <s v="TANK  - WELDING SHOP DIESEL FUEL TANK - DTE ULC601-07  "/>
        <s v="TANK  - MAINTENANCE BUILDING DIESEL TANK "/>
        <s v="TANK  - WAREHOUSE BUILDING DIESEL TANK "/>
        <s v="TANK  - MINE SEWAGE TRUCK BUILDING DIESEL FUEL TANK - DTE ULC601-07  "/>
        <s v="Crushing &amp; Screening E-House - Demolish and Decontaminate Building - Special Modular / Prefabricated"/>
        <s v="Grader"/>
        <s v="777 Haul Truck"/>
        <s v="D10 Dozer"/>
        <s v="Fuel/ Lube Truck"/>
        <s v="Telehandler"/>
        <s v="PETERBILT SERVICE TRUCK 2014"/>
        <s v="FREIGHTLINER M2 SERVICE TRUCK"/>
        <s v="2014 MACK JET FUEL TRUCK"/>
        <s v="SUPER B FUEL TANKER LEAD UNIT"/>
        <s v="TRI AXLE FUEL TRAILER"/>
        <s v="SUPER B FUEL TRAILER PUP UNIT"/>
        <s v="740B FUEL/LUBE TRUCK"/>
        <s v="FREIGHTLINER M2 FUEL TRUCK"/>
        <s v="740B ARTICULATING WATER/SAND TRUCK"/>
        <s v="740B ARTICULATING WATER TRUCK"/>
        <s v="TEREX RT780 CRANE"/>
        <s v="TEREX RT130 CRANE"/>
        <s v="MANITOWOC CRANE MODEL 2250"/>
        <s v="MOBILE SPYDER CRANE W706"/>
        <s v="BOOM CRANE, CONMA, MTP016"/>
        <s v="TAMROCK RANDER 800-2 HYDRAULIC DRILL 200"/>
        <s v="MD6290 CAT ROTARY PRODUCTION DRILL"/>
        <s v="OSHKOSH FIRE TRUCK 1993 -T1500 MR"/>
        <s v="390DL EXCAVATOR CATERPILLAR"/>
        <s v="M320F EXCAVATOR CATERPILLAR RUBBER TIRE"/>
        <s v="16H CATERPILLAR GRADER"/>
        <s v="16M CATERPILLAR GRADER"/>
        <s v="14M CATERPILLAR GRADER"/>
        <s v="14M CATERPILLAR GRADER W/WING"/>
        <s v="992K WHEEL LOADER"/>
        <s v="930K WHEEL LOADER"/>
        <s v="IT14 LOADER  NFLD HARDROCK"/>
        <s v="906 CATERPILLAR LOADER"/>
        <s v="VOLVO L-180 LOADER - W/TIRE MANIPULATOR"/>
        <s v="777G MINE HAUL TRUCK"/>
        <s v="WESTERN STAR ORE HAUL TRUCK"/>
        <s v="ORE HAUL LEAD TRAILER"/>
        <s v="Truck Wash Facility"/>
        <s v="Single Pass Production Drill"/>
        <s v="Ore Haul Truck Workshop"/>
        <s v="LOADER VOLVO-L-180E C/W TIRE HANDLER &amp; 3 CRATES IN CAB"/>
        <s v="HP 400RD PLANT CRUSHER S/N MC-0401/MC2015102"/>
        <s v="FORD F650 SERVICE TRUCK VIN# 3FDNF65H13MB00286"/>
        <s v="ORE TRAILER OFF-ROAD MINE MODEL HDT4-38-23 S/N 712379"/>
        <s v="WESTERN STAR TRUCK + 10 SPARE TIRES STRAPPED ON TRUCK"/>
        <s v="WESTERN STAR TRUCK (2 PALLETS STRAPPED ON TRUCK)"/>
        <s v="WESTERN STAR TRUCK (OHT031)"/>
        <s v="WESTERN STAR TRUCK"/>
        <s v="2005 WESTERN STAR VIN# 1XKCPBEX85R980272"/>
        <s v="2015 CAT 14M GRADER YELLOW VIN# 8814WKR9J88448"/>
        <s v="2012 CAT 14M GRADER YELLOW"/>
        <s v="WINCH TRUCK"/>
        <s v="TRAILER DUMP TRUCK TRIAXLE S/N# 2ATE060336A003392"/>
        <s v="2016 WETSERN STAR TRUCK VIN: 5KJRASD19GPHD7171"/>
        <s v="2016 WESTERN STAR TRUCK VIN: 5KJRASD14GPHD7174"/>
        <s v="2016 WESTERN STAR TRUCK  VIN: 5KJRASD12GPHD7173"/>
        <s v="2016 WESTERN STAR TRUCK VIN: 5KJRASD10GPHD7172"/>
        <s v="D9T CATERPILLAR DOZER"/>
        <s v="824H CATERPILLAR RUBBER TIRED DOZER"/>
        <s v="PETERBILT ROAD MAINTENANCE 2013"/>
        <s v="STERLING BOOM TRUCK W/ MANITEX CRANE"/>
        <s v="PETERBILT 367 TRACTOR 2017"/>
        <s v="KENWORTH TOW TRUCK"/>
        <s v="PETERBILT TRACTOR 2014"/>
        <s v="INTERNATIONAL PLOW TRUCK"/>
        <s v="INTERNATIONAL BOOM TRUCK KNUCKLE"/>
        <s v="WESTERN STAR 4900 2014 (NFLD HARD ROCK)"/>
        <s v="TRACTOR FRTL CABOVER UNIT 512109"/>
        <s v="BRODERSON 16 80 CRANE"/>
        <s v="745C Rock Truck"/>
        <s v="Aerodrome Area E-House  - Demolish and Decontaminate Building - Special Modular / Prefabricated"/>
        <s v="Raw Water Supply E-House - Demolish and Decontaminate Building - Special Modular / Prefabricated"/>
        <s v="1650 GAL. VERTICAL STORAGE TANK"/>
        <s v="1650 GAL. VERTICAL STORAGE TANK + BOX PLASTIC FITTINGS"/>
        <s v="TANK  - AERODROME OFFICE RAW WATER TANK - NORWESCO  L: 1613 _x000a_W: 737 _x000a_H: 1676 "/>
        <s v="TANK  - EMERGENCY RESPONSE OFFICE RAW WATER TANK - NORWESCO  L: 1613 _x000a_W: 737 _x000a_H: 1676 "/>
        <s v="Pit Office Washcar - Demolish and foundations - Gravel Base - Skidded Building"/>
        <s v="Fuel Tank Containment Area"/>
        <s v="Aerodrome Field Electrical Centre - Demolish and Decontaminate Building - Special Modular / Prefabricated"/>
        <s v="Jet A1 Pump Module"/>
        <s v="Hazardous Waste Berm - 2016 (new) - 1"/>
        <s v="Hazardous Waste Berm - 2016 (new) - 2"/>
        <s v="DX800 SANDVIK ROCK DRILL"/>
        <s v="DX780 SANDVIK ROCK DRILL"/>
        <s v="2013 K/W FUEL LUBE TRUCK"/>
        <s v="2014K/W FUEL LUBE TRUCK"/>
        <s v="ORE HAUL PUP TRAILER"/>
        <s v="SMITHCO SIDE DUMP TRAILER MODEL HDT 4-38-23, S/N 712377"/>
        <s v="ORE SIDE DUMP TRAILER MODEL HDT4-38-23 S/N 712385"/>
        <s v="ORE SIDE-DUMP TRAILER MODEL HDT4-38-23, S/N 712381"/>
        <s v="2015 SMITHCO SIDE-DUMP TRAILER, SERIAL # 712393"/>
        <s v="2015 SMITHCO SIDE-DUMP TRAILER, SERIAL # 712387"/>
        <s v="2015 SMITHCO SIDE-DUMP TRAILER, SERIAL # 712391"/>
        <s v="2015 SMITHCO SIDE-DUMP TRAILER, SERIAL #712389"/>
        <s v="2015 SMITHCO SIDE-DUMP TRAILER, SERIAL # 712395"/>
        <s v="2011 KENWORTH S/A MECHANICS SERVICE TRUCK  VIN# 2NKHHM6X1BM284136"/>
        <s v="2015 SMITHCO SIDE-DUMP TRAILER, SERAIL # 712397"/>
        <s v="2015 SMITHCO SIDE-DUMP TRAILER, SERIAL # 712405"/>
        <s v="2015 SMITHCO SIDE-DUMP TRAILER, SERIAL #712378"/>
        <s v="2015 SMITHCO SIDE-DUMP TRAILER, SERAIL #712388"/>
        <s v="2015 SMITHCO SIDE-DUMP TRAILER, SERIAL #712382"/>
        <s v="2015 SMITHCO SIDE-DUMP TRAILER, SERIAL # 712392"/>
        <s v="2015 SMITHCO SIDE-DUMP TRAILER, SERIAL #712390"/>
        <s v="2015 SMITHCO SIDE-DUMP TRAILER, SERIAL #712380"/>
        <s v="2015 SMITHCO SIDE-DUMP TRAILER, SERIAL #712398"/>
        <s v="2015 SMITHCO SIDE-DUMP TRAILER, SERIAL# 712394"/>
        <s v="2015 SMITHCO SIDE-DUMP TRAILER, SERIAL #712384"/>
        <s v="2015 SMITHCO SIDE-DUMP TRAILER, SERAIL #712402"/>
        <s v="2015 SMITHCO SIDE-DUMP TRAILER, SERAIL #712400"/>
        <s v="2015 SMITHCO SIDE-DUMP TRAILER, SERIAL #712396"/>
        <s v="2015 SMITHCO SIDE-DUMP TRAILER, SERAIL #712406 * damaged by stevedores during receiving (hydraulic fittings in front of trailer)"/>
        <s v="2015 SMITHCO SIDE-DUMP TRAILER, SERIAL # 712404"/>
        <s v="2015 SMITHCO SIDE-DUMP TRAILER, SERIAL #712386"/>
        <s v="END DUMP TRAILER"/>
        <s v="SCONA TRIDEM HIBOY TRAILER"/>
        <s v="SCONA TRIDEM HI BOY TRAILER"/>
        <s v="FLOAT TRAILER MINI DECK SCHELTENA MD1"/>
        <s v="F750 DE-ICEING TRUCK BBS-97"/>
        <s v="MANUAL JIB CRANE MOBILE MAINTENANCE SHOP"/>
        <s v="D5M CATERPILLAR DOZER"/>
        <s v="D4C CATERPILLAR DOZER LPGIII"/>
        <s v="TRI AXLE WATER TRUCK"/>
        <s v="GENIE BOOM LIFT ZOOM BOOM Z60/34"/>
        <s v="KUBOTA TRACTOR B7800"/>
        <s v="LOWBOY TRAILER DELOUPE"/>
        <s v="CS74 SMOOTH ROLLER"/>
        <s v="TELEHANDLER CAT TH514"/>
        <s v="TELEHANDLER CAT TL642"/>
        <s v="TRAILER LIVE BOTTOM"/>
        <s v="PC09-1 EXCAVATOR KOMATSU MINI"/>
        <s v="Track Dozer, D9"/>
        <s v="Shovel 6030"/>
        <s v="53' POWER TRAILER"/>
        <s v="F550 FLAT DECK PICK-UP WHITE VIN# 1FDOW5HTOFED33588"/>
        <s v="STEP-DECK TRAILER 3 AXLES UNIT # 533F650"/>
        <s v="GMC PICK UP 4WD + TOOL/JOB BOX  VIN# 1GTHK39D17E173219"/>
        <s v="UTILITY TRAILERS STACKED 2 HIGH"/>
        <s v="ORE HAUL TRAILER (FRONT) SERIAL # 712383"/>
        <s v="2015 SMITHCO SIDE-DUMP TRAILER, SERIAL # 712399"/>
        <s v="2015 SMITHCO SIDE-DUMP TRAILER, SERIAL # 712401"/>
        <s v="2015 SMITH SIDE-DUMP TRAILER, SERIAL # 712403"/>
        <s v="2007 FREIGHTLINER M2 4X4 VIN# 1FVDCXDC47HX81790"/>
        <s v="SANDVIK QA441 SCREENER S/N # QA44100342"/>
        <s v="V SNOW PLOW VIN# 9900-2564"/>
        <s v="2006 TRAILER TRIAXLE GREY VIN# LA90735316A003393 * RECEIVED WITH DAMAGE TO HYDROLIC OIL SUPPLY FITTING*"/>
        <s v="FORKLIFT CATERPILLAR P20000"/>
        <s v="FORKLIFT CATERPILLAR P10000"/>
        <s v="F550 SERVICE TRUCK FOUNTAIN TIRE"/>
        <s v="F550 SERVICE TRUCK"/>
        <s v="F650 SERVICE TRUCK 2003"/>
        <s v="F-550 SERVICE TRUCK FOUNTAIN TIRE"/>
        <s v="Mechanics Truck (with compressor and crane)"/>
        <s v="Aerodrome Office - Demolish and foundations - Timber Cribbing to Elevate Building"/>
        <s v="TEREX LIGHT TOWER"/>
        <s v="F350 AMBULANCE"/>
        <s v="F450 AMBULANCE"/>
        <s v="HAGGLUNDS SNOW RESCUE VEHICLE"/>
        <s v="FORKLIFT/MANLIFT CROWN WAV50-118"/>
        <s v="GROUND SURFACE HEATER"/>
        <s v="GENIE MANLIFT / Z45/25J (BURNED)"/>
        <s v="GENIE MANLIFT / Z45/25J"/>
        <s v="JLG MANLIFT 450AJ"/>
        <s v="FLOAT TRAILER SCHELTENA"/>
        <s v="TOYOTA 4X4 PICK-UP LAND CRUISER"/>
        <s v="TOYOTA 4X4 PICK UP LAND CRUISER"/>
        <s v="F350 SD CREW CAB 4X4 2011"/>
        <s v="F250 SD CREW CAB 4X4 2014"/>
        <s v="F350 CREW CAB 4X4 2010- LEVITT SAFETY"/>
        <s v="3500 GMC CREW CAB 4X4 2006"/>
        <s v="GMC 2500 MOBILE STAIR TRUCK"/>
        <s v="F550 SD CREW CAB 4X4 2013  WELDING TRUCK"/>
        <s v="F550 SD CREW CAB 4X4 2013  CUBE VAN"/>
        <s v="F550 SD CREW CAB 4X4 2013 (BLASTERS)"/>
        <s v="F550 SD CREW CAB 4X4 2014"/>
        <s v="F550 SD CREW CAB 4X4 2015"/>
        <s v="PULL- TYPE PNEUMATIC ROLLER"/>
        <s v="PULL-TYPE PNEUMATIC TIRE ROLLER"/>
        <s v="PORTABLE VAC TANK UNIT"/>
        <s v="PORTABLE VACUUM TANK c/w PUMP"/>
        <s v="PORTABLE WATR PUMP 6&quot;"/>
        <s v="PORTABLE WATR PUMP 4&quot;"/>
        <s v="PORTABLE WATR PUMP - CAT-PAC"/>
        <s v="SKID STEER CATERPILLAR 277 MULTI TERRAIN"/>
        <s v="SKID STEER CATERPILLAR 299D"/>
        <s v="SKID STEER CATERPILLAR 262D Rubber Tire"/>
        <s v="SCISSOR LIFT 03"/>
        <s v="SCISSOR LIFT 10"/>
        <s v="TUNDRA SKIDOO"/>
        <s v="SKANDIK WT 600"/>
        <s v="SKANDIC ACE 600 SNOWMOBILE"/>
        <s v="SIDE BY SIDE CAN AM COMMANDER 800XT"/>
        <s v="SIDE BY SIDE BOBCAT TRACKED"/>
        <s v="TIRE MANIPULATOR"/>
        <s v="TRAILER ENCLOSED SNOWMOBILE"/>
        <s v="BOAT TRAILER"/>
        <s v="STERLING SPILL RESPONSE UNIT 2002"/>
        <s v="CARGO LUGGAGE HANDLER"/>
        <s v="RESCUE UNIT"/>
        <s v="Raw Water Pumphouse - Demolish and Decontaminate Building - Special Modular / Prefabricated"/>
        <s v="Hazardous Waste Berm - 2016 (new-by generator) - 3 "/>
        <s v="Pit Office Washcar - Demolish floor finish - Raised Steel or Wooden Floor"/>
        <s v="2008 Bulk Sample Pit"/>
        <s v="Pit Office Lunchroom Building - Demolish and Decontaminate Building - Trailer - Single"/>
        <s v="Pit Office Lunchroom Building - Demolish and foundations - Timber Cribbing to Elevate Building"/>
        <s v="Pit Office Lunchroom Building - Demolish floor finish - Raised Steel or Wooden Floor"/>
        <s v="CRUSHER  - PRIMARY CRUSHING PLANT LINE 1 - METSO C125  _x000a_L: 3470, W: 4100, H: 3440, 38000 kg"/>
        <s v="CRUSHER  - SECONDARY CRUSHING PLANT LINE 1 - METSO HP400  L: 2370, W: 2370, H: 1600, 23000 kg"/>
        <s v="CRUSHER  - TERTIARY CRUSHING PLANT LINE 1 - METSO HP400  _x000a_L: 2370, W: 2370, H: 1600, 23000 kg"/>
        <s v="CRUSHER  - PRIMARY CRUSHING PLANT LINE 2 - METSO C125  _x000a_L: 3470, W: 4100, H: 3440, 38000 kg"/>
        <s v="CRUSHER  - SECONDARY CRUSHING PLANT LINE 2 - METSO HP400  L: 2370, W: 2370, H: 1600, 23000 kg"/>
        <s v="CRUSHER  - TERTIARY CRUSHING PLANT LINE 2 - METSO HP400  _x000a_L: 2370, W: 2370, H: 1600, 23000 kg"/>
        <s v="SCREEN  - PRIMARY SCREEN LINE 1 - METSO FS302  _x000a_L: 2700, W: 6900, 9000 kg"/>
        <s v="SCREEN  - SECONDARY SCREEN LINE 1 - METSO FS 353  _x000a_L: 3000, W: 6900, 14500 kg"/>
        <s v="SCREEN  - PRIMARY SCREEN LINE 2 - METSO FS302  _x000a_L: 2700, W: 6900, 9000 kg"/>
        <s v="SCREEN  - SECONDARY SCREEN LINE 2 - METSO FS 353  _x000a_L: 3000, W: 6900, 14500 kg"/>
        <s v="CRUSHER  - PRIMARY CRUSHING PLANT LINE 3 - METSO C125  _x000a_L: 3470, W: 4100, H: 3440, 38000 kg"/>
        <s v="PRIMARY SCREENING PLANT LINE 3 - METSO FS303"/>
        <s v="CRUSHER  - SECONDARY CRUSHING PLANT LINE 3 - METSO HP400  _x000a_L: 2370, W: 2370, H: 1600, 23000 kg"/>
        <s v="SCREEN  - SECONDARY SCREENING PLANT LINE 3 - METSO FS 353  _x000a_L: 3000, W: 6900, 14500 kg"/>
        <s v="CRUSHER  - TERTIARY CRUSHING PLANT LINE 3 - METSO HP400  _x000a_L: 2370, W: 2370, H: 1600"/>
        <s v="SCREEN  - TRUCK WEIGH SCALE  - RICE LAKE OTR-XV  _x000a_L: 36600 _x000a_W: 3960, H: 1030 "/>
        <s v="PUMP  - CRUSHER STOCKPILE RUNOFF POND DISCHARGE PUMP - LOBE PRO SM68 "/>
        <s v="PUMP  - AERODROME OFFICE RAW WATER PUMP - SIMER JET PUMPS 2205C  L: 483, W: 275, _x000a_H: 267 "/>
        <s v="AERODROME EQUIPMENT  - SECURITY X-RAY MACHINE _x000a_L: 2282, W: 1030, H: 1467 "/>
        <s v="AERODROME EQUIPMENT  - AIRCRAFT GROUND POWER UNIT "/>
        <s v="AERODROME EQUIPMENT  - AIRCRAFT PASSENGER STAIRS _x000a_L: 9906, W: 2565, H: 3048 "/>
        <s v="LABORATORY EQUIPMENT  - AIR COMPRESSOR  "/>
        <s v="LABORATORY EQUIPMENT  - AIR DRYER  "/>
        <s v="LABORATORY EQUIPMENT  - BALANCE SCALE  "/>
        <s v="LABORATORY EQUIPMENT  - CARBON/SULFUR ANALYSER "/>
        <s v="LABORATORY EQUIPMENT  - CHILLER  "/>
        <s v="LABORATORY EQUIPMENT  - CRUSHER  "/>
        <s v="LABORATORY EQUIPMENT  - CRUSHER DUST HOOD "/>
        <s v="LABORATORY EQUIPMENT  - DRYING OVEN  "/>
        <s v="LABORATORY EQUIPMENT  - DUST COLLECTOR  "/>
        <s v="LABORATORY EQUIPMENT  - FUMEHOOD  "/>
        <s v="LABORATORY EQUIPMENT  - FUSION SYSTEM  "/>
        <s v="LABORATORY EQUIPMENT  - HOT PLATE  "/>
        <s v="LABORATORY EQUIPMENT  - MUFFLE FURNACE  "/>
        <s v="Accommodation Wing AH - Demolish and Decontaminate Building - Special Modular / Prefabricated"/>
        <s v="Accommodation Wing AH - Demolish and foundations - Gravel Base - Skidded Building"/>
        <s v="Accommodation Wing AH - Demolish floor finish - Raised Steel or Wooden Floor"/>
        <s v="Accommodation Wing AI - Demolish and Decontaminate Building - Special Modular / Prefabricated"/>
        <s v="Accommodation Wing AI - Demolish and foundations - Gravel Base - Skidded Building"/>
        <s v="Accommodation Wing AI - Demolish floor finish - Raised Steel or Wooden Floor"/>
        <s v="Accommodation Wing AJ - Demolish and Decontaminate Building - Special Modular / Prefabricated"/>
        <s v="Accommodation Wing AJ - Demolish and foundations - Gravel Base - Skidded Building"/>
        <s v="Accommodation Wing AJ - Demolish floor finish - Raised Steel or Wooden Floor"/>
        <s v="Accommodation Wing AK - Demolish and Decontaminate Building - Special Modular / Prefabricated"/>
        <s v="Accommodation Wing AK - Demolish and foundations - Gravel Base - Skidded Building"/>
        <s v="Accommodation Wing AK - Demolish floor finish - Raised Steel or Wooden Floor"/>
        <s v="Accommodation Wing AL - Demolish and Decontaminate Building - Special Modular / Prefabricated"/>
        <s v="Accommodation Wing AL - Demolish and foundations - Gravel Base - Skidded Building"/>
        <s v="Accommodation Wing AL - Demolish floor finish - Raised Steel or Wooden Floor"/>
        <s v="Accommodation Wing AM - Demolish and Decontaminate Building - Special Modular / Prefabricated"/>
        <s v="Accommodation Wing AM - Demolish and foundations - Gravel Base - Skidded Building"/>
        <s v="Accommodation Wing AM - Demolish floor finish - Raised Steel or Wooden Floor"/>
        <s v="Accommodation extension – West side"/>
        <s v="Accommodation extension – East Side"/>
        <s v="LABORATORY EQUIPMENT  - PULVERIZER  "/>
        <s v="LABORATORY EQUIPMENT  - PULVERIZER DUST HOOD "/>
        <s v="LABORATORY EQUIPMENT  - ROTAP  "/>
        <s v="LABORATORY EQUIPMENT  - ROTAP DUST HOOD "/>
        <s v="LABORATORY EQUIPMENT  - MAGNETITE ANALYSER "/>
        <s v="LABORATORY EQUIPMENT  - SCRUBBER FAN  "/>
        <s v="LABORATORY EQUIPMENT  - SCRUBBER RECIRCULATION PUMP "/>
        <s v="LABORATORY EQUIPMENT  - THERMOGRAVIMETRIC ANALYSER "/>
        <s v="LABORATORY EQUIPMENT  - XRF SPECTROMETER  "/>
        <s v="PUMP  - EMERGENCY RESPONSE OFFICE RAW WATER PUMP - SIMER JET PUMPS 2205C  L: 483 _x000a_W: 275 _x000a_H: 267 "/>
        <s v="PUMP  - MINE EMERGENCY RESPONSE GARAGE FUEL OIL PUMP (PUMP) - VIKING DUPLEX OIL SYSTEMS  "/>
        <s v="PUMP  - MINE EMERGENCY RESPONSE GARAGE FUEL OIL PUMP (STANDBY) - VIKING DUPLEX OIL SYSTEMS  "/>
        <s v="PUMP  - WELDING SHOP FUEL OIL PUMP (DUTY) - VIKING DUPLEX OIL SYSTEMS  "/>
        <s v="PUMP  - WELDING SHOP FUEL OIL PUMP (STANDBY) - VIKING DUPLEX OIL SYSTEMS  "/>
        <s v="TANK  - SITE SERVICES WASHCAR #1 SEWAGE COLLECTION TANK - LAGRANGE MECHANICAL SERVICES  L: 3791  W: 1829  H: 610 "/>
        <s v="TANK  - FUEL SYSTEMS WASHCAR SEWAGE COLLECTION TANK - LAGRANGE MECHANICAL SERVICES  L: 3791   W: 1829  H: 610 "/>
        <s v="Welding Shop Building #2 - Demolish and foundations - Precast Footing (Perimeter Beam)"/>
        <s v="Welding Shop Building #2 - Demolish floor finish - Slab on grade C/W Drainage"/>
        <s v="Ore Haul  Truck Workshop Office Building - Demolish and Decontaminate Building - Trailer - Modular (2 or more modules)"/>
        <s v="Ore Haul  Truck Workshop Office Building - Demolish and foundations - Timber Cribbing to Elevate Building"/>
        <s v="Ore Haul  Truck Workshop Office Building - Demolish floor finish - Raised Steel or Wooden Floor"/>
        <s v="Ore Haul Maintenance Building - Demolish and Decontaminate Building - Trailer - Modular (2 or more modules)"/>
        <s v="Ore Haul Maintenance Building  - Demolish and foundations - Timber Cribbing to Elevate Building"/>
        <s v="Ore Haul Maintenance Building - Demolish floor finish - Raised Steel or Wooden Floor"/>
        <s v="PUMP  - MAINTENANCE BUILDING FUEL OIL PUMP (DUTY) "/>
        <s v="TANK  - SITE SERVICES WASHCAR #2 SEWAGE COLLECTION TANK - LAGRANGE MECHANICAL SERVICES  L: 3791  W: 1829  H: 610 "/>
        <s v="Site Services Washcar #1 - Demolish and Decontaminate Building - Trailer - Single"/>
        <s v="SHOP / MAINTENANCE EQUIPMENT  - KIDNEY LOOP  - AG - DYE10MFP240SA10QBV  50 _x000a_kg"/>
        <s v="PUMP  - MAINTENANCE BUILDING FUEL OIL PUMP (STANDBY) "/>
        <s v="   LATHE SPINDLE MOTOR  "/>
        <s v="PUMP  - WAREHOUSE BUILDING FUEL OIL PUMP (DUTY) "/>
        <s v="PUMP  - WAREHOUSE BUILDING FUEL OIL PUMP (STANDBY) "/>
        <s v="Site Services Washcar #2 - Demolish and Decontaminate Building - Trailer - Single"/>
        <s v="Fuel Systems Washcar - Demolish and Decontaminate Building - Trailer - Single"/>
        <s v="SHOP / MAINTENANCE EQUIPMENT  - INDUSTRIAL FREEZER  - ONTARIO OVENS 80-12  _x000a_L: 1525, W: 715, H: 1250,  290 kg"/>
        <s v="SHOP / MAINTENANCE EQUIPMENT  - LARGE SHOP PRESS  - AG - OTC1866  _x000a_L: 1295, W: 1727, H: 3125, 1970 kg"/>
        <s v="SHOP / MAINTENANCE EQUIPMENT  - LATHE  - SUMMIT MACHINE TOOL  _x000a_W: 44, H: 64 "/>
        <s v="   LATHE COOLANT PUMP  "/>
        <s v="SHOP / MAINTENANCE EQUIPMENT  - MILLING MACHINE  - AG  "/>
        <s v="SHOP / MAINTENANCE EQUIPMENT  - LINE BORING MACHINE  - CLIMAX BB5000  L: 1830 _x000a_W: 330 _x000a_H: 280 205 _x000a_kg"/>
        <s v="SHOP / MAINTENANCE EQUIPMENT  - IRON WORKER  - BAILEIGH INDUSTRIAL 001-99777  _x000a_L: 1525, W: 915, H: 1985, 2300 kg"/>
        <s v="SHOP / MAINTENANCE EQUIPMENT  - HEAVY TRUCK RAMP  - ROTARY 60000HDL  _x000a_L: 13360, W: 4980, H: 3990 "/>
        <s v="SHOP / MAINTENANCE EQUIPMENT  - LIGHT TRUCK RAMP  - ROTARY SM18LO-X  H: 6990 "/>
        <s v="SHOP / MAINTENANCE EQUIPMENT  - TIRE SIPING MACHINE  - AG  "/>
        <s v="SHOP / MAINTENANCE EQUIPMENT  - AIR FILTER CLEANER  - DIVERSI-TECH  _x000a_L: 1830, W: 1830, H: 2650 "/>
        <s v="SHOP / MAINTENANCE EQUIPMENT  - DRILL PRESS  - AG - DPE18-900  L: 508, W: 356, H: 1778, 120 kg"/>
        <s v="SHOP / MAINTENANCE EQUIPMENT  - WELDING MACHINE  - AG - MLW951-277  L: 965 _x000a_W: 584 _x000a_H: 762 192 _x000a_kg"/>
        <s v="SHOP / MAINTENANCE EQUIPMENT  - PORTABLE WELDING FUME EXTRACTOR - AG - NED12634345  73 _x000a_kg"/>
        <s v="SHOP / MAINTENANCE EQUIPMENT  - TRACK PIN PRESS  - AG  "/>
        <s v="SHOP / MAINTENANCE EQUIPMENT  - EVAC TANK  - NORTHERN TOOL 30070V  L: 1118, W: 508, H: 1093, 200 kg"/>
        <s v="SHOP / MAINTENANCE EQUIPMENT  - WELDING MACHINE  - AG - MLW951-277  L: 965, W: 584, H: 762, 192 _x000a_kg"/>
        <s v="SHOP / MAINTENANCE EQUIPMENT  - METAL BREAK FLOOR  - AG - GGS13W877  580 kg"/>
        <s v="SHOP / MAINTENANCE EQUIPMENT  - BENCH GRINDER  - AG - WSWBG10D  W: 610 H: 345 "/>
        <s v="BENCH GRINDER  "/>
        <s v="SHOP / MAINTENANCE EQUIPMENT  - BENCH GRINDER  - AG - WSWBG10D  W: 610 _x000a_H: 345 "/>
        <s v="SHOP / MAINTENANCE EQUIPMENT  - INCHING TOOL  - AG  "/>
        <s v="SHOP / MAINTENANCE EQUIPMENT  - TRACK PIN PRESS  - AG - OTC4240  "/>
        <s v="SHOP / MAINTENANCE EQUIPMENT  - A/C RECOVERY RECHARGE UNIT - ROBINAIR RBN17800B  L: 584 W: 864 H: 1120 110 kg"/>
        <s v="Ore Haul Truck Wash Building - Demolish and Decontaminate Building - Fold-away Building (Steel)"/>
        <s v="Ore Haul Truck Wash Building - Demolish and foundations - Precast Footing (Perimeter Beam)"/>
        <s v="Ore Haul Truck Wash Building - Demolish floor finish - Gravel"/>
        <s v="Power Generation Module #9 - Demolish and Decontaminate Building - Special Modular / Prefabricated"/>
        <s v="Power Generation Module #9 - Demolish and foundations - Gravel Base - Skidded Building"/>
        <s v="Power Generation Module #9 - Demolish floor finish - Raised Steel or Wooden Floor"/>
        <s v="Power Generation Module #10 - Demolish and Decontaminate Building - Special Modular / Prefabricated"/>
        <s v="Power Generation Module #10 - Demolish and foundations - Gravel Base - Skidded Building"/>
        <s v="Power Generation Module #10 - Demolish floor finish - Raised Steel or Wooden Floor"/>
        <s v="Power Generation E-House #3 - Demolish and Decontaminate Building - Special Modular / Prefabricated"/>
        <s v="Power Generation E-House #3 - Demolish and foundations - Gravel Base - Skidded Building"/>
        <s v="Power Generation E-House #3 - Demolish floor finish - Raised Steel or Wooden Floor"/>
        <s v="Power Generation E-House #4 - Demolish and Decontaminate Building - Special Modular / Prefabricated"/>
        <s v="Power Generation E-House #4 - Demolish and foundations - Gravel Base - Skidded Building"/>
        <s v="Power Generation E-House #4 - Demolish floor finish - Raised Steel or Wooden Floor"/>
        <s v="Power Generation Stores #2 - Demolish and Decontaminate Building - Special Modular / Prefabricated"/>
        <s v="Power Generation Stores #2 - Demolish and foundations - Gravel Base - Skidded Building"/>
        <s v="Power Generation Stores #2 - Demolish floor finish - Raised Steel or Wooden Floor"/>
        <s v="PUMP  - TRUCK WASH BUILDING FUEL OIL PUMP (DUTY) "/>
        <s v="FUEL OIL PUMP  "/>
        <s v="PUMP  - TRUCK WASH BUILDING FUEL OIL PUMP (STANDBY) "/>
        <s v="PUMP  - MINE WASTE MANAGEMENT BUILDING FUEL OIL PUMP (DUTY) - VIKING DUPLEX OIL SYSTEMS  "/>
        <s v="PUMP  - MINE WASTE MANAGEMENT BUILDING FUEL OIL PUMP (STANDBY) - VIKING DUPLEX OIL SYSTEMS  "/>
        <s v="SHOP / MAINTENANCE EQUIPMENT  - PLATFORM SCALE  - AG  "/>
        <s v="Tank  - Jet-A tanks @ aerodrome apron"/>
        <s v="PUMP  - DIESEL FUEL DISPENSING MODULE DISCHARGE PUMP "/>
        <s v="Utility pad extension (North West)"/>
        <s v="Utility pad extension (South West)"/>
        <s v="GENERATOR  - 1.35 MW GENERATOR"/>
        <s v="RAW WATER DISTRIBUTION PUMP  "/>
        <s v="   RAW WATER DISTRIBUTION PUMP  "/>
        <s v="PUMP  - RAW WATER FEED PUMP "/>
        <s v="RAW WATER FEED PUMP  "/>
        <s v="PUMP  - MINE WATER BUILDING FUEL OIL PUMP (DUTY) - VIKING DUPLEX OIL SYSTEMS  "/>
        <s v="PUMP  - MINE WATER BUILDING FUEL OIL PUMP (STANDBY) - VIKING DUPLEX OIL SYSTEMS  "/>
        <s v="VENDOR PACKAGE  - POTABLE WATER TREATMENT PLANT VENDOR PACKAGE "/>
        <s v="VENDOR PACKAGE  - SEWAGE TREATMENT PLANT VENDOR PACKAGE "/>
        <s v="PUMP  - MINE SEWAGE TRUCK BUILDING FUEL OIL PUMP (DUTY) - VIKING DUPLEX OIL SYSTEMS  "/>
        <s v="PUMP  - MINE SEWAGE TRUCK BUILDING FUEL OIL PUMP (STANDBY) - VIKING DUPLEX OIL SYSTEMS  "/>
        <s v="BULK MATERIAL VALVES  - TREATED EFFLUENT POND SLUICE GATE "/>
        <s v="BULK MATERIAL VALVES  - TREATED EFFLUENT POND SLUICE GATE SPARE "/>
        <s v="Crushing and Screening E-House #1 - Demolish and Decontaminate Building - Special Modular / Prefabricated"/>
        <s v="Crushing and Screening E-House #1 - Demolish floor finish - Raised Steel or Wooden Floor"/>
        <s v="Crushing and Screening E-House #2 - Demolish and Decontaminate Building - Special Modular / Prefabricated"/>
        <s v="Crushing and Screening E-House #2- Demolish and foundations - Gravel Base - Skidded Building"/>
        <s v="Aerodrome Field Electrical Centre - Demolish and foundations - Gravel Base - Skidded Building"/>
        <s v="Aerodrome Field Electrical Centre - Demolish floor finish - Raised Steel or Wooden Floor"/>
        <s v="Raw Water Pumphouse - Demolish and foundations - Gravel Base - Skidded Building"/>
        <s v="Raw Water Pumphouse - Demolish floor finish - Raised Steel or Wooden Floor"/>
        <s v="Geology ‘core’ building - Demolish and foundations - Gravel Base - Skidded Building"/>
        <s v="Geology ‘core’ building - Demolish floor finish - Raised Steel or Wooden Floor"/>
        <s v="Diesel Fuel Dispensing Module  - Demolish floor finish - Raised Steel or Wooden Floor"/>
        <s v="Diesel Fuel Dispensing Module  - Demolish and foundations - Gravel Base - Skidded Building"/>
        <s v="Explosives Magazines - Demolish and foundations - Gravel Base - Skidded Building"/>
        <s v="Explosives Magazines - Demolish floor finish - Raised Steel or Wooden Floor"/>
        <s v="Services Area E-House #3- Demolish and foundations - Gravel Base - Skidded Building"/>
        <s v="Aerodrome Area E-House  - Demolish and foundations - Gravel Base - Skidded Building"/>
        <s v="Aerodrome Area E-House  - Demolish floor finish - Raised Steel or Wooden Floor"/>
        <s v="Raw Water Supply E-House - Demolish and foundations - Gravel Base - Skidded Building"/>
        <s v="Raw Water Supply E-House - Demolish floor finish - Raised Steel or Wooden Floor"/>
        <s v="Crushing &amp; Screening Electrical Trailer - Demolish and foundations - Gravel Base - Skidded Building"/>
        <s v="Crushing &amp; Screening Electrical Trailer - Demolish floor finish - Raised Steel or Wooden Floor"/>
        <s v="TANK  - SITE SERVICES WASHCAR #1 RAW WATER TANK - PLASTIC-MART 866-310-2556  L: 1803 _x000a_W: 1245 H: 1346  "/>
        <s v="Crushing and Screening E-House #1 - Demolish and foundations - Gravel Base - Skidded Building"/>
        <s v="Crushing and Screening E-House #2 - Demolish floor finish - Raised Steel or Wooden Floor"/>
        <s v="Crushing &amp; Screening E-House - Demolish and foundations - Gravel Base - Skidded Building"/>
        <s v="Crushing &amp; Screening E-House - Demolish floor finish - Raised Steel or Wooden Floor"/>
        <s v="Aerodrome Office - Demolish floor finish - Raised Steel or Wooden Floor"/>
        <s v="Pit Office Building - Demolish floor finish - Raised Steel or Wooden Floor"/>
        <s v="Accommodation Laboratory - Demolish and foundations - Gravel Base - Skidded Building"/>
        <s v="Accommodation Laboratory - Demolish floor finish - Raised Steel or Wooden Floor"/>
        <s v="Truck Weigh Building - Demolish floor finish - Gravel"/>
        <s v="Explosives Plant Building - Demolish and foundations - Gravel Base - Skidded Building"/>
        <s v="Explosives Plant Building - Demolish floor finish - Raised Steel or Wooden Floor"/>
        <s v="Explosives Shop - Demolish and foundations - Gravel Base - Skidded Building"/>
        <s v="Accommodation Wing AA - Demolish and foundations - Gravel Base - Skidded Building"/>
        <s v="Accommodation Wing AA - Demolish floor finish - Raised Steel or Wooden Floor"/>
        <s v="Accommodation Wing AB - Demolish and foundations - Gravel Base - Skidded Building"/>
        <s v="Accommodation Wing AB - Demolish floor finish - Raised Steel or Wooden Floor"/>
        <s v="Accommodation Wing AC - Demolish and foundations - Gravel Base - Skidded Building"/>
        <s v="Accommodation Wing AC - Demolish floor finish - Raised Steel or Wooden Floor"/>
        <s v="Accommodation Wing AD - Demolish and foundations - Gravel Base - Skidded Building"/>
        <s v="Accommodation Wing AD - Demolish floor finish - Raised Steel or Wooden Floor"/>
        <s v="Accommodation Wing AE - Demolish and foundations - Gravel Base - Skidded Building"/>
        <s v="Accommodation Wing AE - Demolish floor finish - Raised Steel or Wooden Floor"/>
        <s v="Accommodation Wing AF - Demolish and foundations - Gravel Base - Skidded Building"/>
        <s v="Accommodation Wing AF - Demolish floor finish - Raised Steel or Wooden Floor"/>
        <s v="Accommodation Wing AG - Demolish and foundations - Gravel Base - Skidded Building"/>
        <s v="Accommodation Wing AG - Demolish floor finish - Raised Steel or Wooden Floor"/>
        <s v="Truck Wash Building - Demolish floor finish - Gravel"/>
        <s v="Treated Effluent Piping - Heat Trace Installation - STP to connection with Stockpile Drain Pipe"/>
        <s v="Stockpile Drain Pipe - Heat Trace Installation - Ore stockpile to effluent pond and Mary River"/>
        <s v="Raw Water Supply Pipe - Heat Trace Installation - Pumphouse to Water Building"/>
        <s v="Informal Construction Laydown at Mary River"/>
        <s v="MOBILE EQUIPMENT  - MOBILE CRUSHER FRONT-END LOADER - CAT 988H  _x000a_L: 10390, W: 3600, H: 4115, 43400 kg"/>
        <s v="MOBILE EQUIPMENT  - MINE HAUL TRUCK - CAT 777G  _x000a_L: 10445, W: 6706, H: 5840, 75200 kg"/>
        <s v="MOBILE EQUIPMENT  - MINE SITE LARGE EXCAVATOR - CAT 390DL  _x000a_L: 13470, W: 3500, H: 4782, 85000 kg"/>
        <s v="MOBILE EQUIPMENT  - SINGLE PASS PRODUCTION DRILL - CAT MD6290  56800 kg"/>
        <s v="MOBILE EQUIPMENT  - SINGLE PASS PRODUCTION DRILL - CAT MD6290  _x000a_L: 14280, W: 4010, H: 4590, 56800 kg"/>
        <s v="MOBILE EQUIPMENT  - SECONDARY DRILL  - TAMROCK 800  "/>
        <s v="MOBILE EQUIPMENT  - DRILL DUST SUPPRESSION WATER/METHANOL TRUCK -  KENWORTH T800H "/>
        <s v="MOBILE EQUIPMENT  - CAT 777 DUMP BOX"/>
        <s v="MOBILE EQUIPMENT  - COMPACTOR  - CAT CP563E  _x000a_"/>
        <s v="MOBILE EQUIPMENT  - MINE SITE GRADER  - CAT 16M  _x000a_L: 9994, W: 3077, H: 3524, 24400 kg"/>
        <s v="MOBILE EQUIPMENT  - MINE SITE TRACK DOZER - CAT D9T  _x000a_L: 6630, W: 4310, H: 3815, 78000 kg"/>
        <s v="MOBILE EQUIPMENT  - PIONEER DRILL - SANDVIK DX780 "/>
        <s v="MOBILE EQUIPMENT  - PIONEER DRILL - SANDVIK SDX800"/>
        <s v="MOBILE EQUIPMENT  - PRODUCTION FRONT END LOADER - CAT 992K  _x000a_L: 16877, W: 6000, H: 7000, 100000 kg"/>
        <s v="MOBILE EQUIPMENT  - TOTE ROAD ORE HAUL TRUCK - TRACTOR - WESTERN STAR 6900XD  _x000a_L: 10080, W: 3060, H: 3900, 11400 kg"/>
        <s v="MOBILE EQUIPMENT  - TOTE ROAD ORE HAUL TRUCK - LEAD TRAILER - SMITHCO S4 (75T)  _x000a_L: 10240, W: 3060, H: 4210, 34500 kg"/>
        <s v="MOBILE EQUIPMENT  - TOTE ROAD ORE HAUL TRUCK - PUP TRAILER - SMITHCO S4 (75T)  _x000a_L: 10240, W: 3060, H: 4210, 34500 kg"/>
        <s v="MOBILE EQUIPMENT  - TOTE ROAD ORE HAUL TRUCK - LEAD TRAILER - SMITHCO S4 (75T) _x000a_L: 10240, W: 3060, H: 4210, 34500 kg"/>
        <s v="MOBILE EQUIPMENT  - TOTE ROAD ORE HAUL TRUCK - TRACTOR - WESTERN STAR 6900XD   L: 10080, W: 3060, H: 3900, 11400 kg"/>
        <s v="MOBILE EQUIPMENT  - TOTE ROAD ORE HAUL TRUCK - TRACTOR - WESTERN STAR 6900XD  L: 10080, W: 3060, H: 3900, 11400 kg"/>
        <s v="MOBILE EQUIPMENT  - MINE SITE TRACK DOZER - CAT D9T  _x000a_L: 6630, W: 4310, H: 3815, 42700 kg"/>
        <s v="MOBILE EQUIPMENT  - MINE SITE WHEEL DOZER - CAT 824H  _x000a_L: 8716, W: 3556, H: 4102, 46300 kg"/>
        <s v="MOBILE EQUIPMENT  - GRADER  - CAT 16H  _x000a_L: 9963, W: 3096, H: 3718, 30400 kg"/>
        <s v="MOBILE EQUIPMENT  - PRODUCTION LARGE EXCAVATOR - CAT 390DL  L: 13470, W: 3500, H: 4782, 85000 kg"/>
        <s v="MOBILE EQUIPMENT  - MOBILE CRUSHING FRONT END LOADER  - CAT 988H, L: 10390, W: 3600, H: 4115, 43400 kg"/>
        <s v="MOBILE EQUIPMENT  - ORE HAUL TRUCK FRONT END LOADER - CAT 988H   _x000a_L: 3277, W: 1676, H: 3810, 3175 kg"/>
        <s v="MOBILE EQUIPMENT  -TOTE ROAD ORE HAUL TRUCK - LEAD TRAILER - SMITHCO S4 (75T)  _x000a_L: 10240, W: 3060, H: 4210"/>
        <s v="MOBILE EQUIPMENT  - TOTE ROAD ORE HAUL TRUCK - PUP TRAILER - SMITHCO S4 (75T)  _x000a_L: 10240, W: 3060, H: 4210"/>
        <s v="MOBILE EQUIPMENT  - TOTE ROAD ORE HAUL TRUCK - TRACTOR - WESTERN STAR 6900XD  "/>
        <s v="MOBILE EQUIPMENT  - MAINTENANCE SERVICE TRUCK - FORD F550  "/>
        <s v="MOBILE EQUIPMENT  - MAINTENANCE SERVICE TRUCK - PETERBILT 348  "/>
        <s v="MOBILE EQUIPMENT  - LOWBED TRACTOR - PETERBILT 367  "/>
        <s v="MOBILE EQUIPMENT  - TIRE HANDLER  - WBM T20P-S  5900 kg"/>
        <s v="MOBILE EQUIPMENT  - FREIGHT HANDLING FRONT END LOADER - CAT 930K  _x000a_L: 6050, W: 2390, H: 3150, 9600 kg"/>
        <s v="MOBILE EQUIPMENT  - YARD WORK EXCAVATOR - CAT 345DL  _x000a_L: 11910, W: 3490, H: 3770, 45000 kg"/>
        <s v="MOBILE EQUIPMENT  - CLEANUP/SNOW REMOVAL ALL TERRAIN FRONT END LOADER - CAT 247B  _x000a_L: 3277, W: 1676, H: 3810, 3175 kg"/>
        <s v="MOBILE EQUIPMENT  - CRUSHER MAINTENANCE KNUCKLE CRANE - KENWORTH T800  "/>
        <s v="MOBILE EQUIPMENT  - MAINTENANCE CRANE - TEREX RT780  _x000a_L: 14630, W: 7920, H: 3990, 42000 kg"/>
        <s v="MOBILE EQUIPMENT  - MAINTENANCE CRANE - TEREX RT130  _x000a_L: 15240, W: 7920, H: 3970, 60500 kg"/>
        <s v="MOBILE EQUIPMENT  - WAREHOUSE FORK LIFT - CAT P7000-D  _x000a_L: 2790, W: 1290, H: 2500, 4763 kg"/>
        <s v="MOBILE EQUIPMENT  - MAINTENANCE FORK LIFT - CAT P20000  _x000a_L: 4240, W: 2390, H: 2845, 14320 kg"/>
        <s v="MOBILE EQUIPMENT  - FREIGHT TELEHANDLER - CAT TH514  L: 6100, W: 2570, H: 2570, 15800 kg"/>
        <s v="MOBILE EQUIPMENT  - RUN-OFF CONTROL DEWATERING PUMP - GORMAN RUPP T6A60S-C4.4T  "/>
        <s v="MOBILE EQUIPMENT  - YARD MAINTENANCE PLOW/SAND TRUCK - INTERNATIONAL 7600  "/>
        <s v="MOBILE EQUIPMENT  - YARD/TOTE ROAD MAINTENANCE TRACK DOZER - CAT D6T XW  _x000a_L: 4064, W: 2464, H: 2439, 21600 kg"/>
        <s v="MOBILE EQUIPMENT  - MAN LIFT  - JLG450AJ  _x000a_L: 2500, W: 1170, H: 1970, 6010 kg"/>
        <s v="MOBILE EQUIPMENT  - SCISSOR LIFT  - SKYJACK 8841  _x000a_L: 3500, _x000a_W: 2200, H: 2900 4917 kg"/>
        <s v="MOBILE EQUIPMENT  - ORE HAUL TRUCK RECOVERY TOW TRUCK - KENWORTH T800  "/>
        <s v="MOBILE EQUIPMENT  - TOTE ROAD CULVERT MAINTENANCE STEAM TRUCK - PETERBILT T/A STEAM TRUCK  "/>
        <s v="MOBILE EQUIPMENT  - FORKLIFT  - MITSUBISHI FB20PNT  _x000a_L: 3050, W: 1090, H: 2050, 3500 kg"/>
        <s v="MOBILE EQUIPMENT  - MINI CRAWLER CRANE  - SPYDER CRANE URW706  "/>
        <s v="MOBILE EQUIPMENT  - FLAT DECK TRUCK - FORD F550  _x000a_L: 7264, W: 2418, H: 2022, 3311 kg"/>
        <s v="MOBILE EQUIPMENT  - LARGE MOBILE LIGHT PLANT - TEREX_x000a_L: 4623, W: 2007, H: 9000, 925 kg"/>
        <s v="MOBILE EQUIPMENT  - SERVICE TRUCK - PETERBILT  "/>
        <s v="MOBILE EQUIPMENT  - WORKER TRANSFER MINI BUS - BLUE BIRD BBCV DIESEL 1910 A  L: 7470, W: 2440, H: 1930, 7080 kg"/>
        <s v="MOBILE EQUIPMENT  - FREIGHT DELIVERY HIBOY TRAILER L: 14630 _x000a_W: 2438 "/>
        <s v="MOBILE EQUIPMENT  - DIESEL FUEL TRAILER TRACTOR - WESTERN STAR 4900FA  "/>
        <s v="MOBILE EQUIPMENT  - JET-A1 FUEL DELIVERY TRUCK - MACK/INNOCAR GU813  _x000a_L: 8052, W: 2960, H: 3589"/>
        <s v="MOBILE EQUIPMENT  - DIESEL FUEL DELIVERY TRAILER - TREMCAR TC406 SUPER B-TRAIN  L: 24384, W: 2590, H: 4013, 33500 kg"/>
        <s v="MOBILE EQUIPMENT  - MOBILE EQUIPMENT LOWBOY TRAILER - SHELTEMA  _x000a_L: 7620, W: 4572 _x000a_"/>
        <s v="MOBILE EQUIPMENT  - ARTICULATED WATER/SAND TRUCK - CAT 740  "/>
        <s v="MOBILE EQUIPMENT  - DIESEL FUEL DELIVERY TRAILER - ADVANCE  "/>
        <s v="MOBILE EQUIPMENT  - HEATED/REFRIGERATED SEA CONTAINER  _x000a_L: 6096, W: 2440, H: 2440 "/>
        <s v="MOBILE EQUIPMENT  - COACH PASSENGER TRANSFER BUS"/>
        <s v="MOBILE EQUIPMENT  - FUEL DELIVERY TRUCK - FREIGHTLINER"/>
        <s v="MOBILE EQUIPMENT  - FUEL DELIVERY TRUCK - INTERNATIONAL"/>
        <s v="MOBILE EQUIPMENT  - Live Bottom Trailer"/>
        <s v="MOBILE EQUIPMENT  - MAINTENANCE LUBE TRUCK   - Ford"/>
        <s v="MOBILE EQUIPMENT  - SEWAGE VACUUM TRUCK - FREIGHTLINER"/>
        <s v="MOBILE EQUIPMENT  - WATER TRUCK  - PETERBILT (5400 GAL)  "/>
        <s v="2008 bulk sample PWSP "/>
        <s v="CONVEYING  - LINK CONVEYOR  - MASABA MINING EQUIPMENT  "/>
        <s v="MOBILE EQUIPMENT  - AIRPORT MAINTENANCE DE-ICING TRUCK - FORD SUPERIOR  "/>
        <s v="MOBILE EQUIPMENT  - AMBULANCE  - FORD F450  _x000a_L: 6680, W: 2438, H: 2024, 6350 kg"/>
        <s v="MOBILE EQUIPMENT  - FIRE TRUCK  - OSHKOSH TI3000  _x000a_L: 10922 _x000a_W: 2921, H: 3607, 39000 kg"/>
        <s v="MOBILE EQUIPMENT  - SNOW RESCUE VEHICLE  - HAGGLUND BV206  L: 6900, W: 1870, H: 2400, 6580 kg"/>
        <s v="Raw Water Intake Pipeline"/>
        <s v="Exploration Tent Camp Pad"/>
        <s v="Soft Wall Maintenance Garage x 6 (assume same size as existing on Tote Road)"/>
        <s v="994 Loader"/>
        <s v="988 Loader"/>
        <s v="793 Haul Truck"/>
        <s v="Mobile Primary Crusher Unit"/>
        <s v="Exploration Soft-Wall Camp (Weatherhaven)"/>
        <s v="Matrix Camp"/>
        <s v="Exploration Tent Camp Tents"/>
        <s v="Concrete Batch Plant Building - Demolish and Decontaminate Building - Fold-away Building (Steel)"/>
        <s v="Concrete Batch Plant Building - Demolish and foundations - Precast Footing (Perimeter Beam)"/>
        <s v="49-person Hard Wall Trailer Camp (previously at Steensby)"/>
        <s v="Fuel/Lube Truck"/>
        <s v="Toromont Maintenance Workshops soft (Contaminated)"/>
        <s v="Exploration Workshops"/>
        <s v="Bulk Fuel Storage Facility (Bladder Farm)"/>
        <s v="Barreled Fuel Line Containment"/>
        <s v="Temporary construction warehouses and offices"/>
        <s v="Construction Office - Demolish and Decontaminate Building - Trailer - Modular (2 or more modules)"/>
        <s v="Site Services Heated Warehouse - Demolish and Decontaminate Building - Fold-away Building (Steel)"/>
        <s v="Site Services Unheated Warehouse - Demolish and Decontaminate Building - Fold-away Building (Steel)"/>
        <s v="Site Services Heated Warehouse - Demolish and foundations - Precast Footing (Perimeter Beam)"/>
        <s v="Site Services Unheated Warehouse - Demolish and foundations - Precast Footing (Perimeter Beam)"/>
        <s v="Batch Plant Stockpile"/>
        <s v="Construction Equipment Building - Demolish and Decontaminate Building - Fabric w/ Sea Can Walls"/>
        <s v="Construction Equipment Building - Demolish and foundations - Precast Footing (Perimeter Beam)"/>
        <s v="TANK  - BATCH PLANT OFFICE-LUNCHROOM-WC SEWAGE COLLECTION TANK - LAGRANGE MECHANICAL SERVICES  L: 3791 _x000a_W: 1829 H: 610 "/>
        <s v="TANK  - BATCH PLANT OFFICE-LUNCHROOM-WC SEWAGE COLLECTION TANK - LAGRANGE MECHANICAL SERVICES  L: 3791 _x000a_W: 1829  H: 610 "/>
        <s v="TANK  - SITE SERVICES WASHCAR #2 RAW WATER TANK - PLASTIC-MART 866-310-2556  L: 1803 _x000a_W: 1245 _x000a_H: 1346 "/>
        <s v="TANK  - FUEL SYSTEMS WASHCAR RAW WATER TANK - PLASTIC-MART 866-310-2556  L: 1803  W: 1245 _x000a_H: 1346 "/>
        <s v="TANK  - SITE SERVICES WASHCAR #1 RAW WATER TANK - PLASTIC-MART 866-310-2556  L: 1803 _x000a_W: 1245  H: 1346 "/>
        <s v="Existing Lined Storage Area"/>
        <s v="TANK  - SITE SERVICES WASHCAR #2 RAW WATER TANK - PLASTIC-MART 866-310-2556  L: 1803 _x000a_W: 1245   H: 1346 "/>
        <s v="Site Services Washcar #1 - Demolish and foundations - Timber Cribbing to Elevate Building"/>
        <s v="Site Services Washcar #2 - Demolish and foundations - Timber Cribbing to Elevate Building"/>
        <s v="Fuel Systems Washcar - Demolish and foundations - Timber Cribbing to Elevate Building"/>
        <s v="Batch Plant Office-Lunchroom-W/C - Demolish and Decontaminate Building - Trailer - Single"/>
        <s v="Site Services Lunchroom #1 - Demolish and Decontaminate Building - Trailer - Single"/>
        <s v="Site Services Lunchroom #2 - Demolish and Decontaminate Building - Trailer - Single"/>
        <s v="Fuel Systems Lunchroom - Demolish and Decontaminate Building - Trailer - Single"/>
        <s v="Fuel Systems Office - Demolish and Decontaminate Building - Trailer - Single"/>
        <s v="TANK  - BATCH PLANT OFFICE-LUNCHROOM-WC RAW WATER TANK - PLASTIC-MART 866-310-2556  L: 1613 W: 737  H: 1676 "/>
        <s v="Quarry Washcar - Demolish and Decontaminate Building - Trailer - Single"/>
        <s v="Quarry Washcar - Demolish and foundations - Gravel Base - Skidded Building"/>
        <s v="TANK  - BATCH PLANT OFFICE-LUNCHROOM-WC RAW WATER TANK - PLASTIC-MART 866-310-2556  L: 1613  W: 737  H: 1676 "/>
        <s v="Quarry Washcar - Demolish floor finish - Raised Steel or Wooden Floor"/>
        <s v="PUMP  - SITE SERVICES WASHCAR #1 RAW WATER PUMP - SIMER JET PUMPS 2205C  _x000a_L: 483, W: 275, H: 267 "/>
        <s v="PUMP  - SITE SERVICES WASHCAR #2 RAW WATER PUMP - SIMER JET PUMPS 2205C  _x000a_L: 483, W: 275, H: 267 "/>
        <s v="Smoke Shack - Demolish and Decontaminate Building - ISO Shipping Container"/>
        <s v="Batch Plant Office-Lunchroom-W/C - Demolish and foundations - Timber Cribbing to Elevate Building"/>
        <s v="Site Services Lunchroom #1 - Demolish and foundations - Timber Cribbing to Elevate Building"/>
        <s v="Site Services Lunchroom #2 - Demolish and foundations - Timber Cribbing to Elevate Building"/>
        <s v="Fuel Systems Lunchroom - Demolish and foundations - Timber Cribbing to Elevate Building"/>
        <s v="GENERATOR  - SITE SERVICES LUNCHROOM/WASHCAR GENERATOR - CUMMINS DSFAA  _x000a_L: 2110, W: 1020, H: 2315, 3776 kg"/>
        <s v="PUMP  - FUEL SYSTEMS WASHCAR RAW WATER PUMP - SIMER JET PUMPS 2205C  _x000a_L: 483, W: 275, H: 267 "/>
        <s v="GENERATOR  - SITE SERVICES LUNCHROOM/WASHCAR GENERATOR - CUMMINS DSFAA  _x000a_L: 2110, W: 1020, H: 2315, 4760 kg"/>
        <s v="Exploration Tents"/>
        <s v="Existing Trailer Camp (Shanco)"/>
        <s v="Legacy Equipment "/>
        <s v="PUMP  - AERODROME OFFICE RAW WATER PUMP - SIMER JET PUMPS 2205C  _x000a_L: 483, W: 275, H: 267 "/>
        <s v="Quarry Lunchroom - Demolish and Decontaminate Building - Trailer - Single"/>
        <s v="Quarry Lunchroom - Demolish and foundations - Gravel Base - Skidded Building"/>
        <s v="Quarry Lunchroom - Demolish floor finish - Raised Steel or Wooden Floor"/>
        <s v="Site Services Washcar #1 - Demolish floor finish - Raised Steel or Wooden Floor"/>
        <s v="PUMP  - BATCH PLANT OFFICE-LUNCHROOM-WC RAW WATER PUMP - SIMER JET PUMPS 2205C  _x000a_L: 483, W: 275, H: 267 "/>
        <s v="Site Services Washcar #2 - Demolish floor finish - Raised Steel or Wooden Floor"/>
        <s v="Fuel Systems Washcar - Demolish floor finish - Raised Steel or Wooden Floor"/>
        <s v="Toromont Britespan Workshop - Demolish and Decontaminate Building - Fabric w/ Sea Can Walls"/>
        <s v="Toromont Britespan Workshop - Demolish and foundations - Gravel Base - Skidded Building"/>
        <s v="Toromont Britespan Workshop - Demolish floor finish - Gravel"/>
        <s v="Construction Workshop - Demolish and Decontaminate Building - Fabric w/ Sea Can Walls"/>
        <s v="Construction Workshop - Demolish and foundations - Gravel Base - Skidded Building"/>
        <s v="Construction Workshop - Demolish floor finish - Gravel"/>
        <s v="Site Services Unheated Warehouse - Demolish floor finish - Gravel"/>
        <s v="GENERATOR  - ACOMMODATIONS AREA GENERATOR - CUMMINS C1600D6R  _x000a_L: 14630, W: 2440, H: 4062, 68320 kg"/>
        <s v="GENERATOR  - CONCRETE BATCH PLANT GENERATOR - CUMMINS C150D6R _x000a_L: 4674, W: 1730, H: 2085, 8800 kg"/>
        <s v="GENERATOR  - GENERAL GENERATOR - CUMMINS C80D6R _x000a_L: 4500, W: 1905, H: 2085, 5322 kg"/>
        <s v="GENERATOR  - LOGISTICS TRAILER GENERATOR - CUMMINS DSFAA  L: 2110, W: 1020, H: 2315m 3776 kg"/>
        <s v="GENERATOR  - AERODROME LIGHTING GENERATOR - CUMMINS DSKBA  _x000a_L: 2160, W: 790, H: 1500, 2442 kg"/>
        <s v="Bladder Farm Decommissioning"/>
        <s v="Existing Hazardous Waste Berm"/>
        <s v="Old STP (RBC)"/>
        <s v="Exploration Phase PWSP"/>
        <s v="Old Incinerator (Medium sized equipment)"/>
        <s v="Mine Site Surface Water Management Diversion Ditches and Berms"/>
        <s v="GENERATOR  - ACCOMMODATIONS AREA GENERATOR - CUMMINS C1600D6RG  _x000a_L: 14630, W: 2440, H: 4065, 78220 kg"/>
        <s v="GENERATOR  - CONCRETE BATCH PLANT GENERATOR - CUMMINS C150D6R  _x000a_L: 4675, W: 1730, H: 2085, 10466 kg"/>
        <s v="GENERATOR  - GENERAL GENERATOR - CUMMINS C80D6R  _x000a_L: 4496, W: 1905, H: 2085, 6458 kg"/>
        <s v="GENERATOR  - AERODROME LIGHTING GENERATOR - CUMMINS C60D6R  _x000a_L: 4496, W: 1905, H: 2085, 6365 kg"/>
        <s v="TANK  - ORE HAUL TRUCK WORKSHOP OFFICE WASHCAR RAW WATER TANK - SIMER JET PUMPS 2205C   _x000a_L: 1803, W: 1245, H: 1346 "/>
        <s v="GENERATOR  - WORKFACE TOOLS GENERATOR - CUMMINS DSKBA  L: 2160, W: 790, H: 1500, 3145 kg"/>
        <s v="Hazardous Waste Containment Area - Existing"/>
        <s v="Exploration STP"/>
        <s v="Smoke Shack - Demolish and foundations - Gravel Base - Skidded Building"/>
        <s v="Smoke Shack - Demolish floor finish - Raised Steel or Wooden Floor"/>
        <s v="TANK  - ORE HAUL TRUCK WORKSHOP OFFICE WASHCAR SEWAGE COLLECTION TANK"/>
        <s v="PUMP  - ORE HAUL TRUCK WORKSHOP OFFICE WASHCAR RAW WATER PUMP - PLASTIC-MART   _x000a_L: 483, W: 275, H: 267 "/>
        <s v="Construction offices, lunchrooms, washcars (assume 6 units @  36 m2 per wash car)"/>
        <s v="Fuel Systems Office - Demolish and foundations - Gravel Base - Skidded Building"/>
        <s v="Fuel Systems Office - Demolish floor finish - Raised Steel or Wooden Floor"/>
        <s v="Fuel Systems Lunchroom - Demolish and foundations - Gravel Base - Skidded Building"/>
        <s v="Fuel Systems Lunchroom - Demolish floor finish - Raised Steel or Wooden Floor"/>
        <s v="Batch Plant Office-Lunchroom-W/C - Demolish floor finish - Raised Steel or Wooden Floor"/>
        <s v="Site Services Lunchroom #1 - Demolish floor finish - Raised Steel or Wooden Floor"/>
        <s v="Site Services Lunchroom #2 - Demolish floor finish - Raised Steel or Wooden Floor"/>
        <s v="Construction Equipment Building - Demolish floor finish - Gravel"/>
        <s v="Construction Office - Demolish and foundations - Gravel Base - Skidded Building"/>
        <s v="Construction Office - Demolish floor finish - Raised Steel or Wooden Floor"/>
        <s v="Site Services Heated Warehouse - Demolish floor finish - Gravel"/>
        <s v="Concrete Batch Plant Building - Demolish floor finish - Gravel"/>
        <s v="Batch Plant Building"/>
        <s v="MOBILE EQUIPMENT  - CUBE VAN  - FORD F550  "/>
        <s v="MOBILE EQUIPMENT  - ARTICULATED HAUL TRUCK  - CAT 740B  _x000a_L: 10889, W: 3430, H: 3745, 34000 kg"/>
        <s v="MOBILE EQUIPMENT  - ARTICULATED HAUL TRUCK  - CAT 740B  L: 10889, W: 3430, H: 3745, 34000 kg"/>
        <s v="MOBILE EQUIPMENT  - FRONT END LOADER  - CAT 988H  _x000a_L: 10390, W: 3600, H: 4115, 43400 kg"/>
        <s v="MOBILE EQUIPMENT  - FRONT END LOADER  - CAT 988H    _x000a_L: 10390, W: 3600, H: 4115, 43400 kg"/>
        <s v="MOBILE EQUIPMENT  - MID SIZE AIR COMPRESSOR  - ATLAS COPCO "/>
        <s v="MOBILE EQUIPMENT  - TRASH PUMP  - GORMAN-RUPP 13D-L700EE S/G  L: 711.2, W: 533.4, H: 621.7, 54 kg"/>
        <s v="MOBILE EQUIPMENT  - MOBILE LIGHT PLANT  - TEREX AL4  _x000a_L: 4623, W: 2007, H: 9000, 925 kg"/>
        <s v="MOBILE EQUIPMENT  - MOBILE LIGHT PLANT  - TEREX AL4   _x000a_L: 4623, W: 2007, H: 9000, 925 kg"/>
        <s v="MOBILE EQUIPMENT  - FRONT END LOADER  - CAT 930K  _x000a_L: 6050, W: 2390, H: 3150, 9600 kg"/>
        <s v="MOBILE EQUIPMENT  - TELEHANDLER  - CAT TH514  _x000a_L: 6100, W: 2570, H: 2570, 15800 kg"/>
        <s v="MOBILE EQUIPMENT  - FROST FIGHTER  - FROSTFIGHTER IDF350-11  "/>
        <s v="MOBILE EQUIPMENT  - LOWBOY TRAILER  L: 16050, W: 2438 "/>
        <s v="MOBILE EQUIPMENT  - MAN LIFT  - JLG 450AJ  "/>
        <s v="MOBILE EQUIPMENT  - MAN LIFT  - GENIE Z45/25  "/>
        <s v="MOBILE EQUIPMENT  - SCISSOR LIFT  - SKYJACK 8841  _x000a_L: 3500, W: 2200, H: 2900 4917 kg"/>
        <s v="MOBILE EQUIPMENT  - BOOM TRUCK  - MAMTEX 26101C  "/>
        <s v="MOBILE EQUIPMENT  - MAINTENANCE CRANE  - GROVE RT890E  41400 kg"/>
        <s v="MOBILE EQUIPMENT  - WAREHOUSE FREIGHT DELIVERY FLAT DECK TRUCKS - FORD F550  L: 7264, W: 2418, H: 2022, 3311 kg"/>
        <s v="MOBILE EQUIPMENT  - TRACK DOZER  - CAT D6T XW  _x000a_L: 4674, W: 2000, H: 2900, 9250 kg"/>
        <s v="MOBILE EQUIPMENT  - MID SIZE EXCAVATOR  - CAT 345DL HEX  _x000a_L: 11910, W: 3490, H: 3770, 45000 kg"/>
        <s v="MOBILE EQUIPMENT  - COMPACTOR  - CAT CS74  _x000a_L: 5970, W: 2300, H: 3070, 15650 kg"/>
        <s v="MOBILE EQUIPMENT  - COMPACTOR  - CAT CP563E  _x000a_L: 5970, W: 2300, H: 3070, 15650 kg"/>
        <s v="MOBILE EQUIPMENT  - ROAD SNOW BLOWER  - CAT 950H  _x000a_L: 6170 _x000a_W: 2410, H: 3320, 18338 kg"/>
        <s v="MOBILE EQUIPMENT  - FUEL/LUBE TRUCK - ARTICULATED  - CAT 740 EFLT  "/>
        <s v="MOBILE EQUIPMENT  - LARGE AIR COMPRESSOR  - ATLAS COPCO "/>
        <s v="MOBILE EQUIPMENT  - FRONT END LOADER  - CAT 930K    _x000a_L: 6050, W: 2390, H: 3150, 9600 kg"/>
        <s v="MOBILE EQUIPMENT  - LOWBOY TRAILER   L: 16050, W: 2438 "/>
        <s v="MOBILE EQUIPMENT  - HIBOY TRAILER  _x000a_L: 14630, W: 2438 "/>
        <s v="MOBILE EQUIPMENT  - SECONDARY DRILL  - SANDVIK 800  "/>
        <s v="MOBILE EQUIPMENT - MAINTENANCE CRANE  - MANITOWOC 2250 L: 12900, W: 7910, H: 3640, 113000 kg"/>
        <s v="MOBILE EQUIPMENT  - BOOM TRUCK  - MANITEX 26101C  "/>
        <s v="Polishing Waste Stabilization Pond (Existing)"/>
        <s v="Short Term C&amp;M, Closure &amp; Post-Closure Monitoring and reporting"/>
        <s v="Ammonium Nitrate (explosive material)"/>
        <s v="Off-Site Disposal of Waste &amp; Material"/>
        <s v="Water Tank 50,000L"/>
        <s v="Water Tank 10,000L"/>
        <s v="Explosives Magazine (12m2) - Demolish and Decontaminate Building - Trailer"/>
        <s v="Contaminated Soil Treatment"/>
        <s v="Service Truck F250"/>
        <s v="QMR2 Quarry (marginal decrease, area not used in 2017)"/>
        <s v="2017 - 3rd party contractor equipment from 2017 addendum not mobilized"/>
        <s v="Geotechnical Inspections"/>
        <s v="Project Environmental Site Assessment"/>
        <s v="Closure &amp; Post Closure Monitoring"/>
        <s v="MOBILE EQUIPMENT  - MARINE PATROL, BOAT" u="1"/>
        <s v="Reclaim Belt Conveyor - Belt Scale" u="1"/>
        <s v="Reclaim Sampler Tower, Sampler - Chute Ass'y" u="1"/>
        <s v="Accommodation – West side" u="1"/>
        <s v="MINE SITE TRACK DOZER ,  " u="1"/>
        <s v="Diesel Module, GEN Set Feed System - 100 LPM Pump Ass'y #2" u="1"/>
        <s v="Reclaim Sampler Tower, Dosing Conveyor - Tensioning System" u="1"/>
        <s v="Reclaim Belt Conv, Take Up Section - Electrical Controls" u="1"/>
        <s v="Ammonium Nitrate (explosive Material) - 2016" u="1"/>
        <s v="Spread A, Primary Jaw Plant - PJ-2 Jaw Crusher" u="1"/>
        <s v="Spread C, Primary Jaw Plant - PJ-3 Jaw Crusher" u="1"/>
        <s v="Reclaim Feeding, Line 2 - FE-002 Feeder Discharge Conv Snub Pulley" u="1"/>
        <s v="Reclaim Feeding, Line 3 - FE-003 Feeder Discharge Conv Snub Pulley" u="1"/>
        <s v="Reclaim Feeding, Line 4 - FE-004 Feeder Discharge Conv Snub Pulley" u="1"/>
        <s v="Spread A, Primary Jaw Plant - PJ-2 Feeder Body Ass'y" u="1"/>
        <s v="Spread B, Primary Jaw Plant - PJ-1 Feeder Body Ass'y" u="1"/>
        <s v="Spread C, Primary Jaw Plant - PJ-3 Feeder Body Ass'y" u="1"/>
        <s v="Spread C, Secondary Cone Plant - HP400 Secondary Cone Plant, SC-3" u="1"/>
        <s v="Spread A, Twin Screen Plant - SS-2 Primary Underscreen Conveyor Belt" u="1"/>
        <s v="Spread B, Twin Screen Plant - SS-1 Primary Underscreen Conveyor Belt" u="1"/>
        <s v="Spread C, Twin Screen Plant - SS-3 Primary Underscreen Conveyor Belt" u="1"/>
        <s v="Spread A, Primary Screen Plant - PS-2 Over Screen Conveyor Elect Controls" u="1"/>
        <s v="Spread B, Primary Screen Plant - PS-1 Over Screen Conveyor Elect Controls" u="1"/>
        <s v="Spread C, Primary Screen Plant - PS-3 Over Screen Conveyor Elect Controls" u="1"/>
        <s v="ORE HAUL TRUCK FRONT END LOADER,  " u="1"/>
        <s v="Spread A, Control Room - Spread A Air Makeup Unit" u="1"/>
        <s v="Spread B, Control Room - Spread B Air Makeup Unit" u="1"/>
        <s v="   HEATER E-HOUSE  " u="1"/>
        <s v="Reclaim Belt Conveyor - Tension Pulley Drive Ass'y RC03" u="1"/>
        <s v="TOTE ROAD ORE HAUL TRUCK - LEAD TRAILER ,  " u="1"/>
        <s v="Ammonium Nitrate (explosive Material) - 2014" u="1"/>
        <s v="STOCKPILE RECLAIM FRONT END LOADER,  " u="1"/>
        <s v="Spread A, Tertiary Cone Plant - TC-2 Cone Crusher Adjust Ring Ass'y" u="1"/>
        <s v="Spread B, Tertiary Cone Plant - TC-1 Cone Crusher Adjust Ring Ass'y" u="1"/>
        <s v="Spread C, Tertiary Cone Plant - TC-3 Cone Crusher Adjust Ring Ass'y" u="1"/>
        <s v="Spread C, Primary Screen Plant Discharge - C-10 Conveyor Belt (42&quot;x60')" u="1"/>
        <s v="Removal of Bed Space at Mine Site - Exploration Tents" u="1"/>
        <s v="Removel of Bed Space at Mine Site - Exploration Tents" u="1"/>
        <s v="WELDING TRUCK,  " u="1"/>
        <s v="Spread A, Control Room - Spread A, PJ Hydraulic Unit Starter" u="1"/>
        <s v="Spread A, Control Room - Spread A, SC Hydraulic Unit Starter" u="1"/>
        <s v="Spread A, Control Room - Spread A, TC Hydraulic Unit Starter" u="1"/>
        <s v="Spread B, Control Room - Spread B, PJ Hydraulic Unit Starter" u="1"/>
        <s v="Spread B, Control Room - Spread B, SC Hydraulic Unit Starter" u="1"/>
        <s v="Spread B, Control Room - Spread B, TC Hydraulic Unit Starter" u="1"/>
        <s v="Spread A, Primary Jaw Plant - PJ-2 Rock Breaker Breaker Hammer Ass'y" u="1"/>
        <s v="Spread B, Primary Jaw Plant - PJ-1 Rock Breaker Breaker Hammer Ass'y" u="1"/>
        <s v="Spread C, Primary Jaw Plant - PJ-3 Rock Breaker Breaker Hammer Ass'y" u="1"/>
        <s v="Spread A, Primary Jaw Plant - PJ-2 Jaw Hyd Unit Piping &amp; Components" u="1"/>
        <s v="Spread B, Primary Jaw Plant - PJ-1 Jaw Hyd Unit Piping &amp; Components" u="1"/>
        <s v="Spread C, Primary Jaw Plant - PJ-3 Jaw Hyd Unit Piping &amp; Components" u="1"/>
        <s v="Spread A, Primary Jaw Plant - PJ-2 Jaw Fixed Jaw Ass'y" u="1"/>
        <s v="Spread B, Primary Jaw Plant - PJ-1 Jaw Fixed Jaw Ass'y" u="1"/>
        <s v="Spread C, Primary Jaw Plant - PJ-3 Jaw Fixed Jaw Ass'y" u="1"/>
        <s v="   DUST COLLECTOR E-HOUSE  " u="1"/>
        <s v="Shiploader SL 01, Boom Conveyor - Return Idlers Rolls" u="1"/>
        <s v="Shiploader SL 02, Boom Conveyor - Return Idlers Rolls" u="1"/>
        <s v="Spread A, Primary Screen Plant Discharge - C-8 Conveyor Belt (42&quot;x60')" u="1"/>
        <s v="Spread B, Primary Screen Plant Discharge - C-3 Conveyor Belt (42&quot;x60')" u="1"/>
        <s v="Spread A, Control Room - Spread A MCC-1 Bank" u="1"/>
        <s v="Spread A, Primary Jaw Plant - PJ-2 Under Crusher Conveyor Impact Bed" u="1"/>
        <s v="Spread B, Primary Jaw Plant - PJ-1 Under Crusher Conveyor Impact Bed" u="1"/>
        <s v="Spread C, Primary Jaw Plant - PJ-3 Under Crusher Conveyor Impact Bed" u="1"/>
        <s v="Reclaim Feeding, Line 2 - Pit Jump Conveyor #23 Head Pulley" u="1"/>
        <s v="Reclaim Feeding, Line 2 - Pit Jump Conveyor #24 Head Pulley" u="1"/>
        <s v="Reclaim Feeding, Line 3 - Pit Jump Conveyor #25 Head Pulley" u="1"/>
        <s v="Reclaim Feeding, Line 3 - Pit Jump Conveyor #30 Head Pulley" u="1"/>
        <s v="Reclaim Feeding, Line 4 - Pit Jump Conveyor #31 Head Pulley" u="1"/>
        <s v="Reclaim Feeding, Line 4 - Pit Jump Conveyor #32 Head Pulley" u="1"/>
        <s v="   SPOT  " u="1"/>
        <s v="Spread A, Primary Screen Plant - PS-2 Under Screen Conveyor Idlers" u="1"/>
        <s v="Spread B, Primary Screen Plant - PS-1 Under Screen Conveyor Idlers" u="1"/>
        <s v="Spread C, Primary Screen Plant - PS-3 Under Screen Conveyor Idlers" u="1"/>
        <s v="Intermediate Conv, 2 way Chute Feeder - Intermediate Conv Feeding Chute Ass'y" u="1"/>
        <s v="Spread A, Secondary Cone Plant - SC-1 Lube Oil Tank Ass'y" u="1"/>
        <s v="Spread A, Tertiary Cone Plant - TC-2 Hydraulic Tank Ass'y" u="1"/>
        <s v="Spread B, Secondary Cone Plant - SC-2 Lube Oil Tank Ass'y" u="1"/>
        <s v="Spread B, Tertiary Cone Plant - TC-1 Hydraulic Tank Ass'y" u="1"/>
        <s v="Spread C, Secondary Cone Plant - SC-3 Lube Oil Tank Ass'y" u="1"/>
        <s v="Spread C, Tertiary Cone Plant - TC-3 Hydraulic Tank Ass'y" u="1"/>
        <s v="Intermediate Conveyor (Link) - Belt Covers (Hood)" u="1"/>
        <s v="Geotechnical Inspections - 2015" u="1"/>
        <s v="Spread A, Primary Screen Plant Discharge - C-8 Conveyor Belt Frame Ass'y" u="1"/>
        <s v="Spread B, Primary Screen Plant Discharge - C-3 Conveyor Belt Frame Ass'y" u="1"/>
        <s v="VENDOR PACKAGE  - POTABLE WATER TREATMENT PLANT VENDOR PACKAGE_x000a_VENDOR PACKAGE " u="1"/>
        <s v="Spread A, Control Room - MCC-1 Bank Main Incoming Cell" u="1"/>
        <s v="Spread A, Control Room - MCC-2 Bank Main Incoming Cell" u="1"/>
        <s v="Spread B, Control Room - MCC-3 Bank Main Incoming Cell" u="1"/>
        <s v="Spread B, Control Room - MCC-4 Bank Main Incoming Cell" u="1"/>
        <s v="Spread B, Control Room - Spread B MCC-3 Bank" u="1"/>
        <s v="Reclaim Belt Conveyor - Return Idlers Rolls" u="1"/>
        <s v="TANK  - FUEL SYSTEMS WASHCAR SEWAGE COLLECTION TANK - LAGRANGE MECHANICAL SERVICES  L: 3791 _x000a_W: 1829 _x000a_H: 610 " u="1"/>
        <s v="Reclaim Sampler Tower, Mill VM 0604 MM-H - Fixed Grinding Roll Drive Ass'y" u="1"/>
        <s v="Spread C, Primary Screen Plant - Primary Screen Plant, PS-3" u="1"/>
        <s v="SCREEN  - BELT SCALE - FAM  " u="1"/>
        <s v="Mobilization and Demobilization of Equipment and Materials by Sealift - 2014" u="1"/>
        <s v="Reclaim Belt Conveyor - Drive Pulley East Side Drive Ass'y RC01" u="1"/>
        <s v="Reclaim Sampler Tower, Dosing Conveyor - Carrying Idlers Rolls" u="1"/>
        <s v="Jet A1 Pump Module - Jet A1 Flow Meter" u="1"/>
        <s v="Shiploader SL 01, Boom Swivel System - Slewing Gear Drive Ass'y 2 (Chute Side)" u="1"/>
        <s v="Shiploader SL 02, Boom Swivel System - Slewing Gear Drive Ass'y 2 (Chute Side)" u="1"/>
        <s v="Reclaim Belt Conv, Take Up Section - Tension Tower" u="1"/>
        <s v="Intermediate Conveyor (Link) - Belt Cleaner and Scrappers" u="1"/>
        <s v="MINE SITE GRADER,  " u="1"/>
        <s v="Shiploader SL 01, Boom Conveyor - Energy Chain Cable Ass'y" u="1"/>
        <s v="Shiploader SL 02, Boom Conveyor - Energy Chain Cable Ass'y" u="1"/>
        <s v="SEWAGE TREATMENT PLANT, VENDOR PACKAGE ,  " u="1"/>
        <s v="Spread C, Lumps Discharge - C-11 Conveyor Belt Scale" u="1"/>
        <s v="Spread A, Secondary Cone Plant - SC-1 Dischage Conveyor" u="1"/>
        <s v="Spread B, Secondary Cone Plant - SC-2 Dischage Conveyor" u="1"/>
        <s v="Spread C, Secondary Cone Plant - SC-3 Dischage Conveyor" u="1"/>
        <s v="Spread A, Tertiary Cone Plant - TC-2 Feed Conveyor Idlers" u="1"/>
        <s v="Spread B, Tertiary Cone Plant - TC-1 Feed Conveyor Idlers" u="1"/>
        <s v="Spread C, Tertiary Cone Plant - TC-3 Feed Conveyor Idlers" u="1"/>
        <s v="Mobilization and Demobilization of Equipment and Materials by Sealift - 2015" u="1"/>
        <s v="Spread A, Tertiary Cone Plant - TC-2 Plant Bed" u="1"/>
        <s v="Spread B, Tertiary Cone Plant - TC-1 Plant Bed" u="1"/>
        <s v="Spread C, Tertiary Cone Plant - TC-3 Plant Bed" u="1"/>
        <s v="Reclaim Feeding, Line 2 - FE-002 Feeder Discharg Conv Tension Syst" u="1"/>
        <s v="Reclaim Feeding, Line 3 - FE-003 Feeder Discharg Conv Tension Syst" u="1"/>
        <s v="Reclaim Feeding, Line 4 - FE-004 Feeder Discharg Conv Tension Syst" u="1"/>
        <s v="Stockpile expansion Pad" u="1"/>
        <s v="Shiploader SL 01, Shuttle Travel System - Trolley Ass'y (Cabin Side, Chute End)" u="1"/>
        <s v="Shiploader SL 02, Shuttle Travel System - Trolley Ass'y (Booth Side, Chute End)" u="1"/>
        <s v="Shiploader SL 01, Operator Cabin - Control Panels" u="1"/>
        <s v="Shiploader SL 02, Operator Cabin - Control Panels" u="1"/>
        <s v="Spread A, Tertiary Cone Plant - TC-2 Cone Crusher Countershaft Ass'y" u="1"/>
        <s v="Spread B, Tertiary Cone Plant - TC-1 Cone Crusher Countershaft Ass'y" u="1"/>
        <s v="Spread C, Tertiary Cone Plant - TC-3 Cone Crusher Countershaft Ass'y" u="1"/>
        <s v="Spread A, Primary Screen Plant - PS-2 Over Screen Conveyor Drive Ass'y" u="1"/>
        <s v="Spread A, Twin Screen Plant - SS-2 Second Underscreen Conv Drive Ass'y" u="1"/>
        <s v="Spread A, Twin Screen Plant - SS-2 Top Cross Conveyor Belt Drive Ass'y" u="1"/>
        <s v="Spread B, Primary Screen Plant - PS-1 Over Screen Conveyor Drive Ass'y" u="1"/>
        <s v="Spread B, Twin Screen Plant - SS-1 Second Underscreen Conv Drive Ass'y" u="1"/>
        <s v="Spread B, Twin Screen Plant - SS-1 Top Cross Conveyor Belt Drive Ass'y" u="1"/>
        <s v="Spread C, Primary Screen Plant - PS-3 Over Screen Conveyor Drive Ass'y" u="1"/>
        <s v="Spread C, Twin Screen Plant - SS-3 Second Underscreen Conv Drive Ass'y" u="1"/>
        <s v="Spread C, Twin Screen Plant - SS-3 Top Cross Conveyor Belt Drive Ass'y" u="1"/>
        <s v="Power Generation Modules (4mw)" u="1"/>
        <s v="Intermediate Conveyor (Link) - Impact Idlers Rolls" u="1"/>
        <s v="Intermediate Conveyor (Link) - Return Idlers Rolls" u="1"/>
        <s v="Reclaim Sampler Tower, Turnsile Dividers - Turnsile Divider 2 (Lower)" u="1"/>
        <s v="2015 additional Ammonium Nitrate (explosive Material)" u="1"/>
        <s v="TANK  - SITE SERVICES WASHCAR #1 SEWAGE COLLECTION TANK - LAGRANGE MECHANICAL SERVICES  L: 3791 _x000a_W: 1829 _x000a_H: 610 " u="1"/>
        <s v="TANK  - SITE SERVICES WASHCAR #2 SEWAGE COLLECTION TANK - LAGRANGE MECHANICAL SERVICES  L: 3791 _x000a_W: 1829 _x000a_H: 610 " u="1"/>
        <s v="Reclaim Belt Conv, Electrical - E-House Dust Collector System DU001" u="1"/>
        <s v="Reclaim Feeding, Line 3 - Pit Jump Conveyor #30" u="1"/>
        <s v="Spread A, Lumps Discharge - C-2 Conveyor Belt Head Pulley" u="1"/>
        <s v="Spread B, Lumps Discharge - C-4 Conveyor Belt Head Pulley" u="1"/>
        <s v="Spread C, Fine Discharge - C-12 Conveyor Belt Head Pulley" u="1"/>
        <s v="Incinerator for 800 man camp at Mine Site" u="1"/>
        <s v="Reclaim Feeding, Line 3 - Pit Jump Conveyor #30 Belting" u="1"/>
        <s v="Shiploader SL 01, Boom Conveyor - Drive Ass'y" u="1"/>
        <s v="Shiploader SL 02, Boom Conveyor - Drive Ass'y" u="1"/>
        <s v="MOBILE CRUSHING FRONT END LOADER,  " u="1"/>
        <s v="Accomodation Area E-House #1 - Demolish and foundations - Gravel Base - Skidded Building" u="1"/>
        <s v="Accomodation Area E-House #2 - Demolish and foundations - Gravel Base - Skidded Building" u="1"/>
        <s v="Spread A, Secondary Cone Plant - SC-1 Cone Crusher Cone Eccentric Ass'y" u="1"/>
        <s v="Spread B, Secondary Cone Plant - SC-2 Cone Crusher Cone Eccentric Ass'y" u="1"/>
        <s v="Spread C, Secondary Cone Plant - SC-3 Cone Crusher Cone Eccentric Ass'y" u="1"/>
        <s v="Spread A, Primary Jaw Plant - PJ-2 Jaw Electrical Controls" u="1"/>
        <s v="Spread B, Primary Jaw Plant - PJ-1 Jaw Electrical Controls" u="1"/>
        <s v="Spread C, Primary Jaw Plant - PJ-3 Jaw Electrical Controls" u="1"/>
        <s v="Spread A, Secondary Cone Feed - C-5 Conveyor Belt Frame Ass'y" u="1"/>
        <s v="Spread A, Tertiary Cone Plant - TC-2 Cone Crusher Frame Ass'y" u="1"/>
        <s v="Spread B, Secondary Cone Feed - C-1 Conveyor Belt Frame Ass'y" u="1"/>
        <s v="Spread B, Tertiary Cone Plant - TC-1 Cone Crusher Frame Ass'y" u="1"/>
        <s v="Spread C, Secondary Cone Feed - C-9 Conveyor Belt Frame Ass'y" u="1"/>
        <s v="Spread C, Tertiary Cone Plant - TC-3 Cone Crusher Frame Ass'y" u="1"/>
        <s v="MOBILE EQUIPMENT  - MECHANICS TRUCK - FORD F550  _x000a_L: 7264, W: 2418, H: 2022, 7300 kg" u="1"/>
        <s v="Spread A, Primary Jaw Plant - PJ-2 Jaw Frame Ass'y" u="1"/>
        <s v="Spread B, Primary Jaw Plant - PJ-1 Jaw Frame Ass'y" u="1"/>
        <s v="Spread C, Primary Jaw Plant - PJ-3 Jaw Frame Ass'y" u="1"/>
        <s v="Reclaim Belt Conveyor - Frame Ass'y" u="1"/>
        <s v="Contingency -2015 A" u="1"/>
        <s v="Mass Earthworks - Cover" u="1"/>
        <s v="P7 Quarry" u="1"/>
        <s v="MARINE DIESEL FUEL DISPENSING MODULE,  " u="1"/>
        <s v="Contaminated Soil Treatment 2015 R" u="1"/>
        <s v="Spread A, Twin Screen Plant - SS-2 Secondary Screen Deck Screens" u="1"/>
        <s v="Spread B, Twin Screen Plant - SS-1 Secondary Screen Deck Screens" u="1"/>
        <s v="Spread C, Twin Screen Plant - SS-3 Secondary Screen Deck Screens" u="1"/>
        <s v="Shiploader SL 01, Boom Conveyor - Tensioning System" u="1"/>
        <s v="Shiploader SL 02, Boom Conveyor - Tensioning System" u="1"/>
        <s v="Spread A, Control Room - Spread A, SC Lube Oil Air Cooler Starter" u="1"/>
        <s v="Spread A, Control Room - Spread A, SC LubeOil Pump Heater Starter" u="1"/>
        <s v="Spread A, Control Room - Spread A, TC Lube Oil Air Cooler Starter" u="1"/>
        <s v="Spread A, Control Room - Spread A, TC LubeOil Pump Heater Starter" u="1"/>
        <s v="Spread B, Control Room - Spread B, SC Lube Oil Air Cooler Starter" u="1"/>
        <s v="Spread B, Control Room - Spread B, SC LubeOil Pump Heater Starter" u="1"/>
        <s v="Spread B, Control Room - Spread B, TC Lube Oil Air Cooler Starter" u="1"/>
        <s v="Spread B, Control Room - Spread B, TC LubeOil Pump Heater Starter" u="1"/>
        <s v="Reclaim Feeding, Line 2 - Pit Jump Conveyor #23" u="1"/>
        <s v="Reclaim Feeding, Line 4 - Pit Jump Conveyor #31" u="1"/>
        <s v="Reclaim Belt Conv, Electrical - Transformer" u="1"/>
        <s v="Diesel Mod 1, Truck Loading System - Truck Flow Meter" u="1"/>
        <s v="Reclaim Feeding, Line 4 - Pit Jump Conveyor #31 Belting" u="1"/>
        <s v="Reclaim Belt Conveyor - Belting" u="1"/>
        <s v="Spread A, Control Room - Spread A, Feeder Breaker (Spare)" u="1"/>
        <s v="Spread B, Control Room - Spread B, Feeder Breaker (Spare)" u="1"/>
        <s v="JET-A1 FUEL DELIVERY TRUCK ,  " u="1"/>
        <s v="WATER DELIVERY TRUCK,  " u="1"/>
        <s v="Geotechnical Inspections - 2015 A" u="1"/>
        <s v="Spread C, Primary Screen Plant Discharge - C-10 Conveyor Belt Frame Ass'y" u="1"/>
        <s v="Reclaim Sampler Tower, Dosing Conveyor - Impact Idlers Rolls" u="1"/>
        <s v="Reclaim Sampler Tower, Dosing Conveyor - Return Idlers Rolls" u="1"/>
        <s v="Spread A, Lumps Discharge - C-2 Conveyor Belt Tail Pulley" u="1"/>
        <s v="Spread B, Lumps Discharge - C-4 Conveyor Belt Tail Pulley" u="1"/>
        <s v="Spread C, Fine Discharge - C-12 Conveyor Belt Tail Pulley" u="1"/>
        <s v="TERTIARY CRUSHING PLANT LINE 3,  " u="1"/>
        <s v="Diesel Mod 1, Vehicle Dispensing System - Vehicule Flow Meter" u="1"/>
        <s v="Spread A, Primary Jaw Plant - PJ-2 Rock Breaker Pedestal/Swing Ass'y" u="1"/>
        <s v="Spread A, Secondary Cone Plant - SC-1 Cone Crusher Adjust Ring Ass'y" u="1"/>
        <s v="Spread B, Primary Jaw Plant - PJ-1 Rock Breaker Pedestal/Swing Ass'y" u="1"/>
        <s v="Spread B, Secondary Cone Plant - SC-2 Cone Crusher Adjust Ring Ass'y" u="1"/>
        <s v="Spread C, Primary Jaw Plant - PJ-3 Rock Breaker Pedestal/Swing Ass'y" u="1"/>
        <s v="Spread C, Secondary Cone Plant - SC-3 Cone Crusher Adjust Ring Ass'y" u="1"/>
        <s v="Spread A, Control Room - Spread A 600V Main Switch Gear" u="1"/>
        <s v="Spread B, Control Room - Spread B 600V Main Switch Gear" u="1"/>
        <s v="TERTIARY CRUSHING PLANT LINE 4,  " u="1"/>
        <s v="Shiploader SL 01, Shuttle Travel System - Trolley Ass'y (Cabin Side, Feed End)" u="1"/>
        <s v="Shiploader SL 02, Shuttle Travel System - Trolley Ass'y (Booth Side, Feed End)" u="1"/>
        <s v="MOBILE EQUIPMENT  - FRONT END LOADER - CAT 988H  _x000a_L: 10390, W: 3600, H: 4115, 43400 kg" u="1"/>
        <s v="Spread A, Primary Jaw Plant - PJ-2 Jaw Tension Cylinder Rod Ass'y" u="1"/>
        <s v="Spread B, Primary Jaw Plant - PJ-1 Jaw Tension Cylinder Rod Ass'y" u="1"/>
        <s v="Spread C, Primary Jaw Plant - PJ-3 Jaw Tension Cylinder Rod Ass'y" u="1"/>
        <s v="Spread A, Primary Screen Plant Discharge - C-8 Conveyor Belt Idlers" u="1"/>
        <s v="Spread B, Primary Screen Plant Discharge - C-3 Conveyor Belt Idlers" u="1"/>
        <s v="Reclaim Feeding, Line 2 - Pit Jump Conveyor #24" u="1"/>
        <s v="Reclaim Feeding, Line 4 - Pit Jump Conveyor #32" u="1"/>
        <s v="TANK  - FUEL SYSTEMS WASHCAR RAW WATER TANK - PLASTIC-MART 866-310-2556  L: 1803 _x000a_W: 1245 _x000a_H: 1346 " u="1"/>
        <s v="Ammonium Nitrate" u="1"/>
        <s v="Contaminated Soil Treatment - 2014" u="1"/>
        <s v="Reclaim Feeding, Line 4 - Pit Jump Conveyor #32 Belting" u="1"/>
        <s v="Reclaim Sampler Tower, Mill VM 0604 MM-H - Fixed Grinding Roll Ass'y" u="1"/>
        <s v="Marine Manifold Relocation - Additional Piping" u="1"/>
        <s v="FRF014, Frost Fighter Heater 112,141 BTU" u="1"/>
        <s v="FRF020, Frost Fighter Heater 112,141 BTU" u="1"/>
        <s v="FRF023, Frost Fighter Heater 112,141 BTU" u="1"/>
        <s v="FRF026, Frost Fighter Heater 112,141 BTU" u="1"/>
        <s v="Spread A, Tertiary Cone Plant - HP400 Tertiary Cone Plant, TC-2" u="1"/>
        <s v="Engineering Fees -2015 R" u="1"/>
        <s v="   AIR CONDITIONER E-HOUSE  " u="1"/>
        <s v="Shiploader SL 01, Boom Conveyor - Belting" u="1"/>
        <s v="Shiploader SL 02, Boom Conveyor - Belting" u="1"/>
        <s v="Spread A, Primary Jaw Plant - PJ-2 Under Crusher Conveyor Head Pulley" u="1"/>
        <s v="Spread A, Primary Screen Plant - PS-2 Cross Conveyor Belt Head Pulley" u="1"/>
        <s v="Spread B, Primary Jaw Plant - PJ-1 Under Crusher Conveyor Head Pulley" u="1"/>
        <s v="Spread B, Primary Screen Plant - PS-1 Cross Conveyor Belt Head Pulley" u="1"/>
        <s v="Spread C, Primary Jaw Plant - PJ-3 Under Crusher Conveyor Head Pulley" u="1"/>
        <s v="Spread C, Primary Screen Plant - PS-3 Cross Conveyor Belt Head Pulley" u="1"/>
        <s v="50- Person Rapid Deploy Camp  (assume same foorprint as former Shanco Trailer Camp) " u="1"/>
        <s v="MOBILE EQUIPMENT  - WRECKER TRUCK - KENWORTH T800  " u="1"/>
        <s v="P10 Quarry" u="1"/>
        <s v="Geotechnical Inspections - 2016" u="1"/>
        <s v="Shiploader SL 01, Boom Conveyor - Head Pulley Ass'y" u="1"/>
        <s v="Shiploader SL 01, Boom Conveyor - Tail Pulley Ass'y" u="1"/>
        <s v="Shiploader SL 02, Boom Conveyor - Head Pulley Ass'y" u="1"/>
        <s v="Shiploader SL 02, Boom Conveyor - Tail Pulley Ass'y" u="1"/>
        <s v="P13 Quarry" u="1"/>
        <s v="FREIGHT HAUL TRACTOR ,  " u="1"/>
        <s v="P14 Quarry" u="1"/>
        <s v="P15 Quarry" u="1"/>
        <s v="Diesel Mod 1, GEN Set Feed System - GEN Set Filter Ass'y #2" u="1"/>
        <s v="Diesel Module, Truck Loading System - 400 GPM Pump Ass'y #2" u="1"/>
        <s v="Spread A, Tertiary Cone Plant - TC-2 Dischage Conveyor Belt" u="1"/>
        <s v="Spread B, Tertiary Cone Plant - TC-1 Dischage Conveyor Belt" u="1"/>
        <s v="Spread C, Tertiary Cone Plant - TC-3 Dischage Conveyor Belt" u="1"/>
        <s v="Addtitional outdoor lighting for safety (with cables) at Port Site" u="1"/>
        <s v="Reclaim Feeding, Line 2 - FE-002 Feeder Hopper" u="1"/>
        <s v="Reclaim Feeding, Line 3 - FE-003 Feeder Hopper" u="1"/>
        <s v="Reclaim Feeding, Line 4 - FE-004 Feeder Hopper" u="1"/>
        <s v="SCREEN  - SECONDARY SCREENING PLANT LINE 4 - METSO FS 353  _x000a_L: 3000, W: 6900, 14500 kg" u="1"/>
        <s v="Ore crushing and Loading Pad, Utility &amp; Accomodation Pads" u="1"/>
        <s v="Spread A, Primary Jaw Plant - PJ-2 Rock Breaker Hyd Unit Tank Ass'y" u="1"/>
        <s v="Spread B, Primary Jaw Plant - PJ-1 Rock Breaker Hyd Unit Tank Ass'y" u="1"/>
        <s v="Spread C, Primary Jaw Plant - PJ-3 Rock Breaker Hyd Unit Tank Ass'y" u="1"/>
        <s v="Reclaim Feeding, Line 3 - Pit Jump Conveyor #25" u="1"/>
        <s v="Spread A, Control Room - Spread A, PS Fines DischargeConv Starter" u="1"/>
        <s v="Spread A, Control Room - Spread A, SS Fines DischargeConv Starter" u="1"/>
        <s v="Spread A, Control Room - Spread A, SS Lumps DischargeConv Starter" u="1"/>
        <s v="Spread A, Control Room - Spread A, SS PriUnderscreen Conv Starter" u="1"/>
        <s v="Spread A, Control Room - Spread A, SS SecScreen Feed Conv Starter" u="1"/>
        <s v="Spread A, Control Room - Spread A, SS SecUnderscreen Conv Starter" u="1"/>
        <s v="Spread B, Control Room - Spread B, PS Fines DischargeConv Starter" u="1"/>
        <s v="Spread B, Control Room - Spread B, SS Fines DischargeConv Starter" u="1"/>
        <s v="Spread B, Control Room - Spread B, SS Lumps DischargeConv Starter" u="1"/>
        <s v="Spread B, Control Room - Spread B, SS PriUnderscreen Conv Starter" u="1"/>
        <s v="Spread B, Control Room - Spread B, SS SecScreen Feed Conv Starter" u="1"/>
        <s v="Spread B, Control Room - Spread B, SS SecUnderscreen Conv Starter" u="1"/>
        <s v="TANK  - SITE SERVICES WASHCAR #1 RAW WATER TANK - PLASTIC-MART 866-310-2556  L: 1803 _x000a_W: 1245 _x000a_H: 1346 " u="1"/>
        <s v="Spread A, Fine Discharge - C-7 Conveyor Belt (42&quot;X60')" u="1"/>
        <s v="Spread B, Fine Discharge - C-6 Conveyor Belt (42&quot;X60')" u="1"/>
        <s v="Spread A, Lumps Discharge - C-2 Conveyor Belt Idlers" u="1"/>
        <s v="Spread B, Lumps Discharge - C-4 Conveyor Belt Idlers" u="1"/>
        <s v="Spread C, Fine Discharge - C-12 Conveyor Belt Idlers" u="1"/>
        <s v="Reclaim Feeding, Line 2 - Pit Jump Conveyor #23 Belting" u="1"/>
        <s v="Spread C, Fine Discharge - C-12 Conveyor Cleaner Scrapper" u="1"/>
        <s v="Project Environmental Site Assessment -2015 A" u="1"/>
        <s v="TOTE ROAD ORE HAUL TRUCK - PUP TRAILER ,  " u="1"/>
        <s v="Jet A1 Pump Module - Jet A1 Hose Reel" u="1"/>
        <s v="Spread A, Secondary Cone Plant - SC-1 Hydraulic Unit" u="1"/>
        <s v="Spread B, Secondary Cone Plant - SC-2 Hydraulic Unit" u="1"/>
        <s v="Spread C, Secondary Cone Plant - SC-3 Hydraulic Unit" u="1"/>
        <s v="Spread C, Lumps Discharge - C-11 Conveyor Belt Drive Ass'y" u="1"/>
        <s v="Shiploader SL 01, Boom Conveyor - Carrying Idlers Rolls" u="1"/>
        <s v="Shiploader SL 02, Boom Conveyor - Carrying Idlers Rolls" u="1"/>
        <s v="Shiploader SL 01, Telescopic Chute - Trimmer Ass'y (Spoon)" u="1"/>
        <s v="Shiploader SL 02, Telescopic Chute - Trimmer Ass'y (Spoon)" u="1"/>
        <s v="TRACKED PORTABLE SCREENING PLANT" u="1"/>
        <s v="Closure &amp; Post Closure Monitoring -2016" u="1"/>
        <s v="Spread A, Twin Screen Plant - SS-2 Sec Underscreen Conv ElectControls" u="1"/>
        <s v="Spread B, Twin Screen Plant - SS-1 Sec Underscreen Conv ElectControls" u="1"/>
        <s v="Spread C, Twin Screen Plant - SS-3 Sec Underscreen Conv ElectControls" u="1"/>
        <s v="KENWORTH SERVICE TRUCK TOROMONT MR" u="1"/>
        <s v="Jet A1 Module - Enclosure" u="1"/>
        <s v="Shiploader SL 01, Telesc. ChuteDedusting - Dedusting System DU003" u="1"/>
        <s v="Spread A, Tertiary Cone Plant - TC-2 Cone Crusher Tramp Release Ass'y" u="1"/>
        <s v="Spread B, Tertiary Cone Plant - TC-1 Cone Crusher Tramp Release Ass'y" u="1"/>
        <s v="Spread C, Secondary Cone Plant - SC-3 Cone Crusher Trap Release Ass'y" u="1"/>
        <s v="Welcome Shack  - Demolish floor finish - Raised Steel or Wooden Floor" u="1"/>
        <s v="Spread A, Primary Jaw Plant - PJ-2 Jaw Hyd Unit Electrical Controls" u="1"/>
        <s v="Spread A, Primary Jaw Plant - PJ-2 Rock Breaker Electrical Controls" u="1"/>
        <s v="Spread B, Primary Jaw Plant - PJ-1 Jaw Hyd Unit Electrical Controls" u="1"/>
        <s v="Spread B, Primary Jaw Plant - PJ-1 Rock Breaker Electrical Controls" u="1"/>
        <s v="Spread C, Primary Jaw Plant - PJ-3 Jaw Hyd Unit Electrical Controls" u="1"/>
        <s v="Spread C, Primary Jaw Plant - PJ-3 Rock Breaker Electrical Controls" u="1"/>
        <s v="Spread A, Secondary Cone Plant - SC-1 Lube Oil Elect Controls" u="1"/>
        <s v="Spread A, Tertiary Cone Plant - TC-2 Hydraulic Elect Controls" u="1"/>
        <s v="Spread B, Secondary Cone Plant - SC-2 Lube Oil Elect Controls" u="1"/>
        <s v="Spread B, Tertiary Cone Plant - TC-1 Hydraulic Elect Controls" u="1"/>
        <s v="Spread C, Secondary Cone Plant - SC-3 Lube Oil Elect Controls" u="1"/>
        <s v="Spread C, Tertiary Cone Plant - TC-3 Hydraulic Elect Controls" u="1"/>
        <s v="Hazardous Waste Containment Area - New" u="1"/>
        <s v="Spread A, Primary Jaw Plant - PJ-2 Under Crusher Conveyor Belting" u="1"/>
        <s v="Spread B, Primary Jaw Plant - PJ-1 Under Crusher Conveyor Belting" u="1"/>
        <s v="Spread C, Primary Jaw Plant - PJ-3 Under Crusher Conveyor Belting" u="1"/>
        <s v="Diesel Mod 1, Vehicle Dispensing System - Vehicule Hose Reel #2" u="1"/>
        <s v="Jet A1 Module, Truck Loading System - Scully Over Fill Protection" u="1"/>
        <s v="Reclaim Belt Conv, Take Up Section - Tension Car" u="1"/>
        <s v="Reclaim Feeding, Line 2 - FE-002 Feeder Discharge 42&quot; Conveyor" u="1"/>
        <s v="Reclaim Feeding, Line 3 - FE-003 Feeder Discharge 42&quot; Conveyor" u="1"/>
        <s v="Reclaim Feeding, Line 4 - FE-004 Feeder Discharge 42&quot; Conveyor" u="1"/>
        <s v="2017 - Water tanks sea lift" u="1"/>
        <s v="Accomodation Area E-House #1 - Demolish and Decontaminate Building - Special Modular / Prefabricated" u="1"/>
        <s v="Accomodation Area E-House #2 - Demolish and Decontaminate Building - Special Modular / Prefabricated" u="1"/>
        <s v="Reclaim Feeding, Line 2 - Pit Jump Conveyor #24 Belting" u="1"/>
        <s v="Fill Application Shiploader" u="1"/>
        <s v="Shiploader SL 01, Telesc. ChuteDedusting - Compressor (C5L)" u="1"/>
        <s v="Shiploader SL 02, Telesc. ChuteDedusting - Compressor (C5L)" u="1"/>
        <s v="Spread A, Primary Screen Plant Discharge - C-8 Conveyor Belt Electrical Controls" u="1"/>
        <s v="Spread B, Primary Screen Plant Discharge - C-3 Conveyor Belt Electrical Controls" u="1"/>
        <s v="   FEEDER CABIN  " u="1"/>
        <s v="Jet A1 Pump Module - Jet A1 Fuel Filter" u="1"/>
        <s v="Culverts along Tote Road (km 0+000 to km 6+250, km 8+000 to km 15+000, km 17+000 to km 24+000, km 81+000 to km 84+000, km 88+000 to km 94+000, km 96+000 to km 102+000) - assume culvert every 250 m" u="1"/>
        <s v="Shiploader SL 01, Boom Conveyor - Belt Covers (Hood)" u="1"/>
        <s v="Shiploader SL 02, Boom Conveyor - Belt Covers (Hood)" u="1"/>
        <s v="Allowance for building materials (Pre-Cast Concrete, Bulk Electrical Cable,  Pile Steel, prefab steel for 2 x 10ML tank)" u="1"/>
        <s v="Project Environmental Site Assessment -2015 R" u="1"/>
        <s v="Spread A, Control Room - Spread A, PS Primary Screen Starter" u="1"/>
        <s v="Spread A, Control Room - Spread A, SS Primary Screen Starter" u="1"/>
        <s v="Spread B, Control Room - Spread B, PS Primary Screen Starter" u="1"/>
        <s v="Spread B, Control Room - Spread B, SS Primary Screen Starter" u="1"/>
        <s v="Spread C, Primary Screen Plant Discharge - C-10 Conveyor Belt Head Pulley" u="1"/>
        <s v="Intermediate Conveyor (Link) - Take Up Pulley Ass'y" u="1"/>
        <s v="TANK  - JET-A1 TANK " u="1"/>
        <s v="Waste Rock Dump from Bulk Sample" u="1"/>
        <s v="Jet A1 Module, Truck Loading System - Truck Flow Meter" u="1"/>
        <s v="Intermediate Conv, Dedusting Syst - Electrical Controls" u="1"/>
        <s v="Additional Laydown Area" u="1"/>
        <s v="Spread A, Control Room - Spread A, Starter (Spare)" u="1"/>
        <s v="Spread B, Control Room - Spread B, Starter (Spare)" u="1"/>
        <s v="Spread A, Control Room - Spread A, PJ Feeder VFD" u="1"/>
        <s v="Spread A, Control Room - Spread A, PS Feeder VFD" u="1"/>
        <s v="Spread B, Control Room - Spread B, PJ Feeder VFD" u="1"/>
        <s v="Spread B, Control Room - Spread B, PS Feeder VFD" u="1"/>
        <s v="PRIMARY CRUSHING PLANT LINE 4,  " u="1"/>
        <s v="Contingency -2014" u="1"/>
        <s v="ALL TERRAIN LOADER ,  " u="1"/>
        <s v="Diesel Mod 1, Vehicle Dispensing System - Vehicule 100 LPM Pump Ass'y #1" u="1"/>
        <s v="Spread A, Primary Screen Plant - PS-2 Cross Conveyor Belt Belting" u="1"/>
        <s v="Spread B, Primary Screen Plant - PS-1 Cross Conveyor Belt Belting" u="1"/>
        <s v="Spread C, Primary Screen Plant - PS-3 Cross Conveyor Belt Belting" u="1"/>
        <s v="SECONDARY CRUSHING PLANT LINE 3,  " u="1"/>
        <s v="Reclaim Feeding, Line 3 - Pit Jump Conveyor #25 Belting" u="1"/>
        <s v="Shiploader SL 01, Operator Cabin - Cabin" u="1"/>
        <s v="Shiploader SL 02, Operator Cabin - Cabin" u="1"/>
        <s v="Crusher Stockpile Pad" u="1"/>
        <s v="Spread A, Tertiary Cone Plant - TC-2 Lube Oil Piping&amp;Component" u="1"/>
        <s v="Spread B, Tertiary Cone Plant - TC-1 Lube Oil Piping&amp;Component" u="1"/>
        <s v="Spread C, Tertiary Cone Plant - TC-3 Lube Oil Piping&amp;Component" u="1"/>
        <s v="Diesel Mod 1, Vehicle Dispensing System - Vehicule 100 LPM Pump Ass'y #2" u="1"/>
        <s v="Reclaim Feeding, Line 3 - Pit Jump Conveyor #30 Hopper" u="1"/>
        <s v="Spread A, Primary Jaw Plant - PJ-2 Rock Breaker Hyd Unit Pump Ass'y" u="1"/>
        <s v="Spread B, Primary Jaw Plant - PJ-1 Rock Breaker Hyd Unit Pump Ass'y" u="1"/>
        <s v="Spread C, Primary Jaw Plant - PJ-3 Rock Breaker Hyd Unit Pump Ass'y" u="1"/>
        <s v="Spread B, Primary Jaw Plant - PJ1 Rock Breaker" u="1"/>
        <s v="Spread C, Tertiary Cone Plant - TC-3 Cone Crusher Trap Release Ass'y" u="1"/>
        <s v="Reclaim Sampler Tower, Mill VM 0604 MM-H - Movable Grinding Roll Ass'y" u="1"/>
        <s v="2015 Work Plan additional mechanical equipment" u="1"/>
        <s v="MOBILE EQUIPMENT  -EXCAVATOR - 320 RUBBER TIRE" u="1"/>
        <s v="Reclaim Feeding, Line 2 - Pit Jump Conveyor #23 Tail Pulley" u="1"/>
        <s v="Reclaim Feeding, Line 2 - Pit Jump Conveyor #24 Tail Pulley" u="1"/>
        <s v="Reclaim Feeding, Line 3 - Pit Jump Conveyor #25 Tail Pulley" u="1"/>
        <s v="Reclaim Feeding, Line 3 - Pit Jump Conveyor #30 Tail Pulley" u="1"/>
        <s v="Reclaim Feeding, Line 4 - Pit Jump Conveyor #31 Tail Pulley" u="1"/>
        <s v="Reclaim Feeding, Line 4 - Pit Jump Conveyor #32 Tail Pulley" u="1"/>
        <s v="Spread A, Tertiary Cone Plant - TC-2 Lube Oil Air Cooler" u="1"/>
        <s v="Spread B, Tertiary Cone Plant - TC-1 Lube Oil Air Cooler" u="1"/>
        <s v="Spread C, Tertiary Cone Plant - TC-3 Lube Oil Air Cooler" u="1"/>
        <s v="Shiploader SL 01, Base Tower - Structure" u="1"/>
        <s v="Shiploader SL 02, Base Tower - Structure" u="1"/>
        <s v="Spread A, Tertiary Cone Plant - TC-2 Lube Oil Tank Ass'y" u="1"/>
        <s v="Spread B, Tertiary Cone Plant - TC-1 Lube Oil Tank Ass'y" u="1"/>
        <s v="Spread C, Tertiary Cone Plant - TC-3 Lube Oil Tank Ass'y" u="1"/>
        <s v="Diesel Module, GEN Set Feed System - GEN Set Filter Ass'y #1" u="1"/>
        <s v="Diesel Module, GEN Set Feed System - GEN Set Filter Ass'y #2" u="1"/>
        <s v="PUMP  - CRUSHER STOCKPILE RUNOFF POND DISCHARGE PUMP LOBE PRO SM68" u="1"/>
        <s v="Engineering Fees  - 2014" u="1"/>
        <s v="MOBILE EQUIPMENT  - FIRE TRUCK  - OSHKOSH T1500  _x000a_L: 10922, W: 2921, H: 3607, 39000 kg" u="1"/>
        <s v="Reclaim Feeding, Line 2 - Pit Jump Conveyor #23 Frame Ass'y" u="1"/>
        <s v="Reclaim Feeding, Line 2 - Pit Jump Conveyor #24 Frame Ass'y" u="1"/>
        <s v="Reclaim Feeding, Line 3 - Pit Jump Conveyor #25 Frame Ass'y" u="1"/>
        <s v="Reclaim Feeding, Line 3 - Pit Jump Conveyor #30 Frame Ass'y" u="1"/>
        <s v="Reclaim Feeding, Line 4 - Pit Jump Conveyor #31 Frame Ass'y" u="1"/>
        <s v="Reclaim Feeding, Line 4 - Pit Jump Conveyor #32 Frame Ass'y" u="1"/>
        <s v="Spread B, Primary Screen Plant - PS-1 Feeder" u="1"/>
        <s v="Spread A, Primary Screen Plant - PS-2 Feeder" u="1"/>
        <s v="Spread C, Primary Screen Plant - PS-3 Feeder" u="1"/>
        <s v="Shiploader SL 01, Telescopic Chute - Drum Brake Ass'y" u="1"/>
        <s v="Shiploader SL 02, Telescopic Chute - Drum Brake Ass'y" u="1"/>
        <s v="Reclaim Feeding, Line 2 - Pit Jump Conveyor #23 Hopper" u="1"/>
        <s v="Spread A, Twin Screen Plant - SS-2 Secondary Screen Feed Conveyor Belt" u="1"/>
        <s v="Spread A, Twin Screen Plant - SS-2 Secondary Underscreen Conveyor Belt" u="1"/>
        <s v="Spread B, Twin Screen Plant - SS-1 Secondary Screen Feed Conveyor Belt" u="1"/>
        <s v="Spread B, Twin Screen Plant - SS-1 Secondary Underscreen Conveyor Belt" u="1"/>
        <s v="Spread C, Twin Screen Plant - SS-3 Secondary Screen Feed Conveyor Belt" u="1"/>
        <s v="Spread C, Twin Screen Plant - SS-3 Secondary Underscreen Conveyor Belt" u="1"/>
        <s v="Reclaim Feeding, Line 4 - Pit Jump Conveyor #31 Hopper" u="1"/>
        <s v="Reclaim Belt Conveyor - Bend Pulley (Drive-House-South)" u="1"/>
        <s v="Engineering Fees  - 2015" u="1"/>
        <s v="Spread C, Primary Jaw Plant - PJ-3 Feeder (6' X 20')" u="1"/>
        <s v="Diesel Module,Vehicule Dispensing System - Vehicule Ground Reel" u="1"/>
        <s v="Sewage Treatment Plant for 350 man temporary soft-walled camp at Milne Port" u="1"/>
        <s v="Reclaim Belt Conveyor - Electrical Controls" u="1"/>
        <s v="Spread A, Secondary Cone Plant - SC-1 Lube Oil Pump Ass'y" u="1"/>
        <s v="Spread A, Tertiary Cone Plant - TC-2 Hydraulic Pump Ass'y" u="1"/>
        <s v="Spread B, Secondary Cone Plant - SC-2 Lube Oil Pump Ass'y" u="1"/>
        <s v="Spread B, Tertiary Cone Plant - TC-1 Hydraulic Pump Ass'y" u="1"/>
        <s v="Spread C, Secondary Cone Plant - SC-3 Lube Oil Pump Ass'y" u="1"/>
        <s v="Spread C, Tertiary Cone Plant - TC-3 Hydraulic Pump Ass'y" u="1"/>
        <s v="Reclaim Feeding, Line 2 - FE-002 Under Feeder Conv Belting" u="1"/>
        <s v="Reclaim Feeding, Line 3 - FE-003 Under Feeder Conv Belting" u="1"/>
        <s v="Reclaim Feeding, Line 4 - FE-004 Under Feeder Conv Belting" u="1"/>
        <s v="Fuel -2016" u="1"/>
        <s v="Diesel Mod 1, Vehicle Dispensing System - Vehicule Filter Ass'y #1" u="1"/>
        <s v="Spread A, Twin Screen Plant - SS-2 Bottom Cross Conveyor Belt Idlers" u="1"/>
        <s v="Spread B, Twin Screen Plant - SS-1 Bottom Cross Conveyor Belt Idlers" u="1"/>
        <s v="Spread C, Primary Screen Plant Discharge - C-10 Conveyor Belt Idlers" u="1"/>
        <s v="Spread C, Twin Screen Plant - SS-3 Bottom Cross Conveyor Belt Idlers" u="1"/>
        <s v="TANK  - WORKSHOP OFFICE WASHCAR SEWAGE COLLECTION TANK - LAGRANGE MECHANICAL SERVICES  L: 3791 _x000a_W: 1829 _x000a_H: 610 " u="1"/>
        <s v="Reclaim Sampler Tower, Sampler - Electrical Controls" u="1"/>
        <s v="Reclaim Feeding, Line 2 - Pit Jump Conveyor #23 Elect Controls" u="1"/>
        <s v="Reclaim Feeding, Line 2 - Pit Jump Conveyor #24 Elect Controls" u="1"/>
        <s v="Reclaim Feeding, Line 3 - Pit Jump Conveyor #25 Elect Controls" u="1"/>
        <s v="Reclaim Feeding, Line 3 - Pit Jump Conveyor #30 Elect Controls" u="1"/>
        <s v="Reclaim Feeding, Line 4 - Pit Jump Conveyor #31 Elect Controls" u="1"/>
        <s v="Reclaim Feeding, Line 4 - Pit Jump Conveyor #32 Elect Controls" u="1"/>
        <s v="Reclaim Sampler Tower, Mill VM 0604 MM-H - Electrical Controls" u="1"/>
        <s v="Spread A, Secondary Cone Plant - SC-1 Hydraulic Elect Controls" u="1"/>
        <s v="Spread B, Secondary Cone Plant - SC-2 Hydraulic Elect Controls" u="1"/>
        <s v="Spread C, Secondary Cone Plant - SC-3 Hydraulic Elect Controls" u="1"/>
        <s v="Reclaim Feeding, Line 2 - Pit Jump Conveyor #24 Hopper" u="1"/>
        <s v="Reclaim Feeding, Line 4 - Pit Jump Conveyor #32 Hopper" u="1"/>
        <s v="Reclaim Feeding, Line 2 - FE-002 Under Feeder Conv Tensioning Syst" u="1"/>
        <s v="Reclaim Feeding, Line 3 - FE-003 Under Feeder Conv Tensioning Syst" u="1"/>
        <s v="Reclaim Feeding, Line 4 - FE-004 Under Feeder Conv Tensioning Syst" u="1"/>
        <s v="Intermediate Conv, Take Up Section - Tower" u="1"/>
        <s v="Jet A1 Module, Truck Loading System - Truck Ground Reel" u="1"/>
        <s v="Reclaim Feeding, Line 2 - FE-002 Under Feeder Conv Elect Controls" u="1"/>
        <s v="Reclaim Feeding, Line 3 - FE-003 Under Feeder Conv Elect Controls" u="1"/>
        <s v="Reclaim Feeding, Line 4 - FE-004 Under Feeder Conv Elect Controls" u="1"/>
        <s v="Spread C, Primary Screen Plant Discharge - C-10 Conveyor Belt Electrical Controls" u="1"/>
        <s v="Spread A, Lumps Discharge - C-2 Conveyor Belt Electrical Controls" u="1"/>
        <s v="Spread A, Secondary Cone Plant - SC-1 Cone Crusher Elect Controls" u="1"/>
        <s v="Spread B, Lumps Discharge - C-4 Conveyor Belt Electrical Controls" u="1"/>
        <s v="Spread B, Secondary Cone Plant - SC-2 Cone Crusher Elect Controls" u="1"/>
        <s v="Spread C, Fine Discharge - C-12 Conveyor Belt Electrical Controls" u="1"/>
        <s v="Spread C, Secondary Cone Plant - SC-3 Cone Crusher Elect Controls" u="1"/>
        <s v="Spread A, Primary Jaw Plant - PJ-2 Rock Breaker Hyd Unit Elect Control" u="1"/>
        <s v="Spread B, Primary Jaw Plant - PJ-1 Rock Breaker Hyd Unit Elect Control" u="1"/>
        <s v="Spread C, Primary Jaw Plant - PJ-3 Rock Breaker Hyd Unit Elect Control" u="1"/>
        <s v="Spread C, Twin Screen Plant - SS-3 Pri UnderscreenConv CleanerScrapper" u="1"/>
        <s v="Spread C, Twin Screen Plant - SS-3 Sec OverScreen Conv CleanerScrapper" u="1"/>
        <s v="Spread C, Twin Screen Plant - SS-3 Sec UnderscreenConv CleanerScrapper" u="1"/>
        <s v="Spread A, Primary Screen Plant Discharge - C-8 Conveyor Belt Head Pulley" u="1"/>
        <s v="Spread B, Primary Screen Plant Discharge - C-3 Conveyor Belt Head Pulley" u="1"/>
        <s v="Sewage Treatment Plant for 800 man camp at Mine Site" u="1"/>
        <s v="Ammonium Nitrate (explosive Material) - 2015 A" u="1"/>
        <s v="Spread C, Fine Discharge - C-12 Conveyor Belt Scale" u="1"/>
        <s v="MOBILE EQUIPMENT  - MINE SITE TRACK DOZER - CAT D10  _x000a_L: 6630, W: 4310, H: 3815, 78000 kg" u="1"/>
        <s v="Reclaim Feeding, Line 3 - Pit Jump Conveyor #30 Idlers" u="1"/>
        <s v="Reclaim Feeding, Line 2 - Feeder Plant #2, FE-002" u="1"/>
        <s v="Intermediate Conveyor (Link)" u="1"/>
        <s v="Diesel Mod 1, Vehicle Dispensing System - Vehicule Filter Ass'y #2" u="1"/>
        <s v="MOBILE EQUIPMENT  - MAINTENANCE CRANE  - MANITOWOC 2250_x000a_L: 12900, W: 7910, H: 3640, 113000 kg" u="1"/>
        <s v="Spread A, Control Room - Spread A Motor Heater Panel" u="1"/>
        <s v="Spread B, Control Room - Spread B Motor Heater Panel" u="1"/>
        <s v="HIBOY TRAILER ,  " u="1"/>
        <s v="Spread C, Primary Screen Plant - PS-3 Under Screen Conv CleanerScrapper" u="1"/>
        <s v="Spread C, Tertiary Cone Plant - TC-3 Dischage Conv Belt CleanerScrapper" u="1"/>
        <s v="Reclaim Feeding, Line 2 - FE-002 Feeder Discharge Conv Head Pulley" u="1"/>
        <s v="Reclaim Feeding, Line 3 - FE-003 Feeder Discharge Conv Head Pulley" u="1"/>
        <s v="Reclaim Feeding, Line 4 - FE-004 Feeder Discharge Conv Head Pulley" u="1"/>
        <s v="Spread A, Secondary Cone Plant - SC-1 Cone Crusher" u="1"/>
        <s v="Spread B, Secondary Cone Plant - SC-2 Cone Crusher" u="1"/>
        <s v="Spread C, Secondary Cone Plant - SC-3 Cone Crusher" u="1"/>
        <s v="Reclaim Feeding, Line 3 - Feeder Plant #3, FE-003" u="1"/>
        <s v="PRODUCTION FRONT END LOADER,  " u="1"/>
        <s v="Reclaim Belt Conveyor - Bend Pulley (Incline-North)" u="1"/>
        <s v="Spread A, Primary Screen Plant - PS-2 Cross Conveyor Belt Elect Controls" u="1"/>
        <s v="Spread B, Primary Screen Plant - PS-1 Cross Conveyor Belt Elect Controls" u="1"/>
        <s v="Spread C, Primary Screen Plant - PS-3 Cross Conveyor Belt Elect Controls" u="1"/>
        <s v="VENDOR PACKAGE  - WASTE INCINERATOR VENDOR PACKAGE " u="1"/>
        <s v="Diesel Module,Vehicule Dispensing System - Vehicule Flow Meter" u="1"/>
        <s v="Spread A, Tertiary Cone Plant - TC-2 Dischage Conveyor Head Pulley" u="1"/>
        <s v="Spread B, Tertiary Cone Plant - TC-1 Dischage Conveyor Head Pulley" u="1"/>
        <s v="Spread C, Tertiary Cone Plant - TC-3 Dischage Conveyor Head Pulley" u="1"/>
        <s v="TANK  - ARCTIC DIESEL TANK W: 8350 DIA _x000a_H: 9140 " u="1"/>
        <s v="Reclaim Feeding, Line 4 - Feeder Plant #4, FE-004" u="1"/>
        <s v="Reclaim Feeding, Line 3 - Pit Jump Conveyor #25 Hopper" u="1"/>
        <s v="Generator for 350 man temporary soft-walled camp" u="1"/>
        <s v="Generator for 410 man temporary soft-walled camp" u="1"/>
        <s v="Spread C, Primary Jaw Plant - C125 Primary Jaw Plant, PJ-3" u="1"/>
        <s v="Spread A, Control Room - Spread A, PLC001 Remote I/O" u="1"/>
        <s v="Spread B, Control Room - Spread B, PLC002 Remote I/O" u="1"/>
        <s v="Spread A, Tertiary Cone Plant - TC-2 Hydraulic Piping&amp;Components" u="1"/>
        <s v="Spread B, Tertiary Cone Plant - TC-1 Hydraulic Piping&amp;Components" u="1"/>
        <s v="Spread C, Tertiary Cone Plant - TC-3 Hydraulic Piping&amp;Components" u="1"/>
        <s v="MOBILE EQUIPMENT  - RESCUE UNIT  - HAGGLUND BV206  L: 6900, W: 1870, H: 2400, 6580 kg" u="1"/>
        <s v="Jet A1 Module, Truck Loading System - Truck Hose Reel" u="1"/>
        <s v="Spread C, Lumps Discharge - C-11 Conveyor Belt Head Pulley" u="1"/>
        <s v="Shiploader SL 01, Boom Conveyor - Belt Cover Reel 2 (Chute End)" u="1"/>
        <s v="Shiploader SL 02, Boom Conveyor - Belt Cover Reel 2 (Chute End)" u="1"/>
        <s v="Spread A, Secondary Cone Feed - C-5 Conveyor Belt Belting" u="1"/>
        <s v="Spread B, Secondary Cone Feed - C-1 Conveyor Belt Belting" u="1"/>
        <s v="Spread C, Secondary Cone Feed - C-9 Conveyor Belt Belting" u="1"/>
        <s v="Hazardous waste berm #1" u="1"/>
        <s v="Reclaim Feeding, Line 2 - Pit Jump Conveyor #23 Idlers" u="1"/>
        <s v="Intermediate Conv, Dedusting Syst - Compressor (C5L)" u="1"/>
        <s v="Shiploader SL 01, Shuttle Travel System - Trolley Ass'y (Cabin Op-Side, Chute End)" u="1"/>
        <s v="Shiploader SL 02, Shuttle Travel System - Trolley Ass'y (Booth Op-Side, Chute End)" u="1"/>
        <s v="Reclaim Feeding, Line 4 - Pit Jump Conveyor #31 Idlers" u="1"/>
        <s v="TANK  - ARCTIC DIESEL TANK" u="1"/>
        <s v="TANK  - MARINE DIESEL TANK" u="1"/>
        <s v="Spread A, Secondary Cone Feed - C-5 Conveyor Belt Head Pulley" u="1"/>
        <s v="Spread B, Secondary Cone Feed - C-1 Conveyor Belt Head Pulley" u="1"/>
        <s v="Spread C, Secondary Cone Feed - C-9 Conveyor Belt Head Pulley" u="1"/>
        <s v="Mobilization and Demobilization of Equipment and Materials by Sealift - 2015 A" u="1"/>
        <s v="Shiploader SL 01, Shuttle Conv Dedusting - Feeding Chute Dedusting System DU002" u="1"/>
        <s v="Spread A, Twin Screen Plant - SS-2 Bottom Cross ConvBelt Drive Ass'y" u="1"/>
        <s v="Spread A, Twin Screen Plant - SS-2 Prim Underscreen Conv Drive Ass'y" u="1"/>
        <s v="Spread A, Twin Screen Plant - SS-2 Secondary Screen Deck Drive Ass'y" u="1"/>
        <s v="Spread B, Twin Screen Plant - SS-1 Bottom Cross ConvBelt Drive Ass'y" u="1"/>
        <s v="Spread B, Twin Screen Plant - SS-1 Prim Underscreen Conv Drive Ass'y" u="1"/>
        <s v="Spread B, Twin Screen Plant - SS-1 Secondary Screen Deck Drive Ass'y" u="1"/>
        <s v="Spread C, Twin Screen Plant - SS-3 Bottom Cross ConvBelt Drive Ass'y" u="1"/>
        <s v="Spread C, Twin Screen Plant - SS-3 Prim Underscreen Conv Drive Ass'y" u="1"/>
        <s v="Spread C, Twin Screen Plant - SS-3 Secondary Screen Deck Drive Ass'y" u="1"/>
        <s v="Reclaim Feeding, Line 2 - FE-002 Feeder Discharge Conv Tail Pulley" u="1"/>
        <s v="Reclaim Feeding, Line 3 - FE-003 Feeder Discharge Conv Tail Pulley" u="1"/>
        <s v="Reclaim Feeding, Line 4 - FE-004 Feeder Discharge Conv Tail Pulley" u="1"/>
        <s v="Spread A, Primary Jaw Plant - PJ-2 Jaw Hyd Wedge Adjustment Ass'y" u="1"/>
        <s v="Spread B, Primary Jaw Plant - PJ-1 Jaw Hyd Wedge Adjustment Ass'y" u="1"/>
        <s v="Spread C, Primary Jaw Plant - PJ-3 Jaw Hyd Wedge Adjustment Ass'y" u="1"/>
        <s v="Reclaim Feeding, Line 2 - Pit Jump Conveyor #23 Tensioning Syst" u="1"/>
        <s v="Reclaim Feeding, Line 2 - Pit Jump Conveyor #24 Tensioning Syst" u="1"/>
        <s v="Reclaim Feeding, Line 3 - Pit Jump Conveyor #25 Tensioning Syst" u="1"/>
        <s v="Reclaim Feeding, Line 3 - Pit Jump Conveyor #30 Tensioning Syst" u="1"/>
        <s v="Reclaim Feeding, Line 4 - Pit Jump Conveyor #31 Tensioning Syst" u="1"/>
        <s v="Reclaim Feeding, Line 4 - Pit Jump Conveyor #32 Tensioning Syst" u="1"/>
        <s v="Shiploader SL 02, Shuttle Conv Dedusting - Feeding Chute Dedusting System DU006" u="1"/>
        <s v="Spread A, Primary Screen Plant - PS-2 Screen Deck Screens" u="1"/>
        <s v="Spread B, Primary Screen Plant - PS-1 Screen Deck Screens" u="1"/>
        <s v="Spread C, Primary Screen Plant - PS-3 Screen Deck Screens" u="1"/>
        <s v="MECHANICS TRUCK,  " u="1"/>
        <s v="Spread A, Tertiary Cone Plant - TC-2 Dischage Conveyor Tail Pulley" u="1"/>
        <s v="Spread B, Tertiary Cone Plant - TC-1 Dischage Conveyor Tail Pulley" u="1"/>
        <s v="Spread C, Tertiary Cone Plant - TC-3 Dischage Conveyor Tail Pulley" u="1"/>
        <s v="Spread A, Secondary Cone Feed - C-5 Conveyor Belt (42&quot;X50')" u="1"/>
        <s v="Spread B, Secondary Cone Feed - C-1 Conveyor Belt (42&quot;X50')" u="1"/>
        <s v="Spread C, Secondary Cone Feed - C-9 Conveyor Belt (42&quot;X50')" u="1"/>
        <s v="SECONDARY CRUSHING PLANT LINE 4,  " u="1"/>
        <s v="Spread A, Control Room - Spread A, PJ Rock Breaker Feeder Breaker" u="1"/>
        <s v="Spread B, Control Room - Spread B, PJ Rock Breaker Feeder Breaker" u="1"/>
        <s v="Contingency -2015 R" u="1"/>
        <s v="Diesel Module, GEN Set Feed System - GEN Set Flow Meter" u="1"/>
        <s v="Spread A, Tertiary Cone Plant - TC-2 Cone Crusher" u="1"/>
        <s v="Spread B, Tertiary Cone Plant - TC-1 Cone Crusher" u="1"/>
        <s v="Spread C, Tertiary Cone Plant - TC-3 Cone Crusher" u="1"/>
        <s v="COMPACTOR ,  " u="1"/>
        <s v="POTABLE WATER STORAGE TANK ,  " u="1"/>
        <s v="Spread A, Primary Screen Plant - PS-2 Feeder Live Shaft Idlers Rolls" u="1"/>
        <s v="Spread B, Primary Screen Plant - PS-1 Feeder Live Shaft Idlers Rolls" u="1"/>
        <s v="Spread C, Primary Screen Plant - PS-3 Feeder Live Shaft Idlers Rolls" u="1"/>
        <s v="Jet A1 Module, Truck Loading System - 400 GPM Pump Ass'y #1" u="1"/>
        <s v="Intermediate Conveyor (Link) - East Side Tension Bend Pulley Ass'y" u="1"/>
        <s v="Intermediate Conveyor (Link) - West Side Tension Bend Pulley Ass'y" u="1"/>
        <s v="Accomodation Area E-House #1 - Demolish floor finish - Raised Steel or Wooden Floor" u="1"/>
        <s v="Accomodation Area E-House #2 - Demolish floor finish - Raised Steel or Wooden Floor" u="1"/>
        <s v="SINGLE PASS, PRODUCTION DRILL ,  " u="1"/>
        <s v="Spread A, Secondary Cone Plant - SC-1 Cone Crusher Countershaft Ass'y" u="1"/>
        <s v="Spread B, Secondary Cone Plant - SC-2 Cone Crusher Countershaft Ass'y" u="1"/>
        <s v="Spread C, Secondary Cone Plant - SC-3 Cone Crusher Countershaft Ass'y" u="1"/>
        <s v="ARCTIC DIESEL TANK ,  " u="1"/>
        <s v="Spread A, Twin Screen Plant - SS-2 Bottom Cross Conveyor Belt Belting" u="1"/>
        <s v="Spread B, Twin Screen Plant - SS-1 Bottom Cross Conveyor Belt Belting" u="1"/>
        <s v="Spread C, Primary Screen Plant Discharge - C-10 Conveyor Belt Belting" u="1"/>
        <s v="Spread C, Twin Screen Plant - SS-3 Bottom Cross Conveyor Belt Belting" u="1"/>
        <s v="Hazardous waste berm #2" u="1"/>
        <s v="MOBILE EQUIPMENT  - PASSENGER TRANSFER BUS - BLUE BIRD BBCV DIESEL 3507A  " u="1"/>
        <s v="CRUSHER  - TERTIARY CRUSHING PLANT LINE 4 - METSO HP400  _x000a_L: 2370, W: 2370, H: 1600" u="1"/>
        <s v="Reclaim Feeding, Line 2 - Pit Jump Conveyor #24 Idlers" u="1"/>
        <s v="FUEL DISPENSER  - MARINE DIESEL FUEL DISPENSING MODULE" u="1"/>
        <s v="Spread A, Primary Screen Plant - PS-2 Screen Deck (6' X 20')" u="1"/>
        <s v="Spread B, Primary Screen Plant - PS-1 Screen Deck (6' X 20')" u="1"/>
        <s v="Spread C, Primary Screen Plant - PS-3 Screen Deck (6' X 20')" u="1"/>
        <s v="Reclaim Feeding, Line 4 - Pit Jump Conveyor #32 Idlers" u="1"/>
        <s v="TOTE ROAD ORE HAUL TRUCK - TRACTOR ,  " u="1"/>
        <s v="Spread A, Fine Discharge - C-7 Conveyor Belt Drive Ass'y" u="1"/>
        <s v="Spread A, Primary Screen Plant - PS-2 Feeder Drive Ass'y" u="1"/>
        <s v="Spread B, Fine Discharge - C-6 Conveyor Belt Drive Ass'y" u="1"/>
        <s v="Spread B, Primary Screen Plant - PS-1 Feeder Drive Ass'y" u="1"/>
        <s v="Spread C, Primary Screen Plant - PS-3 Feeder Drive Ass'y" u="1"/>
        <s v="Ammonium Nitrate (explosive Material) - 2015 R" u="1"/>
        <s v="Spread A, Secondary Cone Plant - SC-1 Lube Oil Piping&amp;Component" u="1"/>
        <s v="Spread B, Secondary Cone Plant - SC-2 Lube Oil Piping&amp;Component" u="1"/>
        <s v="Spread C, Secondary Cone Plant - SC-3 Lube Oil Piping&amp;Component" u="1"/>
        <s v="Hazardous waste berm #3" u="1"/>
        <s v="Reclaim Feeding, Line 3 - Pit Jump Conveyor #25 Idlers" u="1"/>
        <s v="PWSP #2" u="1"/>
        <s v="Contaminated Soil Treatment -2015" u="1"/>
        <s v="Reclaim Feeding, Line 2 - FE-002 E-House" u="1"/>
        <s v="PWSP #3" u="1"/>
        <s v="Project Environmental Site Assessment -2015" u="1"/>
        <s v="Worker Accommodation &amp; Camp Operation -2016" u="1"/>
        <s v="Shiploader SL 01, Shuttle Conv Dedusting - Feeding Chute Compressor (C5L)" u="1"/>
        <s v="Shiploader SL 02, Shuttle Conv Dedusting - Feeding Chute Compressor (C5L)" u="1"/>
        <s v="Spread A, Primary Jaw Plant - PJ-2 Jaw Toggle Plate Ass'y" u="1"/>
        <s v="Spread B, Primary Jaw Plant - PJ-1 Jaw Toggle Plate Ass'y" u="1"/>
        <s v="Spread C, Primary Jaw Plant - PJ-3 Jaw Toggle Plate Ass'y" u="1"/>
        <s v="Worker Accommodation &amp; Camp Operation - 2015" u="1"/>
        <s v="Reclaim Sampler Tower, Mill VM 0604 MM-H - Movable Grinding Roll Adjustment unit" u="1"/>
        <s v="Reclaim Belt Conv, Electrical - Conveyor Electrical Controls" u="1"/>
        <s v="Reclaim Sampler Tower, Dosing Conveyor - Electrical Controls" u="1"/>
        <s v="Project Environmental Site Assessment -2016" u="1"/>
        <s v="Spread A, Twin Screen Plant - SS-2 Secondary Screen Deck (7' X 20')" u="1"/>
        <s v="Spread B, Twin Screen Plant - SS-1 Secondary Screen Deck (7' X 20')" u="1"/>
        <s v="Spread C, Twin Screen Plant - SS-3 Secondary Screen Deck (7' X 20')" u="1"/>
        <s v="Shiploader SL 01, Shuttle Travel System - Boom Travel Drive Ass'y 2 (Chute Side)" u="1"/>
        <s v="Shiploader SL 02, Shuttle Travel System - Boom Travel Drive Ass'y 2 (Chute Side)" u="1"/>
        <s v="Spread A, Tertiary Cone Plant - TC-2 Lube Oil Elect Controls" u="1"/>
        <s v="Spread B, Tertiary Cone Plant - TC-1 Lube Oil Elect Controls" u="1"/>
        <s v="Spread C, Tertiary Cone Plant - TC-3 Lube Oil Elect Controls" u="1"/>
        <s v="Mobilization of Workers Required for Reclamation - 2014" u="1"/>
        <s v="Hazardous WasteBerm associated with waste management building " u="1"/>
        <s v="Spread A, Primary Screen Plant - PS-2 Screen Deck Drive Ass'y" u="1"/>
        <s v="Spread A, Secondary Cone Feed - C-5 Conveyor Belt Drive Ass'y" u="1"/>
        <s v="Spread A, Tertiary Cone Plant - TC-2 Cone Crusher Drive Ass'y" u="1"/>
        <s v="Spread B, Primary Screen Plant - PS-1 Screen Deck Drive Ass'y" u="1"/>
        <s v="Spread B, Secondary Cone Feed - C-1 Conveyor Belt Drive Ass'y" u="1"/>
        <s v="Spread B, Tertiary Cone Plant - TC-1 Cone Crusher Drive Ass'y" u="1"/>
        <s v="Spread C, Primary Screen Plant - PS-3 Screen Deck Drive Ass'y" u="1"/>
        <s v="Spread C, Secondary Cone Feed - C-9 Conveyor Belt Drive Ass'y" u="1"/>
        <s v="Spread C, Tertiary Cone Plant - TC-3 Cone Crusher Drive Ass'y" u="1"/>
        <s v="Intermediate Conveyor (Link) - Carrying Idlers Rolls" u="1"/>
        <s v="Reclaim Feeding, Line 2 - FE-002 E-House Switch Gear" u="1"/>
        <s v="Reclaim Feeding, Line 3 - FE-002 E-House Switch Gear" u="1"/>
        <s v="Reclaim Feeding, Line 4 - FE-002 E-House Switch Gear" u="1"/>
        <s v="Hazardous waste berm #4" u="1"/>
        <s v="Diesel Mod 1, GEN Set Feed System - GEN 100 LPM Pump Ass'y #1" u="1"/>
        <s v="Spread A, Secondary Cone Plant - SC-1 Cone Crusher Main Shaft Ass'y" u="1"/>
        <s v="Spread B, Secondary Cone Plant - SC-2 Cone Crusher Main Shaft Ass'y" u="1"/>
        <s v="Spread C, Secondary Cone Plant - SC-3 Cone Crusher Main Shaft Ass'y" u="1"/>
        <s v="Diesel Mod 1, Truck Loading System - Truck 400 GPM Pump Ass'y #1" u="1"/>
        <s v="Diesel Module,Vehicule Dispensing System - 100 LPM Pump Ass'y #1" u="1"/>
        <s v="Spread A, Tertiary Cone Plant - TC-2 Feed Conveyor Belt" u="1"/>
        <s v="Spread B, Tertiary Cone Plant - TC-1 Feed Conveyor Belt" u="1"/>
        <s v="Spread C, Tertiary Cone Plant - TC-3 Feed Conveyor Belt" u="1"/>
        <s v="Diesel Mod 1, Truck Loading System - Truck 400 GPM Pump Ass'y #2" u="1"/>
        <s v="Diesel Module,Vehicule Dispensing System - 100 LPM Pump Ass'y #2" u="1"/>
        <s v="Spread A, Secondary Cone Feed - C-5 Conveyor Belt Tail Pulley" u="1"/>
        <s v="Spread B, Secondary Cone Feed - C-1 Conveyor Belt Tail Pulley" u="1"/>
        <s v="Spread C, Secondary Cone Feed - C-9 Conveyor Belt Tail Pulley" u="1"/>
        <s v="Supervision, Project Management &amp; Contract Administration -2015 A" u="1"/>
        <s v="PRODUCTION LARGE EXCAVATOR ,  " u="1"/>
        <s v="Diesel Mod 1, Truck Loading System - Truck Hose Reel" u="1"/>
        <s v="Diesel Module, DEF Dispensing System - DEF Hose Reel" u="1"/>
        <s v="Shiploader SL 02, Telesc. ChuteDedusting - Dedusting System DU007" u="1"/>
        <s v="Intermediate Conveyor (Link) - Chute Ass'y" u="1"/>
        <s v="EXCAVATOR ,  " u="1"/>
        <s v="Shiploader SL 01, Shuttle Travel System - Storm Latching Device" u="1"/>
        <s v="Shiploader SL 02, Shuttle Travel System - Storm Latching Device" u="1"/>
        <s v="Shiploader SL 01, Shuttle Travel System - Rail System" u="1"/>
        <s v="Shiploader SL 02, Shuttle Travel System - Rail System" u="1"/>
        <s v="Supervision, Project Management &amp; Contract Administration - 2014 " u="1"/>
        <s v="Mobilization of Workers Required for Reclamation - 2015 A" u="1"/>
        <s v="Welcome Shack - Demolish and Decontaminate Building - Trailer - Modular (2 or more modules)" u="1"/>
        <s v="Off-Site Disposal of Waste &amp; Material - 2015" u="1"/>
        <s v="Shiploader SL 01, Boom Swivel System - Electrical Controls" u="1"/>
        <s v="Shiploader SL 02, Boom Swivel System - Electrical Controls" u="1"/>
        <s v="Reclaim Feeding, Line 2 - Pit Jump Conveyor #23 Drive Ass'y" u="1"/>
        <s v="Reclaim Feeding, Line 2 - Pit Jump Conveyor #24 Drive Ass'y" u="1"/>
        <s v="Reclaim Feeding, Line 3 - Pit Jump Conveyor #25 Drive Ass'y" u="1"/>
        <s v="Reclaim Feeding, Line 3 - Pit Jump Conveyor #30 Drive Ass'y" u="1"/>
        <s v="Reclaim Feeding, Line 4 - Pit Jump Conveyor #31 Drive Ass'y" u="1"/>
        <s v="Reclaim Feeding, Line 4 - Pit Jump Conveyor #32 Drive Ass'y" u="1"/>
        <s v="Reclaim Belt Conveyor - Belt Cleaner and Scrappers" u="1"/>
        <s v="Supervision, Project Management &amp; Contract Administration - 2015" u="1"/>
        <s v="Spread A, Secondary Cone Plant - SC-1 Cone Crusher Tramp Release Ass'y" u="1"/>
        <s v="Spread B, Secondary Cone Plant - SC-2 Cone Crusher Tramp Release Ass'y" u="1"/>
        <s v="Spread A, Secondary Cone Plant - SC-1 Dischage Conveyor Belting" u="1"/>
        <s v="Spread B, Secondary Cone Plant - SC-2 Dischage Conveyor Belting" u="1"/>
        <s v="Spread C, Secondary Cone Plant - SC-3 Dischage Conveyor Belting" u="1"/>
        <s v="Diesel Module, GEN Set Feed System - 100 LPM Pump Ass'y #1" u="1"/>
        <s v="Additional Disturbed areas" u="1"/>
        <s v="Contingency -2016" u="1"/>
        <s v="Hazardous waste berm #5" u="1"/>
        <s v="ORE HAUL TRUCK WORKSHOP OFFICE WASHCAR SEWAGE COLLECTION TANK,  " u="1"/>
        <s v="RAW WATER TANK ,  " u="1"/>
        <s v="Diesel Mod 1, GEN Set Feed System - GEN 100 LPM Pump Ass'y #2" u="1"/>
        <s v="Reclaim Feeding, Line 3 - FE-003 E-House" u="1"/>
        <s v="ROAD SNOW BLOWER,  " u="1"/>
        <s v="Reclaim Sampler Tower, Sampler - Idler station" u="1"/>
        <s v="Spread A, Primary Jaw Plant - PJ-2 Jaw Hyd Unit Tank Ass'y" u="1"/>
        <s v="Spread A, Secondary Cone Plant - SC-1 Hydraulic Tank Ass'y" u="1"/>
        <s v="Spread B, Primary Jaw Plant - PJ-1 Jaw Hyd Unit Tank Ass'y" u="1"/>
        <s v="Spread B, Secondary Cone Plant - SC-2 Hydraulic Tank Ass'y" u="1"/>
        <s v="Spread C, Primary Jaw Plant - PJ-3 Jaw Hyd Unit Tank Ass'y" u="1"/>
        <s v="Spread C, Secondary Cone Plant - SC-3 Hydraulic Tank Ass'y" u="1"/>
        <s v="Diesel Mod 1, Truck Loading System - Truck Ground Reel" u="1"/>
        <s v="Shiploader SL 01, Boom Swivel System - Slewing Gear Drive Ass'y 1 (Feed Side)" u="1"/>
        <s v="Shiploader SL 02, Boom Swivel System - Slewing Gear Drive Ass'y 1 (Feed Side)" u="1"/>
        <s v="Spread C, Lumps Discharge - C-11 Conveyor Belt Idlers" u="1"/>
        <s v="PWSP # 1" u="1"/>
        <s v="Spread A, Primary Jaw Plant - PJ-2 Jaw Drive Ass'y" u="1"/>
        <s v="Spread B, Primary Jaw Plant - PJ-1 Jaw Drive Ass'y" u="1"/>
        <s v="Spread C, Primary Jaw Plant - PJ-3 Jaw Drive Ass'y" u="1"/>
        <s v="Additonal Truck Wash Building " u="1"/>
        <s v="Spread A, Control Room - Spread A, PJ Under Crusher Conv Starter" u="1"/>
        <s v="Spread B, Control Room - Spread B, PJ Under Crusher Conv Starter" u="1"/>
        <s v="Engineering Fees " u="1"/>
        <s v="Existing Trailer Camp" u="1"/>
        <s v="Additonal Truck Wash Building - Demolish and foundations - Precast Footing (Perimeter Beam)" u="1"/>
        <s v="TRACK DOZER,  " u="1"/>
        <s v="Spread A, Fine Discharge - C-7 Conveyor Belt Frame Ass'y" u="1"/>
        <s v="Spread B, Fine Discharge - C-6 Conveyor Belt Frame Ass'y" u="1"/>
        <s v="Diesel Module, DEF Dispensing System - DEF Pump Ass'y" u="1"/>
        <s v="Shiploader SL 01, Electrical - Transformer" u="1"/>
        <s v="Shiploader SL 02, Electrical - Transformer" u="1"/>
        <s v="Ammonium Nitrate (explosive Material) - 2015" u="1"/>
        <s v="Spread A, Tertiary Cone Plant - TC-2 Hydraulic Unit" u="1"/>
        <s v="Spread B, Tertiary Cone Plant - TC-1 Hydraulic Unit" u="1"/>
        <s v="Spread C, Tertiary Cone Plant - TC-3 Hydraulic Unit" u="1"/>
        <s v="Shiploader SL 01, Boom Swivel System - Slewing Central Lube Oil Unit" u="1"/>
        <s v="Shiploader SL 02, Boom Swivel System - Slewing Central Lube Oil Unit" u="1"/>
        <s v="Spread A, Primary Jaw Plant - PJ-2 Under Crusher Conveyor Drive Ass'y" u="1"/>
        <s v="Spread A, Primary Screen Plant - PS-2 Cross Conveyor Belt Drive Ass'y" u="1"/>
        <s v="Spread B, Primary Jaw Plant - PJ-1 Under Crusher Conveyor Drive Ass'y" u="1"/>
        <s v="Spread B, Primary Screen Plant - PS-1 Cross Conveyor Belt Drive Ass'y" u="1"/>
        <s v="Spread C, Primary Jaw Plant - PJ-3 Under Crusher Conveyor Drive Ass'y" u="1"/>
        <s v="Spread C, Primary Screen Plant - PS-3 Cross Conveyor Belt Drive Ass'y" u="1"/>
        <s v="Spread A, Control Room - Spread A, SC Lube Oil Pump Starter" u="1"/>
        <s v="Spread A, Control Room - Spread A, TC Lube Oil Pump Starter" u="1"/>
        <s v="Spread B, Control Room - Spread B, SC Lube Oil Pump Starter" u="1"/>
        <s v="Spread B, Control Room - Spread B, TC Lube Oil Pump Starter" u="1"/>
        <s v="Spread A, Primary Jaw Plant - PJ-2 Under Crusher Conveyor" u="1"/>
        <s v="Spread C, Primary Jaw Plant - PJ-3 Under Crusher Conveyor" u="1"/>
        <s v="Spread A, Twin Screen Plant - SS-2 Primary Underscreen Conv Idlers" u="1"/>
        <s v="Spread B, Twin Screen Plant - SS-1 Primary Underscreen Conv Idlers" u="1"/>
        <s v="Spread C, Twin Screen Plant - SS-3 Primary Underscreen Conv Idlers" u="1"/>
        <s v="Shiploader SL 01, Shuttle Travel System - Boom Travel Drive 1 (Slewing Gear Side)" u="1"/>
        <s v="Shiploader SL 02, Shuttle Travel System - Boom Travel Drive 1 (Slewing Gear Side)" u="1"/>
        <s v="Reclaim Feeding, Line 2 - FE-002 Feeder" u="1"/>
        <s v="Spread A, Twin Screen Plant - SS-2 Top Cross Conveyor Belt" u="1"/>
        <s v="Spread B, Twin Screen Plant - SS-1 Top Cross Conveyor Belt" u="1"/>
        <s v="Spread C, Twin Screen Plant - SS-3 Top Cross Conveyor Belt" u="1"/>
        <s v="PRIMARY CRUSHING PLANT LINE 3 ,  " u="1"/>
        <s v="Reclaim Feeding, Line 2 - FE-002 Feeder Frame Ass'y" u="1"/>
        <s v="Reclaim Feeding, Line 3 - FE-003 Feeder Frame Ass'y" u="1"/>
        <s v="Reclaim Feeding, Line 4 - FE-004 Feeder Frame Ass'y" u="1"/>
        <s v="Hazardous waste berm #6" u="1"/>
        <s v="TANK  - BATCH PLANT OFFICE-LUNCHROOM-WC RAW WATER TANK - PLASTIC-MART 866-310-2556  L: 1613 _x000a_W: 737 _x000a_H: 1676 " u="1"/>
        <s v="Intermediate Conv, Dedusting Syst - Absorbant Air Dryer" u="1"/>
        <s v="TANK  - MARINE DIESEL TANK (10 ML)" u="1"/>
        <s v="CRUSHER  - PRIMARY CRUSHING PLANT LINE 4 - METSO C125  _x000a_L: 3470, W: 4100, H: 3440, 38000 kg" u="1"/>
        <s v="RECLAIM MOBILE FEEDER ,  " u="1"/>
        <s v="Spread C, Lumps Discharge - C-11 Conveyor Belt Electrical Controls" u="1"/>
        <s v="Net increase (3 additional wings) of hard-walled camp at Milne Port (assume footprint of 612 m2/wing)" u="1"/>
        <s v="Spread A, Secondary Cone Plant - SC-1 Hydraulic Piping&amp;Components" u="1"/>
        <s v="Spread B, Secondary Cone Plant - SC-2 Hydraulic Piping&amp;Components" u="1"/>
        <s v="Spread C, Secondary Cone Plant - SC-3 Hydraulic Piping&amp;Components" u="1"/>
        <s v="Grade and Re-Contour" u="1"/>
        <s v="Spread A, Primary Screen Plant - PS-2 Under Screen Conveyor Tail Pulley" u="1"/>
        <s v="Spread B, Primary Screen Plant - PS-1 Under Screen Conveyor Tail Pulley" u="1"/>
        <s v="Spread C, Primary Screen Plant - PS-3 Under Screen Conveyor Tail Pulley" u="1"/>
        <s v="Culverts" u="1"/>
        <s v="Spread A, Tertiary Cone Plant - TC-2 Cone Crusher Hopper Ass'y" u="1"/>
        <s v="Spread B, Tertiary Cone Plant - TC-1 Cone Crusher Hopper Ass'y" u="1"/>
        <s v="Spread C, Tertiary Cone Plant - TC-3 Cone Crusher Hopper Ass'y" u="1"/>
        <s v="Supervision, Project Management &amp; Contract Administration -2015 R" u="1"/>
        <s v="Spread A, Primary Jaw Plant - PJ-2 Under Crusher Conveyor Tail Pulley" u="1"/>
        <s v="Spread A, Primary Screen Plant - PS-2 Cross Conveyor Belt Tail Pulley" u="1"/>
        <s v="Spread B, Primary Jaw Plant - PJ-1 Under Crusher Conveyor Tail Pulley" u="1"/>
        <s v="Spread B, Primary Screen Plant - PS-1 Cross Conveyor Belt Tail Pulley" u="1"/>
        <s v="Spread C, Primary Jaw Plant - PJ-3 Under Crusher Conveyor Tail Pulley" u="1"/>
        <s v="Spread C, Primary Screen Plant - PS-3 Cross Conveyor Belt Tail Pulley" u="1"/>
        <s v="Spread A, Control Room - Spread A MCC-2 Bank" u="1"/>
        <s v="Spread A, Lumps Discharge - C-2 Conveyor Belt Frame Ass'y" u="1"/>
        <s v="Spread B, Lumps Discharge - C-4 Conveyor Belt Frame Ass'y" u="1"/>
        <s v="Spread C, Fine Discharge - C-12 Conveyor Belt Frame Ass'y" u="1"/>
        <s v="Mobilization and Demobilization of Equipment and Materials by Sealift - 2015 R" u="1"/>
        <s v="Potable Water System for 350 man temporary soft-walled camp at Milne Port" u="1"/>
        <s v="Reclaim Feeding, Line 2 - FE-002 Under Feeder 48&quot; Conveyor" u="1"/>
        <s v="Reclaim Feeding, Line 3 - FE-003 Under Feeder 48&quot; Conveyor" u="1"/>
        <s v="Reclaim Feeding, Line 4 - FE-004 Under Feeder 48&quot; Conveyor" u="1"/>
        <s v="Reclaim Belt Conveyor - Drive Pulley West Side Drive Ass'y RC02" u="1"/>
        <s v="Reclaim Feeding, Line 4 - FE-004 E-House" u="1"/>
        <s v="Diesel Module 1 - Enclosure" u="1"/>
        <s v="Spread A, Primary Screen Plant - PS-2 Screen Deck Electrical Controls" u="1"/>
        <s v="Spread A, Secondary Cone Feed - C-5 Conveyor Belt Electrical Controls" u="1"/>
        <s v="Spread A, Tertiary Cone Plant - TC-2 Dischage Conveyor Elect Controls" u="1"/>
        <s v="Spread A, Twin Screen Plant - SS-2 Primary Screen Deck Elect Controls" u="1"/>
        <s v="Spread A, Twin Screen Plant - SS-2 Top Cross Conv Belt Elect Controls" u="1"/>
        <s v="Spread B, Primary Screen Plant - PS-1 Screen Deck Electrical Controls" u="1"/>
        <s v="Spread B, Secondary Cone Feed - C-1 Conveyor Belt Electrical Controls" u="1"/>
        <s v="Spread B, Tertiary Cone Plant - TC-1 Dischage Conveyor Elect Controls" u="1"/>
        <s v="Spread B, Twin Screen Plant - SS-1 Primary Screen Deck Elect Controls" u="1"/>
        <s v="Spread B, Twin Screen Plant - SS-1 Top Cross Conv Belt Elect Controls" u="1"/>
        <s v="Spread C, Primary Screen Plant - PS-3 Screen Deck Electrical Controls" u="1"/>
        <s v="Spread C, Secondary Cone Feed - C-9 Conveyor Belt Electrical Controls" u="1"/>
        <s v="Spread C, Tertiary Cone Plant - TC-3 Dischage Conveyor Elect Controls" u="1"/>
        <s v="Spread C, Twin Screen Plant - SS-3 Primary Screen Deck Elect Controls" u="1"/>
        <s v="Spread C, Twin Screen Plant - SS-3 Top Cross Conv Belt Elect Controls" u="1"/>
        <s v="STOCKPILE RECLAIM EXTENSION CONVEYOR,  " u="1"/>
        <s v="Spread A, Control Room - MCC-1 Bank 600V Monitoring FeederBreaker" u="1"/>
        <s v="Spread A, Control Room - MCC-2 Bank 600V Monitoring FeederBreaker" u="1"/>
        <s v="Spread B, Control Room - MCC-3 Bank 600V Monitoring FeederBreaker" u="1"/>
        <s v="Spread B, Control Room - MCC-4 Bank 600V Monitoring FeederBreaker" u="1"/>
        <s v="Spread A, Primary Screen Plant - PS-2 Over Screen Conveyor" u="1"/>
        <s v="Spread B, Primary Screen Plant - PS-1 Over Screen Conveyor" u="1"/>
        <s v="Spread C, Primary Screen Plant - PS-3 Over Screen Conveyor" u="1"/>
        <s v="Spread B, Control Room - Spread B MCC-4 Bank" u="1"/>
        <s v="Spread C, Primary Jaw Plant - PJ-3 Under Crusher Conv Cleaner Scrapper" u="1"/>
        <s v="Spread C, Secondary Cone Plant - SC-3 Dischage Conv Cleaner &amp; Scrapper" u="1"/>
        <s v="Spread C, Tertiary Cone Plant - TC-3 Feed Conv Belt Cleaner &amp; Scrapper" u="1"/>
        <s v="PWSP # 2" u="1"/>
        <s v="Spread B, Primary Screen Plant - Primary Screen Plant, PS-1" u="1"/>
        <s v="Spread A, Primary Screen Plant - PS-2 Plant Bed" u="1"/>
        <s v="Spread A, Secondary Cone Plant - SC-1 Plant Bed" u="1"/>
        <s v="Spread B, Primary Screen Plant - PS-1 Plant Bed" u="1"/>
        <s v="Spread B, Secondary Cone Plant - SC-2 Plant Bed" u="1"/>
        <s v="Spread C, Primary Screen Plant - PS-3 Plant Bed" u="1"/>
        <s v="Spread C, Secondary Cone Plant - SC-3 Plant Bed" u="1"/>
        <s v="Generator extension" u="1"/>
        <s v="Closure &amp; Post Closure Monitoring -2015 A" u="1"/>
        <s v="Spread A, Secondary Cone Plant - SC-1 Dischage Conveyor Idlers" u="1"/>
        <s v="Spread B, Secondary Cone Plant - SC-2 Dischage Conveyor Idlers" u="1"/>
        <s v="Spread C, Secondary Cone Plant - SC-3 Dischage Conveyor Idlers" u="1"/>
        <s v="Reclaim Feeding, Line 2 - FE-002 Under Feeder Conv Idlers" u="1"/>
        <s v="Reclaim Feeding, Line 3 - FE-003 Under Feeder Conv Idlers" u="1"/>
        <s v="Reclaim Feeding, Line 4 - FE-004 Under Feeder Conv Idlers" u="1"/>
        <s v="Spread A, Tertiary Cone Plant - TC-2 Lube Oil Pump Ass'y" u="1"/>
        <s v="Spread B, Tertiary Cone Plant - TC-1 Lube Oil Pump Ass'y" u="1"/>
        <s v="Spread C, Tertiary Cone Plant - TC-3 Lube Oil Pump Ass'y" u="1"/>
        <s v="Intermediate Conv, Dedusting Syst - Dedusting System DU005" u="1"/>
        <s v="Geotechnical Inspections - 2015 R" u="1"/>
        <s v="Reclaim Feeding, Line 3 - FE-003 Feeder" u="1"/>
        <s v="Spread C, Primary Jaw Plant - PJ-3 Under Crusher Conv Belt Scale" u="1"/>
        <s v="Shiploader SL 01, Telescopic Chute - Telescopic Winch" u="1"/>
        <s v="Shiploader SL 02, Telescopic Chute - Telescopic Winch" u="1"/>
        <s v="Hazardous WasteBerm " u="1"/>
        <s v="Spread A, Primary Screen Plant - PS-2 Under Screen Conveyor Head Pulley" u="1"/>
        <s v="Spread B, Primary Screen Plant - PS-1 Under Screen Conveyor Head Pulley" u="1"/>
        <s v="Spread C, Primary Screen Plant - PS-3 Under Screen Conveyor Head Pulley" u="1"/>
        <s v="   RAW WATER FEED PUMP  " u="1"/>
        <s v="Closure &amp; Post Closure Monitoring -2015 R" u="1"/>
        <s v="Shiploader SL 01, Shuttle Travel System - Electrical Controls" u="1"/>
        <s v="Shiploader SL 02, Shuttle Travel System - Electrical Controls" u="1"/>
        <s v="Reclaim Feeding, Line 2 - FE-002 Feeder Discharge Conv Drive Ass'y" u="1"/>
        <s v="Reclaim Feeding, Line 3 - FE-003 Feeder Discharge Conv Drive Ass'y" u="1"/>
        <s v="Reclaim Feeding, Line 4 - FE-004 Feeder Discharge Conv Drive Ass'y" u="1"/>
        <s v="Spread A, Twin Screen Plant - SS-2 Top Cross Conveyor Belt Idlers" u="1"/>
        <s v="Spread B, Twin Screen Plant - SS-1 Top Cross Conveyor Belt Idlers" u="1"/>
        <s v="Spread C, Twin Screen Plant - SS-3 Top Cross Conveyor Belt Idlers" u="1"/>
        <s v="Shiploader SL 01, Boom Conveyor - Garland Idlers Rolls" u="1"/>
        <s v="Shiploader SL 02, Boom Conveyor - Garland Idlers Rolls" u="1"/>
        <s v="Spread A, Primary Screen Plant - PS-2 Over Screen Conveyor Head Pulley" u="1"/>
        <s v="Spread A, Twin Screen Plant - SS-2 Second Underscreen Conv Head Pulley" u="1"/>
        <s v="Spread A, Twin Screen Plant - SS-2 Top Cross Conveyor Belt Head Pulley" u="1"/>
        <s v="Spread B, Primary Screen Plant - PS-1 Over Screen Conveyor Head Pulley" u="1"/>
        <s v="Spread B, Twin Screen Plant - SS-1 Second Underscreen Conv Head Pulley" u="1"/>
        <s v="Spread B, Twin Screen Plant - SS-1 Top Cross Conveyor Belt Head Pulley" u="1"/>
        <s v="Spread C, Primary Screen Plant - PS-3 Over Screen Conveyor Head Pulley" u="1"/>
        <s v="Spread C, Twin Screen Plant - SS-3 Second Underscreen Conv Head Pulley" u="1"/>
        <s v="Spread C, Twin Screen Plant - SS-3 Top Cross Conveyor Belt Head Pulley" u="1"/>
        <s v="Spread A, Secondary Cone Plant - SC-1 Cone Crusher Hopper Ass'y" u="1"/>
        <s v="Spread B, Secondary Cone Plant - SC-2 Cone Crusher Hopper Ass'y" u="1"/>
        <s v="Spread C, Secondary Cone Plant - SC-3 Cone Crusher Hopper Ass'y" u="1"/>
        <s v="Spread A, Tertiary Cone Plant - TC-2 Dischage Conveyor Drive Ass'y" u="1"/>
        <s v="Spread A, Twin Screen Plant - SS-2 Primary Screen Deck Drive Ass'y" u="1"/>
        <s v="Spread B, Tertiary Cone Plant - TC-1 Dischage Conveyor Drive Ass'y" u="1"/>
        <s v="Spread B, Twin Screen Plant - SS-1 Primary Screen Deck Drive Ass'y" u="1"/>
        <s v="Spread C, Tertiary Cone Plant - TC-3 Dischage Conveyor Drive Ass'y" u="1"/>
        <s v="Spread C, Twin Screen Plant - SS-3 Primary Screen Deck Drive Ass'y" u="1"/>
        <s v="Spread A, Primary Screen Plant - PS-2 Under Screen Conveyor" u="1"/>
        <s v="Spread B, Primary Screen Plant - PS-1 Under Screen Conveyor" u="1"/>
        <s v="Spread C, Primary Screen Plant - PS-3 Under Screen Conveyor" u="1"/>
        <s v="Reclaim Belt Conv, Take Up Section - Rope Deflection Station #1 (To Tower)" u="1"/>
        <s v="Spread A, Primary Jaw Plant - PJ-2 Jaw Movable Jaw Ass'y" u="1"/>
        <s v="Spread B, Primary Jaw Plant - PJ-1 Jaw Movable Jaw Ass'y" u="1"/>
        <s v="Spread C, Primary Jaw Plant - PJ-3 Jaw Movable Jaw Ass'y" u="1"/>
        <s v="Spread A, Twin Screen Plant - SS-2 Primary Screen Deck Screens" u="1"/>
        <s v="Spread B, Twin Screen Plant - SS-1 Primary Screen Deck Screens" u="1"/>
        <s v="Spread C, Twin Screen Plant - SS-3 Primary Screen Deck Screens" u="1"/>
        <s v="Spread A, Primary Jaw Plant - PJ-2 Jaw Hydraulic Piping &amp; Components" u="1"/>
        <s v="Spread A, Tertiary Cone Plant - TC-2 Cone Crusher Hyd Pip&amp;Components" u="1"/>
        <s v="Spread B, Primary Jaw Plant - PJ-1 Jaw Hydraulic Piping &amp; Components" u="1"/>
        <s v="Spread B, Tertiary Cone Plant - TC-1 Cone Crusher Hyd Pip&amp;Components" u="1"/>
        <s v="Spread C, Primary Jaw Plant - PJ-3 Jaw Hydraulic Piping &amp; Components" u="1"/>
        <s v="Spread C, Tertiary Cone Plant - TC-3 Cone Crusher Hyd Pip&amp;Components" u="1"/>
        <s v="Spread A, Tertiary Cone Plant - TC-2 Cone Crusher Bowl Ass'y" u="1"/>
        <s v="Spread B, Tertiary Cone Plant - TC-1 Cone Crusher Bowl Ass'y" u="1"/>
        <s v="Spread C, Tertiary Cone Plant - TC-3 Cone Crusher Bowl Ass'y" u="1"/>
        <s v="Fuel (North West Pad)" u="1"/>
        <s v="SEWAGE VACUUM TRUCK,  " u="1"/>
        <s v="Reclaim Belt Conveyor - Drive Pulley Ass'y" u="1"/>
        <s v="Reclaim Belt Conveyor - Take Up Pulley (Driven)" u="1"/>
        <s v="Spread A, Fine Discharge - C-7 Conveyor Belt Belting" u="1"/>
        <s v="Spread B, Fine Discharge - C-6 Conveyor Belt Belting" u="1"/>
        <s v="Spread A, Tertiary Cone Plant - TC-2 Cone Crusher Main Shaft Ass'y" u="1"/>
        <s v="Spread B, Tertiary Cone Plant - TC-1 Cone Crusher Main Shaft Ass'y" u="1"/>
        <s v="Spread C, Tertiary Cone Plant - TC-3 Cone Crusher Main Shaft Ass'y" u="1"/>
        <s v="Reclaim Belt Conveyor - Bend Pulley (Incline-South)" u="1"/>
        <s v="Spread A, Twin Screen Plant - SS-2 Second Screen Deck Eccentric Ass'y" u="1"/>
        <s v="Spread B, Twin Screen Plant - SS-1 Second Screen Deck Eccentric Ass'y" u="1"/>
        <s v="Spread C, Twin Screen Plant - SS-3 Second Screen Deck Eccentric Ass'y" u="1"/>
        <s v="Reclaim Sampler Tower, Turnsile Dividers - Turnsile Divider 1 Chute Ass'y" u="1"/>
        <s v="Reclaim Sampler Tower, Turnsile Dividers - Turnsile Divider 2 Chute Ass'y" u="1"/>
        <s v="Spread A, Secondary Cone Plant - SC-1 Cone Crusher Bowl Ass'y" u="1"/>
        <s v="Spread B, Secondary Cone Plant - SC-2 Cone Crusher Bowl Ass'y" u="1"/>
        <s v="Spread C, Secondary Cone Plant - SC-3 Cone Crusher Bowl Ass'y" u="1"/>
        <s v="Spread A, Primary Screen Plant - PS-2 Over Screen Conveyor Belting" u="1"/>
        <s v="Spread B, Primary Screen Plant - PS-1 Over Screen Conveyor Belting" u="1"/>
        <s v="Spread C, Primary Screen Plant - PS-3 Over Screen Conveyor Belting" u="1"/>
        <s v="Spread A, Primary Jaw Plant - PJ-2 Feeder (52&quot; X 24')" u="1"/>
        <s v="TANK  - BATCH PLANT OFFICE-LUNCHROOM-WC SEWAGE COLLECTION TANK - LAGRANGE MECHANICAL SERVICES  L: 3791 _x000a_W: 1829 _x000a_H: 610 " u="1"/>
        <s v="Reclaim Sampler Tower, Sampler - Sampler Rotor Ass'y HPN 1524" u="1"/>
        <s v="Spread A, Primary Screen Plant - PS-2 Over Screen Conveyor Idlers" u="1"/>
        <s v="Spread B, Primary Screen Plant - PS-1 Over Screen Conveyor Idlers" u="1"/>
        <s v="Spread C, Primary Screen Plant - PS-3 Over Screen Conveyor Idlers" u="1"/>
        <s v="Diesel Module,Vehicule Dispensing System - Vehicule Hose Reel #1" u="1"/>
        <s v="P5 Quarry" u="1"/>
        <s v="Spread A, Primary Jaw Plant - PJ-2 Feeder Drive Ass'y" u="1"/>
        <s v="Spread B, Primary Jaw Plant - PJ-1 Feeder Drive Ass'y" u="1"/>
        <s v="Spread C, Primary Jaw Plant - PJ-3 Feeder Drive Ass'y" u="1"/>
        <s v="Diesel Module,Vehicule Dispensing System - Vehicule Hose Reel #2" u="1"/>
        <s v="SHOP / MAINTENANCE EQUIPMENT  - A/C RECOVERY RECHARGE UNIT - ROBINAIR RBN17800B  L: 584 _x000a_W: 864 _x000a_H: 1120 110 _x000a_kg" u="1"/>
        <s v="MOBILE EQUIPMENT  - WINCH TRUCK " u="1"/>
        <s v="Diesel Module,Vehicule Dispensing System - Vehicule Hose Reel #3" u="1"/>
        <s v="Spread A, Primary Screen Plant - PS-2 Feeder Belting" u="1"/>
        <s v="Spread B, Primary Screen Plant - PS-1 Feeder Belting" u="1"/>
        <s v="Spread C, Primary Screen Plant - PS-3 Feeder Belting" u="1"/>
        <s v="Items not mobilized to Site in 2017" u="1"/>
        <s v="Spread C, Lumps Discharge - C-11 Conveyor Belt Frame Ass'y" u="1"/>
        <s v="PWSP # 3" u="1"/>
        <s v="Intermediate Conveyor (Link) - Belting" u="1"/>
        <s v="Spread A, Twin Screen Plant - SS-2 Top Cross Conveyor Belt Belting" u="1"/>
        <s v="Spread B, Twin Screen Plant - SS-1 Top Cross Conveyor Belt Belting" u="1"/>
        <s v="Spread C, Twin Screen Plant - SS-3 Top Cross Conveyor Belt Belting" u="1"/>
        <s v="Spread A, Primary Screen Plant Discharge - C-8 Conveyor Belt Drive Ass'y" u="1"/>
        <s v="Spread B, Primary Screen Plant Discharge - C-3 Conveyor Belt Drive Ass'y" u="1"/>
        <s v="Shiploader SL 01, Shuttle Conv Dedusting - Feeding Chute Absorbant Air Dryer" u="1"/>
        <s v="Shiploader SL 02, Shuttle Conv Dedusting - Feeding Chute Absorbant Air Dryer" u="1"/>
        <s v="Jet A1 Module, Truck Loading System - 400 GPM Pump Ass'y #2" u="1"/>
        <s v="Spread A, Twin Screen Plant - SS-2 Second Underscreen Conv Idlers" u="1"/>
        <s v="Spread B, Twin Screen Plant - SS-1 Second Underscreen Conv Idlers" u="1"/>
        <s v="Spread C, Twin Screen Plant - SS-3 Second Underscreen Conv Idlers" u="1"/>
        <s v="Spread C, Lumps Discharge - C-11 Conveyor Belt (42&quot;X60')" u="1"/>
        <s v="Shiploader SL 01, Shuttle Travel System - Boom Travel Drive Lantern Gear Rack" u="1"/>
        <s v="Shiploader SL 02, Shuttle Travel System - Boom Travel Drive Lantern Gear Rack" u="1"/>
        <s v="P1 Quarry" u="1"/>
        <s v="SHOP / MAINTENANCE EQUIPMENT  - DRUM CRUSHER  - AG - VESHDC900IDC  650 _x000a_kg" u="1"/>
        <s v="Reclaim Feeding, Line 4 - FE-004 Feeder" u="1"/>
        <s v="'Cross' Conveyor at Ore Stockpile Pad (assume 1/6 length of exsisting shiploader converyor)" u="1"/>
        <s v="Reclaim Sampler Tower, Dosing Conveyor - Discharge Chute Ass'y" u="1"/>
        <s v="MOBILE EQUIPMENT  - MINI CRANE" u="1"/>
        <s v="Spread A, Primary Screen Plant - PS-2 Over Screen Conveyor Tail Pulley" u="1"/>
        <s v="Spread A, Twin Screen Plant - SS-2 Second Underscreen Conv Tail Pulley" u="1"/>
        <s v="Spread A, Twin Screen Plant - SS-2 Top Cross Conveyor Belt Tail Pulley" u="1"/>
        <s v="Spread B, Primary Screen Plant - PS-1 Over Screen Conveyor Tail Pulley" u="1"/>
        <s v="Spread B, Twin Screen Plant - SS-1 Second Underscreen Conv Tail Pulley" u="1"/>
        <s v="Spread B, Twin Screen Plant - SS-1 Top Cross Conveyor Belt Tail Pulley" u="1"/>
        <s v="Spread C, Primary Screen Plant - PS-3 Over Screen Conveyor Tail Pulley" u="1"/>
        <s v="Spread C, Twin Screen Plant - SS-3 Second Underscreen Conv Tail Pulley" u="1"/>
        <s v="Spread C, Twin Screen Plant - SS-3 Top Cross Conveyor Belt Tail Pulley" u="1"/>
        <s v="Spread A, Twin Screen Plant - SS-2 Second Underscreen Conv Belting" u="1"/>
        <s v="Spread B, Twin Screen Plant - SS-1 Second Underscreen Conv Belting" u="1"/>
        <s v="Spread C, Twin Screen Plant - SS-3 Second Underscreen Conv Belting" u="1"/>
        <s v="   RECLAIM CONVEYOR  " u="1"/>
        <s v="Twining of Tote Road (km 0+000 to km 6+250, km 8+000 to km 15+000, km 17+000 to km 24+000, km 81+000 to km 84+000, km 88+000 to km 94+000, km 96+000 to km 102+000) - assume 12 m wide" u="1"/>
        <s v="Diesel Mod 1, Vehicle Dispensing System - Vehicule Ground Reel" u="1"/>
        <s v="Fuel - 2014" u="1"/>
        <s v="Spread A, Lumps Discharge - C-2 Conveyor Belt Belting" u="1"/>
        <s v="Spread B, Lumps Discharge - C-4 Conveyor Belt Belting" u="1"/>
        <s v="Spread C, Fine Discharge - C-12 Conveyor Belt Belting" u="1"/>
        <s v="Spread A, Primary Jaw Plant - PJ-2 Jaw Crusher Hydraulic Unit" u="1"/>
        <s v="Spread B, Primary Jaw Plant - PJ1 Rock Breaker Hydraulic Unit" u="1"/>
        <s v="Spread C, Primary Jaw Plant - PJ-3 Jaw Crusher Hydraulic Unit" u="1"/>
        <s v="Spread C, Tertiary Cone Plant - HP400 Tertiary Cone Plant, TC-3" u="1"/>
        <s v="Fuel - 2015" u="1"/>
        <s v="TANK  - JET-A1 TANK W: 10250 DI _x000a_H: 9140 (750 Kl)" u="1"/>
        <s v="Spread A, Twin Screen Plant - SS-2 Prim Underscreen Conv ElecControls" u="1"/>
        <s v="Spread B, Twin Screen Plant - SS-1 Prim Underscreen Conv ElecControls" u="1"/>
        <s v="Spread C, Twin Screen Plant - SS-3 Prim Underscreen Conv ElecControls" u="1"/>
        <s v="Spread C, Lumps Discharge - C-11 Conveyor Belt Belting" u="1"/>
        <s v="Reclaim Belt Conv, Take Up Section - Rope Deflection Station #2 (Tension Car)" u="1"/>
        <s v="Net increase (3 addional wings) of hard-walled camp at Milne Port (assume footprint of 612 m2/wing)" u="1"/>
        <s v="Spread B, Tertiary Cone Plant - HP400 Tertiary Cone Plant, TC-1" u="1"/>
        <s v="Spread A, Primary Jaw Plant - PJ-2 Under Crusher Conveyor Idlers" u="1"/>
        <s v="Spread B, Primary Jaw Plant - PJ-1 Under Crusher Conveyor Idlers" u="1"/>
        <s v="Spread C, Primary Jaw Plant - PJ-3 Under Crusher Conveyor Idlers" u="1"/>
        <s v="Spread A, Control Room - Spread A, SC Cone Crusher Starter - 1of2" u="1"/>
        <s v="Spread A, Control Room - Spread A, TC Cone Crusher Starter - 1of2" u="1"/>
        <s v="Spread B, Control Room - Spread B, SC Cone Crusher Starter - 1of2" u="1"/>
        <s v="Spread B, Control Room - Spread B, TC Cone Crusher Starter - 1of2" u="1"/>
        <s v="Jet A1 Pump Module - Jet A1 700 LPM Pump Ass'y" u="1"/>
        <s v="TANK  - WORKSHOP OFFICE WASHCAR RAW WATER TANK - PLASTIC-MART 866-310-2556  L: 1803 _x000a_W: 1245 _x000a_H: 1346 " u="1"/>
        <s v="Supervision, Project Management &amp; Contract Administration " u="1"/>
        <s v="Grade and re-contour MARINE DIESEL TANK area" u="1"/>
        <s v="Shiploader SL 01, Boom Conveyor - Belt Cleaner and Scrappers" u="1"/>
        <s v="Shiploader SL 02, Boom Conveyor - Belt Cleaner and Scrappers" u="1"/>
        <s v="Shiploader SL 01, Electrical - E-House" u="1"/>
        <s v="Shiploader SL 02, Electrical - E-House" u="1"/>
        <s v="Hazardous WasteBerm" u="1"/>
        <s v="Spread A, Primary Jaw Plant - PJ-2 Rock Breaker Inner Boom Ass'y" u="1"/>
        <s v="Spread A, Primary Jaw Plant - PJ-2 Rock Breaker Outer Boom Ass'y" u="1"/>
        <s v="Spread B, Primary Jaw Plant - PJ-1 Rock Breaker Inner Boom Ass'y" u="1"/>
        <s v="Spread B, Primary Jaw Plant - PJ-1 Rock Breaker Outer Boom Ass'y" u="1"/>
        <s v="Spread C, Primary Jaw Plant - PJ-3 Rock Breaker Inner Boom Ass'y" u="1"/>
        <s v="Spread C, Primary Jaw Plant - PJ-3 Rock Breaker Outer Boom Ass'y" u="1"/>
        <s v="Shiploader SL 01, Telesc. ChuteDedusting - Electrical Controls" u="1"/>
        <s v="Shiploader SL 02, Telesc. ChuteDedusting - Electrical Controls" u="1"/>
        <s v="Diesel Module,Vehicule Dispensing System - Vehicule Filter Ass'y #2" u="1"/>
        <s v="SHOP / MAINTENANCE EQUIPMENT  - AEROSOL CAN RECYCLING SYSTEM - AG - SAYCPU03  5 _x000a_kg" u="1"/>
        <s v="Contaminated Soil Treatment 2016" u="1"/>
        <s v="POTABLE WATER TREATMENT PLANT, VENDOR PACKAGE ,  " u="1"/>
        <s v="Spread B, Primary Jaw Plant - PJ1 Jaw Crusher Hydraulic Unit" u="1"/>
        <s v="Spread A, Control Room - Spread A, PJ Crusher Starter" u="1"/>
        <s v="Spread B, Control Room - Spread B, PJ Crusher Starter" u="1"/>
        <s v="Spread A, Control Room - Spread A, SC Cone Crusher Starter - 2of2" u="1"/>
        <s v="Spread A, Control Room - Spread A, TC Cone Crusher Starter - 2of2" u="1"/>
        <s v="Spread B, Control Room - Spread B, SC Cone Crusher Starter - 2of2" u="1"/>
        <s v="Spread B, Control Room - Spread B, TC Cone Crusher Starter - 2of2" u="1"/>
        <s v="Spread C, Secondary Cone Feed - C-9 Conveyor Cleaner Scrapper" u="1"/>
        <s v="Reclaim Belt Conveyor - Discharge Chute Ass'y" u="1"/>
        <s v="MAINTENANCE CRANE,  " u="1"/>
        <s v="Closure &amp; Post Closure Monitoring -2015" u="1"/>
        <s v="TANK  - ARCTIC DIESEL TANK  _x000a_H: 15250 (12 ML)" u="1"/>
        <s v="Addtitional outdoor lighting for safety (with cables) at Mine Site" u="1"/>
        <s v="Exploration Soft-Wall Camp" u="1"/>
        <s v="Spread A, Tertiary Cone Plant - TC-2 Lube Oil Unit" u="1"/>
        <s v="Spread B, Tertiary Cone Plant - TC-1 Lube Oil Unit" u="1"/>
        <s v="Spread C, Tertiary Cone Plant - TC-3 Lube Oil Unit" u="1"/>
        <s v="Mobilization of Workers Required for Reclamation - 2016" u="1"/>
        <s v="Q1 Quarry (addional maringal increase in 2017)" u="1"/>
        <s v="Reclaim Sampler Tower, Mill VM 0604 MM-H - Discharge Chute Ass'y" u="1"/>
        <s v="MAINTENANCE FUEL/LUBE TRUCK ,  " u="1"/>
        <s v="Spread A, Primary Screen Plant - PS-2 Cross Conveyor Belt Idlers" u="1"/>
        <s v="Spread B, Primary Screen Plant - PS-1 Cross Conveyor Belt Idlers" u="1"/>
        <s v="Spread C, Primary Screen Plant - PS-3 Cross Conveyor Belt Idlers" u="1"/>
        <s v="Spread A, Primary Screen Plant - PS-2 Cross Conveyor Belt" u="1"/>
        <s v="Spread B, Primary Screen Plant - PS-1 Cross Conveyor Belt" u="1"/>
        <s v="Spread C, Primary Screen Plant - PS-3 Cross Conveyor Belt" u="1"/>
        <s v="Diesel Module,Vehicule Dispensing System - Vehicule Filter Ass'y #1" u="1"/>
        <s v="Shiploader SL 01, Boom Conveyor - Electrical Controls" u="1"/>
        <s v="Shiploader SL 02, Boom Conveyor - Electrical Controls" u="1"/>
        <s v="Diesel Mod 1, Vehicle Dispensing System - Vehicule Hose Reel #3" u="1"/>
        <s v="Spread A, Secondary Cone Plant - SC-1 Cone Crusher Frame Ass'y" u="1"/>
        <s v="Spread B, Secondary Cone Plant - SC-2 Cone Crusher Frame Ass'y" u="1"/>
        <s v="Spread C, Secondary Cone Plant - SC-3 Cone Crusher Frame Ass'y" u="1"/>
        <s v="Spread A, Twin Screen Plant - SS-2 Bottom Cross ConvBelt Head Pulley" u="1"/>
        <s v="Spread A, Twin Screen Plant - SS-2 Prim Underscreen Conv Head Pulley" u="1"/>
        <s v="Spread B, Twin Screen Plant - SS-1 Bottom Cross ConvBelt Head Pulley" u="1"/>
        <s v="Spread B, Twin Screen Plant - SS-1 Prim Underscreen Conv Head Pulley" u="1"/>
        <s v="Spread C, Twin Screen Plant - SS-3 Bottom Cross ConvBelt Head Pulley" u="1"/>
        <s v="Spread C, Twin Screen Plant - SS-3 Prim Underscreen Conv Head Pulley" u="1"/>
        <s v="Reclaim Feeding, Line 2 - FE-002 Under Feeder Conv Head Pulley" u="1"/>
        <s v="Reclaim Feeding, Line 3 - FE-003 Under Feeder Conv Head Pulley" u="1"/>
        <s v="Reclaim Feeding, Line 4 - FE-004 Under Feeder Conv Head Pulley" u="1"/>
        <s v="Fuel - 2015 A" u="1"/>
        <s v="Spread A, Twin Screen Plant - SS-2 Bottom Cross Conveyor Belt" u="1"/>
        <s v="Spread B, Twin Screen Plant - SS-1 Bottom Cross Conveyor Belt" u="1"/>
        <s v="Spread C, Twin Screen Plant - SS-3 Bottom Cross Conveyor Belt" u="1"/>
        <s v="Spread B, Twin Screen Plant - Twin Screen Plant, SS-1" u="1"/>
        <s v="Spread A, Lumps Discharge - C-2 Conveyor Belt Drive Ass'y" u="1"/>
        <s v="Spread B, Lumps Discharge - C-4 Conveyor Belt Drive Ass'y" u="1"/>
        <s v="Spread C, Fine Discharge - C-12 Conveyor Belt Drive Ass'y" u="1"/>
        <s v="Spread A, Tertiary Cone Plant - TC-2 Cone Crusher Head Ass'y" u="1"/>
        <s v="Spread B, Tertiary Cone Plant - TC-1 Cone Crusher Head Ass'y" u="1"/>
        <s v="Spread C, Tertiary Cone Plant - TC-3 Cone Crusher Head Ass'y" u="1"/>
        <s v="TANK  - ARCTIC DIESEL TANK (500 Kl)_x000a_H: 9140 " u="1"/>
        <s v="Spread A, Tertiary Cone Plant - TC-2 Feed Conveyor Head Pulley" u="1"/>
        <s v="Spread B, Tertiary Cone Plant - TC-1 Feed Conveyor Head Pulley" u="1"/>
        <s v="Spread C, Tertiary Cone Plant - TC-3 Feed Conveyor Head Pulley" u="1"/>
        <s v="Utility Pad (North West Pad)" u="1"/>
        <s v="Spread A, Primary Jaw Plant - PJ-2 Under Crusher Conv Elect Controls" u="1"/>
        <s v="Spread A, Twin Screen Plant - SS-2 Second Screen Deck Elect Controls" u="1"/>
        <s v="Spread B, Primary Jaw Plant - PJ-1 Under Crusher Conv Elect Controls" u="1"/>
        <s v="Spread B, Twin Screen Plant - SS-1 Second Screen Deck Elect Controls" u="1"/>
        <s v="Spread C, Primary Jaw Plant - PJ-3 Under Crusher Conv Elect Controls" u="1"/>
        <s v="Spread C, Twin Screen Plant - SS-3 Second Screen Deck Elect Controls" u="1"/>
        <s v="Shiploader SL 01, Telesc. ChuteDedusting - Absorbant Air Dryer" u="1"/>
        <s v="Shiploader SL 02, Telesc. ChuteDedusting - Absorbant Air Dryer" u="1"/>
        <s v="Spread A, Control Room - Spread A, PJ Heater #1 Feeder Breaker" u="1"/>
        <s v="Spread A, Control Room - Spread A, PJ Heater #2 Feeder Breaker" u="1"/>
        <s v="Spread B, Control Room - Spread B, PJ Heater #1 Feeder Breaker" u="1"/>
        <s v="Spread B, Control Room - Spread B, PJ Heater #2 Feeder Breaker" u="1"/>
        <s v="Diesel Mod 1, Vehicle Dispensing System - Vehicule Hose Reel #1" u="1"/>
        <s v="Reclaim Sampler Tower, Mill VM 0604 MM-H - Movable Grinding Roll Drive Ass'y" u="1"/>
        <s v="MAINTENANCE FRONT END LOADER,  " u="1"/>
        <s v="Spread A, Twin Screen Plant - Twin Screen Plant, SS-2" u="1"/>
        <s v="Shiploader SL 01, Boom Swivel System - Slewing Gear Bearing Ass'y (Bottom)" u="1"/>
        <s v="Shiploader SL 02, Boom Swivel System - Slewing Gear Bearing Ass'y (Bottom)" u="1"/>
        <s v="MOBILE EQUIPMENT  - FREIGHT HAUL TRACTOR - PETERBILT 367  " u="1"/>
        <s v="Reclaim Belt Conveyor - Carrying Idlers Rolls" u="1"/>
        <s v="Reclaim Belt Conveyor - Training Idlers Rolls" u="1"/>
        <s v="Shiploader SL 01, Boom Swivel System - Slewing Bearing Ass'y (Top)" u="1"/>
        <s v="Shiploader SL 02, Boom Swivel System - Slewing Bearing Ass'y (Top)" u="1"/>
        <s v="Reclaim Feeding, Line 2 - FE-002 Under Feeder Conv Tail Pulley" u="1"/>
        <s v="Reclaim Feeding, Line 3 - FE-003 Under Feeder Conv Tail Pulley" u="1"/>
        <s v="Reclaim Feeding, Line 4 - FE-004 Under Feeder Conv Tail Pulley" u="1"/>
        <s v="MINE HAUL TRUCK ,  " u="1"/>
        <s v="Spread C, Twin Screen Plant - Twin Screen Plant, SS-3" u="1"/>
        <s v="Incinerator for 350 man temporary soft-walled camp at Milne Port" u="1"/>
        <s v="Spread A, Tertiary Cone Plant - TC-2 Feed Conveyor Tail Pulley" u="1"/>
        <s v="Spread B, Tertiary Cone Plant - TC-1 Feed Conveyor Tail Pulley" u="1"/>
        <s v="Spread C, Tertiary Cone Plant - TC-3 Feed Conveyor Tail Pulley" u="1"/>
        <s v="Spread B, Control Room - Spread B, Crusher B Starter (Spare)" u="1"/>
        <s v="Mobilization of Workers Required for Reclamation - 2015 R" u="1"/>
        <s v="Polishing Waste Stabilization Pond #2" u="1"/>
        <s v="Spread A, Secondary Cone Plant - SC-1 Lube Oil Unit" u="1"/>
        <s v="Spread B, Secondary Cone Plant - SC-2 Lube Oil Unit" u="1"/>
        <s v="Spread C, Secondary Cone Plant - SC-3 Lube Oil Unit" u="1"/>
        <s v="Spread B, Primary Jaw Plant - PJ1 Under Crusher Conveyor" u="1"/>
        <s v="Intermediate Conveyor (Link) - Head Pulley Ass'y" u="1"/>
        <s v="Intermediate Conveyor (Link) - Tail Pulley Ass'y" u="1"/>
        <s v="Potable Water System for 800 man camp at Mine Site" u="1"/>
        <s v="STOCKPILE MOBILE FEEDER ,  " u="1"/>
        <s v="TANKS - ADDITIONAL 2017 SEA LIFT" u="1"/>
        <s v="Spread B, Primary Jaw Plant - PJ1 Jaw Crusher" u="1"/>
        <s v="Diesel Module - Enclosure" u="1"/>
        <s v="Reclaim Belt Conveyor - Bend Pulley (Drive-House-North)" u="1"/>
        <s v="Spread A, Secondary Cone Feed - C-5 Conveyor Belt Idlers" u="1"/>
        <s v="Spread B, Secondary Cone Feed - C-1 Conveyor Belt Idlers" u="1"/>
        <s v="Spread C, Secondary Cone Feed - C-9 Conveyor Belt Idlers" u="1"/>
        <s v="Reclaim Sampler Tower, Dosing Conveyor - Belting" u="1"/>
        <s v="Diesel Module, Truck Loading System - Scully Over Fill Protection" u="1"/>
        <s v="Spread A, Twin Screen Plant - SS-2 Bottom Cross ConvBelt ElectControls" u="1"/>
        <s v="Spread B, Twin Screen Plant - SS-1 Bottom Cross ConvBelt ElectControls" u="1"/>
        <s v="Spread C, Twin Screen Plant - SS-3 Bottom Cross ConvBelt ElectControls" u="1"/>
        <s v="Shiploader SL 01, Boom Swivel System - Slewing Storm Latching Device" u="1"/>
        <s v="Shiploader SL 02, Boom Swivel System - Slewing Storm Latching Device" u="1"/>
        <s v="Shiploader SL 01, Telescopic Chute - Auxiliary Winch" u="1"/>
        <s v="Shiploader SL 02, Telescopic Chute - Auxiliary Winch" u="1"/>
        <s v="Fuel - 2015 R" u="1"/>
        <s v="Spread C, Twin Screen Plant - SS-3 Bottom CrossConv Scrapper" u="1"/>
        <s v="Shiploader SL 01, Electrical - E-House Dust Collector System DU004" u="1"/>
        <s v="ORE HAUL TRUCK WORKSHOP OFFICE WASHCAR RAW WATER PUMP,  " u="1"/>
        <s v="Shiploader SL 01, Electrical - HVAC" u="1"/>
        <s v="Shiploader SL 02, Electrical - HVAC" u="1"/>
        <s v="Shiploader SL 01, Boom Swivel System - Structure" u="1"/>
        <s v="Shiploader SL 02, Boom Swivel System - Structure" u="1"/>
        <s v="Spread A, Control Room - Spread A, SS Bottom Cross Conv Starter" u="1"/>
        <s v="Spread B, Control Room - Spread B, SS Bottom Cross Conv Starter" u="1"/>
        <s v="Diesel Mod 1, GEN Set Feed System - GEN Set Flow Meter" u="1"/>
        <s v="Diesel Module, Truck Loading System - Truck Flow Meter" u="1"/>
        <s v="Accommodation – East side" u="1"/>
        <s v="Supervision, Project Management &amp; Contract Administration -2016" u="1"/>
        <s v="Spread A, Primary Jaw Plant - PJ-2 Feeder Eccentric Shaft Ass'y" u="1"/>
        <s v="Spread B, Primary Jaw Plant - PJ-1 Feeder Eccentric Shaft Ass'y" u="1"/>
        <s v="Spread C, Primary Jaw Plant - PJ-3 Feeder Eccentric Shaft Ass'y" u="1"/>
        <s v="CONTAINER HANDLER ,  " u="1"/>
        <s v="Spread A, Primary Jaw Plant - PJ-2 Rock Breaker" u="1"/>
        <s v="Spread C, Primary Jaw Plant - PJ-3 Rock Breaker" u="1"/>
        <s v="   WELDING RECEPTACLE  " u="1"/>
        <s v="Spread A, Control Room - Spread A, PS Feed Conv Starter" u="1"/>
        <s v="Spread A, Control Room - Spread A, SC Feed Conv Starter" u="1"/>
        <s v="Spread A, Control Room - Spread A, TC Feed Conv Starter" u="1"/>
        <s v="Spread B, Control Room - Spread B, PS Feed Conv Starter" u="1"/>
        <s v="Spread B, Control Room - Spread B, SC Feed Conv Starter" u="1"/>
        <s v="Spread B, Control Room - Spread B, TC Feed Conv Starter" u="1"/>
        <s v="Heavy Mobile Equipment (make up for typical fleet)" u="1"/>
        <s v="Spread A, Primary Jaw Plant - PJ-2 Rock Breaker Hyd Unit Oil Cooler" u="1"/>
        <s v="Spread B, Primary Jaw Plant - PJ-1 Rock Breaker Hyd Unit Oil Cooler" u="1"/>
        <s v="Spread C, Primary Jaw Plant - PJ-3 Rock Breaker Hyd Unit Oil Cooler" u="1"/>
        <s v="CRUSHER  - SECONDARY CRUSHING PLANT LINE 4 - METSO HP400 _x000a_L: 2370, W: 2370, H: 1600, 23000 kg" u="1"/>
        <s v="MOBILE LIGHT PLANT,  " u="1"/>
        <s v="Mobilization and Demobilization of Equipment and Materials by Sealift -2016" u="1"/>
        <s v="Off-Site Disposal of Waste &amp; Material -2015 A" u="1"/>
        <s v="Reclaim Belt Conveyor - Spare Belt Reel" u="1"/>
        <s v="Spread A, Tertiary Cone Plant - TC-2 Feed Conveyor Belting" u="1"/>
        <s v="Spread B, Tertiary Cone Plant - TC-1 Feed Conveyor Belting" u="1"/>
        <s v="Spread C, Tertiary Cone Plant - TC-3 Feed Conveyor Belting" u="1"/>
        <s v="Spread A, Twin Screen Plant - SS-2 Primary Screen Deck (7' X 20')" u="1"/>
        <s v="Spread B, Twin Screen Plant - SS-1 Primary Screen Deck (7' X 20')" u="1"/>
        <s v="Spread C, Twin Screen Plant - SS-3 Primary Screen Deck (7' X 20')" u="1"/>
        <s v="Spread A, Primary Jaw Plant - PJ-2 Feeder Elec Controls" u="1"/>
        <s v="Spread B, Primary Jaw Plant - PJ-1 Feeder Elec Controls" u="1"/>
        <s v="Spread C, Primary Jaw Plant - PJ-3 Feeder Elec Controls" u="1"/>
        <s v="Reclaim Belt Conveyor - Belt Covers (Hood)" u="1"/>
        <s v="TRUCK WASH FACILITY, VENDOR PACKAGE ,  " u="1"/>
        <s v="Spread A, Primary Jaw Plant - PJ-2 Jaw Hyd Unit Pump Ass'y" u="1"/>
        <s v="Spread A, Secondary Cone Plant - SC-1 Hydraulic Pump Ass'y" u="1"/>
        <s v="Spread B, Primary Jaw Plant - PJ-1 Jaw Hyd Unit Pump Ass'y" u="1"/>
        <s v="Spread B, Secondary Cone Plant - SC-2 Hydraulic Pump Ass'y" u="1"/>
        <s v="Spread C, Primary Jaw Plant - PJ-3 Jaw Hyd Unit Pump Ass'y" u="1"/>
        <s v="Spread C, Secondary Cone Plant - SC-3 Hydraulic Pump Ass'y" u="1"/>
        <s v="Spread A, Twin Screen Plant - SS-2 Sec Over Screen Conv Idlers" u="1"/>
        <s v="Spread B, Twin Screen Plant - SS-1 Sec Over Screen Conv Idlers" u="1"/>
        <s v="Spread C, Twin Screen Plant - SS-3 Sec Over Screen Conv Idlers" u="1"/>
        <s v="Intermediate Conv, Take Up Section - Weight &amp; Cable" u="1"/>
        <s v="Spread A, Primary Screen Plant - Primary Screen Plant, PS-2" u="1"/>
        <s v="Reclaim Sampler Tower, Dosing Conveyor - Drive Ass'y" u="1"/>
        <s v="HOB002, Hot Box Heater 1,100,000 BTU" u="1"/>
        <s v="HOB003, Hot Box Heater 1,100,000 BTU" u="1"/>
        <s v="HOB005, Hot Box Heater 1,100,000 BTU" u="1"/>
        <s v="HOB006, Hot Box Heater 1,100,000 BTU" u="1"/>
        <s v="Spread A, Secondary Cone Plant - SC-1 Dischage Conveyor Tail Pulley" u="1"/>
        <s v="Spread A, Twin Screen Plant - SS-2 Sec Over Screen Conv Tail Pulley" u="1"/>
        <s v="Spread B, Secondary Cone Plant - SC-2 Dischage Conveyor Tail Pulley" u="1"/>
        <s v="Spread B, Twin Screen Plant - SS-1 Sec Over Screen Conv Tail Pulley" u="1"/>
        <s v="Spread C, Secondary Cone Plant - SC-3 Dischage Conveyor Tail Pulley" u="1"/>
        <s v="Spread C, Twin Screen Plant - SS-3 Sec Over Screen Conv Tail Pulley" u="1"/>
        <s v="Spread B, Primary Jaw Plant - C125 Primary Jaw Plant, PJ1" u="1"/>
        <s v="Spread B, Primary Jaw Plant - PJ1 Feeder (52&quot; X 24')" u="1"/>
        <s v="Spread C, Lumps Discharge - C-11 Conveyor Cleaner Scrapper" u="1"/>
        <s v="Spread C, Twin Screen Plant - SS-3 Top Cross Conv Scrapper" u="1"/>
        <s v="Spread A, Twin Screen Plant - SS-2 Primary Screen Deck Eccentric Ass'y" u="1"/>
        <s v="Spread B, Tertiary Cone Plant - TC-1 Cone Crusher Cone Eccentric Ass'y" u="1"/>
        <s v="Spread B, Twin Screen Plant - SS-1 Primary Screen Deck Eccentric Ass'y" u="1"/>
        <s v="Spread C, Twin Screen Plant - SS-3 Primary Screen Deck Eccentric Ass'y" u="1"/>
        <s v="Welcome Shack  - Demolish and foundations - Timber Cribbing to Elevate Building" u="1"/>
        <s v="Shiploader SL 01, Boom Conveyor - Discharge Chute Ass'y" u="1"/>
        <s v="Shiploader SL 02, Boom Conveyor - Discharge Chute Ass'y" u="1"/>
        <s v="Spread A, Fine Discharge - C-7 Conveyor Belt Tail Pulley" u="1"/>
        <s v="Spread A, Primary Screen Plant - PS-2 Feeder Tail Pulley" u="1"/>
        <s v="Spread B, Fine Discharge - C-6 Conveyor Belt Tail Pulley" u="1"/>
        <s v="Spread B, Primary Screen Plant - PS-1 Feeder Tail Pulley" u="1"/>
        <s v="Spread C, Primary Screen Plant - PS-3 Feeder Tail Pulley" u="1"/>
        <s v="Spread A, Primary Screen Plant - PS-2 Under Screen Conveyor Drive Ass'y" u="1"/>
        <s v="Spread B, Primary Screen Plant - PS-1 Under Screen Conveyor Drive Ass'y" u="1"/>
        <s v="Spread C, Primary Screen Plant - PS-3 Under Screen Conveyor Drive Ass'y" u="1"/>
        <s v="Spread B, Primary Jaw Plant - PJ1 Plant Bed" u="1"/>
        <s v="Spread C, Primary Screen Plant - PS-3 Over Screen Conv Cleaner &amp; Scrapper" u="1"/>
        <s v="Spread C, Primary Screen Plant Discharge - C-10 Conveyor Cleaner Scrapper" u="1"/>
        <s v="Shiploader SL 01, Operator Cabin - Dust Collector system DU010 (UMA 72)" u="1"/>
        <s v="Shiploader SL 02, Operator Cabin - Dust Collector system DU009 (UMA 72)" u="1"/>
        <s v="Off-Site Disposal of Waste &amp; Material -2015 R" u="1"/>
        <s v="Contingency" u="1"/>
        <s v="Reclaim Belt Conveyor - Head Pulley Ass'y" u="1"/>
        <s v="Reclaim Belt Conveyor - Snub Pulley Ass'y" u="1"/>
        <s v="Reclaim Belt Conveyor - Tail Pulley Ass'y" u="1"/>
        <s v="Spread A, Primary Jaw Plant - C125 Primary Jaw Plant, PJ-2" u="1"/>
        <s v="Reclaim Feeding, Line 2 - FE-002 Under Feeder Conv Drive Ass'y" u="1"/>
        <s v="Reclaim Feeding, Line 3 - FE-003 Under Feeder Conv Drive Ass'y" u="1"/>
        <s v="Reclaim Feeding, Line 4 - FE-004 Under Feeder Conv Drive Ass'y" u="1"/>
        <s v="STOCKPILE MOBILE STACKER ,  " u="1"/>
        <s v="Oxbow roads " u="1"/>
        <s v="Spread A, Secondary Cone Plant - SC-1 Dischage Conveyor Head Pulley" u="1"/>
        <s v="Spread A, Twin Screen Plant - SS-2 Sec Over Screen Conv Head Pulley" u="1"/>
        <s v="Spread B, Secondary Cone Plant - SC-2 Dischage Conveyor Head Pulley" u="1"/>
        <s v="Spread B, Twin Screen Plant - SS-1 Sec Over Screen Conv Head Pulley" u="1"/>
        <s v="Spread C, Secondary Cone Plant - SC-3 Dischage Conveyor Head Pulley" u="1"/>
        <s v="Spread C, Twin Screen Plant - SS-3 Sec Over Screen Conv Head Pulley" u="1"/>
        <s v="Spread A, Secondary Cone Plant - SC-1 Cone Crusher Drive Ass'y" u="1"/>
        <s v="Spread A, Tertiary Cone Plant - TC-2 Feed Conveyor Drive Ass'y" u="1"/>
        <s v="Spread B, Secondary Cone Plant - SC-2 Cone Crusher Drive Ass'y" u="1"/>
        <s v="Spread B, Tertiary Cone Plant - TC-1 Feed Conveyor Drive Ass'y" u="1"/>
        <s v="Spread C, Secondary Cone Plant - SC-3 Cone Crusher Drive Ass'y" u="1"/>
        <s v="Spread C, Tertiary Cone Plant - TC-3 Feed Conveyor Drive Ass'y" u="1"/>
        <s v="BOOM TRUCK,  " u="1"/>
        <s v="PASSENGER TRANSFER BUS ,  " u="1"/>
        <s v="MOBILE EQUIPMENT  - GANTRY CRANE" u="1"/>
        <s v="Spread A, Twin Screen Plant - SS-2 Primary Underscreen Conv Belting" u="1"/>
        <s v="Spread B, Twin Screen Plant - SS-1 Primary Underscreen Conv Belting" u="1"/>
        <s v="Spread C, Twin Screen Plant - SS-3 Primary Underscreen Conv Belting" u="1"/>
        <s v="Contingency - 2015" u="1"/>
        <s v="Spread A, Primary Screen Plant Discharge - C-8 Conveyor Belt Tail Pulley" u="1"/>
        <s v="Spread B, Primary Screen Plant Discharge - C-3 Conveyor Belt Tail Pulley" u="1"/>
        <s v="MOBILE EQUIPMENT  - INTEGRATED TOOLCARRIER CAT IT38" u="1"/>
        <s v="Spread A, Primary Screen Plant - PS-2 Screen Deck Eccentric Ass'y" u="1"/>
        <s v="Spread A, Tertiary Cone Plant - TC-2 Cone Crusher Eccentric Ass'y" u="1"/>
        <s v="Spread B, Primary Screen Plant - PS-1 Screen Deck Eccentric Ass'y" u="1"/>
        <s v="Spread C, Primary Screen Plant - PS-3 Screen Deck Eccentric Ass'y" u="1"/>
        <s v="Spread C, Tertiary Cone Plant - TC-3 Cone Crusher Eccentric Ass'y" u="1"/>
        <s v="Spread A, Tertiary Cone Plant - TC-2 Dischage Conveyor Belting" u="1"/>
        <s v="Spread B, Tertiary Cone Plant - TC-1 Dischage Conveyor Belting" u="1"/>
        <s v="Spread C, Tertiary Cone Plant - TC-3 Dischage Conveyor Belting" u="1"/>
        <s v="Spread A, Tertiary Cone Plant - TC-2 Dischage Conveyor Idlers" u="1"/>
        <s v="Spread B, Tertiary Cone Plant - TC-1 Dischage Conveyor Idlers" u="1"/>
        <s v="Spread C, Tertiary Cone Plant - TC-3 Dischage Conveyor Idlers" u="1"/>
        <s v="Haul Road – culverts" u="1"/>
        <s v="Reclaim Feeding, Line 2 - FE-002 Feeder Discharge Conv Idlers" u="1"/>
        <s v="Reclaim Feeding, Line 3 - FE-003 Feeder Discharge Conv Idlers" u="1"/>
        <s v="Reclaim Feeding, Line 4 - FE-004 Feeder Discharge Conv Idlers" u="1"/>
        <s v="Diesel Module, Truck Loading System - Truck Ground Reel" u="1"/>
        <s v="Spread A, Control Room - Spread A, Main PLC" u="1"/>
        <s v="Spread B, Control Room - Spread B, Main PLC" u="1"/>
        <s v="Spread C, Lumps Discharge - C-11 Conveyor Belt Tail Pulley" u="1"/>
        <s v="Shiploader SL 01, Telescopic Chute - Telescopic Tube Ass'y" u="1"/>
        <s v="Shiploader SL 02, Telescopic Chute - Telescopic Tube Ass'y" u="1"/>
        <s v="Jet A1 Module, Waste Fuel Tank - Filter Drain Pump" u="1"/>
        <s v="P6 Quarry" u="1"/>
        <s v="   HEATER/ILLUMINATION OUTDOOR/INDOOR SWITCH GEAR  " u="1"/>
        <s v="Reclaim Feeding, Line 2 - FE-002 Feeder Discharge Conv Belting" u="1"/>
        <s v="Reclaim Feeding, Line 3 - FE-003 Feeder Discharge Conv Belting" u="1"/>
        <s v="Reclaim Feeding, Line 4 - FE-004 Feeder Discharge Conv Belting" u="1"/>
        <s v="WORKER TRANSFER MINI BUS ,  " u="1"/>
        <s v="Spread A, Primary Screen Plant - PS-2 Under Screen Conveyor Belting" u="1"/>
        <s v="Spread B, Primary Screen Plant - PS-1 Under Screen Conveyor Belting" u="1"/>
        <s v="Spread C, Primary Screen Plant - PS-3 Under Screen Conveyor Belting" u="1"/>
        <s v="Worker Accommodation &amp; Camp Operation - 2015 A" u="1"/>
        <s v="Reclaim Sampler Tower, Dosing Conveyor - Head Pulley Ass'y" u="1"/>
        <s v="Reclaim Sampler Tower, Dosing Conveyor - Tail Pulley Ass'y" u="1"/>
        <s v="Shiploader SL 01, Operator Cabin - Electrical Switchboard" u="1"/>
        <s v="Shiploader SL 02, Operator Cabin - Electrical Switchboard" u="1"/>
        <s v="Spread A, Secondary Cone Plant - HP400 Secondary Cone Plant, SC-1" u="1"/>
        <s v="Intermediate Conveyor (Link) - Drive Ass'y" u="1"/>
        <s v="Marine Manifold Relocation - Additonal Piping" u="1"/>
        <s v="Spread A, Primary Jaw Plant - PJ-2 Feeder Base Ass'y" u="1"/>
        <s v="Spread B, Primary Jaw Plant - PJ-1 Feeder Base Ass'y" u="1"/>
        <s v="Spread C, Primary Jaw Plant - PJ-3 Feeder Base Ass'y" u="1"/>
        <s v="Spread C, Primary Screen Plant - PS-3 Cross Conv Belt Cleaner &amp; Scrapper" u="1"/>
        <s v="PICKUP TRUCK,  " u="1"/>
        <s v="Spread A, Primary Jaw Plant - PJ-2 Plant Bed" u="1"/>
        <s v="Spread A, Twin Screen Plant - SS-2 Plant Bed" u="1"/>
        <s v="Spread B, Twin Screen Plant - SS-1 Plant Bed" u="1"/>
        <s v="Spread C, Primary Jaw Plant - PJ-3 Plant Bed" u="1"/>
        <s v="Spread C, Twin Screen Plant - SS-3 Plant Bed" u="1"/>
        <s v="Spread A, Primary Screen Plant Discharge - C-8 Conveyor Belt Belting" u="1"/>
        <s v="Spread B, Primary Screen Plant Discharge - C-3 Conveyor Belt Belting" u="1"/>
        <s v="Mobilization of Workers Required for Reclamation -2015" u="1"/>
        <s v="Spread A, Control Room - Spread A, PS Cross Conv Starter" u="1"/>
        <s v="Spread B, Control Room - Spread B, PS Cross Conv Starter" u="1"/>
        <s v="Diesel Module, Truck Loading System - Truck Hose Reel" u="1"/>
        <s v="FRF001, Frost Fighter Heater 350,000 BTU" u="1"/>
        <s v="FRF002, Frost Fighter Heater 350,000 BTU" u="1"/>
        <s v="FRF003, Frost Fighter Heater 350,000 BTU" u="1"/>
        <s v="FRF004, Frost Fighter Heater 350,000 BTU" u="1"/>
        <s v="FRF005, Frost Fighter Heater 350,000 BTU" u="1"/>
        <s v="FRF007, Frost Fighter Heater 350,000 BTU" u="1"/>
        <s v="FRF010, Frost Fighter Heater 350,000 BTU" u="1"/>
        <s v="FRF012, Frost Fighter Heater 350,000 BTU" u="1"/>
        <s v="FRF013, Frost Fighter Heater 350,000 BTU" u="1"/>
        <s v="FRF015, Frost Fighter Heater 350,000 BTU" u="1"/>
        <s v="FRF016, Frost Fighter Heater 350,000 BTU" u="1"/>
        <s v="FRF017, Frost Fighter Heater 350,000 BTU" u="1"/>
        <s v="FRF018, Frost Fighter Heater 350,000 BTU" u="1"/>
        <s v="FRF019, Frost Fighter Heater 350,000 BTU" u="1"/>
        <s v="FRF022, Frost Fighter Heater 350,000 BTU" u="1"/>
        <s v="FRF024, Frost Fighter Heater 350,000 BTU" u="1"/>
        <s v="FRF025, Frost Fighter Heater 350,000 BTU" u="1"/>
        <s v="FRF027, Frost Fighter Heater 350,000 BTU" u="1"/>
        <s v="FRF029, Frost Fighter Heater 350,000 BTU" u="1"/>
        <s v="FRF030, Frost Fighter Heater 350,000 BTU" u="1"/>
        <s v="FRF031, Frost Fighter Heater 350,000 BTU" u="1"/>
        <s v="FRF032, Frost Fighter Heater 350,000 BTU" u="1"/>
        <s v="FRF033, Frost Fighter Heater 350,000 BTU" u="1"/>
        <s v="FRF034, Frost Fighter Heater 350,000 BTU" u="1"/>
        <s v="FRF035, Frost Fighter Heater 350,000 BTU" u="1"/>
        <s v="FRF036, Frost Fighter Heater 350,000 BTU" u="1"/>
        <s v="FRF037, Frost Fighter Heater 350,000 BTU" u="1"/>
        <s v="FRF038, Frost Fighter Heater 350,000 BTU" u="1"/>
        <s v="FRF039, Frost Fighter Heater 350,000 BTU" u="1"/>
        <s v="FRF041, Frost Fighter Heater 350,000 BTU" u="1"/>
        <s v="FRF042, Frost Fighter Heater 350,000 BTU" u="1"/>
        <s v="FRF043, Frost Fighter Heater 350,000 BTU" u="1"/>
        <s v="FRF044, Frost Fighter Heater 350,000 BTU" u="1"/>
        <s v="FRF045, Frost Fighter Heater 350,000 BTU" u="1"/>
        <s v="FRF046, Frost Fighter Heater 350,000 BTU" u="1"/>
        <s v="FRF047, Frost Fighter Heater 350,000 BTU" u="1"/>
        <s v="FRF048, Frost Fighter Heater 350,000 BTU" u="1"/>
        <s v="FRF049, Frost Fighter Heater 350,000 BTU" u="1"/>
        <s v="FRF050, Frost Fighter Heater 350,000 BTU" u="1"/>
        <s v="FRF051, Frost Fighter Heater 350,000 BTU" u="1"/>
        <s v="FRF052, Frost Fighter Heater 350,000 BTU" u="1"/>
        <s v="FRF053, Frost Fighter Heater 350,000 BTU" u="1"/>
        <s v="FRF054, Frost Fighter Heater 350,000 BTU" u="1"/>
        <s v="FRF055, Frost Fighter Heater 350,000 BTU" u="1"/>
        <s v="FRF056, Frost Fighter Heater 350,000 BTU" u="1"/>
        <s v="FRF057, Frost Fighter Heater 350,000 BTU" u="1"/>
        <s v="FRF058, Frost Fighter Heater 350,000 BTU" u="1"/>
        <s v="FRF059, Frost Fighter Heater 350,000 BTU" u="1"/>
        <s v="FRF060, Frost Fighter Heater 350,000 BTU" u="1"/>
        <s v="FRF061, Frost Fighter Heater 350,000 BTU" u="1"/>
        <s v="FRF062, Frost Fighter Heater 350,000 BTU" u="1"/>
        <s v="FRF063, Frost Fighter Heater 350,000 BTU" u="1"/>
        <s v="FRF064, Frost Fighter Heater 350,000 BTU" u="1"/>
        <s v="FRF065, Frost Fighter Heater 350,000 BTU" u="1"/>
        <s v="FRF066, Frost Fighter Heater 350,000 BTU" u="1"/>
        <s v="FRF067, Frost Fighter Heater 350,000 BTU" u="1"/>
        <s v="FRF068, Frost Fighter Heater 350,000 BTU" u="1"/>
        <s v="FRF069, Frost Fighter Heater 350,000 BTU" u="1"/>
        <s v="FRF070, Frost Fighter Heater 350,000 BTU" u="1"/>
        <s v="FRF071, Frost Fighter Heater 350,000 BTU" u="1"/>
        <s v="FRF072, Frost Fighter Heater 350,000 BTU" u="1"/>
        <s v="FRF073, Frost Fighter Heater 350,000 BTU" u="1"/>
        <s v="FRF074, Frost Fighter Heater 350,000 BTU" u="1"/>
        <s v="FRF075, Frost Fighter Heater 350,000 BTU" u="1"/>
        <s v="FRF076, Frost Fighter Heater 350,000 BTU" u="1"/>
        <s v="FRF077, Frost Fighter Heater 350,000 BTU" u="1"/>
        <s v="FRF078, Frost Fighter Heater 350,000 BTU" u="1"/>
        <s v="FRF079, Frost Fighter Heater 350,000 BTU" u="1"/>
        <s v="FRF080, Frost Fighter Heater 350,000 BTU" u="1"/>
        <s v="FRF081, Frost Fighter Heater 350,000 BTU" u="1"/>
        <s v="FRF082, Frost Fighter Heater 350,000 BTU" u="1"/>
        <s v="FRF083, Frost Fighter Heater 350,000 BTU" u="1"/>
        <s v="FRF084, Frost Fighter Heater 350,000 BTU" u="1"/>
        <s v="FRF085, Frost Fighter Heater 350,000 BTU" u="1"/>
        <s v="FRF086, Frost Fighter Heater 350,000 BTU" u="1"/>
        <s v="FRF087, Frost Fighter Heater 350,000 BTU" u="1"/>
        <s v="FRF088, Frost Fighter Heater 350,000 BTU" u="1"/>
        <s v="FRF089, Frost Fighter Heater 350,000 BTU" u="1"/>
        <s v="FRF090, Frost Fighter Heater 350,000 BTU" u="1"/>
        <s v="FRF091, Frost Fighter Heater 350,000 BTU" u="1"/>
        <s v="FRF092, Frost Fighter Heater 350,000 BTU" u="1"/>
        <s v="FRF093, Frost Fighter Heater 350,000 BTU" u="1"/>
        <s v="FRF094, Frost Fighter Heater 350,000 BTU" u="1"/>
        <s v="Shiploader SL 02, Electrical - E-House Dust Collector System DU008" u="1"/>
        <s v="Spread A, Control Room - Spread A Operator Station" u="1"/>
        <s v="Spread B, Control Room - Spread B Operator Station" u="1"/>
        <s v="Engineering Fees -2015 A" u="1"/>
        <s v="Spread A, Fine Discharge - C-7 Conveyor Belt Idlers" u="1"/>
        <s v="Spread B, Fine Discharge - C-6 Conveyor Belt Idlers" u="1"/>
        <s v="JUMP CONVEYOR,  " u="1"/>
        <s v="Spread A, Control Room - Spread A, SS Secondary Screen Starter" u="1"/>
        <s v="Spread B, Control Room - Spread B, SS Secondary Screen Starter" u="1"/>
        <s v="Fill Application" u="1"/>
        <s v="PRIMARY SCREENING PLANT LINE 4 - METSO FS303" u="1"/>
        <s v="Spread A, Fine Discharge - C-7 Conveyor Belt Electrical Controls" u="1"/>
        <s v="Spread A, Primary Screen Plant - PS-2 Feeder Electrical Controls" u="1"/>
        <s v="Spread A, Tertiary Cone Plant - TC-2 Cone Crusher Elect Controls" u="1"/>
        <s v="Spread B, Fine Discharge - C-6 Conveyor Belt Electrical Controls" u="1"/>
        <s v="Spread B, Primary Screen Plant - PS-1 Feeder Electrical Controls" u="1"/>
        <s v="Spread B, Tertiary Cone Plant - TC-1 Cone Crusher Elect Controls" u="1"/>
        <s v="Spread C, Primary Screen Plant - PS-3 Feeder Electrical Controls" u="1"/>
        <s v="Spread C, Tertiary Cone Plant - TC-3 Cone Crusher Elect Controls" u="1"/>
        <s v="Reclaim Sampler Tower, Sampler - Drive Ass'y RC01" u="1"/>
        <s v="Spread A, Primary Screen Plant - PS-2 Feeder Return Idlers" u="1"/>
        <s v="Spread B, Primary Screen Plant - PS-1 Feeder Return Idlers" u="1"/>
        <s v="Spread C, Primary Screen Plant - PS-3 Feeder Return Idlers" u="1"/>
        <s v="49-person Soft Wall Camp (previously at Steensby)" u="1"/>
        <s v="Geotechnical Inspections - 2014" u="1"/>
        <s v="GRADER,  " u="1"/>
        <s v="Shiploader SL 01, Boom Conveyor - Belt Cover Reel 1 (Feed End)" u="1"/>
        <s v="Shiploader SL 02, Boom Conveyor - Belt Cover Reel 1 (Feed End)" u="1"/>
        <s v="Spread C, Primary Screen Plant Discharge - C-10 Conveyor Belt Drive Ass'y" u="1"/>
        <s v="Reclaim Sampler Tower, Turnsile Dividers - Turnsile Divider 1 (Upper)" u="1"/>
        <s v="FRF100, Frost Fighter Heater 350,000 BTU" u="1"/>
        <s v="FRF101, Frost Fighter Heater 350,000 BTU" u="1"/>
        <s v="FRF103, Frost Fighter Heater 350,000 BTU" u="1"/>
        <s v="Spread A, Fine Discharge - C-7 Conveyor Belt Head Pulley" u="1"/>
        <s v="Spread A, Primary Screen Plant - PS-2 Feeder Head Pulley" u="1"/>
        <s v="Spread B, Fine Discharge - C-6 Conveyor Belt Head Pulley" u="1"/>
        <s v="Spread B, Primary Screen Plant - PS-1 Feeder Head Pulley" u="1"/>
        <s v="Spread C, Primary Screen Plant - PS-3 Feeder Head Pulley" u="1"/>
        <s v="Diesel Mod 1, GEN Set Feed System - GEN Set Filter Ass'y #1" u="1"/>
        <s v="Diesel Module, Truck Loading System - 400 GPM Pump Ass'y #1" u="1"/>
        <s v="Shiploader SL 01, Shuttle Travel System - Trolley Ass'y (Cabin Op-Side, Feed End)" u="1"/>
        <s v="Shiploader SL 02, Shuttle Travel System - Trolley Ass'y (Booth Op-Side, Feed End)" u="1"/>
        <s v="Spread A, Secondary Cone Plant - SC-1 Lube Oil Air Cooler" u="1"/>
        <s v="Spread B, Secondary Cone Plant - SC-2 Lube Oil Air Cooler" u="1"/>
        <s v="Spread C, Secondary Cone Plant - SC-3 Lube Oil Air Cooler" u="1"/>
        <s v="PICKUP TRUCK " u="1"/>
        <s v="Spread A, Control Room - Spread A, PS Underscreen Conv Starter" u="1"/>
        <s v="Spread B, Control Room - Spread B, PS Underscreen Conv Starter" u="1"/>
        <s v="MOBILE EQUIPMENT  - SKELETON TRAILER_x000a_" u="1"/>
        <s v="QMR2 Quarry (additional marginal inrease in 2017)" u="1"/>
        <s v="Spread B, Secondary Cone Plant - HP400 Secondary Cone Plant, SC-2" u="1"/>
        <s v="Jet A1 Module, Truck Loading System - Jet Fuel Filter" u="1"/>
        <s v="Reclaim Belt Conv, Electrical - Air Conditioning System AC01" u="1"/>
        <s v="Worker Accommodation &amp; Camp Operation - 2014" u="1"/>
        <s v="Reclaim Belt Conv, Electrical - Air Conditioning System AC02" u="1"/>
        <s v="Worker Accommodation &amp; Camp Operation - 2015 R" u="1"/>
        <s v="Spread A, Primary Jaw Plant - PJ-2 Jaw Eccentric Shaft Ass'y" u="1"/>
        <s v="Spread B, Primary Jaw Plant - PJ-1 Jaw Eccentric Shaft Ass'y" u="1"/>
        <s v="Spread C, Primary Jaw Plant - PJ-3 Jaw Eccentric Shaft Ass'y" u="1"/>
        <s v="Spread A, Primary Jaw Plant - PJ-2 Rock Breaker Hydraulic Unit" u="1"/>
        <s v="Spread C, Primary Jaw Plant - PJ-3 Rock Breaker Hydraulic Unit" u="1"/>
        <s v="Spread A, Lumps Discharge - C-2 Conveyor Belt (42&quot;X60')" u="1"/>
        <s v="Spread B, Lumps Discharge - C-4 Conveyor Belt (42&quot;X60')" u="1"/>
        <s v="Spread C, Fine Discharge - C-12 Conveyor Belt (42&quot;X60')" u="1"/>
        <s v="Intermediate Conv, 2 way Chute Feeder - ShipLoader SL 01 Feeding Chute Ass'y" u="1"/>
        <s v="Spread A, Primary Screen Plant - PS-2 Under Screen Conv Elect Controls" u="1"/>
        <s v="Spread A, Secondary Cone Plant - SC-1 Dischage Conveyor Elect Controls" u="1"/>
        <s v="Spread A, Tertiary Cone Plant - TC-2 Feed Conveyor Electrical Controls" u="1"/>
        <s v="Spread A, Twin Screen Plant - SS-2 Sec Over Screen Conv Elect Controls" u="1"/>
        <s v="Spread B, Primary Screen Plant - PS-1 Under Screen Conv Elect Controls" u="1"/>
        <s v="Spread B, Secondary Cone Plant - SC-2 Dischage Conveyor Elect Controls" u="1"/>
        <s v="Spread B, Tertiary Cone Plant - TC-1 Feed Conveyor Electrical Controls" u="1"/>
        <s v="Spread B, Twin Screen Plant - SS-1 Sec Over Screen Conv Elect Controls" u="1"/>
        <s v="Spread C, Primary Screen Plant - PS-3 Under Screen Conv Elect Controls" u="1"/>
        <s v="Spread C, Secondary Cone Plant - SC-3 Dischage Conveyor Elect Controls" u="1"/>
        <s v="Spread C, Tertiary Cone Plant - TC-3 Feed Conveyor Electrical Controls" u="1"/>
        <s v="Spread C, Twin Screen Plant - SS-3 Sec Over Screen Conv Elect Controls" u="1"/>
        <s v="Closure &amp; Post Closure Monitoring - 2014" u="1"/>
        <s v="Spread A, Primary Jaw Plant - PJ-2 Rock Break Hyd Unit Pip&amp;Components" u="1"/>
        <s v="Spread A, Primary Jaw Plant - PJ-2 Rock Breaker Hyd Piping&amp;Components" u="1"/>
        <s v="Spread A, Secondary Cone Plant - SC-1 Cone Crusher Hyd Pip&amp;Components" u="1"/>
        <s v="Spread B, Primary Jaw Plant - PJ-1 Rock Break Hyd Unit Pip&amp;Components" u="1"/>
        <s v="Spread B, Primary Jaw Plant - PJ-1 Rock Breaker Hyd Piping&amp;Components" u="1"/>
        <s v="Spread B, Secondary Cone Plant - SC-2 Cone Crusher Hyd Pip&amp;Components" u="1"/>
        <s v="Spread C, Primary Jaw Plant - PJ-3 Rock Break Hyd Unit Pip&amp;Components" u="1"/>
        <s v="Spread C, Primary Jaw Plant - PJ-3 Rock Breaker Hyd Piping&amp;Components" u="1"/>
        <s v="Spread C, Secondary Cone Plant - SC-3 Cone Crusher Hyd Pip&amp;Components" u="1"/>
        <s v="Spread A, Secondary Cone Plant - SC-1 Dischage Conveyor Drive Ass'y" u="1"/>
        <s v="Spread A, Twin Screen Plant - SS-2 Sec Over Screen Conv Drive Ass'y" u="1"/>
        <s v="Spread B, Secondary Cone Plant - SC-2 Dischage Conveyor Drive Ass'y" u="1"/>
        <s v="Spread B, Twin Screen Plant - SS-1 Sec Over Screen Conv Drive Ass'y" u="1"/>
        <s v="Spread C, Secondary Cone Plant - SC-3 Dischage Conveyor Drive Ass'y" u="1"/>
        <s v="Spread C, Twin Screen Plant - SS-3 Sec Over Screen Conv Drive Ass'y" u="1"/>
        <s v="Accommodation Extension– East side" u="1"/>
        <s v="Spread A, Control Room - Spread A, SC Discharge Conv Starter" u="1"/>
        <s v="Spread A, Control Room - Spread A, SS Top Cross Conv Starter" u="1"/>
        <s v="Spread A, Control Room - Spread A, TC Discharge Conv Starter" u="1"/>
        <s v="Spread B, Control Room - Spread B, SC Discharge Conv Starter" u="1"/>
        <s v="Spread B, Control Room - Spread B, SS Top Cross Conv Starter" u="1"/>
        <s v="Spread B, Control Room - Spread B, TC Discharge Conv Starter" u="1"/>
        <s v="Off-Site Disposal of Waste &amp; Material - 2016" u="1"/>
        <s v="Shiploader SL 01, Shuttle Conv Dedusting - Feeding Chute Electrical Controls" u="1"/>
        <s v="Shiploader SL 02, Shuttle Conv Dedusting - Feeding Chute Electrical Controls" u="1"/>
        <s v="Diesel Mod 1, Truck Loading System - Scully Over Fill Protection" u="1"/>
        <s v="MARINE DIESEL TANK ,  " u="1"/>
        <s v="Spread A, Secondary Cone Plant - SC-1 Cone Crusher Head Ass'y" u="1"/>
        <s v="Spread B, Secondary Cone Plant - SC-2 Cone Crusher Head Ass'y" u="1"/>
        <s v="Spread C, Secondary Cone Plant - SC-3 Cone Crusher Head Ass'y" u="1"/>
        <s v="Project Environmental Site Assessment - 2014" u="1"/>
        <s v="Spread A, Twin Screen Plant - SS-2 Sec Over Screen Conv Belting" u="1"/>
        <s v="Spread B, Twin Screen Plant - SS-1 Sec Over Screen Conv Belting" u="1"/>
        <s v="Spread C, Twin Screen Plant - SS-3 Sec Over Screen Conv Belting" u="1"/>
        <s v="Intermediate Conveyor (Link) - Electrical Controls" u="1"/>
        <s v="ORE HAUL TRUCK WORKSHOP OFFICE WASHCAR RAW WATER TANK,  " u="1"/>
        <s v="Spread A, Twin Screen Plant - SS-2 Bottom Cross ConvBelt Tail Pulley" u="1"/>
        <s v="Spread A, Twin Screen Plant - SS-2 Prim Underscreen Conv Tail Pulley" u="1"/>
        <s v="Spread B, Twin Screen Plant - SS-1 Bottom Cross ConvBelt Tail Pulley" u="1"/>
        <s v="Spread B, Twin Screen Plant - SS-1 Prim Underscreen Conv Tail Pulley" u="1"/>
        <s v="Spread C, Twin Screen Plant - SS-3 Bottom Cross ConvBelt Tail Pulley" u="1"/>
        <s v="Spread C, Twin Screen Plant - SS-3 Prim Underscreen Conv Tail Pulley" u="1"/>
        <s v="Contaminated Soil Treatment 2015 A" u="1"/>
        <s v="Intermediate Conv, 2 way Chute Feeder - Proportional Gate Ass'y" u="1"/>
        <s v="Off-Site Disposal of Waste &amp; Material - 2014" u="1"/>
        <s v="Spread C, Primary Screen Plant Discharge - C-10 Conveyor Belt Tail Pulley" u="1"/>
        <s v="Pre-Cast Concrete Foundations (Mobilzed to Site)" u="1"/>
        <s v="Intermediate Conveyor (Link) - Belt Scale" u="1"/>
      </sharedItems>
    </cacheField>
    <cacheField name="Tag Number" numFmtId="0">
      <sharedItems containsBlank="1"/>
    </cacheField>
    <cacheField name="QTY" numFmtId="0">
      <sharedItems containsString="0" containsBlank="1" containsNumber="1" minValue="-102131" maxValue="4000000"/>
    </cacheField>
    <cacheField name="Unit" numFmtId="0">
      <sharedItems containsBlank="1" containsMixedTypes="1" containsNumber="1" containsInteger="1" minValue="0" maxValue="1" count="9">
        <s v="Bed Space"/>
        <s v="m2"/>
        <s v="ea"/>
        <m/>
        <s v="m"/>
        <s v="Lot"/>
        <s v="N/A"/>
        <n v="0" u="1"/>
        <n v="1" u="1"/>
      </sharedItems>
    </cacheField>
    <cacheField name="Manhours Per Unit" numFmtId="0">
      <sharedItems containsBlank="1" containsMixedTypes="1" containsNumber="1" minValue="0" maxValue="14448"/>
    </cacheField>
    <cacheField name="Unit Fuel Consumption" numFmtId="0">
      <sharedItems containsBlank="1" containsMixedTypes="1" containsNumber="1" minValue="0" maxValue="216720"/>
    </cacheField>
    <cacheField name="Unit Labour" numFmtId="0">
      <sharedItems containsBlank="1" containsMixedTypes="1" containsNumber="1" minValue="0" maxValue="1443548.5280000002"/>
    </cacheField>
    <cacheField name="Unit Equipment" numFmtId="0">
      <sharedItems containsBlank="1" containsMixedTypes="1" containsNumber="1" minValue="0" maxValue="2167200"/>
    </cacheField>
    <cacheField name="Unit Rate" numFmtId="0">
      <sharedItems containsBlank="1" containsMixedTypes="1" containsNumber="1" minValue="0" maxValue="3827468.5279999999"/>
    </cacheField>
    <cacheField name="Total Manhours" numFmtId="0">
      <sharedItems containsString="0" containsBlank="1" containsNumber="1" minValue="-1296.0302300278124" maxValue="50759.523749999993"/>
    </cacheField>
    <cacheField name="Total Fuel Consumption" numFmtId="0">
      <sharedItems containsString="0" containsBlank="1" containsNumber="1" minValue="-14936.658749999999" maxValue="585000"/>
    </cacheField>
    <cacheField name="Total Labour" numFmtId="0">
      <sharedItems containsString="0" containsBlank="1" containsNumber="1" minValue="-129603.02300278122" maxValue="5075952.3749999991"/>
    </cacheField>
    <cacheField name="Total Equipment" numFmtId="0">
      <sharedItems containsString="0" containsBlank="1" containsNumber="1" minValue="-125460" maxValue="1586181.3831018519"/>
    </cacheField>
    <cacheField name="Total Cost ($)" numFmtId="3">
      <sharedItems containsString="0" containsBlank="1" containsNumber="1" minValue="-221573.55182857142" maxValue="7241181.3831018517"/>
    </cacheField>
    <cacheField name="Unit M3" numFmtId="3">
      <sharedItems containsString="0" containsBlank="1" containsNumber="1" minValue="0" maxValue="30295"/>
    </cacheField>
    <cacheField name="Total Vol (m3)" numFmtId="3">
      <sharedItems containsString="0" containsBlank="1" containsNumber="1" minValue="-2880" maxValue="13000"/>
    </cacheField>
    <cacheField name="IOL (%)" numFmtId="0">
      <sharedItems containsString="0" containsBlank="1" containsNumber="1" minValue="0" maxValue="1"/>
    </cacheField>
    <cacheField name="Crown Land  (%)" numFmtId="0">
      <sharedItems containsString="0" containsBlank="1" containsNumber="1" minValue="0" maxValue="1"/>
    </cacheField>
    <cacheField name="Water Liability  (%)" numFmtId="0">
      <sharedItems containsString="0" containsBlank="1" containsNumber="1" containsInteger="1" minValue="0" maxValue="1"/>
    </cacheField>
    <cacheField name="Land Liability  (%)" numFmtId="0">
      <sharedItems containsString="0" containsBlank="1" containsNumber="1" containsInteger="1" minValue="0" maxValue="1"/>
    </cacheField>
    <cacheField name="IOL Cost ($)" numFmtId="0">
      <sharedItems containsString="0" containsBlank="1" containsNumber="1" minValue="-221573.55182857142" maxValue="7241181.3831018517"/>
    </cacheField>
    <cacheField name="Crown Land Cost ($)" numFmtId="0">
      <sharedItems containsString="0" containsBlank="1" containsNumber="1" minValue="0" maxValue="224017.80797983619"/>
    </cacheField>
    <cacheField name="Water Liability Cost ($)" numFmtId="0">
      <sharedItems containsString="0" containsBlank="1" containsNumber="1" minValue="0" maxValue="564133.04473809525"/>
    </cacheField>
    <cacheField name="Land Liability Cost ($)" numFmtId="0">
      <sharedItems containsString="0" containsBlank="1" containsNumber="1" minValue="-221573.55182857142" maxValue="7241181.3831018517"/>
    </cacheField>
    <cacheField name="License" numFmtId="0">
      <sharedItems containsBlank="1"/>
    </cacheField>
    <cacheField name="Adjustment Tag" numFmtId="0">
      <sharedItems containsBlank="1"/>
    </cacheField>
    <cacheField name="Associated Work Plan" numFmtId="0">
      <sharedItems containsBlank="1" containsMixedTypes="1" containsNumber="1" containsInteger="1" minValue="2014" maxValue="2018" count="10">
        <s v="2015 R"/>
        <s v="2017-A"/>
        <n v="2017"/>
        <n v="2015"/>
        <n v="2016"/>
        <s v="2015 A"/>
        <n v="2014"/>
        <m/>
        <n v="2018"/>
        <s v="2018-R"/>
      </sharedItems>
    </cacheField>
    <cacheField name="Type of Costs" numFmtId="0">
      <sharedItems containsBlank="1" count="3">
        <s v="Direct "/>
        <m/>
        <s v="Indirect"/>
      </sharedItems>
    </cacheField>
    <cacheField name="Year 0 - %" numFmtId="0">
      <sharedItems containsString="0" containsBlank="1" containsNumber="1" minValue="0.22" maxValue="0.22"/>
    </cacheField>
    <cacheField name="Year 0+1 - %" numFmtId="0">
      <sharedItems containsString="0" containsBlank="1" containsNumber="1" minValue="0.28000000000000003" maxValue="0.28000000000000003"/>
    </cacheField>
    <cacheField name="Year 1 - %" numFmtId="9">
      <sharedItems containsString="0" containsBlank="1" containsNumber="1" minValue="3.7905413443114662E-2" maxValue="1"/>
    </cacheField>
    <cacheField name="Year 2 - %" numFmtId="9">
      <sharedItems containsString="0" containsBlank="1" containsNumber="1" minValue="5.6937646838900999E-2" maxValue="1"/>
    </cacheField>
    <cacheField name="Year 3 - %" numFmtId="9">
      <sharedItems containsString="0" containsBlank="1" containsNumber="1" minValue="3.7905413443114662E-2" maxValue="1"/>
    </cacheField>
    <cacheField name="Year 4 - %" numFmtId="9">
      <sharedItems containsString="0" containsBlank="1" containsNumber="1" minValue="0.1" maxValue="0.4"/>
    </cacheField>
    <cacheField name="Year 5 - %" numFmtId="9">
      <sharedItems containsString="0" containsBlank="1" containsNumber="1" minValue="7.9560927788186617E-2" maxValue="0.3"/>
    </cacheField>
    <cacheField name="Year 6 - %" numFmtId="9">
      <sharedItems containsString="0" containsBlank="1" containsNumber="1" minValue="6.5323927146662589E-2" maxValue="0.2"/>
    </cacheField>
    <cacheField name="Year 7 - %" numFmtId="9">
      <sharedItems containsString="0" containsBlank="1" containsNumber="1" minValue="0.05" maxValue="0.2"/>
    </cacheField>
    <cacheField name="Year 8 - %" numFmtId="9">
      <sharedItems containsString="0" containsBlank="1" containsNumber="1" minValue="4.7596249845991749E-2" maxValue="0.33333333333333331"/>
    </cacheField>
    <cacheField name="Year 0- Cost ($)" numFmtId="3">
      <sharedItems containsString="0" containsBlank="1" containsNumber="1" containsInteger="1" minValue="0" maxValue="635800"/>
    </cacheField>
    <cacheField name="Year 0+1- Cost ($)" numFmtId="3">
      <sharedItems containsString="0" containsBlank="1" containsNumber="1" minValue="809200.00000000012" maxValue="809200.00000000012"/>
    </cacheField>
    <cacheField name="Year 1 - Cost ($)" numFmtId="3">
      <sharedItems containsString="0" containsBlank="1" containsNumber="1" minValue="-92443.636979696908" maxValue="3494085.273461781"/>
    </cacheField>
    <cacheField name="Year 2 - Cost ($)" numFmtId="3">
      <sharedItems containsString="0" containsBlank="1" containsNumber="1" minValue="-92443.636979696908" maxValue="2413727.1277006171"/>
    </cacheField>
    <cacheField name="Year 3 - Cost ($)" numFmtId="3">
      <sharedItems containsString="0" containsBlank="1" containsNumber="1" minValue="-73857.850609523797" maxValue="2413727.1277006171"/>
    </cacheField>
    <cacheField name="Year 4 - Cost ($)" numFmtId="3">
      <sharedItems containsString="0" containsBlank="1" containsNumber="1" minValue="0" maxValue="344256.23839627492"/>
    </cacheField>
    <cacheField name="Year 5 - Cost ($)" numFmtId="3">
      <sharedItems containsString="0" containsBlank="1" containsNumber="1" minValue="0" maxValue="229931.08130785933"/>
    </cacheField>
    <cacheField name="Year 6 - Cost ($)" numFmtId="3">
      <sharedItems containsString="0" containsBlank="1" containsNumber="1" minValue="0" maxValue="226400"/>
    </cacheField>
    <cacheField name="Year 7 - Cost ($)" numFmtId="3">
      <sharedItems containsString="0" containsBlank="1" containsNumber="1" minValue="0" maxValue="160780.39963547842"/>
    </cacheField>
    <cacheField name="Year 8 - Cost ($)" numFmtId="3">
      <sharedItems containsString="0" containsBlank="1" containsNumber="1" minValue="-26188.739523809523" maxValue="137553.16205491615"/>
    </cacheField>
    <cacheField name="Notes" numFmtId="0">
      <sharedItems containsBlank="1" containsMixedTypes="1" containsNumber="1" minValue="0" maxValue="1681.25" longText="1"/>
    </cacheField>
    <cacheField name="Uncertainty" numFmtId="0">
      <sharedItems containsBlank="1"/>
    </cacheField>
    <cacheField name="Required Reclamation Activiti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047.388300810184" createdVersion="3" refreshedVersion="5" minRefreshableVersion="3" recordCount="2798" xr:uid="{00000000-000A-0000-FFFF-FFFF02000000}">
  <cacheSource type="worksheet">
    <worksheetSource ref="A7:BO1712" sheet="Estimate Details"/>
  </cacheSource>
  <cacheFields count="64">
    <cacheField name="Level 0 - Site Location" numFmtId="1">
      <sharedItems containsSemiMixedTypes="0" containsString="0" containsNumber="1" containsInteger="1" minValue="1000" maxValue="9000" count="7">
        <n v="1000"/>
        <n v="2000"/>
        <n v="9000"/>
        <n v="7000"/>
        <n v="8000"/>
        <n v="3000"/>
        <n v="4000"/>
      </sharedItems>
    </cacheField>
    <cacheField name="Level 0 - Description" numFmtId="0">
      <sharedItems count="7">
        <s v="Project Wide"/>
        <s v="Milne Port"/>
        <s v="Owner Accounts"/>
        <s v="Construction Facilities &amp; Services"/>
        <s v="Other Indirects"/>
        <s v="Tote Road"/>
        <s v="Mine Site"/>
      </sharedItems>
    </cacheField>
    <cacheField name="Level 1 - Area" numFmtId="0">
      <sharedItems containsString="0" containsBlank="1" containsNumber="1" containsInteger="1" minValue="1000" maxValue="9100" count="32">
        <n v="1100"/>
        <m/>
        <n v="2300"/>
        <n v="2500"/>
        <n v="9100"/>
        <n v="2700"/>
        <n v="2600"/>
        <n v="7200"/>
        <n v="2100"/>
        <n v="8100"/>
        <n v="3100"/>
        <n v="4500"/>
        <n v="4100"/>
        <n v="4300"/>
        <n v="4700"/>
        <n v="3200"/>
        <n v="3500"/>
        <n v="2200"/>
        <n v="4200"/>
        <n v="2400"/>
        <n v="4400"/>
        <n v="4600"/>
        <n v="7400"/>
        <n v="7100"/>
        <n v="7300"/>
        <n v="9000" u="1"/>
        <n v="1000" u="1"/>
        <n v="8000" u="1"/>
        <n v="3000" u="1"/>
        <n v="4000" u="1"/>
        <n v="7000" u="1"/>
        <n v="2000" u="1"/>
      </sharedItems>
    </cacheField>
    <cacheField name="Level 1 - Description" numFmtId="0">
      <sharedItems containsBlank="1" count="17">
        <s v="General (Project Controls Use)"/>
        <m/>
        <s v="Material Handling"/>
        <s v="Non Process Facilities"/>
        <s v="Owner Accounts"/>
        <s v="Site Utilities"/>
        <s v="Fuel System"/>
        <s v="Milne Port"/>
        <s v="General"/>
        <s v="Other Indirects"/>
        <s v="Marine"/>
        <s v="Mine"/>
        <s v="Aerodrome"/>
        <s v="Mine Site"/>
        <s v="Project Wide"/>
        <s v="Tote Road"/>
        <s v="Construction Facilities &amp; Services" u="1"/>
      </sharedItems>
    </cacheField>
    <cacheField name="Level 2 - Facility / System" numFmtId="0">
      <sharedItems containsBlank="1" containsMixedTypes="1" containsNumber="1" containsInteger="1" minValue="1000" maxValue="9190" count="98">
        <n v="1100"/>
        <m/>
        <s v="2340"/>
        <s v="2510"/>
        <n v="2340"/>
        <s v="2520"/>
        <n v="9190"/>
        <s v="2730"/>
        <s v="2610"/>
        <n v="7230"/>
        <s v="2750"/>
        <n v="2610"/>
        <n v="2130"/>
        <s v="TBD"/>
        <n v="8110"/>
        <s v="0"/>
        <n v="2550"/>
        <n v="2540"/>
        <n v="3130"/>
        <s v="4520"/>
        <n v="2730"/>
        <s v="4140"/>
        <s v="2720"/>
        <n v="2140"/>
        <s v="2530"/>
        <s v="4380"/>
        <s v="2140"/>
        <n v="4730"/>
        <n v="3210"/>
        <n v="3510"/>
        <n v="2110"/>
        <s v="2110"/>
        <s v="2220"/>
        <s v="2350"/>
        <n v="4130"/>
        <n v="2710"/>
        <s v="4280"/>
        <n v="2220"/>
        <n v="2240"/>
        <n v="2430"/>
        <n v="4380"/>
        <n v="4140"/>
        <s v="3110"/>
        <s v="3160"/>
        <n v="3110"/>
        <s v="4510"/>
        <n v="4710"/>
        <n v="4250"/>
        <n v="4750"/>
        <n v="4540"/>
        <n v="4230"/>
        <s v="4430"/>
        <s v="4540"/>
        <n v="4210"/>
        <n v="4740"/>
        <n v="4720"/>
        <n v="4220"/>
        <n v="4610"/>
        <s v="4720"/>
        <n v="4280"/>
        <n v="4430"/>
        <s v="4530"/>
        <n v="4110"/>
        <n v="7430"/>
        <n v="4410"/>
        <n v="7410"/>
        <n v="7210"/>
        <n v="7250"/>
        <s v="7450"/>
        <n v="7470"/>
        <n v="7270"/>
        <n v="7240"/>
        <n v="7440"/>
        <n v="4520"/>
        <n v="7110"/>
        <n v="7120"/>
        <n v="7340"/>
        <n v="7480"/>
        <n v="8120"/>
        <n v="9120"/>
        <n v="2720" u="1"/>
        <n v="7450" u="1"/>
        <n v="7280" u="1"/>
        <n v="9000" u="1"/>
        <n v="1000" u="1"/>
        <n v="8000" u="1"/>
        <n v="3000" u="1"/>
        <n v="2750" u="1"/>
        <n v="4000" u="1"/>
        <n v="4510" u="1"/>
        <n v="7000" u="1"/>
        <n v="4530" u="1"/>
        <n v="2510" u="1"/>
        <n v="2000" u="1"/>
        <n v="2520" u="1"/>
        <n v="2350" u="1"/>
        <n v="2530" u="1"/>
        <n v="3160" u="1"/>
      </sharedItems>
    </cacheField>
    <cacheField name="Level 2 - Description" numFmtId="0">
      <sharedItems containsBlank="1" count="57">
        <s v="General (Project Controls Use)"/>
        <m/>
        <s v="Stockpile"/>
        <s v="Accommodations Area"/>
        <s v="Services Area"/>
        <s v="Contingency, Escalation, Event Risk Allowance"/>
        <s v="Sewage System"/>
        <s v="Milne Tank Farm"/>
        <s v="Buildings, Shops &amp; Warehouses"/>
        <s v="Power Distribution System"/>
        <s v="Site Development"/>
        <s v="Mobilization"/>
        <s v="EPCM Services"/>
        <s v="Waste Disposal"/>
        <s v="Waste Management (building and incinerator)"/>
        <s v="Material Disposal"/>
        <s v="Mobile Equipment"/>
        <s v="Water Systems"/>
        <s v="Power Generation"/>
        <s v="Crushing and Screening"/>
        <s v="Exploration Camp &amp; Facilities"/>
        <s v="Communication and IT Infrastructure"/>
        <s v="Ore Dock"/>
        <s v="Ship Loading"/>
        <s v="Explosives Facility"/>
        <s v="Additional Tanks"/>
        <s v="Mine Support Facilities"/>
        <s v="Transshipment and Marine Vessels"/>
        <s v="Aerodrome Facilities"/>
        <s v="Emergency Shelters"/>
        <s v="Raw Water Intake"/>
        <s v="Open Pit Development"/>
        <s v="Waste Management"/>
        <s v="Waste Rock Dump"/>
        <s v="Waste Rock Pond"/>
        <s v="Mine Tank Farm"/>
        <s v="Haul Roads"/>
        <s v="Runway &amp; Apron"/>
        <s v="Construction Facilities"/>
        <s v="Camp &amp; Site Services"/>
        <s v="Vehicles and Equipment"/>
        <s v="Communications &amp; IT"/>
        <s v="Air Services"/>
        <s v="Construction Services"/>
        <s v="Third Party Services"/>
        <s v="Project Management"/>
        <s v="Owner Accounts" u="1"/>
        <s v="Owner Accounts - Project Management" u="1"/>
        <s v="Hazardous Waste Storage Area" u="1"/>
        <s v="Tote Road" u="1"/>
        <s v="Milne Port" u="1"/>
        <s v="Other Indirects" u="1"/>
        <s v="Waste Disposal (Landfarm)" u="1"/>
        <s v="Construction Facilities &amp; Services" u="1"/>
        <s v="Owner Accounts - Contingency, Escalation, Event Risk Allowance" u="1"/>
        <s v="Mine Site" u="1"/>
        <s v="Project Wide" u="1"/>
      </sharedItems>
    </cacheField>
    <cacheField name="Level 3 - Sub Facility / Sub System" numFmtId="0">
      <sharedItems containsBlank="1" containsMixedTypes="1" containsNumber="1" containsInteger="1" minValue="1000" maxValue="9191" count="264">
        <n v="1100"/>
        <m/>
        <s v="2342 "/>
        <s v="2512"/>
        <s v="2341 "/>
        <n v="2523"/>
        <n v="2512"/>
        <n v="9191"/>
        <s v="2734"/>
        <s v="2613 "/>
        <n v="7234"/>
        <s v="2750"/>
        <n v="2611"/>
        <s v="2521"/>
        <n v="2134"/>
        <s v="TBD"/>
        <n v="8111"/>
        <s v=""/>
        <s v="2511"/>
        <n v="2131"/>
        <s v="2522 "/>
        <n v="2550"/>
        <n v="2540"/>
        <n v="2345"/>
        <n v="3138"/>
        <n v="3139"/>
        <n v="8112"/>
        <n v="2342"/>
        <n v="3131"/>
        <n v="2136"/>
        <s v="2731"/>
        <n v="4521"/>
        <n v="2735"/>
        <n v="2139"/>
        <s v="4141 "/>
        <s v="2720"/>
        <s v="2614 "/>
        <n v="2140"/>
        <s v="2521 "/>
        <n v="4141"/>
        <s v="2513"/>
        <s v="2731 "/>
        <s v="2530"/>
        <s v="2720 "/>
        <n v="2521"/>
        <s v="2732"/>
        <s v="2513 "/>
        <n v="4381"/>
        <s v="2615"/>
        <s v="2613"/>
        <n v="2614"/>
        <s v="2732 "/>
        <n v="2616"/>
        <n v="4731"/>
        <n v="3212"/>
        <n v="2720"/>
        <s v="2614"/>
        <n v="3512"/>
        <n v="2110"/>
        <s v="2223"/>
        <s v="2342"/>
        <s v="2351"/>
        <s v="2351 "/>
        <n v="2341"/>
        <n v="2511"/>
        <s v="2510 "/>
        <n v="4131"/>
        <n v="3213"/>
        <n v="2731"/>
        <s v="2610 "/>
        <s v="2619 "/>
        <n v="2710"/>
        <n v="2750"/>
        <s v="4281"/>
        <n v="2133"/>
        <n v="2138"/>
        <n v="2142"/>
        <s v="2140 "/>
        <s v="2142 "/>
        <s v="2143 "/>
        <n v="2143"/>
        <s v="2144 "/>
        <n v="2144"/>
        <n v="2221"/>
        <n v="2225"/>
        <n v="2230"/>
        <n v="2240"/>
        <n v="2430"/>
        <n v="2435"/>
        <n v="3130"/>
        <n v="3132"/>
        <n v="3133"/>
        <n v="3134"/>
        <n v="3135"/>
        <n v="4138"/>
        <n v="4385"/>
        <n v="4140"/>
        <n v="3136"/>
        <s v="3111"/>
        <s v="3112"/>
        <s v="3113"/>
        <s v="3160"/>
        <n v="3114"/>
        <n v="4511"/>
        <n v="4712"/>
        <n v="4512"/>
        <n v="4250"/>
        <n v="4750"/>
        <n v="4540"/>
        <n v="4523"/>
        <n v="4230"/>
        <s v="4432"/>
        <n v="4139"/>
        <n v="4734"/>
        <n v="4522"/>
        <n v="4133"/>
        <n v="4212"/>
        <n v="4211"/>
        <n v="4382"/>
        <n v="4740"/>
        <n v="4720"/>
        <n v="4222"/>
        <n v="4613"/>
        <s v="4613 "/>
        <n v="4513"/>
        <n v="4430"/>
        <n v="4611"/>
        <n v="4530"/>
        <n v="4732"/>
        <s v="4431 "/>
        <s v="4381"/>
        <n v="4213"/>
        <n v="4281"/>
        <s v="4613"/>
        <s v="4431"/>
        <s v="4435"/>
        <n v="4110"/>
        <n v="4136"/>
        <s v="4381 "/>
        <s v="4433 "/>
        <n v="4510"/>
        <n v="7232"/>
        <n v="7432"/>
        <n v="4614"/>
        <n v="4619"/>
        <n v="4733"/>
        <n v="4135"/>
        <s v="4142 "/>
        <n v="4142"/>
        <s v="4143 "/>
        <n v="4143"/>
        <s v="4144 "/>
        <n v="4144"/>
        <n v="4221"/>
        <n v="4410"/>
        <n v="4436"/>
        <n v="4439"/>
        <n v="4434"/>
        <n v="4711"/>
        <n v="7411"/>
        <n v="7434"/>
        <n v="7211"/>
        <n v="7251"/>
        <s v="7451"/>
        <n v="7212"/>
        <n v="7473"/>
        <n v="7235"/>
        <n v="7435"/>
        <n v="7231"/>
        <n v="7273"/>
        <n v="7244"/>
        <n v="7444"/>
        <n v="7213"/>
        <n v="7412"/>
        <n v="7470"/>
        <n v="7111"/>
        <n v="7121"/>
        <n v="7122"/>
        <n v="7123"/>
        <n v="7214"/>
        <n v="7238"/>
        <n v="7241"/>
        <n v="7242"/>
        <n v="7243"/>
        <n v="7245"/>
        <n v="7252"/>
        <n v="7271"/>
        <n v="7275"/>
        <n v="7340"/>
        <n v="7431"/>
        <n v="7441"/>
        <n v="7443"/>
        <n v="7445"/>
        <n v="7471"/>
        <n v="7475"/>
        <n v="7482"/>
        <n v="7484"/>
        <n v="8121"/>
        <n v="9121"/>
        <n v="7270" u="1"/>
        <n v="2223" u="1"/>
        <n v="4610" u="1"/>
        <n v="7450" u="1"/>
        <n v="4435" u="1"/>
        <n v="3113" u="1"/>
        <n v="2351" u="1"/>
        <n v="7280" u="1"/>
        <n v="9000" u="1"/>
        <n v="1000" u="1"/>
        <n v="3118" u="1"/>
        <n v="7110" u="1"/>
        <n v="8000" u="1"/>
        <n v="2730" u="1"/>
        <n v="4280" u="1"/>
        <n v="7120" u="1"/>
        <n v="3000" u="1"/>
        <n v="2522" u="1"/>
        <n v="7480" u="1"/>
        <n v="4432" u="1"/>
        <n v="7452" u="1"/>
        <n v="2513" u="1"/>
        <n v="4130" u="1"/>
        <n v="2130" u="1"/>
        <n v="2220" u="1"/>
        <n v="2613" u="1"/>
        <n v="3110" u="1"/>
        <n v="9120" u="1"/>
        <n v="4000" u="1"/>
        <n v="3115" u="1"/>
        <n v="7000" u="1"/>
        <n v="4520" u="1"/>
        <n v="2732" u="1"/>
        <n v="4710" u="1"/>
        <n v="4431" u="1"/>
        <n v="9190" u="1"/>
        <n v="3111" u="1"/>
        <n v="7451" u="1"/>
        <n v="2510" u="1"/>
        <n v="7210" u="1"/>
        <n v="2619" u="1"/>
        <n v="3116" u="1"/>
        <n v="4730" u="1"/>
        <n v="4380" u="1"/>
        <n v="2340" u="1"/>
        <n v="8110" u="1"/>
        <n v="2000" u="1"/>
        <n v="2520" u="1"/>
        <n v="4210" u="1"/>
        <n v="2610" u="1"/>
        <n v="7230" u="1"/>
        <n v="7410" u="1"/>
        <n v="8120" u="1"/>
        <n v="4220" u="1"/>
        <n v="4433" u="1"/>
        <n v="2615" u="1"/>
        <n v="3112" u="1"/>
        <n v="7240" u="1"/>
        <n v="2350" u="1"/>
        <n v="2530" u="1"/>
        <n v="3117" u="1"/>
        <n v="7250" u="1"/>
        <n v="7430" u="1"/>
        <n v="2734" u="1"/>
        <n v="3160" u="1"/>
      </sharedItems>
    </cacheField>
    <cacheField name="Level 3 - Description" numFmtId="0">
      <sharedItems containsBlank="1" count="202">
        <s v="General (Project Controls Use)"/>
        <m/>
        <s v="Ore Reclaim System"/>
        <s v="Accommodation Wings"/>
        <s v="Ore Stacking System"/>
        <s v="Services Area"/>
        <s v="Contingency"/>
        <s v="Treated Effluent Discharge"/>
        <s v="Arctic Diesel System"/>
        <s v="Garages &amp; Workshops"/>
        <s v="Power Distribution System"/>
        <s v="Containment Dyke"/>
        <s v="Services Buildings"/>
        <s v="Mobilization and Demobilization"/>
        <s v="Project Management, Engineering and Procurement"/>
        <s v="Service Core"/>
        <s v="Construction Laydown"/>
        <s v="Services Equipment"/>
        <s v="Waste Disposal"/>
        <s v="Waste Management (building and incinerator)"/>
        <s v="Stockpile Settling Pond"/>
        <s v="Quarry at Q1"/>
        <s v="Worker Accommodation &amp; Camp Operation"/>
        <s v="Infrastructure Pads"/>
        <s v="Road Upgrade"/>
        <s v="Milne Port"/>
        <s v="Sewage Treatment Systems"/>
        <s v="Fuel"/>
        <s v="Off Spec Effluent Pond"/>
        <s v="Site Roads"/>
        <s v="Mine Mobile Equipment"/>
        <s v="Water Systems"/>
        <s v="Jet-A System"/>
        <s v="Mobile Equipment"/>
        <s v="Emergency Services Building"/>
        <s v="Power Generation"/>
        <s v="Sewage Truck Building"/>
        <s v="Crushing and Screening System"/>
        <s v="Marine Pipeline"/>
        <s v="Weatherhaven camp "/>
        <s v="Hardwall Camp"/>
        <s v="Quarry at PQ5A"/>
        <s v="Quarry at PQ5B"/>
        <s v="Quarry at PQ2A"/>
        <s v="Quarry at PQ6A"/>
        <s v="Quarry at PQ6B"/>
        <s v="Communication and IT Infrastructure"/>
        <s v="Dock Office"/>
        <s v="Ship Loading System"/>
        <s v="Accommodations Area"/>
        <s v="Quarry at P8"/>
        <s v="Quarry at PQ12B"/>
        <s v="Quarry at PQ14A"/>
        <s v="Quarry at PQ14B"/>
        <s v="Construction Laydown Areas"/>
        <s v="Explosives Magazines"/>
        <s v="Quarry at PQ4A"/>
        <s v="Quarry at PQ4B"/>
        <s v="Milne Tank Farm"/>
        <s v="Additional Tanks"/>
        <s v="Pit Office Building"/>
        <s v="Materials Handling"/>
        <s v="Quarry Development"/>
        <s v="Mobile Materials Handling Equipment"/>
        <s v="Mobile Maintenance Equipment"/>
        <s v="Mobile Site Services Equipment"/>
        <s v="Dock Structure (includes ship loader foundations)"/>
        <s v="Mooring Buoys"/>
        <s v="Causeway"/>
        <s v="Transshipment and Marine Vessels"/>
        <s v="Aerodrome Facilities"/>
        <s v="Field Electrical Centre"/>
        <s v="Unidentified Borrow Sources"/>
        <s v="Site Development"/>
        <s v="River Crossing at STA 17"/>
        <s v="River Crossing at STA 62"/>
        <s v="River Crossing at STA 80"/>
        <s v="River Crossing at STA 97"/>
        <s v="Borrow Source at P1"/>
        <s v="Quarry at Q7"/>
        <s v="Quarry at Q11"/>
        <s v="Borrow Source at Km 2"/>
        <s v="Quarry at Q12"/>
        <s v="Quarry at Q19"/>
        <s v="Quarry at Q5"/>
        <s v="Q13 Quarry (marginal increase to existing)"/>
        <s v="Crushing Stockpile Settling Pond"/>
        <s v="Quarry at P10"/>
        <s v="Quarry at Q14"/>
        <s v="Mary River"/>
        <s v="Quarry at Q16A"/>
        <s v="Quarry at Q15"/>
        <s v="Quarry at P13"/>
        <s v="Quarry at P7"/>
        <s v="Quarry at P6"/>
        <s v="Quarry at Q13"/>
        <s v="Quarry at P5"/>
        <s v="Quarry at P15"/>
        <s v="Quarry at P14"/>
        <s v="Communications Facility No. 1"/>
        <s v="Communications Facility No. 2"/>
        <s v="Communications Facility No. 3"/>
        <s v="Emergency Shelters"/>
        <s v="Communications Facility No. 4"/>
        <s v="Sea-can bridge at STA 17"/>
        <s v="Sea-can bridge at STA 62"/>
        <s v="Sea-can bridge at STA 80"/>
        <s v="Sea-can bridge at STA 97"/>
        <s v="Borrow Source at Km 97/98"/>
        <s v="Borrow Source at Km 102"/>
        <s v="Raw Water System"/>
        <s v="Open Pit Development"/>
        <s v="Waste Management "/>
        <s v="Truck Wash Facility"/>
        <s v="Waste Rock Dump"/>
        <s v="Equipment Building"/>
        <s v="Ore Crushing and Loading"/>
        <s v="Explosives Shop"/>
        <s v="Explosives Plant Building"/>
        <s v="Truck Weigh Facility"/>
        <s v="Explosive pad haul road"/>
        <s v="Waste Rock Pond"/>
        <s v="Crushing and Screening"/>
        <s v="Aerodrome Office"/>
        <s v="Waste Management"/>
        <s v="Tote Road"/>
        <s v="Plant &amp; Equipment"/>
        <s v="Workforce Facilities"/>
        <s v="Generator"/>
        <s v="Treated Effluent Pond"/>
        <s v="Raw Water Intake"/>
        <s v="Explosives Pads"/>
        <s v="Pit 1 Haul Road"/>
        <s v="Runway &amp; Apron"/>
        <s v="Airfield Lighting and Visual Aids"/>
        <s v="Raw Water Jetty"/>
        <s v="Tent Camp"/>
        <s v="Concrete Facilities"/>
        <s v="Site Operations"/>
        <s v="Warehouses"/>
        <s v="Office Facilities"/>
        <s v="Construction Power Supply"/>
        <s v="Utilities &amp; Services"/>
        <s v="Camp &amp; Site Services"/>
        <s v="Communications Services"/>
        <s v="Jet Service"/>
        <s v="Local Air Charter"/>
        <s v="Helicopter Service"/>
        <s v="Off-Spec Effluent Pond(s)"/>
        <s v="Civil Contractor Buildings"/>
        <s v="Company Vehicles"/>
        <s v="Emergency Response Equipment"/>
        <s v="Site Operations Mobile Equipment"/>
        <s v="Cranes and Lifting Equipment"/>
        <s v="Explosives Facilities"/>
        <s v="Camp Operations &amp; Catering"/>
        <s v="Maintenance and Repair"/>
        <s v="Vehicles and Equipment"/>
        <s v="Heavy Transport Services"/>
        <s v="Explosives Supply Services"/>
        <s v="EPCM Services"/>
        <s v="Ammonium Nitrate (explosive Material)"/>
        <s v="Off-Site Disposal of Waste &amp; Material"/>
        <s v="Contaminated Soil Treatment"/>
        <s v="Environmental Site Assessment"/>
        <s v="Closure &amp; Post Closure Monitoring"/>
        <s v="Owner Accounts - Project Management"/>
        <s v="Geotechnical Inspections" u="1"/>
        <s v="Off-Site Waste Disposal" u="1"/>
        <s v="Exploration Camp &amp; Facilities" u="1"/>
        <s v="Stockpile" u="1"/>
        <s v="Owner Accounts" u="1"/>
        <s v="Third Party Services" u="1"/>
        <s v="Hazardous Waste Storage Area" u="1"/>
        <s v="Communications Facility No. 5" u="1"/>
        <s v="Explosives Facility" u="1"/>
        <s v="Construction Facilities" u="1"/>
        <s v="Haul Roads" u="1"/>
        <s v="Communications Facility No. 6" u="1"/>
        <s v="Other Indirects" u="1"/>
        <s v="Communications &amp; IT" u="1"/>
        <s v="Communications Facility No. 7" u="1"/>
        <s v="Sewage System" u="1"/>
        <s v="Quarry at QMR2" u="1"/>
        <s v="Quarry at D1Q1" u="1"/>
        <s v="Air Services" u="1"/>
        <s v="Communications Facility No. 8" u="1"/>
        <s v="Waste Disposal (Landfarm)" u="1"/>
        <s v="Ship Loading" u="1"/>
        <s v="Construction Facilities &amp; Services" u="1"/>
        <s v="Owner Accounts - Contingency, Escalation, Event Risk Allowance" u="1"/>
        <s v="Quarry at D1Q2" u="1"/>
        <s v="Buildings, Shops &amp; Warehouses" u="1"/>
        <s v="Ore Dock" u="1"/>
        <s v="Off-Site Fuel Disposal" u="1"/>
        <s v="Mine Site" u="1"/>
        <s v="Project Wide" u="1"/>
        <s v="Off-Site Explosives Disposal" u="1"/>
        <s v="Construction Management" u="1"/>
        <s v="Mine Support Facilities" u="1"/>
        <s v="Construction Services" u="1"/>
        <s v="Mine Tank Farm" u="1"/>
      </sharedItems>
    </cacheField>
    <cacheField name="ID CODE" numFmtId="0">
      <sharedItems containsBlank="1"/>
    </cacheField>
    <cacheField name="Equipment Type" numFmtId="0">
      <sharedItems containsBlank="1"/>
    </cacheField>
    <cacheField name="Price Code " numFmtId="0">
      <sharedItems containsBlank="1"/>
    </cacheField>
    <cacheField name="Price Code Description" numFmtId="0">
      <sharedItems containsBlank="1"/>
    </cacheField>
    <cacheField name="Qty Code" numFmtId="0">
      <sharedItems containsBlank="1"/>
    </cacheField>
    <cacheField name="Area - QTY Code" numFmtId="0">
      <sharedItems containsBlank="1"/>
    </cacheField>
    <cacheField name="QTY Code Description" numFmtId="0">
      <sharedItems containsBlank="1"/>
    </cacheField>
    <cacheField name="Type" numFmtId="0">
      <sharedItems containsBlank="1"/>
    </cacheField>
    <cacheField name="Description" numFmtId="0">
      <sharedItems containsBlank="1"/>
    </cacheField>
    <cacheField name="Tag Number" numFmtId="0">
      <sharedItems containsBlank="1"/>
    </cacheField>
    <cacheField name="QTY" numFmtId="0">
      <sharedItems containsString="0" containsBlank="1" containsNumber="1" minValue="-102131" maxValue="4000000"/>
    </cacheField>
    <cacheField name="Unit" numFmtId="0">
      <sharedItems containsBlank="1"/>
    </cacheField>
    <cacheField name="Manhours Per Unit" numFmtId="0">
      <sharedItems containsBlank="1" containsMixedTypes="1" containsNumber="1" minValue="0" maxValue="14448"/>
    </cacheField>
    <cacheField name="Unit Fuel Consumption" numFmtId="0">
      <sharedItems containsBlank="1" containsMixedTypes="1" containsNumber="1" minValue="0" maxValue="216720"/>
    </cacheField>
    <cacheField name="Unit Labour" numFmtId="0">
      <sharedItems containsBlank="1" containsMixedTypes="1" containsNumber="1" minValue="0" maxValue="1443548.5280000002"/>
    </cacheField>
    <cacheField name="Unit Equipment" numFmtId="0">
      <sharedItems containsBlank="1" containsMixedTypes="1" containsNumber="1" minValue="0" maxValue="2167200"/>
    </cacheField>
    <cacheField name="Unit Rate" numFmtId="0">
      <sharedItems containsBlank="1" containsMixedTypes="1" containsNumber="1" minValue="0" maxValue="3827468.5279999999"/>
    </cacheField>
    <cacheField name="Total Manhours" numFmtId="0">
      <sharedItems containsString="0" containsBlank="1" containsNumber="1" minValue="-1296.0302300278124" maxValue="50759.523749999993"/>
    </cacheField>
    <cacheField name="Total Fuel Consumption" numFmtId="0">
      <sharedItems containsString="0" containsBlank="1" containsNumber="1" minValue="-14936.658749999999" maxValue="585000"/>
    </cacheField>
    <cacheField name="Total Labour" numFmtId="0">
      <sharedItems containsString="0" containsBlank="1" containsNumber="1" minValue="-129603.02300278122" maxValue="5075952.3749999991"/>
    </cacheField>
    <cacheField name="Total Equipment" numFmtId="0">
      <sharedItems containsString="0" containsBlank="1" containsNumber="1" minValue="-125460" maxValue="1586181.3831018519"/>
    </cacheField>
    <cacheField name="Total Cost ($)" numFmtId="3">
      <sharedItems containsString="0" containsBlank="1" containsNumber="1" minValue="-221573.55182857142" maxValue="7241181.3831018517"/>
    </cacheField>
    <cacheField name="Unit M3" numFmtId="3">
      <sharedItems containsString="0" containsBlank="1" containsNumber="1" minValue="0" maxValue="30295"/>
    </cacheField>
    <cacheField name="Total Vol (m3)" numFmtId="3">
      <sharedItems containsString="0" containsBlank="1" containsNumber="1" minValue="-2880" maxValue="13000"/>
    </cacheField>
    <cacheField name="IOL (%)" numFmtId="0">
      <sharedItems containsString="0" containsBlank="1" containsNumber="1" minValue="0" maxValue="1"/>
    </cacheField>
    <cacheField name="Crown Land  (%)" numFmtId="0">
      <sharedItems containsString="0" containsBlank="1" containsNumber="1" minValue="0" maxValue="1"/>
    </cacheField>
    <cacheField name="Water Liability  (%)" numFmtId="0">
      <sharedItems containsString="0" containsBlank="1" containsNumber="1" containsInteger="1" minValue="0" maxValue="1"/>
    </cacheField>
    <cacheField name="Land Liability  (%)" numFmtId="0">
      <sharedItems containsString="0" containsBlank="1" containsNumber="1" containsInteger="1" minValue="0" maxValue="1"/>
    </cacheField>
    <cacheField name="IOL Cost ($)" numFmtId="0">
      <sharedItems containsString="0" containsBlank="1" containsNumber="1" minValue="-221573.55182857142" maxValue="7241181.3831018517"/>
    </cacheField>
    <cacheField name="Crown Land Cost ($)" numFmtId="0">
      <sharedItems containsString="0" containsBlank="1" containsNumber="1" minValue="0" maxValue="224017.80797983619"/>
    </cacheField>
    <cacheField name="Water Liability Cost ($)" numFmtId="0">
      <sharedItems containsString="0" containsBlank="1" containsNumber="1" minValue="0" maxValue="564133.04473809525"/>
    </cacheField>
    <cacheField name="Land Liability Cost ($)" numFmtId="0">
      <sharedItems containsString="0" containsBlank="1" containsNumber="1" minValue="-221573.55182857142" maxValue="7241181.3831018517"/>
    </cacheField>
    <cacheField name="License" numFmtId="0">
      <sharedItems containsBlank="1"/>
    </cacheField>
    <cacheField name="Adjustment Tag" numFmtId="0">
      <sharedItems containsBlank="1"/>
    </cacheField>
    <cacheField name="Associated Work Plan" numFmtId="0">
      <sharedItems containsBlank="1" containsMixedTypes="1" containsNumber="1" containsInteger="1" minValue="2014" maxValue="2018"/>
    </cacheField>
    <cacheField name="Type of Costs" numFmtId="0">
      <sharedItems containsBlank="1"/>
    </cacheField>
    <cacheField name="Year 0 - %" numFmtId="0">
      <sharedItems containsString="0" containsBlank="1" containsNumber="1" minValue="0.22" maxValue="0.22"/>
    </cacheField>
    <cacheField name="Year 0+1 - %" numFmtId="0">
      <sharedItems containsString="0" containsBlank="1" containsNumber="1" minValue="0.28000000000000003" maxValue="0.28000000000000003"/>
    </cacheField>
    <cacheField name="Year 1 - %" numFmtId="9">
      <sharedItems containsString="0" containsBlank="1" containsNumber="1" minValue="3.7905413443114662E-2" maxValue="1"/>
    </cacheField>
    <cacheField name="Year 2 - %" numFmtId="9">
      <sharedItems containsString="0" containsBlank="1" containsNumber="1" minValue="5.6937646838900999E-2" maxValue="1"/>
    </cacheField>
    <cacheField name="Year 3 - %" numFmtId="9">
      <sharedItems containsString="0" containsBlank="1" containsNumber="1" minValue="3.7905413443114662E-2" maxValue="1"/>
    </cacheField>
    <cacheField name="Year 4 - %" numFmtId="9">
      <sharedItems containsString="0" containsBlank="1" containsNumber="1" minValue="0.1" maxValue="0.4"/>
    </cacheField>
    <cacheField name="Year 5 - %" numFmtId="9">
      <sharedItems containsString="0" containsBlank="1" containsNumber="1" minValue="7.9560927788186617E-2" maxValue="0.3"/>
    </cacheField>
    <cacheField name="Year 6 - %" numFmtId="9">
      <sharedItems containsString="0" containsBlank="1" containsNumber="1" minValue="6.5323927146662589E-2" maxValue="0.2"/>
    </cacheField>
    <cacheField name="Year 7 - %" numFmtId="9">
      <sharedItems containsString="0" containsBlank="1" containsNumber="1" minValue="0.05" maxValue="0.2"/>
    </cacheField>
    <cacheField name="Year 8 - %" numFmtId="9">
      <sharedItems containsString="0" containsBlank="1" containsNumber="1" minValue="4.7596249845991749E-2" maxValue="0.33333333333333331"/>
    </cacheField>
    <cacheField name="Year 0- Cost ($)" numFmtId="3">
      <sharedItems containsString="0" containsBlank="1" containsNumber="1" containsInteger="1" minValue="0" maxValue="635800"/>
    </cacheField>
    <cacheField name="Year 0+1- Cost ($)" numFmtId="3">
      <sharedItems containsString="0" containsBlank="1" containsNumber="1" minValue="809200.00000000012" maxValue="809200.00000000012"/>
    </cacheField>
    <cacheField name="Year 1 - Cost ($)" numFmtId="3">
      <sharedItems containsString="0" containsBlank="1" containsNumber="1" minValue="-92443.636979696908" maxValue="3494085.273461781"/>
    </cacheField>
    <cacheField name="Year 2 - Cost ($)" numFmtId="3">
      <sharedItems containsString="0" containsBlank="1" containsNumber="1" minValue="-92443.636979696908" maxValue="2413727.1277006171"/>
    </cacheField>
    <cacheField name="Year 3 - Cost ($)" numFmtId="3">
      <sharedItems containsString="0" containsBlank="1" containsNumber="1" minValue="-73857.850609523797" maxValue="2413727.1277006171"/>
    </cacheField>
    <cacheField name="Year 4 - Cost ($)" numFmtId="3">
      <sharedItems containsString="0" containsBlank="1" containsNumber="1" minValue="0" maxValue="344256.23839627492"/>
    </cacheField>
    <cacheField name="Year 5 - Cost ($)" numFmtId="3">
      <sharedItems containsString="0" containsBlank="1" containsNumber="1" minValue="0" maxValue="229931.08130785933"/>
    </cacheField>
    <cacheField name="Year 6 - Cost ($)" numFmtId="3">
      <sharedItems containsString="0" containsBlank="1" containsNumber="1" minValue="0" maxValue="226400"/>
    </cacheField>
    <cacheField name="Year 7 - Cost ($)" numFmtId="3">
      <sharedItems containsString="0" containsBlank="1" containsNumber="1" minValue="0" maxValue="160780.39963547842"/>
    </cacheField>
    <cacheField name="Year 8 - Cost ($)" numFmtId="3">
      <sharedItems containsString="0" containsBlank="1" containsNumber="1" minValue="-26188.739523809523" maxValue="137553.1620549161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8">
  <r>
    <x v="0"/>
    <x v="0"/>
    <x v="0"/>
    <x v="0"/>
    <x v="0"/>
    <x v="0"/>
    <x v="0"/>
    <x v="0"/>
    <m/>
    <m/>
    <s v="CON"/>
    <s v="Consumables"/>
    <s v="CON"/>
    <m/>
    <s v="Consumables"/>
    <m/>
    <s v="Consumables"/>
    <m/>
    <n v="550"/>
    <s v="Bed Space"/>
    <n v="0"/>
    <n v="700.80090909090916"/>
    <n v="0"/>
    <n v="0"/>
    <n v="700.80090909090916"/>
    <n v="0"/>
    <n v="385440.50000000006"/>
    <n v="0"/>
    <n v="0"/>
    <n v="385440.50000000006"/>
    <n v="0"/>
    <n v="0"/>
    <n v="1"/>
    <n v="0"/>
    <n v="0"/>
    <n v="1"/>
    <n v="385440.50000000006"/>
    <n v="0"/>
    <n v="0"/>
    <n v="385440.50000000006"/>
    <s v="Type A  _x000a_2AM-MRY1325"/>
    <s v="Added"/>
    <s v="2015 R"/>
    <s v="Direct "/>
    <m/>
    <m/>
    <m/>
    <m/>
    <n v="1"/>
    <m/>
    <m/>
    <m/>
    <m/>
    <m/>
    <n v="0"/>
    <m/>
    <n v="0"/>
    <n v="0"/>
    <n v="385440.50000000006"/>
    <n v="0"/>
    <n v="0"/>
    <n v="0"/>
    <n v="0"/>
    <n v="0"/>
  </r>
  <r>
    <x v="0"/>
    <x v="0"/>
    <x v="0"/>
    <x v="0"/>
    <x v="0"/>
    <x v="0"/>
    <x v="0"/>
    <x v="0"/>
    <m/>
    <m/>
    <s v="A2"/>
    <s v="Fill Application"/>
    <s v="Fill"/>
    <s v="Site Works"/>
    <s v="Fill Application"/>
    <s v="Fill Application"/>
    <s v="Fill Application - Shiploader"/>
    <m/>
    <n v="5049"/>
    <s v="m2"/>
    <n v="0.24456421316628418"/>
    <n v="2.0270868355782152"/>
    <n v="22.154098746081509"/>
    <n v="22.214649120790398"/>
    <n v="44.368747866871892"/>
    <n v="1234.8047122765688"/>
    <n v="10234.761432834408"/>
    <n v="111856.04456896553"/>
    <n v="112161.76341087071"/>
    <n v="224017.80797983619"/>
    <n v="0"/>
    <n v="0"/>
    <n v="0"/>
    <n v="1"/>
    <n v="0"/>
    <n v="1"/>
    <n v="0"/>
    <n v="224017.80797983619"/>
    <n v="0"/>
    <n v="224017.80797983619"/>
    <s v="Type A  _x000a_2AM-MRY1325"/>
    <s v="Added"/>
    <s v="2015 R"/>
    <s v="Direct "/>
    <m/>
    <m/>
    <m/>
    <m/>
    <n v="1"/>
    <m/>
    <m/>
    <m/>
    <m/>
    <m/>
    <n v="0"/>
    <m/>
    <n v="0"/>
    <n v="0"/>
    <n v="224017.80797983619"/>
    <n v="0"/>
    <n v="0"/>
    <n v="0"/>
    <n v="0"/>
    <n v="0"/>
  </r>
  <r>
    <x v="0"/>
    <x v="0"/>
    <x v="0"/>
    <x v="0"/>
    <x v="0"/>
    <x v="0"/>
    <x v="0"/>
    <x v="0"/>
    <m/>
    <m/>
    <s v="A2"/>
    <s v="Fill Application"/>
    <s v="Fill"/>
    <s v="Site Works"/>
    <s v="Fill Application"/>
    <s v="Fill Application"/>
    <s v="Fill Application - 2017-A"/>
    <m/>
    <n v="7146.8932926829284"/>
    <s v="m2"/>
    <n v="0.24456421316628418"/>
    <n v="2.0270868355782152"/>
    <n v="22.154098746081509"/>
    <n v="22.214649120790398"/>
    <n v="44.368747866871892"/>
    <n v="1747.8743347083944"/>
    <n v="14487.373308879809"/>
    <n v="158332.9797338052"/>
    <n v="158765.72680068162"/>
    <n v="317098.70653448673"/>
    <n v="0"/>
    <n v="0"/>
    <n v="1"/>
    <n v="0"/>
    <n v="0"/>
    <n v="1"/>
    <n v="317098.70653448673"/>
    <n v="0"/>
    <n v="0"/>
    <n v="317098.70653448673"/>
    <s v="Type A  _x000a_2AM-MRY1325"/>
    <s v="Added"/>
    <s v="2017-A"/>
    <s v="Direct "/>
    <m/>
    <m/>
    <m/>
    <m/>
    <n v="1"/>
    <m/>
    <m/>
    <m/>
    <m/>
    <m/>
    <n v="0"/>
    <m/>
    <n v="0"/>
    <n v="0"/>
    <n v="317098.70653448673"/>
    <n v="0"/>
    <n v="0"/>
    <n v="0"/>
    <n v="0"/>
    <n v="0"/>
  </r>
  <r>
    <x v="0"/>
    <x v="0"/>
    <x v="0"/>
    <x v="0"/>
    <x v="0"/>
    <x v="0"/>
    <x v="0"/>
    <x v="0"/>
    <m/>
    <m/>
    <s v="CON"/>
    <s v="Consumables"/>
    <s v="CON"/>
    <m/>
    <s v="Consumables"/>
    <m/>
    <s v="Consumables - addition of 49 person camp"/>
    <m/>
    <n v="49"/>
    <s v="Bed Space"/>
    <n v="0"/>
    <n v="700.80090909090916"/>
    <n v="0"/>
    <n v="0"/>
    <n v="700.80090909090916"/>
    <n v="0"/>
    <n v="34339.244545454552"/>
    <n v="0"/>
    <n v="0"/>
    <n v="34339.244545454552"/>
    <n v="0"/>
    <n v="0"/>
    <n v="1"/>
    <n v="0"/>
    <n v="0"/>
    <n v="1"/>
    <n v="34339.244545454552"/>
    <n v="0"/>
    <n v="0"/>
    <n v="34339.244545454552"/>
    <s v="Type A  _x000a_2AM-MRY1325"/>
    <s v="Added"/>
    <n v="2017"/>
    <s v="Direct "/>
    <m/>
    <m/>
    <m/>
    <m/>
    <n v="1"/>
    <m/>
    <m/>
    <m/>
    <m/>
    <m/>
    <n v="0"/>
    <m/>
    <n v="0"/>
    <n v="0"/>
    <n v="34339.244545454552"/>
    <n v="0"/>
    <n v="0"/>
    <n v="0"/>
    <n v="0"/>
    <n v="0"/>
  </r>
  <r>
    <x v="0"/>
    <x v="0"/>
    <x v="0"/>
    <x v="0"/>
    <x v="0"/>
    <x v="0"/>
    <x v="0"/>
    <x v="0"/>
    <m/>
    <m/>
    <s v="A2"/>
    <s v="Fill Application"/>
    <s v="Fill"/>
    <s v="Site Works"/>
    <s v="Fill Application"/>
    <s v="Fill Application"/>
    <s v="Fill Application - 2017"/>
    <m/>
    <n v="1192.1666666666667"/>
    <s v="ea"/>
    <n v="0.24456421316628418"/>
    <n v="2.0270868355782152"/>
    <n v="22.154098746081509"/>
    <n v="22.214649120790398"/>
    <n v="44.368747866871892"/>
    <n v="291.56130279640513"/>
    <n v="2416.6253558151625"/>
    <n v="26411.378055120174"/>
    <n v="26483.564193502287"/>
    <n v="52894.942248622443"/>
    <n v="0"/>
    <n v="0"/>
    <n v="1"/>
    <n v="0"/>
    <n v="0"/>
    <n v="1"/>
    <n v="52894.942248622443"/>
    <n v="0"/>
    <n v="0"/>
    <n v="52894.942248622443"/>
    <s v="Type A  _x000a_2AM-MRY1325"/>
    <s v="Added"/>
    <n v="2017"/>
    <s v="Direct "/>
    <m/>
    <m/>
    <m/>
    <m/>
    <n v="1"/>
    <m/>
    <m/>
    <m/>
    <m/>
    <m/>
    <n v="0"/>
    <m/>
    <n v="0"/>
    <n v="0"/>
    <n v="52894.942248622443"/>
    <n v="0"/>
    <n v="0"/>
    <n v="0"/>
    <n v="0"/>
    <n v="0"/>
  </r>
  <r>
    <x v="0"/>
    <x v="0"/>
    <x v="0"/>
    <x v="0"/>
    <x v="0"/>
    <x v="0"/>
    <x v="0"/>
    <x v="0"/>
    <m/>
    <m/>
    <s v="A2"/>
    <s v="Fill Application"/>
    <s v="Fill"/>
    <s v="Site Works"/>
    <s v="Fill Application"/>
    <s v="Fill Application"/>
    <s v="Fill Application - 2015"/>
    <m/>
    <n v="378"/>
    <s v="m2"/>
    <n v="0.24456421316628418"/>
    <n v="2.0270868355782152"/>
    <n v="22.154098746081509"/>
    <n v="22.214649120790398"/>
    <n v="44.368747866871892"/>
    <n v="92.445272576855416"/>
    <n v="766.2388238485654"/>
    <n v="8374.2493260188112"/>
    <n v="8397.13736765877"/>
    <n v="16771.386693677574"/>
    <n v="0"/>
    <n v="0"/>
    <n v="1"/>
    <n v="0"/>
    <n v="0"/>
    <n v="1"/>
    <n v="16771.386693677574"/>
    <n v="0"/>
    <n v="0"/>
    <n v="16771.386693677574"/>
    <s v="Type A  _x000a_2AM-MRY1325"/>
    <s v="Modified"/>
    <n v="2015"/>
    <s v="Direct "/>
    <m/>
    <m/>
    <m/>
    <m/>
    <n v="1"/>
    <m/>
    <m/>
    <m/>
    <m/>
    <m/>
    <n v="0"/>
    <m/>
    <n v="0"/>
    <n v="0"/>
    <n v="16771.386693677574"/>
    <n v="0"/>
    <n v="0"/>
    <n v="0"/>
    <n v="0"/>
    <n v="0"/>
  </r>
  <r>
    <x v="0"/>
    <x v="0"/>
    <x v="0"/>
    <x v="0"/>
    <x v="0"/>
    <x v="0"/>
    <x v="0"/>
    <x v="0"/>
    <m/>
    <m/>
    <s v="A2"/>
    <s v="Fill Application"/>
    <s v="Fill"/>
    <s v="Site Works"/>
    <s v="Fill Application"/>
    <s v="Fill Application"/>
    <s v="Fill Application - 2016"/>
    <m/>
    <n v="656.33333333333337"/>
    <s v="m2"/>
    <n v="0.24456421316628418"/>
    <n v="2.0270868355782152"/>
    <n v="22.154098746081509"/>
    <n v="22.214649120790398"/>
    <n v="44.368747866871892"/>
    <n v="160.51564524147119"/>
    <n v="1330.4446597511687"/>
    <n v="14540.473477011497"/>
    <n v="14580.214706278764"/>
    <n v="29120.688183290255"/>
    <n v="0"/>
    <n v="0"/>
    <n v="1"/>
    <n v="0"/>
    <n v="0"/>
    <n v="1"/>
    <n v="29120.688183290255"/>
    <n v="0"/>
    <n v="0"/>
    <n v="29120.688183290255"/>
    <s v="Type A  _x000a_2AM-MRY1325"/>
    <s v="Added"/>
    <n v="2016"/>
    <s v="Direct "/>
    <m/>
    <m/>
    <m/>
    <m/>
    <n v="1"/>
    <m/>
    <m/>
    <m/>
    <m/>
    <m/>
    <n v="0"/>
    <m/>
    <n v="0"/>
    <n v="0"/>
    <n v="29120.688183290255"/>
    <n v="0"/>
    <n v="0"/>
    <n v="0"/>
    <n v="0"/>
    <n v="0"/>
  </r>
  <r>
    <x v="0"/>
    <x v="0"/>
    <x v="0"/>
    <x v="0"/>
    <x v="0"/>
    <x v="0"/>
    <x v="0"/>
    <x v="0"/>
    <m/>
    <m/>
    <s v="A2"/>
    <s v="Fill Application"/>
    <s v="Fill"/>
    <s v="Site Works"/>
    <s v="Fill Application"/>
    <s v="Fill Application"/>
    <s v="Fill Application - 2015 A"/>
    <m/>
    <n v="8.0268695731074189"/>
    <s v="m2"/>
    <n v="0.24456421316628418"/>
    <n v="2.0270868355782152"/>
    <n v="22.154098746081509"/>
    <n v="22.214649120790398"/>
    <n v="44.368747866871892"/>
    <n v="1.9630850413354033"/>
    <n v="16.271161642549377"/>
    <n v="177.82806114453888"/>
    <n v="178.31409110492993"/>
    <n v="356.14215224946867"/>
    <n v="0"/>
    <n v="0"/>
    <n v="1"/>
    <n v="0"/>
    <n v="0"/>
    <n v="1"/>
    <n v="356.14215224946867"/>
    <n v="0"/>
    <n v="0"/>
    <n v="356.14215224946867"/>
    <s v="Type A  _x000a_2AM-MRY1325"/>
    <s v="Modified"/>
    <s v="2015 A"/>
    <s v="Direct "/>
    <m/>
    <m/>
    <m/>
    <m/>
    <n v="1"/>
    <m/>
    <m/>
    <m/>
    <m/>
    <m/>
    <n v="0"/>
    <m/>
    <n v="0"/>
    <n v="0"/>
    <n v="356.14215224946867"/>
    <n v="0"/>
    <n v="0"/>
    <n v="0"/>
    <n v="0"/>
    <n v="0"/>
  </r>
  <r>
    <x v="0"/>
    <x v="0"/>
    <x v="0"/>
    <x v="0"/>
    <x v="0"/>
    <x v="0"/>
    <x v="0"/>
    <x v="0"/>
    <m/>
    <s v=""/>
    <s v="A3"/>
    <s v="Grade &amp; Re-Contour"/>
    <s v="A2"/>
    <s v="Site Works"/>
    <s v="Grade and Re-Contour"/>
    <s v="Grade and Contour"/>
    <s v="Additional Laydown Areas "/>
    <m/>
    <n v="0"/>
    <s v="m2"/>
    <n v="1.2689880937499998E-2"/>
    <n v="0.14624999999999999"/>
    <n v="1.2689880937499998"/>
    <n v="0.39654534577546297"/>
    <n v="1.8102953457754629"/>
    <n v="0"/>
    <n v="0"/>
    <n v="0"/>
    <n v="0"/>
    <n v="0"/>
    <n v="0"/>
    <n v="0"/>
    <n v="1"/>
    <n v="0"/>
    <n v="0"/>
    <n v="1"/>
    <n v="0"/>
    <n v="0"/>
    <n v="0"/>
    <n v="0"/>
    <s v="Type A  _x000a_2AM-MRY1325"/>
    <s v="Removed"/>
    <n v="2015"/>
    <s v="Direct "/>
    <m/>
    <m/>
    <n v="0.33333333333333331"/>
    <n v="0.33333333333333331"/>
    <n v="0.33333333333333331"/>
    <m/>
    <m/>
    <m/>
    <m/>
    <m/>
    <n v="0"/>
    <m/>
    <n v="0"/>
    <n v="0"/>
    <n v="0"/>
    <n v="0"/>
    <n v="0"/>
    <n v="0"/>
    <n v="0"/>
    <n v="0"/>
  </r>
  <r>
    <x v="0"/>
    <x v="0"/>
    <x v="0"/>
    <x v="0"/>
    <x v="0"/>
    <x v="0"/>
    <x v="0"/>
    <x v="0"/>
    <m/>
    <m/>
    <s v="A2"/>
    <s v="Fill Application"/>
    <s v="Fill"/>
    <s v="Site Works"/>
    <s v="Fill Application"/>
    <s v="Fill Application"/>
    <s v="Fill Application - 2015 R"/>
    <m/>
    <n v="4660.916666666667"/>
    <s v="m2"/>
    <n v="0.24456421316628418"/>
    <n v="2.0270868355782152"/>
    <n v="22.154098746081509"/>
    <n v="22.214649120790398"/>
    <n v="44.368747866871892"/>
    <n v="1139.8934172169534"/>
    <n v="9448.0828167270975"/>
    <n v="103258.40808059041"/>
    <n v="103540.62833124399"/>
    <n v="206799.03641183433"/>
    <n v="0"/>
    <n v="0"/>
    <n v="1"/>
    <n v="0"/>
    <n v="0"/>
    <n v="1"/>
    <n v="206799.03641183433"/>
    <n v="0"/>
    <n v="0"/>
    <n v="206799.03641183433"/>
    <s v="Type A  _x000a_2AM-MRY1325"/>
    <s v="Added"/>
    <s v="2015 R"/>
    <s v="Direct "/>
    <m/>
    <m/>
    <m/>
    <m/>
    <n v="1"/>
    <m/>
    <m/>
    <m/>
    <m/>
    <m/>
    <n v="0"/>
    <m/>
    <n v="0"/>
    <n v="0"/>
    <n v="206799.03641183433"/>
    <n v="0"/>
    <n v="0"/>
    <n v="0"/>
    <n v="0"/>
    <n v="0"/>
  </r>
  <r>
    <x v="0"/>
    <x v="0"/>
    <x v="0"/>
    <x v="0"/>
    <x v="0"/>
    <x v="0"/>
    <x v="0"/>
    <x v="0"/>
    <m/>
    <m/>
    <s v="A2"/>
    <s v="Fill Application"/>
    <s v="Fill"/>
    <s v="Site Works"/>
    <s v="Fill Application"/>
    <s v="Fill Application"/>
    <s v="Fill Application - 2014"/>
    <m/>
    <n v="11767.911338283908"/>
    <s v="m2"/>
    <n v="0.24456421316628418"/>
    <n v="2.0270868355782152"/>
    <n v="22.154098746081509"/>
    <n v="22.214649120790398"/>
    <n v="44.368747866871892"/>
    <n v="2878.0099770579982"/>
    <n v="23854.578156086925"/>
    <n v="260707.46982347389"/>
    <n v="261420.02126454798"/>
    <n v="522127.49108802166"/>
    <n v="0"/>
    <n v="0"/>
    <n v="1"/>
    <n v="0"/>
    <n v="0"/>
    <n v="1"/>
    <n v="522127.49108802166"/>
    <n v="0"/>
    <n v="0"/>
    <n v="522127.49108802166"/>
    <s v="Type A  _x000a_2AM-MRY1325"/>
    <s v="Modified"/>
    <n v="2014"/>
    <s v="Direct "/>
    <m/>
    <m/>
    <m/>
    <m/>
    <n v="1"/>
    <m/>
    <m/>
    <m/>
    <m/>
    <m/>
    <n v="0"/>
    <m/>
    <n v="0"/>
    <n v="0"/>
    <n v="522127.49108802166"/>
    <n v="0"/>
    <n v="0"/>
    <n v="0"/>
    <n v="0"/>
    <n v="0"/>
  </r>
  <r>
    <x v="0"/>
    <x v="0"/>
    <x v="1"/>
    <x v="1"/>
    <x v="1"/>
    <x v="1"/>
    <x v="1"/>
    <x v="1"/>
    <m/>
    <m/>
    <m/>
    <m/>
    <m/>
    <m/>
    <m/>
    <m/>
    <m/>
    <m/>
    <m/>
    <m/>
    <m/>
    <m/>
    <m/>
    <m/>
    <m/>
    <m/>
    <m/>
    <m/>
    <m/>
    <m/>
    <m/>
    <m/>
    <m/>
    <m/>
    <m/>
    <m/>
    <m/>
    <m/>
    <m/>
    <m/>
    <m/>
    <m/>
    <m/>
    <m/>
    <m/>
    <m/>
    <m/>
    <m/>
    <m/>
    <m/>
    <m/>
    <m/>
    <m/>
    <m/>
    <m/>
    <m/>
    <m/>
    <m/>
    <m/>
    <m/>
    <m/>
    <m/>
    <m/>
    <m/>
  </r>
  <r>
    <x v="1"/>
    <x v="1"/>
    <x v="2"/>
    <x v="2"/>
    <x v="2"/>
    <x v="2"/>
    <x v="2"/>
    <x v="2"/>
    <s v="129"/>
    <s v="CV-"/>
    <s v="CV"/>
    <s v="Reclaim Conveyor"/>
    <s v="CV"/>
    <s v="Mechanical Equipment"/>
    <s v="Reclaim Conveyor"/>
    <m/>
    <s v="CONVEYING  - RECLAIM CONVEYOR - FAM  _x000a_L: 850000, W: 1524, H: 47000 VERTICAL LIFT SEE REMARKS kg"/>
    <s v="2342-CV-001"/>
    <n v="1"/>
    <s v="ea"/>
    <n v="5018.3999999999996"/>
    <n v="75276"/>
    <n v="501405.31097142858"/>
    <n v="752760"/>
    <n v="1329441.3109714286"/>
    <n v="5018.3999999999996"/>
    <n v="75276"/>
    <n v="501405.31097142858"/>
    <n v="752760"/>
    <n v="1329441.3109714286"/>
    <n v="1020"/>
    <n v="1020"/>
    <n v="1"/>
    <n v="0"/>
    <n v="0"/>
    <n v="1"/>
    <n v="1329441.3109714286"/>
    <n v="0"/>
    <n v="0"/>
    <n v="1329441.3109714286"/>
    <s v="Type B Construction_x000a_2BC-MRY1416"/>
    <m/>
    <n v="2014"/>
    <s v="Direct "/>
    <m/>
    <m/>
    <n v="0.33333333333333331"/>
    <n v="0.33333333333333331"/>
    <n v="0.33333333333333331"/>
    <m/>
    <m/>
    <m/>
    <m/>
    <m/>
    <n v="0"/>
    <m/>
    <n v="443147.10365714284"/>
    <n v="443147.10365714284"/>
    <n v="443147.10365714284"/>
    <n v="0"/>
    <n v="0"/>
    <n v="0"/>
    <n v="0"/>
    <n v="0"/>
  </r>
  <r>
    <x v="1"/>
    <x v="1"/>
    <x v="3"/>
    <x v="3"/>
    <x v="3"/>
    <x v="3"/>
    <x v="3"/>
    <x v="3"/>
    <m/>
    <s v="BLD"/>
    <s v="FF1"/>
    <s v="Modular Building Not Contaminated (480 ft2)"/>
    <s v="FS"/>
    <s v="Buildings (Not Contaminated)"/>
    <s v="Prefabricated Special Modular"/>
    <m/>
    <s v="380 man temporary hardwall camp at Milne Port inclusive of kitchen, dining, locker, recreational and washroom (assume footprint of 10,720 m2)"/>
    <m/>
    <n v="10720"/>
    <s v="m2"/>
    <n v="0.22416666666666665"/>
    <n v="3.3624999999999998"/>
    <n v="22.397249563492064"/>
    <n v="33.625"/>
    <n v="59.384749563492065"/>
    <n v="2403.0666666666666"/>
    <n v="36046"/>
    <n v="240098.51532063494"/>
    <n v="360460"/>
    <n v="636604.51532063494"/>
    <n v="1"/>
    <n v="10720"/>
    <n v="1"/>
    <n v="0"/>
    <n v="0"/>
    <n v="1"/>
    <n v="636604.51532063494"/>
    <n v="0"/>
    <n v="0"/>
    <n v="636604.51532063494"/>
    <s v="Type B Construction_x000a_2BC-MRY1416"/>
    <s v="Added"/>
    <s v="2017-A"/>
    <s v="Direct "/>
    <m/>
    <m/>
    <n v="0.33333333333333331"/>
    <n v="0.33333333333333331"/>
    <n v="0.33333333333333331"/>
    <m/>
    <m/>
    <m/>
    <m/>
    <m/>
    <n v="0"/>
    <m/>
    <n v="212201.50510687829"/>
    <n v="212201.50510687829"/>
    <n v="212201.50510687829"/>
    <n v="0"/>
    <n v="0"/>
    <n v="0"/>
    <n v="0"/>
    <n v="0"/>
  </r>
  <r>
    <x v="1"/>
    <x v="1"/>
    <x v="2"/>
    <x v="2"/>
    <x v="4"/>
    <x v="2"/>
    <x v="4"/>
    <x v="4"/>
    <m/>
    <s v=""/>
    <s v="A3"/>
    <s v="Grade &amp; Re-Contour"/>
    <s v="A2"/>
    <s v="Site Works"/>
    <s v="Grade and Re-Contour"/>
    <s v="Grade and Contour"/>
    <s v="Ore Stockpile Laydown"/>
    <m/>
    <n v="230545.88"/>
    <s v="m2"/>
    <n v="1.2689880937499998E-2"/>
    <n v="0.14624999999999999"/>
    <n v="1.2689880937499998"/>
    <n v="0.39654534577546297"/>
    <n v="1.8102953457754629"/>
    <n v="2925.5997678311624"/>
    <n v="33717.334949999997"/>
    <n v="292559.97678311617"/>
    <n v="91421.895701708389"/>
    <n v="417699.20743482455"/>
    <n v="0"/>
    <n v="0"/>
    <n v="1"/>
    <n v="0"/>
    <n v="0"/>
    <n v="1"/>
    <n v="417699.20743482455"/>
    <n v="0"/>
    <n v="0"/>
    <n v="417699.20743482455"/>
    <s v="Type B Construction_x000a_2BC-MRY1416"/>
    <m/>
    <n v="2014"/>
    <s v="Direct "/>
    <m/>
    <m/>
    <n v="0.33333333333333331"/>
    <n v="0.33333333333333331"/>
    <n v="0.33333333333333331"/>
    <m/>
    <m/>
    <m/>
    <m/>
    <m/>
    <n v="0"/>
    <m/>
    <n v="139233.06914494152"/>
    <n v="139233.06914494152"/>
    <n v="139233.06914494152"/>
    <n v="0"/>
    <n v="0"/>
    <n v="0"/>
    <n v="0"/>
    <n v="0"/>
  </r>
  <r>
    <x v="1"/>
    <x v="1"/>
    <x v="3"/>
    <x v="3"/>
    <x v="5"/>
    <x v="4"/>
    <x v="5"/>
    <x v="5"/>
    <m/>
    <m/>
    <s v="A3"/>
    <s v="Grade &amp; Re-Contour"/>
    <s v="A2"/>
    <s v="Site Works"/>
    <s v="Grade and Re-Contour"/>
    <s v="Grade and Contour"/>
    <s v="Laydown Pad development (Milne Port)"/>
    <m/>
    <n v="150000"/>
    <s v="m2"/>
    <n v="1.2689880937499998E-2"/>
    <n v="0.14624999999999999"/>
    <n v="1.2689880937499998"/>
    <n v="0.39654534577546297"/>
    <n v="1.8102953457754629"/>
    <n v="1903.4821406249998"/>
    <n v="21937.5"/>
    <n v="190348.21406249996"/>
    <n v="59481.801866319445"/>
    <n v="271767.51592881943"/>
    <n v="0"/>
    <n v="0"/>
    <n v="1"/>
    <n v="0"/>
    <n v="0"/>
    <n v="1"/>
    <n v="271767.51592881943"/>
    <n v="0"/>
    <n v="0"/>
    <n v="271767.51592881943"/>
    <s v="Type A  _x000a_2AM-MRY1325"/>
    <s v="Added"/>
    <s v="2017-A"/>
    <s v="Direct "/>
    <m/>
    <m/>
    <n v="0.33333333333333331"/>
    <n v="0.33333333333333331"/>
    <n v="0.33333333333333331"/>
    <m/>
    <m/>
    <m/>
    <m/>
    <m/>
    <n v="0"/>
    <m/>
    <n v="90589.171976273137"/>
    <n v="90589.171976273137"/>
    <n v="90589.171976273137"/>
    <n v="0"/>
    <n v="0"/>
    <n v="0"/>
    <n v="0"/>
    <n v="0"/>
  </r>
  <r>
    <x v="1"/>
    <x v="1"/>
    <x v="3"/>
    <x v="3"/>
    <x v="3"/>
    <x v="3"/>
    <x v="6"/>
    <x v="3"/>
    <m/>
    <m/>
    <s v="CON"/>
    <s v="Consumables"/>
    <s v="CON"/>
    <m/>
    <s v="Consumables"/>
    <m/>
    <s v="Addition of 380 person camp at Milne Port"/>
    <m/>
    <n v="380"/>
    <s v="Bed Space"/>
    <n v="0"/>
    <n v="700.80090909090916"/>
    <n v="0"/>
    <n v="0"/>
    <n v="700.80090909090916"/>
    <n v="0"/>
    <n v="266304.34545454546"/>
    <n v="0"/>
    <n v="0"/>
    <n v="266304.34545454546"/>
    <n v="0"/>
    <n v="0"/>
    <n v="1"/>
    <n v="0"/>
    <n v="0"/>
    <n v="1"/>
    <n v="266304.34545454546"/>
    <n v="0"/>
    <n v="0"/>
    <n v="266304.34545454546"/>
    <s v="Type A  _x000a_2AM-MRY1325"/>
    <s v="Added"/>
    <s v="2017-A"/>
    <s v="Direct "/>
    <m/>
    <m/>
    <m/>
    <m/>
    <n v="1"/>
    <m/>
    <m/>
    <m/>
    <m/>
    <m/>
    <n v="0"/>
    <m/>
    <n v="0"/>
    <n v="0"/>
    <n v="266304.34545454546"/>
    <n v="0"/>
    <n v="0"/>
    <n v="0"/>
    <n v="0"/>
    <n v="0"/>
  </r>
  <r>
    <x v="1"/>
    <x v="1"/>
    <x v="3"/>
    <x v="3"/>
    <x v="3"/>
    <x v="3"/>
    <x v="3"/>
    <x v="3"/>
    <m/>
    <s v="BLD"/>
    <s v="CS"/>
    <s v="Slab on Grade - ASSUME 300mm thick"/>
    <s v="CS"/>
    <s v="Flooring / Foundations"/>
    <s v="Slab on Grade"/>
    <m/>
    <s v="Pre-Cast Concrete Foundations (Mobilized to Site)"/>
    <m/>
    <n v="8000"/>
    <s v="m2"/>
    <n v="0.125"/>
    <n v="1.875"/>
    <n v="12.48917261904762"/>
    <n v="18.75"/>
    <n v="33.114172619047622"/>
    <n v="1000"/>
    <n v="15000"/>
    <n v="99913.380952380961"/>
    <n v="150000"/>
    <n v="264913.38095238095"/>
    <n v="0"/>
    <n v="0"/>
    <n v="1"/>
    <n v="0"/>
    <n v="0"/>
    <n v="1"/>
    <n v="264913.38095238095"/>
    <n v="0"/>
    <n v="0"/>
    <n v="264913.38095238095"/>
    <s v="Type B Construction_x000a_2BC-MRY1416"/>
    <s v="Added"/>
    <s v="2017-A"/>
    <s v="Direct "/>
    <m/>
    <m/>
    <n v="0.33333333333333331"/>
    <n v="0.33333333333333331"/>
    <n v="0.33333333333333331"/>
    <m/>
    <m/>
    <m/>
    <m/>
    <m/>
    <n v="0"/>
    <m/>
    <n v="88304.460317460311"/>
    <n v="88304.460317460311"/>
    <n v="88304.460317460311"/>
    <n v="0"/>
    <n v="0"/>
    <n v="0"/>
    <n v="0"/>
    <n v="0"/>
  </r>
  <r>
    <x v="2"/>
    <x v="2"/>
    <x v="4"/>
    <x v="4"/>
    <x v="6"/>
    <x v="5"/>
    <x v="7"/>
    <x v="6"/>
    <m/>
    <m/>
    <m/>
    <s v="Indirect"/>
    <s v="Indirect"/>
    <s v="Indirect"/>
    <s v="Indirect"/>
    <m/>
    <s v="Contingency "/>
    <m/>
    <m/>
    <m/>
    <m/>
    <m/>
    <m/>
    <m/>
    <m/>
    <m/>
    <m/>
    <m/>
    <m/>
    <n v="3494085.273461781"/>
    <n v="0"/>
    <n v="0"/>
    <n v="0.96638197921440028"/>
    <n v="3.3618020785599723E-2"/>
    <n v="0"/>
    <n v="1"/>
    <n v="2327601.8948908984"/>
    <n v="80971.469425221148"/>
    <n v="0"/>
    <n v="3494085.273461781"/>
    <s v="Type A  _x000a_2AM-MRY1325"/>
    <s v="Added"/>
    <n v="2018"/>
    <s v="Indirect"/>
    <m/>
    <m/>
    <n v="1"/>
    <m/>
    <m/>
    <m/>
    <m/>
    <m/>
    <m/>
    <m/>
    <n v="0"/>
    <m/>
    <n v="3494085.273461781"/>
    <n v="0"/>
    <n v="0"/>
    <n v="0"/>
    <n v="0"/>
    <n v="0"/>
    <n v="0"/>
    <n v="0"/>
  </r>
  <r>
    <x v="1"/>
    <x v="1"/>
    <x v="2"/>
    <x v="2"/>
    <x v="4"/>
    <x v="2"/>
    <x v="4"/>
    <x v="4"/>
    <m/>
    <s v=""/>
    <s v="A3"/>
    <s v="Grade &amp; Re-Contour"/>
    <s v="A2"/>
    <s v="Site Works"/>
    <s v="Grade and Re-Contour"/>
    <s v="Grade and Contour"/>
    <s v="Ore Stockpile Footprints"/>
    <m/>
    <n v="128865.8"/>
    <s v="m2"/>
    <n v="1.2689880937499998E-2"/>
    <n v="0.14624999999999999"/>
    <n v="1.2689880937499998"/>
    <n v="0.39654534577546297"/>
    <n v="1.8102953457754629"/>
    <n v="1635.2916589156873"/>
    <n v="18846.623250000001"/>
    <n v="163529.16589156873"/>
    <n v="51101.133219631658"/>
    <n v="233476.92236120038"/>
    <n v="0"/>
    <n v="0"/>
    <n v="1"/>
    <n v="0"/>
    <n v="0"/>
    <n v="1"/>
    <n v="233476.92236120038"/>
    <n v="0"/>
    <n v="0"/>
    <n v="233476.92236120038"/>
    <s v="Type B Construction_x000a_2BC-MRY1416"/>
    <m/>
    <n v="2014"/>
    <s v="Direct "/>
    <m/>
    <m/>
    <n v="0.33333333333333331"/>
    <n v="0.33333333333333331"/>
    <n v="0.33333333333333331"/>
    <m/>
    <m/>
    <m/>
    <m/>
    <m/>
    <n v="0"/>
    <m/>
    <n v="77825.64078706679"/>
    <n v="77825.64078706679"/>
    <n v="77825.64078706679"/>
    <n v="0"/>
    <n v="0"/>
    <n v="0"/>
    <n v="0"/>
    <n v="0"/>
  </r>
  <r>
    <x v="1"/>
    <x v="1"/>
    <x v="2"/>
    <x v="2"/>
    <x v="2"/>
    <x v="2"/>
    <x v="2"/>
    <x v="2"/>
    <s v="129"/>
    <s v="CV-"/>
    <s v="CV"/>
    <s v="Reclaim Conveyor"/>
    <s v="CV"/>
    <s v="Mechanical Equipment"/>
    <s v="Reclaim Conveyor"/>
    <m/>
    <s v="Cross' Conveyor at Ore Stockpile Pad (assume 1/6 length of existing shiploader conveyor)"/>
    <m/>
    <n v="0.16666666666666666"/>
    <s v="ea"/>
    <n v="5018.3999999999996"/>
    <n v="75276"/>
    <n v="501405.31097142858"/>
    <n v="752760"/>
    <n v="1329441.3109714286"/>
    <n v="836.39999999999986"/>
    <n v="12546"/>
    <n v="83567.551828571421"/>
    <n v="125460"/>
    <n v="221573.55182857142"/>
    <n v="1020"/>
    <n v="170"/>
    <n v="1"/>
    <n v="0"/>
    <n v="0"/>
    <n v="1"/>
    <n v="221573.55182857142"/>
    <n v="0"/>
    <n v="0"/>
    <n v="221573.55182857142"/>
    <s v="Type A  _x000a_2AM-MRY1325"/>
    <s v="Added"/>
    <n v="2017"/>
    <s v="Direct "/>
    <m/>
    <m/>
    <n v="0.33333333333333331"/>
    <n v="0.33333333333333331"/>
    <n v="0.33333333333333331"/>
    <m/>
    <m/>
    <m/>
    <m/>
    <m/>
    <n v="0"/>
    <m/>
    <n v="73857.850609523797"/>
    <n v="73857.850609523797"/>
    <n v="73857.850609523797"/>
    <n v="0"/>
    <n v="0"/>
    <n v="0"/>
    <n v="0"/>
    <n v="0"/>
  </r>
  <r>
    <x v="1"/>
    <x v="1"/>
    <x v="5"/>
    <x v="5"/>
    <x v="7"/>
    <x v="6"/>
    <x v="8"/>
    <x v="7"/>
    <s v="480"/>
    <s v="In Meters"/>
    <s v="piping"/>
    <s v="Piping"/>
    <s v="Piping"/>
    <s v="Bulks"/>
    <s v="Piping"/>
    <m/>
    <s v="Treated Effluent Piping - Piping Installation - STP to effluent pond and ocean discharge"/>
    <s v="2734.1-P"/>
    <n v="2595"/>
    <s v="m"/>
    <n v="0.25"/>
    <n v="3.75"/>
    <n v="24.97834523809524"/>
    <n v="37.5"/>
    <n v="66.228345238095244"/>
    <n v="648.75"/>
    <n v="9731.25"/>
    <n v="64818.805892857148"/>
    <n v="97312.5"/>
    <n v="171862.55589285714"/>
    <n v="1.0000000000000002E-2"/>
    <n v="25.950000000000006"/>
    <n v="1"/>
    <n v="0"/>
    <n v="1"/>
    <n v="0"/>
    <n v="171862.55589285714"/>
    <n v="0"/>
    <n v="171862.55589285714"/>
    <n v="0"/>
    <s v="Type B Construction_x000a_2BC-MRY1416"/>
    <m/>
    <n v="2014"/>
    <s v="Direct "/>
    <m/>
    <m/>
    <n v="0.33333333333333331"/>
    <n v="0.33333333333333331"/>
    <n v="0.33333333333333331"/>
    <m/>
    <m/>
    <m/>
    <m/>
    <m/>
    <n v="0"/>
    <m/>
    <n v="57287.518630952378"/>
    <n v="57287.518630952378"/>
    <n v="57287.518630952378"/>
    <n v="0"/>
    <n v="0"/>
    <n v="0"/>
    <n v="0"/>
    <n v="0"/>
  </r>
  <r>
    <x v="1"/>
    <x v="1"/>
    <x v="6"/>
    <x v="6"/>
    <x v="8"/>
    <x v="7"/>
    <x v="9"/>
    <x v="8"/>
    <s v="398"/>
    <s v="TK-"/>
    <s v="MT4-d"/>
    <s v="Largest Diesel Tanks (10M L to 12M L)"/>
    <s v="MT4-d"/>
    <s v="Mechanical Equipment"/>
    <s v="Largest Diesel Tanks"/>
    <m/>
    <s v="TANK  - ARCTIC DIESEL TANK W: 27800 DI _x000a_H: 15250 "/>
    <s v="2613-TK-001"/>
    <n v="1"/>
    <s v="ea"/>
    <n v="679.40000000000009"/>
    <n v="9417"/>
    <n v="67881.151019047626"/>
    <n v="94170"/>
    <n v="171468.15101904763"/>
    <n v="679.40000000000009"/>
    <n v="9417"/>
    <n v="67881.151019047626"/>
    <n v="94170"/>
    <n v="171468.15101904763"/>
    <n v="160"/>
    <n v="160"/>
    <n v="1"/>
    <n v="0"/>
    <n v="0"/>
    <n v="1"/>
    <n v="171468.15101904763"/>
    <n v="0"/>
    <n v="0"/>
    <n v="171468.15101904763"/>
    <s v="Type B Construction_x000a_2BC-MRY1416"/>
    <m/>
    <n v="2014"/>
    <s v="Direct "/>
    <m/>
    <m/>
    <n v="0.5"/>
    <n v="0.5"/>
    <m/>
    <m/>
    <m/>
    <m/>
    <m/>
    <m/>
    <n v="0"/>
    <m/>
    <n v="85734.075509523813"/>
    <n v="85734.075509523813"/>
    <n v="0"/>
    <n v="0"/>
    <n v="0"/>
    <n v="0"/>
    <n v="0"/>
    <n v="0"/>
  </r>
  <r>
    <x v="1"/>
    <x v="1"/>
    <x v="6"/>
    <x v="6"/>
    <x v="8"/>
    <x v="7"/>
    <x v="9"/>
    <x v="8"/>
    <s v="399"/>
    <s v="TK-"/>
    <s v="MT4-d"/>
    <s v="Largest Diesel Tanks (10M L to 12M L)"/>
    <s v="MT4-d"/>
    <s v="Mechanical Equipment"/>
    <s v="Largest Diesel Tanks"/>
    <m/>
    <s v="TANK  - ARCTIC DIESEL TANK W: 27800 DI _x000a_H: 15250 "/>
    <s v="2613-TK-002"/>
    <n v="1"/>
    <s v="ea"/>
    <n v="679.40000000000009"/>
    <n v="9417"/>
    <n v="67881.151019047626"/>
    <n v="94170"/>
    <n v="171468.15101904763"/>
    <n v="679.40000000000009"/>
    <n v="9417"/>
    <n v="67881.151019047626"/>
    <n v="94170"/>
    <n v="171468.15101904763"/>
    <n v="160"/>
    <n v="160"/>
    <n v="1"/>
    <n v="0"/>
    <n v="0"/>
    <n v="1"/>
    <n v="171468.15101904763"/>
    <n v="0"/>
    <n v="0"/>
    <n v="171468.15101904763"/>
    <s v="Type B Construction_x000a_2BC-MRY1416"/>
    <m/>
    <n v="2014"/>
    <s v="Direct "/>
    <m/>
    <m/>
    <n v="0.5"/>
    <n v="0.5"/>
    <m/>
    <m/>
    <m/>
    <m/>
    <m/>
    <m/>
    <n v="0"/>
    <m/>
    <n v="85734.075509523813"/>
    <n v="85734.075509523813"/>
    <n v="0"/>
    <n v="0"/>
    <n v="0"/>
    <n v="0"/>
    <n v="0"/>
    <n v="0"/>
  </r>
  <r>
    <x v="1"/>
    <x v="1"/>
    <x v="6"/>
    <x v="6"/>
    <x v="8"/>
    <x v="7"/>
    <x v="9"/>
    <x v="8"/>
    <s v="400"/>
    <s v="TK-"/>
    <s v="MT4-d"/>
    <s v="Largest Diesel Tanks (10M L to 12M L)"/>
    <s v="MT4-d"/>
    <s v="Mechanical Equipment"/>
    <s v="Largest Diesel Tanks"/>
    <m/>
    <s v="TANK  - ARCTIC DIESEL TANK W: 27800 DI _x000a_H: 15250 "/>
    <s v="2613-TK-003"/>
    <n v="1"/>
    <s v="ea"/>
    <n v="679.40000000000009"/>
    <n v="9417"/>
    <n v="67881.151019047626"/>
    <n v="94170"/>
    <n v="171468.15101904763"/>
    <n v="679.40000000000009"/>
    <n v="9417"/>
    <n v="67881.151019047626"/>
    <n v="94170"/>
    <n v="171468.15101904763"/>
    <n v="160"/>
    <n v="160"/>
    <n v="1"/>
    <n v="0"/>
    <n v="0"/>
    <n v="1"/>
    <n v="171468.15101904763"/>
    <n v="0"/>
    <n v="0"/>
    <n v="171468.15101904763"/>
    <s v="Type B Construction_x000a_2BC-MRY1416"/>
    <m/>
    <n v="2014"/>
    <s v="Direct "/>
    <m/>
    <m/>
    <n v="0.5"/>
    <n v="0.5"/>
    <m/>
    <m/>
    <m/>
    <m/>
    <m/>
    <m/>
    <n v="0"/>
    <m/>
    <n v="85734.075509523813"/>
    <n v="85734.075509523813"/>
    <n v="0"/>
    <n v="0"/>
    <n v="0"/>
    <n v="0"/>
    <n v="0"/>
    <n v="0"/>
  </r>
  <r>
    <x v="1"/>
    <x v="1"/>
    <x v="6"/>
    <x v="6"/>
    <x v="8"/>
    <x v="7"/>
    <x v="9"/>
    <x v="8"/>
    <s v="401"/>
    <s v="TK-"/>
    <s v="MT4-d"/>
    <s v="Largest Diesel Tanks (10M L to 12M L)"/>
    <s v="MT4-d"/>
    <s v="Mechanical Equipment"/>
    <s v="Largest Diesel Tanks"/>
    <m/>
    <s v="TANK  - ARCTIC DIESEL TANK W: 27800 DI _x000a_H: 15250 "/>
    <s v="2613-TK-004"/>
    <n v="1"/>
    <s v="ea"/>
    <n v="679.40000000000009"/>
    <n v="9417"/>
    <n v="67881.151019047626"/>
    <n v="94170"/>
    <n v="171468.15101904763"/>
    <n v="679.40000000000009"/>
    <n v="9417"/>
    <n v="67881.151019047626"/>
    <n v="94170"/>
    <n v="171468.15101904763"/>
    <n v="160"/>
    <n v="160"/>
    <n v="1"/>
    <n v="0"/>
    <n v="0"/>
    <n v="1"/>
    <n v="171468.15101904763"/>
    <n v="0"/>
    <n v="0"/>
    <n v="171468.15101904763"/>
    <s v="Type B Construction_x000a_2BC-MRY1416"/>
    <m/>
    <n v="2014"/>
    <s v="Direct "/>
    <m/>
    <m/>
    <n v="0.5"/>
    <n v="0.5"/>
    <m/>
    <m/>
    <m/>
    <m/>
    <m/>
    <m/>
    <n v="0"/>
    <m/>
    <n v="85734.075509523813"/>
    <n v="85734.075509523813"/>
    <n v="0"/>
    <n v="0"/>
    <n v="0"/>
    <n v="0"/>
    <n v="0"/>
    <n v="0"/>
  </r>
  <r>
    <x v="1"/>
    <x v="1"/>
    <x v="6"/>
    <x v="6"/>
    <x v="8"/>
    <x v="7"/>
    <x v="9"/>
    <x v="8"/>
    <m/>
    <s v="TK-"/>
    <s v="MT4-d"/>
    <s v="Largest Diesel Tanks (10M L to 12M L)"/>
    <s v="MT4-d"/>
    <s v="Mechanical Equipment"/>
    <s v="Largest Diesel Tanks"/>
    <m/>
    <s v="Additional 15ML Arctic Diesel Tank at Milne Port"/>
    <m/>
    <n v="1"/>
    <s v="ea"/>
    <n v="679.40000000000009"/>
    <n v="9417"/>
    <n v="67881.151019047626"/>
    <n v="94170"/>
    <n v="171468.15101904763"/>
    <n v="679.40000000000009"/>
    <n v="9417"/>
    <n v="67881.151019047626"/>
    <n v="94170"/>
    <n v="171468.15101904763"/>
    <n v="160"/>
    <n v="160"/>
    <n v="1"/>
    <n v="0"/>
    <n v="0"/>
    <n v="1"/>
    <n v="171468.15101904763"/>
    <n v="0"/>
    <n v="0"/>
    <n v="171468.15101904763"/>
    <s v="Type A  _x000a_2AM-MRY1325"/>
    <s v="Added"/>
    <s v="2017-A"/>
    <s v="Direct "/>
    <m/>
    <m/>
    <n v="0.33333333333333331"/>
    <m/>
    <n v="0.33333333333333331"/>
    <m/>
    <m/>
    <m/>
    <m/>
    <n v="0.33333333333333331"/>
    <n v="0"/>
    <m/>
    <n v="57156.050339682537"/>
    <n v="0"/>
    <n v="57156.050339682537"/>
    <n v="0"/>
    <n v="0"/>
    <n v="0"/>
    <n v="0"/>
    <n v="57156.050339682537"/>
  </r>
  <r>
    <x v="1"/>
    <x v="1"/>
    <x v="6"/>
    <x v="6"/>
    <x v="8"/>
    <x v="7"/>
    <x v="9"/>
    <x v="8"/>
    <m/>
    <s v="TK-"/>
    <s v="MT4-d"/>
    <s v="Largest Diesel Tanks (10M L to 12M L)"/>
    <s v="MT4-d"/>
    <s v="Mechanical Equipment"/>
    <s v="Largest Diesel Tanks"/>
    <m/>
    <s v="Additional 3ML Arctic Diesel Tank at Milne Port"/>
    <m/>
    <n v="1"/>
    <s v="ea"/>
    <n v="679.40000000000009"/>
    <n v="9417"/>
    <n v="67881.151019047626"/>
    <n v="94170"/>
    <n v="171468.15101904763"/>
    <n v="679.40000000000009"/>
    <n v="9417"/>
    <n v="67881.151019047626"/>
    <n v="94170"/>
    <n v="171468.15101904763"/>
    <n v="160"/>
    <n v="160"/>
    <n v="1"/>
    <n v="0"/>
    <n v="0"/>
    <n v="1"/>
    <n v="171468.15101904763"/>
    <n v="0"/>
    <n v="0"/>
    <n v="171468.15101904763"/>
    <s v="Type A  _x000a_2AM-MRY1325"/>
    <s v="Added"/>
    <s v="2017-A"/>
    <s v="Direct "/>
    <m/>
    <m/>
    <n v="0.33333333333333331"/>
    <m/>
    <n v="0.33333333333333331"/>
    <m/>
    <m/>
    <m/>
    <m/>
    <n v="0.33333333333333331"/>
    <n v="0"/>
    <m/>
    <n v="57156.050339682537"/>
    <n v="0"/>
    <n v="57156.050339682537"/>
    <n v="0"/>
    <n v="0"/>
    <n v="0"/>
    <n v="0"/>
    <n v="57156.050339682537"/>
  </r>
  <r>
    <x v="3"/>
    <x v="3"/>
    <x v="7"/>
    <x v="7"/>
    <x v="9"/>
    <x v="8"/>
    <x v="10"/>
    <x v="9"/>
    <m/>
    <s v="BLD"/>
    <m/>
    <m/>
    <m/>
    <m/>
    <m/>
    <s v="Lot"/>
    <s v="Car Dumper Module (mobilized in 2018, installed following expansion approval) "/>
    <m/>
    <n v="1"/>
    <s v="ea"/>
    <s v="0"/>
    <s v="0"/>
    <s v="0"/>
    <s v="0"/>
    <n v="2200000"/>
    <n v="0"/>
    <n v="0"/>
    <n v="0"/>
    <n v="0"/>
    <n v="2200000"/>
    <n v="0"/>
    <n v="0"/>
    <n v="1"/>
    <n v="0"/>
    <n v="0"/>
    <n v="1"/>
    <n v="2200000"/>
    <n v="0"/>
    <n v="0"/>
    <n v="2200000"/>
    <s v="Type A  _x000a_2AM-MRY1325"/>
    <s v="Added"/>
    <n v="2018"/>
    <s v="Direct "/>
    <m/>
    <m/>
    <n v="0.33333333333333331"/>
    <n v="0.33333333333333331"/>
    <n v="0.33333333333333331"/>
    <m/>
    <m/>
    <m/>
    <m/>
    <m/>
    <n v="0"/>
    <m/>
    <n v="733333.33333333326"/>
    <n v="733333.33333333326"/>
    <n v="733333.33333333326"/>
    <n v="0"/>
    <n v="0"/>
    <n v="0"/>
    <n v="0"/>
    <n v="0"/>
  </r>
  <r>
    <x v="1"/>
    <x v="1"/>
    <x v="5"/>
    <x v="5"/>
    <x v="10"/>
    <x v="9"/>
    <x v="11"/>
    <x v="10"/>
    <s v="498"/>
    <s v="In Meters"/>
    <s v="cable"/>
    <s v="Cable"/>
    <s v="Cable"/>
    <s v="Bulks"/>
    <s v="Cable"/>
    <m/>
    <s v="Power Distribution System - Electrical Cable Installation 5kV - Electrical distribution system from power gen to e-house"/>
    <s v="2750.2-E"/>
    <n v="6100"/>
    <s v="m"/>
    <n v="0.1"/>
    <n v="1.5"/>
    <n v="9.9913380952380972"/>
    <n v="15"/>
    <n v="26.491338095238099"/>
    <n v="610"/>
    <n v="9150"/>
    <n v="60947.162380952395"/>
    <n v="91500"/>
    <n v="161597.16238095239"/>
    <n v="1.0000000000000002E-2"/>
    <n v="61.000000000000014"/>
    <n v="1"/>
    <n v="0"/>
    <n v="0"/>
    <n v="1"/>
    <n v="161597.16238095239"/>
    <n v="0"/>
    <n v="0"/>
    <n v="161597.16238095239"/>
    <s v="Type B Construction_x000a_2BC-MRY1416"/>
    <m/>
    <n v="2014"/>
    <s v="Direct "/>
    <m/>
    <m/>
    <n v="0.33333333333333331"/>
    <n v="0.33333333333333331"/>
    <n v="0.33333333333333331"/>
    <m/>
    <m/>
    <m/>
    <m/>
    <m/>
    <n v="0"/>
    <m/>
    <n v="53865.720793650791"/>
    <n v="53865.720793650791"/>
    <n v="53865.720793650791"/>
    <n v="0"/>
    <n v="0"/>
    <n v="0"/>
    <n v="0"/>
    <n v="0"/>
  </r>
  <r>
    <x v="1"/>
    <x v="1"/>
    <x v="2"/>
    <x v="2"/>
    <x v="4"/>
    <x v="2"/>
    <x v="4"/>
    <x v="4"/>
    <m/>
    <s v=""/>
    <s v="A3"/>
    <s v="Grade &amp; Re-Contour"/>
    <s v="A2"/>
    <s v="Site Works"/>
    <s v="Grade and Re-Contour"/>
    <s v="Grade and Contour"/>
    <s v="Ore Stockpile Pad Expansion"/>
    <m/>
    <n v="82000"/>
    <s v="m2"/>
    <n v="1.2689880937499998E-2"/>
    <n v="0.14624999999999999"/>
    <n v="1.2689880937499998"/>
    <n v="0.39654534577546297"/>
    <n v="1.8102953457754629"/>
    <n v="1040.5702368749999"/>
    <n v="11992.5"/>
    <n v="104057.02368749998"/>
    <n v="32516.718353587963"/>
    <n v="148566.24204108794"/>
    <n v="0"/>
    <n v="0"/>
    <n v="1"/>
    <n v="0"/>
    <n v="0"/>
    <n v="1"/>
    <n v="148566.24204108794"/>
    <n v="0"/>
    <n v="0"/>
    <n v="148566.24204108794"/>
    <s v="Type B Construction_x000a_2BC-MRY1416"/>
    <s v="Added"/>
    <n v="2017"/>
    <s v="Direct "/>
    <m/>
    <m/>
    <n v="0.33333333333333331"/>
    <n v="0.33333333333333331"/>
    <n v="0.33333333333333331"/>
    <m/>
    <m/>
    <m/>
    <m/>
    <m/>
    <n v="0"/>
    <m/>
    <n v="49522.080680362647"/>
    <n v="49522.080680362647"/>
    <n v="49522.080680362647"/>
    <n v="0"/>
    <n v="0"/>
    <n v="0"/>
    <n v="0"/>
    <n v="0"/>
  </r>
  <r>
    <x v="1"/>
    <x v="1"/>
    <x v="6"/>
    <x v="6"/>
    <x v="11"/>
    <x v="7"/>
    <x v="12"/>
    <x v="11"/>
    <m/>
    <s v=""/>
    <s v="A3l"/>
    <s v="Grade &amp; Re-Contour with Liner"/>
    <s v="A3l"/>
    <s v="Site Works"/>
    <s v="Grade and Re-Contour With Liner"/>
    <m/>
    <s v="Fuel Tank Farm Berm"/>
    <m/>
    <n v="25393"/>
    <s v="m2"/>
    <n v="4.4489880937500004E-2"/>
    <n v="0.17804999999999999"/>
    <n v="4.4489880937499997"/>
    <n v="0.71454534577546303"/>
    <n v="5.3082953457754627"/>
    <n v="1129.7315466459377"/>
    <n v="4521.2236499999999"/>
    <n v="112973.15466459375"/>
    <n v="18144.449965276333"/>
    <n v="135638.8282798701"/>
    <n v="0"/>
    <n v="0"/>
    <n v="1"/>
    <n v="0"/>
    <n v="0"/>
    <n v="1"/>
    <n v="135638.8282798701"/>
    <n v="0"/>
    <n v="0"/>
    <n v="135638.8282798701"/>
    <s v="Type B Construction_x000a_2BC-MRY1416"/>
    <m/>
    <n v="2014"/>
    <s v="Direct "/>
    <m/>
    <m/>
    <n v="0.5"/>
    <n v="0.5"/>
    <m/>
    <m/>
    <m/>
    <m/>
    <m/>
    <m/>
    <n v="0"/>
    <m/>
    <n v="67819.414139935048"/>
    <n v="67819.414139935048"/>
    <n v="0"/>
    <n v="0"/>
    <n v="0"/>
    <n v="0"/>
    <n v="0"/>
    <n v="0"/>
  </r>
  <r>
    <x v="1"/>
    <x v="1"/>
    <x v="5"/>
    <x v="5"/>
    <x v="10"/>
    <x v="9"/>
    <x v="11"/>
    <x v="10"/>
    <s v="499"/>
    <s v="In Meters"/>
    <s v="cable"/>
    <s v="Cable"/>
    <s v="Cable"/>
    <s v="Bulks"/>
    <s v="Cable"/>
    <m/>
    <s v="Power Distribution System - Electrical Cable Installation 600V - Connections from e-house to facilities"/>
    <s v="2750.3-E"/>
    <n v="5000"/>
    <s v="m"/>
    <n v="0.1"/>
    <n v="1.5"/>
    <n v="9.9913380952380972"/>
    <n v="15"/>
    <n v="26.491338095238099"/>
    <n v="500"/>
    <n v="7500"/>
    <n v="49956.690476190488"/>
    <n v="75000"/>
    <n v="132456.69047619047"/>
    <n v="1.0000000000000002E-2"/>
    <n v="50.000000000000007"/>
    <n v="1"/>
    <n v="0"/>
    <n v="0"/>
    <n v="1"/>
    <n v="132456.69047619047"/>
    <n v="0"/>
    <n v="0"/>
    <n v="132456.69047619047"/>
    <s v="Type B Construction_x000a_2BC-MRY1416"/>
    <m/>
    <n v="2014"/>
    <s v="Direct "/>
    <m/>
    <m/>
    <n v="0.33333333333333331"/>
    <n v="0.33333333333333331"/>
    <n v="0.33333333333333331"/>
    <m/>
    <m/>
    <m/>
    <m/>
    <m/>
    <n v="0"/>
    <m/>
    <n v="44152.230158730155"/>
    <n v="44152.230158730155"/>
    <n v="44152.230158730155"/>
    <n v="0"/>
    <n v="0"/>
    <n v="0"/>
    <n v="0"/>
    <n v="0"/>
  </r>
  <r>
    <x v="1"/>
    <x v="1"/>
    <x v="3"/>
    <x v="3"/>
    <x v="5"/>
    <x v="4"/>
    <x v="13"/>
    <x v="12"/>
    <s v="270"/>
    <s v="BLD"/>
    <s v="FF2-c"/>
    <s v="Fold Away Building Contaminated (480 ft2)"/>
    <s v="FFL-c"/>
    <s v="Buildings (Contaminated)"/>
    <s v="Fold Away Building"/>
    <m/>
    <s v="Maintenance Building - Demolish and Decontaminate Building - Fold-away Building (Steel)"/>
    <s v="2521-BLD-001"/>
    <n v="892.19330855018586"/>
    <s v="m2"/>
    <n v="0.56041666666666667"/>
    <n v="2.3537499999999998"/>
    <n v="55.993123908730162"/>
    <n v="84.0625"/>
    <n v="142.40937390873017"/>
    <n v="500"/>
    <n v="2100"/>
    <n v="49956.690476190481"/>
    <n v="75000"/>
    <n v="127056.69047619047"/>
    <n v="1"/>
    <n v="892.19330855018586"/>
    <n v="1"/>
    <n v="0"/>
    <n v="0"/>
    <n v="1"/>
    <n v="127056.69047619047"/>
    <n v="0"/>
    <n v="0"/>
    <n v="127056.69047619047"/>
    <s v="Type B Construction_x000a_2BC-MRY1416"/>
    <m/>
    <n v="2014"/>
    <s v="Direct "/>
    <m/>
    <m/>
    <n v="0.33333333333333331"/>
    <n v="0.33333333333333331"/>
    <n v="0.33333333333333331"/>
    <m/>
    <m/>
    <m/>
    <m/>
    <m/>
    <n v="0"/>
    <m/>
    <n v="42352.230158730155"/>
    <n v="42352.230158730155"/>
    <n v="42352.230158730155"/>
    <n v="0"/>
    <n v="0"/>
    <n v="0"/>
    <n v="0"/>
    <n v="0"/>
  </r>
  <r>
    <x v="1"/>
    <x v="1"/>
    <x v="8"/>
    <x v="8"/>
    <x v="12"/>
    <x v="10"/>
    <x v="14"/>
    <x v="1"/>
    <m/>
    <m/>
    <s v="A3"/>
    <s v="Grade &amp; Re-Contour"/>
    <s v="A2"/>
    <s v="Site Works"/>
    <s v="Grade and Re-Contour"/>
    <m/>
    <s v="Camp Pad @ Milne Port"/>
    <m/>
    <n v="66536"/>
    <s v="m2"/>
    <n v="1.2689880937499998E-2"/>
    <n v="0.14624999999999999"/>
    <n v="1.2689880937499998"/>
    <n v="0.39654534577546297"/>
    <n v="1.8102953457754629"/>
    <n v="844.33391805749989"/>
    <n v="9730.89"/>
    <n v="84433.391805749983"/>
    <n v="26384.541126516204"/>
    <n v="120548.82293226619"/>
    <n v="0"/>
    <n v="0"/>
    <n v="1"/>
    <n v="0"/>
    <n v="0"/>
    <n v="1"/>
    <n v="120548.82293226619"/>
    <n v="0"/>
    <n v="0"/>
    <n v="120548.82293226619"/>
    <s v="Type B Construction_x000a_2BC-MRY1416"/>
    <m/>
    <n v="2014"/>
    <s v="Direct "/>
    <m/>
    <m/>
    <n v="0.33333333333333331"/>
    <n v="0.33333333333333331"/>
    <n v="0.33333333333333331"/>
    <m/>
    <m/>
    <m/>
    <m/>
    <m/>
    <n v="0"/>
    <m/>
    <n v="40182.940977422062"/>
    <n v="40182.940977422062"/>
    <n v="40182.940977422062"/>
    <n v="0"/>
    <n v="0"/>
    <n v="0"/>
    <n v="0"/>
    <n v="0"/>
  </r>
  <r>
    <x v="4"/>
    <x v="4"/>
    <x v="9"/>
    <x v="9"/>
    <x v="13"/>
    <x v="11"/>
    <x v="15"/>
    <x v="13"/>
    <m/>
    <m/>
    <m/>
    <s v="Indirect"/>
    <s v="Indirect"/>
    <s v="Indirect"/>
    <s v="Indirect"/>
    <m/>
    <s v="Mobilization and Demobilization of Equipment and Materials by Sealift"/>
    <m/>
    <m/>
    <m/>
    <m/>
    <m/>
    <m/>
    <m/>
    <m/>
    <m/>
    <m/>
    <m/>
    <m/>
    <n v="2260000"/>
    <n v="0"/>
    <n v="0"/>
    <n v="1"/>
    <n v="0"/>
    <n v="0"/>
    <n v="1"/>
    <n v="2260000"/>
    <n v="0"/>
    <n v="0"/>
    <n v="2260000"/>
    <s v="Type A  _x000a_2AM-MRY1325"/>
    <s v="Added"/>
    <n v="2018"/>
    <s v="Indirect"/>
    <m/>
    <m/>
    <n v="0.2"/>
    <n v="0.2"/>
    <n v="0.2"/>
    <n v="0.1"/>
    <n v="0.1"/>
    <n v="0.1"/>
    <n v="0.05"/>
    <n v="0.05"/>
    <n v="0"/>
    <m/>
    <n v="452000"/>
    <n v="452000"/>
    <n v="452000"/>
    <n v="226000"/>
    <n v="226000"/>
    <n v="226000"/>
    <n v="113000"/>
    <n v="113000"/>
  </r>
  <r>
    <x v="4"/>
    <x v="4"/>
    <x v="9"/>
    <x v="9"/>
    <x v="14"/>
    <x v="12"/>
    <x v="16"/>
    <x v="14"/>
    <m/>
    <m/>
    <m/>
    <s v="Indirect"/>
    <s v="Indirect"/>
    <s v="Indirect"/>
    <s v="Indirect"/>
    <m/>
    <s v="Supervision, Project Management &amp; Contract Administration"/>
    <m/>
    <m/>
    <m/>
    <m/>
    <m/>
    <m/>
    <m/>
    <m/>
    <m/>
    <m/>
    <m/>
    <m/>
    <n v="2125000"/>
    <n v="0"/>
    <n v="0"/>
    <n v="1"/>
    <n v="0"/>
    <n v="0"/>
    <n v="1"/>
    <n v="2125000"/>
    <n v="0"/>
    <n v="0"/>
    <n v="2125000"/>
    <s v="Type A  _x000a_2AM-MRY1325"/>
    <s v="Added"/>
    <n v="2018"/>
    <s v="Indirect"/>
    <m/>
    <m/>
    <n v="0.2"/>
    <n v="0.2"/>
    <n v="0.2"/>
    <n v="0.1"/>
    <n v="0.1"/>
    <n v="0.1"/>
    <n v="0.05"/>
    <n v="0.05"/>
    <n v="0"/>
    <m/>
    <n v="425000"/>
    <n v="425000"/>
    <n v="425000"/>
    <n v="212500"/>
    <n v="212500"/>
    <n v="212500"/>
    <n v="106250"/>
    <n v="106250"/>
  </r>
  <r>
    <x v="1"/>
    <x v="1"/>
    <x v="6"/>
    <x v="6"/>
    <x v="8"/>
    <x v="7"/>
    <x v="9"/>
    <x v="8"/>
    <s v="402"/>
    <s v="TK-"/>
    <s v="MT3-d"/>
    <s v="Large Diesel Tanks Load and Transport (5M L)"/>
    <s v="MT3-d"/>
    <s v="Mechanical Equipment"/>
    <s v="Large Diesel Tanks"/>
    <m/>
    <s v="TANK  - ARCTIC DIESEL TANK W: 25600 DI _x000a_H: 9760 "/>
    <s v="2613-TK-005"/>
    <n v="1"/>
    <s v="ea"/>
    <n v="418.6"/>
    <n v="5865"/>
    <n v="41823.741266666664"/>
    <n v="58650"/>
    <n v="106338.74126666666"/>
    <n v="418.6"/>
    <n v="5865"/>
    <n v="41823.741266666664"/>
    <n v="58650"/>
    <n v="106338.74126666666"/>
    <n v="80"/>
    <n v="80"/>
    <n v="1"/>
    <n v="0"/>
    <n v="0"/>
    <n v="1"/>
    <n v="106338.74126666666"/>
    <n v="0"/>
    <n v="0"/>
    <n v="106338.74126666666"/>
    <s v="Type B Construction_x000a_2BC-MRY1416"/>
    <m/>
    <n v="2014"/>
    <s v="Direct "/>
    <m/>
    <m/>
    <n v="0.5"/>
    <n v="0.5"/>
    <m/>
    <m/>
    <m/>
    <m/>
    <m/>
    <m/>
    <n v="0"/>
    <m/>
    <n v="53169.370633333332"/>
    <n v="53169.370633333332"/>
    <n v="0"/>
    <n v="0"/>
    <n v="0"/>
    <n v="0"/>
    <n v="0"/>
    <n v="0"/>
  </r>
  <r>
    <x v="1"/>
    <x v="1"/>
    <x v="6"/>
    <x v="6"/>
    <x v="8"/>
    <x v="7"/>
    <x v="9"/>
    <x v="8"/>
    <s v="403"/>
    <s v="TK-"/>
    <s v="MT3-d"/>
    <s v="Large Diesel Tanks Load and Transport (5M L)"/>
    <s v="MT3-d"/>
    <s v="Mechanical Equipment"/>
    <s v="Large Diesel Tanks"/>
    <m/>
    <s v="TANK  - ARCTIC DIESEL TANK W: 25600 DI _x000a_H: 9760 "/>
    <s v="2613-TK-006"/>
    <n v="1"/>
    <s v="ea"/>
    <n v="418.6"/>
    <n v="5865"/>
    <n v="41823.741266666664"/>
    <n v="58650"/>
    <n v="106338.74126666666"/>
    <n v="418.6"/>
    <n v="5865"/>
    <n v="41823.741266666664"/>
    <n v="58650"/>
    <n v="106338.74126666666"/>
    <n v="80"/>
    <n v="80"/>
    <n v="1"/>
    <n v="0"/>
    <n v="0"/>
    <n v="1"/>
    <n v="106338.74126666666"/>
    <n v="0"/>
    <n v="0"/>
    <n v="106338.74126666666"/>
    <s v="Type B Construction_x000a_2BC-MRY1416"/>
    <m/>
    <n v="2014"/>
    <s v="Direct "/>
    <m/>
    <m/>
    <n v="0.5"/>
    <n v="0.5"/>
    <m/>
    <m/>
    <m/>
    <m/>
    <m/>
    <m/>
    <n v="0"/>
    <m/>
    <n v="53169.370633333332"/>
    <n v="53169.370633333332"/>
    <n v="0"/>
    <n v="0"/>
    <n v="0"/>
    <n v="0"/>
    <n v="0"/>
    <n v="0"/>
  </r>
  <r>
    <x v="1"/>
    <x v="1"/>
    <x v="5"/>
    <x v="5"/>
    <x v="15"/>
    <x v="9"/>
    <x v="17"/>
    <x v="10"/>
    <s v="499"/>
    <s v="In Meters"/>
    <s v="cable"/>
    <s v="Cable"/>
    <s v="Cable"/>
    <s v="Bulks"/>
    <s v="Cable"/>
    <m/>
    <s v="Additional outdoor lighting for safety (with cables) at Port Site"/>
    <m/>
    <n v="3500"/>
    <s v="m"/>
    <n v="0.1"/>
    <n v="1.5"/>
    <n v="9.9913380952380972"/>
    <n v="15"/>
    <n v="26.491338095238099"/>
    <n v="350"/>
    <n v="5250"/>
    <n v="34969.683333333342"/>
    <n v="52500"/>
    <n v="92719.683333333349"/>
    <n v="1.0000000000000002E-2"/>
    <n v="35.000000000000007"/>
    <n v="1"/>
    <n v="0"/>
    <n v="0"/>
    <n v="1"/>
    <n v="92719.683333333349"/>
    <n v="0"/>
    <n v="0"/>
    <n v="92719.683333333349"/>
    <s v="Type B Construction_x000a_2BC-MRY1416"/>
    <m/>
    <n v="2017"/>
    <s v="Direct "/>
    <m/>
    <m/>
    <n v="0.33333333333333331"/>
    <n v="0.33333333333333331"/>
    <n v="0.33333333333333331"/>
    <m/>
    <m/>
    <m/>
    <m/>
    <m/>
    <n v="0"/>
    <m/>
    <n v="30906.561111111114"/>
    <n v="30906.561111111114"/>
    <n v="30906.561111111114"/>
    <n v="0"/>
    <n v="0"/>
    <n v="0"/>
    <n v="0"/>
    <n v="0"/>
  </r>
  <r>
    <x v="3"/>
    <x v="3"/>
    <x v="7"/>
    <x v="7"/>
    <x v="9"/>
    <x v="8"/>
    <x v="10"/>
    <x v="9"/>
    <m/>
    <s v="BLD"/>
    <m/>
    <m/>
    <m/>
    <m/>
    <m/>
    <s v="Lot"/>
    <s v="Crushing Module (mobilized in 2018, installed following expansion approval) "/>
    <m/>
    <n v="1"/>
    <s v="ea"/>
    <s v="0"/>
    <s v="0"/>
    <s v="0"/>
    <s v="0"/>
    <n v="1500000"/>
    <n v="0"/>
    <n v="0"/>
    <n v="0"/>
    <n v="0"/>
    <n v="1500000"/>
    <n v="0"/>
    <n v="0"/>
    <n v="1"/>
    <n v="0"/>
    <n v="0"/>
    <n v="1"/>
    <n v="1500000"/>
    <n v="0"/>
    <n v="0"/>
    <n v="1500000"/>
    <s v="Type A  _x000a_2AM-MRY1325"/>
    <s v="Added"/>
    <n v="2018"/>
    <s v="Direct "/>
    <m/>
    <m/>
    <n v="0.33333333333333331"/>
    <n v="0.33333333333333331"/>
    <n v="0.33333333333333331"/>
    <m/>
    <m/>
    <m/>
    <m/>
    <m/>
    <n v="0"/>
    <m/>
    <n v="500000"/>
    <n v="500000"/>
    <n v="500000"/>
    <n v="0"/>
    <n v="0"/>
    <n v="0"/>
    <n v="0"/>
    <n v="0"/>
  </r>
  <r>
    <x v="1"/>
    <x v="1"/>
    <x v="3"/>
    <x v="3"/>
    <x v="3"/>
    <x v="3"/>
    <x v="18"/>
    <x v="15"/>
    <s v="227"/>
    <s v="BLD"/>
    <s v="FF1"/>
    <s v="Modular Building Not Contaminated (480 ft2)"/>
    <s v="FS"/>
    <s v="Buildings (Not Contaminated)"/>
    <s v="Prefabricated Special Modular"/>
    <m/>
    <s v="Accommodation Service Core - Demolish and Decontaminate Building - Special Modular / Prefabricated"/>
    <s v="2511-BLD-001"/>
    <n v="1388.4758364312268"/>
    <s v="m2"/>
    <n v="0.22416666666666665"/>
    <n v="3.3624999999999998"/>
    <n v="22.397249563492064"/>
    <n v="33.625"/>
    <n v="59.384749563492065"/>
    <n v="311.25"/>
    <n v="4668.75"/>
    <n v="31098.039821428571"/>
    <n v="46687.5"/>
    <n v="82454.289821428567"/>
    <n v="1"/>
    <n v="1388.4758364312268"/>
    <n v="1"/>
    <n v="0"/>
    <n v="0"/>
    <n v="1"/>
    <n v="82454.289821428567"/>
    <n v="0"/>
    <n v="0"/>
    <n v="82454.289821428567"/>
    <s v="Type B Construction_x000a_2BC-MRY1416"/>
    <m/>
    <n v="2014"/>
    <s v="Direct "/>
    <m/>
    <m/>
    <n v="0.33333333333333331"/>
    <n v="0.33333333333333331"/>
    <n v="0.33333333333333331"/>
    <m/>
    <m/>
    <m/>
    <m/>
    <m/>
    <n v="0"/>
    <m/>
    <n v="27484.76327380952"/>
    <n v="27484.76327380952"/>
    <n v="27484.76327380952"/>
    <n v="0"/>
    <n v="0"/>
    <n v="0"/>
    <n v="0"/>
    <n v="0"/>
  </r>
  <r>
    <x v="1"/>
    <x v="1"/>
    <x v="8"/>
    <x v="8"/>
    <x v="12"/>
    <x v="10"/>
    <x v="19"/>
    <x v="16"/>
    <m/>
    <s v=""/>
    <s v="A3"/>
    <s v="Grade &amp; Re-Contour"/>
    <s v="A2"/>
    <s v="Site Works"/>
    <s v="Grade and Re-Contour"/>
    <s v="Grade and Contour"/>
    <s v="Disturbed Area @ Milne Port (adjacent to Steel Tank Farm)"/>
    <m/>
    <n v="45000"/>
    <s v="m2"/>
    <n v="1.2689880937499998E-2"/>
    <n v="0.14624999999999999"/>
    <n v="1.2689880937499998"/>
    <n v="0.39654534577546297"/>
    <n v="1.8102953457754629"/>
    <n v="571.0446421874999"/>
    <n v="6581.25"/>
    <n v="57104.464218749992"/>
    <n v="17844.540559895835"/>
    <n v="81530.254778645831"/>
    <n v="0"/>
    <n v="0"/>
    <n v="1"/>
    <n v="0"/>
    <n v="0"/>
    <n v="1"/>
    <n v="81530.254778645831"/>
    <n v="0"/>
    <n v="0"/>
    <n v="81530.254778645831"/>
    <s v="Type B Construction_x000a_2BC-MRY1416"/>
    <m/>
    <n v="2014"/>
    <s v="Direct "/>
    <m/>
    <m/>
    <n v="0.33333333333333331"/>
    <n v="0.33333333333333331"/>
    <n v="0.33333333333333331"/>
    <m/>
    <m/>
    <m/>
    <m/>
    <m/>
    <n v="0"/>
    <m/>
    <n v="27176.751592881941"/>
    <n v="27176.751592881941"/>
    <n v="27176.751592881941"/>
    <n v="0"/>
    <n v="0"/>
    <n v="0"/>
    <n v="0"/>
    <n v="0"/>
  </r>
  <r>
    <x v="1"/>
    <x v="1"/>
    <x v="3"/>
    <x v="3"/>
    <x v="3"/>
    <x v="3"/>
    <x v="18"/>
    <x v="15"/>
    <m/>
    <m/>
    <s v="A3"/>
    <s v="Grade &amp; Re-Contour"/>
    <s v="A2"/>
    <s v="Site Works"/>
    <s v="Grade and Re-Contour"/>
    <m/>
    <s v="Camp Pad development (Milne Port)"/>
    <m/>
    <n v="45000"/>
    <s v="m2"/>
    <n v="1.2689880937499998E-2"/>
    <n v="0.14624999999999999"/>
    <n v="1.2689880937499998"/>
    <n v="0.39654534577546297"/>
    <n v="1.8102953457754629"/>
    <n v="571.0446421874999"/>
    <n v="6581.25"/>
    <n v="57104.464218749992"/>
    <n v="17844.540559895835"/>
    <n v="81530.254778645831"/>
    <n v="0"/>
    <n v="0"/>
    <n v="1"/>
    <n v="0"/>
    <n v="0"/>
    <n v="1"/>
    <n v="81530.254778645831"/>
    <n v="0"/>
    <n v="0"/>
    <n v="81530.254778645831"/>
    <s v="Type B Construction_x000a_2BC-MRY1416"/>
    <s v="Added"/>
    <s v="2017-A"/>
    <s v="Direct "/>
    <m/>
    <m/>
    <n v="0.33333333333333331"/>
    <n v="0.33333333333333331"/>
    <n v="0.33333333333333331"/>
    <m/>
    <m/>
    <m/>
    <m/>
    <m/>
    <n v="0"/>
    <m/>
    <n v="27176.751592881941"/>
    <n v="27176.751592881941"/>
    <n v="27176.751592881941"/>
    <n v="0"/>
    <n v="0"/>
    <n v="0"/>
    <n v="0"/>
    <n v="0"/>
  </r>
  <r>
    <x v="1"/>
    <x v="1"/>
    <x v="3"/>
    <x v="3"/>
    <x v="5"/>
    <x v="4"/>
    <x v="20"/>
    <x v="17"/>
    <m/>
    <s v="FRF"/>
    <s v="MM1"/>
    <s v="Light Equimpent"/>
    <s v="MM1"/>
    <s v="Mechanical Equipment"/>
    <s v="Light Equipment"/>
    <s v="Heater"/>
    <s v="Frost Fighter Heater"/>
    <s v="ML-FAC-POH-010"/>
    <n v="38"/>
    <s v="ea"/>
    <n v="8.1"/>
    <n v="106.5"/>
    <n v="809.29838571428581"/>
    <n v="1065"/>
    <n v="1980.7983857142858"/>
    <n v="307.8"/>
    <n v="4047"/>
    <n v="30753.33865714286"/>
    <n v="40470"/>
    <n v="75270.338657142856"/>
    <n v="0.5"/>
    <n v="19"/>
    <n v="1"/>
    <n v="0"/>
    <n v="0"/>
    <n v="1"/>
    <n v="75270.338657142856"/>
    <n v="0"/>
    <n v="0"/>
    <n v="75270.338657142856"/>
    <s v="Type A  _x000a_2AM-MRY1325"/>
    <s v="Added"/>
    <s v="2015 R"/>
    <s v="Direct "/>
    <m/>
    <m/>
    <n v="0.33333333333333331"/>
    <m/>
    <n v="0.33333333333333331"/>
    <m/>
    <m/>
    <m/>
    <m/>
    <n v="0.33333333333333331"/>
    <n v="0"/>
    <m/>
    <n v="25090.112885714283"/>
    <n v="0"/>
    <n v="25090.112885714283"/>
    <n v="0"/>
    <n v="0"/>
    <n v="0"/>
    <n v="0"/>
    <n v="25090.112885714283"/>
  </r>
  <r>
    <x v="1"/>
    <x v="1"/>
    <x v="3"/>
    <x v="3"/>
    <x v="16"/>
    <x v="13"/>
    <x v="21"/>
    <x v="18"/>
    <m/>
    <s v=""/>
    <s v="A3l"/>
    <s v="Grade &amp; Re-Contour with Liner"/>
    <s v="A3l"/>
    <s v="Site Works"/>
    <s v="Grade and Re-Contour With Liner"/>
    <m/>
    <s v="Landfarm"/>
    <m/>
    <n v="12933"/>
    <s v="m2"/>
    <n v="4.4489880937500004E-2"/>
    <n v="0.17804999999999999"/>
    <n v="4.4489880937499997"/>
    <n v="0.71454534577546303"/>
    <n v="5.3082953457754627"/>
    <n v="575.38763016468749"/>
    <n v="2302.7206499999998"/>
    <n v="57538.763016468743"/>
    <n v="9241.2149569140638"/>
    <n v="69082.698623382807"/>
    <n v="0"/>
    <n v="0"/>
    <n v="1"/>
    <n v="0"/>
    <n v="0"/>
    <n v="1"/>
    <n v="69082.698623382807"/>
    <n v="0"/>
    <n v="0"/>
    <n v="69082.698623382807"/>
    <s v="Type B Construction_x000a_2BC-MRY1416"/>
    <s v="Modified"/>
    <n v="2014"/>
    <s v="Direct "/>
    <m/>
    <m/>
    <n v="0.33333333333333331"/>
    <n v="0.33333333333333331"/>
    <n v="0.33333333333333331"/>
    <m/>
    <m/>
    <m/>
    <m/>
    <m/>
    <n v="0"/>
    <m/>
    <n v="23027.566207794269"/>
    <n v="23027.566207794269"/>
    <n v="23027.566207794269"/>
    <n v="0"/>
    <n v="0"/>
    <n v="0"/>
    <n v="0"/>
    <n v="0"/>
  </r>
  <r>
    <x v="1"/>
    <x v="1"/>
    <x v="8"/>
    <x v="8"/>
    <x v="12"/>
    <x v="10"/>
    <x v="19"/>
    <x v="16"/>
    <m/>
    <s v=""/>
    <s v="A3"/>
    <s v="Grade &amp; Re-Contour"/>
    <s v="A2"/>
    <s v="Site Works"/>
    <s v="Grade and Re-Contour"/>
    <s v="Grade and Contour"/>
    <s v="Milne Laydown Area"/>
    <m/>
    <n v="37375"/>
    <s v="m2"/>
    <n v="1.2689880937499998E-2"/>
    <n v="0.14624999999999999"/>
    <n v="1.2689880937499998"/>
    <n v="0.39654534577546297"/>
    <n v="1.8102953457754629"/>
    <n v="474.28430003906243"/>
    <n v="5466.09375"/>
    <n v="47428.430003906244"/>
    <n v="14820.882298357928"/>
    <n v="67715.406052264167"/>
    <n v="0"/>
    <n v="0"/>
    <n v="1"/>
    <n v="0"/>
    <n v="0"/>
    <n v="1"/>
    <n v="67715.406052264167"/>
    <n v="0"/>
    <n v="0"/>
    <n v="67715.406052264167"/>
    <s v="Type B Construction_x000a_2BC-MRY1416"/>
    <m/>
    <n v="2014"/>
    <s v="Direct "/>
    <m/>
    <m/>
    <n v="0.33333333333333331"/>
    <n v="0.33333333333333331"/>
    <n v="0.33333333333333331"/>
    <m/>
    <m/>
    <m/>
    <m/>
    <m/>
    <n v="0"/>
    <m/>
    <n v="22571.802017421389"/>
    <n v="22571.802017421389"/>
    <n v="22571.802017421389"/>
    <n v="0"/>
    <n v="0"/>
    <n v="0"/>
    <n v="0"/>
    <n v="0"/>
  </r>
  <r>
    <x v="1"/>
    <x v="1"/>
    <x v="3"/>
    <x v="3"/>
    <x v="17"/>
    <x v="14"/>
    <x v="22"/>
    <x v="19"/>
    <s v="361"/>
    <s v="BLD"/>
    <s v="FF2-c"/>
    <s v="Fold Away Building Contaminated (480 ft2)"/>
    <s v="FFL-c"/>
    <s v="Buildings (Contaminated)"/>
    <s v="Fold Away Building"/>
    <m/>
    <s v="Waste Management Building - Demolish and Decontaminate Building - Fold-away Building (Steel)"/>
    <s v="2540-BLD-001"/>
    <n v="446.09665427509293"/>
    <s v="m2"/>
    <n v="0.56041666666666667"/>
    <n v="2.3537499999999998"/>
    <n v="55.993123908730162"/>
    <n v="84.0625"/>
    <n v="142.40937390873017"/>
    <n v="250"/>
    <n v="1050"/>
    <n v="24978.34523809524"/>
    <n v="37500"/>
    <n v="63528.345238095237"/>
    <n v="1"/>
    <n v="446.09665427509293"/>
    <n v="1"/>
    <n v="0"/>
    <n v="0"/>
    <n v="1"/>
    <n v="63528.345238095237"/>
    <n v="0"/>
    <n v="0"/>
    <n v="63528.345238095237"/>
    <s v="Type B Construction_x000a_2BC-MRY1416"/>
    <m/>
    <n v="2014"/>
    <s v="Direct "/>
    <m/>
    <m/>
    <n v="0.33333333333333331"/>
    <n v="0.33333333333333331"/>
    <n v="0.33333333333333331"/>
    <m/>
    <m/>
    <m/>
    <m/>
    <m/>
    <n v="0"/>
    <m/>
    <n v="21176.115079365078"/>
    <n v="21176.115079365078"/>
    <n v="21176.115079365078"/>
    <n v="0"/>
    <n v="0"/>
    <n v="0"/>
    <n v="0"/>
    <n v="0"/>
  </r>
  <r>
    <x v="1"/>
    <x v="1"/>
    <x v="2"/>
    <x v="2"/>
    <x v="4"/>
    <x v="2"/>
    <x v="23"/>
    <x v="20"/>
    <m/>
    <s v=""/>
    <s v="A3l"/>
    <s v="Grade &amp; Re-Contour with Liner"/>
    <s v="A3l"/>
    <s v="Site Works"/>
    <s v="Grade and Re-Contour With Liner"/>
    <m/>
    <s v="Ore Stockpile Settling Ponds"/>
    <m/>
    <n v="11423.76"/>
    <s v="m2"/>
    <n v="4.4489880937500004E-2"/>
    <n v="0.17804999999999999"/>
    <n v="4.4489880937499997"/>
    <n v="0.71454534577546303"/>
    <n v="5.3082953457754627"/>
    <n v="508.24172225857507"/>
    <n v="2034.000468"/>
    <n v="50824.172225857496"/>
    <n v="8162.7945392559041"/>
    <n v="61020.967233113399"/>
    <n v="0"/>
    <n v="0"/>
    <n v="1"/>
    <n v="0"/>
    <n v="0"/>
    <n v="1"/>
    <n v="61020.967233113399"/>
    <n v="0"/>
    <n v="0"/>
    <n v="61020.967233113399"/>
    <s v="Type B Construction_x000a_2BC-MRY1416"/>
    <m/>
    <n v="2014"/>
    <s v="Direct "/>
    <m/>
    <m/>
    <n v="0.33333333333333331"/>
    <n v="0.33333333333333331"/>
    <n v="0.33333333333333331"/>
    <m/>
    <m/>
    <m/>
    <m/>
    <m/>
    <n v="0"/>
    <m/>
    <n v="20340.3224110378"/>
    <n v="20340.3224110378"/>
    <n v="20340.3224110378"/>
    <n v="0"/>
    <n v="0"/>
    <n v="0"/>
    <n v="0"/>
    <n v="0"/>
  </r>
  <r>
    <x v="3"/>
    <x v="3"/>
    <x v="7"/>
    <x v="7"/>
    <x v="9"/>
    <x v="8"/>
    <x v="10"/>
    <x v="9"/>
    <m/>
    <s v="BLD"/>
    <m/>
    <m/>
    <m/>
    <m/>
    <m/>
    <s v="Lot"/>
    <s v="BMH Conveyors (mobilized in 2018, installed following expansion approval) "/>
    <m/>
    <n v="1"/>
    <s v="ea"/>
    <s v="0"/>
    <s v="0"/>
    <s v="0"/>
    <s v="0"/>
    <n v="1500000"/>
    <n v="0"/>
    <n v="0"/>
    <n v="0"/>
    <n v="0"/>
    <n v="1500000"/>
    <n v="0"/>
    <n v="0"/>
    <n v="1"/>
    <n v="0"/>
    <n v="0"/>
    <n v="1"/>
    <n v="1500000"/>
    <n v="0"/>
    <n v="0"/>
    <n v="1500000"/>
    <s v="Type A  _x000a_2AM-MRY1325"/>
    <s v="Added"/>
    <n v="2018"/>
    <s v="Direct "/>
    <m/>
    <m/>
    <n v="0.33333333333333331"/>
    <n v="0.33333333333333331"/>
    <n v="0.33333333333333331"/>
    <m/>
    <m/>
    <m/>
    <m/>
    <m/>
    <n v="0"/>
    <m/>
    <n v="500000"/>
    <n v="500000"/>
    <n v="500000"/>
    <n v="0"/>
    <n v="0"/>
    <n v="0"/>
    <n v="0"/>
    <n v="0"/>
  </r>
  <r>
    <x v="5"/>
    <x v="5"/>
    <x v="10"/>
    <x v="8"/>
    <x v="18"/>
    <x v="10"/>
    <x v="24"/>
    <x v="21"/>
    <m/>
    <s v=""/>
    <s v="A3"/>
    <s v="Grade &amp; Re-Contour"/>
    <s v="A2"/>
    <s v="Site Works"/>
    <s v="Grade and Re-Contour"/>
    <s v="Grade and Contour"/>
    <s v="Q1 Quarry (marginal increase to existing in remainder 2017)"/>
    <m/>
    <n v="824500"/>
    <s v="m2"/>
    <n v="1.2689880937499998E-2"/>
    <n v="0.14624999999999999"/>
    <n v="1.2689880937499998"/>
    <n v="0.39654534577546297"/>
    <n v="1.8102953457754629"/>
    <n v="10462.806832968748"/>
    <n v="120583.12499999999"/>
    <n v="1046280.6832968749"/>
    <n v="326951.63759186922"/>
    <n v="1493815.4458887442"/>
    <n v="0"/>
    <n v="0"/>
    <n v="1"/>
    <n v="0"/>
    <n v="0"/>
    <n v="1"/>
    <n v="1493815.4458887442"/>
    <n v="0"/>
    <n v="0"/>
    <n v="1493815.4458887442"/>
    <s v="Type A  _x000a_2AM-MRY1325"/>
    <s v="Added "/>
    <s v="2018-R"/>
    <s v="Direct "/>
    <m/>
    <m/>
    <n v="0.5"/>
    <n v="0.5"/>
    <m/>
    <m/>
    <m/>
    <m/>
    <m/>
    <m/>
    <n v="0"/>
    <m/>
    <n v="746907.7229443721"/>
    <n v="746907.7229443721"/>
    <n v="0"/>
    <n v="0"/>
    <n v="0"/>
    <n v="0"/>
    <n v="0"/>
    <n v="0"/>
  </r>
  <r>
    <x v="1"/>
    <x v="1"/>
    <x v="2"/>
    <x v="2"/>
    <x v="2"/>
    <x v="2"/>
    <x v="2"/>
    <x v="2"/>
    <s v="141"/>
    <s v="SA-"/>
    <s v="MM2"/>
    <s v="Medium Equipment"/>
    <s v="MM2"/>
    <s v="Mechanical Equipment"/>
    <s v="Medium Equipment"/>
    <m/>
    <s v="Jump Conveyor"/>
    <m/>
    <n v="12"/>
    <s v="ea"/>
    <n v="19.2"/>
    <n v="213"/>
    <n v="1918.3369142857146"/>
    <n v="2130"/>
    <n v="4261.3369142857146"/>
    <n v="230.39999999999998"/>
    <n v="2556"/>
    <n v="23020.042971428575"/>
    <n v="25560"/>
    <n v="51136.042971428571"/>
    <n v="1"/>
    <n v="12"/>
    <n v="1"/>
    <n v="0"/>
    <n v="0"/>
    <n v="1"/>
    <n v="51136.042971428571"/>
    <n v="0"/>
    <n v="0"/>
    <n v="51136.042971428571"/>
    <s v="Type B Construction_x000a_2BC-MRY1416"/>
    <s v="Added"/>
    <n v="2017"/>
    <s v="Direct "/>
    <m/>
    <m/>
    <n v="0.33333333333333331"/>
    <m/>
    <n v="0.33333333333333331"/>
    <m/>
    <m/>
    <m/>
    <m/>
    <n v="0.33333333333333331"/>
    <n v="0"/>
    <m/>
    <n v="17045.347657142855"/>
    <n v="0"/>
    <n v="17045.347657142855"/>
    <n v="0"/>
    <n v="0"/>
    <n v="0"/>
    <n v="0"/>
    <n v="17045.347657142855"/>
  </r>
  <r>
    <x v="3"/>
    <x v="3"/>
    <x v="7"/>
    <x v="7"/>
    <x v="9"/>
    <x v="8"/>
    <x v="10"/>
    <x v="9"/>
    <m/>
    <s v="BLD"/>
    <m/>
    <m/>
    <m/>
    <m/>
    <m/>
    <s v="Lot"/>
    <s v="Screening Module (mobilized in 2018, installed following expansion approval) "/>
    <m/>
    <n v="1"/>
    <s v="ea"/>
    <s v="0"/>
    <s v="0"/>
    <s v="0"/>
    <s v="0"/>
    <n v="1400000"/>
    <n v="0"/>
    <n v="0"/>
    <n v="0"/>
    <n v="0"/>
    <n v="1400000"/>
    <n v="0"/>
    <n v="0"/>
    <n v="1"/>
    <n v="0"/>
    <n v="0"/>
    <n v="1"/>
    <n v="1400000"/>
    <n v="0"/>
    <n v="0"/>
    <n v="1400000"/>
    <s v="Type A  _x000a_2AM-MRY1325"/>
    <s v="Added"/>
    <n v="2018"/>
    <s v="Direct "/>
    <m/>
    <m/>
    <n v="0.33333333333333331"/>
    <n v="0.33333333333333331"/>
    <n v="0.33333333333333331"/>
    <m/>
    <m/>
    <m/>
    <m/>
    <m/>
    <n v="0"/>
    <m/>
    <n v="466666.66666666663"/>
    <n v="466666.66666666663"/>
    <n v="466666.66666666663"/>
    <n v="0"/>
    <n v="0"/>
    <n v="0"/>
    <n v="0"/>
    <n v="0"/>
  </r>
  <r>
    <x v="4"/>
    <x v="4"/>
    <x v="9"/>
    <x v="9"/>
    <x v="13"/>
    <x v="11"/>
    <x v="15"/>
    <x v="22"/>
    <m/>
    <m/>
    <m/>
    <s v="Indirect"/>
    <s v="Indirect"/>
    <s v="Indirect"/>
    <s v="Indirect"/>
    <m/>
    <s v="Worker Accommodation &amp; Camp Operation"/>
    <m/>
    <m/>
    <m/>
    <m/>
    <m/>
    <m/>
    <m/>
    <m/>
    <m/>
    <m/>
    <m/>
    <m/>
    <n v="2264000"/>
    <n v="0"/>
    <n v="0"/>
    <n v="1"/>
    <n v="0"/>
    <n v="0"/>
    <n v="1"/>
    <n v="2264000"/>
    <n v="0"/>
    <n v="0"/>
    <n v="2264000"/>
    <s v="Type A  _x000a_2AM-MRY1325"/>
    <s v="Added"/>
    <n v="2018"/>
    <s v="Indirect"/>
    <m/>
    <m/>
    <n v="0.2"/>
    <n v="0.2"/>
    <n v="0.2"/>
    <n v="0.1"/>
    <n v="0.1"/>
    <n v="0.1"/>
    <n v="0.05"/>
    <n v="0.05"/>
    <n v="0"/>
    <m/>
    <n v="452800"/>
    <n v="452800"/>
    <n v="452800"/>
    <n v="226400"/>
    <n v="226400"/>
    <n v="226400"/>
    <n v="113200"/>
    <n v="113200"/>
  </r>
  <r>
    <x v="5"/>
    <x v="5"/>
    <x v="10"/>
    <x v="8"/>
    <x v="18"/>
    <x v="10"/>
    <x v="25"/>
    <x v="23"/>
    <m/>
    <s v=""/>
    <s v="A3"/>
    <s v="Grade &amp; Re-Contour"/>
    <s v="A2"/>
    <s v="Site Works"/>
    <s v="Grade and Re-Contour"/>
    <s v="Grade and Contour"/>
    <s v="Laydown Pad Development - Km 88 IT Tower Pad (200m x 200m)"/>
    <m/>
    <n v="4000000"/>
    <s v="m2"/>
    <n v="1.2689880937499998E-2"/>
    <n v="0.14624999999999999"/>
    <n v="1.2689880937499998"/>
    <n v="0.39654534577546297"/>
    <n v="1.8102953457754629"/>
    <n v="50759.523749999993"/>
    <n v="585000"/>
    <n v="5075952.3749999991"/>
    <n v="1586181.3831018519"/>
    <n v="7241181.3831018517"/>
    <n v="0"/>
    <n v="0"/>
    <n v="1"/>
    <n v="0"/>
    <n v="0"/>
    <n v="1"/>
    <n v="7241181.3831018517"/>
    <n v="0"/>
    <n v="0"/>
    <n v="7241181.3831018517"/>
    <s v="Type A  _x000a_2AM-MRY1325"/>
    <s v="Added"/>
    <s v="2018-R"/>
    <s v="Direct "/>
    <m/>
    <m/>
    <n v="0.33333333333333331"/>
    <n v="0.33333333333333331"/>
    <n v="0.33333333333333331"/>
    <m/>
    <m/>
    <m/>
    <m/>
    <m/>
    <n v="0"/>
    <m/>
    <n v="2413727.1277006171"/>
    <n v="2413727.1277006171"/>
    <n v="2413727.1277006171"/>
    <n v="0"/>
    <n v="0"/>
    <n v="0"/>
    <n v="0"/>
    <n v="0"/>
  </r>
  <r>
    <x v="4"/>
    <x v="4"/>
    <x v="9"/>
    <x v="9"/>
    <x v="14"/>
    <x v="12"/>
    <x v="26"/>
    <x v="14"/>
    <m/>
    <m/>
    <m/>
    <s v="Indirect"/>
    <s v="Indirect"/>
    <s v="Indirect"/>
    <s v="Indirect"/>
    <m/>
    <s v="Engineering Fees"/>
    <m/>
    <m/>
    <m/>
    <m/>
    <m/>
    <m/>
    <m/>
    <m/>
    <m/>
    <m/>
    <m/>
    <m/>
    <n v="881000"/>
    <n v="0"/>
    <n v="0"/>
    <n v="0.97700663160140144"/>
    <n v="2.2993368398598557E-2"/>
    <n v="0"/>
    <n v="1"/>
    <n v="860742.84244083462"/>
    <n v="20257.157559165327"/>
    <n v="0"/>
    <n v="881000"/>
    <s v="Type A  _x000a_2AM-MRY1325"/>
    <s v="Added"/>
    <n v="2018"/>
    <s v="Indirect"/>
    <m/>
    <m/>
    <n v="0.4"/>
    <n v="0.3"/>
    <n v="0.2"/>
    <n v="0.1"/>
    <m/>
    <m/>
    <m/>
    <m/>
    <n v="0"/>
    <m/>
    <n v="352400"/>
    <n v="264300"/>
    <n v="176200"/>
    <n v="88100"/>
    <n v="0"/>
    <n v="0"/>
    <n v="0"/>
    <n v="0"/>
  </r>
  <r>
    <x v="1"/>
    <x v="1"/>
    <x v="2"/>
    <x v="2"/>
    <x v="2"/>
    <x v="2"/>
    <x v="27"/>
    <x v="2"/>
    <m/>
    <s v="COB"/>
    <s v="MM3"/>
    <s v="Heavy Equipment"/>
    <s v="MM3"/>
    <s v="Mechanical Equipment"/>
    <s v="Heavy Equipment"/>
    <s v="Reclaim Feeding, Line 2"/>
    <s v="Reclaim Feeding, Line 2 "/>
    <s v="ML-PRO-SHL-010-RFL01"/>
    <n v="1"/>
    <s v="ea"/>
    <n v="168"/>
    <n v="2220"/>
    <n v="16785.448"/>
    <n v="22200"/>
    <n v="41205.448000000004"/>
    <n v="168"/>
    <n v="2220"/>
    <n v="16785.448"/>
    <n v="22200"/>
    <n v="41205.448000000004"/>
    <n v="0"/>
    <n v="0"/>
    <n v="1"/>
    <n v="0"/>
    <n v="0"/>
    <n v="1"/>
    <n v="41205.448000000004"/>
    <n v="0"/>
    <n v="0"/>
    <n v="41205.448000000004"/>
    <s v="Type A  _x000a_2AM-MRY1325"/>
    <s v="Added"/>
    <s v="2015 R"/>
    <s v="Direct "/>
    <m/>
    <m/>
    <n v="0.33333333333333331"/>
    <m/>
    <n v="0.33333333333333331"/>
    <m/>
    <m/>
    <m/>
    <m/>
    <n v="0.33333333333333331"/>
    <n v="0"/>
    <m/>
    <n v="13735.149333333335"/>
    <n v="0"/>
    <n v="13735.149333333335"/>
    <n v="0"/>
    <n v="0"/>
    <n v="0"/>
    <n v="0"/>
    <n v="13735.149333333335"/>
  </r>
  <r>
    <x v="1"/>
    <x v="1"/>
    <x v="2"/>
    <x v="2"/>
    <x v="2"/>
    <x v="2"/>
    <x v="27"/>
    <x v="2"/>
    <m/>
    <s v="COB"/>
    <s v="MM3"/>
    <s v="Heavy Equipment"/>
    <s v="MM3"/>
    <s v="Mechanical Equipment"/>
    <s v="Heavy Equipment"/>
    <s v="Reclaim Feeding, Line 2"/>
    <s v="Reclaim Feeding, Line 3"/>
    <s v="ML-PRO-SHL-010-RFL03"/>
    <n v="1"/>
    <s v="ea"/>
    <n v="168"/>
    <n v="2220"/>
    <n v="16785.448"/>
    <n v="22200"/>
    <n v="41205.448000000004"/>
    <n v="168"/>
    <n v="2220"/>
    <n v="16785.448"/>
    <n v="22200"/>
    <n v="41205.448000000004"/>
    <n v="0"/>
    <n v="0"/>
    <n v="1"/>
    <n v="0"/>
    <n v="0"/>
    <n v="1"/>
    <n v="41205.448000000004"/>
    <n v="0"/>
    <n v="0"/>
    <n v="41205.448000000004"/>
    <s v="Type A  _x000a_2AM-MRY1325"/>
    <s v="Added"/>
    <s v="2015 R"/>
    <s v="Direct "/>
    <m/>
    <m/>
    <n v="0.33333333333333331"/>
    <m/>
    <n v="0.33333333333333331"/>
    <m/>
    <m/>
    <m/>
    <m/>
    <n v="0.33333333333333331"/>
    <n v="0"/>
    <m/>
    <n v="13735.149333333335"/>
    <n v="0"/>
    <n v="13735.149333333335"/>
    <n v="0"/>
    <n v="0"/>
    <n v="0"/>
    <n v="0"/>
    <n v="13735.149333333335"/>
  </r>
  <r>
    <x v="1"/>
    <x v="1"/>
    <x v="2"/>
    <x v="2"/>
    <x v="2"/>
    <x v="2"/>
    <x v="27"/>
    <x v="2"/>
    <m/>
    <s v="COB"/>
    <s v="MM3"/>
    <s v="Heavy Equipment"/>
    <s v="MM3"/>
    <s v="Mechanical Equipment"/>
    <s v="Heavy Equipment"/>
    <s v="Reclaim Feeding, Line 2"/>
    <s v="Reclaim Feeding, Line 4 "/>
    <s v="ML-PRO-SHL-010-RFL04"/>
    <n v="1"/>
    <s v="ea"/>
    <n v="168"/>
    <n v="2220"/>
    <n v="16785.448"/>
    <n v="22200"/>
    <n v="41205.448000000004"/>
    <n v="168"/>
    <n v="2220"/>
    <n v="16785.448"/>
    <n v="22200"/>
    <n v="41205.448000000004"/>
    <n v="0"/>
    <n v="0"/>
    <n v="1"/>
    <n v="0"/>
    <n v="0"/>
    <n v="1"/>
    <n v="41205.448000000004"/>
    <n v="0"/>
    <n v="0"/>
    <n v="41205.448000000004"/>
    <s v="Type A  _x000a_2AM-MRY1325"/>
    <s v="Added"/>
    <s v="2015 R"/>
    <s v="Direct "/>
    <m/>
    <m/>
    <n v="0.33333333333333331"/>
    <m/>
    <n v="0.33333333333333331"/>
    <m/>
    <m/>
    <m/>
    <m/>
    <n v="0.33333333333333331"/>
    <n v="0"/>
    <m/>
    <n v="13735.149333333335"/>
    <n v="0"/>
    <n v="13735.149333333335"/>
    <n v="0"/>
    <n v="0"/>
    <n v="0"/>
    <n v="0"/>
    <n v="13735.149333333335"/>
  </r>
  <r>
    <x v="1"/>
    <x v="1"/>
    <x v="2"/>
    <x v="2"/>
    <x v="2"/>
    <x v="2"/>
    <x v="2"/>
    <x v="2"/>
    <s v="141"/>
    <s v="SA-"/>
    <s v="MM3"/>
    <s v="Heavy Equipment"/>
    <s v="MM3"/>
    <s v="Mechanical Equipment"/>
    <s v="Heavy Equipment"/>
    <m/>
    <s v="Cone Crusher"/>
    <m/>
    <n v="1"/>
    <s v="ea"/>
    <n v="168"/>
    <n v="2220"/>
    <n v="16785.448"/>
    <n v="22200"/>
    <n v="41205.448000000004"/>
    <n v="168"/>
    <n v="2220"/>
    <n v="16785.448"/>
    <n v="22200"/>
    <n v="41205.448000000004"/>
    <n v="56"/>
    <n v="56"/>
    <n v="1"/>
    <n v="0"/>
    <n v="0"/>
    <n v="1"/>
    <n v="41205.448000000004"/>
    <n v="0"/>
    <n v="0"/>
    <n v="41205.448000000004"/>
    <s v="Type B Construction_x000a_2BC-MRY1416"/>
    <s v="Modified (2017A)"/>
    <n v="2017"/>
    <s v="Direct "/>
    <m/>
    <m/>
    <n v="0.33333333333333331"/>
    <m/>
    <n v="0.33333333333333331"/>
    <m/>
    <m/>
    <m/>
    <m/>
    <n v="0.33333333333333331"/>
    <n v="0"/>
    <m/>
    <n v="13735.149333333335"/>
    <n v="0"/>
    <n v="13735.149333333335"/>
    <n v="0"/>
    <n v="0"/>
    <n v="0"/>
    <n v="0"/>
    <n v="13735.149333333335"/>
  </r>
  <r>
    <x v="3"/>
    <x v="3"/>
    <x v="7"/>
    <x v="7"/>
    <x v="9"/>
    <x v="8"/>
    <x v="10"/>
    <x v="9"/>
    <m/>
    <s v="BLD"/>
    <m/>
    <m/>
    <m/>
    <m/>
    <m/>
    <s v="Lot"/>
    <s v="Rail Construction Materials (mobilized in 2018, installed following expansion approval) "/>
    <m/>
    <n v="1"/>
    <s v="ea"/>
    <s v="0"/>
    <s v="0"/>
    <s v="0"/>
    <s v="0"/>
    <n v="500000"/>
    <n v="0"/>
    <n v="0"/>
    <n v="0"/>
    <n v="0"/>
    <n v="500000"/>
    <n v="0"/>
    <n v="0"/>
    <n v="1"/>
    <n v="0"/>
    <n v="0"/>
    <n v="1"/>
    <n v="500000"/>
    <n v="0"/>
    <n v="0"/>
    <n v="500000"/>
    <s v="Type A  _x000a_2AM-MRY1325"/>
    <s v="Added"/>
    <n v="2018"/>
    <s v="Direct "/>
    <m/>
    <m/>
    <n v="0.33333333333333331"/>
    <n v="0.33333333333333331"/>
    <n v="0.33333333333333331"/>
    <m/>
    <m/>
    <m/>
    <m/>
    <m/>
    <n v="0"/>
    <m/>
    <n v="166666.66666666666"/>
    <n v="166666.66666666666"/>
    <n v="166666.66666666666"/>
    <n v="0"/>
    <n v="0"/>
    <n v="0"/>
    <n v="0"/>
    <n v="0"/>
  </r>
  <r>
    <x v="1"/>
    <x v="1"/>
    <x v="2"/>
    <x v="2"/>
    <x v="2"/>
    <x v="2"/>
    <x v="2"/>
    <x v="2"/>
    <s v="141"/>
    <s v="SA-"/>
    <s v="MM2"/>
    <s v="Medium Equipment"/>
    <s v="MM2"/>
    <s v="Mechanical Equipment"/>
    <s v="Medium Equipment"/>
    <s v="3rd Party Contractor"/>
    <s v="Medium Equipment on 2017 Sea Lift"/>
    <m/>
    <n v="93"/>
    <s v="ea"/>
    <n v="19.2"/>
    <n v="213"/>
    <n v="1918.3369142857146"/>
    <n v="2130"/>
    <n v="4261.3369142857146"/>
    <n v="1785.6"/>
    <n v="19809"/>
    <n v="178405.33302857145"/>
    <n v="198090"/>
    <n v="396304.33302857145"/>
    <n v="1"/>
    <n v="93"/>
    <n v="1"/>
    <n v="0"/>
    <n v="0"/>
    <n v="1"/>
    <n v="396304.33302857145"/>
    <n v="0"/>
    <n v="0"/>
    <n v="396304.33302857145"/>
    <s v="Type A  _x000a_2AM-MRY1325"/>
    <s v="Added"/>
    <s v="2018-R"/>
    <s v="Direct "/>
    <m/>
    <m/>
    <n v="0.33333333333333331"/>
    <m/>
    <n v="0.33333333333333331"/>
    <m/>
    <m/>
    <m/>
    <m/>
    <n v="0.33333333333333331"/>
    <n v="0"/>
    <m/>
    <n v="132101.44434285714"/>
    <n v="0"/>
    <n v="132101.44434285714"/>
    <n v="0"/>
    <n v="0"/>
    <n v="0"/>
    <n v="0"/>
    <n v="132101.44434285714"/>
  </r>
  <r>
    <x v="1"/>
    <x v="1"/>
    <x v="3"/>
    <x v="3"/>
    <x v="5"/>
    <x v="4"/>
    <x v="13"/>
    <x v="12"/>
    <s v="276"/>
    <s v="BLD"/>
    <s v="FF1-c"/>
    <s v="Modular Building Contaminated (480 ft2) "/>
    <s v="FTR2-c"/>
    <s v="Buildings (Contaminated)"/>
    <s v="Double Trailer (2 or more)"/>
    <m/>
    <s v="Workshop Office Building - Demolish and Decontaminate Building - Trailer - Modular (2 or more modules)"/>
    <s v="2521-BLD-003"/>
    <n v="267.65799256505579"/>
    <s v="m2"/>
    <n v="0.56041666666666667"/>
    <n v="3.3624999999999998"/>
    <n v="55.993123908730162"/>
    <n v="84.0625"/>
    <n v="143.41812390873017"/>
    <n v="150.00000000000003"/>
    <n v="900"/>
    <n v="14987.007142857145"/>
    <n v="22500.000000000004"/>
    <n v="38387.007142857146"/>
    <n v="1"/>
    <n v="267.65799256505579"/>
    <n v="1"/>
    <n v="0"/>
    <n v="0"/>
    <n v="1"/>
    <n v="38387.007142857146"/>
    <n v="0"/>
    <n v="0"/>
    <n v="38387.007142857146"/>
    <s v="Type B Construction_x000a_2BC-MRY1416"/>
    <m/>
    <n v="2014"/>
    <s v="Direct "/>
    <m/>
    <m/>
    <n v="0.33333333333333331"/>
    <n v="0.33333333333333331"/>
    <n v="0.33333333333333331"/>
    <m/>
    <m/>
    <m/>
    <m/>
    <m/>
    <n v="0"/>
    <m/>
    <n v="12795.669047619049"/>
    <n v="12795.669047619049"/>
    <n v="12795.669047619049"/>
    <n v="0"/>
    <n v="0"/>
    <n v="0"/>
    <n v="0"/>
    <n v="0"/>
  </r>
  <r>
    <x v="5"/>
    <x v="5"/>
    <x v="10"/>
    <x v="8"/>
    <x v="18"/>
    <x v="10"/>
    <x v="28"/>
    <x v="24"/>
    <m/>
    <s v=""/>
    <s v="A3"/>
    <s v="Grade &amp; Re-Contour"/>
    <s v="A2"/>
    <s v="Site Works"/>
    <s v="Grade and Re-Contour"/>
    <s v="Grade and Contour"/>
    <s v="2018 Tote Road Improvements (Twinned Sections) - IOL"/>
    <m/>
    <n v="209388.1970260223"/>
    <s v="m2"/>
    <n v="1.2689880937499998E-2"/>
    <n v="0.14624999999999999"/>
    <n v="1.2689880937499998"/>
    <n v="0.39654534577546297"/>
    <n v="1.8102953457754629"/>
    <n v="2657.1112899780142"/>
    <n v="30623.02381505576"/>
    <n v="265711.1289978014"/>
    <n v="83031.914990984777"/>
    <n v="379054.47853652382"/>
    <n v="0"/>
    <n v="0"/>
    <n v="1"/>
    <n v="0"/>
    <n v="0"/>
    <n v="1"/>
    <n v="379054.47853652382"/>
    <n v="0"/>
    <n v="0"/>
    <n v="379054.47853652382"/>
    <s v="Type A  _x000a_2AM-MRY1325"/>
    <s v="Added"/>
    <n v="2018"/>
    <s v="Direct "/>
    <m/>
    <m/>
    <n v="0.5"/>
    <n v="0.5"/>
    <m/>
    <m/>
    <m/>
    <m/>
    <m/>
    <m/>
    <n v="0"/>
    <m/>
    <n v="189527.23926826191"/>
    <n v="189527.23926826191"/>
    <n v="0"/>
    <n v="0"/>
    <n v="0"/>
    <n v="0"/>
    <n v="0"/>
    <n v="0"/>
  </r>
  <r>
    <x v="1"/>
    <x v="1"/>
    <x v="3"/>
    <x v="3"/>
    <x v="3"/>
    <x v="3"/>
    <x v="3"/>
    <x v="3"/>
    <s v="237"/>
    <s v="BLD"/>
    <s v="FF1"/>
    <s v="Modular Building Not Contaminated (480 ft2)"/>
    <s v="FS"/>
    <s v="Buildings (Not Contaminated)"/>
    <s v="Prefabricated Special Modular"/>
    <m/>
    <s v="Accommodation Wing BA - Demolish and Decontaminate Building - Special Modular / Prefabricated"/>
    <s v="2512-BLD-001"/>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B Construction_x000a_2BC-MRY1416"/>
    <m/>
    <n v="2014"/>
    <s v="Direct "/>
    <m/>
    <m/>
    <n v="0.33333333333333331"/>
    <n v="0.33333333333333331"/>
    <n v="0.33333333333333331"/>
    <m/>
    <m/>
    <m/>
    <m/>
    <m/>
    <n v="0"/>
    <m/>
    <n v="12110.588797288359"/>
    <n v="12110.588797288359"/>
    <n v="12110.588797288359"/>
    <n v="0"/>
    <n v="0"/>
    <n v="0"/>
    <n v="0"/>
    <n v="0"/>
  </r>
  <r>
    <x v="1"/>
    <x v="1"/>
    <x v="3"/>
    <x v="3"/>
    <x v="3"/>
    <x v="3"/>
    <x v="3"/>
    <x v="3"/>
    <s v="240"/>
    <s v="BLD"/>
    <s v="FF1"/>
    <s v="Modular Building Not Contaminated (480 ft2)"/>
    <s v="FS"/>
    <s v="Buildings (Not Contaminated)"/>
    <s v="Prefabricated Special Modular"/>
    <m/>
    <s v="Accommodation Wing BB - Demolish and Decontaminate Building - Special Modular / Prefabricated"/>
    <s v="2512-BLD-002"/>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B Construction_x000a_2BC-MRY1416"/>
    <m/>
    <n v="2014"/>
    <s v="Direct "/>
    <m/>
    <m/>
    <n v="0.33333333333333331"/>
    <n v="0.33333333333333331"/>
    <n v="0.33333333333333331"/>
    <m/>
    <m/>
    <m/>
    <m/>
    <m/>
    <n v="0"/>
    <m/>
    <n v="12110.588797288359"/>
    <n v="12110.588797288359"/>
    <n v="12110.588797288359"/>
    <n v="0"/>
    <n v="0"/>
    <n v="0"/>
    <n v="0"/>
    <n v="0"/>
  </r>
  <r>
    <x v="1"/>
    <x v="1"/>
    <x v="3"/>
    <x v="3"/>
    <x v="3"/>
    <x v="3"/>
    <x v="3"/>
    <x v="3"/>
    <s v="243"/>
    <s v="BLD"/>
    <s v="FF1"/>
    <s v="Modular Building Not Contaminated (480 ft2)"/>
    <s v="FS"/>
    <s v="Buildings (Not Contaminated)"/>
    <s v="Prefabricated Special Modular"/>
    <m/>
    <s v="Accommodation Wing BC - Demolish and Decontaminate Building - Special Modular / Prefabricated"/>
    <s v="2512-BLD-003"/>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B Construction_x000a_2BC-MRY1416"/>
    <m/>
    <n v="2014"/>
    <s v="Direct "/>
    <m/>
    <m/>
    <n v="0.33333333333333331"/>
    <n v="0.33333333333333331"/>
    <n v="0.33333333333333331"/>
    <m/>
    <m/>
    <m/>
    <m/>
    <m/>
    <n v="0"/>
    <m/>
    <n v="12110.588797288359"/>
    <n v="12110.588797288359"/>
    <n v="12110.588797288359"/>
    <n v="0"/>
    <n v="0"/>
    <n v="0"/>
    <n v="0"/>
    <n v="0"/>
  </r>
  <r>
    <x v="1"/>
    <x v="1"/>
    <x v="3"/>
    <x v="3"/>
    <x v="3"/>
    <x v="3"/>
    <x v="3"/>
    <x v="3"/>
    <s v="246"/>
    <s v="BLD"/>
    <s v="FF1"/>
    <s v="Modular Building Not Contaminated (480 ft2)"/>
    <s v="FS"/>
    <s v="Buildings (Not Contaminated)"/>
    <s v="Prefabricated Special Modular"/>
    <m/>
    <s v="Accommodation Wing BD - Demolish and Decontaminate Building - Special Modular / Prefabricated"/>
    <s v="2512-BLD-004"/>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B Construction_x000a_2BC-MRY1416"/>
    <m/>
    <n v="2014"/>
    <s v="Direct "/>
    <m/>
    <m/>
    <n v="0.33333333333333331"/>
    <n v="0.33333333333333331"/>
    <n v="0.33333333333333331"/>
    <m/>
    <m/>
    <m/>
    <m/>
    <m/>
    <n v="0"/>
    <m/>
    <n v="12110.588797288359"/>
    <n v="12110.588797288359"/>
    <n v="12110.588797288359"/>
    <n v="0"/>
    <n v="0"/>
    <n v="0"/>
    <n v="0"/>
    <n v="0"/>
  </r>
  <r>
    <x v="1"/>
    <x v="1"/>
    <x v="3"/>
    <x v="3"/>
    <x v="5"/>
    <x v="4"/>
    <x v="13"/>
    <x v="12"/>
    <s v="271"/>
    <s v="BLD"/>
    <s v="CP"/>
    <s v="Precast Concrete Foundations - (480 ft2)"/>
    <s v="CP"/>
    <s v="Flooring / Foundations"/>
    <s v="Precast Foundations"/>
    <m/>
    <s v="Maintenance Building - Demolish and foundations - Precast Footing (Perimeter Beam)"/>
    <s v="2521-BLD-001"/>
    <n v="892.19330855018586"/>
    <s v="m2"/>
    <n v="0.14520631503408685"/>
    <n v="2.1780947255113023"/>
    <n v="14.50805387069216"/>
    <n v="21.780947255113027"/>
    <n v="38.467095851316493"/>
    <n v="129.55210263264254"/>
    <n v="1943.2815394896377"/>
    <n v="12943.98858351717"/>
    <n v="19432.815394896381"/>
    <n v="34320.085517903186"/>
    <n v="0.75"/>
    <n v="669.14498141263937"/>
    <n v="1"/>
    <n v="0"/>
    <n v="0"/>
    <n v="1"/>
    <n v="34320.085517903186"/>
    <n v="0"/>
    <n v="0"/>
    <n v="34320.085517903186"/>
    <s v="Type B Construction_x000a_2BC-MRY1416"/>
    <m/>
    <n v="2014"/>
    <s v="Direct "/>
    <m/>
    <m/>
    <n v="0.33333333333333331"/>
    <n v="0.33333333333333331"/>
    <n v="0.33333333333333331"/>
    <m/>
    <m/>
    <m/>
    <m/>
    <m/>
    <n v="0"/>
    <m/>
    <n v="11440.028505967728"/>
    <n v="11440.028505967728"/>
    <n v="11440.028505967728"/>
    <n v="0"/>
    <n v="0"/>
    <n v="0"/>
    <n v="0"/>
    <n v="0"/>
  </r>
  <r>
    <x v="4"/>
    <x v="4"/>
    <x v="9"/>
    <x v="9"/>
    <x v="13"/>
    <x v="11"/>
    <x v="15"/>
    <x v="13"/>
    <m/>
    <m/>
    <m/>
    <s v="Indirect"/>
    <s v="Indirect"/>
    <s v="Indirect"/>
    <s v="Indirect"/>
    <m/>
    <s v="Mobilization of Workers Required for Reclamation"/>
    <m/>
    <m/>
    <m/>
    <m/>
    <m/>
    <m/>
    <m/>
    <m/>
    <m/>
    <m/>
    <m/>
    <m/>
    <n v="827000"/>
    <n v="0"/>
    <n v="0"/>
    <n v="1"/>
    <n v="0"/>
    <n v="0"/>
    <n v="1"/>
    <n v="827000"/>
    <n v="0"/>
    <n v="0"/>
    <n v="827000"/>
    <s v="Type A  _x000a_2AM-MRY1325"/>
    <s v="Added"/>
    <n v="2018"/>
    <s v="Indirect"/>
    <m/>
    <m/>
    <n v="0.2"/>
    <n v="0.2"/>
    <n v="0.2"/>
    <n v="0.1"/>
    <n v="0.1"/>
    <n v="0.1"/>
    <n v="0.05"/>
    <n v="0.05"/>
    <n v="0"/>
    <m/>
    <n v="165400"/>
    <n v="165400"/>
    <n v="165400"/>
    <n v="82700"/>
    <n v="82700"/>
    <n v="82700"/>
    <n v="41350"/>
    <n v="41350"/>
  </r>
  <r>
    <x v="1"/>
    <x v="1"/>
    <x v="3"/>
    <x v="3"/>
    <x v="5"/>
    <x v="4"/>
    <x v="13"/>
    <x v="12"/>
    <s v="272"/>
    <s v="BLD"/>
    <s v="CS"/>
    <s v="Slab on Grade - ASSUME 300mm thick"/>
    <s v="CS"/>
    <s v="Flooring / Foundations"/>
    <s v="Slab on Grade"/>
    <m/>
    <s v="Maintenance Building - Demolish floor finish - Slab on grade C/W Drainage"/>
    <s v="2521-BLD-001"/>
    <n v="892.19330855018586"/>
    <s v="m2"/>
    <n v="0.125"/>
    <n v="1.875"/>
    <n v="12.48917261904762"/>
    <n v="18.75"/>
    <n v="33.114172619047622"/>
    <n v="111.52416356877323"/>
    <n v="1672.8624535315985"/>
    <n v="11142.756240042487"/>
    <n v="16728.624535315987"/>
    <n v="29544.243228890071"/>
    <n v="0"/>
    <n v="0"/>
    <n v="1"/>
    <n v="0"/>
    <n v="0"/>
    <n v="1"/>
    <n v="29544.243228890071"/>
    <n v="0"/>
    <n v="0"/>
    <n v="29544.243228890071"/>
    <s v="Type B Construction_x000a_2BC-MRY1416"/>
    <m/>
    <n v="2014"/>
    <s v="Direct "/>
    <m/>
    <m/>
    <n v="0.33333333333333331"/>
    <n v="0.33333333333333331"/>
    <n v="0.33333333333333331"/>
    <m/>
    <m/>
    <m/>
    <m/>
    <m/>
    <n v="0"/>
    <m/>
    <n v="9848.0810762966903"/>
    <n v="9848.0810762966903"/>
    <n v="9848.0810762966903"/>
    <n v="0"/>
    <n v="0"/>
    <n v="0"/>
    <n v="0"/>
    <n v="0"/>
  </r>
  <r>
    <x v="1"/>
    <x v="1"/>
    <x v="8"/>
    <x v="8"/>
    <x v="12"/>
    <x v="10"/>
    <x v="29"/>
    <x v="25"/>
    <m/>
    <m/>
    <s v="A3"/>
    <s v="Grade &amp; Re-Contour"/>
    <s v="A9"/>
    <s v="Site Works"/>
    <s v="Grade and Re-Contour Building Footprints"/>
    <m/>
    <s v="Grade and Re-Contour Building Footprints"/>
    <m/>
    <n v="14306"/>
    <s v="m2"/>
    <n v="1.2689880937499998E-2"/>
    <n v="0.14624999999999999"/>
    <n v="1.2689880937499998"/>
    <n v="0.39654534577546297"/>
    <n v="1.8102953457754629"/>
    <n v="181.54143669187496"/>
    <n v="2092.2525000000001"/>
    <n v="18154.143669187495"/>
    <n v="5672.9777166637732"/>
    <n v="25919.373885851266"/>
    <n v="0"/>
    <n v="0"/>
    <n v="1"/>
    <n v="0"/>
    <n v="0"/>
    <n v="1"/>
    <n v="25919.373885851266"/>
    <n v="0"/>
    <n v="0"/>
    <n v="25919.373885851266"/>
    <s v="Type B Construction_x000a_2BC-MRY1416"/>
    <m/>
    <n v="2014"/>
    <s v="Direct "/>
    <m/>
    <m/>
    <n v="0.33333333333333331"/>
    <n v="0.33333333333333331"/>
    <n v="0.33333333333333331"/>
    <m/>
    <m/>
    <m/>
    <m/>
    <m/>
    <n v="0"/>
    <m/>
    <n v="8639.7912952837542"/>
    <n v="8639.7912952837542"/>
    <n v="8639.7912952837542"/>
    <n v="0"/>
    <n v="0"/>
    <n v="0"/>
    <n v="0"/>
    <n v="0"/>
  </r>
  <r>
    <x v="1"/>
    <x v="1"/>
    <x v="5"/>
    <x v="5"/>
    <x v="7"/>
    <x v="6"/>
    <x v="30"/>
    <x v="26"/>
    <s v="459"/>
    <s v="BLD"/>
    <s v="FF1-c"/>
    <s v="Modular Building Contaminated (480 ft2) "/>
    <s v="FTR2-c"/>
    <s v="Buildings (Contaminated)"/>
    <s v="Double Trailer (2 or more)"/>
    <m/>
    <s v="Sewage Treatment Plant - Demolish and Decontaminate Building - Trailer - Modular (2 or more modules)"/>
    <s v="2731-VP-005"/>
    <n v="178.43866171003717"/>
    <s v="m2"/>
    <n v="0.56041666666666667"/>
    <n v="3.3624999999999998"/>
    <n v="55.993123908730162"/>
    <n v="84.0625"/>
    <n v="143.41812390873017"/>
    <n v="100"/>
    <n v="599.99999999999989"/>
    <n v="9991.3380952380958"/>
    <n v="15000"/>
    <n v="25591.338095238098"/>
    <n v="1"/>
    <n v="178.43866171003717"/>
    <n v="1"/>
    <n v="0"/>
    <n v="0"/>
    <n v="1"/>
    <n v="25591.338095238098"/>
    <n v="0"/>
    <n v="0"/>
    <n v="25591.338095238098"/>
    <s v="Type B Construction_x000a_2BC-MRY1416"/>
    <m/>
    <n v="2014"/>
    <s v="Direct "/>
    <m/>
    <m/>
    <n v="0.5"/>
    <n v="0.5"/>
    <m/>
    <m/>
    <m/>
    <m/>
    <m/>
    <m/>
    <n v="0"/>
    <m/>
    <n v="12795.669047619049"/>
    <n v="12795.669047619049"/>
    <n v="0"/>
    <n v="0"/>
    <n v="0"/>
    <n v="0"/>
    <n v="0"/>
    <n v="0"/>
  </r>
  <r>
    <x v="1"/>
    <x v="1"/>
    <x v="3"/>
    <x v="3"/>
    <x v="3"/>
    <x v="3"/>
    <x v="18"/>
    <x v="15"/>
    <s v="233"/>
    <s v="BLD"/>
    <s v="FF1"/>
    <s v="Modular Building Not Contaminated (480 ft2)"/>
    <s v="FS"/>
    <s v="Buildings (Not Contaminated)"/>
    <s v="Prefabricated Special Modular"/>
    <m/>
    <s v="Accommodation Laundry - Demolish and Decontaminate Building - Special Modular / Prefabricated"/>
    <s v="2511-BLD-003"/>
    <n v="423.79182156133828"/>
    <s v="m2"/>
    <n v="0.22416666666666665"/>
    <n v="3.3624999999999998"/>
    <n v="22.397249563492064"/>
    <n v="33.625"/>
    <n v="59.384749563492065"/>
    <n v="94.999999999999986"/>
    <n v="1425"/>
    <n v="9491.7711904761909"/>
    <n v="14250"/>
    <n v="25166.771190476189"/>
    <n v="1"/>
    <n v="423.79182156133828"/>
    <n v="1"/>
    <n v="0"/>
    <n v="0"/>
    <n v="1"/>
    <n v="25166.771190476189"/>
    <n v="0"/>
    <n v="0"/>
    <n v="25166.771190476189"/>
    <s v="Type B Construction_x000a_2BC-MRY1416"/>
    <m/>
    <n v="2014"/>
    <s v="Direct "/>
    <m/>
    <m/>
    <n v="0.33333333333333331"/>
    <n v="0.33333333333333331"/>
    <n v="0.33333333333333331"/>
    <m/>
    <m/>
    <m/>
    <m/>
    <m/>
    <n v="0"/>
    <m/>
    <n v="8388.9237301587291"/>
    <n v="8388.9237301587291"/>
    <n v="8388.9237301587291"/>
    <n v="0"/>
    <n v="0"/>
    <n v="0"/>
    <n v="0"/>
    <n v="0"/>
  </r>
  <r>
    <x v="4"/>
    <x v="4"/>
    <x v="9"/>
    <x v="9"/>
    <x v="13"/>
    <x v="15"/>
    <x v="15"/>
    <x v="27"/>
    <m/>
    <m/>
    <m/>
    <s v="Indirect"/>
    <s v="Indirect"/>
    <s v="Indirect"/>
    <s v="Indirect"/>
    <m/>
    <s v="Fuel"/>
    <m/>
    <m/>
    <m/>
    <m/>
    <m/>
    <m/>
    <m/>
    <m/>
    <m/>
    <m/>
    <m/>
    <m/>
    <n v="459000"/>
    <n v="0"/>
    <n v="0"/>
    <n v="1"/>
    <n v="0"/>
    <n v="0"/>
    <n v="1"/>
    <n v="459000"/>
    <n v="0"/>
    <n v="0"/>
    <n v="459000"/>
    <s v="Type A  _x000a_2AM-MRY1325"/>
    <s v="Added"/>
    <n v="2018"/>
    <s v="Indirect"/>
    <m/>
    <m/>
    <n v="0.33333333333333331"/>
    <n v="0.33333333333333331"/>
    <n v="0.33333333333333331"/>
    <m/>
    <m/>
    <m/>
    <m/>
    <m/>
    <n v="0"/>
    <m/>
    <n v="153000"/>
    <n v="153000"/>
    <n v="153000"/>
    <n v="0"/>
    <n v="0"/>
    <n v="0"/>
    <n v="0"/>
    <n v="0"/>
  </r>
  <r>
    <x v="6"/>
    <x v="6"/>
    <x v="11"/>
    <x v="3"/>
    <x v="19"/>
    <x v="4"/>
    <x v="31"/>
    <x v="12"/>
    <s v="951"/>
    <s v="BLD"/>
    <s v="FF2-c"/>
    <s v="Fold Away Building Contaminated (480 ft2)"/>
    <s v="FFL-c"/>
    <s v="Buildings (Contaminated)"/>
    <s v="Fold Away Building"/>
    <m/>
    <s v="Mine Truck Workshop (2018)"/>
    <m/>
    <n v="2050"/>
    <s v="m2"/>
    <n v="0.56041666666666667"/>
    <n v="2.3537499999999998"/>
    <n v="55.993123908730162"/>
    <n v="84.0625"/>
    <n v="142.40937390873017"/>
    <n v="1148.8541666666667"/>
    <n v="4825.1875"/>
    <n v="114785.90401289683"/>
    <n v="172328.125"/>
    <n v="291939.21651289682"/>
    <n v="1"/>
    <n v="2050"/>
    <n v="1"/>
    <n v="0"/>
    <n v="0"/>
    <n v="1"/>
    <n v="291939.21651289682"/>
    <n v="0"/>
    <n v="0"/>
    <n v="291939.21651289682"/>
    <s v="Type A  _x000a_2AM-MRY1325"/>
    <s v="Added"/>
    <n v="2018"/>
    <s v="Direct "/>
    <m/>
    <m/>
    <n v="0.33333333333333331"/>
    <n v="0.33333333333333331"/>
    <n v="0.33333333333333331"/>
    <m/>
    <m/>
    <m/>
    <m/>
    <m/>
    <n v="0"/>
    <m/>
    <n v="97313.072170965606"/>
    <n v="97313.072170965606"/>
    <n v="97313.072170965606"/>
    <n v="0"/>
    <n v="0"/>
    <n v="0"/>
    <n v="0"/>
    <n v="0"/>
  </r>
  <r>
    <x v="6"/>
    <x v="6"/>
    <x v="11"/>
    <x v="3"/>
    <x v="19"/>
    <x v="4"/>
    <x v="31"/>
    <x v="12"/>
    <s v="951"/>
    <s v="BLD"/>
    <s v="FF2-c"/>
    <s v="Fold Away Building Contaminated (480 ft2)"/>
    <s v="FFL-c"/>
    <s v="Buildings (Contaminated)"/>
    <s v="Fold Away Building"/>
    <m/>
    <s v="Rolling Stock Workshop (2018)"/>
    <m/>
    <n v="2050"/>
    <s v="m2"/>
    <n v="0.56041666666666667"/>
    <n v="2.3537499999999998"/>
    <n v="55.993123908730162"/>
    <n v="84.0625"/>
    <n v="142.40937390873017"/>
    <n v="1148.8541666666667"/>
    <n v="4825.1875"/>
    <n v="114785.90401289683"/>
    <n v="172328.125"/>
    <n v="291939.21651289682"/>
    <n v="1"/>
    <n v="2050"/>
    <n v="1"/>
    <n v="0"/>
    <n v="0"/>
    <n v="1"/>
    <n v="291939.21651289682"/>
    <n v="0"/>
    <n v="0"/>
    <n v="291939.21651289682"/>
    <s v="Type A  _x000a_2AM-MRY1325"/>
    <s v="Added"/>
    <n v="2018"/>
    <s v="Direct "/>
    <m/>
    <m/>
    <n v="0.33333333333333331"/>
    <n v="0.33333333333333331"/>
    <n v="0.33333333333333331"/>
    <m/>
    <m/>
    <m/>
    <m/>
    <m/>
    <n v="0"/>
    <m/>
    <n v="97313.072170965606"/>
    <n v="97313.072170965606"/>
    <n v="97313.072170965606"/>
    <n v="0"/>
    <n v="0"/>
    <n v="0"/>
    <n v="0"/>
    <n v="0"/>
  </r>
  <r>
    <x v="1"/>
    <x v="1"/>
    <x v="5"/>
    <x v="5"/>
    <x v="20"/>
    <x v="6"/>
    <x v="32"/>
    <x v="28"/>
    <m/>
    <s v=""/>
    <s v="A3l"/>
    <s v="Grade &amp; Re-Contour with Liner"/>
    <s v="A3l"/>
    <s v="Site Works"/>
    <s v="Grade and Re-Contour With Liner"/>
    <m/>
    <s v="PWSP"/>
    <s v="PWSP-2"/>
    <n v="4260"/>
    <s v="m2"/>
    <n v="4.4489880937500004E-2"/>
    <n v="0.17804999999999999"/>
    <n v="4.4489880937499997"/>
    <n v="0.71454534577546303"/>
    <n v="5.3082953457754627"/>
    <n v="189.52689279375002"/>
    <n v="758.49299999999994"/>
    <n v="18952.689279374998"/>
    <n v="3043.9631730034725"/>
    <n v="22613.338173003471"/>
    <n v="0"/>
    <n v="0"/>
    <n v="1"/>
    <n v="0"/>
    <n v="0"/>
    <n v="1"/>
    <n v="22613.338173003471"/>
    <n v="0"/>
    <n v="0"/>
    <n v="22613.338173003471"/>
    <s v="Type B Construction_x000a_2BC-MRY1416"/>
    <s v="Added"/>
    <n v="2016"/>
    <s v="Direct "/>
    <m/>
    <m/>
    <n v="0.33333333333333331"/>
    <n v="0.33333333333333331"/>
    <n v="0.33333333333333331"/>
    <m/>
    <m/>
    <m/>
    <m/>
    <m/>
    <n v="0"/>
    <m/>
    <n v="7537.7793910011569"/>
    <n v="7537.7793910011569"/>
    <n v="7537.7793910011569"/>
    <n v="0"/>
    <n v="0"/>
    <n v="0"/>
    <n v="0"/>
    <n v="0"/>
  </r>
  <r>
    <x v="1"/>
    <x v="1"/>
    <x v="5"/>
    <x v="5"/>
    <x v="20"/>
    <x v="6"/>
    <x v="32"/>
    <x v="28"/>
    <m/>
    <s v=""/>
    <s v="A3l"/>
    <s v="Grade &amp; Re-Contour with Liner"/>
    <s v="A3l"/>
    <s v="Site Works"/>
    <s v="Grade and Re-Contour With Liner"/>
    <m/>
    <s v="PWSP"/>
    <s v="PWSP-1"/>
    <n v="4180"/>
    <s v="m2"/>
    <n v="4.4489880937500004E-2"/>
    <n v="0.17804999999999999"/>
    <n v="4.4489880937499997"/>
    <n v="0.71454534577546303"/>
    <n v="5.3082953457754627"/>
    <n v="185.96770231875001"/>
    <n v="744.24899999999991"/>
    <n v="18596.770231874998"/>
    <n v="2986.7995453414355"/>
    <n v="22188.674545341433"/>
    <n v="0"/>
    <n v="0"/>
    <n v="1"/>
    <n v="0"/>
    <n v="0"/>
    <n v="1"/>
    <n v="22188.674545341433"/>
    <n v="0"/>
    <n v="0"/>
    <n v="22188.674545341433"/>
    <s v="Type B Construction_x000a_2BC-MRY1416"/>
    <s v="Modified"/>
    <n v="2014"/>
    <s v="Direct "/>
    <m/>
    <m/>
    <n v="0.33333333333333331"/>
    <n v="0.33333333333333331"/>
    <n v="0.33333333333333331"/>
    <m/>
    <m/>
    <m/>
    <m/>
    <m/>
    <n v="0"/>
    <m/>
    <n v="7396.2248484471438"/>
    <n v="7396.2248484471438"/>
    <n v="7396.2248484471438"/>
    <n v="0"/>
    <n v="0"/>
    <n v="0"/>
    <n v="0"/>
    <n v="0"/>
  </r>
  <r>
    <x v="1"/>
    <x v="1"/>
    <x v="8"/>
    <x v="8"/>
    <x v="12"/>
    <x v="10"/>
    <x v="33"/>
    <x v="29"/>
    <m/>
    <s v=""/>
    <s v="A3"/>
    <s v="Grade &amp; Re-Contour"/>
    <s v="A2"/>
    <s v="Site Works"/>
    <s v="Grade and Re-Contour"/>
    <s v="Grade and Contour"/>
    <s v="Site Roads"/>
    <m/>
    <n v="12148.5"/>
    <s v="m2"/>
    <n v="1.2689880937499998E-2"/>
    <n v="0.14624999999999999"/>
    <n v="1.2689880937499998"/>
    <n v="0.39654534577546297"/>
    <n v="1.8102953457754629"/>
    <n v="154.16301856921874"/>
    <n v="1776.7181249999999"/>
    <n v="15416.301856921873"/>
    <n v="4817.4311331532117"/>
    <n v="22010.451115075084"/>
    <n v="0"/>
    <n v="0"/>
    <n v="1"/>
    <n v="0"/>
    <n v="0"/>
    <n v="1"/>
    <n v="22010.451115075084"/>
    <n v="0"/>
    <n v="0"/>
    <n v="22010.451115075084"/>
    <s v="Type B Construction_x000a_2BC-MRY1416"/>
    <m/>
    <n v="2014"/>
    <s v="Direct "/>
    <m/>
    <m/>
    <n v="0.33333333333333331"/>
    <n v="0.33333333333333331"/>
    <n v="0.33333333333333331"/>
    <m/>
    <m/>
    <m/>
    <m/>
    <m/>
    <n v="0"/>
    <m/>
    <n v="7336.8170383583611"/>
    <n v="7336.8170383583611"/>
    <n v="7336.8170383583611"/>
    <n v="0"/>
    <n v="0"/>
    <n v="0"/>
    <n v="0"/>
    <n v="0"/>
  </r>
  <r>
    <x v="1"/>
    <x v="1"/>
    <x v="2"/>
    <x v="2"/>
    <x v="2"/>
    <x v="2"/>
    <x v="2"/>
    <x v="2"/>
    <s v="141"/>
    <s v="SA-"/>
    <s v="MM3"/>
    <s v="Heavy Equipment"/>
    <s v="MM3"/>
    <s v="Mechanical Equipment"/>
    <s v="Heavy Equipment"/>
    <s v="3rd Party Contractor"/>
    <s v="Heavy equipment on 2017 Sea Lift"/>
    <m/>
    <n v="6"/>
    <s v="ea"/>
    <n v="168"/>
    <n v="2220"/>
    <n v="16785.448"/>
    <n v="22200"/>
    <n v="41205.448000000004"/>
    <n v="1008"/>
    <n v="13320"/>
    <n v="100712.68799999999"/>
    <n v="133200"/>
    <n v="247232.68799999999"/>
    <n v="56"/>
    <n v="336"/>
    <n v="1"/>
    <n v="0"/>
    <n v="0"/>
    <n v="1"/>
    <n v="247232.68799999999"/>
    <n v="0"/>
    <n v="0"/>
    <n v="247232.68799999999"/>
    <s v="Type A  _x000a_2AM-MRY1325"/>
    <s v="Added"/>
    <s v="2018-R"/>
    <s v="Direct "/>
    <m/>
    <m/>
    <n v="0.33333333333333331"/>
    <m/>
    <n v="0.33333333333333331"/>
    <m/>
    <m/>
    <m/>
    <m/>
    <n v="0.33333333333333331"/>
    <n v="0"/>
    <m/>
    <n v="82410.895999999993"/>
    <n v="0"/>
    <n v="82410.895999999993"/>
    <n v="0"/>
    <n v="0"/>
    <n v="0"/>
    <n v="0"/>
    <n v="82410.895999999993"/>
  </r>
  <r>
    <x v="1"/>
    <x v="1"/>
    <x v="3"/>
    <x v="3"/>
    <x v="5"/>
    <x v="4"/>
    <x v="13"/>
    <x v="12"/>
    <s v="273"/>
    <s v="BLD"/>
    <s v="FF2-c"/>
    <s v="Fold Away Building Contaminated (480 ft2)"/>
    <s v="FFL-c"/>
    <s v="Buildings (Contaminated)"/>
    <s v="Fold Away Building"/>
    <m/>
    <s v="Welding Shop Building - Demolish and Decontaminate Building - Fold-away Building (Steel)"/>
    <s v="2521-BLD-002"/>
    <n v="148.69888475836433"/>
    <s v="m2"/>
    <n v="0.56041666666666667"/>
    <n v="2.3537499999999998"/>
    <n v="55.993123908730162"/>
    <n v="84.0625"/>
    <n v="142.40937390873017"/>
    <n v="83.333333333333343"/>
    <n v="350"/>
    <n v="8326.1150793650813"/>
    <n v="12500.000000000002"/>
    <n v="21176.115079365081"/>
    <n v="1"/>
    <n v="148.69888475836433"/>
    <n v="1"/>
    <n v="0"/>
    <n v="0"/>
    <n v="1"/>
    <n v="21176.115079365081"/>
    <n v="0"/>
    <n v="0"/>
    <n v="21176.115079365081"/>
    <s v="Type B Construction_x000a_2BC-MRY1416"/>
    <m/>
    <n v="2014"/>
    <s v="Direct "/>
    <m/>
    <m/>
    <n v="0.33333333333333331"/>
    <n v="0.33333333333333331"/>
    <n v="0.33333333333333331"/>
    <m/>
    <m/>
    <m/>
    <m/>
    <m/>
    <n v="0"/>
    <m/>
    <n v="7058.7050264550271"/>
    <n v="7058.7050264550271"/>
    <n v="7058.7050264550271"/>
    <n v="0"/>
    <n v="0"/>
    <n v="0"/>
    <n v="0"/>
    <n v="0"/>
  </r>
  <r>
    <x v="1"/>
    <x v="1"/>
    <x v="6"/>
    <x v="6"/>
    <x v="8"/>
    <x v="7"/>
    <x v="9"/>
    <x v="8"/>
    <m/>
    <s v="TK-"/>
    <s v="MT5-d"/>
    <s v="Medium Mobile Diesel Tanks (3000 L to 500k L)"/>
    <s v="MT5-d"/>
    <s v="Mechanical Equipment"/>
    <s v="Medium Mobile Diesel Tanks"/>
    <m/>
    <s v="50,000 L Portable Fuel Dispensing Unit"/>
    <m/>
    <n v="2"/>
    <s v="ea"/>
    <n v="42.724999999999994"/>
    <n v="564.75"/>
    <n v="4268.7992011904762"/>
    <n v="5647.5"/>
    <n v="10481.049201190477"/>
    <n v="85.449999999999989"/>
    <n v="1129.5"/>
    <n v="8537.5984023809524"/>
    <n v="11295"/>
    <n v="20962.098402380951"/>
    <n v="30"/>
    <n v="60"/>
    <n v="1"/>
    <n v="0"/>
    <n v="0"/>
    <n v="1"/>
    <n v="20962.098402380951"/>
    <n v="0"/>
    <n v="0"/>
    <n v="20962.098402380951"/>
    <s v="Type A  _x000a_2AM-MRY1325"/>
    <s v="Added"/>
    <n v="2016"/>
    <s v="Direct "/>
    <m/>
    <m/>
    <n v="0.33333333333333331"/>
    <m/>
    <n v="0.33333333333333331"/>
    <m/>
    <m/>
    <m/>
    <m/>
    <n v="0.33333333333333331"/>
    <n v="0"/>
    <m/>
    <n v="6987.3661341269835"/>
    <n v="0"/>
    <n v="6987.3661341269835"/>
    <n v="0"/>
    <n v="0"/>
    <n v="0"/>
    <n v="0"/>
    <n v="6987.3661341269835"/>
  </r>
  <r>
    <x v="1"/>
    <x v="1"/>
    <x v="3"/>
    <x v="3"/>
    <x v="3"/>
    <x v="3"/>
    <x v="18"/>
    <x v="15"/>
    <s v="230"/>
    <s v="BLD"/>
    <s v="FF1"/>
    <s v="Modular Building Not Contaminated (480 ft2)"/>
    <s v="FS"/>
    <s v="Buildings (Not Contaminated)"/>
    <s v="Prefabricated Special Modular"/>
    <m/>
    <s v="Accommodation Office - Demolish and Decontaminate Building - Special Modular / Prefabricated"/>
    <s v="2511-BLD-002"/>
    <n v="334.57249070631968"/>
    <s v="m2"/>
    <n v="0.22416666666666665"/>
    <n v="3.3624999999999998"/>
    <n v="22.397249563492064"/>
    <n v="33.625"/>
    <n v="59.384749563492065"/>
    <n v="74.999999999999986"/>
    <n v="1124.9999999999998"/>
    <n v="7493.5035714285714"/>
    <n v="11250"/>
    <n v="19868.50357142857"/>
    <n v="1"/>
    <n v="334.57249070631968"/>
    <n v="1"/>
    <n v="0"/>
    <n v="0"/>
    <n v="1"/>
    <n v="19868.50357142857"/>
    <n v="0"/>
    <n v="0"/>
    <n v="19868.50357142857"/>
    <s v="Type B Construction_x000a_2BC-MRY1416"/>
    <m/>
    <n v="2014"/>
    <s v="Direct "/>
    <m/>
    <m/>
    <n v="0.33333333333333331"/>
    <n v="0.33333333333333331"/>
    <n v="0.33333333333333331"/>
    <m/>
    <m/>
    <m/>
    <m/>
    <m/>
    <n v="0"/>
    <m/>
    <n v="6622.8345238095226"/>
    <n v="6622.8345238095226"/>
    <n v="6622.8345238095226"/>
    <n v="0"/>
    <n v="0"/>
    <n v="0"/>
    <n v="0"/>
    <n v="0"/>
  </r>
  <r>
    <x v="1"/>
    <x v="1"/>
    <x v="3"/>
    <x v="3"/>
    <x v="5"/>
    <x v="4"/>
    <x v="20"/>
    <x v="17"/>
    <s v="317"/>
    <s v="MT-"/>
    <s v="MM1"/>
    <s v="Light Equimpent"/>
    <s v="MM1"/>
    <s v="Mechanical Equipment"/>
    <s v="Light Equipment"/>
    <m/>
    <s v="Light Plant"/>
    <m/>
    <n v="10"/>
    <s v="ea"/>
    <n v="8.1"/>
    <n v="106.5"/>
    <n v="809.29838571428581"/>
    <n v="1065"/>
    <n v="1980.7983857142858"/>
    <n v="81"/>
    <n v="1065"/>
    <n v="8092.9838571428581"/>
    <n v="10650"/>
    <n v="19807.983857142859"/>
    <n v="0.5"/>
    <n v="5"/>
    <n v="1"/>
    <n v="0"/>
    <n v="0"/>
    <n v="1"/>
    <n v="19807.983857142859"/>
    <n v="0"/>
    <n v="0"/>
    <n v="19807.983857142859"/>
    <s v="Type B Construction_x000a_2BC-MRY1416"/>
    <s v="Added"/>
    <n v="2017"/>
    <s v="Direct "/>
    <m/>
    <m/>
    <n v="0.33333333333333331"/>
    <m/>
    <n v="0.33333333333333331"/>
    <m/>
    <m/>
    <m/>
    <m/>
    <n v="0.33333333333333331"/>
    <n v="0"/>
    <m/>
    <n v="6602.6612857142864"/>
    <n v="0"/>
    <n v="6602.6612857142864"/>
    <n v="0"/>
    <n v="0"/>
    <n v="0"/>
    <n v="0"/>
    <n v="6602.6612857142864"/>
  </r>
  <r>
    <x v="1"/>
    <x v="1"/>
    <x v="3"/>
    <x v="3"/>
    <x v="5"/>
    <x v="4"/>
    <x v="20"/>
    <x v="17"/>
    <s v="317"/>
    <s v="MT-"/>
    <s v="MM1"/>
    <s v="Light Equimpent"/>
    <s v="MM1"/>
    <s v="Mechanical Equipment"/>
    <s v="Light Equipment"/>
    <m/>
    <s v="Frost Fighter Heater"/>
    <m/>
    <n v="10"/>
    <s v="ea"/>
    <n v="8.1"/>
    <n v="106.5"/>
    <n v="809.29838571428581"/>
    <n v="1065"/>
    <n v="1980.7983857142858"/>
    <n v="81"/>
    <n v="1065"/>
    <n v="8092.9838571428581"/>
    <n v="10650"/>
    <n v="19807.983857142859"/>
    <n v="0.5"/>
    <n v="5"/>
    <n v="1"/>
    <n v="0"/>
    <n v="0"/>
    <n v="1"/>
    <n v="19807.983857142859"/>
    <n v="0"/>
    <n v="0"/>
    <n v="19807.983857142859"/>
    <s v="Type B Construction_x000a_2BC-MRY1416"/>
    <s v="Added"/>
    <n v="2017"/>
    <s v="Direct "/>
    <m/>
    <m/>
    <n v="0.33333333333333331"/>
    <m/>
    <n v="0.33333333333333331"/>
    <m/>
    <m/>
    <m/>
    <m/>
    <n v="0.33333333333333331"/>
    <n v="0"/>
    <m/>
    <n v="6602.6612857142864"/>
    <n v="0"/>
    <n v="6602.6612857142864"/>
    <n v="0"/>
    <n v="0"/>
    <n v="0"/>
    <n v="0"/>
    <n v="6602.6612857142864"/>
  </r>
  <r>
    <x v="1"/>
    <x v="1"/>
    <x v="8"/>
    <x v="8"/>
    <x v="12"/>
    <x v="10"/>
    <x v="19"/>
    <x v="16"/>
    <m/>
    <s v=""/>
    <s v="A3"/>
    <s v="Grade &amp; Re-Contour"/>
    <s v="A2"/>
    <s v="Site Works"/>
    <s v="Grade and Re-Contour"/>
    <s v="Grade and Contour"/>
    <s v="Laydown LP3"/>
    <m/>
    <n v="131000"/>
    <s v="m2"/>
    <n v="1.2689880937499998E-2"/>
    <n v="0.14624999999999999"/>
    <n v="1.2689880937499998"/>
    <n v="0.39654534577546297"/>
    <n v="1.8102953457754629"/>
    <n v="1662.3744028124997"/>
    <n v="19158.75"/>
    <n v="166237.44028124996"/>
    <n v="51947.44029658565"/>
    <n v="237343.6305778356"/>
    <n v="0"/>
    <n v="0"/>
    <n v="1"/>
    <n v="0"/>
    <n v="0"/>
    <n v="1"/>
    <n v="237343.6305778356"/>
    <n v="0"/>
    <n v="0"/>
    <n v="237343.6305778356"/>
    <s v="Type A  _x000a_2AM-MRY1325"/>
    <s v="Added"/>
    <n v="2018"/>
    <s v="Direct "/>
    <m/>
    <m/>
    <n v="0.33333333333333331"/>
    <n v="0.33333333333333331"/>
    <n v="0.33333333333333331"/>
    <m/>
    <m/>
    <m/>
    <m/>
    <m/>
    <n v="0"/>
    <m/>
    <n v="79114.543525945192"/>
    <n v="79114.543525945192"/>
    <n v="79114.543525945192"/>
    <n v="0"/>
    <n v="0"/>
    <n v="0"/>
    <n v="0"/>
    <n v="0"/>
  </r>
  <r>
    <x v="6"/>
    <x v="6"/>
    <x v="12"/>
    <x v="8"/>
    <x v="21"/>
    <x v="16"/>
    <x v="34"/>
    <x v="30"/>
    <m/>
    <s v="MO-"/>
    <s v="O3"/>
    <s v="Heavy Mobile Equipment"/>
    <s v="O3"/>
    <s v="Mobile Equipment"/>
    <s v="Heavy Mobile Equipment"/>
    <s v="3rd Party Equipment"/>
    <s v="3rd Party Heavy Mobile Equipment (make up for typical fleet)"/>
    <m/>
    <n v="78"/>
    <s v="ea"/>
    <n v="13"/>
    <n v="120"/>
    <n v="1298.8739523809525"/>
    <n v="1200"/>
    <n v="2618.8739523809527"/>
    <n v="1014"/>
    <n v="9360"/>
    <n v="101312.16828571429"/>
    <n v="93600"/>
    <n v="204272.16828571429"/>
    <n v="96"/>
    <n v="7488"/>
    <n v="1"/>
    <n v="0"/>
    <n v="0"/>
    <n v="1"/>
    <n v="204272.16828571429"/>
    <n v="0"/>
    <n v="0"/>
    <n v="204272.16828571429"/>
    <s v="Type A  _x000a_2AM-MRY1325"/>
    <s v="Added"/>
    <n v="2018"/>
    <s v="Direct "/>
    <m/>
    <m/>
    <n v="0.33333333333333331"/>
    <m/>
    <n v="0.33333333333333331"/>
    <m/>
    <m/>
    <m/>
    <m/>
    <n v="0.33333333333333331"/>
    <n v="0"/>
    <m/>
    <n v="68090.722761904763"/>
    <n v="0"/>
    <n v="68090.722761904763"/>
    <n v="0"/>
    <n v="0"/>
    <n v="0"/>
    <n v="0"/>
    <n v="68090.722761904763"/>
  </r>
  <r>
    <x v="1"/>
    <x v="1"/>
    <x v="3"/>
    <x v="3"/>
    <x v="17"/>
    <x v="14"/>
    <x v="22"/>
    <x v="19"/>
    <s v="362"/>
    <s v="BLD"/>
    <s v="CP"/>
    <s v="Precast Concrete Foundations - (480 ft2)"/>
    <s v="CP"/>
    <s v="Flooring / Foundations"/>
    <s v="Precast Foundations"/>
    <m/>
    <s v="Waste Management Building - Demolish and foundations - Precast Footing (Perimeter Beam)"/>
    <s v="2540-BLD-001"/>
    <n v="446.09665427509293"/>
    <s v="m2"/>
    <n v="0.14520631503408685"/>
    <n v="2.1780947255113023"/>
    <n v="14.50805387069216"/>
    <n v="21.780947255113027"/>
    <n v="38.467095851316493"/>
    <n v="64.776051316321272"/>
    <n v="971.64076974481884"/>
    <n v="6471.994291758585"/>
    <n v="9716.4076974481904"/>
    <n v="17160.042758951593"/>
    <n v="0.75"/>
    <n v="334.57249070631968"/>
    <n v="1"/>
    <n v="0"/>
    <n v="0"/>
    <n v="1"/>
    <n v="17160.042758951593"/>
    <n v="0"/>
    <n v="0"/>
    <n v="17160.042758951593"/>
    <s v="Type B Construction_x000a_2BC-MRY1416"/>
    <m/>
    <n v="2014"/>
    <s v="Direct "/>
    <m/>
    <m/>
    <n v="0.33333333333333331"/>
    <n v="0.33333333333333331"/>
    <n v="0.33333333333333331"/>
    <m/>
    <m/>
    <m/>
    <m/>
    <m/>
    <n v="0"/>
    <m/>
    <n v="5720.014252983864"/>
    <n v="5720.014252983864"/>
    <n v="5720.014252983864"/>
    <n v="0"/>
    <n v="0"/>
    <n v="0"/>
    <n v="0"/>
    <n v="0"/>
  </r>
  <r>
    <x v="1"/>
    <x v="1"/>
    <x v="5"/>
    <x v="5"/>
    <x v="7"/>
    <x v="6"/>
    <x v="30"/>
    <x v="26"/>
    <s v="468"/>
    <s v="In Meters"/>
    <s v="piping"/>
    <s v="Piping"/>
    <s v="Piping"/>
    <s v="Bulks"/>
    <s v="Piping"/>
    <m/>
    <s v="Sewage Treatment Piping - Piping Installation - Sewage truck bldg to STP"/>
    <s v="2731.2-P"/>
    <n v="258"/>
    <s v="m"/>
    <n v="0.25"/>
    <n v="3.75"/>
    <n v="24.97834523809524"/>
    <n v="37.5"/>
    <n v="66.228345238095244"/>
    <n v="64.5"/>
    <n v="967.5"/>
    <n v="6444.413071428572"/>
    <n v="9675"/>
    <n v="17086.913071428571"/>
    <n v="1.0000000000000002E-2"/>
    <n v="2.5800000000000005"/>
    <n v="1"/>
    <n v="0"/>
    <n v="1"/>
    <n v="0"/>
    <n v="17086.913071428571"/>
    <n v="0"/>
    <n v="17086.913071428571"/>
    <n v="0"/>
    <s v="Type B Construction_x000a_2BC-MRY1416"/>
    <m/>
    <n v="2014"/>
    <s v="Direct "/>
    <m/>
    <m/>
    <n v="0.5"/>
    <n v="0.5"/>
    <m/>
    <m/>
    <m/>
    <m/>
    <m/>
    <m/>
    <n v="0"/>
    <m/>
    <n v="8543.4565357142856"/>
    <n v="8543.4565357142856"/>
    <n v="0"/>
    <n v="0"/>
    <n v="0"/>
    <n v="0"/>
    <n v="0"/>
    <n v="0"/>
  </r>
  <r>
    <x v="1"/>
    <x v="1"/>
    <x v="3"/>
    <x v="3"/>
    <x v="16"/>
    <x v="13"/>
    <x v="21"/>
    <x v="18"/>
    <m/>
    <m/>
    <s v="A3l"/>
    <s v="Grade &amp; Re-Contour with Liner"/>
    <s v="A3l"/>
    <s v="Site Works"/>
    <s v="Grade and Re-Contour With Liner"/>
    <m/>
    <s v="Snow Dump"/>
    <m/>
    <n v="3189"/>
    <s v="m2"/>
    <n v="4.4489880937500004E-2"/>
    <n v="0.17804999999999999"/>
    <n v="4.4489880937499997"/>
    <n v="0.71454534577546303"/>
    <n v="5.3082953457754627"/>
    <n v="141.87823030968752"/>
    <n v="567.80144999999993"/>
    <n v="14187.82303096875"/>
    <n v="2278.6851076779517"/>
    <n v="16928.153857677949"/>
    <n v="0"/>
    <n v="0"/>
    <n v="1"/>
    <n v="0"/>
    <n v="0"/>
    <n v="1"/>
    <n v="16928.153857677949"/>
    <n v="0"/>
    <n v="0"/>
    <n v="16928.153857677949"/>
    <s v="Type A  _x000a_2AM-MRY1325"/>
    <s v="Added"/>
    <s v="2015 R"/>
    <s v="Direct "/>
    <m/>
    <m/>
    <n v="0.33333333333333331"/>
    <n v="0.33333333333333331"/>
    <n v="0.33333333333333331"/>
    <m/>
    <m/>
    <m/>
    <m/>
    <m/>
    <n v="0"/>
    <m/>
    <n v="5642.7179525593165"/>
    <n v="5642.7179525593165"/>
    <n v="5642.7179525593165"/>
    <n v="0"/>
    <n v="0"/>
    <n v="0"/>
    <n v="0"/>
    <n v="0"/>
  </r>
  <r>
    <x v="1"/>
    <x v="1"/>
    <x v="3"/>
    <x v="3"/>
    <x v="5"/>
    <x v="4"/>
    <x v="13"/>
    <x v="12"/>
    <s v="296"/>
    <s v="In Meters"/>
    <s v="piping"/>
    <s v="Piping"/>
    <s v="Piping"/>
    <s v="Bulks"/>
    <s v="Piping"/>
    <m/>
    <s v="Maintenance Building Utility Piping - Piping Installation - Water, air and lube piping inside building"/>
    <s v="2521.5-P"/>
    <n v="255"/>
    <s v="m"/>
    <n v="0.25"/>
    <n v="3.75"/>
    <n v="24.97834523809524"/>
    <n v="37.5"/>
    <n v="66.228345238095244"/>
    <n v="63.75"/>
    <n v="956.25"/>
    <n v="6369.4780357142863"/>
    <n v="9562.5"/>
    <n v="16888.228035714288"/>
    <n v="1.0000000000000002E-2"/>
    <n v="2.5500000000000007"/>
    <n v="1"/>
    <n v="0"/>
    <n v="1"/>
    <n v="0"/>
    <n v="16888.228035714288"/>
    <n v="0"/>
    <n v="16888.228035714288"/>
    <n v="0"/>
    <s v="Type B Construction_x000a_2BC-MRY1416"/>
    <m/>
    <n v="2014"/>
    <s v="Direct "/>
    <m/>
    <m/>
    <n v="0.33333333333333331"/>
    <n v="0.33333333333333331"/>
    <n v="0.33333333333333331"/>
    <m/>
    <m/>
    <m/>
    <m/>
    <m/>
    <n v="0"/>
    <m/>
    <n v="5629.4093452380957"/>
    <n v="5629.4093452380957"/>
    <n v="5629.4093452380957"/>
    <n v="0"/>
    <n v="0"/>
    <n v="0"/>
    <n v="0"/>
    <n v="0"/>
  </r>
  <r>
    <x v="1"/>
    <x v="1"/>
    <x v="5"/>
    <x v="5"/>
    <x v="22"/>
    <x v="17"/>
    <x v="35"/>
    <x v="31"/>
    <s v="431"/>
    <s v="BLD"/>
    <s v="FF2"/>
    <s v="Fold Away Building Not Contaminated (480 ft2)"/>
    <s v="FFL"/>
    <s v="Buildings (Not Contaminated)"/>
    <s v="Fold Away Building"/>
    <m/>
    <s v="Water Building - Demolish and Decontaminate Building - Fold-away Building (Steel)"/>
    <s v="2720-BLD-001"/>
    <n v="390.33457249070631"/>
    <s v="m2"/>
    <n v="0.15691666666666668"/>
    <n v="2.3537499999999998"/>
    <n v="15.678074694444444"/>
    <n v="23.537499999999998"/>
    <n v="41.569324694444447"/>
    <n v="61.25"/>
    <n v="918.74999999999989"/>
    <n v="6119.694583333333"/>
    <n v="9187.4999999999982"/>
    <n v="16225.94458333333"/>
    <n v="1"/>
    <n v="390.33457249070631"/>
    <n v="1"/>
    <n v="0"/>
    <n v="0"/>
    <n v="1"/>
    <n v="16225.94458333333"/>
    <n v="0"/>
    <n v="0"/>
    <n v="16225.94458333333"/>
    <s v="Type B Construction_x000a_2BC-MRY1416"/>
    <m/>
    <n v="2014"/>
    <s v="Direct "/>
    <m/>
    <m/>
    <n v="0.33333333333333331"/>
    <n v="0.33333333333333331"/>
    <n v="0.33333333333333331"/>
    <m/>
    <m/>
    <m/>
    <m/>
    <m/>
    <n v="0"/>
    <m/>
    <n v="5408.6481944444431"/>
    <n v="5408.6481944444431"/>
    <n v="5408.6481944444431"/>
    <n v="0"/>
    <n v="0"/>
    <n v="0"/>
    <n v="0"/>
    <n v="0"/>
  </r>
  <r>
    <x v="1"/>
    <x v="1"/>
    <x v="6"/>
    <x v="6"/>
    <x v="8"/>
    <x v="7"/>
    <x v="36"/>
    <x v="32"/>
    <s v="413"/>
    <s v="TK-"/>
    <s v="MT2-d"/>
    <s v="Medium Diesel Tanks (500k L to 750k L)"/>
    <s v="MT2-d"/>
    <s v="Mechanical Equipment"/>
    <s v="Medium Diesel Tanks"/>
    <m/>
    <s v="TANK  - JET-A1 TANK W: 10250 DI _x000a_H: 9140 "/>
    <s v="2614-TK-007"/>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B Construction_x000a_2BC-MRY1416"/>
    <m/>
    <n v="2014"/>
    <s v="Direct "/>
    <m/>
    <m/>
    <n v="0.5"/>
    <n v="0.5"/>
    <m/>
    <m/>
    <m/>
    <m/>
    <m/>
    <m/>
    <n v="0"/>
    <m/>
    <n v="8083.2006664285718"/>
    <n v="8083.2006664285718"/>
    <n v="0"/>
    <n v="0"/>
    <n v="0"/>
    <n v="0"/>
    <n v="0"/>
    <n v="0"/>
  </r>
  <r>
    <x v="1"/>
    <x v="1"/>
    <x v="6"/>
    <x v="6"/>
    <x v="8"/>
    <x v="7"/>
    <x v="36"/>
    <x v="32"/>
    <s v="414"/>
    <s v="TK-"/>
    <s v="MT2-d"/>
    <s v="Medium Diesel Tanks (500k L to 750k L)"/>
    <s v="MT2-d"/>
    <s v="Mechanical Equipment"/>
    <s v="Medium Diesel Tanks"/>
    <m/>
    <s v="TANK  - JET-A1 TANK W: 10250 DI _x000a_H: 9140 "/>
    <s v="2614-TK-008"/>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B Construction_x000a_2BC-MRY1416"/>
    <m/>
    <n v="2014"/>
    <s v="Direct "/>
    <m/>
    <m/>
    <n v="0.5"/>
    <n v="0.5"/>
    <m/>
    <m/>
    <m/>
    <m/>
    <m/>
    <m/>
    <n v="0"/>
    <m/>
    <n v="8083.2006664285718"/>
    <n v="8083.2006664285718"/>
    <n v="0"/>
    <n v="0"/>
    <n v="0"/>
    <n v="0"/>
    <n v="0"/>
    <n v="0"/>
  </r>
  <r>
    <x v="1"/>
    <x v="1"/>
    <x v="6"/>
    <x v="6"/>
    <x v="8"/>
    <x v="7"/>
    <x v="36"/>
    <x v="32"/>
    <s v="415"/>
    <s v="TK-"/>
    <s v="MT2-d"/>
    <s v="Medium Diesel Tanks (500k L to 750k L)"/>
    <s v="MT2-d"/>
    <s v="Mechanical Equipment"/>
    <s v="Medium Diesel Tanks"/>
    <m/>
    <s v="TANK  - JET-A1 TANK W: 10250 DI _x000a_H: 9140 "/>
    <s v="2614-TK-009"/>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B Construction_x000a_2BC-MRY1416"/>
    <m/>
    <n v="2014"/>
    <s v="Direct "/>
    <m/>
    <m/>
    <n v="0.5"/>
    <n v="0.5"/>
    <m/>
    <m/>
    <m/>
    <m/>
    <m/>
    <m/>
    <n v="0"/>
    <m/>
    <n v="8083.2006664285718"/>
    <n v="8083.2006664285718"/>
    <n v="0"/>
    <n v="0"/>
    <n v="0"/>
    <n v="0"/>
    <n v="0"/>
    <n v="0"/>
  </r>
  <r>
    <x v="1"/>
    <x v="1"/>
    <x v="6"/>
    <x v="6"/>
    <x v="8"/>
    <x v="7"/>
    <x v="36"/>
    <x v="32"/>
    <s v="416"/>
    <s v="TK-"/>
    <s v="MT2-d"/>
    <s v="Medium Diesel Tanks (500k L to 750k L)"/>
    <s v="MT2-d"/>
    <s v="Mechanical Equipment"/>
    <s v="Medium Diesel Tanks"/>
    <m/>
    <s v="TANK  - JET-A1 TANK W: 10250 DI _x000a_H: 9140 "/>
    <s v="2614-TK-010"/>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B Construction_x000a_2BC-MRY1416"/>
    <m/>
    <n v="2014"/>
    <s v="Direct "/>
    <m/>
    <m/>
    <n v="0.5"/>
    <n v="0.5"/>
    <m/>
    <m/>
    <m/>
    <m/>
    <m/>
    <m/>
    <n v="0"/>
    <m/>
    <n v="8083.2006664285718"/>
    <n v="8083.2006664285718"/>
    <n v="0"/>
    <n v="0"/>
    <n v="0"/>
    <n v="0"/>
    <n v="0"/>
    <n v="0"/>
  </r>
  <r>
    <x v="1"/>
    <x v="1"/>
    <x v="6"/>
    <x v="6"/>
    <x v="8"/>
    <x v="7"/>
    <x v="36"/>
    <x v="32"/>
    <s v="416"/>
    <s v="TK-"/>
    <s v="MT2-d"/>
    <s v="Medium Diesel Tanks (500k L to 750k L)"/>
    <s v="MT2-d"/>
    <s v="Mechanical Equipment"/>
    <s v="Medium Diesel Tanks"/>
    <m/>
    <s v="Additional 750 kL Jet-A Tank at Milne Port"/>
    <m/>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B Construction_x000a_2BC-MRY1416"/>
    <s v="Added"/>
    <s v="2017-A"/>
    <s v="Direct "/>
    <m/>
    <m/>
    <n v="0.5"/>
    <n v="0.5"/>
    <m/>
    <m/>
    <m/>
    <m/>
    <m/>
    <m/>
    <n v="0"/>
    <m/>
    <n v="8083.2006664285718"/>
    <n v="8083.2006664285718"/>
    <n v="0"/>
    <n v="0"/>
    <n v="0"/>
    <n v="0"/>
    <n v="0"/>
    <n v="0"/>
  </r>
  <r>
    <x v="1"/>
    <x v="1"/>
    <x v="5"/>
    <x v="5"/>
    <x v="22"/>
    <x v="17"/>
    <x v="35"/>
    <x v="31"/>
    <s v="432"/>
    <s v="BLD"/>
    <s v="CP"/>
    <s v="Precast Concrete Foundations - (480 ft2)"/>
    <s v="CP"/>
    <s v="Flooring / Foundations"/>
    <s v="Precast Foundations"/>
    <m/>
    <s v="Water Building - Demolish and foundations - Precast Footing (Perimeter Beam)"/>
    <s v="2720-BLD-001"/>
    <n v="390.33457249070631"/>
    <s v="m2"/>
    <n v="0.14520631503408685"/>
    <n v="2.1780947255113023"/>
    <n v="14.50805387069216"/>
    <n v="21.780947255113027"/>
    <n v="38.467095851316493"/>
    <n v="56.679044901781111"/>
    <n v="850.18567352671653"/>
    <n v="5662.9950052887616"/>
    <n v="8501.8567352671671"/>
    <n v="15015.037414082646"/>
    <n v="0.75"/>
    <n v="292.75092936802974"/>
    <n v="1"/>
    <n v="0"/>
    <n v="0"/>
    <n v="1"/>
    <n v="15015.037414082646"/>
    <n v="0"/>
    <n v="0"/>
    <n v="15015.037414082646"/>
    <s v="Type B Construction_x000a_2BC-MRY1416"/>
    <m/>
    <n v="2014"/>
    <s v="Direct "/>
    <m/>
    <m/>
    <n v="0.33333333333333331"/>
    <n v="0.33333333333333331"/>
    <n v="0.33333333333333331"/>
    <m/>
    <m/>
    <m/>
    <m/>
    <m/>
    <n v="0"/>
    <m/>
    <n v="5005.012471360882"/>
    <n v="5005.012471360882"/>
    <n v="5005.012471360882"/>
    <n v="0"/>
    <n v="0"/>
    <n v="0"/>
    <n v="0"/>
    <n v="0"/>
  </r>
  <r>
    <x v="1"/>
    <x v="1"/>
    <x v="3"/>
    <x v="3"/>
    <x v="17"/>
    <x v="14"/>
    <x v="22"/>
    <x v="19"/>
    <s v="363"/>
    <s v="BLD"/>
    <s v="CS"/>
    <s v="Slab on Grade - ASSUME 300mm thick"/>
    <s v="CS"/>
    <s v="Flooring / Foundations"/>
    <s v="Slab on Grade"/>
    <m/>
    <s v="Waste Management Building - Demolish floor finish - Slab on grade C/W Drainage"/>
    <s v="2540-BLD-001"/>
    <n v="446.09665427509293"/>
    <s v="m2"/>
    <n v="0.125"/>
    <n v="1.875"/>
    <n v="12.48917261904762"/>
    <n v="18.75"/>
    <n v="33.114172619047622"/>
    <n v="55.762081784386616"/>
    <n v="836.43122676579924"/>
    <n v="5571.3781200212434"/>
    <n v="8364.3122676579933"/>
    <n v="14772.121614445035"/>
    <n v="0"/>
    <n v="0"/>
    <n v="1"/>
    <n v="0"/>
    <n v="0"/>
    <n v="1"/>
    <n v="14772.121614445035"/>
    <n v="0"/>
    <n v="0"/>
    <n v="14772.121614445035"/>
    <s v="Type B Construction_x000a_2BC-MRY1416"/>
    <m/>
    <n v="2014"/>
    <s v="Direct "/>
    <m/>
    <m/>
    <n v="0.33333333333333331"/>
    <n v="0.33333333333333331"/>
    <n v="0.33333333333333331"/>
    <m/>
    <m/>
    <m/>
    <m/>
    <m/>
    <n v="0"/>
    <m/>
    <n v="4924.0405381483451"/>
    <n v="4924.0405381483451"/>
    <n v="4924.0405381483451"/>
    <n v="0"/>
    <n v="0"/>
    <n v="0"/>
    <n v="0"/>
    <n v="0"/>
  </r>
  <r>
    <x v="1"/>
    <x v="1"/>
    <x v="8"/>
    <x v="8"/>
    <x v="23"/>
    <x v="16"/>
    <x v="37"/>
    <x v="33"/>
    <m/>
    <s v="MO-"/>
    <s v="O3"/>
    <s v="Heavy Mobile Equipment"/>
    <s v="O3"/>
    <s v="Mobile Equipment"/>
    <s v="Heavy Mobile Equipment"/>
    <s v="3rd Party Equipment"/>
    <s v="Mobile Light Plant, Large"/>
    <m/>
    <n v="5"/>
    <s v="ea"/>
    <n v="13"/>
    <n v="120"/>
    <n v="1298.8739523809525"/>
    <n v="1200"/>
    <n v="2618.8739523809527"/>
    <n v="65"/>
    <n v="600"/>
    <n v="6494.3697619047625"/>
    <n v="6000"/>
    <n v="13094.369761904763"/>
    <n v="96"/>
    <n v="480"/>
    <n v="1"/>
    <n v="0"/>
    <n v="0"/>
    <n v="1"/>
    <n v="13094.369761904763"/>
    <n v="0"/>
    <n v="0"/>
    <n v="13094.369761904763"/>
    <s v="Type A  _x000a_2AM-MRY1325"/>
    <s v="Added"/>
    <n v="2016"/>
    <s v="Direct "/>
    <m/>
    <m/>
    <n v="0.33333333333333331"/>
    <m/>
    <n v="0.33333333333333331"/>
    <m/>
    <m/>
    <m/>
    <m/>
    <n v="0.33333333333333331"/>
    <n v="0"/>
    <m/>
    <n v="4364.7899206349211"/>
    <n v="0"/>
    <n v="4364.7899206349211"/>
    <n v="0"/>
    <n v="0"/>
    <n v="0"/>
    <n v="0"/>
    <n v="4364.7899206349211"/>
  </r>
  <r>
    <x v="1"/>
    <x v="1"/>
    <x v="3"/>
    <x v="3"/>
    <x v="5"/>
    <x v="4"/>
    <x v="38"/>
    <x v="12"/>
    <s v="295"/>
    <s v="TK-"/>
    <s v="MT2"/>
    <s v="Medium Tanks"/>
    <s v="MT2"/>
    <s v="Mechanical Equipment"/>
    <s v="Medium Tanks"/>
    <m/>
    <s v="TANK  - WORKSHOP OFFICE WASHCAR SEWAGE COLLECTION TANK - LAGRANGE MECHANICAL SERVICES  L: 3791, W: 1829, H: 610 "/>
    <s v="2521-TK-053"/>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5"/>
    <n v="0.5"/>
    <m/>
    <m/>
    <m/>
    <m/>
    <m/>
    <m/>
    <n v="0"/>
    <m/>
    <n v="3693.6574047619051"/>
    <n v="3693.6574047619051"/>
    <n v="0"/>
    <n v="0"/>
    <n v="0"/>
    <n v="0"/>
    <n v="0"/>
    <n v="0"/>
  </r>
  <r>
    <x v="1"/>
    <x v="1"/>
    <x v="3"/>
    <x v="3"/>
    <x v="5"/>
    <x v="4"/>
    <x v="13"/>
    <x v="12"/>
    <s v="279"/>
    <s v="BLD"/>
    <s v="FF1-c"/>
    <s v="Modular Building Contaminated (480 ft2) "/>
    <s v="FTR1-c"/>
    <s v="Buildings (Contaminated)"/>
    <s v="Single Trailers (modular)"/>
    <m/>
    <s v="Workshop Office Washcar - Demolish and Decontaminate Building - Trailer - Single"/>
    <s v="2521-BLD-004"/>
    <n v="35.687732342007436"/>
    <s v="m2"/>
    <n v="0.56041666666666667"/>
    <n v="3.3624999999999998"/>
    <n v="55.993123908730162"/>
    <n v="84.0625"/>
    <n v="143.41812390873017"/>
    <n v="20"/>
    <n v="120"/>
    <n v="1998.2676190476193"/>
    <n v="3000"/>
    <n v="5118.2676190476195"/>
    <n v="1"/>
    <n v="35.687732342007436"/>
    <n v="1"/>
    <n v="0"/>
    <n v="0"/>
    <n v="1"/>
    <n v="5118.2676190476195"/>
    <n v="0"/>
    <n v="0"/>
    <n v="5118.2676190476195"/>
    <s v="Type B Construction_x000a_2BC-MRY1416"/>
    <m/>
    <n v="2014"/>
    <s v="Direct "/>
    <m/>
    <m/>
    <n v="0.33333333333333331"/>
    <n v="0.33333333333333331"/>
    <n v="0.33333333333333331"/>
    <m/>
    <m/>
    <m/>
    <m/>
    <m/>
    <n v="0"/>
    <m/>
    <n v="1706.0892063492065"/>
    <n v="1706.0892063492065"/>
    <n v="1706.0892063492065"/>
    <n v="0"/>
    <n v="0"/>
    <n v="0"/>
    <n v="0"/>
    <n v="0"/>
  </r>
  <r>
    <x v="1"/>
    <x v="1"/>
    <x v="3"/>
    <x v="3"/>
    <x v="5"/>
    <x v="4"/>
    <x v="38"/>
    <x v="12"/>
    <s v="294"/>
    <s v="TK-"/>
    <s v="MT1"/>
    <s v="Light Tanks"/>
    <s v="MT1"/>
    <s v="Mechanical Equipment"/>
    <s v="Light Tanks"/>
    <m/>
    <s v="TANK  - WORKSHOP OFFICE WASHCAR RAW WATER TANK - PLASTIC-MART 866-310-2556  L: 1803, W: 1245, H: 1346 "/>
    <s v="2521-TK-050"/>
    <n v="1"/>
    <s v="ea"/>
    <n v="9.6666666666666661"/>
    <n v="107.5"/>
    <n v="965.82934920634932"/>
    <n v="1075"/>
    <n v="2148.3293492063494"/>
    <n v="9.6666666666666661"/>
    <n v="107.5"/>
    <n v="965.82934920634932"/>
    <n v="1075"/>
    <n v="2148.3293492063494"/>
    <n v="1"/>
    <n v="1"/>
    <n v="1"/>
    <n v="0"/>
    <n v="0"/>
    <n v="1"/>
    <n v="2148.3293492063494"/>
    <n v="0"/>
    <n v="0"/>
    <n v="2148.3293492063494"/>
    <s v="Type B Construction_x000a_2BC-MRY1416"/>
    <m/>
    <n v="2014"/>
    <s v="Direct "/>
    <m/>
    <m/>
    <n v="0.33333333333333331"/>
    <n v="0.33333333333333331"/>
    <n v="0.33333333333333331"/>
    <m/>
    <m/>
    <m/>
    <m/>
    <m/>
    <n v="0"/>
    <m/>
    <n v="716.10978306878314"/>
    <n v="716.10978306878314"/>
    <n v="716.10978306878314"/>
    <n v="0"/>
    <n v="0"/>
    <n v="0"/>
    <n v="0"/>
    <n v="0"/>
  </r>
  <r>
    <x v="1"/>
    <x v="1"/>
    <x v="2"/>
    <x v="2"/>
    <x v="2"/>
    <x v="2"/>
    <x v="2"/>
    <x v="2"/>
    <s v="141"/>
    <s v="SA-"/>
    <s v="MM2"/>
    <s v="Medium Equipment"/>
    <s v="MM2"/>
    <s v="Mechanical Equipment"/>
    <s v="Medium Equipment"/>
    <m/>
    <s v="Feeder (Small)"/>
    <m/>
    <n v="3"/>
    <s v="ea"/>
    <n v="19.2"/>
    <n v="213"/>
    <n v="1918.3369142857146"/>
    <n v="2130"/>
    <n v="4261.3369142857146"/>
    <n v="57.599999999999994"/>
    <n v="639"/>
    <n v="5755.0107428571437"/>
    <n v="6390"/>
    <n v="12784.010742857143"/>
    <n v="1"/>
    <n v="3"/>
    <n v="1"/>
    <n v="0"/>
    <n v="0"/>
    <n v="1"/>
    <n v="12784.010742857143"/>
    <n v="0"/>
    <n v="0"/>
    <n v="12784.010742857143"/>
    <s v="Type B Construction_x000a_2BC-MRY1416"/>
    <s v="Added"/>
    <n v="2017"/>
    <s v="Direct "/>
    <m/>
    <m/>
    <n v="0.33333333333333331"/>
    <m/>
    <n v="0.33333333333333331"/>
    <m/>
    <m/>
    <m/>
    <m/>
    <n v="0.33333333333333331"/>
    <n v="0"/>
    <m/>
    <n v="4261.3369142857136"/>
    <n v="0"/>
    <n v="4261.3369142857136"/>
    <n v="0"/>
    <n v="0"/>
    <n v="0"/>
    <n v="0"/>
    <n v="4261.3369142857136"/>
  </r>
  <r>
    <x v="6"/>
    <x v="6"/>
    <x v="12"/>
    <x v="8"/>
    <x v="21"/>
    <x v="16"/>
    <x v="39"/>
    <x v="30"/>
    <m/>
    <s v="MO-"/>
    <s v="O2"/>
    <s v="Medium Mobile Equipment"/>
    <s v="O2"/>
    <s v="Mobile Equipment"/>
    <s v="Medium Mobile Equipment "/>
    <s v="3rd Party Equipment"/>
    <s v="3rd Party Medium Mobile Equipment (make up for typical fleet)"/>
    <m/>
    <n v="128"/>
    <s v="ea"/>
    <n v="10"/>
    <n v="45"/>
    <n v="999.13380952380965"/>
    <n v="450"/>
    <n v="1494.1338095238098"/>
    <n v="1280"/>
    <n v="5760"/>
    <n v="127889.12761904763"/>
    <n v="57600"/>
    <n v="191249.12761904765"/>
    <n v="24"/>
    <n v="3072"/>
    <n v="1"/>
    <n v="0"/>
    <n v="0"/>
    <n v="1"/>
    <n v="191249.12761904765"/>
    <n v="0"/>
    <n v="0"/>
    <n v="191249.12761904765"/>
    <s v="Type A  _x000a_2AM-MRY1325"/>
    <s v="Added"/>
    <n v="2018"/>
    <s v="Direct "/>
    <m/>
    <m/>
    <n v="0.33333333333333331"/>
    <m/>
    <n v="0.33333333333333331"/>
    <m/>
    <m/>
    <m/>
    <m/>
    <n v="0.33333333333333331"/>
    <n v="0"/>
    <m/>
    <n v="63749.709206349216"/>
    <n v="0"/>
    <n v="63749.709206349216"/>
    <n v="0"/>
    <n v="0"/>
    <n v="0"/>
    <n v="0"/>
    <n v="63749.709206349216"/>
  </r>
  <r>
    <x v="1"/>
    <x v="1"/>
    <x v="3"/>
    <x v="3"/>
    <x v="3"/>
    <x v="3"/>
    <x v="40"/>
    <x v="34"/>
    <s v="253"/>
    <s v="BLD"/>
    <s v="FF2"/>
    <s v="Fold Away Building Not Contaminated (480 ft2)"/>
    <s v="FFL"/>
    <s v="Buildings (Not Contaminated)"/>
    <s v="Fold Away Building"/>
    <m/>
    <s v="Emergency Response Garage - Demolish and Decontaminate Building - Fold-away Building (Steel)"/>
    <s v="2513-BLD-002"/>
    <n v="278.81040892193312"/>
    <s v="m2"/>
    <n v="0.15691666666666668"/>
    <n v="2.3537499999999998"/>
    <n v="15.678074694444444"/>
    <n v="23.537499999999998"/>
    <n v="41.569324694444447"/>
    <n v="43.750000000000007"/>
    <n v="656.25"/>
    <n v="4371.2104166666668"/>
    <n v="6562.5"/>
    <n v="11589.960416666667"/>
    <n v="1"/>
    <n v="278.81040892193312"/>
    <n v="1"/>
    <n v="0"/>
    <n v="0"/>
    <n v="1"/>
    <n v="11589.960416666667"/>
    <n v="0"/>
    <n v="0"/>
    <n v="11589.960416666667"/>
    <s v="Type B Construction_x000a_2BC-MRY1416"/>
    <m/>
    <n v="2014"/>
    <s v="Direct "/>
    <m/>
    <m/>
    <n v="0.33333333333333331"/>
    <n v="0.33333333333333331"/>
    <n v="0.33333333333333331"/>
    <m/>
    <m/>
    <m/>
    <m/>
    <m/>
    <n v="0"/>
    <m/>
    <n v="3863.3201388888888"/>
    <n v="3863.3201388888888"/>
    <n v="3863.3201388888888"/>
    <n v="0"/>
    <n v="0"/>
    <n v="0"/>
    <n v="0"/>
    <n v="0"/>
  </r>
  <r>
    <x v="1"/>
    <x v="1"/>
    <x v="5"/>
    <x v="5"/>
    <x v="7"/>
    <x v="6"/>
    <x v="41"/>
    <x v="26"/>
    <s v="466"/>
    <s v="VP-"/>
    <s v="VP3"/>
    <s v="VENDOR PKG - Sewage Treatment Plant"/>
    <s v="VP3"/>
    <s v="Packaged_x000a_Facilities"/>
    <s v="Sewage Treatment Plant"/>
    <m/>
    <s v="SEWAGE TREATMENT PLANT VENDOR PACKAGE "/>
    <s v="2731-VP-005"/>
    <n v="1"/>
    <s v="ea"/>
    <n v="51"/>
    <n v="540"/>
    <n v="5095.5824285714289"/>
    <n v="5400"/>
    <n v="11035.58242857143"/>
    <n v="51"/>
    <n v="540"/>
    <n v="5095.5824285714289"/>
    <n v="5400"/>
    <n v="11035.58242857143"/>
    <n v="329.26829268292681"/>
    <n v="329.26829268292681"/>
    <n v="1"/>
    <n v="0"/>
    <n v="1"/>
    <n v="0"/>
    <n v="11035.58242857143"/>
    <n v="0"/>
    <n v="11035.58242857143"/>
    <n v="0"/>
    <s v="Type B Construction_x000a_2BC-MRY1416"/>
    <m/>
    <n v="2014"/>
    <s v="Direct "/>
    <m/>
    <m/>
    <n v="0.5"/>
    <n v="0.5"/>
    <m/>
    <m/>
    <m/>
    <m/>
    <m/>
    <m/>
    <n v="0"/>
    <m/>
    <n v="5517.7912142857149"/>
    <n v="5517.7912142857149"/>
    <n v="0"/>
    <n v="0"/>
    <n v="0"/>
    <n v="0"/>
    <n v="0"/>
    <n v="0"/>
  </r>
  <r>
    <x v="1"/>
    <x v="1"/>
    <x v="5"/>
    <x v="5"/>
    <x v="7"/>
    <x v="6"/>
    <x v="41"/>
    <x v="26"/>
    <s v="466"/>
    <s v="VP-"/>
    <s v="VP3"/>
    <s v="VENDOR PKG - Sewage Treatment Plant"/>
    <s v="VP3"/>
    <s v="Packaged_x000a_Facilities"/>
    <s v="Sewage Treatment Plant"/>
    <m/>
    <s v="Sewage Treatment Plant for 380-person temporary soft-walled camp at Milne Port"/>
    <m/>
    <n v="1"/>
    <s v="ea"/>
    <n v="51"/>
    <n v="540"/>
    <n v="5095.5824285714289"/>
    <n v="5400"/>
    <n v="11035.58242857143"/>
    <n v="51"/>
    <n v="540"/>
    <n v="5095.5824285714289"/>
    <n v="5400"/>
    <n v="11035.58242857143"/>
    <n v="329.26829268292681"/>
    <n v="329.26829268292681"/>
    <n v="1"/>
    <n v="0"/>
    <n v="1"/>
    <n v="0"/>
    <n v="11035.58242857143"/>
    <n v="0"/>
    <n v="11035.58242857143"/>
    <n v="0"/>
    <s v="Type B Construction_x000a_2BC-MRY1416"/>
    <s v="Added"/>
    <s v="2017-A"/>
    <s v="Direct "/>
    <m/>
    <m/>
    <n v="0.5"/>
    <n v="0.5"/>
    <m/>
    <m/>
    <m/>
    <m/>
    <m/>
    <m/>
    <n v="0"/>
    <m/>
    <n v="5517.7912142857149"/>
    <n v="5517.7912142857149"/>
    <n v="0"/>
    <n v="0"/>
    <n v="0"/>
    <n v="0"/>
    <n v="0"/>
    <n v="0"/>
  </r>
  <r>
    <x v="1"/>
    <x v="1"/>
    <x v="3"/>
    <x v="3"/>
    <x v="5"/>
    <x v="4"/>
    <x v="38"/>
    <x v="12"/>
    <m/>
    <s v=""/>
    <s v="A3l"/>
    <s v="Grade &amp; Re-Contour with Liner"/>
    <s v="A3l"/>
    <s v="Site Works"/>
    <s v="Grade and Re-Contour With Liner"/>
    <m/>
    <s v="Liner Removal for Soft Wall Maintenance Garage (assume same size as existing on Tote Road)"/>
    <m/>
    <n v="2046"/>
    <s v="m2"/>
    <n v="4.4489880937500004E-2"/>
    <n v="0.17804999999999999"/>
    <n v="4.4489880937499997"/>
    <n v="0.71454534577546303"/>
    <n v="5.3082953457754627"/>
    <n v="91.026296398125012"/>
    <n v="364.29029999999995"/>
    <n v="9102.6296398124996"/>
    <n v="1461.9597774565973"/>
    <n v="10928.879717269097"/>
    <n v="0"/>
    <n v="0"/>
    <n v="1"/>
    <n v="0"/>
    <n v="0"/>
    <n v="1"/>
    <n v="10928.879717269097"/>
    <n v="0"/>
    <n v="0"/>
    <n v="10928.879717269097"/>
    <s v="Type A  _x000a_2AM-MRY1325"/>
    <s v="Added"/>
    <s v="2017-A"/>
    <s v="Direct "/>
    <m/>
    <m/>
    <n v="0.33333333333333331"/>
    <n v="0.33333333333333331"/>
    <n v="0.33333333333333331"/>
    <m/>
    <m/>
    <m/>
    <m/>
    <m/>
    <n v="0"/>
    <m/>
    <n v="3642.9599057563655"/>
    <n v="3642.9599057563655"/>
    <n v="3642.9599057563655"/>
    <n v="0"/>
    <n v="0"/>
    <n v="0"/>
    <n v="0"/>
    <n v="0"/>
  </r>
  <r>
    <x v="1"/>
    <x v="1"/>
    <x v="3"/>
    <x v="3"/>
    <x v="24"/>
    <x v="18"/>
    <x v="42"/>
    <x v="35"/>
    <s v="351"/>
    <s v="BLD"/>
    <s v="FF1-c"/>
    <s v="Modular Building Contaminated (480 ft2) "/>
    <s v="FS-c"/>
    <s v="Buildings (Contaminated)"/>
    <s v="Prefabricated Special Modular"/>
    <m/>
    <s v="Power Generation E-House #1 - Demolish and Decontaminate Building - Special Modular / Prefabricated"/>
    <s v="2530-BLD-009"/>
    <n v="75.278810408921942"/>
    <s v="m2"/>
    <n v="0.56041666666666667"/>
    <n v="3.3624999999999998"/>
    <n v="55.993123908730162"/>
    <n v="84.0625"/>
    <n v="143.41812390873017"/>
    <n v="42.187500000000007"/>
    <n v="253.12500000000003"/>
    <n v="4215.0957589285717"/>
    <n v="6328.1250000000009"/>
    <n v="10796.345758928572"/>
    <n v="1"/>
    <n v="75.278810408921942"/>
    <n v="1"/>
    <n v="0"/>
    <n v="0"/>
    <n v="1"/>
    <n v="10796.345758928572"/>
    <n v="0"/>
    <n v="0"/>
    <n v="10796.345758928572"/>
    <s v="Type B Construction_x000a_2BC-MRY1416"/>
    <m/>
    <n v="2014"/>
    <s v="Direct "/>
    <m/>
    <m/>
    <n v="0.33333333333333331"/>
    <n v="0.33333333333333331"/>
    <n v="0.33333333333333331"/>
    <m/>
    <m/>
    <m/>
    <m/>
    <m/>
    <n v="0"/>
    <m/>
    <n v="3598.7819196428572"/>
    <n v="3598.7819196428572"/>
    <n v="3598.7819196428572"/>
    <n v="0"/>
    <n v="0"/>
    <n v="0"/>
    <n v="0"/>
    <n v="0"/>
  </r>
  <r>
    <x v="1"/>
    <x v="1"/>
    <x v="3"/>
    <x v="3"/>
    <x v="24"/>
    <x v="18"/>
    <x v="42"/>
    <x v="35"/>
    <s v="354"/>
    <s v="BLD"/>
    <s v="FF1-c"/>
    <s v="Modular Building Contaminated (480 ft2) "/>
    <s v="FS-c"/>
    <s v="Buildings (Contaminated)"/>
    <s v="Prefabricated Special Modular"/>
    <m/>
    <s v="Power Generation E-House #2 - Demolish and Decontaminate Building - Special Modular / Prefabricated"/>
    <s v="2530-BLD-010"/>
    <n v="75.278810408921942"/>
    <s v="m2"/>
    <n v="0.56041666666666667"/>
    <n v="3.3624999999999998"/>
    <n v="55.993123908730162"/>
    <n v="84.0625"/>
    <n v="143.41812390873017"/>
    <n v="42.187500000000007"/>
    <n v="253.12500000000003"/>
    <n v="4215.0957589285717"/>
    <n v="6328.1250000000009"/>
    <n v="10796.345758928572"/>
    <n v="1"/>
    <n v="75.278810408921942"/>
    <n v="1"/>
    <n v="0"/>
    <n v="0"/>
    <n v="1"/>
    <n v="10796.345758928572"/>
    <n v="0"/>
    <n v="0"/>
    <n v="10796.345758928572"/>
    <s v="Type B Construction_x000a_2BC-MRY1416"/>
    <m/>
    <n v="2014"/>
    <s v="Direct "/>
    <m/>
    <m/>
    <n v="0.33333333333333331"/>
    <n v="0.33333333333333331"/>
    <n v="0.33333333333333331"/>
    <m/>
    <m/>
    <m/>
    <m/>
    <m/>
    <n v="0"/>
    <m/>
    <n v="3598.7819196428572"/>
    <n v="3598.7819196428572"/>
    <n v="3598.7819196428572"/>
    <n v="0"/>
    <n v="0"/>
    <n v="0"/>
    <n v="0"/>
    <n v="0"/>
  </r>
  <r>
    <x v="1"/>
    <x v="1"/>
    <x v="3"/>
    <x v="3"/>
    <x v="3"/>
    <x v="3"/>
    <x v="40"/>
    <x v="34"/>
    <s v="254"/>
    <s v="BLD"/>
    <s v="CP"/>
    <s v="Precast Concrete Foundations - (480 ft2)"/>
    <s v="CP"/>
    <s v="Flooring / Foundations"/>
    <s v="Precast Foundations"/>
    <m/>
    <s v="Emergency Response Garage - Demolish and foundations - Precast Footing (Perimeter Beam)"/>
    <s v="2513-BLD-002"/>
    <n v="278.81040892193312"/>
    <s v="m2"/>
    <n v="0.14520631503408685"/>
    <n v="2.1780947255113023"/>
    <n v="14.50805387069216"/>
    <n v="21.780947255113027"/>
    <n v="38.467095851316493"/>
    <n v="40.485032072700797"/>
    <n v="607.2754810905119"/>
    <n v="4044.9964323491158"/>
    <n v="6072.7548109051195"/>
    <n v="10725.026724344747"/>
    <n v="0.75"/>
    <n v="209.10780669144984"/>
    <n v="1"/>
    <n v="0"/>
    <n v="0"/>
    <n v="1"/>
    <n v="10725.026724344747"/>
    <n v="0"/>
    <n v="0"/>
    <n v="10725.026724344747"/>
    <s v="Type B Construction_x000a_2BC-MRY1416"/>
    <m/>
    <n v="2014"/>
    <s v="Direct "/>
    <m/>
    <m/>
    <n v="0.33333333333333331"/>
    <n v="0.33333333333333331"/>
    <n v="0.33333333333333331"/>
    <m/>
    <m/>
    <m/>
    <m/>
    <m/>
    <n v="0"/>
    <m/>
    <n v="3575.0089081149154"/>
    <n v="3575.0089081149154"/>
    <n v="3575.0089081149154"/>
    <n v="0"/>
    <n v="0"/>
    <n v="0"/>
    <n v="0"/>
    <n v="0"/>
  </r>
  <r>
    <x v="1"/>
    <x v="1"/>
    <x v="3"/>
    <x v="3"/>
    <x v="16"/>
    <x v="13"/>
    <x v="21"/>
    <x v="18"/>
    <m/>
    <m/>
    <s v="A3l"/>
    <s v="Grade &amp; Re-Contour with Liner"/>
    <s v="A3l"/>
    <s v="Site Works"/>
    <s v="Grade and Re-Contour With Liner"/>
    <m/>
    <s v="Hazardous Waste Berm"/>
    <s v="MP-HWB-1"/>
    <n v="2000"/>
    <s v="m2"/>
    <n v="4.4489880937500004E-2"/>
    <n v="0.17804999999999999"/>
    <n v="4.4489880937499997"/>
    <n v="0.71454534577546303"/>
    <n v="5.3082953457754627"/>
    <n v="88.979761875000008"/>
    <n v="356.09999999999997"/>
    <n v="8897.9761874999986"/>
    <n v="1429.0906915509261"/>
    <n v="10616.590691550926"/>
    <n v="0"/>
    <n v="0"/>
    <n v="1"/>
    <n v="0"/>
    <n v="0"/>
    <n v="1"/>
    <n v="10616.590691550926"/>
    <n v="0"/>
    <n v="0"/>
    <n v="10616.590691550926"/>
    <s v="Type A  _x000a_2AM-MRY1325"/>
    <s v="Modified"/>
    <s v="2015 R"/>
    <s v="Direct "/>
    <m/>
    <m/>
    <n v="0.33333333333333331"/>
    <n v="0.33333333333333331"/>
    <n v="0.33333333333333331"/>
    <m/>
    <m/>
    <m/>
    <m/>
    <m/>
    <n v="0"/>
    <m/>
    <n v="3538.8635638503083"/>
    <n v="3538.8635638503083"/>
    <n v="3538.8635638503083"/>
    <n v="0"/>
    <n v="0"/>
    <n v="0"/>
    <n v="0"/>
    <n v="0"/>
  </r>
  <r>
    <x v="6"/>
    <x v="6"/>
    <x v="12"/>
    <x v="8"/>
    <x v="21"/>
    <x v="16"/>
    <x v="39"/>
    <x v="30"/>
    <m/>
    <s v="MO-"/>
    <s v="O1"/>
    <s v="Light Mobile Equipment"/>
    <s v="O1"/>
    <s v="Mobile Equipment"/>
    <s v="Light Mobile Equipment"/>
    <s v="3rd Party Equipment"/>
    <s v="3rd Party Light Mobile Equipment (make up for typical fleet)"/>
    <m/>
    <n v="188"/>
    <s v="ea"/>
    <n v="6.666666666666667"/>
    <n v="25"/>
    <n v="666.08920634920639"/>
    <n v="250"/>
    <n v="941.08920634920639"/>
    <n v="1253.3333333333335"/>
    <n v="4700"/>
    <n v="125224.77079365081"/>
    <n v="47000"/>
    <n v="176924.77079365079"/>
    <n v="4"/>
    <n v="752"/>
    <n v="1"/>
    <n v="0"/>
    <n v="0"/>
    <n v="1"/>
    <n v="176924.77079365079"/>
    <n v="0"/>
    <n v="0"/>
    <n v="176924.77079365079"/>
    <s v="Type A  _x000a_2AM-MRY1325"/>
    <s v="Added"/>
    <n v="2018"/>
    <s v="Direct "/>
    <m/>
    <m/>
    <n v="0.33333333333333331"/>
    <m/>
    <n v="0.33333333333333331"/>
    <m/>
    <m/>
    <m/>
    <m/>
    <n v="0.33333333333333331"/>
    <n v="0"/>
    <m/>
    <n v="58974.923597883593"/>
    <n v="0"/>
    <n v="58974.923597883593"/>
    <n v="0"/>
    <n v="0"/>
    <n v="0"/>
    <n v="0"/>
    <n v="58974.923597883593"/>
  </r>
  <r>
    <x v="6"/>
    <x v="6"/>
    <x v="12"/>
    <x v="8"/>
    <x v="21"/>
    <x v="16"/>
    <x v="39"/>
    <x v="30"/>
    <m/>
    <s v="MO-"/>
    <s v="O2"/>
    <s v="Medium Mobile Equipment"/>
    <s v="O2"/>
    <s v="Mobile Equipment"/>
    <s v="Medium Mobile Equipment "/>
    <s v="3rd Party Equipment"/>
    <s v="2017 Sea Lift 3rd Party  Equipment in addition to addendum numbers"/>
    <m/>
    <n v="117"/>
    <s v="ea"/>
    <n v="10"/>
    <n v="45"/>
    <n v="999.13380952380965"/>
    <n v="450"/>
    <n v="1494.1338095238098"/>
    <n v="1170"/>
    <n v="5265"/>
    <n v="116898.65571428573"/>
    <n v="52650"/>
    <n v="174813.65571428573"/>
    <n v="24"/>
    <n v="2808"/>
    <n v="1"/>
    <n v="0"/>
    <n v="0"/>
    <n v="1"/>
    <n v="174813.65571428573"/>
    <n v="0"/>
    <n v="0"/>
    <n v="174813.65571428573"/>
    <s v="Type A  _x000a_2AM-MRY1325"/>
    <s v="Added"/>
    <s v="2018-R"/>
    <s v="Direct "/>
    <m/>
    <m/>
    <n v="0.33333333333333331"/>
    <m/>
    <n v="0.33333333333333331"/>
    <m/>
    <m/>
    <m/>
    <m/>
    <n v="0.33333333333333331"/>
    <n v="0"/>
    <m/>
    <n v="58271.218571428573"/>
    <n v="0"/>
    <n v="58271.218571428573"/>
    <n v="0"/>
    <n v="0"/>
    <n v="0"/>
    <n v="0"/>
    <n v="58271.218571428573"/>
  </r>
  <r>
    <x v="1"/>
    <x v="1"/>
    <x v="8"/>
    <x v="8"/>
    <x v="23"/>
    <x v="16"/>
    <x v="37"/>
    <x v="33"/>
    <m/>
    <s v="MO-"/>
    <s v="O3"/>
    <s v="Heavy Mobile Equipment"/>
    <s v="O3"/>
    <s v="Mobile Equipment"/>
    <s v="Heavy Mobile Equipment"/>
    <s v="3rd Party Equipment"/>
    <s v="CAT 992 Loader"/>
    <m/>
    <n v="4"/>
    <s v="ea"/>
    <n v="13"/>
    <n v="120"/>
    <n v="1298.8739523809525"/>
    <n v="1200"/>
    <n v="2618.8739523809527"/>
    <n v="52"/>
    <n v="480"/>
    <n v="5195.4958095238098"/>
    <n v="4800"/>
    <n v="10475.495809523811"/>
    <n v="96"/>
    <n v="384"/>
    <n v="1"/>
    <n v="0"/>
    <n v="0"/>
    <n v="1"/>
    <n v="10475.495809523811"/>
    <n v="0"/>
    <n v="0"/>
    <n v="10475.495809523811"/>
    <s v="Type A  _x000a_2AM-MRY1325"/>
    <s v="Added"/>
    <n v="2017"/>
    <s v="Direct "/>
    <m/>
    <m/>
    <n v="0.33333333333333331"/>
    <m/>
    <n v="0.33333333333333331"/>
    <m/>
    <m/>
    <m/>
    <m/>
    <n v="0.33333333333333331"/>
    <n v="0"/>
    <m/>
    <n v="3491.8319365079369"/>
    <n v="0"/>
    <n v="3491.8319365079369"/>
    <n v="0"/>
    <n v="0"/>
    <n v="0"/>
    <n v="0"/>
    <n v="3491.8319365079369"/>
  </r>
  <r>
    <x v="1"/>
    <x v="1"/>
    <x v="3"/>
    <x v="3"/>
    <x v="17"/>
    <x v="14"/>
    <x v="22"/>
    <x v="19"/>
    <s v="375"/>
    <s v="VP-"/>
    <s v="VP1"/>
    <s v="VENDOR PKG - Incenerator"/>
    <s v="VP1"/>
    <s v="Packaged_x000a_Facilities"/>
    <s v="Incinerator"/>
    <m/>
    <s v="WASTE INCINERATOR VENDOR PACKAGE "/>
    <s v="2540-VP-001"/>
    <n v="1"/>
    <s v="ea"/>
    <n v="47"/>
    <n v="480"/>
    <n v="4695.928904761905"/>
    <n v="4800"/>
    <n v="9975.9289047619059"/>
    <n v="47"/>
    <n v="480"/>
    <n v="4695.928904761905"/>
    <n v="4800"/>
    <n v="9975.9289047619059"/>
    <n v="329.26829268292681"/>
    <n v="329.26829268292681"/>
    <n v="1"/>
    <n v="0"/>
    <n v="0"/>
    <n v="1"/>
    <n v="9975.9289047619059"/>
    <n v="0"/>
    <n v="0"/>
    <n v="9975.9289047619059"/>
    <s v="Type B Construction_x000a_2BC-MRY1416"/>
    <m/>
    <n v="2014"/>
    <s v="Direct "/>
    <m/>
    <m/>
    <n v="0.33333333333333331"/>
    <n v="0.33333333333333331"/>
    <n v="0.33333333333333331"/>
    <m/>
    <m/>
    <m/>
    <m/>
    <m/>
    <n v="0"/>
    <m/>
    <n v="3325.3096349206353"/>
    <n v="3325.3096349206353"/>
    <n v="3325.3096349206353"/>
    <n v="0"/>
    <n v="0"/>
    <n v="0"/>
    <n v="0"/>
    <n v="0"/>
  </r>
  <r>
    <x v="1"/>
    <x v="1"/>
    <x v="5"/>
    <x v="5"/>
    <x v="22"/>
    <x v="17"/>
    <x v="43"/>
    <x v="31"/>
    <s v="453"/>
    <s v="VP-"/>
    <s v="VP2"/>
    <s v="VENDOR PKG - Potable Water"/>
    <s v="VP2"/>
    <s v="Packaged_x000a_Facilities"/>
    <s v="Potable Water"/>
    <m/>
    <s v="POTABLE WATER TREATMENT PLANT VENDOR PACKAGE_x000a_VENDOR PACKAGE "/>
    <s v="2720-VP-020"/>
    <n v="1"/>
    <s v="ea"/>
    <n v="47"/>
    <n v="480"/>
    <n v="4695.928904761905"/>
    <n v="4800"/>
    <n v="9975.9289047619059"/>
    <n v="47"/>
    <n v="480"/>
    <n v="4695.928904761905"/>
    <n v="4800"/>
    <n v="9975.9289047619059"/>
    <n v="329.26829268292681"/>
    <n v="329.26829268292681"/>
    <n v="1"/>
    <n v="0"/>
    <n v="1"/>
    <n v="0"/>
    <n v="9975.9289047619059"/>
    <n v="0"/>
    <n v="9975.9289047619059"/>
    <n v="0"/>
    <s v="Type B Construction_x000a_2BC-MRY1416"/>
    <m/>
    <n v="2014"/>
    <s v="Direct "/>
    <m/>
    <m/>
    <n v="0.33333333333333331"/>
    <n v="0.33333333333333331"/>
    <n v="0.33333333333333331"/>
    <m/>
    <m/>
    <m/>
    <m/>
    <m/>
    <n v="0"/>
    <m/>
    <n v="3325.3096349206353"/>
    <n v="3325.3096349206353"/>
    <n v="3325.3096349206353"/>
    <n v="0"/>
    <n v="0"/>
    <n v="0"/>
    <n v="0"/>
    <n v="0"/>
  </r>
  <r>
    <x v="1"/>
    <x v="1"/>
    <x v="3"/>
    <x v="3"/>
    <x v="17"/>
    <x v="14"/>
    <x v="22"/>
    <x v="19"/>
    <s v="375"/>
    <s v="VP-"/>
    <s v="VP1"/>
    <s v="VENDOR PKG - Incenerator"/>
    <s v="VP1"/>
    <s v="Packaged_x000a_Facilities"/>
    <s v="Incinerator"/>
    <m/>
    <s v="Incinerator for 380-person temporary soft-walled camp at Milne Port"/>
    <m/>
    <n v="1"/>
    <s v="ea"/>
    <n v="47"/>
    <n v="480"/>
    <n v="4695.928904761905"/>
    <n v="4800"/>
    <n v="9975.9289047619059"/>
    <n v="47"/>
    <n v="480"/>
    <n v="4695.928904761905"/>
    <n v="4800"/>
    <n v="9975.9289047619059"/>
    <n v="329.26829268292681"/>
    <n v="329.26829268292681"/>
    <n v="1"/>
    <n v="0"/>
    <n v="0"/>
    <n v="1"/>
    <n v="9975.9289047619059"/>
    <n v="0"/>
    <n v="0"/>
    <n v="9975.9289047619059"/>
    <s v="Type B Construction_x000a_2BC-MRY1416"/>
    <s v="Added"/>
    <s v="2017-A"/>
    <s v="Direct "/>
    <m/>
    <m/>
    <n v="0.33333333333333331"/>
    <n v="0.33333333333333331"/>
    <n v="0.33333333333333331"/>
    <m/>
    <m/>
    <m/>
    <m/>
    <m/>
    <n v="0"/>
    <m/>
    <n v="3325.3096349206353"/>
    <n v="3325.3096349206353"/>
    <n v="3325.3096349206353"/>
    <n v="0"/>
    <n v="0"/>
    <n v="0"/>
    <n v="0"/>
    <n v="0"/>
  </r>
  <r>
    <x v="1"/>
    <x v="1"/>
    <x v="5"/>
    <x v="5"/>
    <x v="22"/>
    <x v="17"/>
    <x v="43"/>
    <x v="31"/>
    <s v="453"/>
    <s v="VP-"/>
    <s v="VP2"/>
    <s v="VENDOR PKG - Potable Water"/>
    <s v="VP2"/>
    <s v="Packaged_x000a_Facilities"/>
    <s v="Potable Water"/>
    <m/>
    <s v="Potable Water System for 380-person temporary soft-walled camp at Milne Port"/>
    <m/>
    <n v="1"/>
    <s v="ea"/>
    <n v="47"/>
    <n v="480"/>
    <n v="4695.928904761905"/>
    <n v="4800"/>
    <n v="9975.9289047619059"/>
    <n v="47"/>
    <n v="480"/>
    <n v="4695.928904761905"/>
    <n v="4800"/>
    <n v="9975.9289047619059"/>
    <n v="329.26829268292681"/>
    <n v="329.26829268292681"/>
    <n v="1"/>
    <n v="0"/>
    <n v="1"/>
    <n v="0"/>
    <n v="9975.9289047619059"/>
    <n v="0"/>
    <n v="9975.9289047619059"/>
    <n v="0"/>
    <s v="Type B Construction_x000a_2BC-MRY1416"/>
    <s v="Added"/>
    <s v="2017-A"/>
    <s v="Direct "/>
    <m/>
    <m/>
    <n v="0.33333333333333331"/>
    <n v="0.33333333333333331"/>
    <n v="0.33333333333333331"/>
    <m/>
    <m/>
    <m/>
    <m/>
    <m/>
    <n v="0"/>
    <m/>
    <n v="3325.3096349206353"/>
    <n v="3325.3096349206353"/>
    <n v="3325.3096349206353"/>
    <n v="0"/>
    <n v="0"/>
    <n v="0"/>
    <n v="0"/>
    <n v="0"/>
  </r>
  <r>
    <x v="1"/>
    <x v="1"/>
    <x v="3"/>
    <x v="3"/>
    <x v="3"/>
    <x v="3"/>
    <x v="40"/>
    <x v="34"/>
    <s v="255"/>
    <s v="BLD"/>
    <s v="CS"/>
    <s v="Slab on Grade - ASSUME 300mm thick"/>
    <s v="CS"/>
    <s v="Flooring / Foundations"/>
    <s v="Slab on Grade"/>
    <m/>
    <s v="Emergency Response Garage - Demolish floor finish - Slab on grade C/W Drainage"/>
    <s v="2513-BLD-002"/>
    <n v="278.81040892193312"/>
    <s v="m2"/>
    <n v="0.125"/>
    <n v="1.875"/>
    <n v="12.48917261904762"/>
    <n v="18.75"/>
    <n v="33.114172619047622"/>
    <n v="34.85130111524164"/>
    <n v="522.76951672862458"/>
    <n v="3482.1113250132776"/>
    <n v="5227.695167286246"/>
    <n v="9232.5760090281474"/>
    <n v="0"/>
    <n v="0"/>
    <n v="1"/>
    <n v="0"/>
    <n v="0"/>
    <n v="1"/>
    <n v="9232.5760090281474"/>
    <n v="0"/>
    <n v="0"/>
    <n v="9232.5760090281474"/>
    <s v="Type B Construction_x000a_2BC-MRY1416"/>
    <m/>
    <n v="2014"/>
    <s v="Direct "/>
    <m/>
    <m/>
    <n v="0.33333333333333331"/>
    <n v="0.33333333333333331"/>
    <n v="0.33333333333333331"/>
    <m/>
    <m/>
    <m/>
    <m/>
    <m/>
    <n v="0"/>
    <m/>
    <n v="3077.5253363427155"/>
    <n v="3077.5253363427155"/>
    <n v="3077.5253363427155"/>
    <n v="0"/>
    <n v="0"/>
    <n v="0"/>
    <n v="0"/>
    <n v="0"/>
  </r>
  <r>
    <x v="1"/>
    <x v="1"/>
    <x v="3"/>
    <x v="3"/>
    <x v="5"/>
    <x v="4"/>
    <x v="44"/>
    <x v="12"/>
    <m/>
    <s v=""/>
    <s v="A3l"/>
    <s v="Grade &amp; Re-Contour with Liner"/>
    <s v="A3l"/>
    <s v="Site Works"/>
    <s v="Grade and Re-Contour With Liner"/>
    <m/>
    <s v="Anmar Workshop"/>
    <m/>
    <n v="1670"/>
    <s v="m2"/>
    <n v="4.4489880937500004E-2"/>
    <n v="0.17804999999999999"/>
    <n v="4.4489880937499997"/>
    <n v="0.71454534577546303"/>
    <n v="5.3082953457754627"/>
    <n v="74.298101165625013"/>
    <n v="297.34349999999995"/>
    <n v="7429.8101165624994"/>
    <n v="1193.2907274450233"/>
    <n v="8864.8532274450226"/>
    <n v="0"/>
    <n v="0"/>
    <n v="1"/>
    <n v="0"/>
    <n v="0"/>
    <n v="1"/>
    <n v="8864.8532274450226"/>
    <n v="0"/>
    <n v="0"/>
    <n v="8864.8532274450226"/>
    <s v="Type A  _x000a_2AM-MRY1325"/>
    <s v="Removed"/>
    <s v="2015 A"/>
    <s v="Direct "/>
    <m/>
    <m/>
    <n v="0.33333333333333331"/>
    <n v="0.33333333333333331"/>
    <n v="0.33333333333333331"/>
    <m/>
    <m/>
    <m/>
    <m/>
    <m/>
    <n v="0"/>
    <m/>
    <n v="2954.9510758150072"/>
    <n v="2954.9510758150072"/>
    <n v="2954.9510758150072"/>
    <n v="0"/>
    <n v="0"/>
    <n v="0"/>
    <n v="0"/>
    <n v="0"/>
  </r>
  <r>
    <x v="1"/>
    <x v="1"/>
    <x v="5"/>
    <x v="5"/>
    <x v="7"/>
    <x v="6"/>
    <x v="45"/>
    <x v="36"/>
    <s v="470"/>
    <s v="BLD"/>
    <s v="FF2-c"/>
    <s v="Fold Away Building Contaminated (480 ft2)"/>
    <s v="FFL-c"/>
    <s v="Buildings (Contaminated)"/>
    <s v="Fold Away Building"/>
    <m/>
    <s v="Sewage Truck Building - Demolish and Decontaminate Building - Fold-away Building (Steel)"/>
    <s v="2732-BLD-001"/>
    <n v="55.762081784386616"/>
    <s v="m2"/>
    <n v="0.56041666666666667"/>
    <n v="2.3537499999999998"/>
    <n v="55.993123908730162"/>
    <n v="84.0625"/>
    <n v="142.40937390873017"/>
    <n v="31.25"/>
    <n v="131.25"/>
    <n v="3122.293154761905"/>
    <n v="4687.5"/>
    <n v="7941.0431547619046"/>
    <n v="1"/>
    <n v="55.762081784386616"/>
    <n v="1"/>
    <n v="0"/>
    <n v="0"/>
    <n v="1"/>
    <n v="7941.0431547619046"/>
    <n v="0"/>
    <n v="0"/>
    <n v="7941.0431547619046"/>
    <s v="Type B Construction_x000a_2BC-MRY1416"/>
    <m/>
    <n v="2014"/>
    <s v="Direct "/>
    <m/>
    <m/>
    <n v="0.5"/>
    <n v="0.5"/>
    <m/>
    <m/>
    <m/>
    <m/>
    <m/>
    <m/>
    <n v="0"/>
    <m/>
    <n v="3970.5215773809523"/>
    <n v="3970.5215773809523"/>
    <n v="0"/>
    <n v="0"/>
    <n v="0"/>
    <n v="0"/>
    <n v="0"/>
    <n v="0"/>
  </r>
  <r>
    <x v="1"/>
    <x v="1"/>
    <x v="3"/>
    <x v="3"/>
    <x v="17"/>
    <x v="14"/>
    <x v="22"/>
    <x v="19"/>
    <s v="364"/>
    <s v="BLD"/>
    <s v="FF1-c"/>
    <s v="Modular Building Contaminated (480 ft2) "/>
    <s v="FTR2-c"/>
    <s v="Buildings (Contaminated)"/>
    <s v="Double Trailer (2 or more)"/>
    <m/>
    <s v="Waste Incinerators - Demolish and Decontaminate Building - Trailer - Modular (2 or more modules)"/>
    <s v="2540-VP-001"/>
    <n v="52.044609665427508"/>
    <s v="m2"/>
    <n v="0.56041666666666667"/>
    <n v="3.3624999999999998"/>
    <n v="55.993123908730162"/>
    <n v="84.0625"/>
    <n v="143.41812390873017"/>
    <n v="29.166666666666668"/>
    <n v="175"/>
    <n v="2914.140277777778"/>
    <n v="4375"/>
    <n v="7464.1402777777785"/>
    <n v="1"/>
    <n v="52.044609665427508"/>
    <n v="1"/>
    <n v="0"/>
    <n v="0"/>
    <n v="1"/>
    <n v="7464.1402777777785"/>
    <n v="0"/>
    <n v="0"/>
    <n v="7464.1402777777785"/>
    <s v="Type B Construction_x000a_2BC-MRY1416"/>
    <m/>
    <n v="2014"/>
    <s v="Direct "/>
    <m/>
    <m/>
    <n v="0.33333333333333331"/>
    <n v="0.33333333333333331"/>
    <n v="0.33333333333333331"/>
    <m/>
    <m/>
    <m/>
    <m/>
    <m/>
    <n v="0"/>
    <m/>
    <n v="2488.0467592592595"/>
    <n v="2488.0467592592595"/>
    <n v="2488.0467592592595"/>
    <n v="0"/>
    <n v="0"/>
    <n v="0"/>
    <n v="0"/>
    <n v="0"/>
  </r>
  <r>
    <x v="1"/>
    <x v="1"/>
    <x v="3"/>
    <x v="3"/>
    <x v="24"/>
    <x v="18"/>
    <x v="42"/>
    <x v="35"/>
    <s v="327"/>
    <s v="BLD"/>
    <s v="FF1-c"/>
    <s v="Modular Building Contaminated (480 ft2) "/>
    <s v="FS-c"/>
    <s v="Buildings (Contaminated)"/>
    <s v="Prefabricated Special Modular"/>
    <m/>
    <s v="Power Generation Module #1 - Demolish and Decontaminate Building - Special Modular / Prefabricated"/>
    <s v="2530-BLD-001"/>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B Construction_x000a_2BC-MRY1416"/>
    <m/>
    <n v="2014"/>
    <s v="Direct "/>
    <m/>
    <m/>
    <n v="0.33333333333333331"/>
    <n v="0.33333333333333331"/>
    <n v="0.33333333333333331"/>
    <m/>
    <m/>
    <m/>
    <m/>
    <m/>
    <n v="0"/>
    <m/>
    <n v="2483.6038186177248"/>
    <n v="2483.6038186177248"/>
    <n v="2483.6038186177248"/>
    <n v="0"/>
    <n v="0"/>
    <n v="0"/>
    <n v="0"/>
    <n v="0"/>
  </r>
  <r>
    <x v="1"/>
    <x v="1"/>
    <x v="3"/>
    <x v="3"/>
    <x v="24"/>
    <x v="18"/>
    <x v="42"/>
    <x v="35"/>
    <s v="330"/>
    <s v="BLD"/>
    <s v="FF1-c"/>
    <s v="Modular Building Contaminated (480 ft2) "/>
    <s v="FS-c"/>
    <s v="Buildings (Contaminated)"/>
    <s v="Prefabricated Special Modular"/>
    <m/>
    <s v="Power Generation Module #2 - Demolish and Decontaminate Building - Special Modular / Prefabricated"/>
    <s v="2530-BLD-002"/>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B Construction_x000a_2BC-MRY1416"/>
    <m/>
    <n v="2014"/>
    <s v="Direct "/>
    <m/>
    <m/>
    <n v="0.33333333333333331"/>
    <n v="0.33333333333333331"/>
    <n v="0.33333333333333331"/>
    <m/>
    <m/>
    <m/>
    <m/>
    <m/>
    <n v="0"/>
    <m/>
    <n v="2483.6038186177248"/>
    <n v="2483.6038186177248"/>
    <n v="2483.6038186177248"/>
    <n v="0"/>
    <n v="0"/>
    <n v="0"/>
    <n v="0"/>
    <n v="0"/>
  </r>
  <r>
    <x v="1"/>
    <x v="1"/>
    <x v="3"/>
    <x v="3"/>
    <x v="24"/>
    <x v="18"/>
    <x v="42"/>
    <x v="35"/>
    <s v="333"/>
    <s v="BLD"/>
    <s v="FF1-c"/>
    <s v="Modular Building Contaminated (480 ft2) "/>
    <s v="FS-c"/>
    <s v="Buildings (Contaminated)"/>
    <s v="Prefabricated Special Modular"/>
    <m/>
    <s v="Power Generation Module #3 - Demolish and Decontaminate Building - Special Modular / Prefabricated"/>
    <s v="2530-BLD-003"/>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B Construction_x000a_2BC-MRY1416"/>
    <m/>
    <n v="2014"/>
    <s v="Direct "/>
    <m/>
    <m/>
    <n v="0.33333333333333331"/>
    <n v="0.33333333333333331"/>
    <n v="0.33333333333333331"/>
    <m/>
    <m/>
    <m/>
    <m/>
    <m/>
    <n v="0"/>
    <m/>
    <n v="2483.6038186177248"/>
    <n v="2483.6038186177248"/>
    <n v="2483.6038186177248"/>
    <n v="0"/>
    <n v="0"/>
    <n v="0"/>
    <n v="0"/>
    <n v="0"/>
  </r>
  <r>
    <x v="1"/>
    <x v="1"/>
    <x v="3"/>
    <x v="3"/>
    <x v="24"/>
    <x v="18"/>
    <x v="42"/>
    <x v="35"/>
    <s v="336"/>
    <s v="BLD"/>
    <s v="FF1-c"/>
    <s v="Modular Building Contaminated (480 ft2) "/>
    <s v="FS-c"/>
    <s v="Buildings (Contaminated)"/>
    <s v="Prefabricated Special Modular"/>
    <m/>
    <s v="Power Generation Module #4 - Demolish and Decontaminate Building - Special Modular / Prefabricated"/>
    <s v="2530-BLD-004"/>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B Construction_x000a_2BC-MRY1416"/>
    <m/>
    <n v="2014"/>
    <s v="Direct "/>
    <m/>
    <m/>
    <n v="0.33333333333333331"/>
    <n v="0.33333333333333331"/>
    <n v="0.33333333333333331"/>
    <m/>
    <m/>
    <m/>
    <m/>
    <m/>
    <n v="0"/>
    <m/>
    <n v="2483.6038186177248"/>
    <n v="2483.6038186177248"/>
    <n v="2483.6038186177248"/>
    <n v="0"/>
    <n v="0"/>
    <n v="0"/>
    <n v="0"/>
    <n v="0"/>
  </r>
  <r>
    <x v="1"/>
    <x v="1"/>
    <x v="3"/>
    <x v="3"/>
    <x v="24"/>
    <x v="18"/>
    <x v="42"/>
    <x v="35"/>
    <s v="339"/>
    <s v="BLD"/>
    <s v="FF1-c"/>
    <s v="Modular Building Contaminated (480 ft2) "/>
    <s v="FS-c"/>
    <s v="Buildings (Contaminated)"/>
    <s v="Prefabricated Special Modular"/>
    <m/>
    <s v="Power Generation Module #5 - Demolish and Decontaminate Building - Special Modular / Prefabricated"/>
    <s v="2530-BLD-005"/>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B Construction_x000a_2BC-MRY1416"/>
    <m/>
    <n v="2014"/>
    <s v="Direct "/>
    <m/>
    <m/>
    <n v="0.33333333333333331"/>
    <n v="0.33333333333333331"/>
    <n v="0.33333333333333331"/>
    <m/>
    <m/>
    <m/>
    <m/>
    <m/>
    <n v="0"/>
    <m/>
    <n v="2483.6038186177248"/>
    <n v="2483.6038186177248"/>
    <n v="2483.6038186177248"/>
    <n v="0"/>
    <n v="0"/>
    <n v="0"/>
    <n v="0"/>
    <n v="0"/>
  </r>
  <r>
    <x v="1"/>
    <x v="1"/>
    <x v="3"/>
    <x v="3"/>
    <x v="24"/>
    <x v="18"/>
    <x v="42"/>
    <x v="35"/>
    <s v="342"/>
    <s v="BLD"/>
    <s v="FF1-c"/>
    <s v="Modular Building Contaminated (480 ft2) "/>
    <s v="FS-c"/>
    <s v="Buildings (Contaminated)"/>
    <s v="Prefabricated Special Modular"/>
    <m/>
    <s v="Power Generation Module #6 - Demolish and Decontaminate Building - Special Modular / Prefabricated"/>
    <s v="2530-BLD-006"/>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B Construction_x000a_2BC-MRY1416"/>
    <m/>
    <n v="2014"/>
    <s v="Direct "/>
    <m/>
    <m/>
    <n v="0.33333333333333331"/>
    <n v="0.33333333333333331"/>
    <n v="0.33333333333333331"/>
    <m/>
    <m/>
    <m/>
    <m/>
    <m/>
    <n v="0"/>
    <m/>
    <n v="2483.6038186177248"/>
    <n v="2483.6038186177248"/>
    <n v="2483.6038186177248"/>
    <n v="0"/>
    <n v="0"/>
    <n v="0"/>
    <n v="0"/>
    <n v="0"/>
  </r>
  <r>
    <x v="1"/>
    <x v="1"/>
    <x v="3"/>
    <x v="3"/>
    <x v="24"/>
    <x v="18"/>
    <x v="42"/>
    <x v="35"/>
    <s v="345"/>
    <s v="BLD"/>
    <s v="FF1-c"/>
    <s v="Modular Building Contaminated (480 ft2) "/>
    <s v="FS-c"/>
    <s v="Buildings (Contaminated)"/>
    <s v="Prefabricated Special Modular"/>
    <m/>
    <s v="Power Generation Module #7 - Demolish and Decontaminate Building - Special Modular / Prefabricated"/>
    <s v="2530-BLD-007"/>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B Construction_x000a_2BC-MRY1416"/>
    <m/>
    <n v="2014"/>
    <s v="Direct "/>
    <m/>
    <m/>
    <n v="0.33333333333333331"/>
    <n v="0.33333333333333331"/>
    <n v="0.33333333333333331"/>
    <m/>
    <m/>
    <m/>
    <m/>
    <m/>
    <n v="0"/>
    <m/>
    <n v="2483.6038186177248"/>
    <n v="2483.6038186177248"/>
    <n v="2483.6038186177248"/>
    <n v="0"/>
    <n v="0"/>
    <n v="0"/>
    <n v="0"/>
    <n v="0"/>
  </r>
  <r>
    <x v="1"/>
    <x v="1"/>
    <x v="3"/>
    <x v="3"/>
    <x v="24"/>
    <x v="18"/>
    <x v="42"/>
    <x v="35"/>
    <s v="348"/>
    <s v="BLD"/>
    <s v="FF1-c"/>
    <s v="Modular Building Contaminated (480 ft2) "/>
    <s v="FS-c"/>
    <s v="Buildings (Contaminated)"/>
    <s v="Prefabricated Special Modular"/>
    <m/>
    <s v="Power Generation Module #8 - Demolish and Decontaminate Building - Special Modular / Prefabricated"/>
    <s v="2530-BLD-008"/>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B Construction_x000a_2BC-MRY1416"/>
    <m/>
    <n v="2014"/>
    <s v="Direct "/>
    <m/>
    <m/>
    <n v="0.33333333333333331"/>
    <n v="0.33333333333333331"/>
    <n v="0.33333333333333331"/>
    <m/>
    <m/>
    <m/>
    <m/>
    <m/>
    <n v="0"/>
    <m/>
    <n v="2483.6038186177248"/>
    <n v="2483.6038186177248"/>
    <n v="2483.6038186177248"/>
    <n v="0"/>
    <n v="0"/>
    <n v="0"/>
    <n v="0"/>
    <n v="0"/>
  </r>
  <r>
    <x v="1"/>
    <x v="1"/>
    <x v="3"/>
    <x v="3"/>
    <x v="3"/>
    <x v="3"/>
    <x v="46"/>
    <x v="34"/>
    <s v="265"/>
    <s v="TK-"/>
    <s v="MT2"/>
    <s v="Medium Tanks"/>
    <s v="MT2"/>
    <s v="Mechanical Equipment"/>
    <s v="Medium Tanks"/>
    <m/>
    <s v="TANK  - EMERGENCY RESPONSE OFFICE SEWAGE COLLECTION TANK - LAGRANGE MECHANICAL SERVICES  _x000a_L: 3791, W: 1829, H: 610 "/>
    <s v="2513-TK-003"/>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5"/>
    <n v="0.5"/>
    <m/>
    <m/>
    <m/>
    <m/>
    <m/>
    <m/>
    <n v="0"/>
    <m/>
    <n v="3693.6574047619051"/>
    <n v="3693.6574047619051"/>
    <n v="0"/>
    <n v="0"/>
    <n v="0"/>
    <n v="0"/>
    <n v="0"/>
    <n v="0"/>
  </r>
  <r>
    <x v="1"/>
    <x v="1"/>
    <x v="3"/>
    <x v="3"/>
    <x v="5"/>
    <x v="4"/>
    <x v="13"/>
    <x v="12"/>
    <s v="280"/>
    <s v="BLD"/>
    <s v="FW"/>
    <s v="Timber Cribbing (480 ft2)"/>
    <s v="FT"/>
    <s v="Flooring / Foundations"/>
    <s v="Timber Cribbing"/>
    <m/>
    <s v="Workshop Office Washcar - Demolish and foundations - Timber Cribbing to Elevate Building"/>
    <s v="2521-BLD-004"/>
    <n v="35.687732342007436"/>
    <s v="m2"/>
    <n v="0.12329166666666667"/>
    <n v="1.1768750000000001"/>
    <n v="7.8390373472222228"/>
    <n v="11.768750000000001"/>
    <n v="20.784662347222223"/>
    <n v="4.4000000000000004"/>
    <n v="42.000000000000007"/>
    <n v="279.75746666666669"/>
    <n v="420.00000000000006"/>
    <n v="741.75746666666669"/>
    <n v="0.3"/>
    <n v="10.706319702602231"/>
    <n v="1"/>
    <n v="0"/>
    <n v="0"/>
    <n v="1"/>
    <n v="741.75746666666669"/>
    <n v="0"/>
    <n v="0"/>
    <n v="741.75746666666669"/>
    <s v="Type B Construction_x000a_2BC-MRY1416"/>
    <m/>
    <n v="2014"/>
    <s v="Direct "/>
    <m/>
    <m/>
    <n v="0.33333333333333331"/>
    <n v="0.33333333333333331"/>
    <n v="0.33333333333333331"/>
    <m/>
    <m/>
    <m/>
    <m/>
    <m/>
    <n v="0"/>
    <m/>
    <n v="247.25248888888888"/>
    <n v="247.25248888888888"/>
    <n v="247.25248888888888"/>
    <n v="0"/>
    <n v="0"/>
    <n v="0"/>
    <n v="0"/>
    <n v="0"/>
  </r>
  <r>
    <x v="1"/>
    <x v="1"/>
    <x v="5"/>
    <x v="5"/>
    <x v="22"/>
    <x v="17"/>
    <x v="43"/>
    <x v="31"/>
    <s v="448"/>
    <s v="TK-"/>
    <s v="MT2"/>
    <s v="Medium Tanks"/>
    <s v="MT2"/>
    <s v="Mechanical Equipment"/>
    <s v="Medium Tanks"/>
    <m/>
    <s v="TANK  - RAW WATER TANK "/>
    <s v="2720-TK-001"/>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33333333333333331"/>
    <n v="0.33333333333333331"/>
    <n v="0.33333333333333331"/>
    <m/>
    <m/>
    <m/>
    <m/>
    <m/>
    <n v="0"/>
    <m/>
    <n v="2462.4382698412701"/>
    <n v="2462.4382698412701"/>
    <n v="2462.4382698412701"/>
    <n v="0"/>
    <n v="0"/>
    <n v="0"/>
    <n v="0"/>
    <n v="0"/>
  </r>
  <r>
    <x v="1"/>
    <x v="1"/>
    <x v="5"/>
    <x v="5"/>
    <x v="22"/>
    <x v="17"/>
    <x v="43"/>
    <x v="31"/>
    <s v="449"/>
    <s v="TK-"/>
    <s v="MT2"/>
    <s v="Medium Tanks"/>
    <s v="MT2"/>
    <s v="Mechanical Equipment"/>
    <s v="Medium Tanks"/>
    <m/>
    <s v="TANK  - FIRE WATER TANK "/>
    <s v="2720-TK-007"/>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33333333333333331"/>
    <n v="0.33333333333333331"/>
    <n v="0.33333333333333331"/>
    <m/>
    <m/>
    <m/>
    <m/>
    <m/>
    <n v="0"/>
    <m/>
    <n v="2462.4382698412701"/>
    <n v="2462.4382698412701"/>
    <n v="2462.4382698412701"/>
    <n v="0"/>
    <n v="0"/>
    <n v="0"/>
    <n v="0"/>
    <n v="0"/>
  </r>
  <r>
    <x v="1"/>
    <x v="1"/>
    <x v="5"/>
    <x v="5"/>
    <x v="22"/>
    <x v="17"/>
    <x v="43"/>
    <x v="31"/>
    <s v="450"/>
    <s v="TK-"/>
    <s v="MT2"/>
    <s v="Medium Tanks"/>
    <s v="MT2"/>
    <s v="Mechanical Equipment"/>
    <s v="Medium Tanks"/>
    <m/>
    <s v="TANK  - POTABLE WATER STORAGE TANK "/>
    <s v="2720-TK-008"/>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33333333333333331"/>
    <n v="0.33333333333333331"/>
    <n v="0.33333333333333331"/>
    <m/>
    <m/>
    <m/>
    <m/>
    <m/>
    <n v="0"/>
    <m/>
    <n v="2462.4382698412701"/>
    <n v="2462.4382698412701"/>
    <n v="2462.4382698412701"/>
    <n v="0"/>
    <n v="0"/>
    <n v="0"/>
    <n v="0"/>
    <n v="0"/>
  </r>
  <r>
    <x v="1"/>
    <x v="1"/>
    <x v="5"/>
    <x v="5"/>
    <x v="22"/>
    <x v="17"/>
    <x v="43"/>
    <x v="31"/>
    <s v="451"/>
    <s v="TK-"/>
    <s v="MT2"/>
    <s v="Medium Tanks"/>
    <s v="MT2"/>
    <s v="Mechanical Equipment"/>
    <s v="Medium Tanks"/>
    <m/>
    <s v="TANK  - BACKWASH SETTLING TANK "/>
    <s v="2720-TK-011"/>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33333333333333331"/>
    <n v="0.33333333333333331"/>
    <n v="0.33333333333333331"/>
    <m/>
    <m/>
    <m/>
    <m/>
    <m/>
    <n v="0"/>
    <m/>
    <n v="2462.4382698412701"/>
    <n v="2462.4382698412701"/>
    <n v="2462.4382698412701"/>
    <n v="0"/>
    <n v="0"/>
    <n v="0"/>
    <n v="0"/>
    <n v="0"/>
  </r>
  <r>
    <x v="1"/>
    <x v="1"/>
    <x v="5"/>
    <x v="5"/>
    <x v="10"/>
    <x v="9"/>
    <x v="11"/>
    <x v="10"/>
    <m/>
    <s v="GE-"/>
    <s v="MM3"/>
    <s v="Heavy Equipment"/>
    <s v="MM3"/>
    <s v="Mechanical Equipment"/>
    <s v="Heavy Equipment"/>
    <s v="Power plant generators"/>
    <s v="Genset modules"/>
    <m/>
    <n v="4"/>
    <s v="ea"/>
    <n v="168"/>
    <n v="2220"/>
    <n v="16785.448"/>
    <n v="22200"/>
    <n v="41205.448000000004"/>
    <n v="672"/>
    <n v="8880"/>
    <n v="67141.792000000001"/>
    <n v="88800"/>
    <n v="164821.79200000002"/>
    <n v="56"/>
    <n v="224"/>
    <n v="1"/>
    <n v="0"/>
    <n v="0"/>
    <n v="1"/>
    <n v="164821.79200000002"/>
    <n v="0"/>
    <n v="0"/>
    <n v="164821.79200000002"/>
    <s v="Type A  _x000a_2AM-MRY1325"/>
    <s v="Added"/>
    <n v="2018"/>
    <s v="Direct "/>
    <m/>
    <m/>
    <n v="0.33333333333333331"/>
    <m/>
    <n v="0.33333333333333331"/>
    <m/>
    <m/>
    <m/>
    <m/>
    <n v="0.33333333333333331"/>
    <n v="0"/>
    <m/>
    <n v="54940.597333333339"/>
    <n v="0"/>
    <n v="54940.597333333339"/>
    <n v="0"/>
    <n v="0"/>
    <n v="0"/>
    <n v="0"/>
    <n v="54940.597333333339"/>
  </r>
  <r>
    <x v="6"/>
    <x v="6"/>
    <x v="13"/>
    <x v="2"/>
    <x v="25"/>
    <x v="19"/>
    <x v="47"/>
    <x v="37"/>
    <m/>
    <s v="BAE"/>
    <s v="MM3"/>
    <s v="Heavy Equipment"/>
    <s v="MM3"/>
    <s v="Mechanical Equipment"/>
    <s v="Heavy Equipment"/>
    <s v="3rd Party Equipment"/>
    <s v="Conveyors"/>
    <m/>
    <n v="4"/>
    <s v="ea"/>
    <n v="168"/>
    <n v="2220"/>
    <n v="16785.448"/>
    <n v="22200"/>
    <n v="41205.448000000004"/>
    <n v="672"/>
    <n v="8880"/>
    <n v="67141.792000000001"/>
    <n v="88800"/>
    <n v="164821.79200000002"/>
    <n v="56"/>
    <n v="224"/>
    <n v="1"/>
    <n v="0"/>
    <n v="0"/>
    <n v="1"/>
    <n v="164821.79200000002"/>
    <n v="0"/>
    <n v="0"/>
    <n v="164821.79200000002"/>
    <s v="Type A  _x000a_2AM-MRY1325"/>
    <s v="Added"/>
    <n v="2018"/>
    <s v="Direct "/>
    <m/>
    <m/>
    <n v="0.33333333333333331"/>
    <m/>
    <n v="0.33333333333333331"/>
    <m/>
    <m/>
    <m/>
    <m/>
    <n v="0.33333333333333331"/>
    <n v="0"/>
    <m/>
    <n v="54940.597333333339"/>
    <n v="0"/>
    <n v="54940.597333333339"/>
    <n v="0"/>
    <n v="0"/>
    <n v="0"/>
    <n v="0"/>
    <n v="54940.597333333339"/>
  </r>
  <r>
    <x v="5"/>
    <x v="5"/>
    <x v="10"/>
    <x v="8"/>
    <x v="18"/>
    <x v="10"/>
    <x v="25"/>
    <x v="23"/>
    <m/>
    <s v=""/>
    <s v="A3"/>
    <s v="Grade &amp; Re-Contour"/>
    <s v="A2"/>
    <s v="Site Works"/>
    <s v="Grade and Re-Contour"/>
    <s v="Grade and Contour"/>
    <s v="Laydown Pad development - Crushing Plant and Crushed Material Stockpile"/>
    <m/>
    <n v="80000"/>
    <s v="m2"/>
    <n v="1.2689880937499998E-2"/>
    <n v="0.14624999999999999"/>
    <n v="1.2689880937499998"/>
    <n v="0.39654534577546297"/>
    <n v="1.8102953457754629"/>
    <n v="1015.1904749999999"/>
    <n v="11700"/>
    <n v="101519.04749999999"/>
    <n v="31723.627662037037"/>
    <n v="144823.62766203703"/>
    <n v="0"/>
    <n v="0"/>
    <n v="0"/>
    <n v="1"/>
    <n v="0"/>
    <n v="1"/>
    <n v="0"/>
    <n v="144823.62766203703"/>
    <n v="0"/>
    <n v="144823.62766203703"/>
    <s v="Type A  _x000a_2AM-MRY1325"/>
    <s v="Added"/>
    <n v="2018"/>
    <s v="Direct "/>
    <m/>
    <m/>
    <n v="0.33333333333333331"/>
    <n v="0.33333333333333331"/>
    <n v="0.33333333333333331"/>
    <m/>
    <m/>
    <m/>
    <m/>
    <m/>
    <n v="0"/>
    <m/>
    <n v="48274.54255401234"/>
    <n v="48274.54255401234"/>
    <n v="48274.54255401234"/>
    <n v="0"/>
    <n v="0"/>
    <n v="0"/>
    <n v="0"/>
    <n v="0"/>
  </r>
  <r>
    <x v="1"/>
    <x v="1"/>
    <x v="5"/>
    <x v="5"/>
    <x v="8"/>
    <x v="7"/>
    <x v="9"/>
    <x v="8"/>
    <m/>
    <s v=""/>
    <s v="A3l"/>
    <s v="Grade &amp; Re-Contour with Liner"/>
    <s v="A3l"/>
    <s v="Site Works"/>
    <s v="Grade and Re-Contour With Liner"/>
    <m/>
    <s v="50,000 L Portable Fuel Dispensing Unit"/>
    <m/>
    <n v="1364"/>
    <s v="m2"/>
    <n v="4.4489880937500004E-2"/>
    <n v="0.17804999999999999"/>
    <n v="4.4489880937499997"/>
    <n v="0.71454534577546303"/>
    <n v="5.3082953457754627"/>
    <n v="60.684197598750004"/>
    <n v="242.86019999999999"/>
    <n v="6068.4197598749997"/>
    <n v="974.63985163773157"/>
    <n v="7285.919811512731"/>
    <n v="0"/>
    <n v="0"/>
    <n v="1"/>
    <n v="0"/>
    <n v="0"/>
    <n v="1"/>
    <n v="7285.919811512731"/>
    <n v="0"/>
    <n v="0"/>
    <n v="7285.919811512731"/>
    <s v="Type B Construction_x000a_2BC-MRY1416"/>
    <s v="Added"/>
    <n v="2016"/>
    <s v="Direct "/>
    <m/>
    <m/>
    <n v="0.33333333333333331"/>
    <n v="0.33333333333333331"/>
    <n v="0.33333333333333331"/>
    <m/>
    <m/>
    <m/>
    <m/>
    <m/>
    <n v="0"/>
    <m/>
    <n v="2428.6399371709103"/>
    <n v="2428.6399371709103"/>
    <n v="2428.6399371709103"/>
    <n v="0"/>
    <n v="0"/>
    <n v="0"/>
    <n v="0"/>
    <n v="0"/>
  </r>
  <r>
    <x v="1"/>
    <x v="1"/>
    <x v="8"/>
    <x v="8"/>
    <x v="23"/>
    <x v="16"/>
    <x v="37"/>
    <x v="33"/>
    <m/>
    <s v="MO-"/>
    <s v="O1"/>
    <s v="Light Mobile Equipment"/>
    <s v="O1"/>
    <s v="Mobile Equipment"/>
    <s v="Light Mobile Equipment"/>
    <s v="3rd Party Equipment"/>
    <s v="Pick-Up Truck"/>
    <m/>
    <n v="7"/>
    <s v="ea"/>
    <n v="6.666666666666667"/>
    <n v="25"/>
    <n v="666.08920634920639"/>
    <n v="250"/>
    <n v="941.08920634920639"/>
    <n v="46.666666666666671"/>
    <n v="175"/>
    <n v="4662.6244444444446"/>
    <n v="1750"/>
    <n v="6587.6244444444446"/>
    <n v="4"/>
    <n v="28"/>
    <n v="1"/>
    <n v="0"/>
    <n v="0"/>
    <n v="1"/>
    <n v="6587.6244444444446"/>
    <n v="0"/>
    <n v="0"/>
    <n v="6587.6244444444446"/>
    <s v="Type A  _x000a_2AM-MRY1325"/>
    <s v="Added"/>
    <n v="2016"/>
    <s v="Direct "/>
    <m/>
    <m/>
    <n v="0.33333333333333331"/>
    <m/>
    <n v="0.33333333333333331"/>
    <m/>
    <m/>
    <m/>
    <m/>
    <n v="0.33333333333333331"/>
    <n v="0"/>
    <m/>
    <n v="2195.8748148148147"/>
    <n v="0"/>
    <n v="2195.8748148148147"/>
    <n v="0"/>
    <n v="0"/>
    <n v="0"/>
    <n v="0"/>
    <n v="2195.8748148148147"/>
  </r>
  <r>
    <x v="1"/>
    <x v="1"/>
    <x v="3"/>
    <x v="3"/>
    <x v="5"/>
    <x v="4"/>
    <x v="13"/>
    <x v="12"/>
    <s v="274"/>
    <s v="BLD"/>
    <s v="CP"/>
    <s v="Precast Concrete Foundations - (480 ft2)"/>
    <s v="CP"/>
    <s v="Flooring / Foundations"/>
    <s v="Precast Foundations"/>
    <m/>
    <s v="Welding Shop Building - Demolish and foundations - Precast Footing (Perimeter Beam)"/>
    <s v="2521-BLD-002"/>
    <n v="148.69888475836433"/>
    <s v="m2"/>
    <n v="0.14520631503408685"/>
    <n v="2.1780947255113023"/>
    <n v="14.50805387069216"/>
    <n v="21.780947255113027"/>
    <n v="38.467095851316493"/>
    <n v="21.592017105440426"/>
    <n v="323.88025658160632"/>
    <n v="2157.331430586195"/>
    <n v="3238.8025658160636"/>
    <n v="5720.0142529838649"/>
    <n v="0.75"/>
    <n v="111.52416356877325"/>
    <n v="1"/>
    <n v="0"/>
    <n v="0"/>
    <n v="1"/>
    <n v="5720.0142529838649"/>
    <n v="0"/>
    <n v="0"/>
    <n v="5720.0142529838649"/>
    <s v="Type B Construction_x000a_2BC-MRY1416"/>
    <m/>
    <n v="2014"/>
    <s v="Direct "/>
    <m/>
    <m/>
    <n v="0.33333333333333331"/>
    <n v="0.33333333333333331"/>
    <n v="0.33333333333333331"/>
    <m/>
    <m/>
    <m/>
    <m/>
    <m/>
    <n v="0"/>
    <m/>
    <n v="1906.6714176612882"/>
    <n v="1906.6714176612882"/>
    <n v="1906.6714176612882"/>
    <n v="0"/>
    <n v="0"/>
    <n v="0"/>
    <n v="0"/>
    <n v="0"/>
  </r>
  <r>
    <x v="1"/>
    <x v="1"/>
    <x v="8"/>
    <x v="8"/>
    <x v="23"/>
    <x v="16"/>
    <x v="37"/>
    <x v="33"/>
    <m/>
    <s v="MO-"/>
    <s v="O1"/>
    <s v="Light Mobile Equipment"/>
    <s v="O1"/>
    <s v="Mobile Equipment"/>
    <s v="Light Mobile Equipment"/>
    <s v="3rd Party Equipment"/>
    <s v="Ford F350 Pickup"/>
    <m/>
    <n v="6"/>
    <s v="ea"/>
    <n v="6.666666666666667"/>
    <n v="25"/>
    <n v="666.08920634920639"/>
    <n v="250"/>
    <n v="941.08920634920639"/>
    <n v="40"/>
    <n v="150"/>
    <n v="3996.5352380952381"/>
    <n v="1500"/>
    <n v="5646.5352380952381"/>
    <n v="4"/>
    <n v="24"/>
    <n v="1"/>
    <n v="0"/>
    <n v="0"/>
    <n v="1"/>
    <n v="5646.5352380952381"/>
    <n v="0"/>
    <n v="0"/>
    <n v="5646.5352380952381"/>
    <s v="Type A  _x000a_2AM-MRY1325"/>
    <s v="Added"/>
    <n v="2016"/>
    <s v="Direct "/>
    <m/>
    <m/>
    <n v="0.33333333333333331"/>
    <m/>
    <n v="0.33333333333333331"/>
    <m/>
    <m/>
    <m/>
    <m/>
    <n v="0.33333333333333331"/>
    <n v="0"/>
    <m/>
    <n v="1882.1784126984126"/>
    <n v="0"/>
    <n v="1882.1784126984126"/>
    <n v="0"/>
    <n v="0"/>
    <n v="0"/>
    <n v="0"/>
    <n v="1882.1784126984126"/>
  </r>
  <r>
    <x v="1"/>
    <x v="1"/>
    <x v="8"/>
    <x v="8"/>
    <x v="23"/>
    <x v="16"/>
    <x v="37"/>
    <x v="33"/>
    <m/>
    <s v="MO-"/>
    <s v="O1"/>
    <s v="Light Mobile Equipment"/>
    <s v="O1"/>
    <s v="Mobile Equipment"/>
    <s v="Light Mobile Equipment"/>
    <s v="Pick up"/>
    <s v="Pick-Up Truck"/>
    <m/>
    <n v="6"/>
    <s v="ea"/>
    <n v="6.666666666666667"/>
    <n v="25"/>
    <n v="666.08920634920639"/>
    <n v="250"/>
    <n v="941.08920634920639"/>
    <n v="40"/>
    <n v="150"/>
    <n v="3996.5352380952381"/>
    <n v="1500"/>
    <n v="5646.5352380952381"/>
    <n v="4"/>
    <n v="24"/>
    <n v="1"/>
    <n v="0"/>
    <n v="0"/>
    <n v="1"/>
    <n v="5646.5352380952381"/>
    <n v="0"/>
    <n v="0"/>
    <n v="5646.5352380952381"/>
    <s v="Type A  _x000a_2AM-MRY1325"/>
    <s v="Added"/>
    <n v="2017"/>
    <s v="Direct "/>
    <m/>
    <m/>
    <n v="0.33333333333333331"/>
    <m/>
    <n v="0.33333333333333331"/>
    <m/>
    <m/>
    <m/>
    <m/>
    <n v="0.33333333333333331"/>
    <n v="0"/>
    <m/>
    <n v="1882.1784126984126"/>
    <n v="0"/>
    <n v="1882.1784126984126"/>
    <n v="0"/>
    <n v="0"/>
    <n v="0"/>
    <n v="0"/>
    <n v="1882.1784126984126"/>
  </r>
  <r>
    <x v="1"/>
    <x v="1"/>
    <x v="3"/>
    <x v="3"/>
    <x v="5"/>
    <x v="4"/>
    <x v="13"/>
    <x v="12"/>
    <s v="277"/>
    <s v="BLD"/>
    <s v="FW"/>
    <s v="Timber Cribbing (480 ft2)"/>
    <s v="FT"/>
    <s v="Flooring / Foundations"/>
    <s v="Timber Cribbing"/>
    <m/>
    <s v="Workshop Office Building - Demolish and foundations - Timber Cribbing to Elevate Building"/>
    <s v="2521-BLD-003"/>
    <n v="267.65799256505579"/>
    <s v="m2"/>
    <n v="0.12329166666666667"/>
    <n v="1.1768750000000001"/>
    <n v="7.8390373472222228"/>
    <n v="11.768750000000001"/>
    <n v="20.784662347222223"/>
    <n v="33.000000000000007"/>
    <n v="315.00000000000006"/>
    <n v="2098.1810000000005"/>
    <n v="3150.0000000000005"/>
    <n v="5563.1810000000005"/>
    <n v="0.3"/>
    <n v="80.297397769516735"/>
    <n v="1"/>
    <n v="0"/>
    <n v="0"/>
    <n v="1"/>
    <n v="5563.1810000000005"/>
    <n v="0"/>
    <n v="0"/>
    <n v="5563.1810000000005"/>
    <s v="Type B Construction_x000a_2BC-MRY1416"/>
    <m/>
    <n v="2014"/>
    <s v="Direct "/>
    <m/>
    <m/>
    <n v="0.33333333333333331"/>
    <n v="0.33333333333333331"/>
    <n v="0.33333333333333331"/>
    <m/>
    <m/>
    <m/>
    <m/>
    <m/>
    <n v="0"/>
    <m/>
    <n v="1854.3936666666668"/>
    <n v="1854.3936666666668"/>
    <n v="1854.3936666666668"/>
    <n v="0"/>
    <n v="0"/>
    <n v="0"/>
    <n v="0"/>
    <n v="0"/>
  </r>
  <r>
    <x v="1"/>
    <x v="1"/>
    <x v="3"/>
    <x v="3"/>
    <x v="3"/>
    <x v="3"/>
    <x v="40"/>
    <x v="34"/>
    <s v="250"/>
    <s v="BLD"/>
    <s v="FF1"/>
    <s v="Modular Building Not Contaminated (480 ft2)"/>
    <s v="FTR2"/>
    <s v="Buildings (Not Contaminated)"/>
    <s v="Double Trailer (2 or more)"/>
    <m/>
    <s v="Emergency Response Office - Demolish and Decontaminate Building - Trailer - Modular (2 or more modules)"/>
    <s v="2513-BLD-001"/>
    <n v="89.219330855018583"/>
    <s v="m2"/>
    <n v="0.22416666666666665"/>
    <n v="3.3624999999999998"/>
    <n v="22.397249563492064"/>
    <n v="33.625"/>
    <n v="59.384749563492065"/>
    <n v="19.999999999999996"/>
    <n v="299.99999999999994"/>
    <n v="1998.2676190476191"/>
    <n v="3000"/>
    <n v="5298.2676190476195"/>
    <n v="1"/>
    <n v="89.219330855018583"/>
    <n v="1"/>
    <n v="0"/>
    <n v="0"/>
    <n v="1"/>
    <n v="5298.2676190476195"/>
    <n v="0"/>
    <n v="0"/>
    <n v="5298.2676190476195"/>
    <s v="Type B Construction_x000a_2BC-MRY1416"/>
    <m/>
    <n v="2014"/>
    <s v="Direct "/>
    <m/>
    <m/>
    <n v="0.33333333333333331"/>
    <n v="0.33333333333333331"/>
    <n v="0.33333333333333331"/>
    <m/>
    <m/>
    <m/>
    <m/>
    <m/>
    <n v="0"/>
    <m/>
    <n v="1766.0892063492065"/>
    <n v="1766.0892063492065"/>
    <n v="1766.0892063492065"/>
    <n v="0"/>
    <n v="0"/>
    <n v="0"/>
    <n v="0"/>
    <n v="0"/>
  </r>
  <r>
    <x v="1"/>
    <x v="1"/>
    <x v="8"/>
    <x v="8"/>
    <x v="23"/>
    <x v="16"/>
    <x v="37"/>
    <x v="33"/>
    <m/>
    <s v="MO-"/>
    <s v="O3"/>
    <s v="Heavy Mobile Equipment"/>
    <s v="O3"/>
    <s v="Mobile Equipment"/>
    <s v="Heavy Mobile Equipment"/>
    <s v="3rd Party Equipment"/>
    <s v="Jump Conveyor"/>
    <m/>
    <n v="2"/>
    <s v="ea"/>
    <n v="13"/>
    <n v="120"/>
    <n v="1298.8739523809525"/>
    <n v="1200"/>
    <n v="2618.8739523809527"/>
    <n v="26"/>
    <n v="240"/>
    <n v="2597.7479047619049"/>
    <n v="2400"/>
    <n v="5237.7479047619054"/>
    <n v="96"/>
    <n v="192"/>
    <n v="1"/>
    <n v="0"/>
    <n v="0"/>
    <n v="1"/>
    <n v="5237.7479047619054"/>
    <n v="0"/>
    <n v="0"/>
    <n v="5237.7479047619054"/>
    <s v="Type A  _x000a_2AM-MRY1325"/>
    <s v="Added"/>
    <n v="2016"/>
    <s v="Direct "/>
    <m/>
    <m/>
    <n v="0.33333333333333331"/>
    <m/>
    <n v="0.33333333333333331"/>
    <m/>
    <m/>
    <m/>
    <m/>
    <n v="0.33333333333333331"/>
    <n v="0"/>
    <m/>
    <n v="1745.9159682539685"/>
    <n v="0"/>
    <n v="1745.9159682539685"/>
    <n v="0"/>
    <n v="0"/>
    <n v="0"/>
    <n v="0"/>
    <n v="1745.9159682539685"/>
  </r>
  <r>
    <x v="1"/>
    <x v="1"/>
    <x v="3"/>
    <x v="3"/>
    <x v="5"/>
    <x v="4"/>
    <x v="38"/>
    <x v="12"/>
    <s v="290"/>
    <s v="PP-"/>
    <s v="MM1"/>
    <s v="Light Equimpent"/>
    <s v="MM1"/>
    <s v="Mechanical Equipment"/>
    <s v="Light Equipment"/>
    <s v="Pump"/>
    <s v="PUMP  - WORKSHOP OFFICE WASHCAR RAW WATER PUMP - SIMER JET PUMPS 2205C  L: 483, W: 275, H: 267 "/>
    <s v="2521-PP-051"/>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13"/>
    <x v="12"/>
    <s v="275"/>
    <s v="BLD"/>
    <s v="CS"/>
    <s v="Slab on Grade - ASSUME 300mm thick"/>
    <s v="CS"/>
    <s v="Flooring / Foundations"/>
    <s v="Slab on Grade"/>
    <m/>
    <s v="Welding Shop Building - Demolish floor finish - Slab on grade"/>
    <s v="2521-BLD-002"/>
    <n v="148.69888475836433"/>
    <s v="m2"/>
    <n v="0.125"/>
    <n v="1.875"/>
    <n v="12.48917261904762"/>
    <n v="18.75"/>
    <n v="33.114172619047622"/>
    <n v="18.587360594795541"/>
    <n v="278.81040892193312"/>
    <n v="1857.1260400070812"/>
    <n v="2788.1040892193314"/>
    <n v="4924.0405381483451"/>
    <n v="0"/>
    <n v="0"/>
    <n v="1"/>
    <n v="0"/>
    <n v="0"/>
    <n v="1"/>
    <n v="4924.0405381483451"/>
    <n v="0"/>
    <n v="0"/>
    <n v="4924.0405381483451"/>
    <s v="Type B Construction_x000a_2BC-MRY1416"/>
    <m/>
    <n v="2014"/>
    <s v="Direct "/>
    <m/>
    <m/>
    <n v="0.33333333333333331"/>
    <n v="0.33333333333333331"/>
    <n v="0.33333333333333331"/>
    <m/>
    <m/>
    <m/>
    <m/>
    <m/>
    <n v="0"/>
    <m/>
    <n v="1641.3468460494482"/>
    <n v="1641.3468460494482"/>
    <n v="1641.3468460494482"/>
    <n v="0"/>
    <n v="0"/>
    <n v="0"/>
    <n v="0"/>
    <n v="0"/>
  </r>
  <r>
    <x v="1"/>
    <x v="1"/>
    <x v="6"/>
    <x v="6"/>
    <x v="8"/>
    <x v="7"/>
    <x v="48"/>
    <x v="38"/>
    <s v="418"/>
    <s v="BLD"/>
    <s v="FF2-c"/>
    <s v="Fold Away Building Contaminated (480 ft2)"/>
    <s v="FFL-c"/>
    <s v="Buildings (Contaminated)"/>
    <s v="Fold Away Building"/>
    <m/>
    <s v="Marine Manifold Building - Demolish and Decontaminate Building - Fold-away Building (Steel)"/>
    <s v="2615-BLD-001"/>
    <n v="31.598513011152416"/>
    <s v="m2"/>
    <n v="0.56041666666666667"/>
    <n v="2.3537499999999998"/>
    <n v="55.993123908730162"/>
    <n v="84.0625"/>
    <n v="142.40937390873017"/>
    <n v="17.708333333333332"/>
    <n v="74.375"/>
    <n v="1769.2994543650796"/>
    <n v="2656.25"/>
    <n v="4499.9244543650793"/>
    <n v="1"/>
    <n v="31.598513011152416"/>
    <n v="1"/>
    <n v="0"/>
    <n v="0"/>
    <n v="1"/>
    <n v="4499.9244543650793"/>
    <n v="0"/>
    <n v="0"/>
    <n v="4499.9244543650793"/>
    <s v="Type B Construction_x000a_2BC-MRY1416"/>
    <m/>
    <n v="2014"/>
    <s v="Direct "/>
    <m/>
    <m/>
    <n v="0.33333333333333331"/>
    <n v="0.33333333333333331"/>
    <n v="0.33333333333333331"/>
    <m/>
    <m/>
    <m/>
    <m/>
    <m/>
    <n v="0"/>
    <m/>
    <n v="1499.974818121693"/>
    <n v="1499.974818121693"/>
    <n v="1499.974818121693"/>
    <n v="0"/>
    <n v="0"/>
    <n v="0"/>
    <n v="0"/>
    <n v="0"/>
  </r>
  <r>
    <x v="1"/>
    <x v="1"/>
    <x v="6"/>
    <x v="6"/>
    <x v="8"/>
    <x v="7"/>
    <x v="48"/>
    <x v="38"/>
    <s v="419"/>
    <s v="BLD"/>
    <s v="FF2-c"/>
    <s v="Fold Away Building Contaminated (480 ft2)"/>
    <s v="FFL-c"/>
    <s v="Buildings (Contaminated)"/>
    <s v="Fold Away Building"/>
    <m/>
    <s v="Marine Manifold Building - Demolish and foundations - Precast Footing (Perimeter Beam)"/>
    <s v="2615-BLD-001"/>
    <n v="31.598513011152416"/>
    <s v="m2"/>
    <n v="0.56041666666666667"/>
    <n v="2.3537499999999998"/>
    <n v="55.993123908730162"/>
    <n v="84.0625"/>
    <n v="142.40937390873017"/>
    <n v="17.708333333333332"/>
    <n v="74.375"/>
    <n v="1769.2994543650796"/>
    <n v="2656.25"/>
    <n v="4499.9244543650793"/>
    <n v="1"/>
    <n v="31.598513011152416"/>
    <n v="1"/>
    <n v="0"/>
    <n v="0"/>
    <n v="1"/>
    <n v="4499.9244543650793"/>
    <n v="0"/>
    <n v="0"/>
    <n v="4499.9244543650793"/>
    <s v="Type B Construction_x000a_2BC-MRY1416"/>
    <m/>
    <n v="2014"/>
    <s v="Direct "/>
    <m/>
    <m/>
    <n v="0.33333333333333331"/>
    <n v="0.33333333333333331"/>
    <n v="0.33333333333333331"/>
    <m/>
    <m/>
    <m/>
    <m/>
    <m/>
    <n v="0"/>
    <m/>
    <n v="1499.974818121693"/>
    <n v="1499.974818121693"/>
    <n v="1499.974818121693"/>
    <n v="0"/>
    <n v="0"/>
    <n v="0"/>
    <n v="0"/>
    <n v="0"/>
  </r>
  <r>
    <x v="1"/>
    <x v="1"/>
    <x v="3"/>
    <x v="3"/>
    <x v="24"/>
    <x v="18"/>
    <x v="42"/>
    <x v="35"/>
    <s v="357"/>
    <s v="BLD"/>
    <s v="FF1-c"/>
    <s v="Modular Building Contaminated (480 ft2) "/>
    <s v="FC-c"/>
    <s v="Buildings (Contaminated)"/>
    <s v="ISO Shipping Containers"/>
    <m/>
    <s v="Power Generation Stores - Demolish and Decontaminate Building - ISO Shipping Container"/>
    <s v="2530-BLD-011"/>
    <n v="29.739776951672862"/>
    <s v="m2"/>
    <n v="0.56041666666666667"/>
    <n v="3.3624999999999998"/>
    <n v="55.993123908730162"/>
    <n v="84.0625"/>
    <n v="143.41812390873017"/>
    <n v="16.666666666666668"/>
    <n v="100"/>
    <n v="1665.223015873016"/>
    <n v="2500"/>
    <n v="4265.2230158730163"/>
    <n v="1"/>
    <n v="29.739776951672862"/>
    <n v="1"/>
    <n v="0"/>
    <n v="0"/>
    <n v="1"/>
    <n v="4265.2230158730163"/>
    <n v="0"/>
    <n v="0"/>
    <n v="4265.2230158730163"/>
    <s v="Type B Construction_x000a_2BC-MRY1416"/>
    <m/>
    <n v="2014"/>
    <s v="Direct "/>
    <m/>
    <m/>
    <n v="0.33333333333333331"/>
    <n v="0.33333333333333331"/>
    <n v="0.33333333333333331"/>
    <m/>
    <m/>
    <m/>
    <m/>
    <m/>
    <n v="0"/>
    <m/>
    <n v="1421.7410052910054"/>
    <n v="1421.7410052910054"/>
    <n v="1421.7410052910054"/>
    <n v="0"/>
    <n v="0"/>
    <n v="0"/>
    <n v="0"/>
    <n v="0"/>
  </r>
  <r>
    <x v="1"/>
    <x v="1"/>
    <x v="6"/>
    <x v="6"/>
    <x v="8"/>
    <x v="7"/>
    <x v="49"/>
    <x v="8"/>
    <s v="387"/>
    <s v="BLD"/>
    <s v="FF1-c"/>
    <s v="Modular Building Contaminated (480 ft2) "/>
    <s v="FC-c"/>
    <s v="Buildings (Contaminated)"/>
    <s v="ISO Shipping Containers"/>
    <m/>
    <s v="Diesel Fuel Dispensing Module - Demolish and Decontaminate Building - ISO Shipping Container"/>
    <s v="2613-FD-014"/>
    <n v="29.739776951672862"/>
    <s v="m2"/>
    <n v="0.56041666666666667"/>
    <n v="3.3624999999999998"/>
    <n v="55.993123908730162"/>
    <n v="84.0625"/>
    <n v="143.41812390873017"/>
    <n v="16.666666666666668"/>
    <n v="100"/>
    <n v="1665.223015873016"/>
    <n v="2500"/>
    <n v="4265.2230158730163"/>
    <n v="1"/>
    <n v="29.739776951672862"/>
    <n v="1"/>
    <n v="0"/>
    <n v="0"/>
    <n v="1"/>
    <n v="4265.2230158730163"/>
    <n v="0"/>
    <n v="0"/>
    <n v="4265.2230158730163"/>
    <s v="Type B Construction_x000a_2BC-MRY1416"/>
    <m/>
    <n v="2014"/>
    <s v="Direct "/>
    <m/>
    <m/>
    <n v="0.5"/>
    <n v="0.5"/>
    <m/>
    <m/>
    <m/>
    <m/>
    <m/>
    <m/>
    <n v="0"/>
    <m/>
    <n v="2132.6115079365081"/>
    <n v="2132.6115079365081"/>
    <n v="0"/>
    <n v="0"/>
    <n v="0"/>
    <n v="0"/>
    <n v="0"/>
    <n v="0"/>
  </r>
  <r>
    <x v="1"/>
    <x v="1"/>
    <x v="5"/>
    <x v="5"/>
    <x v="7"/>
    <x v="6"/>
    <x v="30"/>
    <x v="26"/>
    <s v="456"/>
    <s v="BLD"/>
    <s v="FF1-c"/>
    <s v="Modular Building Contaminated (480 ft2) "/>
    <s v="FC-c"/>
    <s v="Buildings (Contaminated)"/>
    <s v="ISO Shipping Containers"/>
    <m/>
    <s v="Sewage Chemical Storage Container - Demolish and Decontaminate Building - ISO Shipping Container"/>
    <s v="2731-BLD-001"/>
    <n v="29.739776951672862"/>
    <s v="m2"/>
    <n v="0.56041666666666667"/>
    <n v="3.3624999999999998"/>
    <n v="55.993123908730162"/>
    <n v="84.0625"/>
    <n v="143.41812390873017"/>
    <n v="16.666666666666668"/>
    <n v="100"/>
    <n v="1665.223015873016"/>
    <n v="2500"/>
    <n v="4265.2230158730163"/>
    <n v="1"/>
    <n v="29.739776951672862"/>
    <n v="1"/>
    <n v="0"/>
    <n v="0"/>
    <n v="1"/>
    <n v="4265.2230158730163"/>
    <n v="0"/>
    <n v="0"/>
    <n v="4265.2230158730163"/>
    <s v="Type B Construction_x000a_2BC-MRY1416"/>
    <m/>
    <n v="2014"/>
    <s v="Direct "/>
    <m/>
    <m/>
    <n v="0.5"/>
    <n v="0.5"/>
    <m/>
    <m/>
    <m/>
    <m/>
    <m/>
    <m/>
    <n v="0"/>
    <m/>
    <n v="2132.6115079365081"/>
    <n v="2132.6115079365081"/>
    <n v="0"/>
    <n v="0"/>
    <n v="0"/>
    <n v="0"/>
    <n v="0"/>
    <n v="0"/>
  </r>
  <r>
    <x v="1"/>
    <x v="1"/>
    <x v="2"/>
    <x v="2"/>
    <x v="2"/>
    <x v="2"/>
    <x v="2"/>
    <x v="2"/>
    <s v="141"/>
    <s v="SA-"/>
    <s v="MM2"/>
    <s v="Medium Equipment"/>
    <s v="MM2"/>
    <s v="Mechanical Equipment"/>
    <s v="Medium Equipment"/>
    <m/>
    <s v="Screener"/>
    <m/>
    <n v="1"/>
    <s v="ea"/>
    <n v="19.2"/>
    <n v="213"/>
    <n v="1918.3369142857146"/>
    <n v="2130"/>
    <n v="4261.3369142857146"/>
    <n v="19.2"/>
    <n v="213"/>
    <n v="1918.3369142857146"/>
    <n v="2130"/>
    <n v="4261.3369142857146"/>
    <n v="1"/>
    <n v="1"/>
    <n v="1"/>
    <n v="0"/>
    <n v="0"/>
    <n v="1"/>
    <n v="4261.3369142857146"/>
    <n v="0"/>
    <n v="0"/>
    <n v="4261.3369142857146"/>
    <s v="Type B Construction_x000a_2BC-MRY1416"/>
    <s v="Added"/>
    <n v="2017"/>
    <s v="Direct "/>
    <m/>
    <m/>
    <n v="0.33333333333333331"/>
    <m/>
    <n v="0.33333333333333331"/>
    <m/>
    <m/>
    <m/>
    <m/>
    <n v="0.33333333333333331"/>
    <n v="0"/>
    <m/>
    <n v="1420.4456380952381"/>
    <n v="0"/>
    <n v="1420.4456380952381"/>
    <n v="0"/>
    <n v="0"/>
    <n v="0"/>
    <n v="0"/>
    <n v="1420.4456380952381"/>
  </r>
  <r>
    <x v="1"/>
    <x v="1"/>
    <x v="6"/>
    <x v="6"/>
    <x v="8"/>
    <x v="7"/>
    <x v="9"/>
    <x v="8"/>
    <m/>
    <s v="ENE"/>
    <s v="MM2"/>
    <s v="Medium Equipment"/>
    <s v="MM2"/>
    <s v="Mechanical Equipment"/>
    <s v="Medium Equipment"/>
    <s v="Diesel Module"/>
    <s v="Diesel Module"/>
    <s v="ML-FUM-FDI-010"/>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1"/>
    <x v="1"/>
    <x v="6"/>
    <x v="6"/>
    <x v="8"/>
    <x v="7"/>
    <x v="50"/>
    <x v="32"/>
    <m/>
    <s v="ENE"/>
    <s v="MM2"/>
    <s v="Medium Equipment"/>
    <s v="MM2"/>
    <s v="Mechanical Equipment"/>
    <s v="Medium Equipment"/>
    <s v="Jet A1 Module"/>
    <s v="Jet A1 Module"/>
    <s v="ML-FUM-FDI-020"/>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1"/>
    <x v="1"/>
    <x v="5"/>
    <x v="5"/>
    <x v="7"/>
    <x v="6"/>
    <x v="41"/>
    <x v="26"/>
    <s v="465"/>
    <s v="TK-"/>
    <s v="MM2"/>
    <s v="Medium Equipment"/>
    <s v="MM2"/>
    <s v="Mechanical Equipment"/>
    <s v="Medium Equipment"/>
    <s v="Tank"/>
    <s v="TANK  - TREATED EFFLUENT TANK "/>
    <s v="2731-TK-002"/>
    <n v="1"/>
    <s v="ea"/>
    <n v="19.2"/>
    <n v="213"/>
    <n v="1918.3369142857146"/>
    <n v="2130"/>
    <n v="4261.3369142857146"/>
    <n v="19.2"/>
    <n v="213"/>
    <n v="1918.3369142857146"/>
    <n v="2130"/>
    <n v="4261.3369142857146"/>
    <n v="1"/>
    <n v="1"/>
    <n v="1"/>
    <n v="0"/>
    <n v="0"/>
    <n v="1"/>
    <n v="4261.3369142857146"/>
    <n v="0"/>
    <n v="0"/>
    <n v="4261.3369142857146"/>
    <s v="Type B Construction_x000a_2BC-MRY1416"/>
    <s v="Added"/>
    <n v="2014"/>
    <s v="Direct "/>
    <m/>
    <m/>
    <n v="0.33333333333333331"/>
    <m/>
    <n v="0.33333333333333331"/>
    <m/>
    <m/>
    <m/>
    <m/>
    <n v="0.33333333333333331"/>
    <n v="0"/>
    <m/>
    <n v="1420.4456380952381"/>
    <n v="0"/>
    <n v="1420.4456380952381"/>
    <n v="0"/>
    <n v="0"/>
    <n v="0"/>
    <n v="0"/>
    <n v="1420.4456380952381"/>
  </r>
  <r>
    <x v="1"/>
    <x v="1"/>
    <x v="8"/>
    <x v="8"/>
    <x v="26"/>
    <x v="16"/>
    <x v="37"/>
    <x v="33"/>
    <m/>
    <s v="TK-"/>
    <s v="MT1-d"/>
    <s v="Light Diesel (Day tanks 10,000L to 20,000L)"/>
    <s v="MT1-d"/>
    <s v="Mechanical Equipment"/>
    <s v="Light Diesel Tanks"/>
    <m/>
    <s v="TANK, DOUBLE WALLED 2494 LITER"/>
    <m/>
    <n v="1"/>
    <s v="ea"/>
    <n v="15.5"/>
    <n v="195"/>
    <n v="1548.6574047619049"/>
    <n v="1950"/>
    <n v="3693.6574047619051"/>
    <n v="15.5"/>
    <n v="195"/>
    <n v="1548.6574047619049"/>
    <n v="1950"/>
    <n v="3693.6574047619051"/>
    <n v="20"/>
    <n v="20"/>
    <n v="1"/>
    <n v="0"/>
    <n v="0"/>
    <n v="1"/>
    <n v="3693.6574047619051"/>
    <n v="0"/>
    <n v="0"/>
    <n v="3693.6574047619051"/>
    <s v="Type A  _x000a_2AM-MRY1325"/>
    <s v="Added"/>
    <s v="2015 R"/>
    <s v="Direct "/>
    <m/>
    <m/>
    <n v="0.33333333333333331"/>
    <m/>
    <n v="0.33333333333333331"/>
    <m/>
    <m/>
    <m/>
    <m/>
    <n v="0.33333333333333331"/>
    <n v="0"/>
    <m/>
    <n v="1231.219134920635"/>
    <n v="0"/>
    <n v="1231.219134920635"/>
    <n v="0"/>
    <n v="0"/>
    <n v="0"/>
    <n v="0"/>
    <n v="1231.219134920635"/>
  </r>
  <r>
    <x v="1"/>
    <x v="1"/>
    <x v="3"/>
    <x v="3"/>
    <x v="3"/>
    <x v="3"/>
    <x v="46"/>
    <x v="34"/>
    <s v="267"/>
    <s v="TK-"/>
    <s v="MT1-d"/>
    <s v="Light Diesel (Day tanks 10,000L to 20,000L)"/>
    <s v="MT1-d"/>
    <s v="Mechanical Equipment"/>
    <s v="Light Diesel Tanks"/>
    <m/>
    <s v="TANK  - MILNE EMERGENCY RESPONSE GARAGE DIESEL FUEL TANK - DTE ULC601-07  "/>
    <s v="2513-TK-023"/>
    <n v="1"/>
    <s v="ea"/>
    <n v="15.5"/>
    <n v="195"/>
    <n v="1548.6574047619049"/>
    <n v="1950"/>
    <n v="3693.6574047619051"/>
    <n v="15.5"/>
    <n v="195"/>
    <n v="1548.6574047619049"/>
    <n v="1950"/>
    <n v="3693.6574047619051"/>
    <n v="20"/>
    <n v="20"/>
    <n v="1"/>
    <n v="0"/>
    <n v="0"/>
    <n v="1"/>
    <n v="3693.6574047619051"/>
    <n v="0"/>
    <n v="0"/>
    <n v="3693.6574047619051"/>
    <s v="Type B Construction_x000a_2BC-MRY1416"/>
    <m/>
    <n v="2014"/>
    <s v="Direct "/>
    <m/>
    <m/>
    <n v="0.5"/>
    <n v="0.5"/>
    <m/>
    <m/>
    <m/>
    <m/>
    <m/>
    <m/>
    <n v="0"/>
    <m/>
    <n v="1846.8287023809526"/>
    <n v="1846.8287023809526"/>
    <n v="0"/>
    <n v="0"/>
    <n v="0"/>
    <n v="0"/>
    <n v="0"/>
    <n v="0"/>
  </r>
  <r>
    <x v="1"/>
    <x v="1"/>
    <x v="3"/>
    <x v="3"/>
    <x v="5"/>
    <x v="4"/>
    <x v="38"/>
    <x v="12"/>
    <s v="292"/>
    <s v="TK-"/>
    <s v="MT1-d"/>
    <s v="Light Diesel (Day tanks 10,000L to 20,000L)"/>
    <s v="MT1-d"/>
    <s v="Mechanical Equipment"/>
    <s v="Light Diesel Tanks"/>
    <m/>
    <s v="TANK  - MILNE WELDING SHOP DIESEL FUEL TANK - DTE ULC601-07  "/>
    <s v="2521-TK-005"/>
    <n v="1"/>
    <s v="ea"/>
    <n v="15.5"/>
    <n v="195"/>
    <n v="1548.6574047619049"/>
    <n v="1950"/>
    <n v="3693.6574047619051"/>
    <n v="15.5"/>
    <n v="195"/>
    <n v="1548.6574047619049"/>
    <n v="1950"/>
    <n v="3693.6574047619051"/>
    <n v="20"/>
    <n v="20"/>
    <n v="1"/>
    <n v="0"/>
    <n v="0"/>
    <n v="1"/>
    <n v="3693.6574047619051"/>
    <n v="0"/>
    <n v="0"/>
    <n v="3693.6574047619051"/>
    <s v="Type B Construction_x000a_2BC-MRY1416"/>
    <m/>
    <n v="2014"/>
    <s v="Direct "/>
    <m/>
    <m/>
    <n v="0.5"/>
    <n v="0.5"/>
    <m/>
    <m/>
    <m/>
    <m/>
    <m/>
    <m/>
    <n v="0"/>
    <m/>
    <n v="1846.8287023809526"/>
    <n v="1846.8287023809526"/>
    <n v="0"/>
    <n v="0"/>
    <n v="0"/>
    <n v="0"/>
    <n v="0"/>
    <n v="0"/>
  </r>
  <r>
    <x v="1"/>
    <x v="1"/>
    <x v="3"/>
    <x v="3"/>
    <x v="5"/>
    <x v="4"/>
    <x v="38"/>
    <x v="12"/>
    <s v="293"/>
    <s v="TK-"/>
    <s v="MT1-d"/>
    <s v="Light Diesel (Day tanks 10,000L to 20,000L)"/>
    <s v="MT1-d"/>
    <s v="Mechanical Equipment"/>
    <s v="Light Diesel Tanks"/>
    <m/>
    <s v="TANK  - MAINTENANCE BUILDING DIESEL FUEL TANK - DTE ULC601-07  "/>
    <s v="2521-TK-013"/>
    <n v="1"/>
    <s v="ea"/>
    <n v="15.5"/>
    <n v="195"/>
    <n v="1548.6574047619049"/>
    <n v="1950"/>
    <n v="3693.6574047619051"/>
    <n v="15.5"/>
    <n v="195"/>
    <n v="1548.6574047619049"/>
    <n v="1950"/>
    <n v="3693.6574047619051"/>
    <n v="20"/>
    <n v="20"/>
    <n v="1"/>
    <n v="0"/>
    <n v="0"/>
    <n v="1"/>
    <n v="3693.6574047619051"/>
    <n v="0"/>
    <n v="0"/>
    <n v="3693.6574047619051"/>
    <s v="Type B Construction_x000a_2BC-MRY1416"/>
    <m/>
    <n v="2014"/>
    <s v="Direct "/>
    <m/>
    <m/>
    <n v="0.5"/>
    <n v="0.5"/>
    <m/>
    <m/>
    <m/>
    <m/>
    <m/>
    <m/>
    <n v="0"/>
    <m/>
    <n v="1846.8287023809526"/>
    <n v="1846.8287023809526"/>
    <n v="0"/>
    <n v="0"/>
    <n v="0"/>
    <n v="0"/>
    <n v="0"/>
    <n v="0"/>
  </r>
  <r>
    <x v="1"/>
    <x v="1"/>
    <x v="3"/>
    <x v="3"/>
    <x v="17"/>
    <x v="14"/>
    <x v="22"/>
    <x v="19"/>
    <s v="374"/>
    <s v="TK-"/>
    <s v="MT1-d"/>
    <s v="Light Diesel (Day tanks 10,000L to 20,000L)"/>
    <s v="MT1-d"/>
    <s v="Mechanical Equipment"/>
    <s v="Light Diesel Tanks"/>
    <m/>
    <s v="TANK  - MILNE  WASTE MANAGEMENT BUILDING DIESEL FUEL TANK - DTE ULC601-07  "/>
    <s v="2540-TK-003"/>
    <n v="1"/>
    <s v="ea"/>
    <n v="15.5"/>
    <n v="195"/>
    <n v="1548.6574047619049"/>
    <n v="1950"/>
    <n v="3693.6574047619051"/>
    <n v="15.5"/>
    <n v="195"/>
    <n v="1548.6574047619049"/>
    <n v="1950"/>
    <n v="3693.6574047619051"/>
    <n v="20"/>
    <n v="20"/>
    <n v="1"/>
    <n v="0"/>
    <n v="0"/>
    <n v="1"/>
    <n v="3693.6574047619051"/>
    <n v="0"/>
    <n v="0"/>
    <n v="3693.6574047619051"/>
    <s v="Type B Construction_x000a_2BC-MRY1416"/>
    <m/>
    <n v="2014"/>
    <s v="Direct "/>
    <m/>
    <m/>
    <n v="0.5"/>
    <n v="0.5"/>
    <m/>
    <m/>
    <m/>
    <m/>
    <m/>
    <m/>
    <n v="0"/>
    <m/>
    <n v="1846.8287023809526"/>
    <n v="1846.8287023809526"/>
    <n v="0"/>
    <n v="0"/>
    <n v="0"/>
    <n v="0"/>
    <n v="0"/>
    <n v="0"/>
  </r>
  <r>
    <x v="1"/>
    <x v="1"/>
    <x v="5"/>
    <x v="5"/>
    <x v="22"/>
    <x v="17"/>
    <x v="43"/>
    <x v="31"/>
    <s v="452"/>
    <s v="TK-"/>
    <s v="MT1-d"/>
    <s v="Light Diesel (Day tanks 10,000L to 20,000L)"/>
    <s v="MT1-d"/>
    <s v="Mechanical Equipment"/>
    <s v="Light Diesel Tanks"/>
    <m/>
    <s v="TANK  - MILNE WATER BUILDING DIESEL FUEL TANK - DTE ULC601-07  "/>
    <s v="2720-TK-033"/>
    <n v="1"/>
    <s v="ea"/>
    <n v="15.5"/>
    <n v="195"/>
    <n v="1548.6574047619049"/>
    <n v="1950"/>
    <n v="3693.6574047619051"/>
    <n v="15.5"/>
    <n v="195"/>
    <n v="1548.6574047619049"/>
    <n v="1950"/>
    <n v="3693.6574047619051"/>
    <n v="20"/>
    <n v="20"/>
    <n v="1"/>
    <n v="0"/>
    <n v="0"/>
    <n v="1"/>
    <n v="3693.6574047619051"/>
    <n v="0"/>
    <n v="0"/>
    <n v="3693.6574047619051"/>
    <s v="Type B Construction_x000a_2BC-MRY1416"/>
    <m/>
    <n v="2014"/>
    <s v="Direct "/>
    <m/>
    <m/>
    <n v="0.5"/>
    <n v="0.5"/>
    <m/>
    <m/>
    <m/>
    <m/>
    <m/>
    <m/>
    <n v="0"/>
    <m/>
    <n v="1846.8287023809526"/>
    <n v="1846.8287023809526"/>
    <n v="0"/>
    <n v="0"/>
    <n v="0"/>
    <n v="0"/>
    <n v="0"/>
    <n v="0"/>
  </r>
  <r>
    <x v="1"/>
    <x v="1"/>
    <x v="5"/>
    <x v="5"/>
    <x v="7"/>
    <x v="6"/>
    <x v="51"/>
    <x v="36"/>
    <s v="477"/>
    <s v="TK-"/>
    <s v="MT1-d"/>
    <s v="Light Diesel (Day tanks 10,000L to 20,000L)"/>
    <s v="MT1-d"/>
    <s v="Mechanical Equipment"/>
    <s v="Light Diesel Tanks"/>
    <m/>
    <s v="TANK  - MILNE SEWAGE TRUCK BUILDING DIESEL FUEL TANK - DTE ULC601-07  "/>
    <s v="2732-TK-003"/>
    <n v="1"/>
    <s v="ea"/>
    <n v="15.5"/>
    <n v="195"/>
    <n v="1548.6574047619049"/>
    <n v="1950"/>
    <n v="3693.6574047619051"/>
    <n v="15.5"/>
    <n v="195"/>
    <n v="1548.6574047619049"/>
    <n v="1950"/>
    <n v="3693.6574047619051"/>
    <n v="20"/>
    <n v="20"/>
    <n v="1"/>
    <n v="0"/>
    <n v="0"/>
    <n v="1"/>
    <n v="3693.6574047619051"/>
    <n v="0"/>
    <n v="0"/>
    <n v="3693.6574047619051"/>
    <s v="Type B Construction_x000a_2BC-MRY1416"/>
    <m/>
    <n v="2014"/>
    <s v="Direct "/>
    <m/>
    <m/>
    <n v="0.5"/>
    <n v="0.5"/>
    <m/>
    <m/>
    <m/>
    <m/>
    <m/>
    <m/>
    <n v="0"/>
    <m/>
    <n v="1846.8287023809526"/>
    <n v="1846.8287023809526"/>
    <n v="0"/>
    <n v="0"/>
    <n v="0"/>
    <n v="0"/>
    <n v="0"/>
    <n v="0"/>
  </r>
  <r>
    <x v="1"/>
    <x v="1"/>
    <x v="3"/>
    <x v="3"/>
    <x v="16"/>
    <x v="13"/>
    <x v="21"/>
    <x v="18"/>
    <m/>
    <m/>
    <s v="A3l"/>
    <s v="Grade &amp; Re-Contour with Liner"/>
    <s v="A3l"/>
    <s v="Site Works"/>
    <s v="Grade and Re-Contour With Liner"/>
    <m/>
    <s v="Hazardous Waste Berm"/>
    <s v="MP-HWB-3"/>
    <n v="678"/>
    <s v="m2"/>
    <n v="4.4489880937500004E-2"/>
    <n v="0.17804999999999999"/>
    <n v="4.4489880937499997"/>
    <n v="0.71454534577546303"/>
    <n v="5.3082953457754627"/>
    <n v="30.164139275625004"/>
    <n v="120.71789999999999"/>
    <n v="3016.4139275624998"/>
    <n v="484.46174443576393"/>
    <n v="3599.0242444357636"/>
    <n v="0"/>
    <n v="0"/>
    <n v="1"/>
    <n v="0"/>
    <n v="0"/>
    <n v="1"/>
    <n v="3599.0242444357636"/>
    <n v="0"/>
    <n v="0"/>
    <n v="3599.0242444357636"/>
    <s v="Type A  _x000a_2AM-MRY1325"/>
    <s v="Modified"/>
    <s v="2015 R"/>
    <s v="Direct "/>
    <m/>
    <m/>
    <n v="0.33333333333333331"/>
    <n v="0.33333333333333331"/>
    <n v="0.33333333333333331"/>
    <m/>
    <m/>
    <m/>
    <m/>
    <m/>
    <n v="0"/>
    <m/>
    <n v="1199.6747481452544"/>
    <n v="1199.6747481452544"/>
    <n v="1199.6747481452544"/>
    <n v="0"/>
    <n v="0"/>
    <n v="0"/>
    <n v="0"/>
    <n v="0"/>
  </r>
  <r>
    <x v="1"/>
    <x v="1"/>
    <x v="5"/>
    <x v="5"/>
    <x v="10"/>
    <x v="9"/>
    <x v="11"/>
    <x v="10"/>
    <s v="483"/>
    <s v="BLD"/>
    <s v="FF1"/>
    <s v="Modular Building Not Contaminated (480 ft2)"/>
    <s v="FS"/>
    <s v="Buildings (Not Contaminated)"/>
    <s v="Prefabricated Special Modular"/>
    <m/>
    <s v="Accommodation Area E-House #1 - Demolish and Decontaminate Building - Special Modular / Prefabricated"/>
    <s v="2750-BLD-001"/>
    <n v="59.479553903345725"/>
    <s v="m2"/>
    <n v="0.22416666666666665"/>
    <n v="3.3624999999999998"/>
    <n v="22.397249563492064"/>
    <n v="33.625"/>
    <n v="59.384749563492065"/>
    <n v="13.333333333333332"/>
    <n v="200"/>
    <n v="1332.1784126984128"/>
    <n v="2000"/>
    <n v="3532.178412698413"/>
    <n v="1"/>
    <n v="59.479553903345725"/>
    <n v="1"/>
    <n v="0"/>
    <n v="0"/>
    <n v="1"/>
    <n v="3532.178412698413"/>
    <n v="0"/>
    <n v="0"/>
    <n v="3532.178412698413"/>
    <s v="Type B Construction_x000a_2BC-MRY1416"/>
    <m/>
    <n v="2014"/>
    <s v="Direct "/>
    <m/>
    <m/>
    <n v="0.33333333333333331"/>
    <n v="0.33333333333333331"/>
    <n v="0.33333333333333331"/>
    <m/>
    <m/>
    <m/>
    <m/>
    <m/>
    <n v="0"/>
    <m/>
    <n v="1177.3928042328043"/>
    <n v="1177.3928042328043"/>
    <n v="1177.3928042328043"/>
    <n v="0"/>
    <n v="0"/>
    <n v="0"/>
    <n v="0"/>
    <n v="0"/>
  </r>
  <r>
    <x v="1"/>
    <x v="1"/>
    <x v="3"/>
    <x v="3"/>
    <x v="16"/>
    <x v="13"/>
    <x v="21"/>
    <x v="18"/>
    <m/>
    <m/>
    <s v="A3l"/>
    <s v="Grade &amp; Re-Contour with Liner"/>
    <s v="A3l"/>
    <s v="Site Works"/>
    <s v="Grade and Re-Contour With Liner"/>
    <m/>
    <s v="Hazardous Waste Berm"/>
    <s v="MP-HWB-5"/>
    <n v="652"/>
    <s v="m2"/>
    <n v="4.4489880937500004E-2"/>
    <n v="0.17804999999999999"/>
    <n v="4.4489880937499997"/>
    <n v="0.71454534577546303"/>
    <n v="5.3082953457754627"/>
    <n v="29.007402371250002"/>
    <n v="116.08859999999999"/>
    <n v="2900.740237125"/>
    <n v="465.8835654456019"/>
    <n v="3461.0085654456016"/>
    <n v="0"/>
    <n v="0"/>
    <n v="1"/>
    <n v="0"/>
    <n v="0"/>
    <n v="1"/>
    <n v="3461.0085654456016"/>
    <n v="0"/>
    <n v="0"/>
    <n v="3461.0085654456016"/>
    <s v="Type A  _x000a_2AM-MRY1325"/>
    <s v="Modified"/>
    <s v="2015 R"/>
    <s v="Direct "/>
    <m/>
    <m/>
    <n v="0.33333333333333331"/>
    <n v="0.33333333333333331"/>
    <n v="0.33333333333333331"/>
    <m/>
    <m/>
    <m/>
    <m/>
    <m/>
    <n v="0"/>
    <m/>
    <n v="1153.6695218152004"/>
    <n v="1153.6695218152004"/>
    <n v="1153.6695218152004"/>
    <n v="0"/>
    <n v="0"/>
    <n v="0"/>
    <n v="0"/>
    <n v="0"/>
  </r>
  <r>
    <x v="1"/>
    <x v="1"/>
    <x v="3"/>
    <x v="3"/>
    <x v="16"/>
    <x v="13"/>
    <x v="21"/>
    <x v="18"/>
    <m/>
    <m/>
    <s v="A3l"/>
    <s v="Grade &amp; Re-Contour with Liner"/>
    <s v="A3l"/>
    <s v="Site Works"/>
    <s v="Grade and Re-Contour With Liner"/>
    <m/>
    <s v="Hazardous Waste Berm"/>
    <s v="MP-HWB-4"/>
    <n v="597"/>
    <s v="m2"/>
    <n v="4.4489880937500004E-2"/>
    <n v="0.17804999999999999"/>
    <n v="4.4489880937499997"/>
    <n v="0.71454534577546303"/>
    <n v="5.3082953457754627"/>
    <n v="26.560458919687502"/>
    <n v="106.29584999999999"/>
    <n v="2656.0458919687499"/>
    <n v="426.58357142795143"/>
    <n v="3169.052321427951"/>
    <n v="0"/>
    <n v="0"/>
    <n v="1"/>
    <n v="0"/>
    <n v="0"/>
    <n v="1"/>
    <n v="3169.052321427951"/>
    <n v="0"/>
    <n v="0"/>
    <n v="3169.052321427951"/>
    <s v="Type A  _x000a_2AM-MRY1325"/>
    <s v="Modified"/>
    <s v="2015 R"/>
    <s v="Direct "/>
    <m/>
    <m/>
    <n v="0.33333333333333331"/>
    <n v="0.33333333333333331"/>
    <n v="0.33333333333333331"/>
    <m/>
    <m/>
    <m/>
    <m/>
    <m/>
    <n v="0"/>
    <m/>
    <n v="1056.3507738093169"/>
    <n v="1056.3507738093169"/>
    <n v="1056.3507738093169"/>
    <n v="0"/>
    <n v="0"/>
    <n v="0"/>
    <n v="0"/>
    <n v="0"/>
  </r>
  <r>
    <x v="1"/>
    <x v="1"/>
    <x v="8"/>
    <x v="8"/>
    <x v="23"/>
    <x v="16"/>
    <x v="37"/>
    <x v="33"/>
    <m/>
    <s v="MO-"/>
    <s v="O2"/>
    <s v="Medium Mobile Equipment"/>
    <s v="O2"/>
    <s v="Mobile Equipment"/>
    <s v="Medium Mobile Equipment"/>
    <s v="3rd Party Equipment"/>
    <s v="Stockpile Reclaim Loader, 988"/>
    <m/>
    <n v="2"/>
    <s v="ea"/>
    <n v="10"/>
    <n v="45"/>
    <n v="999.13380952380965"/>
    <n v="450"/>
    <n v="1494.1338095238098"/>
    <n v="20"/>
    <n v="90"/>
    <n v="1998.2676190476193"/>
    <n v="900"/>
    <n v="2988.2676190476195"/>
    <n v="24"/>
    <n v="48"/>
    <n v="1"/>
    <n v="0"/>
    <n v="0"/>
    <n v="1"/>
    <n v="2988.2676190476195"/>
    <n v="0"/>
    <n v="0"/>
    <n v="2988.2676190476195"/>
    <s v="Type A  _x000a_2AM-MRY1325"/>
    <s v="Added"/>
    <n v="2016"/>
    <s v="Direct "/>
    <m/>
    <m/>
    <n v="0.33333333333333331"/>
    <m/>
    <n v="0.33333333333333331"/>
    <m/>
    <m/>
    <m/>
    <m/>
    <n v="0.33333333333333331"/>
    <n v="0"/>
    <m/>
    <n v="996.08920634920651"/>
    <n v="0"/>
    <n v="996.08920634920651"/>
    <n v="0"/>
    <n v="0"/>
    <n v="0"/>
    <n v="0"/>
    <n v="996.08920634920651"/>
  </r>
  <r>
    <x v="5"/>
    <x v="5"/>
    <x v="10"/>
    <x v="8"/>
    <x v="18"/>
    <x v="10"/>
    <x v="28"/>
    <x v="24"/>
    <m/>
    <s v=""/>
    <s v="Cu"/>
    <s v="Culvert Removal"/>
    <s v="cu"/>
    <s v="Site Works"/>
    <s v="Culvert Removal"/>
    <m/>
    <s v="Culverts - IOL"/>
    <m/>
    <n v="119"/>
    <s v="ea"/>
    <n v="6"/>
    <n v="45"/>
    <n v="599.48028571428574"/>
    <n v="450"/>
    <n v="1094.4802857142859"/>
    <n v="714"/>
    <n v="5355"/>
    <n v="71338.15400000001"/>
    <n v="53550"/>
    <n v="130243.15400000001"/>
    <n v="0"/>
    <n v="0"/>
    <n v="1"/>
    <n v="0"/>
    <n v="0"/>
    <n v="1"/>
    <n v="130243.15400000001"/>
    <n v="0"/>
    <n v="0"/>
    <n v="130243.15400000001"/>
    <s v="Type A  _x000a_2AM-MRY1325"/>
    <s v="Added"/>
    <n v="2018"/>
    <s v="Direct "/>
    <m/>
    <m/>
    <m/>
    <n v="0.5"/>
    <n v="0.5"/>
    <m/>
    <m/>
    <m/>
    <m/>
    <m/>
    <n v="0"/>
    <m/>
    <n v="0"/>
    <n v="65121.577000000005"/>
    <n v="65121.577000000005"/>
    <n v="0"/>
    <n v="0"/>
    <n v="0"/>
    <n v="0"/>
    <n v="0"/>
  </r>
  <r>
    <x v="1"/>
    <x v="1"/>
    <x v="6"/>
    <x v="6"/>
    <x v="8"/>
    <x v="7"/>
    <x v="52"/>
    <x v="39"/>
    <m/>
    <s v=""/>
    <s v="A3l"/>
    <s v="Grade &amp; Re-Contour with Liner"/>
    <s v="A3l"/>
    <s v="Site Works"/>
    <s v="Grade and Re-Contour With Liner"/>
    <m/>
    <s v="Weatherhaven genset fuel bladder berm "/>
    <m/>
    <n v="500"/>
    <s v="m2"/>
    <n v="4.4489880937500004E-2"/>
    <n v="0.17804999999999999"/>
    <n v="4.4489880937499997"/>
    <n v="0.71454534577546303"/>
    <n v="5.3082953457754627"/>
    <n v="22.244940468750002"/>
    <n v="89.024999999999991"/>
    <n v="2224.4940468749996"/>
    <n v="357.27267288773152"/>
    <n v="2654.1476728877315"/>
    <n v="0"/>
    <n v="0"/>
    <n v="1"/>
    <n v="0"/>
    <n v="0"/>
    <n v="1"/>
    <n v="2654.1476728877315"/>
    <n v="0"/>
    <n v="0"/>
    <n v="2654.1476728877315"/>
    <s v="Type A  _x000a_2AM-MRY1325"/>
    <s v="Added"/>
    <s v="2015 R"/>
    <s v="Direct "/>
    <m/>
    <m/>
    <n v="0.33333333333333331"/>
    <n v="0.33333333333333331"/>
    <n v="0.33333333333333331"/>
    <m/>
    <m/>
    <m/>
    <m/>
    <m/>
    <n v="0"/>
    <m/>
    <n v="884.71589096257708"/>
    <n v="884.71589096257708"/>
    <n v="884.71589096257708"/>
    <n v="0"/>
    <n v="0"/>
    <n v="0"/>
    <n v="0"/>
    <n v="0"/>
  </r>
  <r>
    <x v="1"/>
    <x v="1"/>
    <x v="8"/>
    <x v="8"/>
    <x v="23"/>
    <x v="16"/>
    <x v="37"/>
    <x v="33"/>
    <m/>
    <s v="MO-"/>
    <s v="O3"/>
    <s v="Heavy Mobile Equipment"/>
    <s v="O3"/>
    <s v="Mobile Equipment"/>
    <s v="Heavy Mobile Equipment"/>
    <m/>
    <s v="KENWORTH SERVICE TRUCK TOROMONT ML"/>
    <s v="HTP02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FREIGHTLINER VAC TRUCK"/>
    <s v="HTP02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950H SNOW REMOVAL LOADER"/>
    <s v="LDR01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950H SNOW REMOVAL LOADER"/>
    <s v="LDR01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3"/>
    <x v="2"/>
    <x v="25"/>
    <x v="19"/>
    <x v="47"/>
    <x v="37"/>
    <m/>
    <s v="BAE"/>
    <s v="MM3"/>
    <s v="Heavy Equipment"/>
    <s v="MM3"/>
    <s v="Mechanical Equipment"/>
    <s v="Heavy Equipment"/>
    <s v="3rd Party Equipment"/>
    <s v="Electrical sub station"/>
    <m/>
    <n v="3"/>
    <s v="ea"/>
    <n v="168"/>
    <n v="2220"/>
    <n v="16785.448"/>
    <n v="22200"/>
    <n v="41205.448000000004"/>
    <n v="504"/>
    <n v="6660"/>
    <n v="50356.343999999997"/>
    <n v="66600"/>
    <n v="123616.34400000001"/>
    <n v="56"/>
    <n v="168"/>
    <n v="1"/>
    <n v="0"/>
    <n v="0"/>
    <n v="1"/>
    <n v="123616.34400000001"/>
    <n v="0"/>
    <n v="0"/>
    <n v="123616.34400000001"/>
    <s v="Type A  _x000a_2AM-MRY1325"/>
    <s v="Added"/>
    <n v="2018"/>
    <s v="Direct "/>
    <m/>
    <m/>
    <n v="0.33333333333333331"/>
    <m/>
    <n v="0.33333333333333331"/>
    <m/>
    <m/>
    <m/>
    <m/>
    <n v="0.33333333333333331"/>
    <n v="0"/>
    <m/>
    <n v="41205.448000000004"/>
    <n v="0"/>
    <n v="41205.448000000004"/>
    <n v="0"/>
    <n v="0"/>
    <n v="0"/>
    <n v="0"/>
    <n v="41205.448000000004"/>
  </r>
  <r>
    <x v="1"/>
    <x v="1"/>
    <x v="8"/>
    <x v="8"/>
    <x v="12"/>
    <x v="10"/>
    <x v="19"/>
    <x v="16"/>
    <m/>
    <s v=""/>
    <s v="A3"/>
    <s v="Grade &amp; Re-Contour"/>
    <s v="A2"/>
    <s v="Site Works"/>
    <s v="Grade and Re-Contour"/>
    <s v="Grade and Contour"/>
    <s v="Laydown LP5"/>
    <m/>
    <n v="65000"/>
    <s v="m2"/>
    <n v="1.2689880937499998E-2"/>
    <n v="0.14624999999999999"/>
    <n v="1.2689880937499998"/>
    <n v="0.39654534577546297"/>
    <n v="1.8102953457754629"/>
    <n v="824.84226093749987"/>
    <n v="9506.25"/>
    <n v="82484.226093749981"/>
    <n v="25775.447475405093"/>
    <n v="117765.92356915507"/>
    <n v="0"/>
    <n v="0"/>
    <n v="1"/>
    <n v="0"/>
    <n v="0"/>
    <n v="1"/>
    <n v="117765.92356915507"/>
    <n v="0"/>
    <n v="0"/>
    <n v="117765.92356915507"/>
    <s v="Type A  _x000a_2AM-MRY1325"/>
    <s v="Added"/>
    <n v="2018"/>
    <s v="Direct "/>
    <m/>
    <m/>
    <n v="0.33333333333333331"/>
    <n v="0.33333333333333331"/>
    <n v="0.33333333333333331"/>
    <m/>
    <m/>
    <m/>
    <m/>
    <m/>
    <n v="0"/>
    <m/>
    <n v="39255.307856385021"/>
    <n v="39255.307856385021"/>
    <n v="39255.307856385021"/>
    <n v="0"/>
    <n v="0"/>
    <n v="0"/>
    <n v="0"/>
    <n v="0"/>
  </r>
  <r>
    <x v="1"/>
    <x v="1"/>
    <x v="8"/>
    <x v="8"/>
    <x v="23"/>
    <x v="16"/>
    <x v="37"/>
    <x v="33"/>
    <m/>
    <s v="MO-"/>
    <s v="O3"/>
    <s v="Heavy Mobile Equipment"/>
    <s v="O3"/>
    <s v="Mobile Equipment"/>
    <s v="Heavy Mobile Equipment"/>
    <m/>
    <s v="INTERNATIONAL 4400 FUEL TRUCK"/>
    <s v="FLT01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740B ARTICULATING ROCK TRUCK"/>
    <s v="ART00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740B ARTICULATING ROCK TRUCK"/>
    <s v="ART01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4"/>
    <x v="5"/>
    <x v="27"/>
    <x v="6"/>
    <x v="53"/>
    <x v="26"/>
    <m/>
    <s v="In Meters"/>
    <s v="piping"/>
    <s v="Piping"/>
    <s v="Piping"/>
    <s v="Bulks"/>
    <s v="Piping"/>
    <m/>
    <s v="Sewage Treatment Piping - Piping Installation - Realignment of the effluent discharge line around the new crusher pad in 2018"/>
    <m/>
    <n v="1500"/>
    <s v="m"/>
    <n v="0.25"/>
    <n v="3.75"/>
    <n v="24.97834523809524"/>
    <n v="37.5"/>
    <n v="66.228345238095244"/>
    <n v="375"/>
    <n v="5625"/>
    <n v="37467.517857142862"/>
    <n v="56250"/>
    <n v="99342.51785714287"/>
    <n v="1.0000000000000002E-2"/>
    <n v="15.000000000000004"/>
    <n v="1"/>
    <n v="0"/>
    <n v="1"/>
    <n v="0"/>
    <n v="99342.51785714287"/>
    <n v="0"/>
    <n v="99342.51785714287"/>
    <n v="0"/>
    <s v="Type A  _x000a_2AM-MRY1325"/>
    <s v="Added"/>
    <n v="2018"/>
    <s v="Direct "/>
    <m/>
    <m/>
    <n v="0.5"/>
    <n v="0.5"/>
    <m/>
    <m/>
    <m/>
    <m/>
    <m/>
    <m/>
    <n v="0"/>
    <m/>
    <n v="49671.258928571435"/>
    <n v="49671.258928571435"/>
    <n v="0"/>
    <n v="0"/>
    <n v="0"/>
    <n v="0"/>
    <n v="0"/>
    <n v="0"/>
  </r>
  <r>
    <x v="1"/>
    <x v="1"/>
    <x v="8"/>
    <x v="8"/>
    <x v="26"/>
    <x v="16"/>
    <x v="37"/>
    <x v="33"/>
    <m/>
    <s v="TK-"/>
    <s v="MT5-d"/>
    <s v="Medium Mobile Diesel Tanks (3000 L to 500k L)"/>
    <s v="MT5-d"/>
    <s v="Mechanical Equipment"/>
    <s v="Medium Mobile Diesel Tanks"/>
    <s v="3rd Party Contractor"/>
    <s v="TK Portable Fuel Tank "/>
    <m/>
    <n v="8"/>
    <s v="ea"/>
    <n v="42.724999999999994"/>
    <n v="564.75"/>
    <n v="4268.7992011904762"/>
    <n v="5647.5"/>
    <n v="10481.049201190477"/>
    <n v="341.79999999999995"/>
    <n v="4518"/>
    <n v="34150.39360952381"/>
    <n v="45180"/>
    <n v="83848.393609523802"/>
    <n v="30"/>
    <n v="240"/>
    <n v="1"/>
    <n v="0"/>
    <n v="0"/>
    <n v="1"/>
    <n v="83848.393609523802"/>
    <n v="0"/>
    <n v="0"/>
    <n v="83848.393609523802"/>
    <s v="Type A  _x000a_2AM-MRY1325"/>
    <s v="Added"/>
    <n v="2018"/>
    <s v="Direct "/>
    <m/>
    <m/>
    <n v="0.33333333333333331"/>
    <m/>
    <n v="0.33333333333333331"/>
    <m/>
    <m/>
    <m/>
    <m/>
    <n v="0.33333333333333331"/>
    <n v="0"/>
    <m/>
    <n v="27949.464536507934"/>
    <n v="0"/>
    <n v="27949.464536507934"/>
    <n v="0"/>
    <n v="0"/>
    <n v="0"/>
    <n v="0"/>
    <n v="27949.464536507934"/>
  </r>
  <r>
    <x v="5"/>
    <x v="5"/>
    <x v="15"/>
    <x v="8"/>
    <x v="28"/>
    <x v="20"/>
    <x v="54"/>
    <x v="40"/>
    <m/>
    <s v="BLD"/>
    <s v="FF1"/>
    <s v="Modular Building Not Contaminated (480 ft2)"/>
    <s v="FTR2"/>
    <s v="Buildings (Not Contaminated)"/>
    <s v="Double Trailer (2 or more)"/>
    <m/>
    <s v="80-person mobile temporary camps for Tote Road construction (2 camps)"/>
    <m/>
    <n v="1325"/>
    <s v="m2"/>
    <n v="0.22416666666666665"/>
    <n v="3.3624999999999998"/>
    <n v="22.397249563492064"/>
    <n v="33.625"/>
    <n v="59.384749563492065"/>
    <n v="297.02083333333331"/>
    <n v="4455.3125"/>
    <n v="29676.355671626985"/>
    <n v="44553.125"/>
    <n v="78684.793171626981"/>
    <n v="1"/>
    <n v="1325"/>
    <n v="1"/>
    <n v="0"/>
    <n v="0"/>
    <n v="1"/>
    <n v="78684.793171626981"/>
    <n v="0"/>
    <n v="0"/>
    <n v="78684.793171626981"/>
    <s v="Type A  _x000a_2AM-MRY1325"/>
    <s v="Added"/>
    <n v="2018"/>
    <s v="Direct "/>
    <m/>
    <m/>
    <m/>
    <n v="1"/>
    <m/>
    <m/>
    <m/>
    <m/>
    <m/>
    <m/>
    <n v="0"/>
    <m/>
    <n v="0"/>
    <n v="78684.793171626981"/>
    <n v="0"/>
    <n v="0"/>
    <n v="0"/>
    <n v="0"/>
    <n v="0"/>
    <n v="0"/>
  </r>
  <r>
    <x v="5"/>
    <x v="5"/>
    <x v="10"/>
    <x v="8"/>
    <x v="18"/>
    <x v="10"/>
    <x v="24"/>
    <x v="41"/>
    <m/>
    <s v=""/>
    <s v="A3"/>
    <s v="Grade &amp; Re-Contour"/>
    <s v="A2"/>
    <s v="Site Works"/>
    <s v="Grade and Re-Contour"/>
    <s v="Grade and Contour"/>
    <s v="PQ5A Quarry"/>
    <m/>
    <n v="40000"/>
    <s v="m2"/>
    <n v="1.2689880937499998E-2"/>
    <n v="0.14624999999999999"/>
    <n v="1.2689880937499998"/>
    <n v="0.39654534577546297"/>
    <n v="1.8102953457754629"/>
    <n v="507.59523749999994"/>
    <n v="5850"/>
    <n v="50759.523749999993"/>
    <n v="15861.813831018519"/>
    <n v="72471.33758101851"/>
    <n v="0"/>
    <n v="0"/>
    <n v="1"/>
    <n v="0"/>
    <n v="0"/>
    <n v="1"/>
    <n v="72471.33758101851"/>
    <n v="0"/>
    <n v="0"/>
    <n v="72471.33758101851"/>
    <s v="Type A  _x000a_2AM-MRY1325"/>
    <s v="Added "/>
    <n v="2018"/>
    <s v="Direct "/>
    <m/>
    <m/>
    <n v="0.5"/>
    <n v="0.5"/>
    <m/>
    <m/>
    <m/>
    <m/>
    <m/>
    <m/>
    <n v="0"/>
    <m/>
    <n v="36235.668790509255"/>
    <n v="36235.668790509255"/>
    <n v="0"/>
    <n v="0"/>
    <n v="0"/>
    <n v="0"/>
    <n v="0"/>
    <n v="0"/>
  </r>
  <r>
    <x v="5"/>
    <x v="5"/>
    <x v="10"/>
    <x v="8"/>
    <x v="18"/>
    <x v="10"/>
    <x v="24"/>
    <x v="42"/>
    <m/>
    <s v=""/>
    <s v="A3"/>
    <s v="Grade &amp; Re-Contour"/>
    <s v="A2"/>
    <s v="Site Works"/>
    <s v="Grade and Re-Contour"/>
    <s v="Grade and Contour"/>
    <s v="PQ5B Quarry"/>
    <m/>
    <n v="40000"/>
    <s v="m2"/>
    <n v="1.2689880937499998E-2"/>
    <n v="0.14624999999999999"/>
    <n v="1.2689880937499998"/>
    <n v="0.39654534577546297"/>
    <n v="1.8102953457754629"/>
    <n v="507.59523749999994"/>
    <n v="5850"/>
    <n v="50759.523749999993"/>
    <n v="15861.813831018519"/>
    <n v="72471.33758101851"/>
    <n v="0"/>
    <n v="0"/>
    <n v="1"/>
    <n v="0"/>
    <n v="0"/>
    <n v="1"/>
    <n v="72471.33758101851"/>
    <n v="0"/>
    <n v="0"/>
    <n v="72471.33758101851"/>
    <s v="Type A  _x000a_2AM-MRY1325"/>
    <s v="Added "/>
    <n v="2018"/>
    <s v="Direct "/>
    <m/>
    <m/>
    <n v="0.5"/>
    <n v="0.5"/>
    <m/>
    <m/>
    <m/>
    <m/>
    <m/>
    <m/>
    <n v="0"/>
    <m/>
    <n v="36235.668790509255"/>
    <n v="36235.668790509255"/>
    <n v="0"/>
    <n v="0"/>
    <n v="0"/>
    <n v="0"/>
    <n v="0"/>
    <n v="0"/>
  </r>
  <r>
    <x v="5"/>
    <x v="5"/>
    <x v="10"/>
    <x v="8"/>
    <x v="18"/>
    <x v="10"/>
    <x v="24"/>
    <x v="43"/>
    <m/>
    <s v=""/>
    <s v="A3"/>
    <s v="Grade &amp; Re-Contour"/>
    <s v="A2"/>
    <s v="Site Works"/>
    <s v="Grade and Re-Contour"/>
    <s v="Grade and Contour"/>
    <s v="PQ2A Quarry"/>
    <m/>
    <n v="35000"/>
    <s v="m2"/>
    <n v="1.2689880937499998E-2"/>
    <n v="0.14624999999999999"/>
    <n v="1.2689880937499998"/>
    <n v="0.39654534577546297"/>
    <n v="1.8102953457754629"/>
    <n v="444.14583281249992"/>
    <n v="5118.75"/>
    <n v="44414.583281249994"/>
    <n v="13879.087102141204"/>
    <n v="63412.420383391196"/>
    <n v="0"/>
    <n v="0"/>
    <n v="1"/>
    <n v="0"/>
    <n v="0"/>
    <n v="1"/>
    <n v="63412.420383391196"/>
    <n v="0"/>
    <n v="0"/>
    <n v="63412.420383391196"/>
    <s v="Type A  _x000a_2AM-MRY1325"/>
    <s v="Added "/>
    <n v="2018"/>
    <s v="Direct "/>
    <m/>
    <m/>
    <n v="0.5"/>
    <n v="0.5"/>
    <m/>
    <m/>
    <m/>
    <m/>
    <m/>
    <m/>
    <n v="0"/>
    <m/>
    <n v="31706.210191695598"/>
    <n v="31706.210191695598"/>
    <n v="0"/>
    <n v="0"/>
    <n v="0"/>
    <n v="0"/>
    <n v="0"/>
    <n v="0"/>
  </r>
  <r>
    <x v="5"/>
    <x v="5"/>
    <x v="10"/>
    <x v="8"/>
    <x v="18"/>
    <x v="10"/>
    <x v="25"/>
    <x v="23"/>
    <m/>
    <s v=""/>
    <s v="A3"/>
    <s v="Grade &amp; Re-Contour"/>
    <s v="A2"/>
    <s v="Site Works"/>
    <s v="Grade and Re-Contour"/>
    <s v="Grade and Contour"/>
    <s v="Laydown No. 1 - 2018 Work Plan"/>
    <m/>
    <n v="35000"/>
    <s v="m2"/>
    <n v="1.2689880937499998E-2"/>
    <n v="0.14624999999999999"/>
    <n v="1.2689880937499998"/>
    <n v="0.39654534577546297"/>
    <n v="1.8102953457754629"/>
    <n v="444.14583281249992"/>
    <n v="5118.75"/>
    <n v="44414.583281249994"/>
    <n v="13879.087102141204"/>
    <n v="63360.337102141202"/>
    <n v="0"/>
    <n v="0"/>
    <n v="1"/>
    <n v="0"/>
    <n v="0"/>
    <n v="1"/>
    <n v="63360.337102141202"/>
    <n v="0"/>
    <n v="0"/>
    <n v="63360.337102141202"/>
    <s v="Type A  _x000a_2AM-MRY1325"/>
    <s v="Added"/>
    <n v="2018"/>
    <s v="Direct "/>
    <m/>
    <m/>
    <n v="0.33333333333333331"/>
    <n v="0.33333333333333331"/>
    <n v="0.33333333333333331"/>
    <m/>
    <m/>
    <m/>
    <m/>
    <m/>
    <n v="0"/>
    <m/>
    <n v="21120.1123673804"/>
    <n v="21120.1123673804"/>
    <n v="21120.1123673804"/>
    <n v="0"/>
    <n v="0"/>
    <n v="0"/>
    <n v="0"/>
    <n v="0"/>
  </r>
  <r>
    <x v="1"/>
    <x v="1"/>
    <x v="8"/>
    <x v="8"/>
    <x v="23"/>
    <x v="16"/>
    <x v="37"/>
    <x v="33"/>
    <m/>
    <s v="MO-"/>
    <s v="O3"/>
    <s v="Heavy Mobile Equipment"/>
    <s v="O3"/>
    <s v="Mobile Equipment"/>
    <s v="Heavy Mobile Equipment"/>
    <m/>
    <s v="KALMAR CONTAINER HANDLER"/>
    <s v="CNH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GROVE RT890E CRANE"/>
    <s v="CRN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MASABA PORTABLE CONVEYOR"/>
    <s v="CRURC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345DL EXCAVATOR CATERPILLAR"/>
    <s v="EXC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320BL EXCAVATOR CATERPILLAR"/>
    <s v="EXC00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2008 GEHL LIFT TRUCK"/>
    <s v="FKT00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988H WHEEL LOADER"/>
    <s v="LDR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988H WHEEL LOADER"/>
    <s v="LDR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988H WHEEL LOADER"/>
    <s v="LDR00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988H WHEEL LOADER"/>
    <s v="LDR00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988H WHEEL LOADER"/>
    <s v="LDR00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988H WHEEL LOADER"/>
    <s v="LDR00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Grove 60 Ton Crane"/>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CAT 988 Loader"/>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CAT 345 Excavator"/>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John Deere 850 Excavator"/>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Stockpile Mobile Feeder"/>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Stockpile Mobile Stacker"/>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Reclaim Mobile Feeder"/>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Container Handler"/>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s v="3rd Party Equipment"/>
    <s v="Gantry Crane"/>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WESTERN STAR TRI-DRIVE V.I.N. # 5KJRASD18CPBF7663"/>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WESTERN STAR TRUCK VIN # 5KJRAS013BPAZ8119"/>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WESTERN STAR TRUCK VIN # 5KJRASD1XBPAZ8117"/>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WESTERN STAR TRUCK NO: OHT033"/>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WESTERN STAR TRUCK NO: OHT028"/>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WESTERN STAR TRUCK OTH027"/>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WESTERN STAR TRUCK VIN # 5KJRASD14BPAZ8114"/>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40' FLATRACK TOLU 897574-0, STC JET FUEL A1 FS II DRUMS 205 L"/>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WESTERN STAR TRUCK VIN# 5KJRASD16BPA28115"/>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M320F WHEELED EXCAVATOR"/>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2015 FREIGHTLINER SERVICE TRUCK"/>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2004 PETERBILT TANKER TRUCK VIN# 2NPNHD8X24M822016"/>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777G MINING TRUCK"/>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777G MINING TRUCK"/>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777G MINING TRUCK"/>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60/30 CENTER CAR BODY W BELLY PLATE"/>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777G BODY"/>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2016 WESTERN STAR TRUCK VIN: 5KJRASD18GPHD7176"/>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2016 WESTERN STAR TRUCK VIN: 5KJRASD18GPHD7175"/>
    <m/>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WESTERN STAR SNOW PLOW"/>
    <s v="HTP017"/>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WESTERN STAR PLOW TRUCK"/>
    <s v="HTP02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WESTERN STAR TRACTOR"/>
    <s v="HTP03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TRACTOR FRTL CABOVER UNIT 512202"/>
    <m/>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1"/>
    <x v="1"/>
    <x v="8"/>
    <x v="8"/>
    <x v="26"/>
    <x v="16"/>
    <x v="37"/>
    <x v="33"/>
    <m/>
    <s v="MO-"/>
    <s v="O3"/>
    <s v="Heavy Mobile Equipment"/>
    <s v="O3"/>
    <s v="Mobile Equipment"/>
    <s v="Heavy Mobile Equipment"/>
    <m/>
    <s v="TRACTOR FRTL CABOVER UNIT 512402"/>
    <m/>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5"/>
    <x v="5"/>
    <x v="10"/>
    <x v="8"/>
    <x v="18"/>
    <x v="10"/>
    <x v="24"/>
    <x v="44"/>
    <m/>
    <s v=""/>
    <s v="A3"/>
    <s v="Grade &amp; Re-Contour"/>
    <s v="A2"/>
    <s v="Site Works"/>
    <s v="Grade and Re-Contour"/>
    <s v="Grade and Contour"/>
    <s v="PQ6A Quarry"/>
    <m/>
    <n v="32500"/>
    <s v="m2"/>
    <n v="1.2689880937499998E-2"/>
    <n v="0.14624999999999999"/>
    <n v="1.2689880937499998"/>
    <n v="0.39654534577546297"/>
    <n v="1.8102953457754629"/>
    <n v="412.42113046874994"/>
    <n v="4753.125"/>
    <n v="41242.113046874991"/>
    <n v="12887.723737702547"/>
    <n v="58882.961784577536"/>
    <n v="0"/>
    <n v="0"/>
    <n v="0"/>
    <n v="1"/>
    <n v="0"/>
    <n v="1"/>
    <n v="0"/>
    <n v="58882.961784577536"/>
    <n v="0"/>
    <n v="58882.961784577536"/>
    <s v="Type A  _x000a_2AM-MRY1325"/>
    <s v="Added "/>
    <n v="2018"/>
    <s v="Direct "/>
    <m/>
    <m/>
    <n v="0.5"/>
    <n v="0.5"/>
    <m/>
    <m/>
    <m/>
    <m/>
    <m/>
    <m/>
    <n v="0"/>
    <m/>
    <n v="29441.480892288768"/>
    <n v="29441.480892288768"/>
    <n v="0"/>
    <n v="0"/>
    <n v="0"/>
    <n v="0"/>
    <n v="0"/>
    <n v="0"/>
  </r>
  <r>
    <x v="5"/>
    <x v="5"/>
    <x v="10"/>
    <x v="8"/>
    <x v="18"/>
    <x v="10"/>
    <x v="24"/>
    <x v="45"/>
    <m/>
    <s v=""/>
    <s v="A3"/>
    <s v="Grade &amp; Re-Contour"/>
    <s v="A2"/>
    <s v="Site Works"/>
    <s v="Grade and Re-Contour"/>
    <s v="Grade and Contour"/>
    <s v="PQ6B Quarry"/>
    <m/>
    <n v="32500"/>
    <s v="m2"/>
    <n v="1.2689880937499998E-2"/>
    <n v="0.14624999999999999"/>
    <n v="1.2689880937499998"/>
    <n v="0.39654534577546297"/>
    <n v="1.8102953457754629"/>
    <n v="412.42113046874994"/>
    <n v="4753.125"/>
    <n v="41242.113046874991"/>
    <n v="12887.723737702547"/>
    <n v="58882.961784577536"/>
    <n v="0"/>
    <n v="0"/>
    <n v="0"/>
    <n v="1"/>
    <n v="0"/>
    <n v="1"/>
    <n v="0"/>
    <n v="58882.961784577536"/>
    <n v="0"/>
    <n v="58882.961784577536"/>
    <s v="Type A  _x000a_2AM-MRY1325"/>
    <s v="Added "/>
    <n v="2018"/>
    <s v="Direct "/>
    <m/>
    <m/>
    <n v="0.5"/>
    <n v="0.5"/>
    <m/>
    <m/>
    <m/>
    <m/>
    <m/>
    <m/>
    <n v="0"/>
    <m/>
    <n v="29441.480892288768"/>
    <n v="29441.480892288768"/>
    <n v="0"/>
    <n v="0"/>
    <n v="0"/>
    <n v="0"/>
    <n v="0"/>
    <n v="0"/>
  </r>
  <r>
    <x v="1"/>
    <x v="1"/>
    <x v="3"/>
    <x v="3"/>
    <x v="24"/>
    <x v="18"/>
    <x v="42"/>
    <x v="35"/>
    <m/>
    <s v="BLD"/>
    <s v="FF2"/>
    <s v="Fold Away Building Not Contaminated (480 ft2)"/>
    <s v="FFL"/>
    <s v="Buildings (Not Contaminated)"/>
    <s v="Fold Away Building"/>
    <m/>
    <s v="Electrical Shop - Demolish and Decontaminate Building - Fold-away Building (Steel)"/>
    <s v="2530-BLD-BIM-002"/>
    <n v="56"/>
    <s v="m2"/>
    <n v="0.15691666666666668"/>
    <n v="2.3537499999999998"/>
    <n v="15.678074694444444"/>
    <n v="23.537499999999998"/>
    <n v="41.569324694444447"/>
    <n v="8.7873333333333346"/>
    <n v="131.81"/>
    <n v="877.97218288888882"/>
    <n v="1318.1"/>
    <n v="2327.8821828888886"/>
    <n v="1"/>
    <n v="56"/>
    <n v="1"/>
    <n v="0"/>
    <n v="0"/>
    <n v="1"/>
    <n v="2327.8821828888886"/>
    <n v="0"/>
    <n v="0"/>
    <n v="2327.8821828888886"/>
    <s v="Type A  _x000a_2AM-MRY1325"/>
    <s v="Added"/>
    <s v="2015 R"/>
    <s v="Direct "/>
    <m/>
    <m/>
    <n v="0.33333333333333331"/>
    <n v="0.33333333333333331"/>
    <n v="0.33333333333333331"/>
    <m/>
    <m/>
    <m/>
    <m/>
    <m/>
    <n v="0"/>
    <m/>
    <n v="775.96072762962945"/>
    <n v="775.96072762962945"/>
    <n v="775.96072762962945"/>
    <n v="0"/>
    <n v="0"/>
    <n v="0"/>
    <n v="0"/>
    <n v="0"/>
  </r>
  <r>
    <x v="1"/>
    <x v="1"/>
    <x v="5"/>
    <x v="5"/>
    <x v="10"/>
    <x v="9"/>
    <x v="11"/>
    <x v="10"/>
    <s v="486"/>
    <s v="BLD"/>
    <s v="FF1"/>
    <s v="Modular Building Not Contaminated (480 ft2)"/>
    <s v="FS"/>
    <s v="Buildings (Not Contaminated)"/>
    <s v="Prefabricated Special Modular"/>
    <m/>
    <s v="Accommodation Area E-House #2 - Demolish and Decontaminate Building - Special Modular / Prefabricated"/>
    <s v="2750-BLD-002"/>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B Construction_x000a_2BC-MRY1416"/>
    <m/>
    <n v="2014"/>
    <s v="Direct "/>
    <m/>
    <m/>
    <n v="0.33333333333333331"/>
    <n v="0.33333333333333331"/>
    <n v="0.33333333333333331"/>
    <m/>
    <m/>
    <m/>
    <m/>
    <m/>
    <n v="0"/>
    <m/>
    <n v="735.87050264550271"/>
    <n v="735.87050264550271"/>
    <n v="735.87050264550271"/>
    <n v="0"/>
    <n v="0"/>
    <n v="0"/>
    <n v="0"/>
    <n v="0"/>
  </r>
  <r>
    <x v="1"/>
    <x v="1"/>
    <x v="5"/>
    <x v="5"/>
    <x v="10"/>
    <x v="9"/>
    <x v="11"/>
    <x v="10"/>
    <s v="489"/>
    <s v="BLD"/>
    <s v="FF1"/>
    <s v="Modular Building Not Contaminated (480 ft2)"/>
    <s v="FS"/>
    <s v="Buildings (Not Contaminated)"/>
    <s v="Prefabricated Special Modular"/>
    <m/>
    <s v="Services Area E-House #1 - Demolish and Decontaminate Building - Special Modular / Prefabricated"/>
    <s v="2750-BLD-003"/>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B Construction_x000a_2BC-MRY1416"/>
    <m/>
    <n v="2014"/>
    <s v="Direct "/>
    <m/>
    <m/>
    <n v="0.33333333333333331"/>
    <n v="0.33333333333333331"/>
    <n v="0.33333333333333331"/>
    <m/>
    <m/>
    <m/>
    <m/>
    <m/>
    <n v="0"/>
    <m/>
    <n v="735.87050264550271"/>
    <n v="735.87050264550271"/>
    <n v="735.87050264550271"/>
    <n v="0"/>
    <n v="0"/>
    <n v="0"/>
    <n v="0"/>
    <n v="0"/>
  </r>
  <r>
    <x v="1"/>
    <x v="1"/>
    <x v="5"/>
    <x v="5"/>
    <x v="10"/>
    <x v="9"/>
    <x v="11"/>
    <x v="10"/>
    <s v="492"/>
    <s v="BLD"/>
    <s v="FF1"/>
    <s v="Modular Building Not Contaminated (480 ft2)"/>
    <s v="FS"/>
    <s v="Buildings (Not Contaminated)"/>
    <s v="Prefabricated Special Modular"/>
    <m/>
    <s v="Services Area E-House #2 - Demolish and Decontaminate Building - Special Modular / Prefabricated"/>
    <s v="2750-BLD-004"/>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B Construction_x000a_2BC-MRY1416"/>
    <m/>
    <n v="2014"/>
    <s v="Direct "/>
    <m/>
    <m/>
    <n v="0.33333333333333331"/>
    <n v="0.33333333333333331"/>
    <n v="0.33333333333333331"/>
    <m/>
    <m/>
    <m/>
    <m/>
    <m/>
    <n v="0"/>
    <m/>
    <n v="735.87050264550271"/>
    <n v="735.87050264550271"/>
    <n v="735.87050264550271"/>
    <n v="0"/>
    <n v="0"/>
    <n v="0"/>
    <n v="0"/>
    <n v="0"/>
  </r>
  <r>
    <x v="1"/>
    <x v="1"/>
    <x v="3"/>
    <x v="3"/>
    <x v="24"/>
    <x v="18"/>
    <x v="42"/>
    <x v="35"/>
    <m/>
    <s v="BLD"/>
    <s v="CP"/>
    <s v="Precast Concrete Foundations - (480 ft2)"/>
    <s v="CP"/>
    <s v="Flooring / Foundations"/>
    <s v="Precast Foundations"/>
    <m/>
    <s v="Electrical Shop - Demolish and foundations - Precast Footing (Perimeter Beam)"/>
    <s v="2530-BLD-BIM-002"/>
    <n v="56"/>
    <s v="m2"/>
    <n v="0.14520631503408685"/>
    <n v="2.1780947255113023"/>
    <n v="14.50805387069216"/>
    <n v="21.780947255113027"/>
    <n v="38.467095851316493"/>
    <n v="8.1315536419088641"/>
    <n v="121.97330462863293"/>
    <n v="812.45101675876094"/>
    <n v="1219.7330462863295"/>
    <n v="2154.1573676737235"/>
    <n v="0.75"/>
    <n v="42"/>
    <n v="1"/>
    <n v="0"/>
    <n v="0"/>
    <n v="1"/>
    <n v="2154.1573676737235"/>
    <n v="0"/>
    <n v="0"/>
    <n v="2154.1573676737235"/>
    <s v="Type A  _x000a_2AM-MRY1325"/>
    <s v="Added"/>
    <s v="2015 R"/>
    <s v="Direct "/>
    <m/>
    <m/>
    <n v="0.33333333333333331"/>
    <n v="0.33333333333333331"/>
    <n v="0.33333333333333331"/>
    <m/>
    <m/>
    <m/>
    <m/>
    <m/>
    <n v="0"/>
    <m/>
    <n v="718.05245589124115"/>
    <n v="718.05245589124115"/>
    <n v="718.05245589124115"/>
    <n v="0"/>
    <n v="0"/>
    <n v="0"/>
    <n v="0"/>
    <n v="0"/>
  </r>
  <r>
    <x v="1"/>
    <x v="1"/>
    <x v="8"/>
    <x v="8"/>
    <x v="26"/>
    <x v="16"/>
    <x v="37"/>
    <x v="33"/>
    <m/>
    <s v="TK-"/>
    <s v="MT1"/>
    <s v="Light Tanks"/>
    <s v="MT1"/>
    <s v="Mechanical Equipment"/>
    <s v="Light Tanks"/>
    <m/>
    <s v="4400 GAL STAINLESS STEEL WATER TANK"/>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s v="2015 R"/>
    <s v="Direct "/>
    <m/>
    <m/>
    <n v="0.33333333333333331"/>
    <m/>
    <n v="0.33333333333333331"/>
    <m/>
    <m/>
    <m/>
    <m/>
    <n v="0.33333333333333331"/>
    <n v="0"/>
    <m/>
    <n v="716.10978306878314"/>
    <n v="0"/>
    <n v="716.10978306878314"/>
    <n v="0"/>
    <n v="0"/>
    <n v="0"/>
    <n v="0"/>
    <n v="716.10978306878314"/>
  </r>
  <r>
    <x v="1"/>
    <x v="1"/>
    <x v="8"/>
    <x v="8"/>
    <x v="26"/>
    <x v="16"/>
    <x v="37"/>
    <x v="33"/>
    <m/>
    <s v="TK-"/>
    <s v="MT1"/>
    <s v="Light Tanks"/>
    <s v="MT1"/>
    <s v="Mechanical Equipment"/>
    <s v="Light Tanks"/>
    <m/>
    <s v="SEWAGE TANK SERAIL # ST111-0716"/>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s v="2015 R"/>
    <s v="Direct "/>
    <m/>
    <m/>
    <n v="0.33333333333333331"/>
    <m/>
    <n v="0.33333333333333331"/>
    <m/>
    <m/>
    <m/>
    <m/>
    <n v="0.33333333333333331"/>
    <n v="0"/>
    <m/>
    <n v="716.10978306878314"/>
    <n v="0"/>
    <n v="716.10978306878314"/>
    <n v="0"/>
    <n v="0"/>
    <n v="0"/>
    <n v="0"/>
    <n v="716.10978306878314"/>
  </r>
  <r>
    <x v="1"/>
    <x v="1"/>
    <x v="8"/>
    <x v="8"/>
    <x v="26"/>
    <x v="16"/>
    <x v="37"/>
    <x v="33"/>
    <m/>
    <s v="TK-"/>
    <s v="MT1"/>
    <s v="Light Tanks"/>
    <s v="MT1"/>
    <s v="Mechanical Equipment"/>
    <s v="Light Tanks"/>
    <m/>
    <s v="WATER TANK SERIAL # WT110-0070"/>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s v="2015 R"/>
    <s v="Direct "/>
    <m/>
    <m/>
    <n v="0.33333333333333331"/>
    <m/>
    <n v="0.33333333333333331"/>
    <m/>
    <m/>
    <m/>
    <m/>
    <n v="0.33333333333333331"/>
    <n v="0"/>
    <m/>
    <n v="716.10978306878314"/>
    <n v="0"/>
    <n v="716.10978306878314"/>
    <n v="0"/>
    <n v="0"/>
    <n v="0"/>
    <n v="0"/>
    <n v="716.10978306878314"/>
  </r>
  <r>
    <x v="1"/>
    <x v="1"/>
    <x v="5"/>
    <x v="5"/>
    <x v="22"/>
    <x v="17"/>
    <x v="55"/>
    <x v="31"/>
    <m/>
    <s v="TK-"/>
    <s v="MT1"/>
    <s v="Light Tanks"/>
    <s v="MT1"/>
    <s v="Mechanical Equipment"/>
    <s v="Light Tanks"/>
    <m/>
    <s v="TANK  - POTABLE WATER STORAGE TANK (20 m3)"/>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Confirmed"/>
    <s v="2015 A"/>
    <s v="Direct "/>
    <m/>
    <m/>
    <n v="0.33333333333333331"/>
    <n v="0.33333333333333331"/>
    <n v="0.33333333333333331"/>
    <m/>
    <m/>
    <m/>
    <m/>
    <m/>
    <n v="0"/>
    <m/>
    <n v="716.10978306878314"/>
    <n v="716.10978306878314"/>
    <n v="716.10978306878314"/>
    <n v="0"/>
    <n v="0"/>
    <n v="0"/>
    <n v="0"/>
    <n v="0"/>
  </r>
  <r>
    <x v="1"/>
    <x v="1"/>
    <x v="3"/>
    <x v="3"/>
    <x v="3"/>
    <x v="3"/>
    <x v="46"/>
    <x v="34"/>
    <s v="266"/>
    <s v="TK-"/>
    <s v="MT1"/>
    <s v="Light Tanks"/>
    <s v="MT1"/>
    <s v="Mechanical Equipment"/>
    <s v="Light Tanks"/>
    <m/>
    <s v="TANK  - EMERGENCY RESPONSE OFFICE RAW WATER TANK - NORWESCO  L: 1613, W: 737, H: 1676 "/>
    <s v="2513-TK-004"/>
    <n v="1"/>
    <s v="ea"/>
    <n v="9.6666666666666661"/>
    <n v="107.5"/>
    <n v="965.82934920634932"/>
    <n v="1075"/>
    <n v="2148.3293492063494"/>
    <n v="9.6666666666666661"/>
    <n v="107.5"/>
    <n v="965.82934920634932"/>
    <n v="1075"/>
    <n v="2148.3293492063494"/>
    <n v="1"/>
    <n v="1"/>
    <n v="1"/>
    <n v="0"/>
    <n v="0"/>
    <n v="1"/>
    <n v="2148.3293492063494"/>
    <n v="0"/>
    <n v="0"/>
    <n v="2148.3293492063494"/>
    <s v="Type B Construction_x000a_2BC-MRY1416"/>
    <m/>
    <n v="2014"/>
    <s v="Direct "/>
    <m/>
    <m/>
    <n v="0.33333333333333331"/>
    <n v="0.33333333333333331"/>
    <n v="0.33333333333333331"/>
    <m/>
    <m/>
    <m/>
    <m/>
    <m/>
    <n v="0"/>
    <m/>
    <n v="716.10978306878314"/>
    <n v="716.10978306878314"/>
    <n v="716.10978306878314"/>
    <n v="0"/>
    <n v="0"/>
    <n v="0"/>
    <n v="0"/>
    <n v="0"/>
  </r>
  <r>
    <x v="1"/>
    <x v="1"/>
    <x v="3"/>
    <x v="3"/>
    <x v="5"/>
    <x v="4"/>
    <x v="13"/>
    <x v="12"/>
    <s v="281"/>
    <s v="BLD"/>
    <m/>
    <e v="#N/A"/>
    <s v="FW"/>
    <s v="Flooring / Foundations"/>
    <s v="Wood Floor"/>
    <m/>
    <s v="Workshop Office Washcar - Demolish floor finish - Raised Steel or Wooden Floor"/>
    <s v="2521-BLD-004"/>
    <n v="35.687732342007436"/>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8"/>
    <x v="8"/>
    <x v="12"/>
    <x v="10"/>
    <x v="19"/>
    <x v="16"/>
    <m/>
    <s v=""/>
    <s v="A3"/>
    <s v="Grade &amp; Re-Contour"/>
    <s v="A2"/>
    <s v="Site Works"/>
    <s v="Grade and Re-Contour"/>
    <s v="Grade and Contour"/>
    <s v="Laydown LP2"/>
    <m/>
    <n v="32000"/>
    <s v="m2"/>
    <n v="1.2689880937499998E-2"/>
    <n v="0.14624999999999999"/>
    <n v="1.2689880937499998"/>
    <n v="0.39654534577546297"/>
    <n v="1.8102953457754629"/>
    <n v="406.07618999999994"/>
    <n v="4680"/>
    <n v="40607.618999999992"/>
    <n v="12689.451064814815"/>
    <n v="57977.070064814805"/>
    <n v="0"/>
    <n v="0"/>
    <n v="1"/>
    <n v="0"/>
    <n v="0"/>
    <n v="1"/>
    <n v="57977.070064814805"/>
    <n v="0"/>
    <n v="0"/>
    <n v="57977.070064814805"/>
    <s v="Type A  _x000a_2AM-MRY1325"/>
    <s v="Added"/>
    <n v="2018"/>
    <s v="Direct "/>
    <m/>
    <m/>
    <n v="0.33333333333333331"/>
    <n v="0.33333333333333331"/>
    <n v="0.33333333333333331"/>
    <m/>
    <m/>
    <m/>
    <m/>
    <m/>
    <n v="0"/>
    <m/>
    <n v="19325.690021604933"/>
    <n v="19325.690021604933"/>
    <n v="19325.690021604933"/>
    <n v="0"/>
    <n v="0"/>
    <n v="0"/>
    <n v="0"/>
    <n v="0"/>
  </r>
  <r>
    <x v="1"/>
    <x v="1"/>
    <x v="5"/>
    <x v="5"/>
    <x v="7"/>
    <x v="6"/>
    <x v="45"/>
    <x v="36"/>
    <s v="471"/>
    <s v="BLD"/>
    <s v="CP"/>
    <s v="Precast Concrete Foundations - (480 ft2)"/>
    <s v="CP"/>
    <s v="Flooring / Foundations"/>
    <s v="Precast Foundations"/>
    <m/>
    <s v="Sewage Truck Building - Demolish and foundations - Precast Footing (Perimeter Beam)"/>
    <s v="2732-BLD-001"/>
    <n v="55.762081784386616"/>
    <s v="m2"/>
    <n v="0.14520631503408685"/>
    <n v="2.1780947255113023"/>
    <n v="14.50805387069216"/>
    <n v="21.780947255113027"/>
    <n v="38.467095851316493"/>
    <n v="8.097006414540159"/>
    <n v="121.45509621810236"/>
    <n v="808.99928646982312"/>
    <n v="1214.5509621810238"/>
    <n v="2145.0053448689491"/>
    <n v="0.75"/>
    <n v="41.82156133828996"/>
    <n v="1"/>
    <n v="0"/>
    <n v="0"/>
    <n v="1"/>
    <n v="2145.0053448689491"/>
    <n v="0"/>
    <n v="0"/>
    <n v="2145.0053448689491"/>
    <s v="Type B Construction_x000a_2BC-MRY1416"/>
    <m/>
    <n v="2014"/>
    <s v="Direct "/>
    <m/>
    <m/>
    <n v="0.5"/>
    <n v="0.5"/>
    <m/>
    <m/>
    <m/>
    <m/>
    <m/>
    <m/>
    <n v="0"/>
    <m/>
    <n v="1072.5026724344746"/>
    <n v="1072.5026724344746"/>
    <n v="0"/>
    <n v="0"/>
    <n v="0"/>
    <n v="0"/>
    <n v="0"/>
    <n v="0"/>
  </r>
  <r>
    <x v="1"/>
    <x v="1"/>
    <x v="6"/>
    <x v="6"/>
    <x v="8"/>
    <x v="7"/>
    <x v="49"/>
    <x v="8"/>
    <s v="384"/>
    <s v="BLD"/>
    <s v="FF1-c"/>
    <s v="Modular Building Contaminated (480 ft2) "/>
    <s v="FC-c"/>
    <s v="Buildings (Contaminated)"/>
    <s v="ISO Shipping Containers"/>
    <m/>
    <s v="Diesel Fuel Dispensing Module - Demolish and Decontaminate Building - ISO Shipping Container"/>
    <s v="2613-FD-013"/>
    <n v="14.869888475836431"/>
    <s v="m2"/>
    <n v="0.56041666666666667"/>
    <n v="3.3624999999999998"/>
    <n v="55.993123908730162"/>
    <n v="84.0625"/>
    <n v="143.41812390873017"/>
    <n v="8.3333333333333339"/>
    <n v="50"/>
    <n v="832.61150793650802"/>
    <n v="1250"/>
    <n v="2132.6115079365081"/>
    <n v="1"/>
    <n v="14.869888475836431"/>
    <n v="1"/>
    <n v="0"/>
    <n v="0"/>
    <n v="1"/>
    <n v="2132.6115079365081"/>
    <n v="0"/>
    <n v="0"/>
    <n v="2132.6115079365081"/>
    <s v="Type B Construction_x000a_2BC-MRY1416"/>
    <m/>
    <n v="2014"/>
    <s v="Direct "/>
    <m/>
    <m/>
    <n v="0.5"/>
    <n v="0.5"/>
    <m/>
    <m/>
    <m/>
    <m/>
    <m/>
    <m/>
    <n v="0"/>
    <m/>
    <n v="1066.3057539682541"/>
    <n v="1066.3057539682541"/>
    <n v="0"/>
    <n v="0"/>
    <n v="0"/>
    <n v="0"/>
    <n v="0"/>
    <n v="0"/>
  </r>
  <r>
    <x v="1"/>
    <x v="1"/>
    <x v="6"/>
    <x v="6"/>
    <x v="8"/>
    <x v="7"/>
    <x v="56"/>
    <x v="32"/>
    <s v="405"/>
    <s v="BLD"/>
    <s v="FF1-c"/>
    <s v="Modular Building Contaminated (480 ft2) "/>
    <s v="FC-c"/>
    <s v="Buildings (Contaminated)"/>
    <s v="ISO Shipping Containers"/>
    <m/>
    <s v="Jet-A1 Fuel Dispensing Module  - Demolish and Decontaminate Building - ISO Shipping Container"/>
    <s v="2614-FD-011"/>
    <n v="14.869888475836431"/>
    <s v="m2"/>
    <n v="0.56041666666666667"/>
    <n v="3.3624999999999998"/>
    <n v="55.993123908730162"/>
    <n v="84.0625"/>
    <n v="143.41812390873017"/>
    <n v="8.3333333333333339"/>
    <n v="50"/>
    <n v="832.61150793650802"/>
    <n v="1250"/>
    <n v="2132.6115079365081"/>
    <n v="1"/>
    <n v="14.869888475836431"/>
    <n v="1"/>
    <n v="0"/>
    <n v="0"/>
    <n v="1"/>
    <n v="2132.6115079365081"/>
    <n v="0"/>
    <n v="0"/>
    <n v="2132.6115079365081"/>
    <s v="Type B Construction_x000a_2BC-MRY1416"/>
    <m/>
    <n v="2014"/>
    <s v="Direct "/>
    <m/>
    <m/>
    <n v="0.5"/>
    <n v="0.5"/>
    <m/>
    <m/>
    <m/>
    <m/>
    <m/>
    <m/>
    <n v="0"/>
    <m/>
    <n v="1066.3057539682541"/>
    <n v="1066.3057539682541"/>
    <n v="0"/>
    <n v="0"/>
    <n v="0"/>
    <n v="0"/>
    <n v="0"/>
    <n v="0"/>
  </r>
  <r>
    <x v="1"/>
    <x v="1"/>
    <x v="8"/>
    <x v="8"/>
    <x v="23"/>
    <x v="16"/>
    <x v="37"/>
    <x v="33"/>
    <m/>
    <s v="MO-"/>
    <s v="O1"/>
    <s v="Light Mobile Equipment"/>
    <s v="O1"/>
    <s v="Mobile Equipment"/>
    <s v="Light Mobile Equipment"/>
    <s v="3rd Party Equipment"/>
    <s v="Ford F550 Mechanics Truck"/>
    <m/>
    <n v="2"/>
    <s v="ea"/>
    <n v="6.666666666666667"/>
    <n v="25"/>
    <n v="666.08920634920639"/>
    <n v="250"/>
    <n v="941.08920634920639"/>
    <n v="13.333333333333334"/>
    <n v="50"/>
    <n v="1332.1784126984128"/>
    <n v="500"/>
    <n v="1882.1784126984128"/>
    <n v="4"/>
    <n v="8"/>
    <n v="1"/>
    <n v="0"/>
    <n v="0"/>
    <n v="1"/>
    <n v="1882.1784126984128"/>
    <n v="0"/>
    <n v="0"/>
    <n v="1882.1784126984128"/>
    <s v="Type A  _x000a_2AM-MRY1325"/>
    <s v="Added"/>
    <n v="2016"/>
    <s v="Direct "/>
    <m/>
    <m/>
    <n v="0.33333333333333331"/>
    <m/>
    <n v="0.33333333333333331"/>
    <m/>
    <m/>
    <m/>
    <m/>
    <n v="0.33333333333333331"/>
    <n v="0"/>
    <m/>
    <n v="627.39280423280422"/>
    <n v="0"/>
    <n v="627.39280423280422"/>
    <n v="0"/>
    <n v="0"/>
    <n v="0"/>
    <n v="0"/>
    <n v="627.39280423280422"/>
  </r>
  <r>
    <x v="1"/>
    <x v="1"/>
    <x v="3"/>
    <x v="3"/>
    <x v="3"/>
    <x v="3"/>
    <x v="40"/>
    <x v="34"/>
    <s v="251"/>
    <s v="BLD"/>
    <s v="FW"/>
    <s v="Timber Cribbing (480 ft2)"/>
    <s v="FT"/>
    <s v="Flooring / Foundations"/>
    <s v="Timber Cribbing"/>
    <m/>
    <s v="Emergency Response Office - Demolish and foundations - Timber Cribbing to Elevate Building"/>
    <s v="2513-BLD-001"/>
    <n v="89.219330855018583"/>
    <s v="m2"/>
    <n v="0.12329166666666667"/>
    <n v="1.1768750000000001"/>
    <n v="7.8390373472222228"/>
    <n v="11.768750000000001"/>
    <n v="20.784662347222223"/>
    <n v="11"/>
    <n v="105"/>
    <n v="699.39366666666672"/>
    <n v="1050"/>
    <n v="1854.3936666666668"/>
    <n v="0.3"/>
    <n v="26.765799256505574"/>
    <n v="1"/>
    <n v="0"/>
    <n v="0"/>
    <n v="1"/>
    <n v="1854.3936666666668"/>
    <n v="0"/>
    <n v="0"/>
    <n v="1854.3936666666668"/>
    <s v="Type B Construction_x000a_2BC-MRY1416"/>
    <m/>
    <n v="2014"/>
    <s v="Direct "/>
    <m/>
    <m/>
    <n v="0.33333333333333331"/>
    <n v="0.33333333333333331"/>
    <n v="0.33333333333333331"/>
    <m/>
    <m/>
    <m/>
    <m/>
    <m/>
    <n v="0"/>
    <m/>
    <n v="618.13122222222228"/>
    <n v="618.13122222222228"/>
    <n v="618.13122222222228"/>
    <n v="0"/>
    <n v="0"/>
    <n v="0"/>
    <n v="0"/>
    <n v="0"/>
  </r>
  <r>
    <x v="1"/>
    <x v="1"/>
    <x v="8"/>
    <x v="8"/>
    <x v="23"/>
    <x v="16"/>
    <x v="37"/>
    <x v="33"/>
    <m/>
    <s v="MO-"/>
    <s v="O2"/>
    <s v="Medium Mobile Equipment"/>
    <s v="O2"/>
    <s v="Mobile Equipment"/>
    <s v="Medium Mobile Equipment "/>
    <m/>
    <s v="OSHKOSH FIRE TRUCK 1998 -T13000 MILNE"/>
    <s v="EMG00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
    <s v="3rd Party Equipment"/>
    <s v="FIRE TRUCK"/>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GMC C8500 FOUNTAIN TIRE"/>
    <s v="HTP020"/>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FLOAT TRAILER 20 FT - PINTLE HOOK"/>
    <s v="LBT004"/>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48 PASSENGER BUS"/>
    <s v="BUS006"/>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24 PASSENGER BUS"/>
    <s v="BUS007"/>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D6T CATERPILLAR DOZER"/>
    <s v="DZR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PETERBILT WATER TRUCK ML  2013"/>
    <s v="HTP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WATER TRUCK"/>
    <s v="HTP002"/>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KENWORTH WATER/METHANOL TRUCK"/>
    <s v="HTP003"/>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KENWORTH T800 W/ KNUCKLE BOOM 2004"/>
    <s v="HTP008"/>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PETERBILT 367 2014"/>
    <s v="HTP012"/>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PETERBILT 379 2014"/>
    <s v="HTP023"/>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PETERBILT ROLL OFF TRUCK"/>
    <s v="HTP027"/>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JLG MAN LIFT"/>
    <s v="JLG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JLG MAN LIFT Z45/25"/>
    <s v="JLG003"/>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JLG MAN LIFT Z60/34"/>
    <s v="JLG006"/>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JLG MAN LIFT 450 AJ SERIES"/>
    <s v="JLG009"/>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ROLLER CP563E"/>
    <s v="RLR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TELEHANDLER CAT TL1255"/>
    <s v="TLH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TELEHANDLER GEHL"/>
    <s v="TLH006"/>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CAT TELEHANDLER TL1055C"/>
    <s v="TLH007"/>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m/>
    <s v="MINI-CRAWLER CRANE URW-295 (diesel)"/>
    <s v="CRN005"/>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Freightliner School Bus"/>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Kenworth Fuel Lube Truck"/>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CAT 930 Loader"/>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Generator 3412-725 KW (Seacan)"/>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Lunch Rooms"/>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Man Lift"/>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Zoom Boom"/>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Boom Truck"/>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Passenger Bus"/>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Integrated Tool Carrier, 938"/>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WRECKER TRUCK"/>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FREIGHT HAUL TRACTOR ,"/>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3"/>
    <x v="16"/>
    <x v="37"/>
    <x v="33"/>
    <m/>
    <s v="MO-"/>
    <s v="O2"/>
    <s v="Medium Mobile Equipment"/>
    <s v="O2"/>
    <s v="Mobile Equipment"/>
    <s v="Medium Mobile Equipment"/>
    <s v="3rd Party Equipment"/>
    <s v="MAINTENANCE FUEL/LUBE TRUCK ,"/>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FORD F-350 SILVER PICK-UP , VIN # 1FTWW3BROAEB22478"/>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HYDRAULIC PRESS"/>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FORD F-550 WHITE SERVICE TRUCK XLT FEC061335A"/>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FORD F-550 WHITE SERVICE TRUCK XLT FEC061336A"/>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2008 KENWORTH MECHANICAL TRUCK VIN# 2NKMHN7XX8M212914"/>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MOBILE OFFICE ON WHEELS SERIAL # 240073498"/>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FLATBED 3 AXLES 533C001"/>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FLATBED 3 AXLES 133W003"/>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FLATBED 3 AXLES UNIT 833X004"/>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8"/>
    <x v="8"/>
    <x v="26"/>
    <x v="16"/>
    <x v="37"/>
    <x v="33"/>
    <m/>
    <s v="MO-"/>
    <s v="O2"/>
    <s v="Medium Mobile Equipment"/>
    <s v="O2"/>
    <s v="Mobile Equipment"/>
    <s v="Medium Mobile Equipment"/>
    <m/>
    <s v="STEP DECK 3 AXLES UNIT 5334652"/>
    <m/>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1"/>
    <x v="1"/>
    <x v="3"/>
    <x v="3"/>
    <x v="16"/>
    <x v="13"/>
    <x v="21"/>
    <x v="18"/>
    <m/>
    <m/>
    <s v="A3l"/>
    <s v="Grade &amp; Re-Contour with Liner"/>
    <s v="A3l"/>
    <s v="Site Works"/>
    <s v="Grade and Re-Contour With Liner"/>
    <m/>
    <s v="Hazardous Waste Berm"/>
    <s v="MP-HWB-2"/>
    <n v="272"/>
    <s v="m2"/>
    <n v="4.4489880937500004E-2"/>
    <n v="0.17804999999999999"/>
    <n v="4.4489880937499997"/>
    <n v="0.71454534577546303"/>
    <n v="5.3082953457754627"/>
    <n v="12.101247615000002"/>
    <n v="48.429599999999994"/>
    <n v="1210.1247615"/>
    <n v="194.35633405092594"/>
    <n v="1443.8563340509259"/>
    <n v="0"/>
    <n v="0"/>
    <n v="1"/>
    <n v="0"/>
    <n v="0"/>
    <n v="1"/>
    <n v="1443.8563340509259"/>
    <n v="0"/>
    <n v="0"/>
    <n v="1443.8563340509259"/>
    <s v="Type A  _x000a_2AM-MRY1325"/>
    <s v="Modified"/>
    <s v="2015 R"/>
    <s v="Direct "/>
    <m/>
    <m/>
    <n v="0.33333333333333331"/>
    <n v="0.33333333333333331"/>
    <n v="0.33333333333333331"/>
    <m/>
    <m/>
    <m/>
    <m/>
    <m/>
    <n v="0"/>
    <m/>
    <n v="481.28544468364191"/>
    <n v="481.28544468364191"/>
    <n v="481.28544468364191"/>
    <n v="0"/>
    <n v="0"/>
    <n v="0"/>
    <n v="0"/>
    <n v="0"/>
  </r>
  <r>
    <x v="1"/>
    <x v="1"/>
    <x v="3"/>
    <x v="3"/>
    <x v="24"/>
    <x v="18"/>
    <x v="42"/>
    <x v="35"/>
    <m/>
    <s v="BLD"/>
    <s v="FF1"/>
    <s v="Modular Building Not Contaminated (480 ft2)"/>
    <s v="FTR1"/>
    <s v="Buildings (Not Contaminated)"/>
    <s v="Single Trailers (modular)"/>
    <m/>
    <s v="Electrical office - Demolish and Decontaminate Building - Fold-away Building (Steel)"/>
    <s v="2530-BLD-BIM-001"/>
    <n v="20"/>
    <s v="m2"/>
    <n v="0.22416666666666665"/>
    <n v="3.3624999999999998"/>
    <n v="22.397249563492064"/>
    <n v="33.625"/>
    <n v="59.384749563492065"/>
    <n v="4.4833333333333334"/>
    <n v="67.25"/>
    <n v="447.9449912698413"/>
    <n v="672.5"/>
    <n v="1187.6949912698412"/>
    <n v="1"/>
    <n v="20"/>
    <n v="1"/>
    <n v="0"/>
    <n v="0"/>
    <n v="1"/>
    <n v="1187.6949912698412"/>
    <n v="0"/>
    <n v="0"/>
    <n v="1187.6949912698412"/>
    <s v="Type A  _x000a_2AM-MRY1325"/>
    <s v="Added"/>
    <s v="2015 R"/>
    <s v="Direct "/>
    <m/>
    <m/>
    <n v="0.33333333333333331"/>
    <n v="0.33333333333333331"/>
    <n v="0.33333333333333331"/>
    <m/>
    <m/>
    <m/>
    <m/>
    <m/>
    <n v="0"/>
    <m/>
    <n v="395.89833042328041"/>
    <n v="395.89833042328041"/>
    <n v="395.89833042328041"/>
    <n v="0"/>
    <n v="0"/>
    <n v="0"/>
    <n v="0"/>
    <n v="0"/>
  </r>
  <r>
    <x v="1"/>
    <x v="1"/>
    <x v="8"/>
    <x v="8"/>
    <x v="23"/>
    <x v="16"/>
    <x v="37"/>
    <x v="33"/>
    <m/>
    <s v="MO-"/>
    <s v="O1"/>
    <s v="Light Mobile Equipment"/>
    <s v="O1"/>
    <s v="Mobile Equipment"/>
    <s v="Light Mobile Equipment"/>
    <m/>
    <s v="INGERSOLL RAND LIGHT TOWER"/>
    <s v="ALT03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JOHN DEREE LIGHT TOWER"/>
    <s v="ALT03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AMBULANCE 2014"/>
    <s v="EMG00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OUNTAIN TIRE ATLAS COPCO COMPRESSOR"/>
    <s v="FCM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ORKLIFT CATERPILLAR PD7000"/>
    <s v="FKT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ORKLIFT CATERPILLAR 2ET4000"/>
    <s v="FKT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ORKLIFT MITSUBISHI FB20PNT"/>
    <s v="FKT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ORKLIFT CATERPILLAR DP40K-D"/>
    <s v="FKT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ORKLIFT VALLEE"/>
    <s v="FKT00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LAMELESS SPARKLESS HEATER"/>
    <s v="FSH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LAMELESS SPARKLESS HEATER"/>
    <s v="FSH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HOTSY MOUNTED ON TRAILER"/>
    <s v="HTY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2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2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250 SD CREW CAB 4X4 2008"/>
    <s v="LTP03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250 SD CREW CAB 4X4 2013"/>
    <s v="LTP03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250 SD CREW CAB 4X4 2013"/>
    <s v="LTP03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08"/>
    <s v="LTP03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3"/>
    <s v="LTP03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3"/>
    <s v="LTP04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3"/>
    <s v="LTP04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4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4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5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5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5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5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5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SD CREW CAB 4X4 2014"/>
    <s v="LTP05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250 CREW CAB 4X4 - 2011"/>
    <s v="LTP06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350 CREW CAB 4X4"/>
    <s v="LTP06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250 CREW CAB 4X4 2012"/>
    <s v="LTP06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250 CREW CAB 4X4 2012"/>
    <s v="LTP06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5"/>
    <x v="6"/>
    <x v="16"/>
    <x v="3"/>
    <x v="29"/>
    <x v="3"/>
    <x v="57"/>
    <x v="3"/>
    <m/>
    <m/>
    <s v="CON"/>
    <s v="Consumables"/>
    <s v="CON"/>
    <m/>
    <s v="Consumables"/>
    <m/>
    <s v="Addition of 80 person mobile camp on Tote Road (1 of 2)"/>
    <m/>
    <n v="80"/>
    <s v="Bed Space"/>
    <n v="0"/>
    <n v="700.80090909090916"/>
    <n v="0"/>
    <n v="0"/>
    <n v="700.80090909090916"/>
    <n v="0"/>
    <n v="56064.072727272731"/>
    <n v="0"/>
    <n v="0"/>
    <n v="56064.072727272731"/>
    <n v="0"/>
    <n v="0"/>
    <n v="1"/>
    <n v="0"/>
    <n v="0"/>
    <n v="1"/>
    <n v="56064.072727272731"/>
    <n v="0"/>
    <n v="0"/>
    <n v="56064.072727272731"/>
    <s v="Type A  _x000a_2AM-MRY1325"/>
    <s v="Added"/>
    <n v="2018"/>
    <s v="Direct "/>
    <m/>
    <m/>
    <m/>
    <m/>
    <n v="1"/>
    <m/>
    <m/>
    <m/>
    <m/>
    <m/>
    <n v="0"/>
    <m/>
    <n v="0"/>
    <n v="0"/>
    <n v="56064.072727272731"/>
    <n v="0"/>
    <n v="0"/>
    <n v="0"/>
    <n v="0"/>
    <n v="0"/>
  </r>
  <r>
    <x v="1"/>
    <x v="1"/>
    <x v="8"/>
    <x v="8"/>
    <x v="23"/>
    <x v="16"/>
    <x v="37"/>
    <x v="33"/>
    <m/>
    <s v="MO-"/>
    <s v="O1"/>
    <s v="Light Mobile Equipment"/>
    <s v="O1"/>
    <s v="Mobile Equipment"/>
    <s v="Light Mobile Equipment"/>
    <m/>
    <s v="F350 CREW CAB 4X4 2008"/>
    <s v="LTP06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550 SD CREW CAB 4X4 2013   DECK TRUCK"/>
    <s v="MTP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550 SD CREW CAB 4X4 2013"/>
    <s v="MTP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F550 SERVICE TRUCK FOUNTAIN TIRE 2015"/>
    <s v="MTP01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PORTABLE WATR PUMP"/>
    <s v="PWP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PORTABLE WATR PUMP"/>
    <s v="PWP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KID STEER CATERPILLAR 247B"/>
    <s v="SKD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KID STEER CATERPILLAR 289C ALL TERRAIN"/>
    <s v="SKD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KID STEER CATERPILLAR 246 ALL TERRAIN"/>
    <s v="SKD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KID STEER CATERPILLAR 247B"/>
    <s v="SKD00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CAT SKID STEER 2622C2"/>
    <s v="SKD01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CISSOR LIFT 01"/>
    <s v="SKJ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CISSOR LIFT 02"/>
    <s v="SKJ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CISSOR LIFT 04"/>
    <s v="SKJ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CISSOR LIFT 05"/>
    <s v="SKJ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CISSOR LIFT 06"/>
    <s v="SKJ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KYJACK/MANLIFT"/>
    <s v="SKJ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KYJACK/SCISSOR LIFT"/>
    <s v="SKJ00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KYJACK/MANLIFT"/>
    <s v="SKJ00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MANLIFT - CROWN WAVE"/>
    <s v="SKJ01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TUNDRA SKI-DOO 2007"/>
    <s v="SNM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TUNDRA SKI-DOO 2008"/>
    <s v="SNM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IDE BY SIDE KUBOTA RTV900"/>
    <s v="SXS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IDE BY SIDE BOBCAT"/>
    <s v="SXS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IDE BY SIDE BOBCAT"/>
    <s v="SXS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TRAILER TANDEM UTILITY FLAT DECK"/>
    <s v="TRL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TRAILER TANDEM UTILITY FLAT DECK"/>
    <s v="TRL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TRAILER TANDEM UTILITY FLAT DECK"/>
    <s v="TRL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TRAILER TANDEM UTILITY FLAT DECK"/>
    <s v="TRL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WELDER LINCOLN 300D"/>
    <s v="WLD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WELDER LINCOLN 300D"/>
    <s v="WLD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WELDER MILLER AIR PAK"/>
    <s v="WLD00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m/>
    <s v="SNOW BLOWER VOHL DV4000"/>
    <s v="SBL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s v="3rd Party Equipment"/>
    <s v="Skid-steer"/>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s v="3rd Party Equipment"/>
    <s v="Flat Deck Truck"/>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s v="3rd Party Equipment"/>
    <s v="Mini-Crane"/>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s v="3rd Party Equipment"/>
    <s v="Marine Patrol Boat"/>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s v="3rd Party Equipment"/>
    <s v="MECHANICS TRUCK,"/>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s v="3rd Party Equipment"/>
    <s v="SKELETON TRAILER,"/>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1"/>
    <x v="1"/>
    <x v="8"/>
    <x v="8"/>
    <x v="23"/>
    <x v="16"/>
    <x v="37"/>
    <x v="33"/>
    <m/>
    <s v="MO-"/>
    <s v="O1"/>
    <s v="Light Mobile Equipment"/>
    <s v="O1"/>
    <s v="Mobile Equipment"/>
    <s v="Light Mobile Equipment"/>
    <s v="3rd Party Equipment"/>
    <s v="SKELETON TRAILER,"/>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CATERPILLAR 2620 SKID STEER LOADER C/W BUCKET (BOBCAT) S/N 6555GP113734, VIN # CAT0262DVLST00504"/>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GENSET RADIATOR"/>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GENSET RADIATOR"/>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SW-95 IRONWORKER"/>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SW-95 IRONWORKER"/>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KNEE MILL"/>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KNEE MILL"/>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BANDSAW"/>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BANDSAW"/>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1"/>
    <x v="1"/>
    <x v="8"/>
    <x v="8"/>
    <x v="26"/>
    <x v="16"/>
    <x v="37"/>
    <x v="33"/>
    <m/>
    <s v="MO-"/>
    <s v="O1"/>
    <s v="Light Mobile Equipment"/>
    <s v="O1"/>
    <s v="Mobile Equipment"/>
    <s v="Light Mobile Equipment"/>
    <m/>
    <s v="LATHE"/>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1"/>
    <x v="3"/>
    <x v="19"/>
    <x v="4"/>
    <x v="31"/>
    <x v="12"/>
    <s v="975"/>
    <s v="TK-"/>
    <s v="MT2"/>
    <s v="Medium Tanks"/>
    <s v="MT2"/>
    <s v="Mechanical Equipment"/>
    <s v="Medium Tanks"/>
    <m/>
    <s v="TANK  - WORKSHOP OFFICE WASHCAR SEWAGE COLLECTION TANK - LAGRANGE MECHANICAL SERVICES  L: 3791  W: 1829  H: 610 "/>
    <s v="4521-TK-053"/>
    <n v="1"/>
    <s v="ea"/>
    <n v="31"/>
    <n v="390"/>
    <n v="3097.3148095238098"/>
    <n v="3900"/>
    <n v="7387.3148095238103"/>
    <n v="31"/>
    <n v="390"/>
    <n v="3097.3148095238098"/>
    <n v="3900"/>
    <n v="7387.3148095238103"/>
    <n v="2"/>
    <n v="2"/>
    <n v="1"/>
    <n v="0"/>
    <n v="0"/>
    <n v="1"/>
    <n v="7387.3148095238103"/>
    <n v="0"/>
    <n v="0"/>
    <n v="7387.3148095238103"/>
    <s v="Type A  _x000a_2AM-MRY1325"/>
    <m/>
    <n v="2014"/>
    <s v="Direct "/>
    <m/>
    <m/>
    <n v="0.5"/>
    <n v="0.5"/>
    <m/>
    <m/>
    <m/>
    <m/>
    <m/>
    <m/>
    <n v="0"/>
    <m/>
    <n v="3693.6574047619051"/>
    <n v="3693.6574047619051"/>
    <n v="0"/>
    <n v="0"/>
    <n v="0"/>
    <n v="0"/>
    <n v="0"/>
    <n v="0"/>
  </r>
  <r>
    <x v="1"/>
    <x v="1"/>
    <x v="8"/>
    <x v="8"/>
    <x v="30"/>
    <x v="21"/>
    <x v="58"/>
    <x v="46"/>
    <s v="001"/>
    <s v="BLD"/>
    <s v="FF4"/>
    <s v="ISO Container"/>
    <s v="FC"/>
    <s v="Buildings (Not Contaminated)"/>
    <s v="ISO Shipping Containers"/>
    <m/>
    <s v="Communication Shed  - Demolish Building - ISO Shipping Container"/>
    <s v="2110-BLD-001"/>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B Construction_x000a_2BC-MRY1416"/>
    <m/>
    <n v="2014"/>
    <s v="Direct "/>
    <m/>
    <m/>
    <n v="0.33333333333333331"/>
    <n v="0.33333333333333331"/>
    <n v="0.33333333333333331"/>
    <m/>
    <m/>
    <m/>
    <m/>
    <m/>
    <n v="0"/>
    <m/>
    <n v="147.17410052910054"/>
    <n v="147.17410052910054"/>
    <n v="147.17410052910054"/>
    <n v="0"/>
    <n v="0"/>
    <n v="0"/>
    <n v="0"/>
    <n v="0"/>
  </r>
  <r>
    <x v="1"/>
    <x v="1"/>
    <x v="3"/>
    <x v="3"/>
    <x v="16"/>
    <x v="13"/>
    <x v="21"/>
    <x v="18"/>
    <m/>
    <m/>
    <s v="A3l"/>
    <s v="Grade &amp; Re-Contour with Liner"/>
    <s v="A3l"/>
    <s v="Site Works"/>
    <s v="Grade and Re-Contour With Liner"/>
    <m/>
    <s v="Hazardous Waste Berm"/>
    <s v="MP-HWB-6"/>
    <n v="34"/>
    <s v="m2"/>
    <n v="4.4489880937500004E-2"/>
    <n v="0.17804999999999999"/>
    <n v="4.4489880937499997"/>
    <n v="0.71454534577546303"/>
    <n v="5.3082953457754627"/>
    <n v="1.5126559518750002"/>
    <n v="6.0536999999999992"/>
    <n v="151.2655951875"/>
    <n v="24.294541756365742"/>
    <n v="180.48204175636573"/>
    <n v="0"/>
    <n v="0"/>
    <n v="1"/>
    <n v="0"/>
    <n v="0"/>
    <n v="1"/>
    <n v="180.48204175636573"/>
    <n v="0"/>
    <n v="0"/>
    <n v="180.48204175636573"/>
    <s v="Type A  _x000a_2AM-MRY1325"/>
    <s v="Added"/>
    <s v="2015 R"/>
    <s v="Direct "/>
    <m/>
    <m/>
    <n v="0.33333333333333331"/>
    <n v="0.33333333333333331"/>
    <n v="0.33333333333333331"/>
    <m/>
    <m/>
    <m/>
    <m/>
    <m/>
    <n v="0"/>
    <m/>
    <n v="60.160680585455239"/>
    <n v="60.160680585455239"/>
    <n v="60.160680585455239"/>
    <n v="0"/>
    <n v="0"/>
    <n v="0"/>
    <n v="0"/>
    <n v="0"/>
  </r>
  <r>
    <x v="1"/>
    <x v="1"/>
    <x v="5"/>
    <x v="5"/>
    <x v="10"/>
    <x v="9"/>
    <x v="11"/>
    <x v="10"/>
    <s v="495"/>
    <s v="BLD"/>
    <s v="FF1"/>
    <s v="Modular Building Not Contaminated (480 ft2)"/>
    <s v="FS"/>
    <s v="Buildings (Not Contaminated)"/>
    <s v="Prefabricated Special Modular"/>
    <m/>
    <s v="Fuel Tank Farm E-House - Demolish and Decontaminate Building - Special Modular / Prefabricated"/>
    <s v="2750-BLD-005"/>
    <n v="2.3234200743494426"/>
    <s v="m2"/>
    <n v="0.22416666666666665"/>
    <n v="3.3624999999999998"/>
    <n v="22.397249563492064"/>
    <n v="33.625"/>
    <n v="59.384749563492065"/>
    <n v="0.52083333333333337"/>
    <n v="7.8125000000000009"/>
    <n v="52.038219246031751"/>
    <n v="78.125000000000014"/>
    <n v="137.97571924603176"/>
    <n v="1"/>
    <n v="2.3234200743494426"/>
    <n v="1"/>
    <n v="0"/>
    <n v="0"/>
    <n v="1"/>
    <n v="137.97571924603176"/>
    <n v="0"/>
    <n v="0"/>
    <n v="137.97571924603176"/>
    <s v="Type B Construction_x000a_2BC-MRY1416"/>
    <m/>
    <n v="2014"/>
    <s v="Direct "/>
    <m/>
    <m/>
    <n v="0.5"/>
    <n v="0.5"/>
    <m/>
    <m/>
    <m/>
    <m/>
    <m/>
    <m/>
    <n v="0"/>
    <m/>
    <n v="68.987859623015879"/>
    <n v="68.987859623015879"/>
    <n v="0"/>
    <n v="0"/>
    <n v="0"/>
    <n v="0"/>
    <n v="0"/>
    <n v="0"/>
  </r>
  <r>
    <x v="1"/>
    <x v="1"/>
    <x v="8"/>
    <x v="8"/>
    <x v="31"/>
    <x v="21"/>
    <x v="58"/>
    <x v="46"/>
    <m/>
    <s v="BLD"/>
    <m/>
    <m/>
    <m/>
    <m/>
    <m/>
    <m/>
    <s v="Satellite Dish Sea Can - Demolish and Decontaminate Building - Undefined"/>
    <s v="2110-BLD-002"/>
    <n v="0"/>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8"/>
    <x v="8"/>
    <x v="31"/>
    <x v="21"/>
    <x v="58"/>
    <x v="46"/>
    <m/>
    <s v="BLD"/>
    <m/>
    <m/>
    <m/>
    <m/>
    <m/>
    <m/>
    <s v="Satellite Dish Sea Can - Demolish and foundations - Undefined"/>
    <s v="2110-BLD-002"/>
    <n v="0"/>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8"/>
    <x v="8"/>
    <x v="31"/>
    <x v="21"/>
    <x v="58"/>
    <x v="46"/>
    <m/>
    <s v="BLD"/>
    <m/>
    <m/>
    <m/>
    <m/>
    <m/>
    <m/>
    <s v="Satellite Dish Sea Can - Demolish floor finish - Undefined"/>
    <s v="2110-BLD-002"/>
    <n v="0"/>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17"/>
    <x v="10"/>
    <x v="32"/>
    <x v="22"/>
    <x v="59"/>
    <x v="47"/>
    <s v="099"/>
    <s v="BLD"/>
    <s v="FF1"/>
    <s v="Modular Building Not Contaminated (480 ft2)"/>
    <s v="FTR1"/>
    <s v="Buildings (Not Contaminated)"/>
    <s v="Single Trailers (modular)"/>
    <m/>
    <s v="Dock Office - Demolish and Decontaminate Building - Trailer - Single"/>
    <s v="2223-BLD-001"/>
    <n v="0"/>
    <s v="m2"/>
    <n v="0.22416666666666665"/>
    <n v="3.3624999999999998"/>
    <n v="22.397249563492064"/>
    <n v="33.625"/>
    <n v="59.384749563492065"/>
    <n v="0"/>
    <n v="0"/>
    <n v="0"/>
    <n v="0"/>
    <n v="0"/>
    <n v="1"/>
    <n v="0"/>
    <n v="0"/>
    <n v="1"/>
    <n v="0"/>
    <n v="1"/>
    <n v="0"/>
    <n v="0"/>
    <n v="0"/>
    <n v="0"/>
    <s v="Type B Construction_x000a_2BC-MRY1416"/>
    <s v="Removed"/>
    <n v="2014"/>
    <s v="Direct "/>
    <m/>
    <m/>
    <n v="0.33333333333333331"/>
    <n v="0.33333333333333331"/>
    <n v="0.33333333333333331"/>
    <m/>
    <m/>
    <m/>
    <m/>
    <m/>
    <n v="0"/>
    <m/>
    <n v="0"/>
    <n v="0"/>
    <n v="0"/>
    <n v="0"/>
    <n v="0"/>
    <n v="0"/>
    <n v="0"/>
    <n v="0"/>
  </r>
  <r>
    <x v="1"/>
    <x v="1"/>
    <x v="17"/>
    <x v="10"/>
    <x v="32"/>
    <x v="22"/>
    <x v="59"/>
    <x v="47"/>
    <s v="100"/>
    <s v="BLD"/>
    <s v="EG"/>
    <s v="Gravel Base Removal"/>
    <s v="EG"/>
    <s v="Flooring / Foundations"/>
    <s v="Gravel Base"/>
    <m/>
    <s v="Dock Office - Demolish and foundations - Gravel Base - Skidded Building"/>
    <s v="2223-BLD-001"/>
    <n v="0"/>
    <s v="m2"/>
    <n v="0"/>
    <n v="0"/>
    <n v="0"/>
    <n v="0"/>
    <n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17"/>
    <x v="10"/>
    <x v="32"/>
    <x v="22"/>
    <x v="59"/>
    <x v="47"/>
    <s v="101"/>
    <s v="BLD"/>
    <m/>
    <e v="#N/A"/>
    <s v="FW"/>
    <s v="Flooring / Foundations"/>
    <s v="Wood Floor"/>
    <m/>
    <s v="Dock Office - Demolish floor finish - Raised Steel or Wooden Floor"/>
    <s v="2223-BLD-001"/>
    <n v="0"/>
    <s v="m2"/>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4"/>
    <x v="2"/>
    <x v="4"/>
    <x v="4"/>
    <m/>
    <s v=""/>
    <s v="A3"/>
    <s v="Grade &amp; Re-Contour"/>
    <s v="A2"/>
    <s v="Site Works"/>
    <s v="Grade and Re-Contour"/>
    <s v="Grade and Contour"/>
    <s v="Additional sealift laydown area"/>
    <m/>
    <n v="0"/>
    <s v="m2"/>
    <n v="1.2689880937499998E-2"/>
    <n v="0.14624999999999999"/>
    <n v="1.2689880937499998"/>
    <n v="0.39654534577546297"/>
    <n v="1.8102953457754629"/>
    <n v="0"/>
    <n v="0"/>
    <n v="0"/>
    <n v="0"/>
    <n v="0"/>
    <n v="0"/>
    <n v="0"/>
    <n v="1"/>
    <n v="0"/>
    <n v="0"/>
    <n v="1"/>
    <n v="0"/>
    <n v="0"/>
    <n v="0"/>
    <n v="0"/>
    <s v="Type B Construction_x000a_2BC-MRY1416"/>
    <s v="Removed"/>
    <s v="2015 A"/>
    <s v="Direct "/>
    <m/>
    <m/>
    <n v="0.33333333333333331"/>
    <n v="0.33333333333333331"/>
    <n v="0.33333333333333331"/>
    <m/>
    <m/>
    <m/>
    <m/>
    <m/>
    <n v="0"/>
    <m/>
    <n v="0"/>
    <n v="0"/>
    <n v="0"/>
    <n v="0"/>
    <n v="0"/>
    <n v="0"/>
    <n v="0"/>
    <n v="0"/>
  </r>
  <r>
    <x v="1"/>
    <x v="1"/>
    <x v="2"/>
    <x v="2"/>
    <x v="2"/>
    <x v="2"/>
    <x v="60"/>
    <x v="2"/>
    <m/>
    <s v="BLD"/>
    <m/>
    <m/>
    <m/>
    <m/>
    <m/>
    <m/>
    <s v="Shiploading E-House - Demolish and Decontaminate Building - Special Modular / Prefabricated"/>
    <s v="2342-BLD-001"/>
    <n v="0"/>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2"/>
    <x v="2"/>
    <x v="60"/>
    <x v="2"/>
    <m/>
    <s v="BLD"/>
    <s v="EG"/>
    <s v="Gravel Base Removal"/>
    <s v="EG"/>
    <s v="Flooring / Foundations"/>
    <s v="Gravel Base"/>
    <m/>
    <s v="Shiploading E-House - Demolish and foundations - Gravel Base - Skidded Building"/>
    <s v="2342-BLD-001"/>
    <n v="0"/>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2"/>
    <x v="2"/>
    <x v="60"/>
    <x v="2"/>
    <m/>
    <s v="BLD"/>
    <m/>
    <e v="#N/A"/>
    <s v="FW"/>
    <s v="Flooring / Foundations"/>
    <s v="Wood Floor"/>
    <m/>
    <s v="Shiploading E-House - Demolish floor finish - Raised Steel or Wooden Floor"/>
    <s v="2342-BLD-001"/>
    <n v="0"/>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1"/>
    <x v="48"/>
    <m/>
    <s v="SL-"/>
    <s v="VP6"/>
    <s v="VENDOR PKG - Ship Loader"/>
    <s v="VP6"/>
    <s v="Packaged_x000a_Facilities"/>
    <s v="Ship Loader"/>
    <m/>
    <s v="Shiploader Package"/>
    <s v="2351-SL-001"/>
    <n v="0"/>
    <s v="Lot"/>
    <n v="14448"/>
    <n v="216720"/>
    <n v="1443548.5280000002"/>
    <n v="2167200"/>
    <n v="3827468.5279999999"/>
    <n v="0"/>
    <n v="0"/>
    <n v="0"/>
    <n v="0"/>
    <n v="0"/>
    <n v="30295"/>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1"/>
    <x v="48"/>
    <m/>
    <s v="SL-"/>
    <m/>
    <m/>
    <m/>
    <m/>
    <m/>
    <m/>
    <s v="Shiploader E-House #1 - Demolish and Decontaminate Building - Undefined"/>
    <s v="2351-SL-001"/>
    <n v="0"/>
    <s v="m2"/>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1"/>
    <x v="48"/>
    <m/>
    <s v="SL-"/>
    <m/>
    <m/>
    <m/>
    <m/>
    <m/>
    <m/>
    <s v="Shiploader E-House #1 - Demolish and foundations - Undefined"/>
    <s v="2351-SL-001"/>
    <n v="0"/>
    <s v="m2"/>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1"/>
    <x v="48"/>
    <m/>
    <s v="SL-"/>
    <m/>
    <m/>
    <m/>
    <m/>
    <m/>
    <m/>
    <s v="Shiploader E-House #1 - Demolish floor finish - Undefined"/>
    <s v="2351-SL-001"/>
    <n v="0"/>
    <s v="m2"/>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1"/>
    <x v="48"/>
    <m/>
    <s v="SL-"/>
    <m/>
    <m/>
    <m/>
    <m/>
    <m/>
    <m/>
    <s v="Shiploader E-House #2 - Demolish and Decontaminate Building - Undefined"/>
    <s v="2351-SL-002"/>
    <n v="0"/>
    <s v="m2"/>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1"/>
    <x v="48"/>
    <m/>
    <s v="SL-"/>
    <m/>
    <m/>
    <m/>
    <m/>
    <m/>
    <m/>
    <s v="Shiploader E-House #2 - Demolish and foundations - Undefined"/>
    <s v="2351-SL-002"/>
    <n v="0"/>
    <s v="m2"/>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1"/>
    <x v="48"/>
    <m/>
    <s v="SL-"/>
    <m/>
    <m/>
    <m/>
    <m/>
    <m/>
    <m/>
    <s v="Shiploader E-House #2 - Demolish floor finish - Undefined"/>
    <s v="2351-SL-002"/>
    <n v="0"/>
    <s v="m2"/>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52"/>
    <s v="CH-"/>
    <m/>
    <s v="Ship Loader"/>
    <s v="Ship Loader"/>
    <s v="Mechanical Equipment"/>
    <s v="Ship Loader"/>
    <m/>
    <s v="CHUTE / DIVERTER  - SHIPLOADER PROPORTIONAL GATE - FAM  "/>
    <s v="2351-CH-003"/>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53"/>
    <s v="CH-"/>
    <m/>
    <s v="Ship Loader"/>
    <s v="Ship Loader"/>
    <s v="Mechanical Equipment"/>
    <s v="Ship Loader"/>
    <m/>
    <s v="CHUTE / DIVERTER  - SHIPLOADING PROPORTIONAL DIVERTER DISCHARGE CHUTE - FAM  "/>
    <s v="2351-CH-004"/>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54"/>
    <s v="CH-"/>
    <m/>
    <s v="Ship Loader"/>
    <s v="Ship Loader"/>
    <s v="Mechanical Equipment"/>
    <s v="Ship Loader"/>
    <m/>
    <s v="CHUTE / DIVERTER  - SHIPLOADING PROPORTIONAL DIVERTER DISCHARGE CHUTE - FAM  "/>
    <s v="2351-CH-005"/>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55"/>
    <s v="CH-"/>
    <m/>
    <s v="Ship Loader"/>
    <s v="Ship Loader"/>
    <s v="Mechanical Equipment"/>
    <s v="Ship Loader"/>
    <m/>
    <s v="CHUTE / DIVERTER  - SHIPLOADER DISCHARGE CHUTE - FAM  "/>
    <s v="2351-CH-006"/>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56"/>
    <s v="CH-"/>
    <m/>
    <s v="Ship Loader"/>
    <s v="Ship Loader"/>
    <s v="Mechanical Equipment"/>
    <s v="Ship Loader"/>
    <m/>
    <s v="CHUTE / DIVERTER  - SHIPLOADER LINK CONVEYOR DISCHARGE CHUTE - FAM  "/>
    <s v="2351-CH-008"/>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57"/>
    <s v="CH-"/>
    <m/>
    <s v="Ship Loader"/>
    <s v="Ship Loader"/>
    <s v="Mechanical Equipment"/>
    <s v="Ship Loader"/>
    <m/>
    <s v="CHUTE / DIVERTER  - SHIPLOADER DISCHARGE CHUTE - FAM  "/>
    <s v="2351-CH-009"/>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58"/>
    <s v="CV-"/>
    <m/>
    <s v="Ship Loader"/>
    <s v="Ship Loader"/>
    <s v="Mechanical Equipment"/>
    <s v="Ship Loader"/>
    <m/>
    <s v="CONVEYING  - SHIPLOADER LINK CONVEYOR - FAM  212330 kg"/>
    <s v="2351-CV-007"/>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59"/>
    <s v="MT-"/>
    <m/>
    <s v="Ship Loader"/>
    <s v="Ship Loader"/>
    <m/>
    <s v="Ship Loader"/>
    <m/>
    <s v="   SHIPLOADER LINK CONVEYOR DRIVE  "/>
    <s v="2351-MT-007A"/>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60"/>
    <s v="MT-"/>
    <m/>
    <s v="Ship Loader"/>
    <s v="Ship Loader"/>
    <m/>
    <s v="Ship Loader"/>
    <m/>
    <s v="   SHIPLOADER LINK CONVEYOR BRAKE  "/>
    <s v="2351-MT-007B"/>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61"/>
    <s v="MT-"/>
    <m/>
    <s v="Ship Loader"/>
    <s v="Ship Loader"/>
    <m/>
    <s v="Ship Loader"/>
    <m/>
    <s v="   SHIPLOADER LINK CONVEYOR DIVIDER CHUTE MOVING SADDLE  "/>
    <s v="2351-MT-007C"/>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62"/>
    <s v="MT-"/>
    <m/>
    <s v="Ship Loader"/>
    <s v="Ship Loader"/>
    <m/>
    <s v="Ship Loader"/>
    <m/>
    <s v="   SHIPLOADER LINK CONVEYOR DEDUSTING SYSTEM FAN  "/>
    <s v="2351-MT-007D"/>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63"/>
    <s v="MT-"/>
    <m/>
    <s v="Ship Loader"/>
    <s v="Ship Loader"/>
    <m/>
    <s v="Ship Loader"/>
    <m/>
    <s v="   SHIPLOADER LINK CONVEYOR DEDUSTING SYSTEM COMPRESSOR  "/>
    <s v="2351-MT-007E"/>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64"/>
    <s v="MT-"/>
    <m/>
    <s v="Ship Loader"/>
    <s v="Ship Loader"/>
    <m/>
    <s v="Ship Loader"/>
    <m/>
    <s v="   SHIPLOADER LINK CONVEYOR MAINTENANCE WINCH  "/>
    <s v="2351-MT-007F"/>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65"/>
    <s v="MT-"/>
    <m/>
    <s v="Ship Loader"/>
    <s v="Ship Loader"/>
    <m/>
    <s v="Ship Loader"/>
    <m/>
    <s v="   SHIPLOADER LINK CONVEYOR MAINTENANCE WINCH  "/>
    <s v="2351-MT-007G"/>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66"/>
    <s v="SL-"/>
    <m/>
    <s v="Ship Loader"/>
    <s v="Ship Loader"/>
    <m/>
    <s v="Ship Loader"/>
    <m/>
    <s v="SHIPLOADER  - SHIPLOADER  - FAM  1960000 kg"/>
    <s v="2351-SL-001"/>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67"/>
    <s v="MT-"/>
    <m/>
    <s v="Ship Loader"/>
    <s v="Ship Loader"/>
    <m/>
    <s v="Ship Loader"/>
    <m/>
    <s v="   SHIPLOADER BOOM CONVEYOR DRIVE  "/>
    <s v="2351-MT-001A"/>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0"/>
    <s v="MT-"/>
    <m/>
    <s v="Ship Loader"/>
    <s v="Ship Loader"/>
    <m/>
    <s v="Ship Loader"/>
    <m/>
    <s v="   SHIPLOADER BOOM CONVEYOR BRAKE  "/>
    <s v="2351-MT-001B"/>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1"/>
    <s v="MT-"/>
    <m/>
    <s v="Ship Loader"/>
    <s v="Ship Loader"/>
    <m/>
    <s v="Ship Loader"/>
    <m/>
    <s v="   SHIPLOADER HOISTING WINCH DRIVE TELESCOPIC CHUTE  "/>
    <s v="2351-MT-001C"/>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2"/>
    <s v="MT-"/>
    <m/>
    <s v="Ship Loader"/>
    <s v="Ship Loader"/>
    <m/>
    <s v="Ship Loader"/>
    <m/>
    <s v="   SHIPLOADER SLEWING DRIVE  "/>
    <s v="2351-MT-001D"/>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3"/>
    <s v="MT-"/>
    <m/>
    <s v="Ship Loader"/>
    <s v="Ship Loader"/>
    <m/>
    <s v="Ship Loader"/>
    <m/>
    <s v="   SHIPLOADER SLEWING DRIVE  "/>
    <s v="2351-MT-001E"/>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4"/>
    <s v="MT-"/>
    <m/>
    <s v="Ship Loader"/>
    <s v="Ship Loader"/>
    <m/>
    <s v="Ship Loader"/>
    <m/>
    <s v="   SHIPLOADER SLEWING DRIVE BRAKE  "/>
    <s v="2351-MT-001F"/>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5"/>
    <s v="MT-"/>
    <m/>
    <s v="Ship Loader"/>
    <s v="Ship Loader"/>
    <m/>
    <s v="Ship Loader"/>
    <m/>
    <s v="   SHIPLOADER SLEWING DRIVE BRAKE  "/>
    <s v="2351-MT-001G"/>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6"/>
    <s v="MT-"/>
    <m/>
    <s v="Ship Loader"/>
    <s v="Ship Loader"/>
    <m/>
    <s v="Ship Loader"/>
    <m/>
    <s v="   SHIPLOADER SLEWING DRIVE TRIMMING SPOON  "/>
    <s v="2351-MT-001H"/>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7"/>
    <s v="MT-"/>
    <m/>
    <s v="Ship Loader"/>
    <s v="Ship Loader"/>
    <m/>
    <s v="Ship Loader"/>
    <m/>
    <s v="   SHIPLOADER LUFFING DRIVE TRIMMING SPOON  "/>
    <s v="2351-MT-001J"/>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8"/>
    <s v="MT-"/>
    <m/>
    <s v="Ship Loader"/>
    <s v="Ship Loader"/>
    <m/>
    <s v="Ship Loader"/>
    <m/>
    <s v="   SHIPLOADER SHUTTLE DRIVE DISCHARGE CONVEYOR  "/>
    <s v="2351-MT-001K"/>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79"/>
    <s v="MT-"/>
    <m/>
    <s v="Ship Loader"/>
    <s v="Ship Loader"/>
    <m/>
    <s v="Ship Loader"/>
    <m/>
    <s v="   SHIPLOADER SHUTTLE DRIVE FAN  "/>
    <s v="2351-MT-001L"/>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80"/>
    <s v="MT-"/>
    <m/>
    <s v="Ship Loader"/>
    <s v="Ship Loader"/>
    <m/>
    <s v="Ship Loader"/>
    <m/>
    <s v="   SHIPLOADER CENTRAL LUBE SYSTEM  "/>
    <s v="2351-MT-001M"/>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81"/>
    <s v="MT-"/>
    <m/>
    <s v="Ship Loader"/>
    <s v="Ship Loader"/>
    <m/>
    <s v="Ship Loader"/>
    <m/>
    <s v="   SHIPLOADER PINION LUBE SYSTEM  "/>
    <s v="2351-MT-001N"/>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82"/>
    <s v="MT-"/>
    <m/>
    <s v="Ship Loader"/>
    <s v="Ship Loader"/>
    <m/>
    <s v="Ship Loader"/>
    <m/>
    <s v="   SHIPLOADER DEDUSTING SYSTEM FAN  "/>
    <s v="2351-MT-001P"/>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83"/>
    <s v="MT-"/>
    <m/>
    <s v="Ship Loader"/>
    <s v="Ship Loader"/>
    <m/>
    <s v="Ship Loader"/>
    <m/>
    <s v="   SHIPLOADER DEDUSTING SYSTEM COMPRESSOR  "/>
    <s v="2351-MT-001Q"/>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84"/>
    <s v="MT-"/>
    <m/>
    <s v="Ship Loader"/>
    <s v="Ship Loader"/>
    <m/>
    <s v="Ship Loader"/>
    <m/>
    <s v="   SHIPLOADER DEDUSTING SYSTEM FAN  "/>
    <s v="2351-MT-001R"/>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85"/>
    <s v="MT-"/>
    <m/>
    <s v="Ship Loader"/>
    <s v="Ship Loader"/>
    <m/>
    <s v="Ship Loader"/>
    <m/>
    <s v="   SHIPLOADER DEDUSTING SYSTEM COMPRESSOR  "/>
    <s v="2351-MT-001S"/>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86"/>
    <s v="MT-"/>
    <m/>
    <s v="Ship Loader"/>
    <s v="Ship Loader"/>
    <m/>
    <s v="Ship Loader"/>
    <m/>
    <s v="   SHIPLOADER MAINTENANCE WINCH  "/>
    <s v="2351-MT-001T"/>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87"/>
    <s v="MT-"/>
    <m/>
    <s v="Ship Loader"/>
    <s v="Ship Loader"/>
    <m/>
    <s v="Ship Loader"/>
    <m/>
    <s v="   SHIPLOADER MAINTENANCE WINCH  "/>
    <s v="2351-MT-001U"/>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93"/>
    <s v="SL-"/>
    <m/>
    <s v="Ship Loader"/>
    <s v="Ship Loader"/>
    <m/>
    <s v="Ship Loader"/>
    <m/>
    <s v="SHIPLOADER  - SHIPLOADER  - FAM  "/>
    <s v="2351-SL-002"/>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94"/>
    <s v="MT-"/>
    <m/>
    <s v="Ship Loader"/>
    <s v="Ship Loader"/>
    <m/>
    <s v="Ship Loader"/>
    <m/>
    <s v="   SHIPLOADER BOOM CONVEYOR DRIVE  "/>
    <s v="2351-MT-002A"/>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97"/>
    <s v="MT-"/>
    <m/>
    <s v="Ship Loader"/>
    <s v="Ship Loader"/>
    <m/>
    <s v="Ship Loader"/>
    <m/>
    <s v="   SHIPLOADER BOOM CONVEYOR BRAKE  "/>
    <s v="2351-MT-002B"/>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98"/>
    <s v="MT-"/>
    <m/>
    <s v="Ship Loader"/>
    <s v="Ship Loader"/>
    <m/>
    <s v="Ship Loader"/>
    <m/>
    <s v="   SHIPLOADER HOISTING WINCH DRIVE TELESCOPIC CHUTE  "/>
    <s v="2351-MT-002C"/>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199"/>
    <s v="MT-"/>
    <m/>
    <s v="Ship Loader"/>
    <s v="Ship Loader"/>
    <m/>
    <s v="Ship Loader"/>
    <m/>
    <s v="   SHIPLOADER SLEWING DRIVE  "/>
    <s v="2351-MT-002D"/>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0"/>
    <s v="MT-"/>
    <m/>
    <s v="Ship Loader"/>
    <s v="Ship Loader"/>
    <m/>
    <s v="Ship Loader"/>
    <m/>
    <s v="   SHIPLOADER SLEWING DRIVE  "/>
    <s v="2351-MT-002E"/>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1"/>
    <s v="MT-"/>
    <m/>
    <s v="Ship Loader"/>
    <s v="Ship Loader"/>
    <m/>
    <s v="Ship Loader"/>
    <m/>
    <s v="   SHIPLOADER SLEWING DRIVE BRAKE  "/>
    <s v="2351-MT-002F"/>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2"/>
    <s v="MT-"/>
    <m/>
    <s v="Ship Loader"/>
    <s v="Ship Loader"/>
    <m/>
    <s v="Ship Loader"/>
    <m/>
    <s v="   SHIPLOADER SLEWING DRIVE BRAKE  "/>
    <s v="2351-MT-002G"/>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3"/>
    <s v="MT-"/>
    <m/>
    <s v="Ship Loader"/>
    <s v="Ship Loader"/>
    <m/>
    <s v="Ship Loader"/>
    <m/>
    <s v="   SHIPLOADER SLEWING DRIVE TRIMMING SPOON  "/>
    <s v="2351-MT-002H"/>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4"/>
    <s v="MT-"/>
    <m/>
    <s v="Ship Loader"/>
    <s v="Ship Loader"/>
    <m/>
    <s v="Ship Loader"/>
    <m/>
    <s v="   SHIPLOADER LUFFING DRIVE TRIMMING SPOON  "/>
    <s v="2351-MT-002J"/>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5"/>
    <s v="MT-"/>
    <m/>
    <s v="Ship Loader"/>
    <s v="Ship Loader"/>
    <m/>
    <s v="Ship Loader"/>
    <m/>
    <s v="   SHIPLOADER SHUTTLE DRIVE DISCHARGE CONVEYOR  "/>
    <s v="2351-MT-002K"/>
    <n v="0"/>
    <s v="ea"/>
    <s v="0"/>
    <s v="0"/>
    <s v="0"/>
    <s v="0"/>
    <s v="0"/>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6"/>
    <s v="MT-"/>
    <m/>
    <s v="Ship Loader"/>
    <s v="Ship Loader"/>
    <m/>
    <s v="Ship Loader"/>
    <m/>
    <s v="   SHIPLOADER SHUTTLE DRIVE BRAKE  "/>
    <s v="2351-MT-002L"/>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7"/>
    <s v="MT-"/>
    <m/>
    <s v="Ship Loader"/>
    <s v="Ship Loader"/>
    <m/>
    <s v="Ship Loader"/>
    <m/>
    <s v="   SHIPLOADER CENTRAL LUBE SYSTEM  "/>
    <s v="2351-MT-002M"/>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8"/>
    <s v="MT-"/>
    <m/>
    <s v="Ship Loader"/>
    <s v="Ship Loader"/>
    <m/>
    <s v="Ship Loader"/>
    <m/>
    <s v="   SHIPLOADER PINION LUBE SYSTEM  "/>
    <s v="2351-MT-002N"/>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09"/>
    <s v="MT-"/>
    <m/>
    <s v="Ship Loader"/>
    <s v="Ship Loader"/>
    <m/>
    <s v="Ship Loader"/>
    <m/>
    <s v="   SHIPLOADER DEDUSTING SYSTEM FAN  "/>
    <s v="2351-MT-002P"/>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10"/>
    <s v="MT-"/>
    <m/>
    <s v="Ship Loader"/>
    <s v="Ship Loader"/>
    <m/>
    <s v="Ship Loader"/>
    <m/>
    <s v="   SHIPLOADER DEDUSTING SYSTEM COMPRESSOR  "/>
    <s v="2351-MT-002Q"/>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11"/>
    <s v="MT-"/>
    <m/>
    <s v="Ship Loader"/>
    <s v="Ship Loader"/>
    <m/>
    <s v="Ship Loader"/>
    <m/>
    <s v="   SHIPLOADER DEDUSTING SYSTEM FAN  "/>
    <s v="2351-MT-002R"/>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12"/>
    <s v="MT-"/>
    <m/>
    <s v="Ship Loader"/>
    <s v="Ship Loader"/>
    <m/>
    <s v="Ship Loader"/>
    <m/>
    <s v="   SHIPLOADER DEDUSTING SYSTEM COMPRESSOR  "/>
    <s v="2351-MT-002S"/>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13"/>
    <s v="MT-"/>
    <m/>
    <s v="Ship Loader"/>
    <s v="Ship Loader"/>
    <m/>
    <s v="Ship Loader"/>
    <m/>
    <s v="   SHIPLOADER MAINTENANCE WINCH  "/>
    <s v="2351-MT-002T"/>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33"/>
    <x v="23"/>
    <x v="62"/>
    <x v="48"/>
    <s v="214"/>
    <s v="MT-"/>
    <m/>
    <s v="Ship Loader"/>
    <s v="Ship Loader"/>
    <m/>
    <s v="Ship Loader"/>
    <m/>
    <s v="   SHIPLOADER MAINTENANCE WINCH  "/>
    <s v="2351-MT-002U"/>
    <n v="0"/>
    <s v="ea"/>
    <s v="0"/>
    <s v="0"/>
    <s v="0"/>
    <s v="0"/>
    <s v="0"/>
    <n v="0"/>
    <n v="0"/>
    <n v="0"/>
    <n v="0"/>
    <n v="0"/>
    <n v="0"/>
    <n v="0"/>
    <n v="0"/>
    <n v="1"/>
    <n v="0"/>
    <n v="1"/>
    <n v="0"/>
    <n v="0"/>
    <n v="0"/>
    <n v="0"/>
    <s v="Type B Construction_x000a_2BC-MRY1416"/>
    <s v="Removed"/>
    <n v="2014"/>
    <s v="Direct "/>
    <m/>
    <m/>
    <n v="0.33333333333333331"/>
    <n v="0.33333333333333331"/>
    <n v="0.33333333333333331"/>
    <m/>
    <m/>
    <m/>
    <m/>
    <m/>
    <n v="0"/>
    <m/>
    <n v="0"/>
    <n v="0"/>
    <n v="0"/>
    <n v="0"/>
    <n v="0"/>
    <n v="0"/>
    <n v="0"/>
    <n v="0"/>
  </r>
  <r>
    <x v="1"/>
    <x v="1"/>
    <x v="2"/>
    <x v="2"/>
    <x v="2"/>
    <x v="2"/>
    <x v="4"/>
    <x v="4"/>
    <s v="107"/>
    <s v="GE-"/>
    <s v="MM3"/>
    <s v="Heavy Equipment"/>
    <s v="MM3"/>
    <s v="Mechanical Equipment"/>
    <s v="Heavy Equipment"/>
    <s v="Power plant generators"/>
    <s v="GENERATOR  - STOCKPILE GENERATOR - CUMMINS C500DR6G  _x000a_L: 6070, W: 2440, H: 3760, 29440 kg"/>
    <s v="2340-GE-001"/>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08"/>
    <s v="GE-"/>
    <s v="MM3"/>
    <s v="Heavy Equipment"/>
    <s v="MM3"/>
    <s v="Mechanical Equipment"/>
    <s v="Heavy Equipment"/>
    <s v="Power plant generators"/>
    <s v="GENERATOR  - STOCKPILE GENERATOR - CUMMINS C500DR6G  _x000a_L: 6070, W: 2440, H: 3760, 29440 kg"/>
    <s v="2340-GE-002"/>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09"/>
    <s v="GE-"/>
    <s v="MM3"/>
    <s v="Heavy Equipment"/>
    <s v="MM3"/>
    <s v="Mechanical Equipment"/>
    <s v="Heavy Equipment"/>
    <s v="Power plant generators"/>
    <s v="GENERATOR  - STOCKPILE GENERATOR - CUMMINS C500DR6G  _x000a_L: 6070, W: 2440, H: 3760, 29440 kg"/>
    <s v="2340-GE-003"/>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10"/>
    <s v="GE-"/>
    <s v="MM3"/>
    <s v="Heavy Equipment"/>
    <s v="MM3"/>
    <s v="Mechanical Equipment"/>
    <s v="Heavy Equipment"/>
    <s v="Power plant generators"/>
    <s v="GENERATOR  - STOCKPILE GENERATOR - CUMMINS C500DR6G  _x000a_L: 6070, W: 2440, H: 3760, 29440 kg"/>
    <s v="2340-GE-004"/>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11"/>
    <s v="GE-"/>
    <s v="MM3"/>
    <s v="Heavy Equipment"/>
    <s v="MM3"/>
    <s v="Mechanical Equipment"/>
    <s v="Heavy Equipment"/>
    <s v="Power plant generators"/>
    <s v="GENERATOR  - STOCKPILE GENERATOR - CUMMINS C500DR6G  _x000a_L: 6070, W: 2440, H: 3760, 29440 kg"/>
    <s v="2340-GE-005"/>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12"/>
    <s v="GE-"/>
    <s v="MM3"/>
    <s v="Heavy Equipment"/>
    <s v="MM3"/>
    <s v="Mechanical Equipment"/>
    <s v="Heavy Equipment"/>
    <s v="Power plant generators"/>
    <s v="GENERATOR  - STOCKPILE GENERATOR - CUMMINS C500DR6G  _x000a_L: 6070, W: 2440, H: 3760, 29440 kg"/>
    <s v="2340-GE-006"/>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5"/>
    <x v="6"/>
    <x v="16"/>
    <x v="3"/>
    <x v="29"/>
    <x v="3"/>
    <x v="57"/>
    <x v="3"/>
    <m/>
    <m/>
    <s v="CON"/>
    <s v="Consumables"/>
    <s v="CON"/>
    <m/>
    <s v="Consumables"/>
    <m/>
    <s v="Addition of 80 person mobile camp on Tote Road (2 of 2)"/>
    <m/>
    <n v="80"/>
    <s v="Bed Space"/>
    <n v="0"/>
    <n v="700.80090909090916"/>
    <n v="0"/>
    <n v="0"/>
    <n v="700.80090909090916"/>
    <n v="0"/>
    <n v="56064.072727272731"/>
    <n v="0"/>
    <n v="0"/>
    <n v="56064.072727272731"/>
    <n v="0"/>
    <n v="0"/>
    <n v="1"/>
    <n v="0"/>
    <n v="0"/>
    <n v="1"/>
    <n v="56064.072727272731"/>
    <n v="0"/>
    <n v="0"/>
    <n v="56064.072727272731"/>
    <s v="Type A  _x000a_2AM-MRY1325"/>
    <s v="Added"/>
    <n v="2018"/>
    <s v="Direct "/>
    <m/>
    <m/>
    <m/>
    <m/>
    <n v="1"/>
    <m/>
    <m/>
    <m/>
    <m/>
    <m/>
    <n v="0"/>
    <m/>
    <n v="0"/>
    <n v="0"/>
    <n v="56064.072727272731"/>
    <n v="0"/>
    <n v="0"/>
    <n v="0"/>
    <n v="0"/>
    <n v="0"/>
  </r>
  <r>
    <x v="5"/>
    <x v="5"/>
    <x v="10"/>
    <x v="8"/>
    <x v="18"/>
    <x v="10"/>
    <x v="24"/>
    <x v="21"/>
    <m/>
    <s v=""/>
    <s v="A3"/>
    <s v="Grade &amp; Re-Contour"/>
    <s v="A2"/>
    <s v="Site Works"/>
    <s v="Grade and Re-Contour"/>
    <s v="Grade and Contour"/>
    <s v="Q1 Quarry (additional marginal increase in 2018)"/>
    <m/>
    <n v="30000"/>
    <s v="m2"/>
    <n v="1.2689880937499998E-2"/>
    <n v="0.14624999999999999"/>
    <n v="1.2689880937499998"/>
    <n v="0.39654534577546297"/>
    <n v="1.8102953457754629"/>
    <n v="380.69642812499995"/>
    <n v="4387.5"/>
    <n v="38069.642812499995"/>
    <n v="11896.360373263889"/>
    <n v="54353.503185763882"/>
    <n v="0"/>
    <n v="0"/>
    <n v="1"/>
    <n v="0"/>
    <n v="0"/>
    <n v="1"/>
    <n v="54353.503185763882"/>
    <n v="0"/>
    <n v="0"/>
    <n v="54353.503185763882"/>
    <s v="Type A  _x000a_2AM-MRY1325"/>
    <s v="Added "/>
    <n v="2018"/>
    <s v="Direct "/>
    <m/>
    <m/>
    <n v="0.5"/>
    <n v="0.5"/>
    <m/>
    <m/>
    <m/>
    <m/>
    <m/>
    <m/>
    <n v="0"/>
    <m/>
    <n v="27176.751592881941"/>
    <n v="27176.751592881941"/>
    <n v="0"/>
    <n v="0"/>
    <n v="0"/>
    <n v="0"/>
    <n v="0"/>
    <n v="0"/>
  </r>
  <r>
    <x v="1"/>
    <x v="1"/>
    <x v="2"/>
    <x v="2"/>
    <x v="2"/>
    <x v="2"/>
    <x v="4"/>
    <x v="4"/>
    <s v="114"/>
    <s v="FE-"/>
    <s v="MM3"/>
    <s v="Heavy Equipment"/>
    <s v="MM3"/>
    <s v="Mechanical Equipment"/>
    <s v="Heavy Equipment"/>
    <s v="Mining Equipment"/>
    <s v="FEEDER  - FINES STOCKPILE MOBILE FEEDER - MASABA MINING EQUIPMENT  "/>
    <s v="2341-FE-003"/>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15"/>
    <s v="FE-"/>
    <s v="MM3"/>
    <s v="Heavy Equipment"/>
    <s v="MM3"/>
    <s v="Mechanical Equipment"/>
    <s v="Heavy Equipment"/>
    <s v="Mining Equipment"/>
    <s v="FEEDER  - LUMPS STOCKPILE MOBILE FEEDER - MASABA MINING EQUIPMENT  "/>
    <s v="2341-FE-004"/>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16"/>
    <s v="FE-"/>
    <s v="MM3"/>
    <s v="Heavy Equipment"/>
    <s v="MM3"/>
    <s v="Mechanical Equipment"/>
    <s v="Heavy Equipment"/>
    <s v="Mining Equipment"/>
    <s v="FEEDER  - LUMPS STOCKPILE MOBILE FEEDER - MASABA MINING EQUIPMENT  "/>
    <s v="2341-FE-005"/>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17"/>
    <s v="ST-"/>
    <s v="MM3"/>
    <s v="Heavy Equipment"/>
    <s v="MM3"/>
    <s v="Mechanical Equipment"/>
    <s v="Heavy Equipment"/>
    <s v="Mining Equipment"/>
    <s v="STACKER / STOCKPILE  - LUMPS STOCKPILE MOBILE STACKER - MASABA MINING EQUIPMENT  "/>
    <s v="2341-ST-006"/>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18"/>
    <s v="ST-"/>
    <s v="MM3"/>
    <s v="Heavy Equipment"/>
    <s v="MM3"/>
    <s v="Mechanical Equipment"/>
    <s v="Heavy Equipment"/>
    <s v="Mining Equipment"/>
    <s v="STACKER / STOCKPILE  - LUMPS STOCKPILE MOBILE STACKER - MASABA MINING EQUIPMENT  "/>
    <s v="2341-ST-007"/>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4"/>
    <x v="4"/>
    <s v="119"/>
    <s v="ST-"/>
    <s v="MM3"/>
    <s v="Heavy Equipment"/>
    <s v="MM3"/>
    <s v="Mechanical Equipment"/>
    <s v="Heavy Equipment"/>
    <s v="Mining Equipment"/>
    <s v="STACKER / STOCKPILE  - FINES STOCKPILE MOBILE STACKER - MASABA MINING EQUIPMENT  "/>
    <s v="2341-ST-008"/>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63"/>
    <x v="4"/>
    <m/>
    <s v="FE-"/>
    <s v="MM3"/>
    <s v="Heavy Equipment"/>
    <s v="MM3"/>
    <s v="Mechanical Equipment"/>
    <s v="Heavy Equipment"/>
    <s v="Mining Equipment"/>
    <s v="FEEDER  - STOCKPILE MOBILE FEEDER - MASABA MINING EQUIPMENT  "/>
    <m/>
    <n v="0"/>
    <s v="ea"/>
    <n v="168"/>
    <n v="2220"/>
    <n v="16785.448"/>
    <n v="22200"/>
    <n v="41205.448000000004"/>
    <n v="0"/>
    <n v="0"/>
    <n v="0"/>
    <n v="0"/>
    <n v="0"/>
    <n v="56"/>
    <n v="0"/>
    <n v="1"/>
    <n v="0"/>
    <n v="0"/>
    <n v="1"/>
    <n v="0"/>
    <n v="0"/>
    <n v="0"/>
    <n v="0"/>
    <s v="Type A  _x000a_2AM-MRY1325"/>
    <s v="Removed"/>
    <s v="2015 A"/>
    <s v="Direct "/>
    <m/>
    <m/>
    <n v="0.33333333333333331"/>
    <m/>
    <n v="0.33333333333333331"/>
    <m/>
    <m/>
    <m/>
    <m/>
    <n v="0.33333333333333331"/>
    <n v="0"/>
    <m/>
    <n v="0"/>
    <n v="0"/>
    <n v="0"/>
    <n v="0"/>
    <n v="0"/>
    <n v="0"/>
    <n v="0"/>
    <n v="0"/>
  </r>
  <r>
    <x v="1"/>
    <x v="1"/>
    <x v="2"/>
    <x v="2"/>
    <x v="2"/>
    <x v="2"/>
    <x v="63"/>
    <x v="4"/>
    <m/>
    <s v="ST-"/>
    <s v="MM3"/>
    <s v="Heavy Equipment"/>
    <s v="MM3"/>
    <s v="Mechanical Equipment"/>
    <s v="Heavy Equipment"/>
    <s v="Mining Equipment"/>
    <s v="STACKER / STOCKPILE  - STOCKPILE MOBILE STACKER  - MASABA MINING EQUIPMENT  "/>
    <m/>
    <n v="0"/>
    <s v="ea"/>
    <n v="168"/>
    <n v="2220"/>
    <n v="16785.448"/>
    <n v="22200"/>
    <n v="41205.448000000004"/>
    <n v="0"/>
    <n v="0"/>
    <n v="0"/>
    <n v="0"/>
    <n v="0"/>
    <n v="56"/>
    <n v="0"/>
    <n v="1"/>
    <n v="0"/>
    <n v="0"/>
    <n v="1"/>
    <n v="0"/>
    <n v="0"/>
    <n v="0"/>
    <n v="0"/>
    <s v="Type A  _x000a_2AM-MRY1325"/>
    <s v="Removed"/>
    <s v="2015 A"/>
    <s v="Direct "/>
    <m/>
    <m/>
    <n v="0.33333333333333331"/>
    <m/>
    <n v="0.33333333333333331"/>
    <m/>
    <m/>
    <m/>
    <m/>
    <n v="0.33333333333333331"/>
    <n v="0"/>
    <m/>
    <n v="0"/>
    <n v="0"/>
    <n v="0"/>
    <n v="0"/>
    <n v="0"/>
    <n v="0"/>
    <n v="0"/>
    <n v="0"/>
  </r>
  <r>
    <x v="1"/>
    <x v="1"/>
    <x v="2"/>
    <x v="2"/>
    <x v="2"/>
    <x v="2"/>
    <x v="2"/>
    <x v="2"/>
    <s v="124"/>
    <s v="CH-"/>
    <s v="MM2"/>
    <s v="Medium Equipment"/>
    <s v="MM2"/>
    <s v="Mechanical Equipment"/>
    <s v="Medium Equipment"/>
    <m/>
    <s v="CHUTE / DIVERTER  - RECLAIM CONVEYOR DISCHARGE CHUTE - FAM  "/>
    <s v="2342-CH-015"/>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25"/>
    <s v="CH-"/>
    <s v="MM2"/>
    <s v="Medium Equipment"/>
    <s v="MM2"/>
    <s v="Mechanical Equipment"/>
    <s v="Medium Equipment"/>
    <m/>
    <s v="CHUTE / DIVERTER  - RECLAIM CONVEYOR MOBILE CHUTE - FAM  "/>
    <s v="2342-CH-026"/>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26"/>
    <s v="CH-"/>
    <s v="MM2"/>
    <s v="Medium Equipment"/>
    <s v="MM2"/>
    <s v="Mechanical Equipment"/>
    <s v="Medium Equipment"/>
    <m/>
    <s v="CHUTE / DIVERTER  - RECLAIM CONVEYOR MOBILE CHUTE - FAM  "/>
    <s v="2342-CH-027"/>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27"/>
    <s v="CH-"/>
    <s v="MM2"/>
    <s v="Medium Equipment"/>
    <s v="MM2"/>
    <s v="Mechanical Equipment"/>
    <s v="Medium Equipment"/>
    <m/>
    <s v="CHUTE / DIVERTER  - RECLAIM CONVEYOR MOBILE CHUTE - FAM  "/>
    <s v="2342-CH-028"/>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28"/>
    <s v="CH-"/>
    <s v="MM2"/>
    <s v="Medium Equipment"/>
    <s v="MM2"/>
    <s v="Mechanical Equipment"/>
    <s v="Medium Equipment"/>
    <m/>
    <s v="CHUTE / DIVERTER  - RECLAIM CONVEYOR MOBILE CHUTE - FAM  "/>
    <s v="2342-CH-029"/>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37"/>
    <s v="FE-"/>
    <s v="MM3"/>
    <s v="Heavy Equipment"/>
    <s v="MM3"/>
    <s v="Mechanical Equipment"/>
    <s v="Heavy Equipment"/>
    <s v="Mining Equipment"/>
    <s v="FEEDER  - MOBILE FEEDER - MASABA MINING EQUIPMENT  "/>
    <s v="2342-FE-002"/>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38"/>
    <s v="FE-"/>
    <s v="MM3"/>
    <s v="Heavy Equipment"/>
    <s v="MM3"/>
    <s v="Mechanical Equipment"/>
    <s v="Heavy Equipment"/>
    <s v="Mining Equipment"/>
    <s v="FEEDER  - MOBILE FEEDER - MASABA MINING EQUIPMENT  "/>
    <s v="2342-FE-003"/>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39"/>
    <s v="FE-"/>
    <s v="MM3"/>
    <s v="Heavy Equipment"/>
    <s v="MM3"/>
    <s v="Mechanical Equipment"/>
    <s v="Heavy Equipment"/>
    <s v="Mining Equipment"/>
    <s v="FEEDER  - MOBILE FEEDER - MASABA MINING EQUIPMENT  "/>
    <s v="2342-FE-004"/>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40"/>
    <s v="HP-"/>
    <s v="MM1"/>
    <s v="Light Equimpent"/>
    <s v="MM1"/>
    <s v="Mechanical Equipment"/>
    <s v="Light Equipment"/>
    <s v="sampler bin"/>
    <s v="HOPPER  - SAMPLER BIN  - FAM  "/>
    <s v="2342-HP-022"/>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41"/>
    <s v="SA-"/>
    <s v="MM2"/>
    <s v="Medium Equipment"/>
    <s v="MM2"/>
    <s v="Mechanical Equipment"/>
    <s v="Medium Equipment"/>
    <m/>
    <s v="SAMPLER  - ORE SAMPLER - FAM  _x000a_L: N/A, W: N/A, H: N/A "/>
    <s v="2342-SA-019"/>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7"/>
    <x v="2"/>
    <m/>
    <s v="FE-"/>
    <s v="MM3"/>
    <s v="Heavy Equipment"/>
    <s v="MM3"/>
    <s v="Mechanical Equipment"/>
    <s v="Heavy Equipment"/>
    <s v="Mining Equipment"/>
    <s v="FEEDER  - RECLAIM MOBILE FEEDER - MASABA MINING EQUIPMENT  "/>
    <m/>
    <n v="0"/>
    <s v="ea"/>
    <n v="168"/>
    <n v="2220"/>
    <n v="16785.448"/>
    <n v="22200"/>
    <n v="41205.448000000004"/>
    <n v="0"/>
    <n v="0"/>
    <n v="0"/>
    <n v="0"/>
    <n v="0"/>
    <n v="56"/>
    <n v="0"/>
    <n v="1"/>
    <n v="0"/>
    <n v="0"/>
    <n v="1"/>
    <n v="0"/>
    <n v="0"/>
    <n v="0"/>
    <n v="0"/>
    <s v="Type A  _x000a_2AM-MRY1325"/>
    <s v="Removed"/>
    <s v="2015 A"/>
    <s v="Direct "/>
    <m/>
    <m/>
    <n v="0.33333333333333331"/>
    <m/>
    <n v="0.33333333333333331"/>
    <m/>
    <m/>
    <m/>
    <m/>
    <n v="0.33333333333333331"/>
    <n v="0"/>
    <m/>
    <n v="0"/>
    <n v="0"/>
    <n v="0"/>
    <n v="0"/>
    <n v="0"/>
    <n v="0"/>
    <n v="0"/>
    <n v="0"/>
  </r>
  <r>
    <x v="1"/>
    <x v="1"/>
    <x v="3"/>
    <x v="3"/>
    <x v="3"/>
    <x v="3"/>
    <x v="64"/>
    <x v="15"/>
    <s v="001"/>
    <s v="BLD"/>
    <s v="FF1"/>
    <s v="Modular Building Not Contaminated (480 ft2)"/>
    <s v="FS"/>
    <s v="Buildings (Not Contaminated)"/>
    <s v="Prefabricated Special Modular"/>
    <m/>
    <s v="Accommodation Service Core Extension - Demolish and Decontaminate Building - Special Modular / Prefabricated"/>
    <s v="2511-BLD-001"/>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1"/>
    <s v="BLD"/>
    <s v="EG"/>
    <s v="Gravel Base Removal"/>
    <s v="EG"/>
    <s v="Flooring / Foundations"/>
    <s v="Gravel Base"/>
    <m/>
    <s v="Accommodation Service Core Extension - Demolish and foundations - Gravel Base - Skidded Building"/>
    <s v="2511-BLD-001"/>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1"/>
    <s v="BLD"/>
    <m/>
    <e v="#N/A"/>
    <s v="FW"/>
    <s v="Flooring / Foundations"/>
    <s v="Wood Floor"/>
    <m/>
    <s v="Accommodation Service Core Extension - Demolish floor finish - Raised Steel or Wooden Floor"/>
    <s v="2511-BLD-001"/>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4"/>
    <s v="BLD"/>
    <s v="FF1"/>
    <s v="Modular Building Not Contaminated (480 ft2)"/>
    <s v="FS"/>
    <s v="Buildings (Not Contaminated)"/>
    <s v="Prefabricated Special Modular"/>
    <m/>
    <s v="Accommodation Change Rooms - Demolish and Decontaminate Building - Special Modular / Prefabricated"/>
    <s v="2511-BLD-004"/>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4"/>
    <s v="BLD"/>
    <s v="EG"/>
    <s v="Gravel Base Removal"/>
    <s v="EG"/>
    <s v="Flooring / Foundations"/>
    <s v="Gravel Base"/>
    <m/>
    <s v="Accommodation Change Rooms - Demolish and foundations - Gravel Base - Skidded Building"/>
    <s v="2511-BLD-004"/>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4"/>
    <s v="BLD"/>
    <m/>
    <e v="#N/A"/>
    <s v="FW"/>
    <s v="Flooring / Foundations"/>
    <s v="Wood Floor"/>
    <m/>
    <s v="Accommodation Change Rooms - Demolish floor finish - Raised Steel or Wooden Floor"/>
    <s v="2511-BLD-004"/>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5"/>
    <s v="BLD"/>
    <s v="FF1"/>
    <s v="Modular Building Not Contaminated (480 ft2)"/>
    <s v="FS"/>
    <s v="Buildings (Not Contaminated)"/>
    <s v="Prefabricated Special Modular"/>
    <m/>
    <s v="Accommodation Exercise Facility - Demolish and Decontaminate Building - Special Modular / Prefabricated"/>
    <s v="2511-BLD-005"/>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5"/>
    <s v="BLD"/>
    <s v="EG"/>
    <s v="Gravel Base Removal"/>
    <s v="EG"/>
    <s v="Flooring / Foundations"/>
    <s v="Gravel Base"/>
    <m/>
    <s v="Accommodation Exercise Facility - Demolish and foundations - Gravel Base - Skidded Building"/>
    <s v="2511-BLD-005"/>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5"/>
    <s v="BLD"/>
    <m/>
    <e v="#N/A"/>
    <s v="FW"/>
    <s v="Flooring / Foundations"/>
    <s v="Wood Floor"/>
    <m/>
    <s v="Accommodation Exercise Facility - Demolish floor finish - Raised Steel or Wooden Floor"/>
    <s v="2511-BLD-005"/>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6"/>
    <s v="BLD"/>
    <s v="FF1"/>
    <s v="Modular Building Not Contaminated (480 ft2)"/>
    <s v="FS"/>
    <s v="Buildings (Not Contaminated)"/>
    <s v="Prefabricated Special Modular"/>
    <m/>
    <s v="Accommodation Arctic Corridor Extension - Demolish and Decontaminate Building - Special Modular / Prefabricated"/>
    <s v="2511-BLD-006"/>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6"/>
    <s v="BLD"/>
    <s v="EG"/>
    <s v="Gravel Base Removal"/>
    <s v="EG"/>
    <s v="Flooring / Foundations"/>
    <s v="Gravel Base"/>
    <m/>
    <s v="Accommodation Arctic Corridor Extension - Demolish and foundations - Gravel Base - Skidded Building"/>
    <s v="2511-BLD-006"/>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4"/>
    <x v="15"/>
    <s v="006"/>
    <s v="BLD"/>
    <m/>
    <e v="#N/A"/>
    <s v="FW"/>
    <s v="Flooring / Foundations"/>
    <s v="Wood Floor"/>
    <m/>
    <s v="Accommodation Arctic Corridor Extension - Demolish floor finish - Raised Steel or Wooden Floor"/>
    <s v="2511-BLD-006"/>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5"/>
    <s v="BLD"/>
    <s v="FF1"/>
    <s v="Modular Building Not Contaminated (480 ft2)"/>
    <s v="FS"/>
    <s v="Buildings (Not Contaminated)"/>
    <s v="Prefabricated Special Modular"/>
    <m/>
    <s v="Accommodation Wing BE - Demolish and Decontaminate Building - Special Modular / Prefabricated"/>
    <s v="2512-BLD-005"/>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5"/>
    <s v="BLD"/>
    <s v="EG"/>
    <s v="Gravel Base Removal"/>
    <s v="EG"/>
    <s v="Flooring / Foundations"/>
    <s v="Gravel Base"/>
    <m/>
    <s v="Accommodation Wing BE - Demolish and foundations - Gravel Base - Skidded Building"/>
    <s v="2512-BLD-005"/>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5"/>
    <s v="BLD"/>
    <m/>
    <e v="#N/A"/>
    <s v="FW"/>
    <s v="Flooring / Foundations"/>
    <s v="Wood Floor"/>
    <m/>
    <s v="Accommodation Wing BE - Demolish floor finish - Raised Steel or Wooden Floor"/>
    <s v="2512-BLD-005"/>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6"/>
    <s v="BLD"/>
    <s v="FF1"/>
    <s v="Modular Building Not Contaminated (480 ft2)"/>
    <s v="FS"/>
    <s v="Buildings (Not Contaminated)"/>
    <s v="Prefabricated Special Modular"/>
    <m/>
    <s v="Accommodation Wing BF - Demolish and Decontaminate Building - Special Modular / Prefabricated"/>
    <s v="2512-BLD-006"/>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6"/>
    <s v="BLD"/>
    <s v="EG"/>
    <s v="Gravel Base Removal"/>
    <s v="EG"/>
    <s v="Flooring / Foundations"/>
    <s v="Gravel Base"/>
    <m/>
    <s v="Accommodation Wing BF - Demolish and foundations - Gravel Base - Skidded Building"/>
    <s v="2512-BLD-006"/>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6"/>
    <s v="BLD"/>
    <m/>
    <e v="#N/A"/>
    <s v="FW"/>
    <s v="Flooring / Foundations"/>
    <s v="Wood Floor"/>
    <m/>
    <s v="Accommodation Wing BF - Demolish floor finish - Raised Steel or Wooden Floor"/>
    <s v="2512-BLD-006"/>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7"/>
    <s v="BLD"/>
    <s v="FF1"/>
    <s v="Modular Building Not Contaminated (480 ft2)"/>
    <s v="FS"/>
    <s v="Buildings (Not Contaminated)"/>
    <s v="Prefabricated Special Modular"/>
    <m/>
    <s v="Accommodation Wing BG - Demolish and Decontaminate Building - Special Modular / Prefabricated"/>
    <s v="2512-BLD-007"/>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7"/>
    <s v="BLD"/>
    <s v="EG"/>
    <s v="Gravel Base Removal"/>
    <s v="EG"/>
    <s v="Flooring / Foundations"/>
    <s v="Gravel Base"/>
    <m/>
    <s v="Accommodation Wing BG - Demolish and Decontaminate Building - Special Modular / Prefabricated"/>
    <s v="2512-BLD-007"/>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7"/>
    <s v="BLD"/>
    <m/>
    <e v="#N/A"/>
    <s v="FW"/>
    <s v="Flooring / Foundations"/>
    <s v="Wood Floor"/>
    <m/>
    <s v="Accommodation Wing BG - Demolish and Decontaminate Building - Special Modular / Prefabricated"/>
    <s v="2512-BLD-007"/>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8"/>
    <s v="BLD"/>
    <s v="FF1"/>
    <s v="Modular Building Not Contaminated (480 ft2)"/>
    <s v="FS"/>
    <s v="Buildings (Not Contaminated)"/>
    <s v="Prefabricated Special Modular"/>
    <m/>
    <s v="Accommodation Wing BH - Demolish and Decontaminate Building - Special Modular / Prefabricated"/>
    <s v="2512-BLD-008"/>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8"/>
    <s v="BLD"/>
    <s v="EG"/>
    <s v="Gravel Base Removal"/>
    <s v="EG"/>
    <s v="Flooring / Foundations"/>
    <s v="Gravel Base"/>
    <m/>
    <s v="Accommodation Wing BH - Demolish and Decontaminate Building - Special Modular / Prefabricated"/>
    <s v="2512-BLD-008"/>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
    <x v="3"/>
    <s v="008"/>
    <s v="BLD"/>
    <m/>
    <e v="#N/A"/>
    <s v="FW"/>
    <s v="Flooring / Foundations"/>
    <s v="Wood Floor"/>
    <m/>
    <s v="Accommodation Wing BH - Demolish and Decontaminate Building - Special Modular / Prefabricated"/>
    <s v="2512-BLD-008"/>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5"/>
    <x v="4"/>
    <x v="44"/>
    <x v="12"/>
    <s v="005"/>
    <s v="BLD"/>
    <s v="FF2-c"/>
    <s v="Fold Away Building Contaminated (480 ft2)"/>
    <s v="FFL-c"/>
    <s v="Buildings (Contaminated)"/>
    <s v="Fold Away Building"/>
    <m/>
    <s v="Maintenance Building #2 - Demolish and Decontaminate Building - Fold-away Building (Steel)"/>
    <s v="2521-BLD-005"/>
    <n v="0"/>
    <s v="m2"/>
    <n v="0.56041666666666667"/>
    <n v="2.3537499999999998"/>
    <n v="55.993123908730162"/>
    <n v="84.0625"/>
    <n v="142.40937390873017"/>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5"/>
    <x v="4"/>
    <x v="44"/>
    <x v="12"/>
    <s v="005"/>
    <s v="BLD"/>
    <s v="CP"/>
    <s v="Precast Concrete Foundations - (480 ft2)"/>
    <s v="CP"/>
    <s v="Flooring / Foundations"/>
    <s v="Precast Foundations"/>
    <m/>
    <s v="Maintenance Building #2 - Demolish and foundations - Precast Footing (Perimeter Beam)"/>
    <s v="2521-BLD-005"/>
    <n v="0"/>
    <s v="m2"/>
    <n v="0.14520631503408685"/>
    <n v="2.1780947255113023"/>
    <n v="14.50805387069216"/>
    <n v="21.780947255113027"/>
    <n v="38.467095851316493"/>
    <n v="0"/>
    <n v="0"/>
    <n v="0"/>
    <n v="0"/>
    <n v="0"/>
    <n v="0.75"/>
    <n v="0"/>
    <n v="1"/>
    <n v="0"/>
    <n v="0"/>
    <n v="1"/>
    <n v="0"/>
    <n v="0"/>
    <n v="0"/>
    <n v="0"/>
    <s v="Type A  _x000a_2AM-MRY1325"/>
    <s v="Removed"/>
    <s v="2015 A"/>
    <s v="Direct "/>
    <m/>
    <m/>
    <n v="0.33333333333333331"/>
    <n v="0.33333333333333331"/>
    <n v="0.33333333333333331"/>
    <m/>
    <m/>
    <m/>
    <m/>
    <m/>
    <n v="0"/>
    <m/>
    <n v="0"/>
    <n v="0"/>
    <n v="0"/>
    <n v="0"/>
    <n v="0"/>
    <n v="0"/>
    <n v="0"/>
    <n v="0"/>
  </r>
  <r>
    <x v="1"/>
    <x v="1"/>
    <x v="3"/>
    <x v="3"/>
    <x v="5"/>
    <x v="4"/>
    <x v="44"/>
    <x v="12"/>
    <s v="005"/>
    <s v="BLD"/>
    <s v="CS"/>
    <s v="Slab on Grade - ASSUME 300mm thick"/>
    <s v="CS"/>
    <s v="Flooring / Foundations"/>
    <s v="Slab on Grade"/>
    <m/>
    <s v="Maintenance Building #2 - Demolish floor finish - Slab on grade C/W Drainage"/>
    <s v="2521-BLD-005"/>
    <n v="0"/>
    <s v="m2"/>
    <n v="0.125"/>
    <n v="1.875"/>
    <n v="12.48917261904762"/>
    <n v="18.75"/>
    <n v="33.114172619047622"/>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5"/>
    <x v="4"/>
    <x v="44"/>
    <x v="12"/>
    <s v="006"/>
    <s v="BLD"/>
    <s v="FF2-c"/>
    <s v="Fold Away Building Contaminated (480 ft2)"/>
    <s v="FFL-c"/>
    <s v="Buildings (Contaminated)"/>
    <s v="Fold Away Building"/>
    <m/>
    <s v="Welding Shop Building #2 - Demolish and Decontaminate Building - Fold-away Building (Steel)"/>
    <s v="2521-BLD-006"/>
    <n v="0"/>
    <s v="m2"/>
    <n v="0.56041666666666667"/>
    <n v="2.3537499999999998"/>
    <n v="55.993123908730162"/>
    <n v="84.0625"/>
    <n v="142.40937390873017"/>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5"/>
    <x v="4"/>
    <x v="44"/>
    <x v="12"/>
    <s v="006"/>
    <s v="BLD"/>
    <s v="CP"/>
    <s v="Precast Concrete Foundations - (480 ft2)"/>
    <s v="CP"/>
    <s v="Flooring / Foundations"/>
    <s v="Precast Foundations"/>
    <m/>
    <s v="Welding Shop Building #2- Demolish and foundations - Precast Footing (Perimeter Beam)"/>
    <s v="2521-BLD-006"/>
    <n v="0"/>
    <s v="m2"/>
    <n v="0.14520631503408685"/>
    <n v="2.1780947255113023"/>
    <n v="14.50805387069216"/>
    <n v="21.780947255113027"/>
    <n v="38.467095851316493"/>
    <n v="0"/>
    <n v="0"/>
    <n v="0"/>
    <n v="0"/>
    <n v="0"/>
    <n v="0.75"/>
    <n v="0"/>
    <n v="1"/>
    <n v="0"/>
    <n v="0"/>
    <n v="1"/>
    <n v="0"/>
    <n v="0"/>
    <n v="0"/>
    <n v="0"/>
    <s v="Type A  _x000a_2AM-MRY1325"/>
    <s v="Removed"/>
    <s v="2015 A"/>
    <s v="Direct "/>
    <m/>
    <m/>
    <n v="0.33333333333333331"/>
    <n v="0.33333333333333331"/>
    <n v="0.33333333333333331"/>
    <m/>
    <m/>
    <m/>
    <m/>
    <m/>
    <n v="0"/>
    <m/>
    <n v="0"/>
    <n v="0"/>
    <n v="0"/>
    <n v="0"/>
    <n v="0"/>
    <n v="0"/>
    <n v="0"/>
    <n v="0"/>
  </r>
  <r>
    <x v="1"/>
    <x v="1"/>
    <x v="3"/>
    <x v="3"/>
    <x v="5"/>
    <x v="4"/>
    <x v="44"/>
    <x v="12"/>
    <s v="006"/>
    <s v="BLD"/>
    <s v="CS"/>
    <s v="Slab on Grade - ASSUME 300mm thick"/>
    <s v="CS"/>
    <s v="Flooring / Foundations"/>
    <s v="Slab on Grade"/>
    <m/>
    <s v="Welding Shop Building #2- Demolish floor finish - Slab on grade"/>
    <s v="2521-BLD-006"/>
    <n v="0"/>
    <s v="m2"/>
    <n v="0.125"/>
    <n v="1.875"/>
    <n v="12.48917261904762"/>
    <n v="18.75"/>
    <n v="33.114172619047622"/>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5"/>
    <x v="4"/>
    <x v="20"/>
    <x v="17"/>
    <s v="301"/>
    <s v="SQ-"/>
    <s v="MISC"/>
    <s v="Miscellanous Items (Minor)"/>
    <s v="MISC"/>
    <s v="Mechanical Equipment"/>
    <s v="Miscellaneous Items (Minor)"/>
    <m/>
    <s v="SHOP / MAINTENANCE EQUIPMENT  - MAGNETIC BASE DRILL  - AG - MTL4210-1  33 kg"/>
    <s v="2522-SQ-004"/>
    <n v="0"/>
    <s v="ea"/>
    <n v="2"/>
    <n v="30"/>
    <n v="199.82676190476192"/>
    <n v="300"/>
    <n v="529.82676190476195"/>
    <n v="0"/>
    <n v="0"/>
    <n v="0"/>
    <n v="0"/>
    <n v="0"/>
    <n v="0.5"/>
    <n v="0"/>
    <n v="1"/>
    <n v="0"/>
    <n v="0"/>
    <n v="1"/>
    <n v="0"/>
    <n v="0"/>
    <n v="0"/>
    <n v="0"/>
    <s v="Type B Construction_x000a_2BC-MRY1416"/>
    <s v="Removed"/>
    <n v="2014"/>
    <s v="Direct "/>
    <m/>
    <m/>
    <n v="0.33333333333333331"/>
    <n v="0.33333333333333331"/>
    <n v="0.33333333333333331"/>
    <m/>
    <m/>
    <m/>
    <m/>
    <m/>
    <n v="0"/>
    <m/>
    <n v="0"/>
    <n v="0"/>
    <n v="0"/>
    <n v="0"/>
    <n v="0"/>
    <n v="0"/>
    <n v="0"/>
    <n v="0"/>
  </r>
  <r>
    <x v="1"/>
    <x v="1"/>
    <x v="3"/>
    <x v="3"/>
    <x v="5"/>
    <x v="4"/>
    <x v="20"/>
    <x v="17"/>
    <s v="306"/>
    <s v="SQ-"/>
    <s v="MISC"/>
    <s v="Miscellanous Items (Minor)"/>
    <s v="MISC"/>
    <s v="Mechanical Equipment"/>
    <s v="Miscellaneous Items (Minor)"/>
    <m/>
    <s v="SHOP / MAINTENANCE EQUIPMENT  - PORTABLE WELDING FUME EXTRACTOR - AG - NED12634345  73 kg"/>
    <s v="2522-SQ-011"/>
    <n v="0"/>
    <s v="ea"/>
    <n v="2"/>
    <n v="30"/>
    <n v="199.82676190476192"/>
    <n v="300"/>
    <n v="529.82676190476195"/>
    <n v="0"/>
    <n v="0"/>
    <n v="0"/>
    <n v="0"/>
    <n v="0"/>
    <n v="0.5"/>
    <n v="0"/>
    <n v="1"/>
    <n v="0"/>
    <n v="0"/>
    <n v="1"/>
    <n v="0"/>
    <n v="0"/>
    <n v="0"/>
    <n v="0"/>
    <s v="Type B Construction_x000a_2BC-MRY1416"/>
    <s v="Removed"/>
    <n v="2014"/>
    <s v="Direct "/>
    <m/>
    <m/>
    <n v="0.33333333333333331"/>
    <n v="0.33333333333333331"/>
    <n v="0.33333333333333331"/>
    <m/>
    <m/>
    <m/>
    <m/>
    <m/>
    <n v="0"/>
    <m/>
    <n v="0"/>
    <n v="0"/>
    <n v="0"/>
    <n v="0"/>
    <n v="0"/>
    <n v="0"/>
    <n v="0"/>
    <n v="0"/>
  </r>
  <r>
    <x v="1"/>
    <x v="1"/>
    <x v="3"/>
    <x v="3"/>
    <x v="5"/>
    <x v="4"/>
    <x v="20"/>
    <x v="17"/>
    <s v="313"/>
    <s v="SQ-"/>
    <s v="MISC"/>
    <s v="Miscellanous Items (Minor)"/>
    <s v="MISC"/>
    <s v="Mechanical Equipment"/>
    <s v="Miscellaneous Items (Minor)"/>
    <m/>
    <s v="SHOP / MAINTENANCE EQUIPMENT  - PARTS WASHER  - AG - GRYPL422A  _x000a_L: 1070, W: 560, H: 406, 84 kg"/>
    <s v="2522-SQ-026"/>
    <n v="0"/>
    <s v="ea"/>
    <n v="2"/>
    <n v="30"/>
    <n v="199.82676190476192"/>
    <n v="300"/>
    <n v="529.82676190476195"/>
    <n v="0"/>
    <n v="0"/>
    <n v="0"/>
    <n v="0"/>
    <n v="0"/>
    <n v="0.5"/>
    <n v="0"/>
    <n v="1"/>
    <n v="0"/>
    <n v="0"/>
    <n v="1"/>
    <n v="0"/>
    <n v="0"/>
    <n v="0"/>
    <n v="0"/>
    <s v="Type B Construction_x000a_2BC-MRY1416"/>
    <s v="Removed"/>
    <n v="2014"/>
    <s v="Direct "/>
    <m/>
    <m/>
    <n v="0.33333333333333331"/>
    <n v="0.33333333333333331"/>
    <n v="0.33333333333333331"/>
    <m/>
    <m/>
    <m/>
    <m/>
    <m/>
    <n v="0"/>
    <m/>
    <n v="0"/>
    <n v="0"/>
    <n v="0"/>
    <n v="0"/>
    <n v="0"/>
    <n v="0"/>
    <n v="0"/>
    <n v="0"/>
  </r>
  <r>
    <x v="1"/>
    <x v="1"/>
    <x v="3"/>
    <x v="3"/>
    <x v="5"/>
    <x v="4"/>
    <x v="20"/>
    <x v="17"/>
    <s v="314"/>
    <s v="SQ-"/>
    <s v="MISC"/>
    <s v="Miscellanous Items (Minor)"/>
    <s v="MISC"/>
    <s v="Mechanical Equipment"/>
    <s v="Miscellaneous Items (Minor)"/>
    <m/>
    <s v="SHOP / MAINTENANCE EQUIPMENT  - PARTS WASHER  - AG - GRYPL422A  L: 1070, W: 560, H: 406, 84 kg"/>
    <s v="2522-SQ-027"/>
    <n v="0"/>
    <s v="ea"/>
    <n v="2"/>
    <n v="30"/>
    <n v="199.82676190476192"/>
    <n v="300"/>
    <n v="529.82676190476195"/>
    <n v="0"/>
    <n v="0"/>
    <n v="0"/>
    <n v="0"/>
    <n v="0"/>
    <n v="0.5"/>
    <n v="0"/>
    <n v="1"/>
    <n v="0"/>
    <n v="0"/>
    <n v="1"/>
    <n v="0"/>
    <n v="0"/>
    <n v="0"/>
    <n v="0"/>
    <s v="Type B Construction_x000a_2BC-MRY1416"/>
    <s v="Removed"/>
    <n v="2014"/>
    <s v="Direct "/>
    <m/>
    <m/>
    <n v="0.33333333333333331"/>
    <n v="0.33333333333333331"/>
    <n v="0.33333333333333331"/>
    <m/>
    <m/>
    <m/>
    <m/>
    <m/>
    <n v="0"/>
    <m/>
    <n v="0"/>
    <n v="0"/>
    <n v="0"/>
    <n v="0"/>
    <n v="0"/>
    <n v="0"/>
    <n v="0"/>
    <n v="0"/>
  </r>
  <r>
    <x v="1"/>
    <x v="1"/>
    <x v="3"/>
    <x v="3"/>
    <x v="5"/>
    <x v="4"/>
    <x v="5"/>
    <x v="5"/>
    <s v="001"/>
    <s v="BLD"/>
    <s v="FF2-c"/>
    <s v="Fold Away Building Contaminated (480 ft2)"/>
    <s v="FFL-c"/>
    <s v="Buildings (Contaminated)"/>
    <s v="Fold Away Building"/>
    <m/>
    <s v="Truck Wash (Repurposed Warehouse) - Demolish and Decontaminate Building - Fold-away Building (Steel)"/>
    <s v="2523-BLD-001"/>
    <n v="0"/>
    <s v="m2"/>
    <n v="0.56041666666666667"/>
    <n v="2.3537499999999998"/>
    <n v="55.993123908730162"/>
    <n v="84.0625"/>
    <n v="142.40937390873017"/>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3"/>
    <x v="3"/>
    <x v="5"/>
    <x v="4"/>
    <x v="5"/>
    <x v="5"/>
    <s v="001"/>
    <s v="BLD"/>
    <s v="CP"/>
    <s v="Precast Concrete Foundations - (480 ft2)"/>
    <s v="CP"/>
    <s v="Flooring / Foundations"/>
    <s v="Precast Foundations"/>
    <m/>
    <s v="Truck Wash (Repurposed Warehouse) - Demolish and foundations - Precast Footing (Perimeter Beam)"/>
    <s v="2523-BLD-001"/>
    <n v="0"/>
    <s v="m2"/>
    <n v="0.14520631503408685"/>
    <n v="2.1780947255113023"/>
    <n v="14.50805387069216"/>
    <n v="21.780947255113027"/>
    <n v="38.467095851316493"/>
    <n v="0"/>
    <n v="0"/>
    <n v="0"/>
    <n v="0"/>
    <n v="0"/>
    <n v="0.75"/>
    <n v="0"/>
    <n v="1"/>
    <n v="0"/>
    <n v="0"/>
    <n v="1"/>
    <n v="0"/>
    <n v="0"/>
    <n v="0"/>
    <n v="0"/>
    <s v="Type A  _x000a_2AM-MRY1325"/>
    <s v="Removed"/>
    <s v="2015 A"/>
    <s v="Direct "/>
    <m/>
    <m/>
    <n v="0.33333333333333331"/>
    <n v="0.33333333333333331"/>
    <n v="0.33333333333333331"/>
    <m/>
    <m/>
    <m/>
    <m/>
    <m/>
    <n v="0"/>
    <m/>
    <n v="0"/>
    <n v="0"/>
    <n v="0"/>
    <n v="0"/>
    <n v="0"/>
    <n v="0"/>
    <n v="0"/>
    <n v="0"/>
  </r>
  <r>
    <x v="1"/>
    <x v="1"/>
    <x v="3"/>
    <x v="3"/>
    <x v="5"/>
    <x v="4"/>
    <x v="5"/>
    <x v="5"/>
    <s v="001"/>
    <s v="BLD"/>
    <s v="EG"/>
    <s v="Gravel Base Removal"/>
    <s v="EG"/>
    <s v="Flooring / Foundations"/>
    <s v="Gravel Base"/>
    <m/>
    <s v="Truck Wash (Repurposed Warehouse) - Demolish floor finish - Gravel"/>
    <s v="2523-BLD-001"/>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17"/>
    <x v="14"/>
    <x v="22"/>
    <x v="19"/>
    <s v="371"/>
    <s v="SQ-"/>
    <s v="MISC"/>
    <s v="Miscellanous Items (Minor)"/>
    <s v="Misc"/>
    <s v="Mechanical Equipment"/>
    <s v="Miscellaneous Items (Minor)"/>
    <m/>
    <s v="SHOP / MAINTENANCE EQUIPMENT  - AEROSOL CAN RECYCLING SYSTEM - AG - SAYCPU03  5 kg"/>
    <s v="2540-SQ-002"/>
    <n v="0"/>
    <s v="ea"/>
    <n v="2"/>
    <n v="30"/>
    <n v="199.82676190476192"/>
    <n v="300"/>
    <n v="529.82676190476195"/>
    <n v="0"/>
    <n v="0"/>
    <n v="0"/>
    <n v="0"/>
    <n v="0"/>
    <n v="0.5"/>
    <n v="0"/>
    <n v="1"/>
    <n v="0"/>
    <n v="0"/>
    <n v="1"/>
    <n v="0"/>
    <n v="0"/>
    <n v="0"/>
    <n v="0"/>
    <s v="Type B Construction_x000a_2BC-MRY1416"/>
    <s v="Removed"/>
    <n v="2014"/>
    <s v="Direct "/>
    <m/>
    <m/>
    <n v="0.33333333333333331"/>
    <n v="0.33333333333333331"/>
    <n v="0.33333333333333331"/>
    <m/>
    <m/>
    <m/>
    <m/>
    <m/>
    <n v="0"/>
    <m/>
    <n v="0"/>
    <n v="0"/>
    <n v="0"/>
    <n v="0"/>
    <n v="0"/>
    <n v="0"/>
    <n v="0"/>
    <n v="0"/>
  </r>
  <r>
    <x v="1"/>
    <x v="1"/>
    <x v="3"/>
    <x v="3"/>
    <x v="16"/>
    <x v="13"/>
    <x v="21"/>
    <x v="18"/>
    <m/>
    <m/>
    <s v="A3l"/>
    <s v="Grade &amp; Re-Contour with Liner"/>
    <s v="A3l"/>
    <s v="Site Works"/>
    <s v="Grade and Re-Contour With Liner"/>
    <m/>
    <s v="Hazardous Waste Berm at Milne Inlet - New waste management building"/>
    <m/>
    <n v="0"/>
    <s v="m2"/>
    <n v="4.4489880937500004E-2"/>
    <n v="0.17804999999999999"/>
    <n v="4.4489880937499997"/>
    <n v="0.71454534577546303"/>
    <n v="5.3082953457754627"/>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3"/>
    <x v="3"/>
    <x v="16"/>
    <x v="13"/>
    <x v="21"/>
    <x v="18"/>
    <m/>
    <m/>
    <s v="A3l"/>
    <s v="Grade &amp; Re-Contour with Liner"/>
    <s v="A3l"/>
    <s v="Site Works"/>
    <s v="Grade and Re-Contour With Liner"/>
    <m/>
    <s v="Future Hazardous Waste Berm"/>
    <m/>
    <n v="0"/>
    <s v="m2"/>
    <n v="4.4489880937500004E-2"/>
    <n v="0.17804999999999999"/>
    <n v="4.4489880937499997"/>
    <n v="0.71454534577546303"/>
    <n v="5.3082953457754627"/>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3"/>
    <x v="3"/>
    <x v="16"/>
    <x v="13"/>
    <x v="21"/>
    <x v="18"/>
    <m/>
    <m/>
    <s v="A5"/>
    <s v="Liner Removal"/>
    <s v="A5"/>
    <s v="Site Works"/>
    <s v="Liner Removal"/>
    <s v="Liner Removal"/>
    <s v="Hazardous Waste Berm"/>
    <m/>
    <n v="0"/>
    <s v="m2"/>
    <n v="3.1800000000000002E-2"/>
    <n v="3.1800000000000009E-2"/>
    <n v="3.18"/>
    <n v="0.31800000000000006"/>
    <n v="3.4980000000000002"/>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3"/>
    <x v="3"/>
    <x v="3"/>
    <x v="3"/>
    <x v="65"/>
    <x v="49"/>
    <s v="225"/>
    <s v="PP-"/>
    <s v="MM1"/>
    <s v="Light Equimpent"/>
    <s v="MM1"/>
    <s v="Mechanical Equipment"/>
    <s v="Light Equipment"/>
    <s v="Pump"/>
    <s v="PUMP  - RAW SEWAGE LIFT STATION "/>
    <s v="2510-PP-00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3"/>
    <x v="3"/>
    <x v="46"/>
    <x v="34"/>
    <s v="258"/>
    <s v="PP-"/>
    <s v="MM1"/>
    <s v="Light Equimpent"/>
    <s v="MM1"/>
    <s v="Mechanical Equipment"/>
    <s v="Light Equipment"/>
    <s v="Pump"/>
    <s v="PUMP  - EMERGENCY RESPONSE OFFICE RAW WATER PUMP - SIMER JET PUMPS 2205C  L: 483, W: 275, H: 267"/>
    <s v="2513-PP-005"/>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3"/>
    <x v="3"/>
    <x v="3"/>
    <x v="3"/>
    <x v="46"/>
    <x v="34"/>
    <s v="259"/>
    <s v="MT-"/>
    <s v="MM1"/>
    <s v="Light Equimpent"/>
    <s v="MM1"/>
    <s v="Mechanical Equipment"/>
    <s v="Light Equipment"/>
    <s v="Pump"/>
    <s v="   RAW WATER TANK PUMP  "/>
    <s v="2513-MT-005"/>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3"/>
    <x v="3"/>
    <x v="3"/>
    <x v="3"/>
    <x v="46"/>
    <x v="34"/>
    <s v="260"/>
    <s v="PP-"/>
    <s v="MM1"/>
    <s v="Light Equimpent"/>
    <s v="MM1"/>
    <s v="Mechanical Equipment"/>
    <s v="Light Equipment"/>
    <s v="Pump"/>
    <s v="PUMP  - MILNE EMERGENCY RESPONSE GARAGE FUEL OIL PUMP (PUMP) - VIKING DUPLEX OIL SYSTEMS  "/>
    <s v="2513-PP-02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3"/>
    <x v="3"/>
    <x v="46"/>
    <x v="34"/>
    <s v="261"/>
    <s v="MT-"/>
    <s v="MM1"/>
    <s v="Light Equimpent"/>
    <s v="MM1"/>
    <s v="Mechanical Equipment"/>
    <s v="Light Equipment"/>
    <s v="Pump"/>
    <s v="   FUEL OIL PUMP  "/>
    <s v="2513-MT-02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3"/>
    <x v="3"/>
    <x v="46"/>
    <x v="34"/>
    <s v="262"/>
    <s v="PP-"/>
    <s v="MM1"/>
    <s v="Light Equimpent"/>
    <s v="MM1"/>
    <s v="Mechanical Equipment"/>
    <s v="Light Equipment"/>
    <s v="Pump"/>
    <s v="PUMP  - MILNE EMERGENCY RESPONSE GARAGE FUEL OIL PUMP (STANDBY) - VIKING DUPLEX OIL SYSTEMS  "/>
    <s v="2513-PP-02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3"/>
    <x v="3"/>
    <x v="46"/>
    <x v="34"/>
    <s v="263"/>
    <s v="MT-"/>
    <s v="MM1"/>
    <s v="Light Equimpent"/>
    <s v="MM1"/>
    <s v="Mechanical Equipment"/>
    <s v="Light Equipment"/>
    <s v="Pump"/>
    <s v="   FUEL OIL PUMP  "/>
    <s v="2513-MT-02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3"/>
    <x v="3"/>
    <x v="46"/>
    <x v="34"/>
    <s v="264"/>
    <s v="SQ-"/>
    <s v="MM2"/>
    <s v="Medium Equipment"/>
    <s v="MM2"/>
    <s v="Mechanical Equipment"/>
    <s v="Medium Equipment"/>
    <s v="Shop Equipment"/>
    <s v="SHOP / MAINTENANCE EQUIPMENT  - DRY CHEMICAL REFILL STATION - TYCO FIRE PROTECTION  "/>
    <s v="2513-SQ-010"/>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38"/>
    <x v="12"/>
    <s v="282"/>
    <s v="PP-"/>
    <s v="MM1"/>
    <s v="Light Equimpent"/>
    <s v="MM1"/>
    <s v="Mechanical Equipment"/>
    <s v="Light Equipment"/>
    <s v="Pump"/>
    <s v="PUMP  - MAINTENANCE BUILDING FUEL OIL PUMP (DUTY) - VIKING DUPLEX OIL SYSTEMS  "/>
    <s v="2521-PP-003"/>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5"/>
    <x v="4"/>
    <x v="38"/>
    <x v="12"/>
    <s v="283"/>
    <s v="MT-"/>
    <s v="MM1"/>
    <s v="Light Equimpent"/>
    <s v="MM1"/>
    <s v="Mechanical Equipment"/>
    <s v="Light Equipment"/>
    <s v="Pump"/>
    <s v="   FUEL OIL PUMP  "/>
    <s v="2521-MT-003"/>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5"/>
    <x v="4"/>
    <x v="38"/>
    <x v="12"/>
    <s v="284"/>
    <s v="PP-"/>
    <s v="MM1"/>
    <s v="Light Equimpent"/>
    <s v="MM1"/>
    <s v="Mechanical Equipment"/>
    <s v="Light Equipment"/>
    <s v="Pump"/>
    <s v="PUMP  - MAINTENANCE BUILDING FUEL OIL PUMP (STANDBY) - VIKING DUPLEX OIL SYSTEMS  "/>
    <s v="2521-PP-004"/>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5"/>
    <x v="4"/>
    <x v="38"/>
    <x v="12"/>
    <s v="285"/>
    <s v="MT-"/>
    <s v="MM1"/>
    <s v="Light Equimpent"/>
    <s v="MM1"/>
    <s v="Mechanical Equipment"/>
    <s v="Light Equipment"/>
    <s v="Pump"/>
    <s v="   FUEL OIL PUMP  "/>
    <s v="2521-MT-004"/>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5"/>
    <x v="4"/>
    <x v="38"/>
    <x v="12"/>
    <s v="286"/>
    <s v="PP-"/>
    <s v="MM1"/>
    <s v="Light Equimpent"/>
    <s v="MM1"/>
    <s v="Mechanical Equipment"/>
    <s v="Light Equipment"/>
    <s v="Pump"/>
    <s v="PUMP  - MILNE WELDING SHOP FUEL OIL PUMP (DUTY) - VIKING DUPLEX OIL SYSTEMS  "/>
    <s v="2521-PP-01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5"/>
    <x v="4"/>
    <x v="38"/>
    <x v="12"/>
    <s v="287"/>
    <s v="MT-"/>
    <s v="MM1"/>
    <s v="Light Equimpent"/>
    <s v="MM1"/>
    <s v="Mechanical Equipment"/>
    <s v="Light Equipment"/>
    <s v="Pump"/>
    <s v="   FUEL OIL PUMP  "/>
    <s v="2521-MT-01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5"/>
    <x v="4"/>
    <x v="38"/>
    <x v="12"/>
    <s v="288"/>
    <s v="PP-"/>
    <s v="MM1"/>
    <s v="Light Equimpent"/>
    <s v="MM1"/>
    <s v="Mechanical Equipment"/>
    <s v="Light Equipment"/>
    <s v="Pump"/>
    <s v="PUMP  - MILNE WELDING SHOP FUEL OIL PUMP (STANDBY) - VIKING DUPLEX OIL SYSTEMS  "/>
    <s v="2521-PP-01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5"/>
    <x v="4"/>
    <x v="38"/>
    <x v="12"/>
    <s v="289"/>
    <s v="MT-"/>
    <s v="MM1"/>
    <s v="Light Equimpent"/>
    <s v="MM1"/>
    <s v="Mechanical Equipment"/>
    <s v="Light Equipment"/>
    <s v="Pump"/>
    <s v="   FUEL OIL PUMP  "/>
    <s v="2521-MT-01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6"/>
    <x v="6"/>
    <x v="11"/>
    <x v="3"/>
    <x v="19"/>
    <x v="4"/>
    <x v="31"/>
    <x v="12"/>
    <s v="954"/>
    <s v="BLD"/>
    <s v="FF1-c"/>
    <s v="Modular Building Contaminated (480 ft2) "/>
    <s v="FTR1-c"/>
    <s v="Buildings (Contaminated)"/>
    <s v="Single Trailers (modular)"/>
    <m/>
    <s v="Workshop Office Washcar - Demolish and Decontaminate Building - Trailer - Single"/>
    <s v="4521-BLD-005"/>
    <n v="35.687732342007436"/>
    <s v="m2"/>
    <n v="0.56041666666666667"/>
    <n v="3.3624999999999998"/>
    <n v="55.993123908730162"/>
    <n v="84.0625"/>
    <n v="143.41812390873017"/>
    <n v="20"/>
    <n v="120"/>
    <n v="1998.2676190476193"/>
    <n v="3000"/>
    <n v="5118.2676190476195"/>
    <n v="1"/>
    <n v="35.687732342007436"/>
    <n v="1"/>
    <n v="0"/>
    <n v="0"/>
    <n v="1"/>
    <n v="5118.2676190476195"/>
    <n v="0"/>
    <n v="0"/>
    <n v="5118.2676190476195"/>
    <s v="Type A  _x000a_2AM-MRY1325"/>
    <m/>
    <n v="2014"/>
    <s v="Direct "/>
    <m/>
    <m/>
    <n v="0.33333333333333331"/>
    <n v="0.33333333333333331"/>
    <n v="0.33333333333333331"/>
    <m/>
    <m/>
    <m/>
    <m/>
    <m/>
    <n v="0"/>
    <m/>
    <n v="1706.0892063492065"/>
    <n v="1706.0892063492065"/>
    <n v="1706.0892063492065"/>
    <n v="0"/>
    <n v="0"/>
    <n v="0"/>
    <n v="0"/>
    <n v="0"/>
  </r>
  <r>
    <x v="1"/>
    <x v="1"/>
    <x v="3"/>
    <x v="3"/>
    <x v="5"/>
    <x v="4"/>
    <x v="38"/>
    <x v="12"/>
    <s v="291"/>
    <s v="MT-"/>
    <s v="MM1"/>
    <s v="Light Equimpent"/>
    <s v="MM1"/>
    <s v="Mechanical Equipment"/>
    <s v="Light Equipment"/>
    <s v="Pump"/>
    <s v="   RAW WATER TANK PUMP  "/>
    <s v="2521-MT-051"/>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299"/>
    <s v="SQ-"/>
    <s v="MM2"/>
    <s v="Medium Equipment"/>
    <s v="MM2"/>
    <s v="Mechanical Equipment"/>
    <s v="Medium Equipment"/>
    <m/>
    <s v="SHOP / MAINTENANCE EQUIPMENT  - EVAC TANK  - NORTHERN TOOL 30070V  _x000a_L: 1118, W: 508, H: 1093, 200 kg"/>
    <s v="2522-SQ-001"/>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00"/>
    <s v="SQ-"/>
    <s v="MM1"/>
    <s v="Light Equimpent"/>
    <s v="MM1"/>
    <s v="Mechanical Equipment"/>
    <s v="Light Equipment"/>
    <m/>
    <s v="SHOP / MAINTENANCE EQUIPMENT  - DRILL PRESS  - AG - DPE18-900  _x000a_L: 508, W: 356, H: 1778, 120 kg"/>
    <s v="2522-SQ-003"/>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5"/>
    <x v="5"/>
    <x v="10"/>
    <x v="8"/>
    <x v="18"/>
    <x v="10"/>
    <x v="24"/>
    <x v="50"/>
    <m/>
    <s v=""/>
    <s v="A3"/>
    <s v="Grade &amp; Re-Contour"/>
    <s v="A2"/>
    <s v="Site Works"/>
    <s v="Grade and Re-Contour"/>
    <s v="Grade and Contour"/>
    <s v="P8 Quarry"/>
    <m/>
    <n v="30000"/>
    <s v="m2"/>
    <n v="1.2689880937499998E-2"/>
    <n v="0.14624999999999999"/>
    <n v="1.2689880937499998"/>
    <n v="0.39654534577546297"/>
    <n v="1.8102953457754629"/>
    <n v="380.69642812499995"/>
    <n v="4387.5"/>
    <n v="38069.642812499995"/>
    <n v="11896.360373263889"/>
    <n v="54353.503185763882"/>
    <n v="0"/>
    <n v="0"/>
    <n v="1"/>
    <n v="0"/>
    <n v="0"/>
    <n v="1"/>
    <n v="54353.503185763882"/>
    <n v="0"/>
    <n v="0"/>
    <n v="54353.503185763882"/>
    <s v="Type A  _x000a_2AM-MRY1325"/>
    <s v="Added "/>
    <n v="2018"/>
    <s v="Direct "/>
    <m/>
    <m/>
    <n v="0.5"/>
    <n v="0.5"/>
    <m/>
    <m/>
    <m/>
    <m/>
    <m/>
    <m/>
    <n v="0"/>
    <m/>
    <n v="27176.751592881941"/>
    <n v="27176.751592881941"/>
    <n v="0"/>
    <n v="0"/>
    <n v="0"/>
    <n v="0"/>
    <n v="0"/>
    <n v="0"/>
  </r>
  <r>
    <x v="5"/>
    <x v="5"/>
    <x v="10"/>
    <x v="8"/>
    <x v="18"/>
    <x v="10"/>
    <x v="24"/>
    <x v="51"/>
    <m/>
    <s v=""/>
    <s v="A3"/>
    <s v="Grade &amp; Re-Contour"/>
    <s v="A2"/>
    <s v="Site Works"/>
    <s v="Grade and Re-Contour"/>
    <s v="Grade and Contour"/>
    <s v="PQ12B Quarry"/>
    <m/>
    <n v="30000"/>
    <s v="m2"/>
    <n v="1.2689880937499998E-2"/>
    <n v="0.14624999999999999"/>
    <n v="1.2689880937499998"/>
    <n v="0.39654534577546297"/>
    <n v="1.8102953457754629"/>
    <n v="380.69642812499995"/>
    <n v="4387.5"/>
    <n v="38069.642812499995"/>
    <n v="11896.360373263889"/>
    <n v="54353.503185763882"/>
    <n v="0"/>
    <n v="0"/>
    <n v="1"/>
    <n v="0"/>
    <n v="0"/>
    <n v="1"/>
    <n v="54353.503185763882"/>
    <n v="0"/>
    <n v="0"/>
    <n v="54353.503185763882"/>
    <s v="Type A  _x000a_2AM-MRY1325"/>
    <s v="Added "/>
    <n v="2018"/>
    <s v="Direct "/>
    <m/>
    <m/>
    <n v="0.5"/>
    <n v="0.5"/>
    <m/>
    <m/>
    <m/>
    <m/>
    <m/>
    <m/>
    <n v="0"/>
    <m/>
    <n v="27176.751592881941"/>
    <n v="27176.751592881941"/>
    <n v="0"/>
    <n v="0"/>
    <n v="0"/>
    <n v="0"/>
    <n v="0"/>
    <n v="0"/>
  </r>
  <r>
    <x v="5"/>
    <x v="5"/>
    <x v="10"/>
    <x v="8"/>
    <x v="18"/>
    <x v="10"/>
    <x v="24"/>
    <x v="52"/>
    <m/>
    <s v=""/>
    <s v="A3"/>
    <s v="Grade &amp; Re-Contour"/>
    <s v="A2"/>
    <s v="Site Works"/>
    <s v="Grade and Re-Contour"/>
    <s v="Grade and Contour"/>
    <s v="PQ14A Quarry"/>
    <m/>
    <n v="30000"/>
    <s v="m2"/>
    <n v="1.2689880937499998E-2"/>
    <n v="0.14624999999999999"/>
    <n v="1.2689880937499998"/>
    <n v="0.39654534577546297"/>
    <n v="1.8102953457754629"/>
    <n v="380.69642812499995"/>
    <n v="4387.5"/>
    <n v="38069.642812499995"/>
    <n v="11896.360373263889"/>
    <n v="54353.503185763882"/>
    <n v="0"/>
    <n v="0"/>
    <n v="1"/>
    <n v="0"/>
    <n v="0"/>
    <n v="1"/>
    <n v="54353.503185763882"/>
    <n v="0"/>
    <n v="0"/>
    <n v="54353.503185763882"/>
    <s v="Type A  _x000a_2AM-MRY1325"/>
    <s v="Added "/>
    <n v="2018"/>
    <s v="Direct "/>
    <m/>
    <m/>
    <n v="0.5"/>
    <n v="0.5"/>
    <m/>
    <m/>
    <m/>
    <m/>
    <m/>
    <m/>
    <n v="0"/>
    <m/>
    <n v="27176.751592881941"/>
    <n v="27176.751592881941"/>
    <n v="0"/>
    <n v="0"/>
    <n v="0"/>
    <n v="0"/>
    <n v="0"/>
    <n v="0"/>
  </r>
  <r>
    <x v="5"/>
    <x v="5"/>
    <x v="10"/>
    <x v="8"/>
    <x v="18"/>
    <x v="10"/>
    <x v="24"/>
    <x v="53"/>
    <m/>
    <s v=""/>
    <s v="A3"/>
    <s v="Grade &amp; Re-Contour"/>
    <s v="A2"/>
    <s v="Site Works"/>
    <s v="Grade and Re-Contour"/>
    <s v="Grade and Contour"/>
    <s v="PQ14B Quarry"/>
    <m/>
    <n v="30000"/>
    <s v="m2"/>
    <n v="1.2689880937499998E-2"/>
    <n v="0.14624999999999999"/>
    <n v="1.2689880937499998"/>
    <n v="0.39654534577546297"/>
    <n v="1.8102953457754629"/>
    <n v="380.69642812499995"/>
    <n v="4387.5"/>
    <n v="38069.642812499995"/>
    <n v="11896.360373263889"/>
    <n v="54353.503185763882"/>
    <n v="0"/>
    <n v="0"/>
    <n v="1"/>
    <n v="0"/>
    <n v="0"/>
    <n v="1"/>
    <n v="54353.503185763882"/>
    <n v="0"/>
    <n v="0"/>
    <n v="54353.503185763882"/>
    <s v="Type A  _x000a_2AM-MRY1325"/>
    <s v="Added "/>
    <n v="2018"/>
    <s v="Direct "/>
    <m/>
    <m/>
    <n v="0.5"/>
    <n v="0.5"/>
    <m/>
    <m/>
    <m/>
    <m/>
    <m/>
    <m/>
    <n v="0"/>
    <m/>
    <n v="27176.751592881941"/>
    <n v="27176.751592881941"/>
    <n v="0"/>
    <n v="0"/>
    <n v="0"/>
    <n v="0"/>
    <n v="0"/>
    <n v="0"/>
  </r>
  <r>
    <x v="5"/>
    <x v="5"/>
    <x v="10"/>
    <x v="8"/>
    <x v="18"/>
    <x v="10"/>
    <x v="28"/>
    <x v="24"/>
    <m/>
    <s v=""/>
    <s v="A3"/>
    <s v="Grade &amp; Re-Contour"/>
    <s v="A2"/>
    <s v="Site Works"/>
    <s v="Grade and Re-Contour"/>
    <s v="Grade and Contour"/>
    <s v="2018 Tote Road Improvements (Twinned Sections) - CROWN"/>
    <m/>
    <n v="30000"/>
    <s v="m2"/>
    <n v="1.2689880937499998E-2"/>
    <n v="0.14624999999999999"/>
    <n v="1.2689880937499998"/>
    <n v="0.39654534577546297"/>
    <n v="1.8102953457754629"/>
    <n v="380.69642812499995"/>
    <n v="4387.5"/>
    <n v="38069.642812499995"/>
    <n v="11896.360373263889"/>
    <n v="54308.860373263888"/>
    <n v="0"/>
    <n v="0"/>
    <n v="0"/>
    <n v="1"/>
    <n v="0"/>
    <n v="1"/>
    <n v="0"/>
    <n v="54308.860373263888"/>
    <n v="0"/>
    <n v="54308.860373263888"/>
    <s v="Type A  _x000a_2AM-MRY1325"/>
    <s v="Added"/>
    <n v="2018"/>
    <s v="Direct "/>
    <m/>
    <m/>
    <n v="0.5"/>
    <n v="0.5"/>
    <m/>
    <m/>
    <m/>
    <m/>
    <m/>
    <m/>
    <n v="0"/>
    <m/>
    <n v="27154.430186631944"/>
    <n v="27154.430186631944"/>
    <n v="0"/>
    <n v="0"/>
    <n v="0"/>
    <n v="0"/>
    <n v="0"/>
    <n v="0"/>
  </r>
  <r>
    <x v="6"/>
    <x v="5"/>
    <x v="12"/>
    <x v="8"/>
    <x v="34"/>
    <x v="10"/>
    <x v="66"/>
    <x v="54"/>
    <m/>
    <m/>
    <s v="A3"/>
    <s v="Grade &amp; Re-Contour"/>
    <s v="A2"/>
    <s v="Site Works"/>
    <s v="Grade and Re-Contour"/>
    <s v="Grade and Contour"/>
    <s v="Laydown Pad development (Crusher Pad Expansion)"/>
    <m/>
    <n v="30000"/>
    <s v="m2"/>
    <n v="1.2689880937499998E-2"/>
    <n v="0.14624999999999999"/>
    <n v="1.2689880937499998"/>
    <n v="0.39654534577546297"/>
    <n v="1.8102953457754629"/>
    <n v="380.69642812499995"/>
    <n v="4387.5"/>
    <n v="38069.642812499995"/>
    <n v="11896.360373263889"/>
    <n v="54308.860373263888"/>
    <n v="0"/>
    <n v="0"/>
    <n v="1"/>
    <n v="0"/>
    <n v="0"/>
    <n v="1"/>
    <n v="54308.860373263888"/>
    <n v="0"/>
    <n v="0"/>
    <n v="54308.860373263888"/>
    <s v="Type A  _x000a_2AM-MRY1325"/>
    <s v="Added"/>
    <n v="2018"/>
    <s v="Direct "/>
    <m/>
    <m/>
    <n v="0.33333333333333331"/>
    <n v="0.33333333333333331"/>
    <n v="0.33333333333333331"/>
    <m/>
    <m/>
    <m/>
    <m/>
    <m/>
    <n v="0"/>
    <m/>
    <n v="18102.953457754629"/>
    <n v="18102.953457754629"/>
    <n v="18102.953457754629"/>
    <n v="0"/>
    <n v="0"/>
    <n v="0"/>
    <n v="0"/>
    <n v="0"/>
  </r>
  <r>
    <x v="1"/>
    <x v="1"/>
    <x v="8"/>
    <x v="8"/>
    <x v="26"/>
    <x v="16"/>
    <x v="37"/>
    <x v="33"/>
    <m/>
    <s v="TK-"/>
    <s v="MT5-d"/>
    <s v="Medium Mobile Diesel Tanks (3000 L to 500k L)"/>
    <s v="MT5-d"/>
    <s v="Mechanical Equipment"/>
    <s v="Medium Mobile Diesel Tanks"/>
    <m/>
    <s v="2017 - Diesel tanks on sea lift"/>
    <m/>
    <n v="5"/>
    <s v="ea"/>
    <n v="42.724999999999994"/>
    <n v="564.75"/>
    <n v="4268.7992011904762"/>
    <n v="5647.5"/>
    <n v="10481.049201190477"/>
    <n v="213.62499999999997"/>
    <n v="2823.75"/>
    <n v="21343.99600595238"/>
    <n v="28237.5"/>
    <n v="52405.24600595238"/>
    <n v="30"/>
    <n v="150"/>
    <n v="1"/>
    <n v="0"/>
    <n v="0"/>
    <n v="1"/>
    <n v="52405.24600595238"/>
    <n v="0"/>
    <n v="0"/>
    <n v="52405.24600595238"/>
    <s v="Type A  _x000a_2AM-MRY1325"/>
    <s v="Added"/>
    <s v="2018-R"/>
    <s v="Direct "/>
    <m/>
    <m/>
    <n v="0.33333333333333331"/>
    <m/>
    <n v="0.33333333333333331"/>
    <m/>
    <m/>
    <m/>
    <m/>
    <n v="0.33333333333333331"/>
    <n v="0"/>
    <m/>
    <n v="17468.415335317459"/>
    <n v="0"/>
    <n v="17468.415335317459"/>
    <n v="0"/>
    <n v="0"/>
    <n v="0"/>
    <n v="0"/>
    <n v="17468.415335317459"/>
  </r>
  <r>
    <x v="5"/>
    <x v="5"/>
    <x v="15"/>
    <x v="8"/>
    <x v="28"/>
    <x v="24"/>
    <x v="67"/>
    <x v="55"/>
    <m/>
    <m/>
    <s v="FF3-c"/>
    <s v="Modular Building Contaminated (480 ft2)"/>
    <s v="FF3-c"/>
    <s v="Buildings (Contaminated)"/>
    <s v="Soft walled Building (tent)"/>
    <m/>
    <s v="Heated facility for emulsion truck parking"/>
    <m/>
    <n v="335"/>
    <s v="m2"/>
    <n v="0.58283333333333331"/>
    <n v="2.69"/>
    <n v="58.232848865079369"/>
    <n v="87.424999999999997"/>
    <n v="148.34784886507936"/>
    <n v="195.24916666666667"/>
    <n v="901.15"/>
    <n v="19508.004369801587"/>
    <n v="29287.375"/>
    <n v="49696.529369801588"/>
    <n v="0.5"/>
    <n v="167.5"/>
    <n v="1"/>
    <n v="0"/>
    <n v="0"/>
    <n v="1"/>
    <n v="49696.529369801588"/>
    <n v="0"/>
    <n v="0"/>
    <n v="49696.529369801588"/>
    <s v="Type A  _x000a_2AM-MRY1325"/>
    <s v="Added"/>
    <n v="2018"/>
    <s v="Direct "/>
    <m/>
    <m/>
    <n v="0.33333333333333331"/>
    <n v="0.33333333333333331"/>
    <n v="0.33333333333333331"/>
    <m/>
    <m/>
    <m/>
    <m/>
    <m/>
    <n v="0"/>
    <m/>
    <n v="16565.509789933862"/>
    <n v="16565.509789933862"/>
    <n v="16565.509789933862"/>
    <n v="0"/>
    <n v="0"/>
    <n v="0"/>
    <n v="0"/>
    <n v="0"/>
  </r>
  <r>
    <x v="1"/>
    <x v="1"/>
    <x v="5"/>
    <x v="5"/>
    <x v="20"/>
    <x v="6"/>
    <x v="68"/>
    <x v="7"/>
    <m/>
    <s v="In Meters"/>
    <s v="piping"/>
    <s v="Piping"/>
    <s v="Piping"/>
    <s v="Bulks"/>
    <s v="Piping"/>
    <m/>
    <s v="Treated Effluent Piping - Piping installation - 2018 Realignment of the effluent discharge line"/>
    <m/>
    <n v="750"/>
    <s v="m"/>
    <n v="0.25"/>
    <n v="3.75"/>
    <n v="24.97834523809524"/>
    <n v="37.5"/>
    <n v="66.228345238095244"/>
    <n v="187.5"/>
    <n v="2812.5"/>
    <n v="18733.758928571431"/>
    <n v="28125"/>
    <n v="49671.258928571435"/>
    <n v="1.0000000000000002E-2"/>
    <n v="7.5000000000000018"/>
    <n v="1"/>
    <n v="0"/>
    <n v="1"/>
    <n v="0"/>
    <n v="49671.258928571435"/>
    <n v="0"/>
    <n v="49671.258928571435"/>
    <n v="0"/>
    <s v="Type A  _x000a_2AM-MRY1325"/>
    <s v="Added"/>
    <n v="2018"/>
    <s v="Direct "/>
    <m/>
    <m/>
    <n v="0.33333333333333331"/>
    <n v="0.33333333333333331"/>
    <n v="0.33333333333333331"/>
    <m/>
    <m/>
    <m/>
    <m/>
    <m/>
    <n v="0"/>
    <m/>
    <n v="16557.086309523809"/>
    <n v="16557.086309523809"/>
    <n v="16557.086309523809"/>
    <n v="0"/>
    <n v="0"/>
    <n v="0"/>
    <n v="0"/>
    <n v="0"/>
  </r>
  <r>
    <x v="1"/>
    <x v="1"/>
    <x v="5"/>
    <x v="5"/>
    <x v="1"/>
    <x v="1"/>
    <x v="1"/>
    <x v="1"/>
    <m/>
    <s v="In Meters"/>
    <s v="piping"/>
    <s v="Piping"/>
    <s v="Piping"/>
    <s v="Bulks"/>
    <s v="Piping"/>
    <m/>
    <s v="Fuel System Piping - Realignment of the fuel manifold"/>
    <m/>
    <n v="750"/>
    <s v="m"/>
    <n v="0.25"/>
    <n v="3.75"/>
    <n v="24.97834523809524"/>
    <n v="37.5"/>
    <n v="66.228345238095244"/>
    <n v="187.5"/>
    <n v="2812.5"/>
    <n v="18733.758928571431"/>
    <n v="28125"/>
    <n v="49671.258928571435"/>
    <n v="1.0000000000000002E-2"/>
    <n v="7.5000000000000018"/>
    <n v="1"/>
    <n v="0"/>
    <n v="1"/>
    <n v="0"/>
    <n v="49671.258928571435"/>
    <n v="0"/>
    <n v="49671.258928571435"/>
    <n v="0"/>
    <s v="Type A  _x000a_2AM-MRY1325"/>
    <s v="Added"/>
    <n v="2018"/>
    <s v="Direct "/>
    <m/>
    <m/>
    <n v="0.33333333333333331"/>
    <n v="0.33333333333333331"/>
    <n v="0.33333333333333331"/>
    <m/>
    <m/>
    <m/>
    <m/>
    <m/>
    <n v="0"/>
    <m/>
    <n v="16557.086309523809"/>
    <n v="16557.086309523809"/>
    <n v="16557.086309523809"/>
    <n v="0"/>
    <n v="0"/>
    <n v="0"/>
    <n v="0"/>
    <n v="0"/>
  </r>
  <r>
    <x v="1"/>
    <x v="1"/>
    <x v="2"/>
    <x v="2"/>
    <x v="4"/>
    <x v="2"/>
    <x v="4"/>
    <x v="4"/>
    <m/>
    <s v=""/>
    <s v="A3"/>
    <s v="Grade &amp; Re-Contour"/>
    <s v="A2"/>
    <s v="Site Works"/>
    <s v="Grade and Re-Contour"/>
    <s v="Grade and Contour"/>
    <s v="Ore Stockpile Laydown - Realignment of the shipload conveyor"/>
    <m/>
    <n v="26000"/>
    <s v="m2"/>
    <n v="1.2689880937499998E-2"/>
    <n v="0.14624999999999999"/>
    <n v="1.2689880937499998"/>
    <n v="0.39654534577546297"/>
    <n v="1.8102953457754629"/>
    <n v="329.93690437499998"/>
    <n v="3802.4999999999995"/>
    <n v="32993.690437499994"/>
    <n v="10310.178990162038"/>
    <n v="47106.36942766203"/>
    <n v="0"/>
    <n v="0"/>
    <n v="1"/>
    <n v="0"/>
    <n v="0"/>
    <n v="1"/>
    <n v="47106.36942766203"/>
    <n v="0"/>
    <n v="0"/>
    <n v="47106.36942766203"/>
    <s v="Type A  _x000a_2AM-MRY1325"/>
    <s v="Added"/>
    <n v="2018"/>
    <s v="Direct "/>
    <m/>
    <m/>
    <n v="0.33333333333333331"/>
    <n v="0.33333333333333331"/>
    <n v="0.33333333333333331"/>
    <m/>
    <m/>
    <m/>
    <m/>
    <m/>
    <n v="0"/>
    <m/>
    <n v="15702.12314255401"/>
    <n v="15702.12314255401"/>
    <n v="15702.12314255401"/>
    <n v="0"/>
    <n v="0"/>
    <n v="0"/>
    <n v="0"/>
    <n v="0"/>
  </r>
  <r>
    <x v="5"/>
    <x v="5"/>
    <x v="10"/>
    <x v="8"/>
    <x v="18"/>
    <x v="10"/>
    <x v="25"/>
    <x v="23"/>
    <m/>
    <s v=""/>
    <s v="A3"/>
    <s v="Grade &amp; Re-Contour"/>
    <s v="A2"/>
    <s v="Site Works"/>
    <s v="Grade and Re-Contour"/>
    <s v="Grade and Contour"/>
    <s v="Laydown R3  (2017 Carry Over)"/>
    <m/>
    <n v="25800"/>
    <s v="m2"/>
    <n v="1.2689880937499998E-2"/>
    <n v="0.14624999999999999"/>
    <n v="1.2689880937499998"/>
    <n v="0.39654534577546297"/>
    <n v="1.8102953457754629"/>
    <n v="327.39892818749996"/>
    <n v="3773.2499999999995"/>
    <n v="32739.892818749995"/>
    <n v="10230.869921006944"/>
    <n v="46705.619921006946"/>
    <n v="0"/>
    <n v="0"/>
    <n v="1"/>
    <n v="0"/>
    <n v="0"/>
    <n v="1"/>
    <n v="46705.619921006946"/>
    <n v="0"/>
    <n v="0"/>
    <n v="46705.619921006946"/>
    <s v="Type A  _x000a_2AM-MRY1325"/>
    <s v="Added"/>
    <n v="2018"/>
    <s v="Direct "/>
    <m/>
    <m/>
    <n v="0.33333333333333331"/>
    <n v="0.33333333333333331"/>
    <n v="0.33333333333333331"/>
    <m/>
    <m/>
    <m/>
    <m/>
    <m/>
    <n v="0"/>
    <m/>
    <n v="15568.539973668981"/>
    <n v="15568.539973668981"/>
    <n v="15568.539973668981"/>
    <n v="0"/>
    <n v="0"/>
    <n v="0"/>
    <n v="0"/>
    <n v="0"/>
  </r>
  <r>
    <x v="5"/>
    <x v="5"/>
    <x v="10"/>
    <x v="8"/>
    <x v="18"/>
    <x v="10"/>
    <x v="24"/>
    <x v="56"/>
    <m/>
    <s v=""/>
    <s v="A3"/>
    <s v="Grade &amp; Re-Contour"/>
    <s v="A2"/>
    <s v="Site Works"/>
    <s v="Grade and Re-Contour"/>
    <s v="Grade and Contour"/>
    <s v="PQ4A Quarry"/>
    <m/>
    <n v="25000"/>
    <s v="m2"/>
    <n v="1.2689880937499998E-2"/>
    <n v="0.14624999999999999"/>
    <n v="1.2689880937499998"/>
    <n v="0.39654534577546297"/>
    <n v="1.8102953457754629"/>
    <n v="317.24702343749993"/>
    <n v="3656.25"/>
    <n v="31724.702343749996"/>
    <n v="9913.6336443865748"/>
    <n v="45294.585988136569"/>
    <n v="0"/>
    <n v="0"/>
    <n v="1"/>
    <n v="0"/>
    <n v="0"/>
    <n v="1"/>
    <n v="45294.585988136569"/>
    <n v="0"/>
    <n v="0"/>
    <n v="45294.585988136569"/>
    <s v="Type A  _x000a_2AM-MRY1325"/>
    <s v="Added "/>
    <n v="2018"/>
    <s v="Direct "/>
    <m/>
    <m/>
    <n v="0.5"/>
    <n v="0.5"/>
    <m/>
    <m/>
    <m/>
    <m/>
    <m/>
    <m/>
    <n v="0"/>
    <m/>
    <n v="22647.292994068284"/>
    <n v="22647.292994068284"/>
    <n v="0"/>
    <n v="0"/>
    <n v="0"/>
    <n v="0"/>
    <n v="0"/>
    <n v="0"/>
  </r>
  <r>
    <x v="5"/>
    <x v="5"/>
    <x v="10"/>
    <x v="8"/>
    <x v="18"/>
    <x v="10"/>
    <x v="24"/>
    <x v="57"/>
    <m/>
    <s v=""/>
    <s v="A3"/>
    <s v="Grade &amp; Re-Contour"/>
    <s v="A2"/>
    <s v="Site Works"/>
    <s v="Grade and Re-Contour"/>
    <s v="Grade and Contour"/>
    <s v="PQ4B Quarry"/>
    <m/>
    <n v="25000"/>
    <s v="m2"/>
    <n v="1.2689880937499998E-2"/>
    <n v="0.14624999999999999"/>
    <n v="1.2689880937499998"/>
    <n v="0.39654534577546297"/>
    <n v="1.8102953457754629"/>
    <n v="317.24702343749993"/>
    <n v="3656.25"/>
    <n v="31724.702343749996"/>
    <n v="9913.6336443865748"/>
    <n v="45294.585988136569"/>
    <n v="0"/>
    <n v="0"/>
    <n v="1"/>
    <n v="0"/>
    <n v="0"/>
    <n v="1"/>
    <n v="45294.585988136569"/>
    <n v="0"/>
    <n v="0"/>
    <n v="45294.585988136569"/>
    <s v="Type A  _x000a_2AM-MRY1325"/>
    <s v="Added "/>
    <n v="2018"/>
    <s v="Direct "/>
    <m/>
    <m/>
    <n v="0.5"/>
    <n v="0.5"/>
    <m/>
    <m/>
    <m/>
    <m/>
    <m/>
    <m/>
    <n v="0"/>
    <m/>
    <n v="22647.292994068284"/>
    <n v="22647.292994068284"/>
    <n v="0"/>
    <n v="0"/>
    <n v="0"/>
    <n v="0"/>
    <n v="0"/>
    <n v="0"/>
  </r>
  <r>
    <x v="5"/>
    <x v="5"/>
    <x v="10"/>
    <x v="8"/>
    <x v="18"/>
    <x v="10"/>
    <x v="25"/>
    <x v="23"/>
    <m/>
    <s v=""/>
    <s v="A3"/>
    <s v="Grade &amp; Re-Contour"/>
    <s v="A2"/>
    <s v="Site Works"/>
    <s v="Grade and Re-Contour"/>
    <s v="Grade and Contour"/>
    <s v="Laydown No. 10 - 2018 Work Plan"/>
    <m/>
    <n v="25000"/>
    <s v="m2"/>
    <n v="1.2689880937499998E-2"/>
    <n v="0.14624999999999999"/>
    <n v="1.2689880937499998"/>
    <n v="0.39654534577546297"/>
    <n v="1.8102953457754629"/>
    <n v="317.24702343749993"/>
    <n v="3656.25"/>
    <n v="31724.702343749996"/>
    <n v="9913.6336443865748"/>
    <n v="45257.383644386573"/>
    <n v="0"/>
    <n v="0"/>
    <n v="1"/>
    <n v="0"/>
    <n v="0"/>
    <n v="1"/>
    <n v="45257.383644386573"/>
    <n v="0"/>
    <n v="0"/>
    <n v="45257.383644386573"/>
    <s v="Type A  _x000a_2AM-MRY1325"/>
    <s v="Added"/>
    <n v="2018"/>
    <s v="Direct "/>
    <m/>
    <m/>
    <n v="0.33333333333333331"/>
    <n v="0.33333333333333331"/>
    <n v="0.33333333333333331"/>
    <m/>
    <m/>
    <m/>
    <m/>
    <m/>
    <n v="0"/>
    <m/>
    <n v="15085.794548128857"/>
    <n v="15085.794548128857"/>
    <n v="15085.794548128857"/>
    <n v="0"/>
    <n v="0"/>
    <n v="0"/>
    <n v="0"/>
    <n v="0"/>
  </r>
  <r>
    <x v="1"/>
    <x v="1"/>
    <x v="3"/>
    <x v="3"/>
    <x v="5"/>
    <x v="4"/>
    <x v="20"/>
    <x v="17"/>
    <s v="302"/>
    <s v="SQ-"/>
    <s v="MM2"/>
    <s v="Medium Equipment"/>
    <s v="MM2"/>
    <s v="Mechanical Equipment"/>
    <s v="Medium Equipment"/>
    <s v="3rd Party Equipment"/>
    <s v="Herman Nelson extreme cold BT400NEX-D4A"/>
    <m/>
    <n v="10"/>
    <s v="ea"/>
    <n v="19.2"/>
    <n v="213"/>
    <n v="1918.3369142857146"/>
    <n v="2130"/>
    <n v="4261.3369142857146"/>
    <n v="192"/>
    <n v="2130"/>
    <n v="19183.369142857147"/>
    <n v="21300"/>
    <n v="42613.369142857147"/>
    <n v="1"/>
    <n v="10"/>
    <n v="1"/>
    <n v="0"/>
    <n v="0"/>
    <n v="1"/>
    <n v="42613.369142857147"/>
    <n v="0"/>
    <n v="0"/>
    <n v="42613.369142857147"/>
    <s v="Type A  _x000a_2AM-MRY1325"/>
    <s v="Added"/>
    <n v="2018"/>
    <s v="Direct "/>
    <m/>
    <m/>
    <n v="0.33333333333333331"/>
    <m/>
    <n v="0.33333333333333331"/>
    <m/>
    <m/>
    <m/>
    <m/>
    <n v="0.33333333333333331"/>
    <n v="0"/>
    <m/>
    <n v="14204.456380952382"/>
    <n v="0"/>
    <n v="14204.456380952382"/>
    <n v="0"/>
    <n v="0"/>
    <n v="0"/>
    <n v="0"/>
    <n v="14204.456380952382"/>
  </r>
  <r>
    <x v="5"/>
    <x v="5"/>
    <x v="10"/>
    <x v="8"/>
    <x v="18"/>
    <x v="10"/>
    <x v="25"/>
    <x v="23"/>
    <m/>
    <s v=""/>
    <s v="A3"/>
    <s v="Grade &amp; Re-Contour"/>
    <s v="A2"/>
    <s v="Site Works"/>
    <s v="Grade and Re-Contour"/>
    <s v="Grade and Contour"/>
    <s v="Laydown Pad development - KM12.8 Explosives Magazine"/>
    <m/>
    <n v="23000"/>
    <s v="m2"/>
    <n v="1.2689880937499998E-2"/>
    <n v="0.14624999999999999"/>
    <n v="1.2689880937499998"/>
    <n v="0.39654534577546297"/>
    <n v="1.8102953457754629"/>
    <n v="291.86726156249995"/>
    <n v="3363.75"/>
    <n v="29186.726156249995"/>
    <n v="9120.542952835649"/>
    <n v="41636.792952835647"/>
    <n v="0"/>
    <n v="0"/>
    <n v="1"/>
    <n v="0"/>
    <n v="0"/>
    <n v="1"/>
    <n v="41636.792952835647"/>
    <n v="0"/>
    <n v="0"/>
    <n v="41636.792952835647"/>
    <s v="Type A  _x000a_2AM-MRY1325"/>
    <s v="Added"/>
    <n v="2018"/>
    <s v="Direct "/>
    <m/>
    <m/>
    <n v="0.33333333333333331"/>
    <n v="0.33333333333333331"/>
    <n v="0.33333333333333331"/>
    <m/>
    <m/>
    <m/>
    <m/>
    <m/>
    <n v="0"/>
    <m/>
    <n v="13878.930984278548"/>
    <n v="13878.930984278548"/>
    <n v="13878.930984278548"/>
    <n v="0"/>
    <n v="0"/>
    <n v="0"/>
    <n v="0"/>
    <n v="0"/>
  </r>
  <r>
    <x v="1"/>
    <x v="1"/>
    <x v="5"/>
    <x v="5"/>
    <x v="15"/>
    <x v="9"/>
    <x v="17"/>
    <x v="10"/>
    <m/>
    <s v="GE-"/>
    <s v="MM3"/>
    <s v="Heavy Equipment"/>
    <s v="MM3"/>
    <s v="Mechanical Equipment"/>
    <s v="Heavy Equipment"/>
    <s v="Power plant generators"/>
    <s v="E-House"/>
    <m/>
    <n v="1"/>
    <s v="ea"/>
    <n v="168"/>
    <n v="2220"/>
    <n v="16785.448"/>
    <n v="22200"/>
    <n v="41205.448000000004"/>
    <n v="168"/>
    <n v="2220"/>
    <n v="16785.448"/>
    <n v="22200"/>
    <n v="41205.448000000004"/>
    <n v="56"/>
    <n v="56"/>
    <n v="1"/>
    <n v="0"/>
    <n v="0"/>
    <n v="1"/>
    <n v="41205.448000000004"/>
    <n v="0"/>
    <n v="0"/>
    <n v="41205.448000000004"/>
    <s v="Type A  _x000a_2AM-MRY1325"/>
    <s v="Added"/>
    <n v="2018"/>
    <s v="Direct "/>
    <m/>
    <m/>
    <n v="0.33333333333333331"/>
    <m/>
    <n v="0.33333333333333331"/>
    <m/>
    <m/>
    <m/>
    <m/>
    <n v="0.33333333333333331"/>
    <n v="0"/>
    <m/>
    <n v="13735.149333333335"/>
    <n v="0"/>
    <n v="13735.149333333335"/>
    <n v="0"/>
    <n v="0"/>
    <n v="0"/>
    <n v="0"/>
    <n v="13735.149333333335"/>
  </r>
  <r>
    <x v="1"/>
    <x v="1"/>
    <x v="2"/>
    <x v="2"/>
    <x v="2"/>
    <x v="2"/>
    <x v="4"/>
    <x v="4"/>
    <s v="114"/>
    <s v="FE-"/>
    <s v="MM3"/>
    <s v="Heavy Equipment"/>
    <s v="MM3"/>
    <s v="Mechanical Equipment"/>
    <s v="Heavy Equipment"/>
    <s v="3rd Party Equipment"/>
    <s v="Apron Feeder (TK)"/>
    <m/>
    <n v="1"/>
    <s v="ea"/>
    <n v="168"/>
    <n v="2220"/>
    <n v="16785.448"/>
    <n v="22200"/>
    <n v="41205.448000000004"/>
    <n v="168"/>
    <n v="2220"/>
    <n v="16785.448"/>
    <n v="22200"/>
    <n v="41205.448000000004"/>
    <n v="56"/>
    <n v="56"/>
    <n v="1"/>
    <n v="0"/>
    <n v="0"/>
    <n v="1"/>
    <n v="41205.448000000004"/>
    <n v="0"/>
    <n v="0"/>
    <n v="41205.448000000004"/>
    <s v="Type A  _x000a_2AM-MRY1325"/>
    <s v="Added"/>
    <n v="2018"/>
    <s v="Direct "/>
    <m/>
    <m/>
    <n v="0.33333333333333331"/>
    <m/>
    <n v="0.33333333333333331"/>
    <m/>
    <m/>
    <m/>
    <m/>
    <n v="0.33333333333333331"/>
    <n v="0"/>
    <m/>
    <n v="13735.149333333335"/>
    <n v="0"/>
    <n v="13735.149333333335"/>
    <n v="0"/>
    <n v="0"/>
    <n v="0"/>
    <n v="0"/>
    <n v="13735.149333333335"/>
  </r>
  <r>
    <x v="1"/>
    <x v="1"/>
    <x v="3"/>
    <x v="3"/>
    <x v="5"/>
    <x v="4"/>
    <x v="20"/>
    <x v="17"/>
    <s v="302"/>
    <s v="SQ-"/>
    <s v="MM2"/>
    <s v="Medium Equipment"/>
    <s v="MM2"/>
    <s v="Mechanical Equipment"/>
    <s v="Medium Equipment"/>
    <s v="Shop Equipment"/>
    <s v="SHOP / MAINTENANCE EQUIPMENT  - OIL FILTER PRESS  - OBERG P300  _x000a_L: 1524, W: 914, H: 2640, 680 kg"/>
    <s v="2522-SQ-005"/>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03"/>
    <s v="SQ-"/>
    <s v="MM2"/>
    <s v="Medium Equipment"/>
    <s v="MM2"/>
    <s v="Mechanical Equipment"/>
    <s v="Medium Equipment"/>
    <s v="Shop Equipment"/>
    <s v="SHOP / MAINTENANCE EQUIPMENT  - HYDRAULIC PORTA POWER PUMP  - AG  "/>
    <s v="2522-SQ-006"/>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04"/>
    <s v="SQ-"/>
    <s v="MM2"/>
    <s v="Medium Equipment"/>
    <s v="MM2"/>
    <s v="Mechanical Equipment"/>
    <s v="Medium Equipment"/>
    <m/>
    <s v="SHOP / MAINTENANCE EQUIPMENT  - WELDING MACHINE  - AG - MLW951-277  _x000a_L: 965, W: 584, H: 762, 192 kg"/>
    <s v="2522-SQ-009"/>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05"/>
    <s v="SQ-"/>
    <s v="MM2"/>
    <s v="Medium Equipment"/>
    <s v="MM2"/>
    <s v="Mechanical Equipment"/>
    <s v="Medium Equipment"/>
    <m/>
    <s v="SHOP / MAINTENANCE EQUIPMENT  - WELDING MACHINE  - AG - MLW951-277  _x000a_L: 965, W: 584, H: 762, 192 kg"/>
    <s v="2522-SQ-010"/>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07"/>
    <s v="SQ-"/>
    <s v="MM2"/>
    <s v="Medium Equipment"/>
    <s v="MM2"/>
    <s v="Mechanical Equipment"/>
    <s v="Medium Equipment"/>
    <s v="Shop Equipment"/>
    <s v="SHOP / MAINTENANCE EQUIPMENT  - PORTABLE WELDING SPARK PROTECTOR - AG - NED12375241  "/>
    <s v="2522-SQ-012"/>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08"/>
    <s v="SQ-"/>
    <s v="MM2"/>
    <s v="Medium Equipment"/>
    <s v="MM2"/>
    <s v="Mechanical Equipment"/>
    <s v="Medium Equipment"/>
    <s v="Shop Equipment"/>
    <s v="SHOP / MAINTENANCE EQUIPMENT  - SWEEPER  - AG  "/>
    <s v="2522-SQ-014"/>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09"/>
    <s v="SQ-"/>
    <s v="MM2"/>
    <s v="Medium Equipment"/>
    <s v="MM2"/>
    <s v="Mechanical Equipment"/>
    <s v="Medium Equipment"/>
    <s v="Shop Equipment"/>
    <s v="SHOP / MAINTENANCE EQUIPMENT  - TIRE CHANGER  - COATS APX80A  "/>
    <s v="2522-SQ-018"/>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10"/>
    <s v="SQ-"/>
    <s v="MM2"/>
    <s v="Medium Equipment"/>
    <s v="MM2"/>
    <s v="Mechanical Equipment"/>
    <s v="Medium Equipment"/>
    <s v="Shop Equipment"/>
    <s v="SHOP / MAINTENANCE EQUIPMENT  - BULK FLUID DISTRIBUTION SYSTEM  - AG  "/>
    <s v="2522-SQ-022"/>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11"/>
    <s v="SQ-"/>
    <s v="MM2"/>
    <s v="Medium Equipment"/>
    <s v="MM2"/>
    <s v="Mechanical Equipment"/>
    <s v="Medium Equipment"/>
    <m/>
    <s v="SHOP / MAINTENANCE EQUIPMENT  - EVAC TANK  - NORTHERN TOOL 30070V  _x000a_L: 1118, W: 508, H: 1093, 200 kg"/>
    <s v="2522-SQ-023"/>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12"/>
    <s v="SQ-"/>
    <s v="MM2"/>
    <s v="Medium Equipment"/>
    <s v="MM2"/>
    <s v="Mechanical Equipment"/>
    <s v="Medium Equipment"/>
    <m/>
    <s v="SHOP / MAINTENANCE EQUIPMENT  - WELDING MACHINE  - AG - MLW951-277  _x000a_L: 965, W: 584, H: 762, 192 kg"/>
    <s v="2522-SQ-025"/>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15"/>
    <s v="SQ-"/>
    <s v="MM2"/>
    <s v="Medium Equipment"/>
    <s v="MM2"/>
    <s v="Mechanical Equipment"/>
    <s v="Medium Equipment"/>
    <s v="Shop Equipment"/>
    <s v="SHOP / MAINTENANCE EQUIPMENT  - TIRE SPREADER  - ZHUHAI TEAMROC TR-S825  "/>
    <s v="2522-SQ-028"/>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16"/>
    <s v="SQ-"/>
    <s v="MM2"/>
    <s v="Medium Equipment"/>
    <s v="MM2"/>
    <s v="Mechanical Equipment"/>
    <s v="Medium Equipment"/>
    <s v="Shop Equipment"/>
    <s v="SHOP / MAINTENANCE EQUIPMENT  - BENCH GRINDER  - AG - WSWBG10D  W: 610, H: 345 "/>
    <s v="2522-SQ-029"/>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17"/>
    <s v="MT-"/>
    <s v="MM1"/>
    <s v="Light Equimpent"/>
    <s v="MM1"/>
    <s v="Mechanical Equipment"/>
    <s v="Light Equipment"/>
    <s v="Bench grinder"/>
    <s v="   BENCH GRINDER  "/>
    <s v="2522-MT-029"/>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18"/>
    <s v="SQ-"/>
    <s v="MM2"/>
    <s v="Medium Equipment"/>
    <s v="MM2"/>
    <s v="Mechanical Equipment"/>
    <s v="Medium Equipment"/>
    <s v="Shop Equipment"/>
    <s v="SHOP / MAINTENANCE EQUIPMENT  - BENCH GRINDER  - AG - WSWBG10D  W: 610, H: 345 "/>
    <s v="2522-SQ-030"/>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19"/>
    <s v="MT-"/>
    <s v="MM1"/>
    <s v="Light Equimpent"/>
    <s v="MM1"/>
    <s v="Mechanical Equipment"/>
    <s v="Light Equipment"/>
    <s v="Bench grinder"/>
    <s v="   BENCH GRINDER  "/>
    <s v="2522-MT-030"/>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20"/>
    <s v="SQ-"/>
    <s v="MM2"/>
    <s v="Medium Equipment"/>
    <s v="MM2"/>
    <s v="Mechanical Equipment"/>
    <s v="Medium Equipment"/>
    <s v="Shop Equipment"/>
    <s v="SHOP / MAINTENANCE EQUIPMENT  - TRUCK MOUNT GOODALL BOOST SYSTEM - AG  "/>
    <s v="2522-SQ-033"/>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21"/>
    <s v="SQ-"/>
    <s v="MM2"/>
    <s v="Medium Equipment"/>
    <s v="MM2"/>
    <s v="Mechanical Equipment"/>
    <s v="Medium Equipment"/>
    <s v="Shop Equipment"/>
    <s v="SHOP / MAINTENANCE EQUIPMENT  - GOODALL BOOST SYSTEM  - AG  "/>
    <s v="2522-SQ-034"/>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22"/>
    <s v="SQ-"/>
    <s v="MM1"/>
    <s v="Light Equimpent"/>
    <s v="MM1"/>
    <s v="Mechanical Equipment"/>
    <s v="Light Equipment"/>
    <m/>
    <s v="SHOP / MAINTENANCE EQUIPMENT  - A/C RECOVERY RECHARGE UNIT - ROBINAIR RBN17800B _x000a_L: 584, W: 864, H: 1120, 110 kg"/>
    <s v="2522-SQ-037"/>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23"/>
    <s v="SQ-"/>
    <s v="MM2"/>
    <s v="Medium Equipment"/>
    <s v="MM2"/>
    <s v="Mechanical Equipment"/>
    <s v="Medium Equipment"/>
    <s v="Shop Equipment"/>
    <s v="SHOP / MAINTENANCE EQUIPMENT  - BATTERY CHARGER  - AG - WSW1JYU3  "/>
    <s v="2522-SQ-038"/>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24"/>
    <s v="SQ-"/>
    <s v="MM2"/>
    <s v="Medium Equipment"/>
    <s v="MM2"/>
    <s v="Mechanical Equipment"/>
    <s v="Medium Equipment"/>
    <s v="Shop Equipment"/>
    <s v="SHOP / MAINTENANCE EQUIPMENT  - BATTERY CHARGER  - AG - WSW1JYU3  "/>
    <s v="2522-SQ-039"/>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5"/>
    <x v="4"/>
    <x v="20"/>
    <x v="17"/>
    <s v="325"/>
    <s v="SQ-"/>
    <s v="MM2"/>
    <s v="Medium Equipment"/>
    <s v="MM2"/>
    <s v="Mechanical Equipment"/>
    <s v="Medium Equipment"/>
    <s v="Shop Equipment"/>
    <s v="SHOP / MAINTENANCE EQUIPMENT  - TUBE BENDER  - AG  "/>
    <s v="2522-SQ-040"/>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17"/>
    <x v="14"/>
    <x v="22"/>
    <x v="19"/>
    <s v="367"/>
    <s v="PP-"/>
    <s v="MM1"/>
    <s v="Light Equimpent"/>
    <s v="MM1"/>
    <s v="Mechanical Equipment"/>
    <s v="Light Equipment"/>
    <s v="Pump"/>
    <s v="PUMP  - MILNE WASTE MANAGEMENT BUILDING FUEL OIL PUMP (DUTY) - VIKING DUPLEX OIL SYSTEMS  "/>
    <s v="2540-PP-00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17"/>
    <x v="14"/>
    <x v="22"/>
    <x v="19"/>
    <s v="368"/>
    <s v="MT-"/>
    <s v="MM1"/>
    <s v="Light Equimpent"/>
    <s v="MM1"/>
    <s v="Mechanical Equipment"/>
    <s v="Light Equipment"/>
    <s v="Pump"/>
    <s v="   FUEL OIL PUMP  "/>
    <s v="2540-MT-00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17"/>
    <x v="14"/>
    <x v="22"/>
    <x v="19"/>
    <s v="369"/>
    <s v="PP-"/>
    <s v="MM1"/>
    <s v="Light Equimpent"/>
    <s v="MM1"/>
    <s v="Mechanical Equipment"/>
    <s v="Light Equipment"/>
    <s v="Pump"/>
    <s v="PUMP  - MILNE WASTE MANAGEMENT BUILDING FUEL OIL PUMP (STANDBY) - VIKING DUPLEX OIL SYSTEMS  "/>
    <s v="2540-PP-003"/>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17"/>
    <x v="14"/>
    <x v="22"/>
    <x v="19"/>
    <s v="370"/>
    <s v="MT-"/>
    <s v="MM1"/>
    <s v="Light Equimpent"/>
    <s v="MM1"/>
    <s v="Mechanical Equipment"/>
    <s v="Light Equipment"/>
    <s v="Pump"/>
    <s v="   FUEL OIL PUMP  "/>
    <s v="2540-MT-003"/>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3"/>
    <x v="3"/>
    <x v="17"/>
    <x v="14"/>
    <x v="22"/>
    <x v="19"/>
    <s v="372"/>
    <s v="SQ-"/>
    <s v="MM2"/>
    <s v="Medium Equipment"/>
    <s v="MM2"/>
    <s v="Mechanical Equipment"/>
    <s v="Medium Equipment"/>
    <s v="Shop Equipment"/>
    <s v="SHOP / MAINTENANCE EQUIPMENT  - DRUM CRUSHER  - AG - VESHDC900IDC  650 kg"/>
    <s v="2540-SQ-003"/>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3"/>
    <x v="3"/>
    <x v="17"/>
    <x v="14"/>
    <x v="22"/>
    <x v="19"/>
    <s v="373"/>
    <s v="SQ-"/>
    <s v="MM2"/>
    <s v="Medium Equipment"/>
    <s v="MM2"/>
    <s v="Mechanical Equipment"/>
    <s v="Medium Equipment"/>
    <s v="Shop Equipment"/>
    <s v="SHOP / MAINTENANCE EQUIPMENT  - PLATFORM SCALE  - AG - OHAVX32XW10000X  "/>
    <s v="2540-SQ-004"/>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69"/>
    <x v="58"/>
    <s v="380"/>
    <s v="PP-"/>
    <s v="MM1"/>
    <s v="Light Equimpent"/>
    <s v="MM1"/>
    <s v="Mechanical Equipment"/>
    <s v="Light Equipment"/>
    <s v="Pump"/>
    <s v="PUMP  - OIL WATER SEPARATOR FEED PUMP "/>
    <s v="2610-PP-001"/>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69"/>
    <x v="58"/>
    <s v="381"/>
    <s v="PP-"/>
    <s v="MM1"/>
    <s v="Light Equimpent"/>
    <s v="MM1"/>
    <s v="Mechanical Equipment"/>
    <s v="Light Equipment"/>
    <s v="Pump"/>
    <s v="PUMP  - OIL WATER SEPARATOR FEED PUMP "/>
    <s v="2610-PP-002"/>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9"/>
    <x v="8"/>
    <s v="390"/>
    <s v="FD-"/>
    <s v="MM1"/>
    <s v="Light Equimpent"/>
    <s v="MM1"/>
    <s v="Mechanical Equipment"/>
    <s v="Light Equipment"/>
    <s v="Fuel dispenser"/>
    <s v="FUEL DISPENSER  - EXISTING DIESEL FUEL DISPENSING MODULE "/>
    <s v="2613-FD-013"/>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9"/>
    <x v="8"/>
    <s v="391"/>
    <s v="FD-"/>
    <s v="MM1"/>
    <s v="Light Equimpent"/>
    <s v="MM1"/>
    <s v="Mechanical Equipment"/>
    <s v="Light Equipment"/>
    <s v="Fuel dispenser"/>
    <s v="FUEL DISPENSER  - DIESEL FUEL DISPENSING MODULE "/>
    <s v="2613-FD-014"/>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9"/>
    <x v="8"/>
    <s v="392"/>
    <s v="PP-"/>
    <s v="MM1"/>
    <s v="Light Equimpent"/>
    <s v="MM1"/>
    <s v="Mechanical Equipment"/>
    <s v="Light Equipment"/>
    <s v="Pump"/>
    <s v="PUMP  - DIESEL FUEL DISPENSING MODULE ARCTIC DIESEL PUMP NO.1 "/>
    <s v="2613-PP-007"/>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9"/>
    <x v="8"/>
    <s v="393"/>
    <s v="PP-"/>
    <s v="MM1"/>
    <s v="Light Equimpent"/>
    <s v="MM1"/>
    <s v="Mechanical Equipment"/>
    <s v="Light Equipment"/>
    <s v="Pump"/>
    <s v="PUMP  - DIESEL FUEL DISPENSING MODULE ARCTIC DIESEL PUMP NO.2 "/>
    <s v="2613-PP-008"/>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9"/>
    <x v="8"/>
    <s v="394"/>
    <s v="PP-"/>
    <s v="MM1"/>
    <s v="Light Equimpent"/>
    <s v="MM1"/>
    <s v="Mechanical Equipment"/>
    <s v="Light Equipment"/>
    <s v="Pump"/>
    <s v="PUMP  - DIESEL FUEL DISPENSING MODULE ARCTIC DIESEL PUMP NO.3 "/>
    <s v="2613-PP-009"/>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9"/>
    <x v="8"/>
    <s v="395"/>
    <s v="PP-"/>
    <s v="MM1"/>
    <s v="Light Equimpent"/>
    <s v="MM1"/>
    <s v="Mechanical Equipment"/>
    <s v="Light Equipment"/>
    <s v="Pump"/>
    <s v="PUMP  - DIESEL FUEL DISPENSING MODULE ARCTIC DIESEL PUMP NO.4 "/>
    <s v="2613-PP-010"/>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9"/>
    <x v="8"/>
    <s v="396"/>
    <s v="PP-"/>
    <s v="MM1"/>
    <s v="Light Equimpent"/>
    <s v="MM1"/>
    <s v="Mechanical Equipment"/>
    <s v="Light Equipment"/>
    <s v="Pump"/>
    <s v="PUMP  - DIESEL FUEL DISPENSING MODULE ARCTIC DIESEL PUMP NO.5 "/>
    <s v="2613-PP-01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9"/>
    <x v="8"/>
    <s v="397"/>
    <s v="PP-"/>
    <s v="MM1"/>
    <s v="Light Equimpent"/>
    <s v="MM1"/>
    <s v="Mechanical Equipment"/>
    <s v="Light Equipment"/>
    <s v="Pump"/>
    <s v="PUMP  - DIESEL FUEL DISPENSING MODULE ARCTIC DIESEL PUMP NO.6 "/>
    <s v="2613-PP-01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36"/>
    <x v="32"/>
    <s v="408"/>
    <s v="FD-"/>
    <s v="MM1"/>
    <s v="Light Equimpent"/>
    <s v="MM1"/>
    <s v="Mechanical Equipment"/>
    <s v="Light Equipment"/>
    <s v="Fuel dispenser"/>
    <s v="FUEL DISPENSER  - JET-A1 FUEL DISPENSING MODULE "/>
    <s v="2614-FD-01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36"/>
    <x v="32"/>
    <s v="409"/>
    <s v="FS-"/>
    <s v="MM2"/>
    <s v="Medium Equipment"/>
    <s v="MM2"/>
    <s v="Mechanical Equipment"/>
    <s v="Medium Equipment"/>
    <s v="Jet Fuel Dispenser"/>
    <s v="FIRE SERVICES  - JET-A1 FUEL DIESPENSING MODULE FUELLING STATION "/>
    <s v="2614-FS-003"/>
    <n v="0"/>
    <s v="ea"/>
    <n v="19.2"/>
    <n v="213"/>
    <n v="1918.3369142857146"/>
    <n v="2130"/>
    <n v="4261.3369142857146"/>
    <n v="0"/>
    <n v="0"/>
    <n v="0"/>
    <n v="0"/>
    <n v="0"/>
    <n v="1"/>
    <n v="0"/>
    <n v="1"/>
    <n v="0"/>
    <n v="0"/>
    <n v="1"/>
    <n v="0"/>
    <n v="0"/>
    <n v="0"/>
    <n v="0"/>
    <s v="Type B Construction_x000a_2BC-MRY1416"/>
    <s v="Removed"/>
    <n v="2014"/>
    <s v="Direct "/>
    <m/>
    <m/>
    <n v="0.5"/>
    <n v="0.5"/>
    <m/>
    <m/>
    <m/>
    <m/>
    <m/>
    <m/>
    <n v="0"/>
    <m/>
    <n v="0"/>
    <n v="0"/>
    <n v="0"/>
    <n v="0"/>
    <n v="0"/>
    <n v="0"/>
    <n v="0"/>
    <n v="0"/>
  </r>
  <r>
    <x v="1"/>
    <x v="1"/>
    <x v="6"/>
    <x v="6"/>
    <x v="8"/>
    <x v="7"/>
    <x v="36"/>
    <x v="32"/>
    <s v="410"/>
    <s v="FS-"/>
    <s v="MM2"/>
    <s v="Medium Equipment"/>
    <s v="MM2"/>
    <s v="Mechanical Equipment"/>
    <s v="Medium Equipment"/>
    <s v="Jet Fuel Dispenser"/>
    <s v="FIRE SERVICES  - JET-A1 FUEL DIESPENSING MODULE FUELLING STATION "/>
    <s v="2614-FS-004"/>
    <n v="0"/>
    <s v="ea"/>
    <n v="19.2"/>
    <n v="213"/>
    <n v="1918.3369142857146"/>
    <n v="2130"/>
    <n v="4261.3369142857146"/>
    <n v="0"/>
    <n v="0"/>
    <n v="0"/>
    <n v="0"/>
    <n v="0"/>
    <n v="1"/>
    <n v="0"/>
    <n v="1"/>
    <n v="0"/>
    <n v="0"/>
    <n v="1"/>
    <n v="0"/>
    <n v="0"/>
    <n v="0"/>
    <n v="0"/>
    <s v="Type B Construction_x000a_2BC-MRY1416"/>
    <s v="Removed"/>
    <n v="2014"/>
    <s v="Direct "/>
    <m/>
    <m/>
    <n v="0.5"/>
    <n v="0.5"/>
    <m/>
    <m/>
    <m/>
    <m/>
    <m/>
    <m/>
    <n v="0"/>
    <m/>
    <n v="0"/>
    <n v="0"/>
    <n v="0"/>
    <n v="0"/>
    <n v="0"/>
    <n v="0"/>
    <n v="0"/>
    <n v="0"/>
  </r>
  <r>
    <x v="1"/>
    <x v="1"/>
    <x v="6"/>
    <x v="6"/>
    <x v="8"/>
    <x v="7"/>
    <x v="36"/>
    <x v="32"/>
    <s v="411"/>
    <s v="PP-"/>
    <s v="MM1"/>
    <s v="Light Equimpent"/>
    <s v="MM1"/>
    <s v="Mechanical Equipment"/>
    <s v="Light Equipment"/>
    <s v="Pump"/>
    <s v="PUMP  - JET-A1 FUEL DIESPENSING MODULE DISCHARGE PUMP "/>
    <s v="2614-PP-00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36"/>
    <x v="32"/>
    <s v="412"/>
    <s v="PP-"/>
    <s v="MM1"/>
    <s v="Light Equimpent"/>
    <s v="MM1"/>
    <s v="Mechanical Equipment"/>
    <s v="Light Equipment"/>
    <s v="Pump"/>
    <s v="PUMP  - JET-A1 FUEL DIESPENSING MODULE DISCHARGE PUMP "/>
    <s v="2614-PP-00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6"/>
    <x v="6"/>
    <x v="8"/>
    <x v="7"/>
    <x v="70"/>
    <x v="35"/>
    <s v="422"/>
    <s v="GE-"/>
    <s v="MM2"/>
    <s v="Medium Equipment"/>
    <s v="MM2"/>
    <s v="Mechanical Equipment"/>
    <s v="Medium Equipment"/>
    <s v="Generator"/>
    <s v="GENERATOR  - GENERATOR  "/>
    <s v="2619-GE-001"/>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70"/>
    <x v="35"/>
    <s v="423"/>
    <s v="GE-"/>
    <s v="MM2"/>
    <s v="Medium Equipment"/>
    <s v="MM2"/>
    <s v="Mechanical Equipment"/>
    <s v="Medium Equipment"/>
    <s v="Generator"/>
    <s v="GENERATOR  - GENERATOR  "/>
    <s v="2619-GE-002"/>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70"/>
    <x v="35"/>
    <s v="424"/>
    <s v="GE-"/>
    <s v="MM2"/>
    <s v="Medium Equipment"/>
    <s v="MM2"/>
    <s v="Mechanical Equipment"/>
    <s v="Medium Equipment"/>
    <s v="Generator"/>
    <s v="GENERATOR  - GENERATOR  "/>
    <s v="2619-GE-003"/>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70"/>
    <x v="35"/>
    <s v="425"/>
    <s v="GE-"/>
    <s v="MM2"/>
    <s v="Medium Equipment"/>
    <s v="MM2"/>
    <s v="Mechanical Equipment"/>
    <s v="Medium Equipment"/>
    <s v="Generator"/>
    <s v="GENERATOR  - GENERATOR  "/>
    <s v="2619-GE-004"/>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70"/>
    <x v="35"/>
    <s v="426"/>
    <s v="GE-"/>
    <s v="MM2"/>
    <s v="Medium Equipment"/>
    <s v="MM2"/>
    <s v="Mechanical Equipment"/>
    <s v="Medium Equipment"/>
    <s v="Generator"/>
    <s v="GENERATOR  - GENERATOR  "/>
    <s v="2619-GE-005"/>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70"/>
    <x v="35"/>
    <s v="427"/>
    <s v="GE-"/>
    <s v="MM2"/>
    <s v="Medium Equipment"/>
    <s v="MM2"/>
    <s v="Mechanical Equipment"/>
    <s v="Medium Equipment"/>
    <s v="Generator"/>
    <s v="GENERATOR  - GENERATOR  "/>
    <s v="2619-GE-006"/>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6"/>
    <x v="6"/>
    <x v="8"/>
    <x v="7"/>
    <x v="70"/>
    <x v="35"/>
    <s v="428"/>
    <s v="GE-"/>
    <s v="MM2"/>
    <s v="Medium Equipment"/>
    <s v="MM2"/>
    <s v="Mechanical Equipment"/>
    <s v="Medium Equipment"/>
    <s v="Generator"/>
    <s v="GENERATOR  - GENERATOR  "/>
    <s v="2619-GE-007"/>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5"/>
    <x v="5"/>
    <x v="35"/>
    <x v="25"/>
    <x v="71"/>
    <x v="59"/>
    <m/>
    <s v="TK-"/>
    <s v="MT1"/>
    <s v="Light Tanks"/>
    <s v="MT1"/>
    <s v="Mechanical Equipment"/>
    <s v="Light Tanks"/>
    <m/>
    <s v="Additional Light Size tanks"/>
    <m/>
    <n v="0"/>
    <s v="ea"/>
    <n v="9.6666666666666661"/>
    <n v="107.5"/>
    <n v="965.82934920634932"/>
    <n v="1075"/>
    <n v="2148.3293492063494"/>
    <n v="0"/>
    <n v="0"/>
    <n v="0"/>
    <n v="0"/>
    <n v="0"/>
    <n v="1"/>
    <n v="0"/>
    <n v="1"/>
    <n v="0"/>
    <n v="0"/>
    <n v="1"/>
    <n v="0"/>
    <n v="0"/>
    <n v="0"/>
    <n v="0"/>
    <s v="Type B Construction_x000a_2BC-MRY1416"/>
    <s v="Removed"/>
    <s v="2015 A"/>
    <s v="Direct "/>
    <m/>
    <m/>
    <n v="0.5"/>
    <n v="0.5"/>
    <m/>
    <m/>
    <m/>
    <m/>
    <m/>
    <m/>
    <n v="0"/>
    <m/>
    <n v="0"/>
    <n v="0"/>
    <n v="0"/>
    <n v="0"/>
    <n v="0"/>
    <n v="0"/>
    <n v="0"/>
    <n v="0"/>
  </r>
  <r>
    <x v="1"/>
    <x v="1"/>
    <x v="5"/>
    <x v="5"/>
    <x v="35"/>
    <x v="25"/>
    <x v="71"/>
    <x v="59"/>
    <m/>
    <s v="TK-"/>
    <s v="MT2"/>
    <s v="Medium Tanks"/>
    <s v="MT2"/>
    <s v="Mechanical Equipment"/>
    <s v="Medium Tanks"/>
    <m/>
    <s v="Additional Medium Size tanks"/>
    <m/>
    <n v="0"/>
    <s v="ea"/>
    <n v="31"/>
    <n v="390"/>
    <n v="3097.3148095238098"/>
    <n v="3900"/>
    <n v="7387.3148095238103"/>
    <n v="0"/>
    <n v="0"/>
    <n v="0"/>
    <n v="0"/>
    <n v="0"/>
    <n v="2"/>
    <n v="0"/>
    <n v="1"/>
    <n v="0"/>
    <n v="0"/>
    <n v="1"/>
    <n v="0"/>
    <n v="0"/>
    <n v="0"/>
    <n v="0"/>
    <s v="Type B Construction_x000a_2BC-MRY1416"/>
    <s v="Removed"/>
    <s v="2015 A"/>
    <s v="Direct "/>
    <m/>
    <m/>
    <n v="0.5"/>
    <n v="0.5"/>
    <m/>
    <m/>
    <m/>
    <m/>
    <m/>
    <m/>
    <n v="0"/>
    <m/>
    <n v="0"/>
    <n v="0"/>
    <n v="0"/>
    <n v="0"/>
    <n v="0"/>
    <n v="0"/>
    <n v="0"/>
    <n v="0"/>
  </r>
  <r>
    <x v="1"/>
    <x v="1"/>
    <x v="5"/>
    <x v="5"/>
    <x v="22"/>
    <x v="17"/>
    <x v="55"/>
    <x v="31"/>
    <m/>
    <s v="TK-"/>
    <s v="MT1"/>
    <s v="Light Tanks"/>
    <s v="MT1"/>
    <s v="Mechanical Equipment"/>
    <s v="Light Tanks"/>
    <m/>
    <s v="TANK  - RAW WATER TANK (25 m3)"/>
    <m/>
    <n v="0"/>
    <s v="ea"/>
    <n v="9.6666666666666661"/>
    <n v="107.5"/>
    <n v="965.82934920634932"/>
    <n v="1075"/>
    <n v="2148.3293492063494"/>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5"/>
    <x v="5"/>
    <x v="10"/>
    <x v="9"/>
    <x v="72"/>
    <x v="10"/>
    <s v="008"/>
    <s v="BLD"/>
    <s v="FF1"/>
    <s v="Modular Building Not Contaminated (480 ft2)"/>
    <s v="FS"/>
    <s v="Buildings (Not Contaminated)"/>
    <s v="Prefabricated Special Modular"/>
    <m/>
    <s v="Accommodation Area E-House #3 - Demolish and Decontaminate Building - Special Modular / Prefabricated"/>
    <s v="2750-BLD-008"/>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5"/>
    <x v="5"/>
    <x v="10"/>
    <x v="9"/>
    <x v="72"/>
    <x v="10"/>
    <s v="008"/>
    <s v="BLD"/>
    <s v="EG"/>
    <s v="Gravel Base Removal"/>
    <s v="EG"/>
    <s v="Flooring / Foundations"/>
    <s v="Gravel Base"/>
    <m/>
    <s v="Accommodation Area E-House #3 - Demolish and foundations - Gravel Base - Skidded Building"/>
    <s v="2750-BLD-008"/>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5"/>
    <x v="5"/>
    <x v="10"/>
    <x v="9"/>
    <x v="72"/>
    <x v="10"/>
    <s v="008"/>
    <s v="BLD"/>
    <m/>
    <e v="#N/A"/>
    <s v="FW"/>
    <s v="Flooring / Foundations"/>
    <s v="Wood Floor"/>
    <m/>
    <s v="Accommodation Area E-House #3 - Demolish floor finish - Raised Steel or Wooden Floor"/>
    <s v="2750-BLD-008"/>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5"/>
    <x v="5"/>
    <x v="10"/>
    <x v="9"/>
    <x v="72"/>
    <x v="10"/>
    <s v="009"/>
    <s v="BLD"/>
    <s v="FF1"/>
    <s v="Modular Building Not Contaminated (480 ft2)"/>
    <s v="FS"/>
    <s v="Buildings (Not Contaminated)"/>
    <s v="Prefabricated Special Modular"/>
    <m/>
    <s v="Services Area E-House #3 - Demolish and Decontaminate Building - Special Modular / Prefabricated"/>
    <s v="2750-BLD-009"/>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1"/>
    <x v="1"/>
    <x v="5"/>
    <x v="5"/>
    <x v="10"/>
    <x v="9"/>
    <x v="72"/>
    <x v="10"/>
    <s v="009"/>
    <s v="BLD"/>
    <s v="EG"/>
    <s v="Gravel Base Removal"/>
    <s v="EG"/>
    <s v="Flooring / Foundations"/>
    <s v="Gravel Base"/>
    <m/>
    <s v="Services Area E-House #3 - Demolish and foundations - Gravel Base - Skidded Building"/>
    <s v="2750-BLD-009"/>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5"/>
    <x v="5"/>
    <x v="10"/>
    <x v="9"/>
    <x v="72"/>
    <x v="10"/>
    <s v="009"/>
    <s v="BLD"/>
    <m/>
    <e v="#N/A"/>
    <s v="FW"/>
    <s v="Flooring / Foundations"/>
    <s v="Wood Floor"/>
    <m/>
    <s v="Services Area E-House #3 - Demolish floor finish - Raised Steel or Wooden Floor"/>
    <s v="2750-BLD-009"/>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1"/>
    <x v="1"/>
    <x v="5"/>
    <x v="5"/>
    <x v="22"/>
    <x v="17"/>
    <x v="43"/>
    <x v="31"/>
    <s v="434"/>
    <s v="PP-"/>
    <s v="MM1"/>
    <s v="Light Equimpent"/>
    <s v="MM1"/>
    <s v="Mechanical Equipment"/>
    <s v="Light Equipment"/>
    <s v="Pump"/>
    <s v="PUMP  - RAW WATER DISTRIBUTION PUMP "/>
    <s v="2720-PP-002"/>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35"/>
    <s v="PP-"/>
    <s v="MM1"/>
    <s v="Light Equimpent"/>
    <s v="MM1"/>
    <s v="Mechanical Equipment"/>
    <s v="Light Equipment"/>
    <s v="Pump"/>
    <s v="PUMP  - RAW WATER DISTRIBUTION PUMP "/>
    <s v="2720-PP-003"/>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36"/>
    <s v="PP-"/>
    <s v="MM1"/>
    <s v="Light Equimpent"/>
    <s v="MM1"/>
    <s v="Mechanical Equipment"/>
    <s v="Light Equipment"/>
    <s v="Pump"/>
    <s v="PUMP  - DIESEL FIRE WATER PUMP "/>
    <s v="2720-PP-004"/>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37"/>
    <s v="PP-"/>
    <s v="MM1"/>
    <s v="Light Equimpent"/>
    <s v="MM1"/>
    <s v="Mechanical Equipment"/>
    <s v="Light Equipment"/>
    <s v="Pump"/>
    <s v="PUMP  - ELECTRIC FIRE WATER PUMP "/>
    <s v="2720-PP-005"/>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38"/>
    <s v="PP-"/>
    <s v="MM1"/>
    <s v="Light Equimpent"/>
    <s v="MM1"/>
    <s v="Mechanical Equipment"/>
    <s v="Light Equipment"/>
    <s v="Pump"/>
    <s v="PUMP  - JOCKEY PUMP "/>
    <s v="2720-PP-006"/>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39"/>
    <s v="PP-"/>
    <s v="MM1"/>
    <s v="Light Equimpent"/>
    <s v="MM1"/>
    <s v="Mechanical Equipment"/>
    <s v="Light Equipment"/>
    <s v="Pump"/>
    <s v="PUMP  - POTABLE WATER DISCHARGE PUMP NO.1 "/>
    <s v="2720-PP-009"/>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40"/>
    <s v="PP-"/>
    <s v="MM1"/>
    <s v="Light Equimpent"/>
    <s v="MM1"/>
    <s v="Mechanical Equipment"/>
    <s v="Light Equipment"/>
    <s v="Pump"/>
    <s v="PUMP  - POTABLE WATER DISCHARGE PUMP NO.2 "/>
    <s v="2720-PP-010"/>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41"/>
    <s v="PP-"/>
    <s v="MM1"/>
    <s v="Light Equimpent"/>
    <s v="MM1"/>
    <s v="Mechanical Equipment"/>
    <s v="Light Equipment"/>
    <s v="Pump"/>
    <s v="PUMP  - BACKWASH SLURRY PUMP "/>
    <s v="2720-PP-012"/>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42"/>
    <s v="PP-"/>
    <s v="MM1"/>
    <s v="Light Equimpent"/>
    <s v="MM1"/>
    <s v="Mechanical Equipment"/>
    <s v="Light Equipment"/>
    <s v="Pump"/>
    <s v="PUMP  - CLEAN BACKWASH PUMP "/>
    <s v="2720-PP-013"/>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43"/>
    <s v="PP-"/>
    <s v="MM1"/>
    <s v="Light Equimpent"/>
    <s v="MM1"/>
    <s v="Mechanical Equipment"/>
    <s v="Light Equipment"/>
    <s v="Pump"/>
    <s v="PUMP  - RAW WATER UNLOADING PUMP - HAYWARD GORDON S-3 "/>
    <s v="2720-PP-021"/>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22"/>
    <x v="17"/>
    <x v="43"/>
    <x v="31"/>
    <s v="444"/>
    <s v="PP-"/>
    <s v="MM1"/>
    <s v="Light Equimpent"/>
    <s v="MM1"/>
    <s v="Mechanical Equipment"/>
    <s v="Light Equipment"/>
    <s v="Pump"/>
    <s v="PUMP  - MILNE WATER BUILDING FUEL OIL PUMP (DUTY) - VIKING DUPLEX OIL SYSTEMS  "/>
    <s v="2720-PP-03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5"/>
    <x v="5"/>
    <x v="22"/>
    <x v="17"/>
    <x v="43"/>
    <x v="31"/>
    <s v="445"/>
    <s v="MT-"/>
    <s v="MM1"/>
    <s v="Light Equimpent"/>
    <s v="MM1"/>
    <s v="Mechanical Equipment"/>
    <s v="Light Equipment"/>
    <s v="Pump"/>
    <s v="   FUEL OIL PUMP  "/>
    <s v="2720-MT-03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5"/>
    <x v="5"/>
    <x v="22"/>
    <x v="17"/>
    <x v="43"/>
    <x v="31"/>
    <s v="446"/>
    <s v="PP-"/>
    <s v="MM1"/>
    <s v="Light Equimpent"/>
    <s v="MM1"/>
    <s v="Mechanical Equipment"/>
    <s v="Light Equipment"/>
    <s v="Pump"/>
    <s v="PUMP  - MILNE WATER BUILDING FUEL OIL PUMP (STANDBY) - VIKING DUPLEX OIL SYSTEMS  "/>
    <s v="2720-PP-03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5"/>
    <x v="5"/>
    <x v="22"/>
    <x v="17"/>
    <x v="43"/>
    <x v="31"/>
    <s v="447"/>
    <s v="MT-"/>
    <s v="MM1"/>
    <s v="Light Equimpent"/>
    <s v="MM1"/>
    <s v="Mechanical Equipment"/>
    <s v="Light Equipment"/>
    <s v="Pump"/>
    <s v="   FUEL OIL PUMP  "/>
    <s v="2720-MT-03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5"/>
    <x v="5"/>
    <x v="7"/>
    <x v="6"/>
    <x v="41"/>
    <x v="26"/>
    <s v="462"/>
    <s v="PP-"/>
    <s v="MM1"/>
    <s v="Light Equimpent"/>
    <s v="MM1"/>
    <s v="Mechanical Equipment"/>
    <s v="Light Equipment"/>
    <s v="Pump"/>
    <s v="PUMP  - TREATED EFFLUENT DISCHARGE PUMP NO.1 "/>
    <s v="2731-PP-003"/>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7"/>
    <x v="6"/>
    <x v="41"/>
    <x v="26"/>
    <s v="463"/>
    <s v="PP-"/>
    <s v="MM1"/>
    <s v="Light Equimpent"/>
    <s v="MM1"/>
    <s v="Mechanical Equipment"/>
    <s v="Light Equipment"/>
    <s v="Pump"/>
    <s v="PUMP  - TREATED EFFLUENT DISCHARGE PUMP NO.2 "/>
    <s v="2731-PP-004"/>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1"/>
    <x v="1"/>
    <x v="5"/>
    <x v="5"/>
    <x v="7"/>
    <x v="6"/>
    <x v="41"/>
    <x v="26"/>
    <s v="464"/>
    <s v="SC-"/>
    <s v="MM2"/>
    <s v="Medium Equipment"/>
    <s v="MM2"/>
    <s v="Mechanical Equipment"/>
    <s v="Medium Equipment"/>
    <s v="Screen"/>
    <s v="SCREEN  - SCREEN  "/>
    <s v="2731-SC-001"/>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1"/>
    <x v="1"/>
    <x v="5"/>
    <x v="5"/>
    <x v="7"/>
    <x v="6"/>
    <x v="51"/>
    <x v="36"/>
    <s v="473"/>
    <s v="PP-"/>
    <s v="MM1"/>
    <s v="Light Equimpent"/>
    <s v="MM1"/>
    <s v="Mechanical Equipment"/>
    <s v="Light Equipment"/>
    <s v="Pump"/>
    <s v="PUMP  - MILNE SEWAGE TRUCK BUILDING FUEL OIL PUMP (DUTY) - VIKING DUPLEX OIL SYSTEMS  "/>
    <s v="2732-PP-00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5"/>
    <x v="5"/>
    <x v="7"/>
    <x v="6"/>
    <x v="51"/>
    <x v="36"/>
    <s v="474"/>
    <s v="MT-"/>
    <s v="MM1"/>
    <s v="Light Equimpent"/>
    <s v="MM1"/>
    <s v="Mechanical Equipment"/>
    <s v="Light Equipment"/>
    <s v="Pump"/>
    <s v="   FUEL OIL PUMP  "/>
    <s v="2732-MT-001"/>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5"/>
    <x v="5"/>
    <x v="7"/>
    <x v="6"/>
    <x v="51"/>
    <x v="36"/>
    <s v="475"/>
    <s v="PP-"/>
    <s v="MM1"/>
    <s v="Light Equimpent"/>
    <s v="MM1"/>
    <s v="Mechanical Equipment"/>
    <s v="Light Equipment"/>
    <s v="Pump"/>
    <s v="PUMP  - MILNE SEWAGE TRUCK BUILDING FUEL OIL PUMP (STANDBY) - VIKING DUPLEX OIL SYSTEMS  "/>
    <s v="2732-PP-00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5"/>
    <x v="5"/>
    <x v="7"/>
    <x v="6"/>
    <x v="51"/>
    <x v="36"/>
    <s v="476"/>
    <s v="MT-"/>
    <s v="MM1"/>
    <s v="Light Equimpent"/>
    <s v="MM1"/>
    <s v="Mechanical Equipment"/>
    <s v="Light Equipment"/>
    <s v="Pump"/>
    <s v="   FUEL OIL PUMP  "/>
    <s v="2732-MT-002"/>
    <n v="0"/>
    <s v="ea"/>
    <n v="8.1"/>
    <n v="106.5"/>
    <n v="809.29838571428581"/>
    <n v="1065"/>
    <n v="1980.7983857142858"/>
    <n v="0"/>
    <n v="0"/>
    <n v="0"/>
    <n v="0"/>
    <n v="0"/>
    <n v="0.5"/>
    <n v="0"/>
    <n v="1"/>
    <n v="0"/>
    <n v="0"/>
    <n v="1"/>
    <n v="0"/>
    <n v="0"/>
    <n v="0"/>
    <n v="0"/>
    <s v="Type B Construction_x000a_2BC-MRY1416"/>
    <s v="Removed"/>
    <n v="2014"/>
    <s v="Direct "/>
    <m/>
    <m/>
    <n v="0.5"/>
    <n v="0.5"/>
    <m/>
    <m/>
    <m/>
    <m/>
    <m/>
    <m/>
    <n v="0"/>
    <m/>
    <n v="0"/>
    <n v="0"/>
    <n v="0"/>
    <n v="0"/>
    <n v="0"/>
    <n v="0"/>
    <n v="0"/>
    <n v="0"/>
  </r>
  <r>
    <x v="1"/>
    <x v="1"/>
    <x v="2"/>
    <x v="2"/>
    <x v="2"/>
    <x v="2"/>
    <x v="2"/>
    <x v="2"/>
    <s v="130"/>
    <s v="MT-"/>
    <m/>
    <e v="#N/A"/>
    <m/>
    <m/>
    <m/>
    <m/>
    <s v="RECLAIM CONVEYOR  "/>
    <s v="2342-MT-001"/>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68"/>
    <s v="MT-"/>
    <m/>
    <s v="Ship Loader"/>
    <s v="Ship Loader"/>
    <m/>
    <s v="Ship Loader"/>
    <m/>
    <s v="SPOT  "/>
    <s v="2351-MT-001AA"/>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69"/>
    <s v="MT-"/>
    <m/>
    <s v="Ship Loader"/>
    <s v="Ship Loader"/>
    <m/>
    <s v="Ship Loader"/>
    <m/>
    <s v="FEEDER CABIN  "/>
    <s v="2351-MT-001AB"/>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88"/>
    <s v="MT-"/>
    <m/>
    <s v="Ship Loader"/>
    <s v="Ship Loader"/>
    <m/>
    <s v="Ship Loader"/>
    <m/>
    <s v="AIR CONDITIONER E-HOUSE  "/>
    <s v="2351-MT-001V"/>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89"/>
    <s v="MT-"/>
    <m/>
    <s v="Ship Loader"/>
    <s v="Ship Loader"/>
    <m/>
    <s v="Ship Loader"/>
    <m/>
    <s v="HEATER E-HOUSE  "/>
    <s v="2351-MT-001W"/>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90"/>
    <s v="MT-"/>
    <m/>
    <s v="Ship Loader"/>
    <s v="Ship Loader"/>
    <m/>
    <s v="Ship Loader"/>
    <m/>
    <s v="DUST COLLECTOR E-HOUSE  "/>
    <s v="2351-MT-001X"/>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91"/>
    <s v="MT-"/>
    <m/>
    <s v="Ship Loader"/>
    <s v="Ship Loader"/>
    <m/>
    <s v="Ship Loader"/>
    <m/>
    <s v="WELDING RECEPTACLE  "/>
    <s v="2351-MT-001Y"/>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92"/>
    <s v="MT-"/>
    <m/>
    <s v="Ship Loader"/>
    <s v="Ship Loader"/>
    <m/>
    <s v="Ship Loader"/>
    <m/>
    <s v="HEATER/ILLUMINATION OUTDOOR/INDOOR SWITCH GEAR  "/>
    <s v="2351-MT-001Z"/>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95"/>
    <s v="MT-"/>
    <m/>
    <s v="Ship Loader"/>
    <s v="Ship Loader"/>
    <m/>
    <s v="Ship Loader"/>
    <m/>
    <s v="SPOT  "/>
    <s v="2351-MT-002AA"/>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196"/>
    <s v="MT-"/>
    <m/>
    <s v="Ship Loader"/>
    <s v="Ship Loader"/>
    <m/>
    <s v="Ship Loader"/>
    <m/>
    <s v="FEEDER CABIN  "/>
    <s v="2351-MT-002AB"/>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215"/>
    <s v="MT-"/>
    <m/>
    <s v="Ship Loader"/>
    <s v="Ship Loader"/>
    <m/>
    <s v="Ship Loader"/>
    <m/>
    <s v="AIR CONDITIONER E-HOUSE  "/>
    <s v="2351-MT-002V"/>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216"/>
    <s v="MT-"/>
    <m/>
    <s v="Ship Loader"/>
    <s v="Ship Loader"/>
    <m/>
    <s v="Ship Loader"/>
    <m/>
    <s v="HEATER E-HOUSE  "/>
    <s v="2351-MT-002W"/>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217"/>
    <s v="MT-"/>
    <m/>
    <s v="Ship Loader"/>
    <s v="Ship Loader"/>
    <m/>
    <s v="Ship Loader"/>
    <m/>
    <s v="DUST COLLECTOR E-HOUSE  "/>
    <s v="2351-MT-002X"/>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218"/>
    <s v="MT-"/>
    <m/>
    <s v="Ship Loader"/>
    <s v="Ship Loader"/>
    <m/>
    <s v="Ship Loader"/>
    <m/>
    <s v="WELDING RECEPTACLE  "/>
    <s v="2351-MT-002Y"/>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2"/>
    <x v="2"/>
    <x v="33"/>
    <x v="23"/>
    <x v="62"/>
    <x v="48"/>
    <s v="219"/>
    <s v="MT-"/>
    <m/>
    <s v="Ship Loader"/>
    <s v="Ship Loader"/>
    <m/>
    <s v="Ship Loader"/>
    <m/>
    <s v="HEATER/ILLUMINATION OUTDOOR/INDOOR SWITCH GEAR  "/>
    <s v="2351-MT-002Z"/>
    <n v="1"/>
    <s v="ea"/>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10"/>
    <x v="9"/>
    <x v="11"/>
    <x v="10"/>
    <s v="496"/>
    <s v="BLD"/>
    <s v="EG"/>
    <s v="Gravel Base Removal"/>
    <s v="EG"/>
    <s v="Flooring / Foundations"/>
    <s v="Gravel Base"/>
    <m/>
    <s v="Fuel Tank Farm E-House - Demolish and foundations - Gravel Base - Skidded Building"/>
    <s v="2750-BLD-005"/>
    <n v="2.3234200743494426"/>
    <s v="m2"/>
    <n v="0"/>
    <n v="0"/>
    <n v="0"/>
    <n v="0"/>
    <n v="0"/>
    <n v="0"/>
    <n v="0"/>
    <n v="0"/>
    <n v="0"/>
    <n v="0"/>
    <n v="0"/>
    <n v="0"/>
    <n v="1"/>
    <n v="0"/>
    <n v="0"/>
    <n v="1"/>
    <n v="0"/>
    <n v="0"/>
    <n v="0"/>
    <n v="0"/>
    <s v="Type B Construction_x000a_2BC-MRY1416"/>
    <m/>
    <n v="2014"/>
    <s v="Direct "/>
    <m/>
    <m/>
    <n v="0.5"/>
    <n v="0.5"/>
    <m/>
    <m/>
    <m/>
    <m/>
    <m/>
    <m/>
    <n v="0"/>
    <m/>
    <n v="0"/>
    <n v="0"/>
    <n v="0"/>
    <n v="0"/>
    <n v="0"/>
    <n v="0"/>
    <n v="0"/>
    <n v="0"/>
  </r>
  <r>
    <x v="1"/>
    <x v="1"/>
    <x v="5"/>
    <x v="5"/>
    <x v="10"/>
    <x v="9"/>
    <x v="11"/>
    <x v="10"/>
    <s v="497"/>
    <s v="BLD"/>
    <m/>
    <e v="#N/A"/>
    <s v="FW"/>
    <s v="Flooring / Foundations"/>
    <s v="Wood Floor"/>
    <m/>
    <s v="Fuel Tank Farm E-House - Demolish floor finish - Raised Steel or Wooden Floor"/>
    <s v="2750-BLD-005"/>
    <n v="2.3234200743494426"/>
    <s v="m2"/>
    <s v="0"/>
    <s v="0"/>
    <s v="0"/>
    <s v="0"/>
    <s v="0"/>
    <n v="0"/>
    <n v="0"/>
    <n v="0"/>
    <n v="0"/>
    <n v="0"/>
    <n v="0"/>
    <n v="0"/>
    <n v="1"/>
    <n v="0"/>
    <n v="0"/>
    <n v="1"/>
    <n v="0"/>
    <n v="0"/>
    <n v="0"/>
    <n v="0"/>
    <s v="Type B Construction_x000a_2BC-MRY1416"/>
    <m/>
    <n v="2014"/>
    <s v="Direct "/>
    <m/>
    <m/>
    <n v="0.5"/>
    <n v="0.5"/>
    <m/>
    <m/>
    <m/>
    <m/>
    <m/>
    <m/>
    <n v="0"/>
    <m/>
    <n v="0"/>
    <n v="0"/>
    <n v="0"/>
    <n v="0"/>
    <n v="0"/>
    <n v="0"/>
    <n v="0"/>
    <n v="0"/>
  </r>
  <r>
    <x v="1"/>
    <x v="1"/>
    <x v="6"/>
    <x v="6"/>
    <x v="8"/>
    <x v="7"/>
    <x v="49"/>
    <x v="8"/>
    <s v="386"/>
    <s v="FD-"/>
    <m/>
    <e v="#N/A"/>
    <s v="FW"/>
    <s v="Flooring / Foundations"/>
    <s v="Wood Floor"/>
    <m/>
    <s v="Diesel Fuel Dispensing Module - Demolish floor finish - Raised Steel or Wooden Floor"/>
    <s v="2613-FD-013"/>
    <n v="14.864485999999999"/>
    <s v="m2"/>
    <s v="0"/>
    <s v="0"/>
    <s v="0"/>
    <s v="0"/>
    <s v="0"/>
    <n v="0"/>
    <n v="0"/>
    <n v="0"/>
    <n v="0"/>
    <n v="0"/>
    <n v="0"/>
    <n v="0"/>
    <n v="1"/>
    <n v="0"/>
    <n v="0"/>
    <n v="1"/>
    <n v="0"/>
    <n v="0"/>
    <n v="0"/>
    <n v="0"/>
    <s v="Type B Construction_x000a_2BC-MRY1416"/>
    <m/>
    <n v="2014"/>
    <s v="Direct "/>
    <m/>
    <m/>
    <n v="0.5"/>
    <n v="0.5"/>
    <m/>
    <m/>
    <m/>
    <m/>
    <m/>
    <m/>
    <n v="0"/>
    <m/>
    <n v="0"/>
    <n v="0"/>
    <n v="0"/>
    <n v="0"/>
    <n v="0"/>
    <n v="0"/>
    <n v="0"/>
    <n v="0"/>
  </r>
  <r>
    <x v="1"/>
    <x v="1"/>
    <x v="6"/>
    <x v="6"/>
    <x v="8"/>
    <x v="7"/>
    <x v="56"/>
    <x v="32"/>
    <s v="407"/>
    <s v="FD-"/>
    <m/>
    <e v="#N/A"/>
    <s v="FW"/>
    <s v="Flooring / Foundations"/>
    <s v="Wood Floor"/>
    <m/>
    <s v="Jet-A1 Fuel Dispensing Module  - Demolish floor finish - Raised Steel or Wooden Floor"/>
    <s v="2614-FD-011"/>
    <n v="14.864485999999999"/>
    <s v="m2"/>
    <s v="0"/>
    <s v="0"/>
    <s v="0"/>
    <s v="0"/>
    <s v="0"/>
    <n v="0"/>
    <n v="0"/>
    <n v="0"/>
    <n v="0"/>
    <n v="0"/>
    <n v="0"/>
    <n v="0"/>
    <n v="1"/>
    <n v="0"/>
    <n v="0"/>
    <n v="1"/>
    <n v="0"/>
    <n v="0"/>
    <n v="0"/>
    <n v="0"/>
    <s v="Type B Construction_x000a_2BC-MRY1416"/>
    <m/>
    <n v="2014"/>
    <s v="Direct "/>
    <m/>
    <m/>
    <n v="0.5"/>
    <n v="0.5"/>
    <m/>
    <m/>
    <m/>
    <m/>
    <m/>
    <m/>
    <n v="0"/>
    <m/>
    <n v="0"/>
    <n v="0"/>
    <n v="0"/>
    <n v="0"/>
    <n v="0"/>
    <n v="0"/>
    <n v="0"/>
    <n v="0"/>
  </r>
  <r>
    <x v="1"/>
    <x v="1"/>
    <x v="8"/>
    <x v="8"/>
    <x v="31"/>
    <x v="21"/>
    <x v="58"/>
    <x v="46"/>
    <s v="002"/>
    <s v="BLD"/>
    <s v="EG"/>
    <s v="Gravel Base Removal"/>
    <s v="EG"/>
    <s v="Flooring / Foundations"/>
    <s v="Gravel Base"/>
    <m/>
    <s v="Communication Shed  - Demolish and foundations - Gravel Base - Skidded Building"/>
    <s v="2110-BLD-001"/>
    <n v="14.869888475836431"/>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8"/>
    <x v="8"/>
    <x v="31"/>
    <x v="21"/>
    <x v="58"/>
    <x v="46"/>
    <s v="003"/>
    <s v="BLD"/>
    <m/>
    <e v="#N/A"/>
    <s v="FW"/>
    <s v="Flooring / Foundations"/>
    <s v="Wood Floor"/>
    <m/>
    <s v="Communication Shed  - Demolish floor finish - Raised Steel or Wooden Floor"/>
    <s v="2110-BLD-001"/>
    <n v="14.869888475836431"/>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6"/>
    <x v="6"/>
    <x v="8"/>
    <x v="7"/>
    <x v="49"/>
    <x v="8"/>
    <s v="385"/>
    <s v="BLD"/>
    <s v="EG"/>
    <s v="Gravel Base Removal"/>
    <s v="EG"/>
    <s v="Flooring / Foundations"/>
    <s v="Gravel Base"/>
    <m/>
    <s v="Diesel Fuel Dispensing Module - Demolish and foundations - Gravel Base - Skidded Building"/>
    <s v="2613-FD-013"/>
    <n v="14.869888475836431"/>
    <s v="m2"/>
    <n v="0"/>
    <n v="0"/>
    <n v="0"/>
    <n v="0"/>
    <n v="0"/>
    <n v="0"/>
    <n v="0"/>
    <n v="0"/>
    <n v="0"/>
    <n v="0"/>
    <n v="0"/>
    <n v="0"/>
    <n v="1"/>
    <n v="0"/>
    <n v="0"/>
    <n v="1"/>
    <n v="0"/>
    <n v="0"/>
    <n v="0"/>
    <n v="0"/>
    <s v="Type B Construction_x000a_2BC-MRY1416"/>
    <m/>
    <n v="2014"/>
    <s v="Direct "/>
    <m/>
    <m/>
    <n v="0.5"/>
    <n v="0.5"/>
    <m/>
    <m/>
    <m/>
    <m/>
    <m/>
    <m/>
    <n v="0"/>
    <m/>
    <n v="0"/>
    <n v="0"/>
    <n v="0"/>
    <n v="0"/>
    <n v="0"/>
    <n v="0"/>
    <n v="0"/>
    <n v="0"/>
  </r>
  <r>
    <x v="1"/>
    <x v="1"/>
    <x v="6"/>
    <x v="6"/>
    <x v="8"/>
    <x v="7"/>
    <x v="56"/>
    <x v="32"/>
    <s v="406"/>
    <s v="BLD"/>
    <s v="EG"/>
    <s v="Gravel Base Removal"/>
    <s v="EG"/>
    <s v="Flooring / Foundations"/>
    <s v="Gravel Base"/>
    <m/>
    <s v="Jet-A1 Fuel Dispensing Module  - Demolish and foundations - Gravel Base - Skidded Building"/>
    <s v="2614-FD-011"/>
    <n v="14.869888475836431"/>
    <s v="m2"/>
    <n v="0"/>
    <n v="0"/>
    <n v="0"/>
    <n v="0"/>
    <n v="0"/>
    <n v="0"/>
    <n v="0"/>
    <n v="0"/>
    <n v="0"/>
    <n v="0"/>
    <n v="0"/>
    <n v="0"/>
    <n v="1"/>
    <n v="0"/>
    <n v="0"/>
    <n v="1"/>
    <n v="0"/>
    <n v="0"/>
    <n v="0"/>
    <n v="0"/>
    <s v="Type B Construction_x000a_2BC-MRY1416"/>
    <m/>
    <n v="2014"/>
    <s v="Direct "/>
    <m/>
    <m/>
    <n v="0.5"/>
    <n v="0.5"/>
    <m/>
    <m/>
    <m/>
    <m/>
    <m/>
    <m/>
    <n v="0"/>
    <m/>
    <n v="0"/>
    <n v="0"/>
    <n v="0"/>
    <n v="0"/>
    <n v="0"/>
    <n v="0"/>
    <n v="0"/>
    <n v="0"/>
  </r>
  <r>
    <x v="1"/>
    <x v="1"/>
    <x v="3"/>
    <x v="3"/>
    <x v="24"/>
    <x v="18"/>
    <x v="42"/>
    <x v="35"/>
    <m/>
    <s v="BLD"/>
    <s v="EG"/>
    <s v="Gravel Base Removal"/>
    <s v="EG"/>
    <s v="Flooring / Foundations"/>
    <s v="Gravel Base"/>
    <m/>
    <s v="Electrical office - Demolish and foundations - Precast Footing (Perimeter Beam)"/>
    <s v="2530-BLD-BIM-001"/>
    <n v="20"/>
    <s v="m2"/>
    <n v="0"/>
    <n v="0"/>
    <n v="0"/>
    <n v="0"/>
    <n v="0"/>
    <n v="0"/>
    <n v="0"/>
    <n v="0"/>
    <n v="0"/>
    <n v="0"/>
    <n v="0"/>
    <n v="0"/>
    <n v="1"/>
    <n v="0"/>
    <n v="0"/>
    <n v="1"/>
    <n v="0"/>
    <n v="0"/>
    <n v="0"/>
    <n v="0"/>
    <s v="Type A  _x000a_2AM-MRY1325"/>
    <s v="Added"/>
    <s v="2015 R"/>
    <s v="Direct "/>
    <m/>
    <m/>
    <n v="0.33333333333333331"/>
    <n v="0.33333333333333331"/>
    <n v="0.33333333333333331"/>
    <m/>
    <m/>
    <m/>
    <m/>
    <m/>
    <n v="0"/>
    <m/>
    <n v="0"/>
    <n v="0"/>
    <n v="0"/>
    <n v="0"/>
    <n v="0"/>
    <n v="0"/>
    <n v="0"/>
    <n v="0"/>
  </r>
  <r>
    <x v="1"/>
    <x v="1"/>
    <x v="3"/>
    <x v="3"/>
    <x v="24"/>
    <x v="18"/>
    <x v="42"/>
    <x v="35"/>
    <m/>
    <s v="BLD"/>
    <m/>
    <e v="#N/A"/>
    <s v="FW"/>
    <s v="Flooring / Foundations"/>
    <s v="Wood Floor"/>
    <m/>
    <s v="Electrical office - Demolish floor finish - Gravel"/>
    <s v="2530-BLD-BIM-001"/>
    <n v="20"/>
    <s v="m2"/>
    <s v="0"/>
    <s v="0"/>
    <s v="0"/>
    <s v="0"/>
    <s v="0"/>
    <n v="0"/>
    <n v="0"/>
    <n v="0"/>
    <n v="0"/>
    <n v="0"/>
    <n v="0"/>
    <n v="0"/>
    <n v="1"/>
    <n v="0"/>
    <n v="0"/>
    <n v="1"/>
    <n v="0"/>
    <n v="0"/>
    <n v="0"/>
    <n v="0"/>
    <s v="Type A  _x000a_2AM-MRY1325"/>
    <s v="Added"/>
    <s v="2015 R"/>
    <s v="Direct "/>
    <m/>
    <m/>
    <n v="0.33333333333333331"/>
    <n v="0.33333333333333331"/>
    <n v="0.33333333333333331"/>
    <m/>
    <m/>
    <m/>
    <m/>
    <m/>
    <n v="0"/>
    <m/>
    <n v="0"/>
    <n v="0"/>
    <n v="0"/>
    <n v="0"/>
    <n v="0"/>
    <n v="0"/>
    <n v="0"/>
    <n v="0"/>
  </r>
  <r>
    <x v="1"/>
    <x v="1"/>
    <x v="6"/>
    <x v="6"/>
    <x v="8"/>
    <x v="7"/>
    <x v="49"/>
    <x v="8"/>
    <s v="389"/>
    <s v="FD-"/>
    <m/>
    <e v="#N/A"/>
    <s v="FW"/>
    <s v="Flooring / Foundations"/>
    <s v="Wood Floor"/>
    <m/>
    <s v="Diesel Fuel Dispensing Module - Demolish floor finish - Raised Steel or Wooden Floor"/>
    <s v="2613-FD-014"/>
    <n v="29.728973"/>
    <s v="m2"/>
    <s v="0"/>
    <s v="0"/>
    <s v="0"/>
    <s v="0"/>
    <s v="0"/>
    <n v="0"/>
    <n v="0"/>
    <n v="0"/>
    <n v="0"/>
    <n v="0"/>
    <n v="0"/>
    <n v="0"/>
    <n v="1"/>
    <n v="0"/>
    <n v="0"/>
    <n v="1"/>
    <n v="0"/>
    <n v="0"/>
    <n v="0"/>
    <n v="0"/>
    <s v="Type B Construction_x000a_2BC-MRY1416"/>
    <m/>
    <n v="2014"/>
    <s v="Direct "/>
    <m/>
    <m/>
    <n v="0.5"/>
    <n v="0.5"/>
    <m/>
    <m/>
    <m/>
    <m/>
    <m/>
    <m/>
    <n v="0"/>
    <m/>
    <n v="0"/>
    <n v="0"/>
    <n v="0"/>
    <n v="0"/>
    <n v="0"/>
    <n v="0"/>
    <n v="0"/>
    <n v="0"/>
  </r>
  <r>
    <x v="1"/>
    <x v="1"/>
    <x v="3"/>
    <x v="3"/>
    <x v="24"/>
    <x v="18"/>
    <x v="42"/>
    <x v="35"/>
    <s v="358"/>
    <s v="BLD"/>
    <s v="EG"/>
    <s v="Gravel Base Removal"/>
    <s v="EG"/>
    <s v="Flooring / Foundations"/>
    <s v="Gravel Base"/>
    <m/>
    <s v="Power Generation Stores - Demolish and foundations - Gravel Base - Skidded Building"/>
    <s v="2530-BLD-011"/>
    <n v="29.739776951672862"/>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59"/>
    <s v="BLD"/>
    <m/>
    <e v="#N/A"/>
    <s v="FW"/>
    <s v="Flooring / Foundations"/>
    <s v="Wood Floor"/>
    <m/>
    <s v="Power Generation Stores - Demolish floor finish - Raised Steel or Wooden Floor"/>
    <s v="2530-BLD-011"/>
    <n v="29.739776951672862"/>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6"/>
    <x v="6"/>
    <x v="8"/>
    <x v="7"/>
    <x v="49"/>
    <x v="8"/>
    <s v="388"/>
    <s v="BLD"/>
    <s v="EG"/>
    <s v="Gravel Base Removal"/>
    <s v="EG"/>
    <s v="Flooring / Foundations"/>
    <s v="Gravel Base"/>
    <m/>
    <s v="Diesel Fuel Dispensing Module - Demolish and foundations - Gravel Base - Skidded Building"/>
    <s v="2613-FD-014"/>
    <n v="29.739776951672862"/>
    <s v="m2"/>
    <n v="0"/>
    <n v="0"/>
    <n v="0"/>
    <n v="0"/>
    <n v="0"/>
    <n v="0"/>
    <n v="0"/>
    <n v="0"/>
    <n v="0"/>
    <n v="0"/>
    <n v="0"/>
    <n v="0"/>
    <n v="1"/>
    <n v="0"/>
    <n v="0"/>
    <n v="1"/>
    <n v="0"/>
    <n v="0"/>
    <n v="0"/>
    <n v="0"/>
    <s v="Type B Construction_x000a_2BC-MRY1416"/>
    <m/>
    <n v="2014"/>
    <s v="Direct "/>
    <m/>
    <m/>
    <n v="0.5"/>
    <n v="0.5"/>
    <m/>
    <m/>
    <m/>
    <m/>
    <m/>
    <m/>
    <n v="0"/>
    <m/>
    <n v="0"/>
    <n v="0"/>
    <n v="0"/>
    <n v="0"/>
    <n v="0"/>
    <n v="0"/>
    <n v="0"/>
    <n v="0"/>
  </r>
  <r>
    <x v="1"/>
    <x v="1"/>
    <x v="5"/>
    <x v="5"/>
    <x v="7"/>
    <x v="6"/>
    <x v="30"/>
    <x v="26"/>
    <s v="457"/>
    <s v="BLD"/>
    <s v="EG"/>
    <s v="Gravel Base Removal"/>
    <s v="EG"/>
    <s v="Flooring / Foundations"/>
    <s v="Gravel Base"/>
    <m/>
    <s v="Sewage Chemical Storage Container - Demolish and foundations - Gravel Base - Skidded Building"/>
    <s v="2731-BLD-001"/>
    <n v="29.739776951672862"/>
    <s v="m2"/>
    <n v="0"/>
    <n v="0"/>
    <n v="0"/>
    <n v="0"/>
    <n v="0"/>
    <n v="0"/>
    <n v="0"/>
    <n v="0"/>
    <n v="0"/>
    <n v="0"/>
    <n v="0"/>
    <n v="0"/>
    <n v="1"/>
    <n v="0"/>
    <n v="0"/>
    <n v="1"/>
    <n v="0"/>
    <n v="0"/>
    <n v="0"/>
    <n v="0"/>
    <s v="Type B Construction_x000a_2BC-MRY1416"/>
    <m/>
    <n v="2014"/>
    <s v="Direct "/>
    <m/>
    <m/>
    <n v="0.5"/>
    <n v="0.5"/>
    <m/>
    <m/>
    <m/>
    <m/>
    <m/>
    <m/>
    <n v="0"/>
    <m/>
    <n v="0"/>
    <n v="0"/>
    <n v="0"/>
    <n v="0"/>
    <n v="0"/>
    <n v="0"/>
    <n v="0"/>
    <n v="0"/>
  </r>
  <r>
    <x v="1"/>
    <x v="1"/>
    <x v="5"/>
    <x v="5"/>
    <x v="7"/>
    <x v="6"/>
    <x v="30"/>
    <x v="26"/>
    <s v="458"/>
    <s v="BLD"/>
    <m/>
    <e v="#N/A"/>
    <s v="FW"/>
    <s v="Flooring / Foundations"/>
    <s v="Wood Floor"/>
    <m/>
    <s v="Sewage Chemical Storage Container - Demolish floor finish - Raised Steel or Wooden Floor"/>
    <s v="2731-BLD-001"/>
    <n v="29.739776951672862"/>
    <s v="m2"/>
    <s v="0"/>
    <s v="0"/>
    <s v="0"/>
    <s v="0"/>
    <s v="0"/>
    <n v="0"/>
    <n v="0"/>
    <n v="0"/>
    <n v="0"/>
    <n v="0"/>
    <n v="0"/>
    <n v="0"/>
    <n v="1"/>
    <n v="0"/>
    <n v="0"/>
    <n v="1"/>
    <n v="0"/>
    <n v="0"/>
    <n v="0"/>
    <n v="0"/>
    <s v="Type B Construction_x000a_2BC-MRY1416"/>
    <m/>
    <n v="2014"/>
    <s v="Direct "/>
    <m/>
    <m/>
    <n v="0.5"/>
    <n v="0.5"/>
    <m/>
    <m/>
    <m/>
    <m/>
    <m/>
    <m/>
    <n v="0"/>
    <m/>
    <n v="0"/>
    <n v="0"/>
    <n v="0"/>
    <n v="0"/>
    <n v="0"/>
    <n v="0"/>
    <n v="0"/>
    <n v="0"/>
  </r>
  <r>
    <x v="1"/>
    <x v="1"/>
    <x v="6"/>
    <x v="6"/>
    <x v="8"/>
    <x v="7"/>
    <x v="48"/>
    <x v="38"/>
    <s v="420"/>
    <s v="BLD"/>
    <m/>
    <e v="#N/A"/>
    <s v="FW"/>
    <s v="Flooring / Foundations"/>
    <s v="Wood Floor"/>
    <m/>
    <s v="Marine Manifold Building - Demolish floor finish - Raised Steel or Wooden Floor"/>
    <s v="2615-BLD-001"/>
    <n v="31.598513011152416"/>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6"/>
    <x v="6"/>
    <x v="18"/>
    <x v="11"/>
    <x v="36"/>
    <x v="26"/>
    <x v="73"/>
    <x v="60"/>
    <s v="789"/>
    <s v="BLD"/>
    <s v="FF1"/>
    <s v="Modular Building Not Contaminated (480 ft2)"/>
    <s v="FTR1"/>
    <s v="Buildings (Not Contaminated)"/>
    <s v="Single Trailers (modular)"/>
    <m/>
    <s v="Pit Office Washcar - Demolish and Decontaminate Building - Trailer - Single"/>
    <s v="4281-BLD-002"/>
    <n v="44.609665427509292"/>
    <s v="m2"/>
    <n v="0.22416666666666665"/>
    <n v="3.3624999999999998"/>
    <n v="22.397249563492064"/>
    <n v="33.625"/>
    <n v="59.384749563492065"/>
    <n v="9.9999999999999982"/>
    <n v="149.99999999999997"/>
    <n v="999.13380952380953"/>
    <n v="1500"/>
    <n v="2649.1338095238098"/>
    <n v="1"/>
    <n v="44.609665427509292"/>
    <n v="1"/>
    <n v="0"/>
    <n v="0"/>
    <n v="1"/>
    <n v="2649.1338095238098"/>
    <n v="0"/>
    <n v="0"/>
    <n v="2649.1338095238098"/>
    <s v="Type A  _x000a_2AM-MRY1325"/>
    <m/>
    <n v="2014"/>
    <s v="Direct "/>
    <m/>
    <m/>
    <n v="0.33333333333333331"/>
    <n v="0.33333333333333331"/>
    <n v="0.33333333333333331"/>
    <m/>
    <m/>
    <m/>
    <m/>
    <m/>
    <n v="0"/>
    <m/>
    <n v="883.04460317460325"/>
    <n v="883.04460317460325"/>
    <n v="883.04460317460325"/>
    <n v="0"/>
    <n v="0"/>
    <n v="0"/>
    <n v="0"/>
    <n v="0"/>
  </r>
  <r>
    <x v="1"/>
    <x v="1"/>
    <x v="5"/>
    <x v="5"/>
    <x v="10"/>
    <x v="9"/>
    <x v="11"/>
    <x v="10"/>
    <s v="487"/>
    <s v="BLD"/>
    <s v="EG"/>
    <s v="Gravel Base Removal"/>
    <s v="EG"/>
    <s v="Flooring / Foundations"/>
    <s v="Gravel Base"/>
    <m/>
    <s v="Accommodation Area E-House #2 - Demolish and foundations - Gravel Base - Skidded Building"/>
    <s v="2750-BLD-002"/>
    <n v="37.174721189591082"/>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10"/>
    <x v="9"/>
    <x v="11"/>
    <x v="10"/>
    <s v="488"/>
    <s v="BLD"/>
    <m/>
    <e v="#N/A"/>
    <s v="FW"/>
    <s v="Flooring / Foundations"/>
    <s v="Wood Floor"/>
    <m/>
    <s v="Accommodation Area E-House #2 - Demolish floor finish - Raised Steel or Wooden Floor"/>
    <s v="2750-BLD-002"/>
    <n v="37.174721189591082"/>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10"/>
    <x v="9"/>
    <x v="11"/>
    <x v="10"/>
    <s v="490"/>
    <s v="BLD"/>
    <s v="EG"/>
    <s v="Gravel Base Removal"/>
    <s v="EG"/>
    <s v="Flooring / Foundations"/>
    <s v="Gravel Base"/>
    <m/>
    <s v="Services Area E-House #1 - Demolish and foundations - Gravel Base - Skidded Building"/>
    <s v="2750-BLD-003"/>
    <n v="37.174721189591082"/>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10"/>
    <x v="9"/>
    <x v="11"/>
    <x v="10"/>
    <s v="491"/>
    <s v="BLD"/>
    <m/>
    <e v="#N/A"/>
    <s v="FW"/>
    <s v="Flooring / Foundations"/>
    <s v="Wood Floor"/>
    <m/>
    <s v="Services Area E-House #1 - Demolish floor finish - Raised Steel or Wooden Floor"/>
    <s v="2750-BLD-003"/>
    <n v="37.174721189591082"/>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10"/>
    <x v="9"/>
    <x v="11"/>
    <x v="10"/>
    <s v="493"/>
    <s v="BLD"/>
    <s v="EG"/>
    <s v="Gravel Base Removal"/>
    <s v="EG"/>
    <s v="Flooring / Foundations"/>
    <s v="Gravel Base"/>
    <m/>
    <s v="Services Area E-House #2 - Demolish and foundations - Gravel Base - Skidded Building"/>
    <s v="2750-BLD-004"/>
    <n v="37.174721189591082"/>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10"/>
    <x v="9"/>
    <x v="11"/>
    <x v="10"/>
    <s v="494"/>
    <s v="BLD"/>
    <m/>
    <e v="#N/A"/>
    <s v="FW"/>
    <s v="Flooring / Foundations"/>
    <s v="Wood Floor"/>
    <m/>
    <s v="Services Area E-House #2 - Demolish floor finish - Raised Steel or Wooden Floor"/>
    <s v="2750-BLD-004"/>
    <n v="37.174721189591082"/>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28"/>
    <s v="BLD"/>
    <s v="EG"/>
    <s v="Gravel Base Removal"/>
    <s v="EG"/>
    <s v="Flooring / Foundations"/>
    <s v="Gravel Base"/>
    <m/>
    <s v="Power Generation Module #1 - Demolish and foundations - Gravel Base - Skidded Building"/>
    <s v="2530-BLD-001"/>
    <n v="51.95167286245353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29"/>
    <s v="BLD"/>
    <m/>
    <e v="#N/A"/>
    <s v="FW"/>
    <s v="Flooring / Foundations"/>
    <s v="Wood Floor"/>
    <m/>
    <s v="Power Generation Module #1 - Demolish floor finish - Raised Steel or Wooden Floor"/>
    <s v="2530-BLD-001"/>
    <n v="51.95167286245353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31"/>
    <s v="BLD"/>
    <s v="EG"/>
    <s v="Gravel Base Removal"/>
    <s v="EG"/>
    <s v="Flooring / Foundations"/>
    <s v="Gravel Base"/>
    <m/>
    <s v="Power Generation Module #2 - Demolish and foundations - Gravel Base - Skidded Building"/>
    <s v="2530-BLD-002"/>
    <n v="51.95167286245353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32"/>
    <s v="BLD"/>
    <m/>
    <e v="#N/A"/>
    <s v="FW"/>
    <s v="Flooring / Foundations"/>
    <s v="Wood Floor"/>
    <m/>
    <s v="Power Generation Module #2 - Demolish floor finish - Raised Steel or Wooden Floor"/>
    <s v="2530-BLD-002"/>
    <n v="51.95167286245353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34"/>
    <s v="BLD"/>
    <s v="EG"/>
    <s v="Gravel Base Removal"/>
    <s v="EG"/>
    <s v="Flooring / Foundations"/>
    <s v="Gravel Base"/>
    <m/>
    <s v="Power Generation Module #3 - Demolish and foundations - Gravel Base - Skidded Building"/>
    <s v="2530-BLD-003"/>
    <n v="51.95167286245353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35"/>
    <s v="BLD"/>
    <m/>
    <e v="#N/A"/>
    <s v="FW"/>
    <s v="Flooring / Foundations"/>
    <s v="Wood Floor"/>
    <m/>
    <s v="Power Generation Module #3 - Demolish floor finish - Raised Steel or Wooden Floor"/>
    <s v="2530-BLD-003"/>
    <n v="51.95167286245353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37"/>
    <s v="BLD"/>
    <s v="EG"/>
    <s v="Gravel Base Removal"/>
    <s v="EG"/>
    <s v="Flooring / Foundations"/>
    <s v="Gravel Base"/>
    <m/>
    <s v="Power Generation Module #4 - Demolish and foundations - Gravel Base - Skidded Building"/>
    <s v="2530-BLD-004"/>
    <n v="51.95167286245353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38"/>
    <s v="BLD"/>
    <m/>
    <e v="#N/A"/>
    <s v="FW"/>
    <s v="Flooring / Foundations"/>
    <s v="Wood Floor"/>
    <m/>
    <s v="Power Generation Module #4 - Demolish floor finish - Raised Steel or Wooden Floor"/>
    <s v="2530-BLD-004"/>
    <n v="51.95167286245353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40"/>
    <s v="BLD"/>
    <s v="EG"/>
    <s v="Gravel Base Removal"/>
    <s v="EG"/>
    <s v="Flooring / Foundations"/>
    <s v="Gravel Base"/>
    <m/>
    <s v="Power Generation Module #5 - Demolish and foundations - Gravel Base - Skidded Building"/>
    <s v="2530-BLD-005"/>
    <n v="51.95167286245353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41"/>
    <s v="BLD"/>
    <m/>
    <e v="#N/A"/>
    <s v="FW"/>
    <s v="Flooring / Foundations"/>
    <s v="Wood Floor"/>
    <m/>
    <s v="Power Generation Module #5 - Demolish floor finish - Raised Steel or Wooden Floor"/>
    <s v="2530-BLD-005"/>
    <n v="51.95167286245353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43"/>
    <s v="BLD"/>
    <s v="EG"/>
    <s v="Gravel Base Removal"/>
    <s v="EG"/>
    <s v="Flooring / Foundations"/>
    <s v="Gravel Base"/>
    <m/>
    <s v="Power Generation Module #6 - Demolish and foundations - Gravel Base - Skidded Building"/>
    <s v="2530-BLD-006"/>
    <n v="51.95167286245353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44"/>
    <s v="BLD"/>
    <m/>
    <e v="#N/A"/>
    <s v="FW"/>
    <s v="Flooring / Foundations"/>
    <s v="Wood Floor"/>
    <m/>
    <s v="Power Generation Module #6 - Demolish floor finish - Raised Steel or Wooden Floor"/>
    <s v="2530-BLD-006"/>
    <n v="51.95167286245353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46"/>
    <s v="BLD"/>
    <s v="EG"/>
    <s v="Gravel Base Removal"/>
    <s v="EG"/>
    <s v="Flooring / Foundations"/>
    <s v="Gravel Base"/>
    <m/>
    <s v="Power Generation Module #7 - Demolish and foundations - Gravel Base - Skidded Building"/>
    <s v="2530-BLD-007"/>
    <n v="51.95167286245353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47"/>
    <s v="BLD"/>
    <m/>
    <e v="#N/A"/>
    <s v="FW"/>
    <s v="Flooring / Foundations"/>
    <s v="Wood Floor"/>
    <m/>
    <s v="Power Generation Module #7 - Demolish floor finish - Raised Steel or Wooden Floor"/>
    <s v="2530-BLD-007"/>
    <n v="51.95167286245353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49"/>
    <s v="BLD"/>
    <s v="EG"/>
    <s v="Gravel Base Removal"/>
    <s v="EG"/>
    <s v="Flooring / Foundations"/>
    <s v="Gravel Base"/>
    <m/>
    <s v="Power Generation Module #8 - Demolish and foundations - Gravel Base - Skidded Building"/>
    <s v="2530-BLD-008"/>
    <n v="51.95167286245353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50"/>
    <s v="BLD"/>
    <m/>
    <e v="#N/A"/>
    <s v="FW"/>
    <s v="Flooring / Foundations"/>
    <s v="Wood Floor"/>
    <m/>
    <s v="Power Generation Module #8 - Demolish floor finish - Raised Steel or Wooden Floor"/>
    <s v="2530-BLD-008"/>
    <n v="51.95167286245353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17"/>
    <x v="14"/>
    <x v="22"/>
    <x v="19"/>
    <s v="365"/>
    <s v="BLD"/>
    <s v="EG"/>
    <s v="Gravel Base Removal"/>
    <s v="EG"/>
    <s v="Flooring / Foundations"/>
    <s v="Gravel Base"/>
    <m/>
    <s v="Waste Incinerators - Demolish and foundations - Gravel Base - Skidded Building"/>
    <s v="2540-VP-001"/>
    <n v="52.044609665427508"/>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17"/>
    <x v="14"/>
    <x v="22"/>
    <x v="19"/>
    <s v="366"/>
    <s v="VP-"/>
    <m/>
    <e v="#N/A"/>
    <s v="FW"/>
    <s v="Flooring / Foundations"/>
    <s v="Wood Floor"/>
    <m/>
    <s v="Waste Incinerators - Demolish floor finish - Raised Steel or Wooden Floor"/>
    <s v="2540-VP-001"/>
    <n v="52.044609665427508"/>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7"/>
    <x v="6"/>
    <x v="45"/>
    <x v="36"/>
    <s v="472"/>
    <s v="BLD"/>
    <s v="EG"/>
    <s v="Gravel Base Removal"/>
    <s v="EG"/>
    <s v="Flooring / Foundations"/>
    <s v="Gravel Base"/>
    <m/>
    <s v="Sewage Truck Building - Demolish floor finish - Gravel"/>
    <s v="2732-BLD-001"/>
    <n v="55.762081784386616"/>
    <s v="m2"/>
    <n v="0"/>
    <n v="0"/>
    <n v="0"/>
    <n v="0"/>
    <n v="0"/>
    <n v="0"/>
    <n v="0"/>
    <n v="0"/>
    <n v="0"/>
    <n v="0"/>
    <n v="0"/>
    <n v="0"/>
    <n v="1"/>
    <n v="0"/>
    <n v="0"/>
    <n v="1"/>
    <n v="0"/>
    <n v="0"/>
    <n v="0"/>
    <n v="0"/>
    <s v="Type B Construction_x000a_2BC-MRY1416"/>
    <m/>
    <n v="2014"/>
    <s v="Direct "/>
    <m/>
    <m/>
    <n v="0.5"/>
    <n v="0.5"/>
    <m/>
    <m/>
    <m/>
    <m/>
    <m/>
    <m/>
    <n v="0"/>
    <m/>
    <n v="0"/>
    <n v="0"/>
    <n v="0"/>
    <n v="0"/>
    <n v="0"/>
    <n v="0"/>
    <n v="0"/>
    <n v="0"/>
  </r>
  <r>
    <x v="1"/>
    <x v="1"/>
    <x v="3"/>
    <x v="3"/>
    <x v="24"/>
    <x v="18"/>
    <x v="42"/>
    <x v="35"/>
    <m/>
    <s v="BLD"/>
    <s v="EG"/>
    <s v="Gravel Base Removal"/>
    <s v="EG"/>
    <s v="Flooring / Foundations"/>
    <s v="Gravel Base"/>
    <m/>
    <s v="Electrical Shop - Demolish floor finish - Gravel"/>
    <s v="2530-BLD-BIM-002"/>
    <n v="56"/>
    <s v="m2"/>
    <n v="0"/>
    <n v="0"/>
    <n v="0"/>
    <n v="0"/>
    <n v="0"/>
    <n v="0"/>
    <n v="0"/>
    <n v="0"/>
    <n v="0"/>
    <n v="0"/>
    <n v="0"/>
    <n v="0"/>
    <n v="1"/>
    <n v="0"/>
    <n v="0"/>
    <n v="1"/>
    <n v="0"/>
    <n v="0"/>
    <n v="0"/>
    <n v="0"/>
    <s v="Type A  _x000a_2AM-MRY1325"/>
    <s v="Added"/>
    <s v="2015 R"/>
    <s v="Direct "/>
    <m/>
    <m/>
    <n v="0.33333333333333331"/>
    <n v="0.33333333333333331"/>
    <n v="0.33333333333333331"/>
    <m/>
    <m/>
    <m/>
    <m/>
    <m/>
    <n v="0"/>
    <m/>
    <n v="0"/>
    <n v="0"/>
    <n v="0"/>
    <n v="0"/>
    <n v="0"/>
    <n v="0"/>
    <n v="0"/>
    <n v="0"/>
  </r>
  <r>
    <x v="1"/>
    <x v="1"/>
    <x v="5"/>
    <x v="5"/>
    <x v="10"/>
    <x v="9"/>
    <x v="11"/>
    <x v="10"/>
    <s v="484"/>
    <s v="BLD"/>
    <s v="EG"/>
    <s v="Gravel Base Removal"/>
    <s v="EG"/>
    <s v="Flooring / Foundations"/>
    <s v="Gravel Base"/>
    <m/>
    <s v="Accommodation Area E-House #1 - Demolish and foundations - Gravel Base - Skidded Building"/>
    <s v="2750-BLD-001"/>
    <n v="59.479553903345725"/>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10"/>
    <x v="9"/>
    <x v="11"/>
    <x v="10"/>
    <s v="485"/>
    <s v="BLD"/>
    <m/>
    <e v="#N/A"/>
    <s v="FW"/>
    <s v="Flooring / Foundations"/>
    <s v="Wood Floor"/>
    <m/>
    <s v="Accommodation Area E-House #1 - Demolish floor finish - Raised Steel or Wooden Floor"/>
    <s v="2750-BLD-001"/>
    <n v="59.479553903345725"/>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52"/>
    <s v="BLD"/>
    <s v="EG"/>
    <s v="Gravel Base Removal"/>
    <s v="EG"/>
    <s v="Flooring / Foundations"/>
    <s v="Gravel Base"/>
    <m/>
    <s v="Power Generation E-House #1 - Demolish and foundations - Gravel Base - Skidded Building"/>
    <s v="2530-BLD-009"/>
    <n v="75.278810408921942"/>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53"/>
    <s v="BLD"/>
    <m/>
    <e v="#N/A"/>
    <s v="FW"/>
    <s v="Flooring / Foundations"/>
    <s v="Wood Floor"/>
    <m/>
    <s v="Power Generation E-House #1 - Demolish floor finish - Raised Steel or Wooden Floor"/>
    <s v="2530-BLD-009"/>
    <n v="75.278810408921942"/>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55"/>
    <s v="BLD"/>
    <s v="EG"/>
    <s v="Gravel Base Removal"/>
    <s v="EG"/>
    <s v="Flooring / Foundations"/>
    <s v="Gravel Base"/>
    <m/>
    <s v="Power Generation E-House #2 - Demolish and foundations - Gravel Base - Skidded Building"/>
    <s v="2530-BLD-010"/>
    <n v="75.278810408921942"/>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24"/>
    <x v="18"/>
    <x v="42"/>
    <x v="35"/>
    <s v="356"/>
    <s v="BLD"/>
    <m/>
    <e v="#N/A"/>
    <s v="FW"/>
    <s v="Flooring / Foundations"/>
    <s v="Wood Floor"/>
    <m/>
    <s v="Power Generation E-House #2 - Demolish floor finish - Raised Steel or Wooden Floor"/>
    <s v="2530-BLD-010"/>
    <n v="75.278810408921942"/>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40"/>
    <x v="34"/>
    <s v="252"/>
    <s v="BLD"/>
    <m/>
    <e v="#N/A"/>
    <s v="FW"/>
    <s v="Flooring / Foundations"/>
    <s v="Wood Floor"/>
    <m/>
    <s v="Emergency Response Office - Demolish floor finish - Raised Steel or Wooden Floor"/>
    <s v="2513-BLD-001"/>
    <n v="89.219330855018583"/>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7"/>
    <x v="6"/>
    <x v="30"/>
    <x v="26"/>
    <s v="467"/>
    <s v="In Meters"/>
    <m/>
    <s v="Inlcuded  with Piping"/>
    <s v="Piping - Heat Tracing"/>
    <s v="Bulks"/>
    <s v="Piping - Heat Tracing"/>
    <m/>
    <s v="Sewage Treatment Piping - Heat Trace Installation - Sewage truck bldg to STP"/>
    <s v="2731.2-E"/>
    <n v="128"/>
    <s v="m"/>
    <s v="0"/>
    <s v="0"/>
    <s v="0"/>
    <s v="0"/>
    <s v="0"/>
    <n v="0"/>
    <n v="0"/>
    <n v="0"/>
    <n v="0"/>
    <n v="0"/>
    <n v="0"/>
    <n v="0"/>
    <n v="1"/>
    <n v="0"/>
    <n v="0"/>
    <n v="1"/>
    <n v="0"/>
    <n v="0"/>
    <n v="0"/>
    <n v="0"/>
    <s v="Type B Construction_x000a_2BC-MRY1416"/>
    <m/>
    <n v="2014"/>
    <s v="Direct "/>
    <m/>
    <m/>
    <n v="0.5"/>
    <n v="0.5"/>
    <m/>
    <m/>
    <m/>
    <m/>
    <m/>
    <m/>
    <n v="0"/>
    <m/>
    <n v="0"/>
    <n v="0"/>
    <n v="0"/>
    <n v="0"/>
    <n v="0"/>
    <n v="0"/>
    <n v="0"/>
    <n v="0"/>
  </r>
  <r>
    <x v="1"/>
    <x v="1"/>
    <x v="5"/>
    <x v="5"/>
    <x v="7"/>
    <x v="6"/>
    <x v="30"/>
    <x v="26"/>
    <s v="460"/>
    <s v="BLD"/>
    <s v="EG"/>
    <s v="Gravel Base Removal"/>
    <s v="EG"/>
    <s v="Flooring / Foundations"/>
    <s v="Gravel Base"/>
    <m/>
    <s v="Sewage Treatment Plant - Demolish and foundations - Gravel Base - Skidded Building"/>
    <s v="2731-VP-005"/>
    <n v="178.43866171003717"/>
    <s v="m2"/>
    <n v="0"/>
    <n v="0"/>
    <n v="0"/>
    <n v="0"/>
    <n v="0"/>
    <n v="0"/>
    <n v="0"/>
    <n v="0"/>
    <n v="0"/>
    <n v="0"/>
    <n v="0"/>
    <n v="0"/>
    <n v="1"/>
    <n v="0"/>
    <n v="0"/>
    <n v="1"/>
    <n v="0"/>
    <n v="0"/>
    <n v="0"/>
    <n v="0"/>
    <s v="Type B Construction_x000a_2BC-MRY1416"/>
    <m/>
    <n v="2014"/>
    <s v="Direct "/>
    <m/>
    <m/>
    <n v="0.5"/>
    <n v="0.5"/>
    <m/>
    <m/>
    <m/>
    <m/>
    <m/>
    <m/>
    <n v="0"/>
    <m/>
    <n v="0"/>
    <n v="0"/>
    <n v="0"/>
    <n v="0"/>
    <n v="0"/>
    <n v="0"/>
    <n v="0"/>
    <n v="0"/>
  </r>
  <r>
    <x v="1"/>
    <x v="1"/>
    <x v="5"/>
    <x v="5"/>
    <x v="7"/>
    <x v="6"/>
    <x v="30"/>
    <x v="26"/>
    <s v="461"/>
    <s v="VP-"/>
    <m/>
    <e v="#N/A"/>
    <s v="FW"/>
    <s v="Flooring / Foundations"/>
    <s v="Wood Floor"/>
    <m/>
    <s v="Sewage Treatment Plant - Demolish floor finish - Raised Steel or Wooden Floor"/>
    <s v="2731-VP-005"/>
    <n v="178.43866171003717"/>
    <s v="m2"/>
    <s v="0"/>
    <s v="0"/>
    <s v="0"/>
    <s v="0"/>
    <s v="0"/>
    <n v="0"/>
    <n v="0"/>
    <n v="0"/>
    <n v="0"/>
    <n v="0"/>
    <n v="0"/>
    <n v="0"/>
    <n v="1"/>
    <n v="0"/>
    <n v="0"/>
    <n v="1"/>
    <n v="0"/>
    <n v="0"/>
    <n v="0"/>
    <n v="0"/>
    <s v="Type B Construction_x000a_2BC-MRY1416"/>
    <m/>
    <n v="2014"/>
    <s v="Direct "/>
    <m/>
    <m/>
    <n v="0.5"/>
    <n v="0.5"/>
    <m/>
    <m/>
    <m/>
    <m/>
    <m/>
    <m/>
    <n v="0"/>
    <m/>
    <n v="0"/>
    <n v="0"/>
    <n v="0"/>
    <n v="0"/>
    <n v="0"/>
    <n v="0"/>
    <n v="0"/>
    <n v="0"/>
  </r>
  <r>
    <x v="1"/>
    <x v="1"/>
    <x v="3"/>
    <x v="3"/>
    <x v="5"/>
    <x v="4"/>
    <x v="13"/>
    <x v="12"/>
    <s v="278"/>
    <s v="BLD"/>
    <m/>
    <e v="#N/A"/>
    <s v="FW"/>
    <s v="Flooring / Foundations"/>
    <s v="Wood Floor"/>
    <m/>
    <s v="Workshop Office Building - Demolish floor finish - Raised Steel or Wooden Floor"/>
    <s v="2521-BLD-003"/>
    <n v="267.65799256505579"/>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18"/>
    <x v="15"/>
    <s v="231"/>
    <s v="BLD"/>
    <s v="EG"/>
    <s v="Gravel Base Removal"/>
    <s v="EG"/>
    <s v="Flooring / Foundations"/>
    <s v="Gravel Base"/>
    <m/>
    <s v="Accommodation Office - Demolish and foundations - Gravel Base - Skidded Building"/>
    <s v="2511-BLD-002"/>
    <n v="334.57249070631968"/>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18"/>
    <x v="15"/>
    <s v="232"/>
    <s v="BLD"/>
    <m/>
    <e v="#N/A"/>
    <s v="FW"/>
    <s v="Flooring / Foundations"/>
    <s v="Wood Floor"/>
    <m/>
    <s v="Accommodation Office - Demolish floor finish - Raised Steel or Wooden Floor"/>
    <s v="2511-BLD-002"/>
    <n v="334.57249070631968"/>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22"/>
    <x v="17"/>
    <x v="35"/>
    <x v="31"/>
    <s v="433"/>
    <s v="BLD"/>
    <s v="EG"/>
    <s v="Gravel Base Removal"/>
    <s v="EG"/>
    <s v="Flooring / Foundations"/>
    <s v="Gravel Base"/>
    <m/>
    <s v="Water Building - Demolish floor finish - Gravel"/>
    <s v="2720-BLD-001"/>
    <n v="390.33457249070631"/>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18"/>
    <x v="15"/>
    <s v="234"/>
    <s v="BLD"/>
    <s v="EG"/>
    <s v="Gravel Base Removal"/>
    <s v="EG"/>
    <s v="Flooring / Foundations"/>
    <s v="Gravel Base"/>
    <m/>
    <s v="Accommodation Laundry - Demolish and foundations - Gravel Base - Skidded Building"/>
    <s v="2511-BLD-003"/>
    <n v="423.79182156133828"/>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18"/>
    <x v="15"/>
    <s v="235"/>
    <s v="BLD"/>
    <m/>
    <e v="#N/A"/>
    <s v="FW"/>
    <s v="Flooring / Foundations"/>
    <s v="Wood Floor"/>
    <m/>
    <s v="Accommodation Laundry - Demolish floor finish - Raised Steel or Wooden Floor"/>
    <s v="2511-BLD-003"/>
    <n v="423.79182156133828"/>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3"/>
    <x v="3"/>
    <s v="238"/>
    <s v="BLD"/>
    <s v="EG"/>
    <s v="Gravel Base Removal"/>
    <s v="EG"/>
    <s v="Flooring / Foundations"/>
    <s v="Gravel Base"/>
    <m/>
    <s v="Accommodation Wing BA - Demolish and foundations - Gravel Base - Skidded Building"/>
    <s v="2512-BLD-001"/>
    <n v="611.80297397769516"/>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3"/>
    <x v="3"/>
    <s v="239"/>
    <s v="BLD"/>
    <m/>
    <e v="#N/A"/>
    <s v="FW"/>
    <s v="Flooring / Foundations"/>
    <s v="Wood Floor"/>
    <m/>
    <s v="Accommodation Wing BA - Demolish floor finish - Raised Steel or Wooden Floor"/>
    <s v="2512-BLD-001"/>
    <n v="611.80297397769516"/>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3"/>
    <x v="3"/>
    <s v="241"/>
    <s v="BLD"/>
    <s v="EG"/>
    <s v="Gravel Base Removal"/>
    <s v="EG"/>
    <s v="Flooring / Foundations"/>
    <s v="Gravel Base"/>
    <m/>
    <s v="Accommodation Wing BB - Demolish and foundations - Gravel Base - Skidded Building"/>
    <s v="2512-BLD-002"/>
    <n v="611.80297397769516"/>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3"/>
    <x v="3"/>
    <s v="242"/>
    <s v="BLD"/>
    <m/>
    <e v="#N/A"/>
    <s v="FW"/>
    <s v="Flooring / Foundations"/>
    <s v="Wood Floor"/>
    <m/>
    <s v="Accommodation Wing BB - Demolish floor finish - Raised Steel or Wooden Floor"/>
    <s v="2512-BLD-002"/>
    <n v="611.80297397769516"/>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3"/>
    <x v="3"/>
    <s v="244"/>
    <s v="BLD"/>
    <s v="EG"/>
    <s v="Gravel Base Removal"/>
    <s v="EG"/>
    <s v="Flooring / Foundations"/>
    <s v="Gravel Base"/>
    <m/>
    <s v="Accommodation Wing BC - Demolish and foundations - Gravel Base - Skidded Building"/>
    <s v="2512-BLD-003"/>
    <n v="611.80297397769516"/>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3"/>
    <x v="3"/>
    <s v="245"/>
    <s v="BLD"/>
    <m/>
    <e v="#N/A"/>
    <s v="FW"/>
    <s v="Flooring / Foundations"/>
    <s v="Wood Floor"/>
    <m/>
    <s v="Accommodation Wing BC - Demolish floor finish - Raised Steel or Wooden Floor"/>
    <s v="2512-BLD-003"/>
    <n v="611.80297397769516"/>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3"/>
    <x v="3"/>
    <s v="247"/>
    <s v="BLD"/>
    <s v="EG"/>
    <s v="Gravel Base Removal"/>
    <s v="EG"/>
    <s v="Flooring / Foundations"/>
    <s v="Gravel Base"/>
    <m/>
    <s v="Accommodation Wing BD - Demolish and foundations - Gravel Base - Skidded Building"/>
    <s v="2512-BLD-004"/>
    <n v="611.80297397769516"/>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3"/>
    <x v="3"/>
    <s v="248"/>
    <s v="BLD"/>
    <m/>
    <e v="#N/A"/>
    <s v="FW"/>
    <s v="Flooring / Foundations"/>
    <s v="Wood Floor"/>
    <m/>
    <s v="Accommodation Wing BD - Demolish floor finish - Raised Steel or Wooden Floor"/>
    <s v="2512-BLD-004"/>
    <n v="611.80297397769516"/>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5"/>
    <x v="5"/>
    <x v="7"/>
    <x v="6"/>
    <x v="8"/>
    <x v="7"/>
    <s v="479"/>
    <s v="In Meters"/>
    <m/>
    <s v="Inlcuded  with Piping"/>
    <s v="Piping - Heat Tracing"/>
    <s v="Bulks"/>
    <s v="Piping - Heat Tracing"/>
    <m/>
    <s v="Treated Effluent Piping - Heat Trace Installation - STP to effluent pond and ocean discharge"/>
    <s v="2734.1-E"/>
    <n v="1330"/>
    <s v="m"/>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18"/>
    <x v="15"/>
    <s v="228"/>
    <s v="BLD"/>
    <s v="EG"/>
    <s v="Gravel Base Removal"/>
    <s v="EG"/>
    <s v="Flooring / Foundations"/>
    <s v="Gravel Base"/>
    <m/>
    <s v="Accommodation Service Core - Demolish and foundations - Gravel Base - Skidded Building"/>
    <s v="2511-BLD-001"/>
    <n v="1388.4758364312268"/>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3"/>
    <x v="3"/>
    <x v="3"/>
    <x v="3"/>
    <x v="18"/>
    <x v="15"/>
    <s v="229"/>
    <s v="BLD"/>
    <m/>
    <e v="#N/A"/>
    <s v="FW"/>
    <s v="Flooring / Foundations"/>
    <s v="Wood Floor"/>
    <m/>
    <s v="Accommodation Service Core - Demolish floor finish - Raised Steel or Wooden Floor"/>
    <s v="2511-BLD-001"/>
    <n v="1388.4758364312268"/>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1"/>
    <x v="1"/>
    <x v="8"/>
    <x v="8"/>
    <x v="12"/>
    <x v="10"/>
    <x v="74"/>
    <x v="61"/>
    <m/>
    <s v=""/>
    <m/>
    <m/>
    <m/>
    <m/>
    <m/>
    <m/>
    <m/>
    <m/>
    <m/>
    <m/>
    <s v="0"/>
    <s v="0"/>
    <s v="0"/>
    <s v="0"/>
    <s v="0"/>
    <n v="0"/>
    <n v="0"/>
    <n v="0"/>
    <n v="0"/>
    <n v="0"/>
    <n v="0"/>
    <n v="0"/>
    <n v="1"/>
    <n v="0"/>
    <n v="0"/>
    <n v="1"/>
    <n v="0"/>
    <n v="0"/>
    <n v="0"/>
    <n v="0"/>
    <s v="Type B Construction_x000a_2BC-MRY1416"/>
    <m/>
    <n v="2014"/>
    <s v="Direct "/>
    <m/>
    <m/>
    <m/>
    <m/>
    <m/>
    <m/>
    <m/>
    <m/>
    <m/>
    <m/>
    <n v="0"/>
    <m/>
    <n v="0"/>
    <n v="0"/>
    <n v="0"/>
    <n v="0"/>
    <n v="0"/>
    <n v="0"/>
    <n v="0"/>
    <n v="0"/>
  </r>
  <r>
    <x v="1"/>
    <x v="1"/>
    <x v="8"/>
    <x v="8"/>
    <x v="12"/>
    <x v="10"/>
    <x v="75"/>
    <x v="62"/>
    <m/>
    <s v=""/>
    <m/>
    <m/>
    <m/>
    <m/>
    <m/>
    <m/>
    <m/>
    <m/>
    <m/>
    <m/>
    <s v="0"/>
    <s v="0"/>
    <s v="0"/>
    <s v="0"/>
    <s v="0"/>
    <n v="0"/>
    <n v="0"/>
    <n v="0"/>
    <n v="0"/>
    <n v="0"/>
    <n v="0"/>
    <n v="0"/>
    <n v="1"/>
    <n v="0"/>
    <n v="0"/>
    <n v="1"/>
    <n v="0"/>
    <n v="0"/>
    <n v="0"/>
    <n v="0"/>
    <s v="Type B Construction_x000a_2BC-MRY1416"/>
    <m/>
    <n v="2014"/>
    <s v="Direct "/>
    <m/>
    <m/>
    <m/>
    <m/>
    <m/>
    <m/>
    <m/>
    <m/>
    <m/>
    <m/>
    <n v="0"/>
    <m/>
    <n v="0"/>
    <n v="0"/>
    <n v="0"/>
    <n v="0"/>
    <n v="0"/>
    <n v="0"/>
    <n v="0"/>
    <n v="0"/>
  </r>
  <r>
    <x v="1"/>
    <x v="1"/>
    <x v="8"/>
    <x v="8"/>
    <x v="23"/>
    <x v="16"/>
    <x v="76"/>
    <x v="63"/>
    <m/>
    <s v=""/>
    <m/>
    <m/>
    <m/>
    <m/>
    <m/>
    <m/>
    <m/>
    <m/>
    <m/>
    <m/>
    <s v="0"/>
    <s v="0"/>
    <s v="0"/>
    <s v="0"/>
    <s v="0"/>
    <n v="0"/>
    <n v="0"/>
    <n v="0"/>
    <n v="0"/>
    <n v="0"/>
    <n v="0"/>
    <n v="0"/>
    <n v="1"/>
    <n v="0"/>
    <n v="0"/>
    <n v="1"/>
    <n v="0"/>
    <n v="0"/>
    <n v="0"/>
    <n v="0"/>
    <s v="Type B Construction_x000a_2BC-MRY1416"/>
    <m/>
    <n v="2014"/>
    <s v="Direct "/>
    <m/>
    <m/>
    <m/>
    <m/>
    <m/>
    <m/>
    <m/>
    <m/>
    <m/>
    <m/>
    <n v="0"/>
    <m/>
    <n v="0"/>
    <n v="0"/>
    <n v="0"/>
    <n v="0"/>
    <n v="0"/>
    <n v="0"/>
    <n v="0"/>
    <n v="0"/>
  </r>
  <r>
    <x v="1"/>
    <x v="1"/>
    <x v="8"/>
    <x v="8"/>
    <x v="26"/>
    <x v="16"/>
    <x v="77"/>
    <x v="33"/>
    <s v="013"/>
    <s v="MO-"/>
    <s v="O1"/>
    <s v="Light Mobile Equipment"/>
    <s v="O1"/>
    <s v="Mobile Equipment"/>
    <s v="Light Mobile Equipment"/>
    <s v="Pick up"/>
    <s v="MOBILE EQUIPMENT  - PICKUP TRUCK  - FORD F350  _x000a_L: 6274 _x000a_W: 2665, H: 2032, 6350 kg"/>
    <s v="2140-MO-00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7"/>
    <x v="33"/>
    <s v="014"/>
    <s v="MO-"/>
    <s v="O1"/>
    <s v="Light Mobile Equipment"/>
    <s v="O1"/>
    <s v="Mobile Equipment"/>
    <s v="Light Mobile Equipment"/>
    <s v="Pick up"/>
    <s v="MOBILE EQUIPMENT  - PICKUP TRUCK  - FORD F350  _x000a_L: 6274, W: 2665, H: 2032, 6350 kg"/>
    <s v="2140-MO-00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7"/>
    <x v="33"/>
    <s v="015"/>
    <s v="MO-"/>
    <s v="O1"/>
    <s v="Light Mobile Equipment"/>
    <s v="O1"/>
    <s v="Mobile Equipment"/>
    <s v="Light Mobile Equipment"/>
    <s v="Pick up"/>
    <s v="MOBILE EQUIPMENT  - PICKUP TRUCK  - FORD F350  _x000a_L: 6274, W: 2665, H: 2032, 6350 kg"/>
    <s v="2140-MO-00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7"/>
    <x v="33"/>
    <s v="016"/>
    <s v="MO-"/>
    <s v="O1"/>
    <s v="Light Mobile Equipment"/>
    <s v="O1"/>
    <s v="Mobile Equipment"/>
    <s v="Light Mobile Equipment"/>
    <s v="Pick up"/>
    <s v="MOBILE EQUIPMENT  - PICKUP TRUCK  - FORD F350  _x000a_L: 6274, W: 2665, H: 2032, 6350 kg"/>
    <s v="2140-MO-00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37"/>
    <x v="33"/>
    <m/>
    <s v="MO-"/>
    <s v="O1"/>
    <s v="Light Mobile Equipment"/>
    <s v="O1"/>
    <s v="Mobile Equipment"/>
    <s v="Light Mobile Equipment"/>
    <s v="Pick up"/>
    <s v="MOBILE EQUIPMENT  - PICKUP TRUCK  - FORD F350  _x000a_L: 6274, W: 2665, H: 2032, 6350 kg"/>
    <m/>
    <m/>
    <s v="ea"/>
    <n v="6.666666666666667"/>
    <n v="25"/>
    <n v="666.08920634920639"/>
    <n v="250"/>
    <n v="941.08920634920639"/>
    <n v="0"/>
    <n v="0"/>
    <n v="0"/>
    <n v="0"/>
    <n v="0"/>
    <n v="4"/>
    <n v="0"/>
    <n v="1"/>
    <n v="0"/>
    <n v="0"/>
    <n v="1"/>
    <n v="0"/>
    <n v="0"/>
    <n v="0"/>
    <n v="0"/>
    <s v="Type A  _x000a_2AM-MRY1325"/>
    <s v="Removed"/>
    <s v="2015 A"/>
    <s v="Direct "/>
    <m/>
    <m/>
    <n v="0.33333333333333331"/>
    <m/>
    <n v="0.33333333333333331"/>
    <m/>
    <m/>
    <m/>
    <m/>
    <n v="0.33333333333333331"/>
    <n v="0"/>
    <m/>
    <n v="0"/>
    <n v="0"/>
    <n v="0"/>
    <n v="0"/>
    <n v="0"/>
    <n v="0"/>
    <n v="0"/>
    <n v="0"/>
  </r>
  <r>
    <x v="1"/>
    <x v="1"/>
    <x v="8"/>
    <x v="8"/>
    <x v="26"/>
    <x v="16"/>
    <x v="78"/>
    <x v="63"/>
    <s v="018"/>
    <s v="MO-"/>
    <s v="O3"/>
    <s v="Heavy Mobile Equipment"/>
    <s v="O3"/>
    <s v="Mobile Equipment"/>
    <s v="Heavy Mobile Equipment"/>
    <s v=" CAT 988H"/>
    <s v="MOBILE EQUIPMENT  - STOCKPILE FRONT END LOADER - CAT 988H  L: 10390, W: 3600, H: 4115, 43400 kg"/>
    <s v="2142-MO-001"/>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19"/>
    <s v="MO-"/>
    <s v="O3"/>
    <s v="Heavy Mobile Equipment"/>
    <s v="O3"/>
    <s v="Mobile Equipment"/>
    <s v="Heavy Mobile Equipment"/>
    <s v=" CAT 988H"/>
    <s v="MOBILE EQUIPMENT  - STOCKPILE FRONT END LOADER - CAT 988H  L: 10390, W: 3600, H: 4115, 43400 kg"/>
    <s v="2142-MO-002"/>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0"/>
    <s v="MO-"/>
    <s v="O3"/>
    <s v="Heavy Mobile Equipment"/>
    <s v="O3"/>
    <s v="Mobile Equipment"/>
    <s v="Heavy Mobile Equipment"/>
    <s v=" CAT 988H"/>
    <s v="MOBILE EQUIPMENT  - STOCKPILE FRONT END LOADER - CAT 988H  L: 10390, W: 3600, H: 4115, 43400 kg"/>
    <s v="2142-MO-003"/>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1"/>
    <s v="MO-"/>
    <s v="O3"/>
    <s v="Heavy Mobile Equipment"/>
    <s v="O3"/>
    <s v="Mobile Equipment"/>
    <s v="Heavy Mobile Equipment"/>
    <s v=" CAT 988H"/>
    <s v="MOBILE EQUIPMENT  - STOCKPILE FRONT END LOADER - CAT 988H  L: 10390, W: 3600, H: 4115, 43400 kg"/>
    <s v="2142-MO-004"/>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2"/>
    <s v="MO-"/>
    <s v="O3"/>
    <s v="Heavy Mobile Equipment"/>
    <s v="O3"/>
    <s v="Mobile Equipment"/>
    <s v="Heavy Mobile Equipment"/>
    <s v=" CAT 988H"/>
    <s v="MOBILE EQUIPMENT  - STOCKPILE FRONT END LOADER - CAT 988H  L: 10390, W: 3600, H: 4115, 43400 kg"/>
    <s v="2142-MO-005"/>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3"/>
    <s v="MO-"/>
    <s v="O3"/>
    <s v="Heavy Mobile Equipment"/>
    <s v="O3"/>
    <s v="Mobile Equipment"/>
    <s v="Heavy Mobile Equipment"/>
    <s v=" CAT 988H"/>
    <s v="MOBILE EQUIPMENT  - STOCKPILE FRONT END LOADER - CAT 988H  L: 10390, W: 3600, H: 4115, 43400 kg"/>
    <s v="2142-MO-006"/>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4"/>
    <s v="MO-"/>
    <s v="O1"/>
    <s v="Light Mobile Equipment"/>
    <s v="O1"/>
    <s v="Mobile Equipment"/>
    <s v="Light Mobile Equipment"/>
    <s v="Lights"/>
    <s v="MOBILE EQUIPMENT  - NIGHT WORK AREA LIGHT PLANTS - TEREX AL4  _x000a_L: 4623, W: 2007, H: 9000, 925 kg"/>
    <s v="2142-MO-009"/>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5"/>
    <s v="MO-"/>
    <s v="O1"/>
    <s v="Light Mobile Equipment"/>
    <s v="O1"/>
    <s v="Mobile Equipment"/>
    <s v="Light Mobile Equipment"/>
    <s v="Lights"/>
    <s v="MOBILE EQUIPMENT  - NIGHT WORK AREA LIGHT PLANTS - TEREX AL4  _x000a_L: 4623, W: 2007, H: 9000, 925 kg"/>
    <s v="2142-MO-010"/>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6"/>
    <s v="MO-"/>
    <s v="O1"/>
    <s v="Light Mobile Equipment"/>
    <s v="O1"/>
    <s v="Mobile Equipment"/>
    <s v="Light Mobile Equipment"/>
    <s v="Lights"/>
    <s v="MOBILE EQUIPMENT  - NIGHT WORK AREA LIGHT PLANTS - TEREX AL4  _x000a_L: 4623, W: 2007, H: 9000, 925 kg"/>
    <s v="2142-MO-01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7"/>
    <s v="MO-"/>
    <s v="O1"/>
    <s v="Light Mobile Equipment"/>
    <s v="O1"/>
    <s v="Mobile Equipment"/>
    <s v="Light Mobile Equipment"/>
    <s v="Lights"/>
    <s v="MOBILE EQUIPMENT  - NIGHT WORK AREA LIGHT PLANTS - TEREX AL4  _x000a_L: 4623, W: 2007, H: 9000, 925 kg"/>
    <s v="2142-MO-01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8"/>
    <s v="MO-"/>
    <s v="O1"/>
    <s v="Light Mobile Equipment"/>
    <s v="O1"/>
    <s v="Mobile Equipment"/>
    <s v="Light Mobile Equipment"/>
    <s v="Lights"/>
    <s v="MOBILE EQUIPMENT  - NIGHT WORK AREA LIGHT PLANTS - TEREX AL4  _x000a_L: 4623, W: 2007, H: 9000, 925 kg"/>
    <s v="2142-MO-01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29"/>
    <s v="MO-"/>
    <s v="O1"/>
    <s v="Light Mobile Equipment"/>
    <s v="O1"/>
    <s v="Mobile Equipment"/>
    <s v="Light Mobile Equipment"/>
    <s v="Lights"/>
    <s v="MOBILE EQUIPMENT  - NIGHT WORK AREA LIGHT PLANTS - TEREX AL4  _x000a_L: 4623, W: 2007, H: 9000, 925 kg"/>
    <s v="2142-MO-01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30"/>
    <s v="MO-"/>
    <s v="O1"/>
    <s v="Light Mobile Equipment"/>
    <s v="O1"/>
    <s v="Mobile Equipment"/>
    <s v="Light Mobile Equipment"/>
    <s v="Lights"/>
    <s v="MOBILE EQUIPMENT  - NIGHT WORK AREA LIGHT PLANTS - TEREX AL4  _x000a_L: 4623, W: 2007, H: 9000, 925 kg"/>
    <s v="2142-MO-01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31"/>
    <s v="MO-"/>
    <s v="O1"/>
    <s v="Light Mobile Equipment"/>
    <s v="O1"/>
    <s v="Mobile Equipment"/>
    <s v="Light Mobile Equipment"/>
    <s v="Lights"/>
    <s v="MOBILE EQUIPMENT  - NIGHT WORK AREA LIGHT PLANTS - TEREX AL4  _x000a_L: 4623, W: 2007, H: 9000, 925 kg"/>
    <s v="2142-MO-01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32"/>
    <s v="MO-"/>
    <s v="O1"/>
    <s v="Light Mobile Equipment"/>
    <s v="O1"/>
    <s v="Mobile Equipment"/>
    <s v="Light Mobile Equipment"/>
    <s v="Lights"/>
    <s v="MOBILE EQUIPMENT  - NIGHT WORK AREA LIGHT PLANTS - TEREX AL4  _x000a_L: 4623, W: 2007, H: 9000, 925 kg"/>
    <s v="2142-MO-017"/>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33"/>
    <s v="MO-"/>
    <s v="O1"/>
    <s v="Light Mobile Equipment"/>
    <s v="O1"/>
    <s v="Mobile Equipment"/>
    <s v="Light Mobile Equipment"/>
    <s v="Lights"/>
    <s v="MOBILE EQUIPMENT  - NIGHT WORK AREA LIGHT PLANTS - TEREX AL4  _x000a_L: 4623, W: 2007, H: 9000, 925 kg"/>
    <s v="2142-MO-018"/>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34"/>
    <s v="MO-"/>
    <s v="O1"/>
    <s v="Light Mobile Equipment"/>
    <s v="O1"/>
    <s v="Mobile Equipment"/>
    <s v="Light Mobile Equipment"/>
    <s v="bobcat size"/>
    <s v="MOBILE EQUIPMENT  - CONVEYOR CLEANUP/SNOW REMOVAL ALL TERRAIN LOADER - CAT 247B  _x000a_L: 3277, W: 1676, H: 3810, 3175 kg"/>
    <s v="2142-MO-019"/>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8"/>
    <x v="63"/>
    <s v="035"/>
    <s v="MO-"/>
    <s v="O1"/>
    <s v="Light Mobile Equipment"/>
    <s v="O1"/>
    <s v="Mobile Equipment"/>
    <s v="Light Mobile Equipment"/>
    <s v="bobcat size"/>
    <s v="MOBILE EQUIPMENT  - CONVEYOR CLEANUP/SNOW REMOVAL ALL TERRAIN LOADER - CAT 247B  _x000a_L: 3277, W: 1676, H: 3810, 3175 kg"/>
    <s v="2142-MO-020"/>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6"/>
    <x v="63"/>
    <m/>
    <s v="MO-"/>
    <s v="O3"/>
    <s v="Heavy Mobile Equipment"/>
    <s v="O3"/>
    <s v="Mobile Equipment"/>
    <s v="Heavy Mobile Equipment"/>
    <s v="CAT 988H"/>
    <s v="MOBILE EQUIPMENT  - STOCKPILE RECLAIM FRONT END LOADER - CAT 988H   _x000a_L: 10390, W: 3600, H: 4115, 434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1"/>
    <x v="1"/>
    <x v="8"/>
    <x v="8"/>
    <x v="26"/>
    <x v="16"/>
    <x v="79"/>
    <x v="64"/>
    <s v="037"/>
    <s v="MO-"/>
    <s v="O3"/>
    <s v="Heavy Mobile Equipment"/>
    <s v="O3"/>
    <s v="Mobile Equipment"/>
    <s v="Heavy Mobile Equipment"/>
    <s v=" CAT 14M"/>
    <s v="MOBILE EQUIPMENT  - SITE MAINTENANCE GRADER - CAT 14M  _x000a_L: 9412, W: 2791, H: 3535, 24400 kg"/>
    <s v="2143-MO-002"/>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38"/>
    <s v="MO-"/>
    <s v="O2"/>
    <s v="Medium Mobile Equipment"/>
    <s v="O2"/>
    <s v="Mobile Equipment"/>
    <s v="Medium Mobile Equipment"/>
    <s v="Dozer"/>
    <s v="MOBILE EQUIPMENT  - SITE MAINTENANCE TRACK DOZER - CAT D6T XW  _x000a_L: 4064, W: 2464, H: 2439, 21600 kg"/>
    <s v="2143-MO-003"/>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39"/>
    <s v="MO-"/>
    <s v="O1"/>
    <s v="Light Mobile Equipment"/>
    <s v="O1"/>
    <s v="Mobile Equipment"/>
    <s v="Light Mobile Equipment"/>
    <s v="Pick up"/>
    <s v="MOBILE EQUIPMENT  - PLANT AND MOBILE EQUIPMENT MAINTENANCE SERVICE TRUCK - FORD F550  _x000a_L: 7264, W: 2418, H: 2022, 7300 kg"/>
    <s v="2143-MO-00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0"/>
    <s v="MO-"/>
    <s v="O2"/>
    <s v="Medium Mobile Equipment"/>
    <s v="O2"/>
    <s v="Mobile Equipment"/>
    <s v="Medium Mobile Equipment"/>
    <s v="Hwy Truck"/>
    <s v="MOBILE EQUIPMENT  - PLANT AND MOBILE EQUIPMENT MAINTENANCE SERVICE TRUCK - PETERBILT 348  _x000a_L: 7264, W: 2418, H: 2022, 7300 kg"/>
    <s v="2143-MO-005"/>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1"/>
    <s v="MO-"/>
    <s v="O2"/>
    <s v="Medium Mobile Equipment"/>
    <s v="O2"/>
    <s v="Mobile Equipment"/>
    <s v="Medium Mobile Equipment"/>
    <s v="FEL"/>
    <s v="MOBILE EQUIPMENT  - SITE MAINTENANCE SMALL LOADER - CAT 930K  _x000a_L: 6050, W: 2390, H: 3150, 9600 kg"/>
    <s v="2143-MO-006"/>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2"/>
    <s v="MO-"/>
    <s v="O3"/>
    <s v="Heavy Mobile Equipment"/>
    <s v="O3"/>
    <s v="Mobile Equipment"/>
    <s v="Heavy Mobile Equipment"/>
    <s v="45 MT"/>
    <s v="MOBILE EQUIPMENT  - SITE MAINTENANCE MID SIZE EXCAVATOR - CAT 345DL  _x000a_L: 11910, W: 3490, H: 3770, 45000 kg"/>
    <s v="2143-MO-007"/>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3"/>
    <s v="MO-"/>
    <s v="O2"/>
    <s v="Medium Mobile Equipment"/>
    <s v="O2"/>
    <s v="Mobile Equipment"/>
    <s v="Medium Mobile Equipment"/>
    <s v="Kenworth Truck"/>
    <s v="MOBILE EQUIPMENT  - MAINTENANCE FUEL/LUBE TRUCK - KENWORTH T800  "/>
    <s v="2143-MO-008"/>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4"/>
    <s v="MO-"/>
    <s v="O2"/>
    <s v="Medium Mobile Equipment"/>
    <s v="O2"/>
    <s v="Mobile Equipment"/>
    <s v="Medium Mobile Equipment"/>
    <s v="Hwy Truck"/>
    <s v="MOBILE EQUIPMENT  - MINE/TOTE ROAD MAINTENANCE PLOW/SAND TRUCK - WESTERN STAR 4700 SF  "/>
    <s v="2143-MO-009"/>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5"/>
    <s v="MO-"/>
    <s v="O1"/>
    <s v="Light Mobile Equipment"/>
    <s v="O1"/>
    <s v="Mobile Equipment"/>
    <s v="Light Mobile Equipment"/>
    <s v="Pump"/>
    <s v="MOBILE EQUIPMENT  - SITE DEWATERING PUMP - GORMAN-RUPP 14C2-F3L  _x000a_L: 2057, W: 979, H: 1510, 834 kg"/>
    <s v="2143-MO-01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6"/>
    <s v="MO-"/>
    <s v="O1"/>
    <s v="Light Mobile Equipment"/>
    <s v="O1"/>
    <s v="Mobile Equipment"/>
    <s v="Light Mobile Equipment"/>
    <s v="Pump"/>
    <s v="MOBILE EQUIPMENT  - SITE DEWATERING PUMP - GORMAN-RUPP 14C2-F3L  _x000a_L: 2057, W: 979, H: 1510, 834 kg"/>
    <s v="2143-MO-01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7"/>
    <s v="MO-"/>
    <s v="O1"/>
    <s v="Light Mobile Equipment"/>
    <s v="O1"/>
    <s v="Mobile Equipment"/>
    <s v="Light Mobile Equipment"/>
    <s v="Light sized"/>
    <s v="MOBILE EQUIPMENT  - MAINTENANCE HOT BOX - ECOBLAZE CUBE 1100  _x000a_L: 4877, W: 2235, H: 1829, 1850 kg"/>
    <s v="2143-MO-01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8"/>
    <s v="MO-"/>
    <s v="O1"/>
    <s v="Light Mobile Equipment"/>
    <s v="O1"/>
    <s v="Mobile Equipment"/>
    <s v="Light Mobile Equipment"/>
    <s v="Light sized"/>
    <s v="MOBILE EQUIPMENT  - MAINTENANCE HOT BOX - ECOBLAZE CUBE 1100  _x000a_L: 4877, W: 2235, H: 1829, 1850 kg"/>
    <s v="2143-MO-01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49"/>
    <s v="MO-"/>
    <s v="O1"/>
    <s v="Light Mobile Equipment"/>
    <s v="O1"/>
    <s v="Mobile Equipment"/>
    <s v="Light Mobile Equipment"/>
    <s v="welder"/>
    <s v="MOBILE EQUIPMENT  - MAINTENANCE TRAILER WELDER "/>
    <s v="2143-MO-01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0"/>
    <s v="MO-"/>
    <s v="O2"/>
    <s v="Medium Mobile Equipment"/>
    <s v="O2"/>
    <s v="Mobile Equipment"/>
    <s v="Medium Mobile Equipment"/>
    <s v="telehandler"/>
    <s v="MOBILE EQUIPMENT  - FREIGHT TELEHANDLER - CAT TH514  _x000a_L: 6100, W: 2570, H: 2570, 15800 kg"/>
    <s v="2143-MO-016"/>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1"/>
    <s v="MO-"/>
    <s v="O3"/>
    <s v="Heavy Mobile Equipment"/>
    <s v="O3"/>
    <s v="Mobile Equipment"/>
    <s v="Heavy Mobile Equipment"/>
    <s v=" CAT 14M"/>
    <s v="MOBILE EQUIPMENT  - TOTE ROAD MAINTENANCE GRADER - CAT 14M  _x000a_L: 9412, W: 2791, H: 3535, 24400 kg"/>
    <s v="2143-MO-017"/>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2"/>
    <s v="MO-"/>
    <s v="O3"/>
    <s v="Heavy Mobile Equipment"/>
    <s v="O3"/>
    <s v="Mobile Equipment"/>
    <s v="Heavy Mobile Equipment"/>
    <s v=" CAT 14M"/>
    <s v="MOBILE EQUIPMENT  - TOTE ROAD MAINTENANCE GRADER - CAT 14M  _x000a_L: 9412, W: 2791, H: 3535, 24400 kg"/>
    <s v="2143-MO-018"/>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3"/>
    <s v="MO-"/>
    <s v="O3"/>
    <s v="Heavy Mobile Equipment"/>
    <s v="O3"/>
    <s v="Mobile Equipment"/>
    <s v="Heavy Mobile Equipment"/>
    <s v=" CAT 14M"/>
    <s v="MOBILE EQUIPMENT  - TOTE ROAD MAINTENANCE GRADER - CAT 14M  _x000a_L: 9412, W: 2791, H: 3535, 24400 kg"/>
    <s v="2143-MO-019"/>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4"/>
    <s v="MO-"/>
    <s v="O2"/>
    <s v="Medium Mobile Equipment"/>
    <s v="O2"/>
    <s v="Mobile Equipment"/>
    <s v="Medium Mobile Equipment"/>
    <s v="Compactor"/>
    <s v="MOBILE EQUIPMENT  - TOTE ROAD MAINTENANCE COMPACTOR - CAT CS56  _x000a_L: 5860, W: 2300, H: 3070, 12250 kg"/>
    <s v="2143-MO-020"/>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m/>
    <s v="MO-"/>
    <s v="O2"/>
    <s v="Medium Mobile Equipment"/>
    <s v="O2"/>
    <s v="Mobile Equipment"/>
    <s v="Medium Mobile Equipment"/>
    <s v="Compactor"/>
    <s v="CS56B"/>
    <s v="M4M00243"/>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5"/>
    <s v="MO-"/>
    <s v="O2"/>
    <s v="Medium Mobile Equipment"/>
    <s v="O2"/>
    <s v="Mobile Equipment"/>
    <s v="Medium Mobile Equipment"/>
    <s v="Hwy Truck"/>
    <s v="MOBILE EQUIPMENT  - TOTE ROAD MAINTENANCE PLOW/SAND TRUCK - WESTERN STAR 4700 SF  "/>
    <s v="2143-MO-021"/>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6"/>
    <s v="MO-"/>
    <s v="O3"/>
    <s v="Heavy Mobile Equipment"/>
    <s v="O3"/>
    <s v="Mobile Equipment"/>
    <s v="Heavy Mobile Equipment"/>
    <s v="45 MT"/>
    <s v="MOBILE EQUIPMENT  - TOTE ROAD MAINTENANCE MID SIZE EXCAVATOR - CAT 345DL HEX  _x000a_L: 11910, W: 3490, H: 3770, 45000 kg"/>
    <s v="2143-MO-022"/>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7"/>
    <s v="MO-"/>
    <s v="O3"/>
    <s v="Heavy Mobile Equipment"/>
    <s v="O3"/>
    <s v="Mobile Equipment"/>
    <s v="Heavy Mobile Equipment"/>
    <s v="FEL"/>
    <s v="MOBILE EQUIPMENT  - ROAD SNOW BLOWER  - CAT 950H  _x000a_L: 6170, W: 2410, H: 3320, 18338 kg"/>
    <s v="2143-MO-023"/>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8"/>
    <s v="MO-"/>
    <s v="O1"/>
    <s v="Light Mobile Equipment"/>
    <s v="O1"/>
    <s v="Mobile Equipment"/>
    <s v="Light Mobile Equipment"/>
    <s v="small crane"/>
    <s v="MOBILE EQUIPMENT  - MINI CRAWLER CRANE  - SPYDER CRANE URW295  "/>
    <s v="2143-MO-02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59"/>
    <s v="MO-"/>
    <s v="O1"/>
    <s v="Light Mobile Equipment"/>
    <s v="O1"/>
    <s v="Mobile Equipment"/>
    <s v="Light Mobile Equipment"/>
    <s v="Forklift"/>
    <s v="MOBILE EQUIPMENT  - FORKLIFT  - MITSUBISHI FD35N  _x000a_L: 2540, W: 1300, H: 2540, 4800 kg"/>
    <s v="2143-MO-02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60"/>
    <s v="MO-"/>
    <s v="O2"/>
    <s v="Medium Mobile Equipment"/>
    <s v="O2"/>
    <s v="Mobile Equipment"/>
    <s v="Medium Mobile Equipment"/>
    <s v="Sterling Trucks"/>
    <s v="MOBILE EQUIPMENT  - SPILL RESPONSE TRUCK  - STERLING M8500  "/>
    <s v="2143-MO-026"/>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61"/>
    <s v="MO-"/>
    <s v="O1"/>
    <s v="Light Mobile Equipment"/>
    <s v="O1"/>
    <s v="Mobile Equipment"/>
    <s v="Light Mobile Equipment"/>
    <s v="Forklift"/>
    <s v="MOBILE EQUIPMENT  - FORKLIFT  - CAT DP50K  _x000a_L: 3305, W: 1460, H: 2400, 7160 kg"/>
    <s v="2143-MO-027"/>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62"/>
    <s v="MO-"/>
    <s v="O1"/>
    <s v="Light Mobile Equipment"/>
    <s v="O1"/>
    <s v="Mobile Equipment"/>
    <s v="Light Mobile Equipment"/>
    <s v="Forklift"/>
    <s v="MOBILE EQUIPMENT  - FORKLIFT  - CAT 2ET4000 _x000a_ L: 2000, W: 1100, H: 2040, 3330 kg"/>
    <s v="2143-MO-028"/>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79"/>
    <x v="64"/>
    <s v="062"/>
    <s v="MO-"/>
    <s v="O1"/>
    <s v="Light Mobile Equipment"/>
    <s v="O1"/>
    <s v="Mobile Equipment"/>
    <s v="Light Mobile Equipment"/>
    <s v="Forklift"/>
    <s v="MOBILE EQUIPMENT  - FORKLIFT  - CAT 2ET4000 _x000a_ L: 2000, W: 1100, H: 2040, 3330 kg"/>
    <s v="2143-MO-028"/>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0"/>
    <x v="64"/>
    <m/>
    <s v="MO-"/>
    <s v="O3"/>
    <s v="Heavy Mobile Equipment"/>
    <s v="O3"/>
    <s v="Mobile Equipment"/>
    <s v="Heavy Mobile Equipment"/>
    <s v="Grader"/>
    <s v="MOBILE EQUIPMENT  - GRADER  - CAT 16M  _x000a_L: 9994, W: 3077, H: 3524, 244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1"/>
    <x v="1"/>
    <x v="8"/>
    <x v="8"/>
    <x v="26"/>
    <x v="16"/>
    <x v="80"/>
    <x v="64"/>
    <m/>
    <s v="MO-"/>
    <s v="O2"/>
    <s v="Medium Mobile Equipment"/>
    <s v="O2"/>
    <s v="Mobile Equipment"/>
    <s v="Medium Mobile Equipment"/>
    <s v="telehandler"/>
    <s v="MOBILE EQUIPMENT  - INTEGRATED TOOL CARRIER CAT IT38"/>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1"/>
    <x v="1"/>
    <x v="8"/>
    <x v="8"/>
    <x v="26"/>
    <x v="16"/>
    <x v="80"/>
    <x v="64"/>
    <m/>
    <s v="MO-"/>
    <s v="O1"/>
    <s v="Light Mobile Equipment"/>
    <s v="O1"/>
    <s v="Mobile Equipment"/>
    <s v="Light Mobile Equipment"/>
    <s v="Lights"/>
    <s v="MOBILE EQUIPMENT  - MOBILE LIGHT PLANT - TEREX AL4_x000a_L: 4623, W: 2007, H: 9000, 925 kg"/>
    <m/>
    <m/>
    <s v="ea"/>
    <n v="6.666666666666667"/>
    <n v="25"/>
    <n v="666.08920634920639"/>
    <n v="250"/>
    <n v="941.08920634920639"/>
    <n v="0"/>
    <n v="0"/>
    <n v="0"/>
    <n v="0"/>
    <n v="0"/>
    <n v="4"/>
    <n v="0"/>
    <n v="1"/>
    <n v="0"/>
    <n v="0"/>
    <n v="1"/>
    <n v="0"/>
    <n v="0"/>
    <n v="0"/>
    <n v="0"/>
    <s v="Type A  _x000a_2AM-MRY1325"/>
    <s v="Removed"/>
    <s v="2015 A"/>
    <s v="Direct "/>
    <m/>
    <m/>
    <n v="0.33333333333333331"/>
    <m/>
    <n v="0.33333333333333331"/>
    <m/>
    <m/>
    <m/>
    <m/>
    <n v="0.33333333333333331"/>
    <n v="0"/>
    <m/>
    <n v="0"/>
    <n v="0"/>
    <n v="0"/>
    <n v="0"/>
    <n v="0"/>
    <n v="0"/>
    <n v="0"/>
    <n v="0"/>
  </r>
  <r>
    <x v="1"/>
    <x v="1"/>
    <x v="8"/>
    <x v="8"/>
    <x v="26"/>
    <x v="16"/>
    <x v="80"/>
    <x v="64"/>
    <m/>
    <s v="MO-"/>
    <s v="O2"/>
    <s v="Medium Mobile Equipment"/>
    <s v="O2"/>
    <s v="Mobile Equipment"/>
    <s v="Medium Mobile Equipment"/>
    <s v="Hwy Truck"/>
    <s v="MOBILE EQUIPMENT  - SERVICE TRUCK - FREIGHTLINER  "/>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1"/>
    <x v="1"/>
    <x v="8"/>
    <x v="8"/>
    <x v="26"/>
    <x v="16"/>
    <x v="81"/>
    <x v="65"/>
    <s v="064"/>
    <s v="MO-"/>
    <s v="O2"/>
    <s v="Medium Mobile Equipment"/>
    <s v="O2"/>
    <s v="Mobile Equipment"/>
    <s v="Medium Mobile Equipment"/>
    <s v="Hwy Truck"/>
    <s v="MOBILE EQUIPMENT  - WATER TRUCK  - PETERBILT 348 AUTO S/S 100 BBL  "/>
    <s v="2144-MO-001"/>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65"/>
    <s v="MO-"/>
    <s v="O3"/>
    <s v="Heavy Mobile Equipment"/>
    <s v="O3"/>
    <s v="Mobile Equipment"/>
    <s v="Heavy Mobile Equipment"/>
    <s v="Container Handler"/>
    <s v="MOBILE EQUIPMENT  - CONTAINER HANDLER - KALMAR DRF 450-6555  _x000a_L: 11684, W: 3454, H: 2146, 72000 kg"/>
    <s v="2144-MO-002"/>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66"/>
    <s v="MO-"/>
    <s v="O2"/>
    <s v="Medium Mobile Equipment"/>
    <s v="O2"/>
    <s v="Mobile Equipment"/>
    <s v="Medium Mobile Equipment"/>
    <s v="school bus"/>
    <s v="MOBILE EQUIPMENT  - PASSENGER TRANSFER BUS - BLUE BIRD BBCV DIESEL 3507A  _x000a_L: 12192, W: 2440, H: 2900, 14000 kg"/>
    <s v="2144-MO-003"/>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67"/>
    <s v="MO-"/>
    <s v="O2"/>
    <s v="Medium Mobile Equipment"/>
    <s v="O2"/>
    <s v="Mobile Equipment"/>
    <s v="Medium Mobile Equipment"/>
    <s v="school bus"/>
    <s v="MOBILE EQUIPMENT  - WORKER TRANSFER MINI BUS - BLUE BIRD BBCV DIESEL 1910 A  _x000a_L: 7470, W: 2440, H: 1930, 7080 kg"/>
    <s v="2144-MO-004"/>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68"/>
    <s v="MO-"/>
    <s v="O2"/>
    <s v="Medium Mobile Equipment"/>
    <s v="O2"/>
    <s v="Mobile Equipment"/>
    <s v="Medium Mobile Equipment"/>
    <s v="Hwy Truck"/>
    <s v="MOBILE EQUIPMENT  - WATER DELIVERY TRUCK  - PETERBILT 367 TRI-DRIVE   "/>
    <s v="2144-MO-005"/>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69"/>
    <s v="MO-"/>
    <s v="O2"/>
    <s v="Medium Mobile Equipment"/>
    <s v="O2"/>
    <s v="Mobile Equipment"/>
    <s v="Medium Mobile Equipment"/>
    <s v="Hwy Truck"/>
    <s v="MOBILE EQUIPMENT  - MILNE/MR FREIGHT HAUL TRACTOR - PETERBILT 367  "/>
    <s v="2144-MO-006"/>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0"/>
    <s v="MO-"/>
    <s v="O2"/>
    <s v="Medium Mobile Equipment"/>
    <s v="O2"/>
    <s v="Mobile Equipment"/>
    <s v="Medium Mobile Equipment"/>
    <s v="Hwy Truck"/>
    <s v="MOBILE EQUIPMENT  - MILNE/MR FREIGHT HAUL TRACTOR - PETERBILT 367  "/>
    <s v="2144-MO-007"/>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1"/>
    <s v="MO-"/>
    <s v="O2"/>
    <s v="Medium Mobile Equipment"/>
    <s v="O2"/>
    <s v="Mobile Equipment"/>
    <s v="Medium Mobile Equipment"/>
    <s v="Hwy Truck"/>
    <s v="MOBILE EQUIPMENT  - MILNE/MR FREIGHT HAUL TRACTOR - PETERBILT 367  "/>
    <s v="2144-MO-008"/>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2"/>
    <s v="MO-"/>
    <s v="O1"/>
    <s v="Light Mobile Equipment"/>
    <s v="O1"/>
    <s v="Mobile Equipment"/>
    <s v="Light Mobile Equipment"/>
    <s v="Trailer"/>
    <s v="MOBILE EQUIPMENT  - MILNE/MR FREIGHT HAUL HIBOY TRAILER_x000a_L: 12192, W: 2438 "/>
    <s v="2144-MO-009"/>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3"/>
    <s v="MO-"/>
    <s v="O1"/>
    <s v="Light Mobile Equipment"/>
    <s v="O1"/>
    <s v="Mobile Equipment"/>
    <s v="Light Mobile Equipment"/>
    <s v="Trailer"/>
    <s v="MOBILE EQUIPMENT  - MILNE/MR FREIGHT HAUL HIBOY TRAILER _x000a_L: 12192, W: 2438 "/>
    <s v="2144-MO-010"/>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4"/>
    <s v="MO-"/>
    <s v="O1"/>
    <s v="Light Mobile Equipment"/>
    <s v="O1"/>
    <s v="Mobile Equipment"/>
    <s v="Light Mobile Equipment"/>
    <s v="Trailer"/>
    <s v="MOBILE EQUIPMENT  - MILNE/MR FREIGHT HAUL HIBOY TRAILER_x000a_L: 12192, W: 2438 _x000a_"/>
    <s v="2144-MO-01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5"/>
    <s v="MO-"/>
    <s v="O1"/>
    <s v="Light Mobile Equipment"/>
    <s v="O1"/>
    <s v="Mobile Equipment"/>
    <s v="Light Mobile Equipment"/>
    <s v="sewage tank and vacuum"/>
    <s v="MOBILE EQUIPMENT  - SEWAGE HOLDING TANK SKID MOUNTED VACUUM UNIT - TEXLA "/>
    <s v="2144-MO-012"/>
    <m/>
    <s v="ea"/>
    <n v="6.666666666666667"/>
    <n v="25"/>
    <n v="666.08920634920639"/>
    <n v="250"/>
    <n v="941.08920634920639"/>
    <n v="0"/>
    <n v="0"/>
    <n v="0"/>
    <n v="0"/>
    <n v="0"/>
    <n v="4"/>
    <n v="0"/>
    <n v="1"/>
    <n v="0"/>
    <n v="0"/>
    <n v="1"/>
    <n v="0"/>
    <n v="0"/>
    <n v="0"/>
    <n v="0"/>
    <s v="Type B Construction_x000a_2BC-MRY1416"/>
    <s v="Removed"/>
    <n v="2014"/>
    <s v="Direct "/>
    <m/>
    <m/>
    <n v="0.5"/>
    <n v="0.5"/>
    <m/>
    <m/>
    <m/>
    <m/>
    <m/>
    <m/>
    <n v="0"/>
    <m/>
    <n v="0"/>
    <n v="0"/>
    <n v="0"/>
    <n v="0"/>
    <n v="0"/>
    <n v="0"/>
    <n v="0"/>
    <n v="0"/>
  </r>
  <r>
    <x v="1"/>
    <x v="1"/>
    <x v="8"/>
    <x v="8"/>
    <x v="26"/>
    <x v="16"/>
    <x v="81"/>
    <x v="65"/>
    <s v="076"/>
    <s v="MO-"/>
    <s v="O2"/>
    <s v="Medium Mobile Equipment"/>
    <s v="O2"/>
    <s v="Mobile Equipment"/>
    <s v="Medium Mobile Equipment"/>
    <s v="Hwy Truck"/>
    <s v="MOBILE EQUIPMENT  - GARBAGE TRUCK  - PETERBILT 365  "/>
    <s v="2144-MO-013"/>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7"/>
    <s v="MO-"/>
    <s v="O2"/>
    <s v="Medium Mobile Equipment"/>
    <s v="O2"/>
    <s v="Mobile Equipment"/>
    <s v="Medium Mobile Equipment"/>
    <s v="Garbage Bin (Large)"/>
    <s v="MOBILE EQUIPMENT  - GARBAGE BIN - LARGE  "/>
    <s v="2144-MO-014"/>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8"/>
    <s v="MO-"/>
    <s v="O2"/>
    <s v="Medium Mobile Equipment"/>
    <s v="O2"/>
    <s v="Mobile Equipment"/>
    <s v="Medium Mobile Equipment"/>
    <s v="Garbage Bin (Large)"/>
    <s v="MOBILE EQUIPMENT  - GARBAGE BIN - LARGE  "/>
    <s v="2144-MO-015"/>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79"/>
    <s v="MO-"/>
    <s v="O2"/>
    <s v="Medium Mobile Equipment"/>
    <s v="O2"/>
    <s v="Mobile Equipment"/>
    <s v="Medium Mobile Equipment"/>
    <s v="Garbage Bin (Large)"/>
    <s v="MOBILE EQUIPMENT  - GARBAGE BIN - LARGE  "/>
    <s v="2144-MO-016"/>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0"/>
    <s v="MO-"/>
    <s v="O2"/>
    <s v="Medium Mobile Equipment"/>
    <s v="O2"/>
    <s v="Mobile Equipment"/>
    <s v="Medium Mobile Equipment"/>
    <s v="Garbage Bin (Large)"/>
    <s v="MOBILE EQUIPMENT  - GARBAGE BIN - LARGE  "/>
    <s v="2144-MO-017"/>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1"/>
    <s v="MO-"/>
    <s v="O1"/>
    <s v="Light Mobile Equipment"/>
    <s v="O1"/>
    <s v="Mobile Equipment"/>
    <s v="Light Mobile Equipment"/>
    <s v="Small Garbage bin"/>
    <s v="MOBILE EQUIPMENT  - GARBAGE BIN - SMALL  "/>
    <s v="2144-MO-018"/>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2"/>
    <s v="MO-"/>
    <s v="O1"/>
    <s v="Light Mobile Equipment"/>
    <s v="O1"/>
    <s v="Mobile Equipment"/>
    <s v="Light Mobile Equipment"/>
    <s v="Small Garbage bin"/>
    <s v="MOBILE EQUIPMENT  - GARBAGE BIN - SMALL  "/>
    <s v="2144-MO-019"/>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3"/>
    <s v="MO-"/>
    <s v="O1"/>
    <s v="Light Mobile Equipment"/>
    <s v="O1"/>
    <s v="Mobile Equipment"/>
    <s v="Light Mobile Equipment"/>
    <s v="Small Garbage bin"/>
    <s v="MOBILE EQUIPMENT  - WILDLIFE DETERGENT GARBAGE BIN "/>
    <s v="2144-MO-02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4"/>
    <s v="MO-"/>
    <s v="O1"/>
    <s v="Light Mobile Equipment"/>
    <s v="O1"/>
    <s v="Mobile Equipment"/>
    <s v="Light Mobile Equipment"/>
    <s v="Small Garbage bin"/>
    <s v="MOBILE EQUIPMENT  - WILDLIFE DETERGENT GARBAGE BIN "/>
    <s v="2144-MO-02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5"/>
    <s v="MO-"/>
    <s v="O1"/>
    <s v="Light Mobile Equipment"/>
    <s v="O1"/>
    <s v="Mobile Equipment"/>
    <s v="Light Mobile Equipment"/>
    <s v="Small Garbage bin"/>
    <s v="MOBILE EQUIPMENT  - WILDLIFE DETERGENT GARBAGE BIN "/>
    <s v="2144-MO-027"/>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6"/>
    <s v="MO-"/>
    <s v="O1"/>
    <s v="Light Mobile Equipment"/>
    <s v="O1"/>
    <s v="Mobile Equipment"/>
    <s v="Light Mobile Equipment"/>
    <s v="Sea Container"/>
    <s v="MOBILE EQUIPMENT  - HEATED/REFRIGERATED SEA CONTAINER _x000a_L: 6096, W: 2440, H: 2440 "/>
    <s v="2144-MO-030"/>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7"/>
    <s v="MO-"/>
    <s v="O1"/>
    <s v="Light Mobile Equipment"/>
    <s v="O1"/>
    <s v="Mobile Equipment"/>
    <s v="Light Mobile Equipment"/>
    <s v="Sea Container"/>
    <s v="MOBILE EQUIPMENT  - HEATED/REFRIGERATED SEA CONTAINER _x000a_L: 6096, W: 2440, H: 2440 "/>
    <s v="2144-MO-03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8"/>
    <s v="MO-"/>
    <s v="O1"/>
    <s v="Light Mobile Equipment"/>
    <s v="O1"/>
    <s v="Mobile Equipment"/>
    <s v="Light Mobile Equipment"/>
    <s v="Sea Container"/>
    <s v="MOBILE EQUIPMENT  - REFRIGERATED SEA CONTAINER _x000a_L: 6096, W: 2440, H: 2440 "/>
    <s v="2144-MO-03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89"/>
    <s v="MO-"/>
    <s v="O1"/>
    <s v="Light Mobile Equipment"/>
    <s v="O1"/>
    <s v="Mobile Equipment"/>
    <s v="Light Mobile Equipment"/>
    <s v="Sea Container"/>
    <s v="MOBILE EQUIPMENT  - REFRIGERATED SEA CONTAINER _x000a_L: 6096, W: 2440, H: 2440 "/>
    <s v="2144-MO-03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90"/>
    <s v="MO-"/>
    <s v="O1"/>
    <s v="Light Mobile Equipment"/>
    <s v="O1"/>
    <s v="Mobile Equipment"/>
    <s v="Light Mobile Equipment"/>
    <s v="Sea Container"/>
    <s v="MOBILE EQUIPMENT  - REFRIGERATED SEA CONTAINER _x000a_L: 6096, W: 2440, H: 2440 "/>
    <s v="2144-MO-03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91"/>
    <s v="MO-"/>
    <s v="O1"/>
    <s v="Light Mobile Equipment"/>
    <s v="O1"/>
    <s v="Mobile Equipment"/>
    <s v="Light Mobile Equipment"/>
    <s v="Sea Container"/>
    <s v="MOBILE EQUIPMENT  - REFRIGERATED SEA CONTAINER L: 6096, _x000a_W: 2440, H: 2440 "/>
    <s v="2144-MO-03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92"/>
    <s v="MO-"/>
    <s v="O1"/>
    <s v="Light Mobile Equipment"/>
    <s v="O1"/>
    <s v="Mobile Equipment"/>
    <s v="Light Mobile Equipment"/>
    <s v="Sea Container"/>
    <s v="MOBILE EQUIPMENT  - REFRIGERATED SEA CONTAINER L: 6096, _x000a_W: 2440, H: 2440 "/>
    <s v="2144-MO-03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93"/>
    <s v="MO-"/>
    <s v="O1"/>
    <s v="Light Mobile Equipment"/>
    <s v="O1"/>
    <s v="Mobile Equipment"/>
    <s v="Light Mobile Equipment"/>
    <s v="Sea Container"/>
    <s v="MOBILE EQUIPMENT  - REFRIGERATED SEA CONTAINER L: 6096, _x000a_W: 2440, H: 2440 "/>
    <s v="2144-MO-037"/>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1"/>
    <x v="65"/>
    <s v="094"/>
    <s v="MO-"/>
    <s v="O1"/>
    <s v="Light Mobile Equipment"/>
    <s v="O1"/>
    <s v="Mobile Equipment"/>
    <s v="Light Mobile Equipment"/>
    <s v="Sea Container"/>
    <s v="MOBILE EQUIPMENT  - REFRIGERATED SEA CONTAINER L: 6096, _x000a_W: 2440, H: 2440 "/>
    <s v="2144-MO-038"/>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8"/>
    <x v="8"/>
    <x v="26"/>
    <x v="16"/>
    <x v="82"/>
    <x v="65"/>
    <m/>
    <s v="MO-"/>
    <s v="O1"/>
    <s v="Light Mobile Equipment"/>
    <s v="O1"/>
    <s v="Mobile Equipment"/>
    <s v="Light Mobile Equipment"/>
    <s v="Pick up"/>
    <s v="MOBILE EQUIPMENT  - AMBULANCE  - FORD F350  _x000a_L: 5715, W: 1752, H: 2032, 6350 kg"/>
    <m/>
    <m/>
    <s v="ea"/>
    <n v="6.666666666666667"/>
    <n v="25"/>
    <n v="666.08920634920639"/>
    <n v="250"/>
    <n v="941.08920634920639"/>
    <n v="0"/>
    <n v="0"/>
    <n v="0"/>
    <n v="0"/>
    <n v="0"/>
    <n v="4"/>
    <n v="0"/>
    <n v="1"/>
    <n v="0"/>
    <n v="0"/>
    <n v="1"/>
    <n v="0"/>
    <n v="0"/>
    <n v="0"/>
    <n v="0"/>
    <s v="Type A  _x000a_2AM-MRY1325"/>
    <s v="Removed"/>
    <s v="2015 A"/>
    <s v="Direct "/>
    <m/>
    <m/>
    <n v="0.33333333333333331"/>
    <m/>
    <n v="0.33333333333333331"/>
    <m/>
    <m/>
    <m/>
    <m/>
    <n v="0.33333333333333331"/>
    <n v="0"/>
    <m/>
    <n v="0"/>
    <n v="0"/>
    <n v="0"/>
    <n v="0"/>
    <n v="0"/>
    <n v="0"/>
    <n v="0"/>
    <n v="0"/>
  </r>
  <r>
    <x v="1"/>
    <x v="1"/>
    <x v="8"/>
    <x v="8"/>
    <x v="26"/>
    <x v="16"/>
    <x v="82"/>
    <x v="65"/>
    <m/>
    <s v="MO-"/>
    <s v="O3"/>
    <s v="Heavy Mobile Equipment"/>
    <s v="O3"/>
    <s v="Mobile Equipment"/>
    <s v="Heavy Mobile Equipment"/>
    <s v="Container Handler"/>
    <s v="MOBILE EQUIPMENT  - CONTAINER HANDLER - KALMAR DRF 450-6555  _x000a_L: 11684, W: 3454, H: 2146, 720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1"/>
    <x v="1"/>
    <x v="8"/>
    <x v="8"/>
    <x v="26"/>
    <x v="16"/>
    <x v="82"/>
    <x v="65"/>
    <m/>
    <s v="MO-"/>
    <s v="O2"/>
    <s v="Medium Mobile Equipment"/>
    <s v="O2"/>
    <s v="Mobile Equipment"/>
    <s v="Medium Mobile Equipment"/>
    <s v="Hwy Truck"/>
    <s v="MOBILE EQUIPMENT  - FREIGHT HAUL TRACTOR - WeSTERN STAR 4900 "/>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1"/>
    <x v="1"/>
    <x v="8"/>
    <x v="8"/>
    <x v="26"/>
    <x v="16"/>
    <x v="82"/>
    <x v="65"/>
    <m/>
    <s v="MO-"/>
    <s v="O2"/>
    <s v="Medium Mobile Equipment"/>
    <s v="O2"/>
    <s v="Mobile Equipment"/>
    <s v="Medium Mobile Equipment"/>
    <s v="Large Trailer"/>
    <s v="MOBILE EQUIPMENT  - LOWBOY TRAILER_x000a_"/>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1"/>
    <x v="1"/>
    <x v="8"/>
    <x v="8"/>
    <x v="26"/>
    <x v="16"/>
    <x v="82"/>
    <x v="65"/>
    <m/>
    <s v="MO-"/>
    <s v="O1"/>
    <s v="Light Mobile Equipment"/>
    <s v="O1"/>
    <s v="Mobile Equipment"/>
    <s v="Light Mobile Equipment"/>
    <s v="Trailer"/>
    <s v="MOBILE EQUIPMENT  - HIBOY TRAILER,  SEMI DUMP_x000a_"/>
    <m/>
    <m/>
    <s v="ea"/>
    <n v="6.666666666666667"/>
    <n v="25"/>
    <n v="666.08920634920639"/>
    <n v="250"/>
    <n v="941.08920634920639"/>
    <n v="0"/>
    <n v="0"/>
    <n v="0"/>
    <n v="0"/>
    <n v="0"/>
    <n v="4"/>
    <n v="0"/>
    <n v="1"/>
    <n v="0"/>
    <n v="0"/>
    <n v="1"/>
    <n v="0"/>
    <n v="0"/>
    <n v="0"/>
    <n v="0"/>
    <s v="Type A  _x000a_2AM-MRY1325"/>
    <s v="Removed"/>
    <s v="2015 A"/>
    <s v="Direct "/>
    <m/>
    <m/>
    <n v="0.33333333333333331"/>
    <m/>
    <n v="0.33333333333333331"/>
    <m/>
    <m/>
    <m/>
    <m/>
    <n v="0.33333333333333331"/>
    <n v="0"/>
    <m/>
    <n v="0"/>
    <n v="0"/>
    <n v="0"/>
    <n v="0"/>
    <n v="0"/>
    <n v="0"/>
    <n v="0"/>
    <n v="0"/>
  </r>
  <r>
    <x v="1"/>
    <x v="1"/>
    <x v="8"/>
    <x v="8"/>
    <x v="26"/>
    <x v="16"/>
    <x v="82"/>
    <x v="65"/>
    <m/>
    <s v="MO-"/>
    <s v="O2"/>
    <s v="Medium Mobile Equipment"/>
    <s v="O2"/>
    <s v="Mobile Equipment"/>
    <s v="Medium Mobile Equipment"/>
    <s v="Peterbilt  Truck"/>
    <s v="MOBILE EQUIPMENT  - MAINTENANCE FUEL/LUBE TRUCK  - PETERBILT"/>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1"/>
    <x v="1"/>
    <x v="8"/>
    <x v="8"/>
    <x v="26"/>
    <x v="16"/>
    <x v="82"/>
    <x v="65"/>
    <m/>
    <s v="MO-"/>
    <s v="O3"/>
    <s v="Heavy Mobile Equipment"/>
    <s v="O3"/>
    <s v="Mobile Equipment"/>
    <s v="Heavy Mobile Equipment"/>
    <s v="CAT 740"/>
    <s v="MOBILE EQUIPMENT  - WATER TRUCK  - CAT 740 (8000 GAL)  "/>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1"/>
    <x v="1"/>
    <x v="17"/>
    <x v="10"/>
    <x v="37"/>
    <x v="22"/>
    <x v="83"/>
    <x v="66"/>
    <m/>
    <s v=""/>
    <m/>
    <m/>
    <m/>
    <m/>
    <m/>
    <m/>
    <m/>
    <m/>
    <m/>
    <m/>
    <s v="0"/>
    <s v="0"/>
    <s v="0"/>
    <s v="0"/>
    <s v="0"/>
    <n v="0"/>
    <n v="0"/>
    <n v="0"/>
    <n v="0"/>
    <n v="0"/>
    <n v="0"/>
    <n v="0"/>
    <n v="0"/>
    <n v="1"/>
    <n v="1"/>
    <n v="0"/>
    <n v="0"/>
    <n v="0"/>
    <n v="0"/>
    <n v="0"/>
    <s v="Type B Construction_x000a_2BC-MRY1416"/>
    <m/>
    <n v="2014"/>
    <s v="Direct "/>
    <m/>
    <m/>
    <m/>
    <m/>
    <m/>
    <m/>
    <m/>
    <m/>
    <m/>
    <m/>
    <n v="0"/>
    <m/>
    <n v="0"/>
    <n v="0"/>
    <n v="0"/>
    <n v="0"/>
    <n v="0"/>
    <n v="0"/>
    <n v="0"/>
    <n v="0"/>
  </r>
  <r>
    <x v="1"/>
    <x v="1"/>
    <x v="17"/>
    <x v="10"/>
    <x v="37"/>
    <x v="22"/>
    <x v="84"/>
    <x v="67"/>
    <m/>
    <s v=""/>
    <m/>
    <m/>
    <m/>
    <m/>
    <m/>
    <m/>
    <m/>
    <m/>
    <m/>
    <m/>
    <s v="0"/>
    <s v="0"/>
    <s v="0"/>
    <s v="0"/>
    <s v="0"/>
    <n v="0"/>
    <n v="0"/>
    <n v="0"/>
    <n v="0"/>
    <n v="0"/>
    <n v="0"/>
    <n v="0"/>
    <n v="0"/>
    <n v="1"/>
    <n v="1"/>
    <n v="0"/>
    <n v="0"/>
    <n v="0"/>
    <n v="0"/>
    <n v="0"/>
    <s v="Type B Construction_x000a_2BC-MRY1416"/>
    <m/>
    <n v="2014"/>
    <s v="Direct "/>
    <m/>
    <m/>
    <m/>
    <m/>
    <m/>
    <m/>
    <m/>
    <m/>
    <m/>
    <m/>
    <n v="0"/>
    <m/>
    <n v="0"/>
    <n v="0"/>
    <n v="0"/>
    <n v="0"/>
    <n v="0"/>
    <n v="0"/>
    <n v="0"/>
    <n v="0"/>
  </r>
  <r>
    <x v="1"/>
    <x v="1"/>
    <x v="17"/>
    <x v="10"/>
    <x v="37"/>
    <x v="22"/>
    <x v="85"/>
    <x v="68"/>
    <m/>
    <s v=""/>
    <m/>
    <m/>
    <m/>
    <m/>
    <m/>
    <m/>
    <m/>
    <m/>
    <m/>
    <m/>
    <s v="0"/>
    <s v="0"/>
    <s v="0"/>
    <s v="0"/>
    <s v="0"/>
    <n v="0"/>
    <n v="0"/>
    <n v="0"/>
    <n v="0"/>
    <n v="0"/>
    <n v="0"/>
    <n v="0"/>
    <n v="0"/>
    <n v="1"/>
    <n v="1"/>
    <n v="0"/>
    <n v="0"/>
    <n v="0"/>
    <n v="0"/>
    <n v="0"/>
    <s v="Type B Construction_x000a_2BC-MRY1416"/>
    <m/>
    <n v="2014"/>
    <s v="Direct "/>
    <m/>
    <m/>
    <m/>
    <m/>
    <m/>
    <m/>
    <m/>
    <m/>
    <m/>
    <m/>
    <n v="0"/>
    <m/>
    <n v="0"/>
    <n v="0"/>
    <n v="0"/>
    <n v="0"/>
    <n v="0"/>
    <n v="0"/>
    <n v="0"/>
    <n v="0"/>
  </r>
  <r>
    <x v="1"/>
    <x v="1"/>
    <x v="17"/>
    <x v="10"/>
    <x v="38"/>
    <x v="27"/>
    <x v="86"/>
    <x v="69"/>
    <m/>
    <s v=""/>
    <m/>
    <m/>
    <m/>
    <m/>
    <m/>
    <m/>
    <m/>
    <m/>
    <m/>
    <m/>
    <s v="0"/>
    <s v="0"/>
    <s v="0"/>
    <s v="0"/>
    <s v="0"/>
    <n v="0"/>
    <n v="0"/>
    <n v="0"/>
    <n v="0"/>
    <n v="0"/>
    <n v="0"/>
    <n v="0"/>
    <n v="1"/>
    <n v="0"/>
    <n v="0"/>
    <n v="1"/>
    <n v="0"/>
    <n v="0"/>
    <n v="0"/>
    <n v="0"/>
    <s v="Type B Construction_x000a_2BC-MRY1416"/>
    <m/>
    <n v="2014"/>
    <s v="Direct "/>
    <m/>
    <m/>
    <m/>
    <m/>
    <m/>
    <m/>
    <m/>
    <m/>
    <m/>
    <m/>
    <n v="0"/>
    <m/>
    <n v="0"/>
    <n v="0"/>
    <n v="0"/>
    <n v="0"/>
    <n v="0"/>
    <n v="0"/>
    <n v="0"/>
    <n v="0"/>
  </r>
  <r>
    <x v="1"/>
    <x v="1"/>
    <x v="2"/>
    <x v="2"/>
    <x v="2"/>
    <x v="2"/>
    <x v="2"/>
    <x v="2"/>
    <s v="131"/>
    <s v="CV-"/>
    <s v="O3"/>
    <s v="Heavy Mobile Equipment"/>
    <s v="O3"/>
    <s v="Mobile Equipment"/>
    <s v="Heavy Mobile Equipment"/>
    <m/>
    <s v="CONVEYING  - JUMP CONVEYOR  - MASABA MINING EQUIPMENT  "/>
    <s v="2342-CV-023"/>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32"/>
    <s v="CV-"/>
    <s v="O3"/>
    <s v="Heavy Mobile Equipment"/>
    <s v="O3"/>
    <s v="Mobile Equipment"/>
    <s v="Heavy Mobile Equipment"/>
    <m/>
    <s v="CONVEYING  - JUMP CONVEYOR  - MASABA MINING EQUIPMENT  "/>
    <s v="2342-CV-024"/>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33"/>
    <s v="CV-"/>
    <s v="O3"/>
    <s v="Heavy Mobile Equipment"/>
    <s v="O3"/>
    <s v="Mobile Equipment"/>
    <s v="Heavy Mobile Equipment"/>
    <m/>
    <s v="CONVEYING  - JUMP CONVEYOR  - MASABA MINING EQUIPMENT  "/>
    <s v="2342-CV-025"/>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34"/>
    <s v="CV-"/>
    <s v="O3"/>
    <s v="Heavy Mobile Equipment"/>
    <s v="O3"/>
    <s v="Mobile Equipment"/>
    <s v="Heavy Mobile Equipment"/>
    <m/>
    <s v="CONVEYING  - JUMP CONVEYOR  - MASABA MINING EQUIPMENT"/>
    <s v="2342-CV-030"/>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35"/>
    <s v="CV-"/>
    <s v="O3"/>
    <s v="Heavy Mobile Equipment"/>
    <s v="O3"/>
    <s v="Mobile Equipment"/>
    <s v="Heavy Mobile Equipment"/>
    <m/>
    <s v="CONVEYING  - JUMP CONVEYOR  - MASABA MINING EQUIPMENT  "/>
    <s v="2342-CV-031"/>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
    <x v="2"/>
    <s v="136"/>
    <s v="CV-"/>
    <s v="O3"/>
    <s v="Heavy Mobile Equipment"/>
    <s v="O3"/>
    <s v="Mobile Equipment"/>
    <s v="Heavy Mobile Equipment"/>
    <m/>
    <s v="CONVEYING  - JUMP CONVEYOR  - MASABA MINING EQUIPMENT  "/>
    <s v="2342-CV-032"/>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2"/>
    <x v="2"/>
    <x v="2"/>
    <x v="2"/>
    <x v="27"/>
    <x v="2"/>
    <m/>
    <s v="CV-"/>
    <s v="O3"/>
    <s v="Heavy Mobile Equipment"/>
    <s v="O3"/>
    <s v="Mobile Equipment"/>
    <s v="Heavy Mobile Equipment"/>
    <m/>
    <s v="CONVEYING  - JUMP CONVEYOR  - MASABA MINING EQUIPMENT  _x000a_L: 230000, W: 1524 "/>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1"/>
    <x v="1"/>
    <x v="2"/>
    <x v="2"/>
    <x v="2"/>
    <x v="2"/>
    <x v="27"/>
    <x v="2"/>
    <m/>
    <s v="CV-"/>
    <s v="O3"/>
    <s v="Heavy Mobile Equipment"/>
    <s v="O3"/>
    <s v="Mobile Equipment"/>
    <s v="Heavy Mobile Equipment"/>
    <m/>
    <s v="CONVEYING  - STOCKPILE RECLAIM EXTENSION CONVEYOR "/>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1"/>
    <x v="1"/>
    <x v="19"/>
    <x v="12"/>
    <x v="39"/>
    <x v="28"/>
    <x v="87"/>
    <x v="70"/>
    <m/>
    <s v=""/>
    <m/>
    <m/>
    <m/>
    <m/>
    <m/>
    <m/>
    <m/>
    <m/>
    <m/>
    <m/>
    <s v="0"/>
    <s v="0"/>
    <s v="0"/>
    <s v="0"/>
    <s v="0"/>
    <n v="0"/>
    <n v="0"/>
    <n v="0"/>
    <n v="0"/>
    <n v="0"/>
    <n v="0"/>
    <n v="0"/>
    <n v="1"/>
    <n v="0"/>
    <n v="0"/>
    <n v="1"/>
    <n v="0"/>
    <n v="0"/>
    <n v="0"/>
    <n v="0"/>
    <s v="Type B Construction_x000a_2BC-MRY1416"/>
    <m/>
    <n v="2014"/>
    <s v="Direct "/>
    <m/>
    <m/>
    <m/>
    <m/>
    <m/>
    <m/>
    <m/>
    <m/>
    <m/>
    <m/>
    <n v="0"/>
    <m/>
    <n v="0"/>
    <n v="0"/>
    <n v="0"/>
    <n v="0"/>
    <n v="0"/>
    <n v="0"/>
    <n v="0"/>
    <n v="0"/>
  </r>
  <r>
    <x v="1"/>
    <x v="1"/>
    <x v="19"/>
    <x v="12"/>
    <x v="39"/>
    <x v="28"/>
    <x v="88"/>
    <x v="71"/>
    <m/>
    <s v=""/>
    <m/>
    <m/>
    <m/>
    <m/>
    <m/>
    <m/>
    <m/>
    <m/>
    <m/>
    <m/>
    <s v="0"/>
    <s v="0"/>
    <s v="0"/>
    <s v="0"/>
    <s v="0"/>
    <n v="0"/>
    <n v="0"/>
    <n v="0"/>
    <n v="0"/>
    <n v="0"/>
    <n v="0"/>
    <n v="0"/>
    <n v="1"/>
    <n v="0"/>
    <n v="0"/>
    <n v="1"/>
    <n v="0"/>
    <n v="0"/>
    <n v="0"/>
    <n v="0"/>
    <s v="Type B Construction_x000a_2BC-MRY1416"/>
    <m/>
    <n v="2014"/>
    <s v="Direct "/>
    <m/>
    <m/>
    <m/>
    <m/>
    <m/>
    <m/>
    <m/>
    <m/>
    <m/>
    <m/>
    <n v="0"/>
    <m/>
    <n v="0"/>
    <n v="0"/>
    <n v="0"/>
    <n v="0"/>
    <n v="0"/>
    <n v="0"/>
    <n v="0"/>
    <n v="0"/>
  </r>
  <r>
    <x v="1"/>
    <x v="1"/>
    <x v="3"/>
    <x v="3"/>
    <x v="3"/>
    <x v="3"/>
    <x v="46"/>
    <x v="34"/>
    <s v="256"/>
    <s v="MO-"/>
    <s v="O1"/>
    <s v="Light Mobile Equipment"/>
    <s v="O1"/>
    <s v="Mobile Equipment"/>
    <s v="Light Mobile Equipment"/>
    <s v="Pick up"/>
    <s v="MOBILE EQUIPMENT  - AMBULANCE  - FORD F350  _x000a_L: 5715, W: 1752, H: 2032, 6350 kg"/>
    <s v="2513-MO-00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1"/>
    <x v="1"/>
    <x v="3"/>
    <x v="3"/>
    <x v="3"/>
    <x v="3"/>
    <x v="46"/>
    <x v="34"/>
    <s v="257"/>
    <s v="MO-"/>
    <s v="O3"/>
    <s v="Heavy Mobile Equipment"/>
    <s v="O3"/>
    <s v="Mobile Equipment"/>
    <s v="Heavy Mobile Equipment"/>
    <s v="Large Fire Truck"/>
    <s v="MOBILE EQUIPMENT  - FIRE TRUCK  - OSHKOSH T1500  _x000a_L: 10540, W: 3100, H: 3810, 16500 kg"/>
    <s v="2513-MO-002"/>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1"/>
    <x v="1"/>
    <x v="5"/>
    <x v="5"/>
    <x v="20"/>
    <x v="6"/>
    <x v="32"/>
    <x v="28"/>
    <m/>
    <s v=""/>
    <s v="A3l"/>
    <s v="Grade &amp; Re-Contour with Liner"/>
    <s v="A3l"/>
    <s v="Site Works"/>
    <s v="Grade and Re-Contour With Liner"/>
    <m/>
    <s v="Polishing Waste Stabilization Pond #3"/>
    <m/>
    <m/>
    <s v="m2"/>
    <n v="4.4489880937500004E-2"/>
    <n v="0.17804999999999999"/>
    <n v="4.4489880937499997"/>
    <n v="0.71454534577546303"/>
    <n v="5.3082953457754627"/>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1"/>
    <x v="1"/>
    <x v="2"/>
    <x v="2"/>
    <x v="2"/>
    <x v="2"/>
    <x v="4"/>
    <x v="4"/>
    <s v="114"/>
    <s v="FE-"/>
    <s v="MM3"/>
    <s v="Heavy Equipment"/>
    <s v="MM3"/>
    <s v="Mechanical Equipment"/>
    <s v="Heavy Equipment"/>
    <s v="3rd party Equipment"/>
    <s v="Hopper (TK)"/>
    <m/>
    <n v="1"/>
    <s v="ea"/>
    <n v="168"/>
    <n v="2220"/>
    <n v="16785.448"/>
    <n v="22200"/>
    <n v="41205.448000000004"/>
    <n v="168"/>
    <n v="2220"/>
    <n v="16785.448"/>
    <n v="22200"/>
    <n v="41205.448000000004"/>
    <n v="56"/>
    <n v="56"/>
    <n v="1"/>
    <n v="0"/>
    <n v="0"/>
    <n v="1"/>
    <n v="41205.448000000004"/>
    <n v="0"/>
    <n v="0"/>
    <n v="41205.448000000004"/>
    <s v="Type A  _x000a_2AM-MRY1325"/>
    <s v="Added"/>
    <n v="2018"/>
    <s v="Direct "/>
    <m/>
    <m/>
    <n v="0.33333333333333331"/>
    <m/>
    <n v="0.33333333333333331"/>
    <m/>
    <m/>
    <m/>
    <m/>
    <n v="0.33333333333333331"/>
    <n v="0"/>
    <m/>
    <n v="13735.149333333335"/>
    <n v="0"/>
    <n v="13735.149333333335"/>
    <n v="0"/>
    <n v="0"/>
    <n v="0"/>
    <n v="0"/>
    <n v="13735.149333333335"/>
  </r>
  <r>
    <x v="1"/>
    <x v="1"/>
    <x v="8"/>
    <x v="8"/>
    <x v="1"/>
    <x v="1"/>
    <x v="1"/>
    <x v="1"/>
    <m/>
    <s v=""/>
    <m/>
    <m/>
    <m/>
    <m/>
    <m/>
    <m/>
    <m/>
    <m/>
    <m/>
    <m/>
    <m/>
    <m/>
    <m/>
    <m/>
    <m/>
    <m/>
    <m/>
    <m/>
    <m/>
    <m/>
    <m/>
    <m/>
    <m/>
    <m/>
    <m/>
    <m/>
    <m/>
    <m/>
    <m/>
    <m/>
    <m/>
    <m/>
    <m/>
    <m/>
    <m/>
    <m/>
    <m/>
    <m/>
    <m/>
    <m/>
    <m/>
    <m/>
    <m/>
    <m/>
    <m/>
    <m/>
    <m/>
    <m/>
    <m/>
    <m/>
    <m/>
    <m/>
    <m/>
    <m/>
  </r>
  <r>
    <x v="1"/>
    <x v="1"/>
    <x v="17"/>
    <x v="10"/>
    <x v="1"/>
    <x v="1"/>
    <x v="1"/>
    <x v="1"/>
    <m/>
    <s v=""/>
    <m/>
    <m/>
    <m/>
    <m/>
    <m/>
    <m/>
    <m/>
    <m/>
    <m/>
    <m/>
    <m/>
    <m/>
    <m/>
    <m/>
    <m/>
    <m/>
    <m/>
    <m/>
    <m/>
    <m/>
    <m/>
    <m/>
    <m/>
    <m/>
    <m/>
    <m/>
    <m/>
    <m/>
    <m/>
    <m/>
    <m/>
    <m/>
    <m/>
    <m/>
    <m/>
    <m/>
    <m/>
    <m/>
    <m/>
    <m/>
    <m/>
    <m/>
    <m/>
    <m/>
    <m/>
    <m/>
    <m/>
    <m/>
    <m/>
    <m/>
    <m/>
    <m/>
    <m/>
    <m/>
  </r>
  <r>
    <x v="1"/>
    <x v="1"/>
    <x v="2"/>
    <x v="2"/>
    <x v="1"/>
    <x v="1"/>
    <x v="1"/>
    <x v="1"/>
    <m/>
    <s v=""/>
    <m/>
    <m/>
    <m/>
    <m/>
    <m/>
    <m/>
    <m/>
    <m/>
    <m/>
    <m/>
    <m/>
    <m/>
    <m/>
    <m/>
    <m/>
    <m/>
    <m/>
    <m/>
    <m/>
    <m/>
    <m/>
    <m/>
    <m/>
    <m/>
    <m/>
    <m/>
    <m/>
    <m/>
    <m/>
    <m/>
    <m/>
    <m/>
    <m/>
    <m/>
    <m/>
    <m/>
    <m/>
    <m/>
    <m/>
    <m/>
    <m/>
    <m/>
    <m/>
    <m/>
    <m/>
    <m/>
    <m/>
    <m/>
    <m/>
    <m/>
    <m/>
    <m/>
    <m/>
    <m/>
  </r>
  <r>
    <x v="1"/>
    <x v="1"/>
    <x v="19"/>
    <x v="12"/>
    <x v="1"/>
    <x v="1"/>
    <x v="1"/>
    <x v="1"/>
    <m/>
    <s v=""/>
    <m/>
    <m/>
    <m/>
    <m/>
    <m/>
    <m/>
    <m/>
    <m/>
    <m/>
    <m/>
    <m/>
    <m/>
    <m/>
    <m/>
    <m/>
    <m/>
    <m/>
    <m/>
    <m/>
    <m/>
    <m/>
    <m/>
    <m/>
    <m/>
    <m/>
    <m/>
    <m/>
    <m/>
    <m/>
    <m/>
    <m/>
    <m/>
    <m/>
    <m/>
    <m/>
    <m/>
    <m/>
    <m/>
    <m/>
    <m/>
    <m/>
    <m/>
    <m/>
    <m/>
    <m/>
    <m/>
    <m/>
    <m/>
    <m/>
    <m/>
    <m/>
    <m/>
    <m/>
    <m/>
  </r>
  <r>
    <x v="1"/>
    <x v="1"/>
    <x v="3"/>
    <x v="3"/>
    <x v="1"/>
    <x v="1"/>
    <x v="1"/>
    <x v="1"/>
    <m/>
    <s v=""/>
    <m/>
    <m/>
    <m/>
    <m/>
    <m/>
    <m/>
    <m/>
    <m/>
    <m/>
    <m/>
    <m/>
    <m/>
    <m/>
    <m/>
    <m/>
    <m/>
    <m/>
    <m/>
    <m/>
    <m/>
    <m/>
    <m/>
    <m/>
    <m/>
    <m/>
    <m/>
    <m/>
    <m/>
    <m/>
    <m/>
    <m/>
    <m/>
    <m/>
    <m/>
    <m/>
    <m/>
    <m/>
    <m/>
    <m/>
    <m/>
    <m/>
    <m/>
    <m/>
    <m/>
    <m/>
    <m/>
    <m/>
    <m/>
    <m/>
    <m/>
    <m/>
    <m/>
    <m/>
    <m/>
  </r>
  <r>
    <x v="1"/>
    <x v="1"/>
    <x v="6"/>
    <x v="6"/>
    <x v="1"/>
    <x v="1"/>
    <x v="1"/>
    <x v="1"/>
    <m/>
    <s v=""/>
    <m/>
    <m/>
    <m/>
    <m/>
    <m/>
    <m/>
    <m/>
    <m/>
    <m/>
    <m/>
    <m/>
    <m/>
    <m/>
    <m/>
    <m/>
    <m/>
    <m/>
    <m/>
    <m/>
    <m/>
    <m/>
    <m/>
    <m/>
    <m/>
    <m/>
    <m/>
    <m/>
    <m/>
    <m/>
    <m/>
    <m/>
    <m/>
    <m/>
    <m/>
    <m/>
    <m/>
    <m/>
    <m/>
    <m/>
    <m/>
    <m/>
    <m/>
    <m/>
    <m/>
    <m/>
    <m/>
    <m/>
    <m/>
    <m/>
    <m/>
    <m/>
    <m/>
    <m/>
    <m/>
  </r>
  <r>
    <x v="1"/>
    <x v="1"/>
    <x v="5"/>
    <x v="5"/>
    <x v="1"/>
    <x v="1"/>
    <x v="1"/>
    <x v="1"/>
    <m/>
    <s v=""/>
    <m/>
    <m/>
    <m/>
    <m/>
    <m/>
    <m/>
    <m/>
    <m/>
    <m/>
    <m/>
    <m/>
    <m/>
    <m/>
    <m/>
    <m/>
    <m/>
    <m/>
    <m/>
    <m/>
    <m/>
    <m/>
    <m/>
    <m/>
    <m/>
    <m/>
    <m/>
    <m/>
    <m/>
    <m/>
    <m/>
    <m/>
    <m/>
    <m/>
    <m/>
    <m/>
    <m/>
    <m/>
    <m/>
    <m/>
    <m/>
    <m/>
    <m/>
    <m/>
    <m/>
    <m/>
    <m/>
    <m/>
    <m/>
    <m/>
    <m/>
    <m/>
    <m/>
    <m/>
    <m/>
  </r>
  <r>
    <x v="1"/>
    <x v="1"/>
    <x v="1"/>
    <x v="1"/>
    <x v="1"/>
    <x v="1"/>
    <x v="1"/>
    <x v="1"/>
    <m/>
    <m/>
    <m/>
    <m/>
    <m/>
    <m/>
    <m/>
    <m/>
    <m/>
    <m/>
    <m/>
    <m/>
    <m/>
    <m/>
    <m/>
    <m/>
    <m/>
    <m/>
    <m/>
    <m/>
    <m/>
    <m/>
    <m/>
    <m/>
    <m/>
    <m/>
    <m/>
    <m/>
    <m/>
    <m/>
    <m/>
    <m/>
    <m/>
    <m/>
    <m/>
    <m/>
    <m/>
    <m/>
    <m/>
    <m/>
    <m/>
    <m/>
    <m/>
    <m/>
    <m/>
    <m/>
    <m/>
    <m/>
    <m/>
    <m/>
    <m/>
    <m/>
    <m/>
    <m/>
    <m/>
    <m/>
  </r>
  <r>
    <x v="5"/>
    <x v="5"/>
    <x v="10"/>
    <x v="8"/>
    <x v="18"/>
    <x v="10"/>
    <x v="24"/>
    <x v="72"/>
    <m/>
    <s v=""/>
    <s v="A3"/>
    <s v="Grade &amp; Re-Contour"/>
    <s v="A2"/>
    <s v="Site Works"/>
    <s v="Grade and Re-Contour"/>
    <s v="Grade and Contour"/>
    <s v="Unidentified Borrow Sources"/>
    <m/>
    <n v="697910.13114402897"/>
    <s v="m2"/>
    <n v="1.2689880937499998E-2"/>
    <n v="0.14624999999999999"/>
    <n v="1.2689880937499998"/>
    <n v="0.39654534577546297"/>
    <n v="1.8102953457754629"/>
    <n v="8856.3964692927366"/>
    <n v="102069.35667981423"/>
    <n v="885639.64692927361"/>
    <n v="276753.01427470765"/>
    <n v="1263423.4621795786"/>
    <n v="0"/>
    <n v="0"/>
    <n v="1"/>
    <n v="0"/>
    <n v="0"/>
    <n v="1"/>
    <n v="1263423.4621795786"/>
    <n v="0"/>
    <n v="0"/>
    <n v="1263423.4621795786"/>
    <s v="Type A  _x000a_2AM-MRY1325"/>
    <s v="Added"/>
    <s v="2015 R"/>
    <s v="Direct "/>
    <m/>
    <m/>
    <n v="0.5"/>
    <n v="0.5"/>
    <m/>
    <m/>
    <m/>
    <m/>
    <m/>
    <m/>
    <n v="0"/>
    <m/>
    <n v="631711.7310897893"/>
    <n v="631711.7310897893"/>
    <n v="0"/>
    <n v="0"/>
    <n v="0"/>
    <n v="0"/>
    <n v="0"/>
    <n v="0"/>
  </r>
  <r>
    <x v="5"/>
    <x v="5"/>
    <x v="10"/>
    <x v="8"/>
    <x v="18"/>
    <x v="10"/>
    <x v="28"/>
    <x v="24"/>
    <m/>
    <s v=""/>
    <s v="A3"/>
    <s v="Grade &amp; Re-Contour"/>
    <s v="A2"/>
    <s v="Site Works"/>
    <s v="Grade and Re-Contour"/>
    <s v="Grade and Contour"/>
    <s v="Out-of-Service Tote Road "/>
    <m/>
    <n v="266500"/>
    <s v="m2"/>
    <n v="1.2689880937499998E-2"/>
    <n v="0.14624999999999999"/>
    <n v="1.2689880937499998"/>
    <n v="0.39654534577546297"/>
    <n v="1.8102953457754629"/>
    <n v="3381.8532698437498"/>
    <n v="38975.625"/>
    <n v="338185.32698437496"/>
    <n v="105679.33464916088"/>
    <n v="482443.70964916085"/>
    <n v="0"/>
    <n v="0"/>
    <n v="1"/>
    <n v="0"/>
    <n v="0"/>
    <n v="1"/>
    <n v="482443.70964916085"/>
    <n v="0"/>
    <n v="0"/>
    <n v="482443.70964916085"/>
    <s v="Type A  _x000a_2AM-MRY1325"/>
    <s v="Added"/>
    <s v="2015 R"/>
    <s v="Direct "/>
    <m/>
    <m/>
    <m/>
    <n v="0.5"/>
    <n v="0.5"/>
    <m/>
    <m/>
    <m/>
    <m/>
    <m/>
    <n v="0"/>
    <m/>
    <n v="0"/>
    <n v="241221.85482458043"/>
    <n v="241221.85482458043"/>
    <n v="0"/>
    <n v="0"/>
    <n v="0"/>
    <n v="0"/>
    <n v="0"/>
  </r>
  <r>
    <x v="5"/>
    <x v="5"/>
    <x v="10"/>
    <x v="8"/>
    <x v="18"/>
    <x v="10"/>
    <x v="89"/>
    <x v="73"/>
    <m/>
    <m/>
    <s v="A4"/>
    <s v="Grade &amp; Re-Contour Type A quarry"/>
    <s v="A4"/>
    <s v="Site Works"/>
    <s v="Grade and Re-Contour Significant Disturbed Areas"/>
    <m/>
    <s v="KM 97 Borrow Source"/>
    <m/>
    <n v="157012"/>
    <s v="m2"/>
    <n v="1.9034821406249999E-2"/>
    <n v="0.21937499999999999"/>
    <n v="1.9034821406249995"/>
    <n v="0.59481801866319439"/>
    <n v="2.7154430186631942"/>
    <n v="2988.695378638125"/>
    <n v="34444.5075"/>
    <n v="298869.53786381241"/>
    <n v="93393.566746345474"/>
    <n v="426707.6121101579"/>
    <n v="0"/>
    <n v="0"/>
    <n v="1"/>
    <n v="0"/>
    <n v="0"/>
    <n v="1"/>
    <n v="426707.6121101579"/>
    <n v="0"/>
    <n v="0"/>
    <n v="426707.6121101579"/>
    <s v="Type A  _x000a_2AM-MRY1325"/>
    <s v="Check"/>
    <n v="2014"/>
    <s v="Direct "/>
    <m/>
    <m/>
    <n v="0.5"/>
    <n v="0.5"/>
    <m/>
    <m/>
    <m/>
    <m/>
    <m/>
    <m/>
    <n v="0"/>
    <m/>
    <n v="213353.80605507895"/>
    <n v="213353.80605507895"/>
    <n v="0"/>
    <n v="0"/>
    <n v="0"/>
    <n v="0"/>
    <n v="0"/>
    <n v="0"/>
  </r>
  <r>
    <x v="5"/>
    <x v="5"/>
    <x v="10"/>
    <x v="8"/>
    <x v="18"/>
    <x v="10"/>
    <x v="28"/>
    <x v="24"/>
    <m/>
    <s v=""/>
    <s v="Cu"/>
    <s v="Culvert Removal"/>
    <s v="cu"/>
    <s v="Site Works"/>
    <s v="Culvert Removal"/>
    <m/>
    <s v="Culverts - IOL"/>
    <m/>
    <n v="372"/>
    <s v="ea"/>
    <n v="6"/>
    <n v="45"/>
    <n v="599.48028571428574"/>
    <n v="450"/>
    <n v="1094.4802857142859"/>
    <n v="2232"/>
    <n v="16740"/>
    <n v="223006.66628571431"/>
    <n v="167400"/>
    <n v="407146.66628571431"/>
    <n v="0"/>
    <n v="0"/>
    <n v="1"/>
    <n v="0"/>
    <n v="0"/>
    <n v="1"/>
    <n v="407146.66628571431"/>
    <n v="0"/>
    <n v="0"/>
    <n v="407146.66628571431"/>
    <s v="Type A  _x000a_2AM-MRY1325"/>
    <m/>
    <n v="2014"/>
    <s v="Direct "/>
    <m/>
    <m/>
    <m/>
    <n v="0.5"/>
    <n v="0.5"/>
    <m/>
    <m/>
    <m/>
    <m/>
    <m/>
    <n v="0"/>
    <m/>
    <n v="0"/>
    <n v="203573.33314285715"/>
    <n v="203573.33314285715"/>
    <n v="0"/>
    <n v="0"/>
    <n v="0"/>
    <n v="0"/>
    <n v="0"/>
  </r>
  <r>
    <x v="6"/>
    <x v="6"/>
    <x v="13"/>
    <x v="2"/>
    <x v="25"/>
    <x v="19"/>
    <x v="47"/>
    <x v="37"/>
    <m/>
    <s v="BAE"/>
    <s v="MM3"/>
    <s v="Heavy Equipment"/>
    <s v="MM3"/>
    <s v="Mechanical Equipment"/>
    <s v="Heavy Equipment"/>
    <s v="3rd Party Equipment"/>
    <s v="Genset Trailers"/>
    <m/>
    <n v="1"/>
    <s v="ea"/>
    <n v="168"/>
    <n v="2220"/>
    <n v="16785.448"/>
    <n v="22200"/>
    <n v="41205.448000000004"/>
    <n v="168"/>
    <n v="2220"/>
    <n v="16785.448"/>
    <n v="22200"/>
    <n v="41205.448000000004"/>
    <n v="56"/>
    <n v="56"/>
    <n v="1"/>
    <n v="0"/>
    <n v="0"/>
    <n v="1"/>
    <n v="41205.448000000004"/>
    <n v="0"/>
    <n v="0"/>
    <n v="41205.448000000004"/>
    <s v="Type A  _x000a_2AM-MRY1325"/>
    <s v="Added"/>
    <n v="2018"/>
    <s v="Direct "/>
    <m/>
    <m/>
    <n v="0.33333333333333331"/>
    <m/>
    <n v="0.33333333333333331"/>
    <m/>
    <m/>
    <m/>
    <m/>
    <n v="0.33333333333333331"/>
    <n v="0"/>
    <m/>
    <n v="13735.149333333335"/>
    <n v="0"/>
    <n v="13735.149333333335"/>
    <n v="0"/>
    <n v="0"/>
    <n v="0"/>
    <n v="0"/>
    <n v="13735.149333333335"/>
  </r>
  <r>
    <x v="6"/>
    <x v="6"/>
    <x v="13"/>
    <x v="2"/>
    <x v="25"/>
    <x v="19"/>
    <x v="47"/>
    <x v="37"/>
    <m/>
    <s v="BAE"/>
    <s v="MM3"/>
    <s v="Heavy Equipment"/>
    <s v="MM3"/>
    <s v="Mechanical Equipment"/>
    <s v="Heavy Equipment"/>
    <s v="3rd Party Equipment"/>
    <s v="Screener"/>
    <m/>
    <n v="1"/>
    <s v="ea"/>
    <n v="168"/>
    <n v="2220"/>
    <n v="16785.448"/>
    <n v="22200"/>
    <n v="41205.448000000004"/>
    <n v="168"/>
    <n v="2220"/>
    <n v="16785.448"/>
    <n v="22200"/>
    <n v="41205.448000000004"/>
    <n v="56"/>
    <n v="56"/>
    <n v="1"/>
    <n v="0"/>
    <n v="0"/>
    <n v="1"/>
    <n v="41205.448000000004"/>
    <n v="0"/>
    <n v="0"/>
    <n v="41205.448000000004"/>
    <s v="Type A  _x000a_2AM-MRY1325"/>
    <s v="Added"/>
    <n v="2018"/>
    <s v="Direct "/>
    <m/>
    <m/>
    <n v="0.33333333333333331"/>
    <m/>
    <n v="0.33333333333333331"/>
    <m/>
    <m/>
    <m/>
    <m/>
    <n v="0.33333333333333331"/>
    <n v="0"/>
    <m/>
    <n v="13735.149333333335"/>
    <n v="0"/>
    <n v="13735.149333333335"/>
    <n v="0"/>
    <n v="0"/>
    <n v="0"/>
    <n v="0"/>
    <n v="13735.149333333335"/>
  </r>
  <r>
    <x v="6"/>
    <x v="6"/>
    <x v="13"/>
    <x v="2"/>
    <x v="25"/>
    <x v="19"/>
    <x v="47"/>
    <x v="37"/>
    <m/>
    <s v="BAE"/>
    <s v="MM3"/>
    <s v="Heavy Equipment"/>
    <s v="MM3"/>
    <s v="Mechanical Equipment"/>
    <s v="Heavy Equipment"/>
    <s v="3rd Party Equipment"/>
    <s v="Inclined Screen"/>
    <m/>
    <n v="1"/>
    <s v="ea"/>
    <n v="168"/>
    <n v="2220"/>
    <n v="16785.448"/>
    <n v="22200"/>
    <n v="41205.448000000004"/>
    <n v="168"/>
    <n v="2220"/>
    <n v="16785.448"/>
    <n v="22200"/>
    <n v="41205.448000000004"/>
    <n v="56"/>
    <n v="56"/>
    <n v="1"/>
    <n v="0"/>
    <n v="0"/>
    <n v="1"/>
    <n v="41205.448000000004"/>
    <n v="0"/>
    <n v="0"/>
    <n v="41205.448000000004"/>
    <s v="Type A  _x000a_2AM-MRY1325"/>
    <s v="Added"/>
    <n v="2018"/>
    <s v="Direct "/>
    <m/>
    <m/>
    <n v="0.33333333333333331"/>
    <m/>
    <n v="0.33333333333333331"/>
    <m/>
    <m/>
    <m/>
    <m/>
    <n v="0.33333333333333331"/>
    <n v="0"/>
    <m/>
    <n v="13735.149333333335"/>
    <n v="0"/>
    <n v="13735.149333333335"/>
    <n v="0"/>
    <n v="0"/>
    <n v="0"/>
    <n v="0"/>
    <n v="13735.149333333335"/>
  </r>
  <r>
    <x v="6"/>
    <x v="6"/>
    <x v="13"/>
    <x v="2"/>
    <x v="25"/>
    <x v="19"/>
    <x v="47"/>
    <x v="37"/>
    <m/>
    <s v="BAE"/>
    <s v="MM3"/>
    <s v="Heavy Equipment"/>
    <s v="MM3"/>
    <s v="Mechanical Equipment"/>
    <s v="Heavy Equipment"/>
    <s v="3rd Party Equipment"/>
    <s v="Cone Crusher"/>
    <m/>
    <n v="1"/>
    <s v="ea"/>
    <n v="168"/>
    <n v="2220"/>
    <n v="16785.448"/>
    <n v="22200"/>
    <n v="41205.448000000004"/>
    <n v="168"/>
    <n v="2220"/>
    <n v="16785.448"/>
    <n v="22200"/>
    <n v="41205.448000000004"/>
    <n v="56"/>
    <n v="56"/>
    <n v="1"/>
    <n v="0"/>
    <n v="0"/>
    <n v="1"/>
    <n v="41205.448000000004"/>
    <n v="0"/>
    <n v="0"/>
    <n v="41205.448000000004"/>
    <s v="Type A  _x000a_2AM-MRY1325"/>
    <s v="Added"/>
    <n v="2018"/>
    <s v="Direct "/>
    <m/>
    <m/>
    <n v="0.33333333333333331"/>
    <m/>
    <n v="0.33333333333333331"/>
    <m/>
    <m/>
    <m/>
    <m/>
    <n v="0.33333333333333331"/>
    <n v="0"/>
    <m/>
    <n v="13735.149333333335"/>
    <n v="0"/>
    <n v="13735.149333333335"/>
    <n v="0"/>
    <n v="0"/>
    <n v="0"/>
    <n v="0"/>
    <n v="13735.149333333335"/>
  </r>
  <r>
    <x v="6"/>
    <x v="6"/>
    <x v="13"/>
    <x v="2"/>
    <x v="25"/>
    <x v="19"/>
    <x v="47"/>
    <x v="37"/>
    <m/>
    <s v="BAE"/>
    <s v="MM3"/>
    <s v="Heavy Equipment"/>
    <s v="MM3"/>
    <s v="Mechanical Equipment"/>
    <s v="Heavy Equipment"/>
    <s v="3rd Party Equipment"/>
    <s v="Screener Power Screener"/>
    <m/>
    <n v="1"/>
    <s v="ea"/>
    <n v="168"/>
    <n v="2220"/>
    <n v="16785.448"/>
    <n v="22200"/>
    <n v="41205.448000000004"/>
    <n v="168"/>
    <n v="2220"/>
    <n v="16785.448"/>
    <n v="22200"/>
    <n v="41205.448000000004"/>
    <n v="56"/>
    <n v="56"/>
    <n v="1"/>
    <n v="0"/>
    <n v="0"/>
    <n v="1"/>
    <n v="41205.448000000004"/>
    <n v="0"/>
    <n v="0"/>
    <n v="41205.448000000004"/>
    <s v="Type A  _x000a_2AM-MRY1325"/>
    <s v="Added"/>
    <n v="2018"/>
    <s v="Direct "/>
    <m/>
    <m/>
    <n v="0.33333333333333331"/>
    <m/>
    <n v="0.33333333333333331"/>
    <m/>
    <m/>
    <m/>
    <m/>
    <n v="0.33333333333333331"/>
    <n v="0"/>
    <m/>
    <n v="13735.149333333335"/>
    <n v="0"/>
    <n v="13735.149333333335"/>
    <n v="0"/>
    <n v="0"/>
    <n v="0"/>
    <n v="0"/>
    <n v="13735.149333333335"/>
  </r>
  <r>
    <x v="5"/>
    <x v="5"/>
    <x v="10"/>
    <x v="8"/>
    <x v="18"/>
    <x v="10"/>
    <x v="89"/>
    <x v="73"/>
    <m/>
    <m/>
    <s v="A4"/>
    <s v="Grade &amp; Re-Contour Type A quarry"/>
    <s v="A4"/>
    <s v="Site Works"/>
    <s v="Grade and Re-Contour Significant Disturbed Areas"/>
    <m/>
    <s v="Unidentified High Priority Disturbed Areas"/>
    <m/>
    <n v="105359"/>
    <s v="m2"/>
    <n v="1.9034821406249999E-2"/>
    <n v="0.21937499999999999"/>
    <n v="1.9034821406249995"/>
    <n v="0.59481801866319439"/>
    <n v="2.7154430186631942"/>
    <n v="2005.4897485410936"/>
    <n v="23113.130624999998"/>
    <n v="200548.97485410931"/>
    <n v="62669.4316283355"/>
    <n v="286096.36100333545"/>
    <n v="0"/>
    <n v="0"/>
    <n v="1"/>
    <n v="0"/>
    <n v="0"/>
    <n v="1"/>
    <n v="286096.36100333545"/>
    <n v="0"/>
    <n v="0"/>
    <n v="286096.36100333545"/>
    <s v="Type A  _x000a_2AM-MRY1325"/>
    <s v="Added"/>
    <s v="2015 R"/>
    <s v="Direct "/>
    <m/>
    <m/>
    <n v="0.5"/>
    <n v="0.5"/>
    <m/>
    <m/>
    <m/>
    <m/>
    <m/>
    <m/>
    <n v="0"/>
    <m/>
    <n v="143048.18050166772"/>
    <n v="143048.18050166772"/>
    <n v="0"/>
    <n v="0"/>
    <n v="0"/>
    <n v="0"/>
    <n v="0"/>
    <n v="0"/>
  </r>
  <r>
    <x v="5"/>
    <x v="5"/>
    <x v="10"/>
    <x v="8"/>
    <x v="18"/>
    <x v="10"/>
    <x v="90"/>
    <x v="74"/>
    <m/>
    <s v=""/>
    <s v="Br"/>
    <s v="Bridge Removal"/>
    <s v="Br"/>
    <s v="Site Works"/>
    <s v="Bridge Removal"/>
    <m/>
    <s v="Bridge Removal"/>
    <m/>
    <n v="1"/>
    <s v="ea"/>
    <n v="761.90476190476181"/>
    <n v="11428.571428571428"/>
    <n v="76124.48072562358"/>
    <n v="114285.71428571428"/>
    <n v="201838.76643990929"/>
    <n v="761.90476190476181"/>
    <n v="11428.571428571428"/>
    <n v="76124.48072562358"/>
    <n v="114285.71428571428"/>
    <n v="201838.76643990929"/>
    <n v="5000"/>
    <n v="5000"/>
    <n v="0"/>
    <n v="1"/>
    <n v="0"/>
    <n v="1"/>
    <n v="0"/>
    <n v="201838.76643990929"/>
    <n v="0"/>
    <n v="201838.76643990929"/>
    <s v="Type A  _x000a_2AM-MRY1325"/>
    <m/>
    <n v="2014"/>
    <s v="Direct "/>
    <m/>
    <m/>
    <n v="0.33333333333333331"/>
    <n v="0.33333333333333331"/>
    <n v="0.33333333333333331"/>
    <m/>
    <m/>
    <m/>
    <m/>
    <m/>
    <n v="0"/>
    <m/>
    <n v="67279.588813303097"/>
    <n v="67279.588813303097"/>
    <n v="67279.588813303097"/>
    <n v="0"/>
    <n v="0"/>
    <n v="0"/>
    <n v="0"/>
    <n v="0"/>
  </r>
  <r>
    <x v="5"/>
    <x v="5"/>
    <x v="10"/>
    <x v="8"/>
    <x v="18"/>
    <x v="10"/>
    <x v="91"/>
    <x v="75"/>
    <m/>
    <s v=""/>
    <s v="Br"/>
    <s v="Bridge Removal"/>
    <s v="Br"/>
    <s v="Site Works"/>
    <s v="Bridge Removal"/>
    <m/>
    <s v="Bridge Removal"/>
    <m/>
    <n v="1"/>
    <s v="ea"/>
    <n v="761.90476190476181"/>
    <n v="11428.571428571428"/>
    <n v="76124.48072562358"/>
    <n v="114285.71428571428"/>
    <n v="201838.76643990929"/>
    <n v="761.90476190476181"/>
    <n v="11428.571428571428"/>
    <n v="76124.48072562358"/>
    <n v="114285.71428571428"/>
    <n v="201838.76643990929"/>
    <n v="5000"/>
    <n v="5000"/>
    <n v="1"/>
    <n v="0"/>
    <n v="0"/>
    <n v="1"/>
    <n v="201838.76643990929"/>
    <n v="0"/>
    <n v="0"/>
    <n v="201838.76643990929"/>
    <s v="Type A  _x000a_2AM-MRY1325"/>
    <m/>
    <n v="2014"/>
    <s v="Direct "/>
    <m/>
    <m/>
    <n v="0.33333333333333331"/>
    <n v="0.33333333333333331"/>
    <n v="0.33333333333333331"/>
    <m/>
    <m/>
    <m/>
    <m/>
    <m/>
    <n v="0"/>
    <m/>
    <n v="67279.588813303097"/>
    <n v="67279.588813303097"/>
    <n v="67279.588813303097"/>
    <n v="0"/>
    <n v="0"/>
    <n v="0"/>
    <n v="0"/>
    <n v="0"/>
  </r>
  <r>
    <x v="5"/>
    <x v="5"/>
    <x v="10"/>
    <x v="8"/>
    <x v="18"/>
    <x v="10"/>
    <x v="92"/>
    <x v="76"/>
    <m/>
    <s v=""/>
    <s v="Br"/>
    <s v="Bridge Removal"/>
    <s v="Br"/>
    <s v="Site Works"/>
    <s v="Bridge Removal"/>
    <m/>
    <s v="Bridge Removal"/>
    <m/>
    <n v="1"/>
    <s v="ea"/>
    <n v="761.90476190476181"/>
    <n v="11428.571428571428"/>
    <n v="76124.48072562358"/>
    <n v="114285.71428571428"/>
    <n v="201838.76643990929"/>
    <n v="761.90476190476181"/>
    <n v="11428.571428571428"/>
    <n v="76124.48072562358"/>
    <n v="114285.71428571428"/>
    <n v="201838.76643990929"/>
    <n v="5000"/>
    <n v="5000"/>
    <n v="1"/>
    <n v="0"/>
    <n v="0"/>
    <n v="1"/>
    <n v="201838.76643990929"/>
    <n v="0"/>
    <n v="0"/>
    <n v="201838.76643990929"/>
    <s v="Type A  _x000a_2AM-MRY1325"/>
    <m/>
    <n v="2014"/>
    <s v="Direct "/>
    <m/>
    <m/>
    <n v="0.33333333333333331"/>
    <n v="0.33333333333333331"/>
    <n v="0.33333333333333331"/>
    <m/>
    <m/>
    <m/>
    <m/>
    <m/>
    <n v="0"/>
    <m/>
    <n v="67279.588813303097"/>
    <n v="67279.588813303097"/>
    <n v="67279.588813303097"/>
    <n v="0"/>
    <n v="0"/>
    <n v="0"/>
    <n v="0"/>
    <n v="0"/>
  </r>
  <r>
    <x v="5"/>
    <x v="5"/>
    <x v="10"/>
    <x v="8"/>
    <x v="18"/>
    <x v="10"/>
    <x v="93"/>
    <x v="77"/>
    <m/>
    <s v=""/>
    <s v="Br"/>
    <s v="Bridge Removal"/>
    <s v="Br"/>
    <s v="Site Works"/>
    <s v="Bridge Removal"/>
    <m/>
    <s v="Bridge Removal"/>
    <m/>
    <n v="1"/>
    <s v="ea"/>
    <n v="761.90476190476181"/>
    <n v="11428.571428571428"/>
    <n v="76124.48072562358"/>
    <n v="114285.71428571428"/>
    <n v="201838.76643990929"/>
    <n v="761.90476190476181"/>
    <n v="11428.571428571428"/>
    <n v="76124.48072562358"/>
    <n v="114285.71428571428"/>
    <n v="201838.76643990929"/>
    <n v="5000"/>
    <n v="5000"/>
    <n v="1"/>
    <n v="0"/>
    <n v="0"/>
    <n v="1"/>
    <n v="201838.76643990929"/>
    <n v="0"/>
    <n v="0"/>
    <n v="201838.76643990929"/>
    <s v="Type A  _x000a_2AM-MRY1325"/>
    <m/>
    <n v="2014"/>
    <s v="Direct "/>
    <m/>
    <m/>
    <n v="0.33333333333333331"/>
    <n v="0.33333333333333331"/>
    <n v="0.33333333333333331"/>
    <m/>
    <m/>
    <m/>
    <m/>
    <m/>
    <n v="0"/>
    <m/>
    <n v="67279.588813303097"/>
    <n v="67279.588813303097"/>
    <n v="67279.588813303097"/>
    <n v="0"/>
    <n v="0"/>
    <n v="0"/>
    <n v="0"/>
    <n v="0"/>
  </r>
  <r>
    <x v="1"/>
    <x v="1"/>
    <x v="8"/>
    <x v="8"/>
    <x v="12"/>
    <x v="10"/>
    <x v="19"/>
    <x v="16"/>
    <m/>
    <s v=""/>
    <s v="A3"/>
    <s v="Grade &amp; Re-Contour"/>
    <s v="A2"/>
    <s v="Site Works"/>
    <s v="Grade and Re-Contour"/>
    <s v="Grade and Contour"/>
    <s v="Laydown LP7"/>
    <m/>
    <n v="21000"/>
    <s v="m2"/>
    <n v="1.2689880937499998E-2"/>
    <n v="0.14624999999999999"/>
    <n v="1.2689880937499998"/>
    <n v="0.39654534577546297"/>
    <n v="1.8102953457754629"/>
    <n v="266.48749968749996"/>
    <n v="3071.25"/>
    <n v="26648.749968749995"/>
    <n v="8327.4522612847231"/>
    <n v="38047.452230034716"/>
    <n v="0"/>
    <n v="0"/>
    <n v="1"/>
    <n v="0"/>
    <n v="0"/>
    <n v="1"/>
    <n v="38047.452230034716"/>
    <n v="0"/>
    <n v="0"/>
    <n v="38047.452230034716"/>
    <s v="Type A  _x000a_2AM-MRY1325"/>
    <s v="Added"/>
    <n v="2018"/>
    <s v="Direct "/>
    <m/>
    <m/>
    <n v="0.33333333333333331"/>
    <n v="0.33333333333333331"/>
    <n v="0.33333333333333331"/>
    <m/>
    <m/>
    <m/>
    <m/>
    <m/>
    <n v="0"/>
    <m/>
    <n v="12682.484076678238"/>
    <n v="12682.484076678238"/>
    <n v="12682.484076678238"/>
    <n v="0"/>
    <n v="0"/>
    <n v="0"/>
    <n v="0"/>
    <n v="0"/>
  </r>
  <r>
    <x v="5"/>
    <x v="5"/>
    <x v="10"/>
    <x v="8"/>
    <x v="18"/>
    <x v="10"/>
    <x v="24"/>
    <x v="78"/>
    <m/>
    <s v=""/>
    <s v="A3"/>
    <s v="Grade &amp; Re-Contour"/>
    <s v="A2"/>
    <s v="Site Works"/>
    <s v="Grade and Re-Contour"/>
    <s v="Grade and Contour"/>
    <s v="P1 Borrow Source"/>
    <m/>
    <n v="75820"/>
    <s v="m2"/>
    <n v="1.2689880937499998E-2"/>
    <n v="0.14624999999999999"/>
    <n v="1.2689880937499998"/>
    <n v="0.39654534577546297"/>
    <n v="1.8102953457754629"/>
    <n v="962.1467726812499"/>
    <n v="11088.674999999999"/>
    <n v="96214.677268124986"/>
    <n v="30066.068116695602"/>
    <n v="137369.42038482058"/>
    <n v="0"/>
    <n v="0"/>
    <n v="0"/>
    <n v="1"/>
    <n v="0"/>
    <n v="1"/>
    <n v="0"/>
    <n v="137369.42038482058"/>
    <n v="0"/>
    <n v="137369.42038482058"/>
    <s v="Type A  _x000a_2AM-MRY1325"/>
    <s v="Check"/>
    <n v="2014"/>
    <s v="Direct "/>
    <m/>
    <m/>
    <n v="0.5"/>
    <n v="0.5"/>
    <m/>
    <m/>
    <m/>
    <m/>
    <m/>
    <m/>
    <n v="0"/>
    <m/>
    <n v="68684.71019241029"/>
    <n v="68684.71019241029"/>
    <n v="0"/>
    <n v="0"/>
    <n v="0"/>
    <n v="0"/>
    <n v="0"/>
    <n v="0"/>
  </r>
  <r>
    <x v="5"/>
    <x v="5"/>
    <x v="10"/>
    <x v="8"/>
    <x v="18"/>
    <x v="10"/>
    <x v="24"/>
    <x v="21"/>
    <m/>
    <s v=""/>
    <s v="A3"/>
    <s v="Grade &amp; Re-Contour"/>
    <s v="A2"/>
    <s v="Site Works"/>
    <s v="Grade and Re-Contour"/>
    <s v="Grade and Contour"/>
    <s v="Q1 Quarry"/>
    <m/>
    <n v="64200"/>
    <s v="m2"/>
    <n v="1.2689880937499998E-2"/>
    <n v="0.14624999999999999"/>
    <n v="1.2689880937499998"/>
    <n v="0.39654534577546297"/>
    <n v="1.8102953457754629"/>
    <n v="814.6903561874999"/>
    <n v="9389.25"/>
    <n v="81469.035618749986"/>
    <n v="25458.211198784724"/>
    <n v="116316.4968175347"/>
    <n v="0"/>
    <n v="0"/>
    <n v="1"/>
    <n v="0"/>
    <n v="0"/>
    <n v="1"/>
    <n v="116316.4968175347"/>
    <n v="0"/>
    <n v="0"/>
    <n v="116316.4968175347"/>
    <s v="Type A  _x000a_2AM-MRY1325"/>
    <s v="Check"/>
    <n v="2014"/>
    <s v="Direct "/>
    <m/>
    <m/>
    <n v="0.5"/>
    <n v="0.5"/>
    <m/>
    <m/>
    <m/>
    <m/>
    <m/>
    <m/>
    <n v="0"/>
    <m/>
    <n v="58158.248408767351"/>
    <n v="58158.248408767351"/>
    <n v="0"/>
    <n v="0"/>
    <n v="0"/>
    <n v="0"/>
    <n v="0"/>
    <n v="0"/>
  </r>
  <r>
    <x v="5"/>
    <x v="5"/>
    <x v="10"/>
    <x v="8"/>
    <x v="18"/>
    <x v="10"/>
    <x v="28"/>
    <x v="24"/>
    <m/>
    <s v="BLD"/>
    <s v="FF2-c"/>
    <s v="Fold Away Building Contaminated (480 ft2)"/>
    <s v="FFL-c"/>
    <s v="Buildings (Contaminated)"/>
    <s v="Fold Away Building"/>
    <m/>
    <s v="Mobile Maintenance Depot - Demolish and Decontaminate Building - Fold-away Building (Steel)"/>
    <m/>
    <n v="682"/>
    <s v="m2"/>
    <n v="0.56041666666666667"/>
    <n v="2.3537499999999998"/>
    <n v="55.993123908730162"/>
    <n v="84.0625"/>
    <n v="142.40937390873017"/>
    <n v="382.20416666666665"/>
    <n v="1605.2574999999999"/>
    <n v="38187.310505753972"/>
    <n v="57330.625"/>
    <n v="97123.193005753972"/>
    <n v="1"/>
    <n v="682"/>
    <n v="0"/>
    <n v="1"/>
    <n v="0"/>
    <n v="1"/>
    <n v="0"/>
    <n v="97123.193005753972"/>
    <n v="0"/>
    <n v="97123.193005753972"/>
    <s v="Type A  _x000a_2AM-MRY1325"/>
    <s v="Added"/>
    <n v="2016"/>
    <s v="Direct "/>
    <m/>
    <m/>
    <n v="0.33333333333333331"/>
    <n v="0.33333333333333331"/>
    <n v="0.33333333333333331"/>
    <m/>
    <m/>
    <m/>
    <m/>
    <m/>
    <n v="0"/>
    <m/>
    <n v="32374.397668584657"/>
    <n v="32374.397668584657"/>
    <n v="32374.397668584657"/>
    <n v="0"/>
    <n v="0"/>
    <n v="0"/>
    <n v="0"/>
    <n v="0"/>
  </r>
  <r>
    <x v="5"/>
    <x v="5"/>
    <x v="10"/>
    <x v="8"/>
    <x v="18"/>
    <x v="10"/>
    <x v="24"/>
    <x v="79"/>
    <m/>
    <s v=""/>
    <s v="A3"/>
    <s v="Grade &amp; Re-Contour"/>
    <s v="A2"/>
    <s v="Site Works"/>
    <s v="Grade and Re-Contour"/>
    <s v="Grade and Contour"/>
    <s v="Q7 Quarry"/>
    <m/>
    <n v="53050"/>
    <s v="m2"/>
    <n v="1.2689880937499998E-2"/>
    <n v="0.14624999999999999"/>
    <n v="1.2689880937499998"/>
    <n v="0.39654534577546297"/>
    <n v="1.8102953457754629"/>
    <n v="673.19818373437488"/>
    <n v="7758.5624999999991"/>
    <n v="67319.818373437491"/>
    <n v="21036.730593388311"/>
    <n v="96115.111466825794"/>
    <n v="0"/>
    <n v="0"/>
    <n v="1"/>
    <n v="0"/>
    <n v="0"/>
    <n v="1"/>
    <n v="96115.111466825794"/>
    <n v="0"/>
    <n v="0"/>
    <n v="96115.111466825794"/>
    <s v="Type A  _x000a_2AM-MRY1325"/>
    <s v="Check"/>
    <n v="2014"/>
    <s v="Direct "/>
    <m/>
    <m/>
    <n v="0.5"/>
    <n v="0.5"/>
    <m/>
    <m/>
    <m/>
    <m/>
    <m/>
    <m/>
    <n v="0"/>
    <m/>
    <n v="48057.555733412897"/>
    <n v="48057.555733412897"/>
    <n v="0"/>
    <n v="0"/>
    <n v="0"/>
    <n v="0"/>
    <n v="0"/>
    <n v="0"/>
  </r>
  <r>
    <x v="5"/>
    <x v="5"/>
    <x v="10"/>
    <x v="8"/>
    <x v="18"/>
    <x v="10"/>
    <x v="24"/>
    <x v="80"/>
    <m/>
    <s v=""/>
    <s v="A3"/>
    <s v="Grade &amp; Re-Contour"/>
    <s v="A2"/>
    <s v="Site Works"/>
    <s v="Grade and Re-Contour"/>
    <s v="Grade and Contour"/>
    <s v="Q11 Quarry"/>
    <m/>
    <n v="50433"/>
    <s v="m2"/>
    <n v="1.2689880937499998E-2"/>
    <n v="0.14624999999999999"/>
    <n v="1.2689880937499998"/>
    <n v="0.39654534577546297"/>
    <n v="1.8102953457754629"/>
    <n v="639.98876532093743"/>
    <n v="7375.8262499999992"/>
    <n v="63998.876532093738"/>
    <n v="19998.971423493924"/>
    <n v="91373.674205587653"/>
    <n v="0"/>
    <n v="0"/>
    <n v="1"/>
    <n v="0"/>
    <n v="0"/>
    <n v="1"/>
    <n v="91373.674205587653"/>
    <n v="0"/>
    <n v="0"/>
    <n v="91373.674205587653"/>
    <s v="Type A  _x000a_2AM-MRY1325"/>
    <s v="Check"/>
    <n v="2014"/>
    <s v="Direct "/>
    <m/>
    <m/>
    <n v="0.5"/>
    <n v="0.5"/>
    <m/>
    <m/>
    <m/>
    <m/>
    <m/>
    <m/>
    <n v="0"/>
    <m/>
    <n v="45686.837102793826"/>
    <n v="45686.837102793826"/>
    <n v="0"/>
    <n v="0"/>
    <n v="0"/>
    <n v="0"/>
    <n v="0"/>
    <n v="0"/>
  </r>
  <r>
    <x v="5"/>
    <x v="5"/>
    <x v="10"/>
    <x v="8"/>
    <x v="18"/>
    <x v="10"/>
    <x v="24"/>
    <x v="21"/>
    <m/>
    <s v=""/>
    <s v="A3"/>
    <s v="Grade &amp; Re-Contour"/>
    <s v="A2"/>
    <s v="Site Works"/>
    <s v="Grade and Re-Contour"/>
    <s v="Grade and Contour"/>
    <s v="Q1 Quarry (marginal increase to existing)"/>
    <m/>
    <n v="50000"/>
    <s v="m2"/>
    <n v="1.2689880937499998E-2"/>
    <n v="0.14624999999999999"/>
    <n v="1.2689880937499998"/>
    <n v="0.39654534577546297"/>
    <n v="1.8102953457754629"/>
    <n v="634.49404687499987"/>
    <n v="7312.5"/>
    <n v="63449.404687499991"/>
    <n v="19827.26728877315"/>
    <n v="90589.171976273137"/>
    <n v="0"/>
    <n v="0"/>
    <n v="1"/>
    <n v="0"/>
    <n v="0"/>
    <n v="1"/>
    <n v="90589.171976273137"/>
    <n v="0"/>
    <n v="0"/>
    <n v="90589.171976273137"/>
    <s v="Type A  _x000a_2AM-MRY1325"/>
    <s v="Added "/>
    <s v="2017-A"/>
    <s v="Direct "/>
    <m/>
    <m/>
    <n v="0.5"/>
    <n v="0.5"/>
    <m/>
    <m/>
    <m/>
    <m/>
    <m/>
    <m/>
    <n v="0"/>
    <m/>
    <n v="45294.585988136569"/>
    <n v="45294.585988136569"/>
    <n v="0"/>
    <n v="0"/>
    <n v="0"/>
    <n v="0"/>
    <n v="0"/>
    <n v="0"/>
  </r>
  <r>
    <x v="5"/>
    <x v="5"/>
    <x v="10"/>
    <x v="8"/>
    <x v="18"/>
    <x v="10"/>
    <x v="25"/>
    <x v="23"/>
    <m/>
    <s v=""/>
    <s v="A3"/>
    <s v="Grade &amp; Re-Contour"/>
    <s v="A2"/>
    <s v="Site Works"/>
    <s v="Grade and Re-Contour"/>
    <s v="Grade and Contour"/>
    <s v="Laydown R1  (2017 Carry Over)"/>
    <m/>
    <n v="20200"/>
    <s v="m2"/>
    <n v="1.2689880937499998E-2"/>
    <n v="0.14624999999999999"/>
    <n v="1.2689880937499998"/>
    <n v="0.39654534577546297"/>
    <n v="1.8102953457754629"/>
    <n v="256.33559493749999"/>
    <n v="2954.25"/>
    <n v="25633.559493749995"/>
    <n v="8010.2159846643517"/>
    <n v="36567.965984664348"/>
    <n v="0"/>
    <n v="0"/>
    <n v="1"/>
    <n v="0"/>
    <n v="0"/>
    <n v="1"/>
    <n v="36567.965984664348"/>
    <n v="0"/>
    <n v="0"/>
    <n v="36567.965984664348"/>
    <s v="Type A  _x000a_2AM-MRY1325"/>
    <s v="Added"/>
    <n v="2018"/>
    <s v="Direct "/>
    <m/>
    <m/>
    <n v="0.33333333333333331"/>
    <n v="0.33333333333333331"/>
    <n v="0.33333333333333331"/>
    <m/>
    <m/>
    <m/>
    <m/>
    <m/>
    <n v="0"/>
    <m/>
    <n v="12189.321994888116"/>
    <n v="12189.321994888116"/>
    <n v="12189.321994888116"/>
    <n v="0"/>
    <n v="0"/>
    <n v="0"/>
    <n v="0"/>
    <n v="0"/>
  </r>
  <r>
    <x v="5"/>
    <x v="5"/>
    <x v="10"/>
    <x v="8"/>
    <x v="18"/>
    <x v="10"/>
    <x v="24"/>
    <x v="62"/>
    <m/>
    <s v=""/>
    <s v="A3"/>
    <s v="Grade &amp; Re-Contour"/>
    <s v="A2"/>
    <s v="Site Works"/>
    <s v="Grade and Re-Contour"/>
    <s v="Grade and Contour"/>
    <s v="Borrow development areas"/>
    <m/>
    <n v="42080"/>
    <s v="m2"/>
    <n v="1.2689880937499998E-2"/>
    <n v="0.14624999999999999"/>
    <n v="1.2689880937499998"/>
    <n v="0.39654534577546297"/>
    <n v="1.8102953457754629"/>
    <n v="533.99018984999998"/>
    <n v="6154.2"/>
    <n v="53399.018984999988"/>
    <n v="16686.628150231481"/>
    <n v="76239.847135231466"/>
    <n v="0"/>
    <n v="0"/>
    <n v="1"/>
    <n v="0"/>
    <n v="0"/>
    <n v="1"/>
    <n v="76239.847135231466"/>
    <n v="0"/>
    <n v="0"/>
    <n v="76239.847135231466"/>
    <s v="Type A  _x000a_2AM-MRY1325"/>
    <s v="Check"/>
    <n v="2014"/>
    <s v="Direct "/>
    <m/>
    <m/>
    <n v="0.33333333333333331"/>
    <n v="0.33333333333333331"/>
    <n v="0.33333333333333331"/>
    <m/>
    <m/>
    <m/>
    <m/>
    <m/>
    <n v="0"/>
    <m/>
    <n v="25413.282378410488"/>
    <n v="25413.282378410488"/>
    <n v="25413.282378410488"/>
    <n v="0"/>
    <n v="0"/>
    <n v="0"/>
    <n v="0"/>
    <n v="0"/>
  </r>
  <r>
    <x v="5"/>
    <x v="5"/>
    <x v="10"/>
    <x v="8"/>
    <x v="18"/>
    <x v="10"/>
    <x v="24"/>
    <x v="81"/>
    <m/>
    <s v=""/>
    <s v="A3"/>
    <s v="Grade &amp; Re-Contour"/>
    <s v="A2"/>
    <s v="Site Works"/>
    <s v="Grade and Re-Contour"/>
    <s v="Grade and Contour"/>
    <s v="Km 2 Borrow source"/>
    <m/>
    <n v="41795"/>
    <s v="m2"/>
    <n v="1.2689880937499998E-2"/>
    <n v="0.14624999999999999"/>
    <n v="1.2689880937499998"/>
    <n v="0.39654534577546297"/>
    <n v="1.8102953457754629"/>
    <n v="530.3735737828124"/>
    <n v="6112.5187499999993"/>
    <n v="53037.357378281238"/>
    <n v="16573.612726685475"/>
    <n v="75723.488854966708"/>
    <n v="0"/>
    <n v="0"/>
    <n v="1"/>
    <n v="0"/>
    <n v="0"/>
    <n v="1"/>
    <n v="75723.488854966708"/>
    <n v="0"/>
    <n v="0"/>
    <n v="75723.488854966708"/>
    <s v="Type A  _x000a_2AM-MRY1325"/>
    <s v="Check"/>
    <n v="2015"/>
    <s v="Direct "/>
    <m/>
    <m/>
    <n v="1"/>
    <m/>
    <m/>
    <m/>
    <m/>
    <m/>
    <m/>
    <m/>
    <n v="0"/>
    <m/>
    <n v="75723.488854966708"/>
    <n v="0"/>
    <n v="0"/>
    <n v="0"/>
    <n v="0"/>
    <n v="0"/>
    <n v="0"/>
    <n v="0"/>
  </r>
  <r>
    <x v="5"/>
    <x v="5"/>
    <x v="10"/>
    <x v="8"/>
    <x v="18"/>
    <x v="10"/>
    <x v="24"/>
    <x v="82"/>
    <m/>
    <s v=""/>
    <s v="A3"/>
    <s v="Grade &amp; Re-Contour"/>
    <s v="A2"/>
    <s v="Site Works"/>
    <s v="Grade and Re-Contour"/>
    <s v="Grade and Contour"/>
    <s v="Q12 Quarry"/>
    <m/>
    <n v="20000"/>
    <s v="m2"/>
    <n v="1.2689880937499998E-2"/>
    <n v="0.14624999999999999"/>
    <n v="1.2689880937499998"/>
    <n v="0.39654534577546297"/>
    <n v="1.8102953457754629"/>
    <n v="253.79761874999997"/>
    <n v="2925"/>
    <n v="25379.761874999997"/>
    <n v="7930.9069155092593"/>
    <n v="36235.668790509255"/>
    <n v="0"/>
    <n v="0"/>
    <n v="1"/>
    <n v="0"/>
    <n v="0"/>
    <n v="1"/>
    <n v="36235.668790509255"/>
    <n v="0"/>
    <n v="0"/>
    <n v="36235.668790509255"/>
    <s v="Type A  _x000a_2AM-MRY1325"/>
    <s v="Added "/>
    <n v="2018"/>
    <s v="Direct "/>
    <m/>
    <m/>
    <n v="0.5"/>
    <n v="0.5"/>
    <m/>
    <m/>
    <m/>
    <m/>
    <m/>
    <m/>
    <n v="0"/>
    <m/>
    <n v="18117.834395254627"/>
    <n v="18117.834395254627"/>
    <n v="0"/>
    <n v="0"/>
    <n v="0"/>
    <n v="0"/>
    <n v="0"/>
    <n v="0"/>
  </r>
  <r>
    <x v="5"/>
    <x v="5"/>
    <x v="10"/>
    <x v="8"/>
    <x v="18"/>
    <x v="10"/>
    <x v="24"/>
    <x v="79"/>
    <m/>
    <s v=""/>
    <s v="A3"/>
    <s v="Grade &amp; Re-Contour"/>
    <s v="A2"/>
    <s v="Site Works"/>
    <s v="Grade and Re-Contour"/>
    <s v="Grade and Contour"/>
    <s v="Q7 Quarry (additional marginal increase in 2018)"/>
    <m/>
    <n v="20000"/>
    <s v="m2"/>
    <n v="1.2689880937499998E-2"/>
    <n v="0.14624999999999999"/>
    <n v="1.2689880937499998"/>
    <n v="0.39654534577546297"/>
    <n v="1.8102953457754629"/>
    <n v="253.79761874999997"/>
    <n v="2925"/>
    <n v="25379.761874999997"/>
    <n v="7930.9069155092593"/>
    <n v="36235.668790509255"/>
    <n v="0"/>
    <n v="0"/>
    <n v="1"/>
    <n v="0"/>
    <n v="0"/>
    <n v="1"/>
    <n v="36235.668790509255"/>
    <n v="0"/>
    <n v="0"/>
    <n v="36235.668790509255"/>
    <s v="Type A  _x000a_2AM-MRY1325"/>
    <s v="Added"/>
    <n v="2018"/>
    <s v="Direct "/>
    <m/>
    <m/>
    <n v="0.5"/>
    <n v="0.5"/>
    <m/>
    <m/>
    <m/>
    <m/>
    <m/>
    <m/>
    <n v="0"/>
    <m/>
    <n v="18117.834395254627"/>
    <n v="18117.834395254627"/>
    <n v="0"/>
    <n v="0"/>
    <n v="0"/>
    <n v="0"/>
    <n v="0"/>
    <n v="0"/>
  </r>
  <r>
    <x v="5"/>
    <x v="5"/>
    <x v="10"/>
    <x v="8"/>
    <x v="18"/>
    <x v="10"/>
    <x v="24"/>
    <x v="80"/>
    <m/>
    <s v=""/>
    <s v="A3"/>
    <s v="Grade &amp; Re-Contour"/>
    <s v="A2"/>
    <s v="Site Works"/>
    <s v="Grade and Re-Contour"/>
    <s v="Grade and Contour"/>
    <s v="Q11 Quarry (additional marginal increase in 2018)"/>
    <m/>
    <n v="20000"/>
    <s v="m2"/>
    <n v="1.2689880937499998E-2"/>
    <n v="0.14624999999999999"/>
    <n v="1.2689880937499998"/>
    <n v="0.39654534577546297"/>
    <n v="1.8102953457754629"/>
    <n v="253.79761874999997"/>
    <n v="2925"/>
    <n v="25379.761874999997"/>
    <n v="7930.9069155092593"/>
    <n v="36235.668790509255"/>
    <n v="0"/>
    <n v="0"/>
    <n v="1"/>
    <n v="0"/>
    <n v="0"/>
    <n v="1"/>
    <n v="36235.668790509255"/>
    <n v="0"/>
    <n v="0"/>
    <n v="36235.668790509255"/>
    <s v="Type A  _x000a_2AM-MRY1325"/>
    <s v="Added"/>
    <n v="2018"/>
    <s v="Direct "/>
    <m/>
    <m/>
    <n v="0.5"/>
    <n v="0.5"/>
    <m/>
    <m/>
    <m/>
    <m/>
    <m/>
    <m/>
    <n v="0"/>
    <m/>
    <n v="18117.834395254627"/>
    <n v="18117.834395254627"/>
    <n v="0"/>
    <n v="0"/>
    <n v="0"/>
    <n v="0"/>
    <n v="0"/>
    <n v="0"/>
  </r>
  <r>
    <x v="5"/>
    <x v="5"/>
    <x v="10"/>
    <x v="8"/>
    <x v="18"/>
    <x v="10"/>
    <x v="24"/>
    <x v="83"/>
    <m/>
    <m/>
    <s v="A3"/>
    <s v="Grade &amp; Re-Contour"/>
    <s v="A2"/>
    <s v="Site Works"/>
    <s v="Grade and Re-Contour"/>
    <s v="Grade and Contour"/>
    <s v="Q19 Quarry (additional marginal increase in 2018)"/>
    <m/>
    <n v="20000"/>
    <s v="m2"/>
    <n v="1.2689880937499998E-2"/>
    <n v="0.14624999999999999"/>
    <n v="1.2689880937499998"/>
    <n v="0.39654534577546297"/>
    <n v="1.8102953457754629"/>
    <n v="253.79761874999997"/>
    <n v="2925"/>
    <n v="25379.761874999997"/>
    <n v="7930.9069155092593"/>
    <n v="36235.668790509255"/>
    <n v="0"/>
    <n v="0"/>
    <n v="1"/>
    <n v="0"/>
    <n v="0"/>
    <n v="1"/>
    <n v="36235.668790509255"/>
    <n v="0"/>
    <n v="0"/>
    <n v="36235.668790509255"/>
    <s v="Type A  _x000a_2AM-MRY1325"/>
    <s v="Added"/>
    <n v="2018"/>
    <s v="Direct "/>
    <m/>
    <m/>
    <n v="0.5"/>
    <n v="0.5"/>
    <m/>
    <m/>
    <m/>
    <m/>
    <m/>
    <m/>
    <n v="0"/>
    <m/>
    <n v="18117.834395254627"/>
    <n v="18117.834395254627"/>
    <n v="0"/>
    <n v="0"/>
    <n v="0"/>
    <n v="0"/>
    <n v="0"/>
    <n v="0"/>
  </r>
  <r>
    <x v="5"/>
    <x v="5"/>
    <x v="10"/>
    <x v="8"/>
    <x v="18"/>
    <x v="10"/>
    <x v="25"/>
    <x v="23"/>
    <m/>
    <s v=""/>
    <s v="A3"/>
    <s v="Grade &amp; Re-Contour"/>
    <s v="A2"/>
    <s v="Site Works"/>
    <s v="Grade and Re-Contour"/>
    <s v="Grade and Contour"/>
    <s v="Laydown R2  (2017 Carry Over)"/>
    <m/>
    <n v="20000"/>
    <s v="m2"/>
    <n v="1.2689880937499998E-2"/>
    <n v="0.14624999999999999"/>
    <n v="1.2689880937499998"/>
    <n v="0.39654534577546297"/>
    <n v="1.8102953457754629"/>
    <n v="253.79761874999997"/>
    <n v="2925"/>
    <n v="25379.761874999997"/>
    <n v="7930.9069155092593"/>
    <n v="36205.906915509258"/>
    <n v="0"/>
    <n v="0"/>
    <n v="1"/>
    <n v="0"/>
    <n v="0"/>
    <n v="1"/>
    <n v="36205.906915509258"/>
    <n v="0"/>
    <n v="0"/>
    <n v="36205.906915509258"/>
    <s v="Type A  _x000a_2AM-MRY1325"/>
    <s v="Added"/>
    <n v="2018"/>
    <s v="Direct "/>
    <m/>
    <m/>
    <n v="0.33333333333333331"/>
    <n v="0.33333333333333331"/>
    <n v="0.33333333333333331"/>
    <m/>
    <m/>
    <m/>
    <m/>
    <m/>
    <n v="0"/>
    <m/>
    <n v="12068.635638503085"/>
    <n v="12068.635638503085"/>
    <n v="12068.635638503085"/>
    <n v="0"/>
    <n v="0"/>
    <n v="0"/>
    <n v="0"/>
    <n v="0"/>
  </r>
  <r>
    <x v="5"/>
    <x v="5"/>
    <x v="10"/>
    <x v="8"/>
    <x v="18"/>
    <x v="10"/>
    <x v="25"/>
    <x v="23"/>
    <m/>
    <s v=""/>
    <s v="A3"/>
    <s v="Grade &amp; Re-Contour"/>
    <s v="A2"/>
    <s v="Site Works"/>
    <s v="Grade and Re-Contour"/>
    <s v="Grade and Contour"/>
    <s v="Laydown No. 2 - 2018 Work Plan"/>
    <m/>
    <n v="20000"/>
    <s v="m2"/>
    <n v="1.2689880937499998E-2"/>
    <n v="0.14624999999999999"/>
    <n v="1.2689880937499998"/>
    <n v="0.39654534577546297"/>
    <n v="1.8102953457754629"/>
    <n v="253.79761874999997"/>
    <n v="2925"/>
    <n v="25379.761874999997"/>
    <n v="7930.9069155092593"/>
    <n v="36205.906915509258"/>
    <n v="0"/>
    <n v="0"/>
    <n v="1"/>
    <n v="0"/>
    <n v="0"/>
    <n v="1"/>
    <n v="36205.906915509258"/>
    <n v="0"/>
    <n v="0"/>
    <n v="36205.906915509258"/>
    <s v="Type A  _x000a_2AM-MRY1325"/>
    <s v="Added"/>
    <n v="2018"/>
    <s v="Direct "/>
    <m/>
    <m/>
    <n v="0.33333333333333331"/>
    <n v="0.33333333333333331"/>
    <n v="0.33333333333333331"/>
    <m/>
    <m/>
    <m/>
    <m/>
    <m/>
    <n v="0"/>
    <m/>
    <n v="12068.635638503085"/>
    <n v="12068.635638503085"/>
    <n v="12068.635638503085"/>
    <n v="0"/>
    <n v="0"/>
    <n v="0"/>
    <n v="0"/>
    <n v="0"/>
  </r>
  <r>
    <x v="5"/>
    <x v="5"/>
    <x v="10"/>
    <x v="8"/>
    <x v="18"/>
    <x v="10"/>
    <x v="25"/>
    <x v="23"/>
    <m/>
    <s v=""/>
    <s v="A3"/>
    <s v="Grade &amp; Re-Contour"/>
    <s v="A2"/>
    <s v="Site Works"/>
    <s v="Grade and Re-Contour"/>
    <s v="Grade and Contour"/>
    <s v="Laydown No. 12 - 2018 Work Plan"/>
    <m/>
    <n v="20000"/>
    <s v="m2"/>
    <n v="1.2689880937499998E-2"/>
    <n v="0.14624999999999999"/>
    <n v="1.2689880937499998"/>
    <n v="0.39654534577546297"/>
    <n v="1.8102953457754629"/>
    <n v="253.79761874999997"/>
    <n v="2925"/>
    <n v="25379.761874999997"/>
    <n v="7930.9069155092593"/>
    <n v="36205.906915509258"/>
    <n v="0"/>
    <n v="0"/>
    <n v="1"/>
    <n v="0"/>
    <n v="0"/>
    <n v="1"/>
    <n v="36205.906915509258"/>
    <n v="0"/>
    <n v="0"/>
    <n v="36205.906915509258"/>
    <s v="Type A  _x000a_2AM-MRY1325"/>
    <s v="Added"/>
    <n v="2018"/>
    <s v="Direct "/>
    <m/>
    <m/>
    <n v="0.33333333333333331"/>
    <n v="0.33333333333333331"/>
    <n v="0.33333333333333331"/>
    <m/>
    <m/>
    <m/>
    <m/>
    <m/>
    <n v="0"/>
    <m/>
    <n v="12068.635638503085"/>
    <n v="12068.635638503085"/>
    <n v="12068.635638503085"/>
    <n v="0"/>
    <n v="0"/>
    <n v="0"/>
    <n v="0"/>
    <n v="0"/>
  </r>
  <r>
    <x v="5"/>
    <x v="5"/>
    <x v="10"/>
    <x v="8"/>
    <x v="18"/>
    <x v="10"/>
    <x v="25"/>
    <x v="23"/>
    <m/>
    <s v=""/>
    <s v="A3"/>
    <s v="Grade &amp; Re-Contour"/>
    <s v="A2"/>
    <s v="Site Works"/>
    <s v="Grade and Re-Contour"/>
    <s v="Grade and Contour"/>
    <s v="Laydown No. 13 - 2018 Work Plan"/>
    <m/>
    <n v="20000"/>
    <s v="m2"/>
    <n v="1.2689880937499998E-2"/>
    <n v="0.14624999999999999"/>
    <n v="1.2689880937499998"/>
    <n v="0.39654534577546297"/>
    <n v="1.8102953457754629"/>
    <n v="253.79761874999997"/>
    <n v="2925"/>
    <n v="25379.761874999997"/>
    <n v="7930.9069155092593"/>
    <n v="36205.906915509258"/>
    <n v="0"/>
    <n v="0"/>
    <n v="1"/>
    <n v="0"/>
    <n v="0"/>
    <n v="1"/>
    <n v="36205.906915509258"/>
    <n v="0"/>
    <n v="0"/>
    <n v="36205.906915509258"/>
    <s v="Type A  _x000a_2AM-MRY1325"/>
    <s v="Added"/>
    <n v="2018"/>
    <s v="Direct "/>
    <m/>
    <m/>
    <n v="0.33333333333333331"/>
    <n v="0.33333333333333331"/>
    <n v="0.33333333333333331"/>
    <m/>
    <m/>
    <m/>
    <m/>
    <m/>
    <n v="0"/>
    <m/>
    <n v="12068.635638503085"/>
    <n v="12068.635638503085"/>
    <n v="12068.635638503085"/>
    <n v="0"/>
    <n v="0"/>
    <n v="0"/>
    <n v="0"/>
    <n v="0"/>
  </r>
  <r>
    <x v="5"/>
    <x v="5"/>
    <x v="10"/>
    <x v="8"/>
    <x v="18"/>
    <x v="10"/>
    <x v="25"/>
    <x v="23"/>
    <m/>
    <s v=""/>
    <s v="A3"/>
    <s v="Grade &amp; Re-Contour"/>
    <s v="A2"/>
    <s v="Site Works"/>
    <s v="Grade and Re-Contour"/>
    <s v="Grade and Contour"/>
    <s v="Laydown No. 14 - 2018 Work Plan"/>
    <m/>
    <n v="20000"/>
    <s v="m2"/>
    <n v="1.2689880937499998E-2"/>
    <n v="0.14624999999999999"/>
    <n v="1.2689880937499998"/>
    <n v="0.39654534577546297"/>
    <n v="1.8102953457754629"/>
    <n v="253.79761874999997"/>
    <n v="2925"/>
    <n v="25379.761874999997"/>
    <n v="7930.9069155092593"/>
    <n v="36205.906915509258"/>
    <n v="0"/>
    <n v="0"/>
    <n v="1"/>
    <n v="0"/>
    <n v="0"/>
    <n v="1"/>
    <n v="36205.906915509258"/>
    <n v="0"/>
    <n v="0"/>
    <n v="36205.906915509258"/>
    <s v="Type A  _x000a_2AM-MRY1325"/>
    <s v="Added"/>
    <n v="2018"/>
    <s v="Direct "/>
    <m/>
    <m/>
    <n v="0.33333333333333331"/>
    <n v="0.33333333333333331"/>
    <n v="0.33333333333333331"/>
    <m/>
    <m/>
    <m/>
    <m/>
    <m/>
    <n v="0"/>
    <m/>
    <n v="12068.635638503085"/>
    <n v="12068.635638503085"/>
    <n v="12068.635638503085"/>
    <n v="0"/>
    <n v="0"/>
    <n v="0"/>
    <n v="0"/>
    <n v="0"/>
  </r>
  <r>
    <x v="5"/>
    <x v="5"/>
    <x v="10"/>
    <x v="8"/>
    <x v="18"/>
    <x v="10"/>
    <x v="25"/>
    <x v="23"/>
    <m/>
    <s v=""/>
    <s v="A3"/>
    <s v="Grade &amp; Re-Contour"/>
    <s v="A2"/>
    <s v="Site Works"/>
    <s v="Grade and Re-Contour"/>
    <s v="Grade and Contour"/>
    <s v="Laydown Pad development - KM64 Explosives Magazine"/>
    <m/>
    <n v="19700"/>
    <s v="m2"/>
    <n v="1.2689880937499998E-2"/>
    <n v="0.14624999999999999"/>
    <n v="1.2689880937499998"/>
    <n v="0.39654534577546297"/>
    <n v="1.8102953457754629"/>
    <n v="249.99065446874997"/>
    <n v="2881.125"/>
    <n v="24999.065446874996"/>
    <n v="7811.9433117766202"/>
    <n v="35662.818311776617"/>
    <n v="0"/>
    <n v="0"/>
    <n v="0"/>
    <n v="1"/>
    <n v="0"/>
    <n v="1"/>
    <n v="0"/>
    <n v="35662.818311776617"/>
    <n v="0"/>
    <n v="35662.818311776617"/>
    <s v="Type A  _x000a_2AM-MRY1325"/>
    <s v="Added"/>
    <n v="2018"/>
    <s v="Direct "/>
    <m/>
    <m/>
    <n v="0.33333333333333331"/>
    <n v="0.33333333333333331"/>
    <n v="0.33333333333333331"/>
    <m/>
    <m/>
    <m/>
    <m/>
    <m/>
    <n v="0"/>
    <m/>
    <n v="11887.606103925538"/>
    <n v="11887.606103925538"/>
    <n v="11887.606103925538"/>
    <n v="0"/>
    <n v="0"/>
    <n v="0"/>
    <n v="0"/>
    <n v="0"/>
  </r>
  <r>
    <x v="1"/>
    <x v="1"/>
    <x v="3"/>
    <x v="3"/>
    <x v="5"/>
    <x v="4"/>
    <x v="20"/>
    <x v="17"/>
    <m/>
    <s v="LE-"/>
    <s v="MM1"/>
    <s v="Light Equimpent"/>
    <s v="MM1"/>
    <s v="Mechanical Equipment"/>
    <s v="Light Equipment"/>
    <s v="3rd party Equipment"/>
    <s v="400,000 BTU Indirect Fired Diesel Heater "/>
    <m/>
    <n v="18"/>
    <s v="ea"/>
    <n v="8.1"/>
    <n v="106.5"/>
    <n v="809.29838571428581"/>
    <n v="1065"/>
    <n v="1980.7983857142858"/>
    <n v="145.79999999999998"/>
    <n v="1917"/>
    <n v="14567.370942857146"/>
    <n v="19170"/>
    <n v="35654.370942857146"/>
    <n v="0.5"/>
    <n v="9"/>
    <n v="1"/>
    <n v="0"/>
    <n v="0"/>
    <n v="1"/>
    <n v="35654.370942857146"/>
    <n v="0"/>
    <n v="0"/>
    <n v="35654.370942857146"/>
    <s v="Type A  _x000a_2AM-MRY1325"/>
    <s v="Added"/>
    <n v="2018"/>
    <s v="Direct "/>
    <m/>
    <m/>
    <n v="0.33333333333333331"/>
    <m/>
    <n v="0.33333333333333331"/>
    <m/>
    <m/>
    <m/>
    <m/>
    <n v="0.33333333333333331"/>
    <n v="0"/>
    <m/>
    <n v="11884.790314285714"/>
    <n v="0"/>
    <n v="11884.790314285714"/>
    <n v="0"/>
    <n v="0"/>
    <n v="0"/>
    <n v="0"/>
    <n v="11884.790314285714"/>
  </r>
  <r>
    <x v="1"/>
    <x v="1"/>
    <x v="3"/>
    <x v="3"/>
    <x v="3"/>
    <x v="3"/>
    <x v="3"/>
    <x v="3"/>
    <m/>
    <s v="BLD"/>
    <s v="FF1"/>
    <s v="Modular Building Not Contaminated (480 ft2)"/>
    <s v="FS"/>
    <s v="Buildings (Not Contaminated)"/>
    <s v="Prefabricated Special Modular"/>
    <m/>
    <s v="Offices, washcars (assume 16 units @  36 m2 per wash car)"/>
    <m/>
    <n v="576"/>
    <s v="m2"/>
    <n v="0.22416666666666665"/>
    <n v="3.3624999999999998"/>
    <n v="22.397249563492064"/>
    <n v="33.625"/>
    <n v="59.384749563492065"/>
    <n v="129.12"/>
    <n v="1936.8"/>
    <n v="12900.815748571429"/>
    <n v="19368"/>
    <n v="34205.615748571428"/>
    <n v="1"/>
    <n v="576"/>
    <n v="1"/>
    <n v="0"/>
    <n v="0"/>
    <n v="1"/>
    <n v="34205.615748571428"/>
    <n v="0"/>
    <n v="0"/>
    <n v="34205.615748571428"/>
    <s v="Type A  _x000a_2AM-MRY1325"/>
    <s v="Added"/>
    <s v="2018-R"/>
    <s v="Direct "/>
    <m/>
    <m/>
    <n v="0.33333333333333331"/>
    <n v="0.33333333333333331"/>
    <n v="0.33333333333333331"/>
    <m/>
    <m/>
    <m/>
    <m/>
    <m/>
    <n v="0"/>
    <m/>
    <n v="11401.871916190476"/>
    <n v="11401.871916190476"/>
    <n v="11401.871916190476"/>
    <n v="0"/>
    <n v="0"/>
    <n v="0"/>
    <n v="0"/>
    <n v="0"/>
  </r>
  <r>
    <x v="1"/>
    <x v="1"/>
    <x v="3"/>
    <x v="3"/>
    <x v="5"/>
    <x v="4"/>
    <x v="20"/>
    <x v="17"/>
    <s v="302"/>
    <s v="SQ-"/>
    <s v="MM2"/>
    <s v="Medium Equipment"/>
    <s v="MM2"/>
    <s v="Mechanical Equipment"/>
    <s v="Medium Equipment"/>
    <s v="3rd party Equipment"/>
    <s v="Diesel Welding machines 400-500 amps "/>
    <m/>
    <n v="8"/>
    <s v="ea"/>
    <n v="19.2"/>
    <n v="213"/>
    <n v="1918.3369142857146"/>
    <n v="2130"/>
    <n v="4261.3369142857146"/>
    <n v="153.6"/>
    <n v="1704"/>
    <n v="15346.695314285716"/>
    <n v="17040"/>
    <n v="34090.695314285716"/>
    <n v="1"/>
    <n v="8"/>
    <n v="1"/>
    <n v="0"/>
    <n v="0"/>
    <n v="1"/>
    <n v="34090.695314285716"/>
    <n v="0"/>
    <n v="0"/>
    <n v="34090.695314285716"/>
    <s v="Type A  _x000a_2AM-MRY1325"/>
    <s v="Added"/>
    <n v="2018"/>
    <s v="Direct "/>
    <m/>
    <m/>
    <n v="0.33333333333333331"/>
    <m/>
    <n v="0.33333333333333331"/>
    <m/>
    <m/>
    <m/>
    <m/>
    <n v="0.33333333333333331"/>
    <n v="0"/>
    <m/>
    <n v="11363.565104761905"/>
    <n v="0"/>
    <n v="11363.565104761905"/>
    <n v="0"/>
    <n v="0"/>
    <n v="0"/>
    <n v="0"/>
    <n v="11363.565104761905"/>
  </r>
  <r>
    <x v="5"/>
    <x v="5"/>
    <x v="10"/>
    <x v="8"/>
    <x v="18"/>
    <x v="10"/>
    <x v="25"/>
    <x v="23"/>
    <m/>
    <s v=""/>
    <s v="A3"/>
    <s v="Grade &amp; Re-Contour"/>
    <s v="A2"/>
    <s v="Site Works"/>
    <s v="Grade and Re-Contour"/>
    <s v="Grade and Contour"/>
    <s v="Laydown No. 4 - 2018 Work Plan"/>
    <m/>
    <n v="18000"/>
    <s v="m2"/>
    <n v="1.2689880937499998E-2"/>
    <n v="0.14624999999999999"/>
    <n v="1.2689880937499998"/>
    <n v="0.39654534577546297"/>
    <n v="1.8102953457754629"/>
    <n v="228.41785687499998"/>
    <n v="2632.5"/>
    <n v="22841.785687499996"/>
    <n v="7137.8162239583335"/>
    <n v="32585.316223958333"/>
    <n v="0"/>
    <n v="0"/>
    <n v="1"/>
    <n v="0"/>
    <n v="0"/>
    <n v="1"/>
    <n v="32585.316223958333"/>
    <n v="0"/>
    <n v="0"/>
    <n v="32585.316223958333"/>
    <s v="Type A  _x000a_2AM-MRY1325"/>
    <s v="Added"/>
    <n v="2018"/>
    <s v="Direct "/>
    <m/>
    <m/>
    <n v="0.33333333333333331"/>
    <n v="0.33333333333333331"/>
    <n v="0.33333333333333331"/>
    <m/>
    <m/>
    <m/>
    <m/>
    <m/>
    <n v="0"/>
    <m/>
    <n v="10861.772074652778"/>
    <n v="10861.772074652778"/>
    <n v="10861.772074652778"/>
    <n v="0"/>
    <n v="0"/>
    <n v="0"/>
    <n v="0"/>
    <n v="0"/>
  </r>
  <r>
    <x v="6"/>
    <x v="6"/>
    <x v="12"/>
    <x v="8"/>
    <x v="21"/>
    <x v="16"/>
    <x v="39"/>
    <x v="30"/>
    <m/>
    <s v="MO-"/>
    <s v="O1"/>
    <s v="Light Mobile Equipment"/>
    <s v="O1"/>
    <s v="Mobile Equipment"/>
    <s v="Light Mobile Equipment"/>
    <s v="3rd Party Equipment"/>
    <s v="2017 Sea Lift 3rd Party  Equipment in addition to addendum numbers"/>
    <m/>
    <n v="34"/>
    <s v="ea"/>
    <n v="6.666666666666667"/>
    <n v="25"/>
    <n v="666.08920634920639"/>
    <n v="250"/>
    <n v="941.08920634920639"/>
    <n v="226.66666666666669"/>
    <n v="850"/>
    <n v="22647.033015873018"/>
    <n v="8500"/>
    <n v="31997.033015873018"/>
    <n v="4"/>
    <n v="136"/>
    <n v="1"/>
    <n v="0"/>
    <n v="0"/>
    <n v="1"/>
    <n v="31997.033015873018"/>
    <n v="0"/>
    <n v="0"/>
    <n v="31997.033015873018"/>
    <s v="Type A  _x000a_2AM-MRY1325"/>
    <s v="Added"/>
    <s v="2018-R"/>
    <s v="Direct "/>
    <m/>
    <m/>
    <n v="0.33333333333333331"/>
    <m/>
    <n v="0.33333333333333331"/>
    <m/>
    <m/>
    <m/>
    <m/>
    <n v="0.33333333333333331"/>
    <n v="0"/>
    <m/>
    <n v="10665.677671957672"/>
    <n v="0"/>
    <n v="10665.677671957672"/>
    <n v="0"/>
    <n v="0"/>
    <n v="0"/>
    <n v="0"/>
    <n v="10665.677671957672"/>
  </r>
  <r>
    <x v="1"/>
    <x v="1"/>
    <x v="8"/>
    <x v="8"/>
    <x v="26"/>
    <x v="16"/>
    <x v="37"/>
    <x v="33"/>
    <m/>
    <s v="TK-"/>
    <s v="MT5-d"/>
    <s v="Medium Mobile Diesel Tanks (3000 L to 500k L)"/>
    <s v="MT5-d"/>
    <s v="Mechanical Equipment"/>
    <s v="Medium Mobile Diesel Tanks"/>
    <s v="3rd Party Contractor"/>
    <s v="TK Large Fuel Tank for Generators (22,500L)"/>
    <m/>
    <n v="3"/>
    <s v="ea"/>
    <n v="42.724999999999994"/>
    <n v="564.75"/>
    <n v="4268.7992011904762"/>
    <n v="5647.5"/>
    <n v="10481.049201190477"/>
    <n v="128.17499999999998"/>
    <n v="1694.25"/>
    <n v="12806.397603571429"/>
    <n v="16942.5"/>
    <n v="31443.147603571429"/>
    <n v="30"/>
    <n v="90"/>
    <n v="1"/>
    <n v="0"/>
    <n v="0"/>
    <n v="1"/>
    <n v="31443.147603571429"/>
    <n v="0"/>
    <n v="0"/>
    <n v="31443.147603571429"/>
    <s v="Type A  _x000a_2AM-MRY1325"/>
    <s v="Added"/>
    <n v="2018"/>
    <s v="Direct "/>
    <m/>
    <m/>
    <n v="0.33333333333333331"/>
    <m/>
    <n v="0.33333333333333331"/>
    <m/>
    <m/>
    <m/>
    <m/>
    <n v="0.33333333333333331"/>
    <n v="0"/>
    <m/>
    <n v="10481.049201190475"/>
    <n v="0"/>
    <n v="10481.049201190475"/>
    <n v="0"/>
    <n v="0"/>
    <n v="0"/>
    <n v="0"/>
    <n v="10481.049201190475"/>
  </r>
  <r>
    <x v="6"/>
    <x v="6"/>
    <x v="12"/>
    <x v="8"/>
    <x v="34"/>
    <x v="10"/>
    <x v="94"/>
    <x v="62"/>
    <m/>
    <s v=""/>
    <s v="A3"/>
    <s v="Grade &amp; Re-Contour"/>
    <s v="A2"/>
    <s v="Site Works"/>
    <s v="Grade and Re-Contour"/>
    <s v="Grade and Contour"/>
    <s v="QMR2 Quarry (additional marginal increase in 2018)"/>
    <m/>
    <n v="15625"/>
    <s v="m2"/>
    <n v="1.2689880937499998E-2"/>
    <n v="0.14624999999999999"/>
    <n v="1.2689880937499998"/>
    <n v="0.39654534577546297"/>
    <n v="1.8102953457754629"/>
    <n v="198.27938964843747"/>
    <n v="2285.15625"/>
    <n v="19827.938964843746"/>
    <n v="6196.021027741609"/>
    <n v="28309.116242585354"/>
    <n v="0"/>
    <n v="0"/>
    <n v="1"/>
    <n v="0"/>
    <n v="0"/>
    <n v="1"/>
    <n v="28309.116242585354"/>
    <n v="0"/>
    <n v="0"/>
    <n v="28309.116242585354"/>
    <s v="Type A  _x000a_2AM-MRY1325"/>
    <s v="Added"/>
    <n v="2018"/>
    <s v="Direct "/>
    <m/>
    <m/>
    <n v="0.5"/>
    <n v="0.5"/>
    <m/>
    <m/>
    <m/>
    <m/>
    <m/>
    <m/>
    <n v="0"/>
    <m/>
    <n v="14154.558121292677"/>
    <n v="14154.558121292677"/>
    <n v="0"/>
    <n v="0"/>
    <n v="0"/>
    <n v="0"/>
    <n v="0"/>
    <n v="0"/>
  </r>
  <r>
    <x v="1"/>
    <x v="1"/>
    <x v="3"/>
    <x v="3"/>
    <x v="5"/>
    <x v="4"/>
    <x v="20"/>
    <x v="17"/>
    <s v="317"/>
    <s v="MT-"/>
    <s v="MM1"/>
    <s v="Light Equimpent"/>
    <s v="MM1"/>
    <s v="Mechanical Equipment"/>
    <s v="Light Equipment"/>
    <s v="3rd Party Contractor"/>
    <s v="Light equipment 2017 Sea Lift"/>
    <m/>
    <n v="14"/>
    <s v="ea"/>
    <n v="8.1"/>
    <n v="106.5"/>
    <n v="809.29838571428581"/>
    <n v="1065"/>
    <n v="1980.7983857142858"/>
    <n v="113.39999999999999"/>
    <n v="1491"/>
    <n v="11330.1774"/>
    <n v="14910"/>
    <n v="27731.1774"/>
    <n v="0.5"/>
    <n v="7"/>
    <n v="1"/>
    <n v="0"/>
    <n v="0"/>
    <n v="1"/>
    <n v="27731.1774"/>
    <n v="0"/>
    <n v="0"/>
    <n v="27731.1774"/>
    <s v="Type A  _x000a_2AM-MRY1325"/>
    <s v="Added"/>
    <s v="2018-R"/>
    <s v="Direct "/>
    <m/>
    <m/>
    <n v="0.33333333333333331"/>
    <m/>
    <n v="0.33333333333333331"/>
    <m/>
    <m/>
    <m/>
    <m/>
    <n v="0.33333333333333331"/>
    <n v="0"/>
    <m/>
    <n v="9243.7258000000002"/>
    <n v="0"/>
    <n v="9243.7258000000002"/>
    <n v="0"/>
    <n v="0"/>
    <n v="0"/>
    <n v="0"/>
    <n v="9243.7258000000002"/>
  </r>
  <r>
    <x v="5"/>
    <x v="5"/>
    <x v="10"/>
    <x v="8"/>
    <x v="18"/>
    <x v="10"/>
    <x v="24"/>
    <x v="84"/>
    <m/>
    <s v=""/>
    <s v="A3"/>
    <s v="Grade &amp; Re-Contour"/>
    <s v="A2"/>
    <s v="Site Works"/>
    <s v="Grade and Re-Contour"/>
    <s v="Grade and Contour"/>
    <s v="Q5 Quarry"/>
    <m/>
    <n v="15000"/>
    <s v="m2"/>
    <n v="1.2689880937499998E-2"/>
    <n v="0.14624999999999999"/>
    <n v="1.2689880937499998"/>
    <n v="0.39654534577546297"/>
    <n v="1.8102953457754629"/>
    <n v="190.34821406249998"/>
    <n v="2193.75"/>
    <n v="19034.821406249997"/>
    <n v="5948.1801866319447"/>
    <n v="27176.751592881941"/>
    <n v="0"/>
    <n v="0"/>
    <n v="1"/>
    <n v="0"/>
    <n v="0"/>
    <n v="1"/>
    <n v="27176.751592881941"/>
    <n v="0"/>
    <n v="0"/>
    <n v="27176.751592881941"/>
    <s v="Type A  _x000a_2AM-MRY1325"/>
    <s v="Added "/>
    <n v="2018"/>
    <s v="Direct "/>
    <m/>
    <m/>
    <n v="0.5"/>
    <n v="0.5"/>
    <m/>
    <m/>
    <m/>
    <m/>
    <m/>
    <m/>
    <n v="0"/>
    <m/>
    <n v="13588.375796440971"/>
    <n v="13588.375796440971"/>
    <n v="0"/>
    <n v="0"/>
    <n v="0"/>
    <n v="0"/>
    <n v="0"/>
    <n v="0"/>
  </r>
  <r>
    <x v="5"/>
    <x v="5"/>
    <x v="10"/>
    <x v="8"/>
    <x v="18"/>
    <x v="10"/>
    <x v="24"/>
    <x v="85"/>
    <m/>
    <m/>
    <s v="A3"/>
    <s v="Grade &amp; Re-Contour"/>
    <s v="A2"/>
    <s v="Site Works"/>
    <s v="Grade and Re-Contour"/>
    <s v="Grade and Contour"/>
    <s v="Q13 Quarry"/>
    <m/>
    <n v="25000"/>
    <s v="m2"/>
    <n v="1.2689880937499998E-2"/>
    <n v="0.14624999999999999"/>
    <n v="1.2689880937499998"/>
    <n v="0.39654534577546297"/>
    <n v="1.8102953457754629"/>
    <n v="317.24702343749993"/>
    <n v="3656.25"/>
    <n v="31724.702343749996"/>
    <n v="9913.6336443865748"/>
    <n v="45257.383644386573"/>
    <n v="0"/>
    <n v="0"/>
    <n v="1"/>
    <n v="0"/>
    <n v="0"/>
    <n v="1"/>
    <n v="45257.383644386573"/>
    <n v="0"/>
    <n v="0"/>
    <n v="45257.383644386573"/>
    <s v="Type A  _x000a_2AM-MRY1325"/>
    <s v="Added"/>
    <s v="2017-A"/>
    <s v="Direct "/>
    <m/>
    <m/>
    <n v="0.5"/>
    <n v="0.5"/>
    <m/>
    <m/>
    <m/>
    <m/>
    <m/>
    <m/>
    <n v="0"/>
    <m/>
    <n v="22628.691822193286"/>
    <n v="22628.691822193286"/>
    <n v="0"/>
    <n v="0"/>
    <n v="0"/>
    <n v="0"/>
    <n v="0"/>
    <n v="0"/>
  </r>
  <r>
    <x v="5"/>
    <x v="5"/>
    <x v="10"/>
    <x v="8"/>
    <x v="18"/>
    <x v="10"/>
    <x v="25"/>
    <x v="23"/>
    <m/>
    <s v=""/>
    <s v="A3"/>
    <s v="Grade &amp; Re-Contour"/>
    <s v="A2"/>
    <s v="Site Works"/>
    <s v="Grade and Re-Contour"/>
    <s v="Grade and Contour"/>
    <s v="Laydown No. 3 - 2018 Work Plan"/>
    <m/>
    <n v="15000"/>
    <s v="m2"/>
    <n v="1.2689880937499998E-2"/>
    <n v="0.14624999999999999"/>
    <n v="1.2689880937499998"/>
    <n v="0.39654534577546297"/>
    <n v="1.8102953457754629"/>
    <n v="190.34821406249998"/>
    <n v="2193.75"/>
    <n v="19034.821406249997"/>
    <n v="5948.1801866319447"/>
    <n v="27154.430186631944"/>
    <n v="0"/>
    <n v="0"/>
    <n v="1"/>
    <n v="0"/>
    <n v="0"/>
    <n v="1"/>
    <n v="27154.430186631944"/>
    <n v="0"/>
    <n v="0"/>
    <n v="27154.430186631944"/>
    <s v="Type A  _x000a_2AM-MRY1325"/>
    <s v="Added"/>
    <n v="2018"/>
    <s v="Direct "/>
    <m/>
    <m/>
    <n v="0.33333333333333331"/>
    <n v="0.33333333333333331"/>
    <n v="0.33333333333333331"/>
    <m/>
    <m/>
    <m/>
    <m/>
    <m/>
    <n v="0"/>
    <m/>
    <n v="9051.4767288773146"/>
    <n v="9051.4767288773146"/>
    <n v="9051.4767288773146"/>
    <n v="0"/>
    <n v="0"/>
    <n v="0"/>
    <n v="0"/>
    <n v="0"/>
  </r>
  <r>
    <x v="5"/>
    <x v="5"/>
    <x v="10"/>
    <x v="8"/>
    <x v="18"/>
    <x v="10"/>
    <x v="25"/>
    <x v="23"/>
    <m/>
    <s v=""/>
    <s v="A3"/>
    <s v="Grade &amp; Re-Contour"/>
    <s v="A2"/>
    <s v="Site Works"/>
    <s v="Grade and Re-Contour"/>
    <s v="Grade and Contour"/>
    <s v="Laydown No. 11 - 2018 Work Plan"/>
    <m/>
    <n v="15000"/>
    <s v="m2"/>
    <n v="1.2689880937499998E-2"/>
    <n v="0.14624999999999999"/>
    <n v="1.2689880937499998"/>
    <n v="0.39654534577546297"/>
    <n v="1.8102953457754629"/>
    <n v="190.34821406249998"/>
    <n v="2193.75"/>
    <n v="19034.821406249997"/>
    <n v="5948.1801866319447"/>
    <n v="27154.430186631944"/>
    <n v="0"/>
    <n v="0"/>
    <n v="1"/>
    <n v="0"/>
    <n v="0"/>
    <n v="1"/>
    <n v="27154.430186631944"/>
    <n v="0"/>
    <n v="0"/>
    <n v="27154.430186631944"/>
    <s v="Type A  _x000a_2AM-MRY1325"/>
    <s v="Added"/>
    <n v="2018"/>
    <s v="Direct "/>
    <m/>
    <m/>
    <n v="0.33333333333333331"/>
    <n v="0.33333333333333331"/>
    <n v="0.33333333333333331"/>
    <m/>
    <m/>
    <m/>
    <m/>
    <m/>
    <n v="0"/>
    <m/>
    <n v="9051.4767288773146"/>
    <n v="9051.4767288773146"/>
    <n v="9051.4767288773146"/>
    <n v="0"/>
    <n v="0"/>
    <n v="0"/>
    <n v="0"/>
    <n v="0"/>
  </r>
  <r>
    <x v="1"/>
    <x v="1"/>
    <x v="3"/>
    <x v="3"/>
    <x v="3"/>
    <x v="3"/>
    <x v="3"/>
    <x v="3"/>
    <m/>
    <s v="BLD"/>
    <s v="FF1"/>
    <s v="Modular Building Not Contaminated (480 ft2)"/>
    <s v="FS"/>
    <s v="Buildings (Not Contaminated)"/>
    <s v="Prefabricated Special Modular"/>
    <m/>
    <s v="Offices, washcars (assume 12 units @  36 m2 per wash car)"/>
    <m/>
    <n v="432"/>
    <s v="m2"/>
    <n v="0.22416666666666665"/>
    <n v="3.3624999999999998"/>
    <n v="22.397249563492064"/>
    <n v="33.625"/>
    <n v="59.384749563492065"/>
    <n v="96.839999999999989"/>
    <n v="1452.6"/>
    <n v="9675.6118114285709"/>
    <n v="14526"/>
    <n v="25654.211811428569"/>
    <n v="1"/>
    <n v="432"/>
    <n v="1"/>
    <n v="0"/>
    <n v="0"/>
    <n v="1"/>
    <n v="25654.211811428569"/>
    <n v="0"/>
    <n v="0"/>
    <n v="25654.211811428569"/>
    <s v="Type A  _x000a_2AM-MRY1325"/>
    <s v="Added"/>
    <n v="2018"/>
    <s v="Direct "/>
    <m/>
    <m/>
    <n v="0.33333333333333331"/>
    <n v="0.33333333333333331"/>
    <n v="0.33333333333333331"/>
    <m/>
    <m/>
    <m/>
    <m/>
    <m/>
    <n v="0"/>
    <m/>
    <n v="8551.4039371428553"/>
    <n v="8551.4039371428553"/>
    <n v="8551.4039371428553"/>
    <n v="0"/>
    <n v="0"/>
    <n v="0"/>
    <n v="0"/>
    <n v="0"/>
  </r>
  <r>
    <x v="5"/>
    <x v="5"/>
    <x v="10"/>
    <x v="8"/>
    <x v="18"/>
    <x v="10"/>
    <x v="25"/>
    <x v="23"/>
    <m/>
    <s v=""/>
    <s v="A3"/>
    <s v="Grade &amp; Re-Contour"/>
    <s v="A2"/>
    <s v="Site Works"/>
    <s v="Grade and Re-Contour"/>
    <s v="Grade and Contour"/>
    <s v="Laydown No. 7 - 2018 Work Plan"/>
    <m/>
    <n v="14000"/>
    <s v="m2"/>
    <n v="1.2689880937499998E-2"/>
    <n v="0.14624999999999999"/>
    <n v="1.2689880937499998"/>
    <n v="0.39654534577546297"/>
    <n v="1.8102953457754629"/>
    <n v="177.65833312499998"/>
    <n v="2047.4999999999998"/>
    <n v="17765.833312499995"/>
    <n v="5551.6348408564818"/>
    <n v="25344.134840856481"/>
    <n v="0"/>
    <n v="0"/>
    <n v="1"/>
    <n v="0"/>
    <n v="0"/>
    <n v="1"/>
    <n v="25344.134840856481"/>
    <n v="0"/>
    <n v="0"/>
    <n v="25344.134840856481"/>
    <s v="Type A  _x000a_2AM-MRY1325"/>
    <s v="Added"/>
    <n v="2018"/>
    <s v="Direct "/>
    <m/>
    <m/>
    <n v="0.33333333333333331"/>
    <n v="0.33333333333333331"/>
    <n v="0.33333333333333331"/>
    <m/>
    <m/>
    <m/>
    <m/>
    <m/>
    <n v="0"/>
    <m/>
    <n v="8448.0449469521591"/>
    <n v="8448.0449469521591"/>
    <n v="8448.0449469521591"/>
    <n v="0"/>
    <n v="0"/>
    <n v="0"/>
    <n v="0"/>
    <n v="0"/>
  </r>
  <r>
    <x v="5"/>
    <x v="5"/>
    <x v="10"/>
    <x v="8"/>
    <x v="18"/>
    <x v="10"/>
    <x v="25"/>
    <x v="23"/>
    <m/>
    <s v=""/>
    <s v="A3"/>
    <s v="Grade &amp; Re-Contour"/>
    <s v="A2"/>
    <s v="Site Works"/>
    <s v="Grade and Re-Contour"/>
    <s v="Grade and Contour"/>
    <s v="Laydown No. 8 - 2018 Work Plan"/>
    <m/>
    <n v="14000"/>
    <s v="m2"/>
    <n v="1.2689880937499998E-2"/>
    <n v="0.14624999999999999"/>
    <n v="1.2689880937499998"/>
    <n v="0.39654534577546297"/>
    <n v="1.8102953457754629"/>
    <n v="177.65833312499998"/>
    <n v="2047.4999999999998"/>
    <n v="17765.833312499995"/>
    <n v="5551.6348408564818"/>
    <n v="25344.134840856481"/>
    <n v="0"/>
    <n v="0"/>
    <n v="1"/>
    <n v="0"/>
    <n v="0"/>
    <n v="1"/>
    <n v="25344.134840856481"/>
    <n v="0"/>
    <n v="0"/>
    <n v="25344.134840856481"/>
    <s v="Type A  _x000a_2AM-MRY1325"/>
    <s v="Added"/>
    <n v="2018"/>
    <s v="Direct "/>
    <m/>
    <m/>
    <n v="0.33333333333333331"/>
    <n v="0.33333333333333331"/>
    <n v="0.33333333333333331"/>
    <m/>
    <m/>
    <m/>
    <m/>
    <m/>
    <n v="0"/>
    <m/>
    <n v="8448.0449469521591"/>
    <n v="8448.0449469521591"/>
    <n v="8448.0449469521591"/>
    <n v="0"/>
    <n v="0"/>
    <n v="0"/>
    <n v="0"/>
    <n v="0"/>
  </r>
  <r>
    <x v="5"/>
    <x v="5"/>
    <x v="10"/>
    <x v="8"/>
    <x v="18"/>
    <x v="10"/>
    <x v="25"/>
    <x v="23"/>
    <m/>
    <s v=""/>
    <s v="A3"/>
    <s v="Grade &amp; Re-Contour"/>
    <s v="A2"/>
    <s v="Site Works"/>
    <s v="Grade and Re-Contour"/>
    <s v="Grade and Contour"/>
    <s v="Laydown No. 9 - 2018 Work Plan"/>
    <m/>
    <n v="14000"/>
    <s v="m2"/>
    <n v="1.2689880937499998E-2"/>
    <n v="0.14624999999999999"/>
    <n v="1.2689880937499998"/>
    <n v="0.39654534577546297"/>
    <n v="1.8102953457754629"/>
    <n v="177.65833312499998"/>
    <n v="2047.4999999999998"/>
    <n v="17765.833312499995"/>
    <n v="5551.6348408564818"/>
    <n v="25344.134840856481"/>
    <n v="0"/>
    <n v="0"/>
    <n v="0"/>
    <n v="1"/>
    <n v="0"/>
    <n v="1"/>
    <n v="0"/>
    <n v="25344.134840856481"/>
    <n v="0"/>
    <n v="25344.134840856481"/>
    <s v="Type A  _x000a_2AM-MRY1325"/>
    <s v="Added"/>
    <n v="2018"/>
    <s v="Direct "/>
    <m/>
    <m/>
    <n v="0.33333333333333331"/>
    <n v="0.33333333333333331"/>
    <n v="0.33333333333333331"/>
    <m/>
    <m/>
    <m/>
    <m/>
    <m/>
    <n v="0"/>
    <m/>
    <n v="8448.0449469521591"/>
    <n v="8448.0449469521591"/>
    <n v="8448.0449469521591"/>
    <n v="0"/>
    <n v="0"/>
    <n v="0"/>
    <n v="0"/>
    <n v="0"/>
  </r>
  <r>
    <x v="6"/>
    <x v="5"/>
    <x v="12"/>
    <x v="8"/>
    <x v="34"/>
    <x v="10"/>
    <x v="66"/>
    <x v="54"/>
    <m/>
    <m/>
    <s v="A3"/>
    <s v="Grade &amp; Re-Contour"/>
    <s v="A2"/>
    <s v="Site Works"/>
    <s v="Grade and Re-Contour"/>
    <s v="Grade and Contour"/>
    <s v="Realignment of service road adjacent to effluent discharge line"/>
    <m/>
    <n v="14000"/>
    <s v="m2"/>
    <n v="1.2689880937499998E-2"/>
    <n v="0.14624999999999999"/>
    <n v="1.2689880937499998"/>
    <n v="0.39654534577546297"/>
    <n v="1.8102953457754629"/>
    <n v="177.65833312499998"/>
    <n v="2047.4999999999998"/>
    <n v="17765.833312499995"/>
    <n v="5551.6348408564818"/>
    <n v="25344.134840856481"/>
    <n v="0"/>
    <n v="0"/>
    <n v="1"/>
    <n v="0"/>
    <n v="0"/>
    <n v="1"/>
    <n v="25344.134840856481"/>
    <n v="0"/>
    <n v="0"/>
    <n v="25344.134840856481"/>
    <s v="Type A  _x000a_2AM-MRY1325"/>
    <s v="Added"/>
    <n v="2018"/>
    <s v="Direct "/>
    <m/>
    <m/>
    <n v="0.33333333333333331"/>
    <n v="0.33333333333333331"/>
    <n v="0.33333333333333331"/>
    <m/>
    <m/>
    <m/>
    <m/>
    <m/>
    <n v="0"/>
    <m/>
    <n v="8448.0449469521591"/>
    <n v="8448.0449469521591"/>
    <n v="8448.0449469521591"/>
    <n v="0"/>
    <n v="0"/>
    <n v="0"/>
    <n v="0"/>
    <n v="0"/>
  </r>
  <r>
    <x v="1"/>
    <x v="1"/>
    <x v="8"/>
    <x v="8"/>
    <x v="12"/>
    <x v="10"/>
    <x v="19"/>
    <x v="16"/>
    <m/>
    <s v=""/>
    <s v="A3"/>
    <s v="Grade &amp; Re-Contour"/>
    <s v="A2"/>
    <s v="Site Works"/>
    <s v="Grade and Re-Contour"/>
    <s v="Grade and Contour"/>
    <s v="Milne Port Module Road 2018"/>
    <m/>
    <n v="13300"/>
    <s v="m2"/>
    <n v="1.2689880937499998E-2"/>
    <n v="0.14624999999999999"/>
    <n v="1.2689880937499998"/>
    <n v="0.39654534577546297"/>
    <n v="1.8102953457754629"/>
    <n v="168.77541646874997"/>
    <n v="1945.1249999999998"/>
    <n v="16877.541646874997"/>
    <n v="5274.053098813657"/>
    <n v="24096.719745688653"/>
    <n v="0"/>
    <n v="0"/>
    <n v="1"/>
    <n v="0"/>
    <n v="0"/>
    <n v="1"/>
    <n v="24096.719745688653"/>
    <n v="0"/>
    <n v="0"/>
    <n v="24096.719745688653"/>
    <s v="Type A  _x000a_2AM-MRY1325"/>
    <s v="Added"/>
    <n v="2018"/>
    <s v="Direct "/>
    <m/>
    <m/>
    <n v="0.33333333333333331"/>
    <n v="0.33333333333333331"/>
    <n v="0.33333333333333331"/>
    <m/>
    <m/>
    <m/>
    <m/>
    <m/>
    <n v="0"/>
    <m/>
    <n v="8032.2399152295511"/>
    <n v="8032.2399152295511"/>
    <n v="8032.2399152295511"/>
    <n v="0"/>
    <n v="0"/>
    <n v="0"/>
    <n v="0"/>
    <n v="0"/>
  </r>
  <r>
    <x v="6"/>
    <x v="6"/>
    <x v="13"/>
    <x v="2"/>
    <x v="40"/>
    <x v="19"/>
    <x v="95"/>
    <x v="86"/>
    <m/>
    <s v=""/>
    <s v="A3l"/>
    <s v="Grade &amp; Re-Contour with Liner"/>
    <s v="A3l"/>
    <s v="Site Works"/>
    <s v="Grade and Re-Contour With Liner"/>
    <m/>
    <s v="Crusher Pad Sedimentation Pond 2018"/>
    <m/>
    <n v="4500"/>
    <s v="m2"/>
    <n v="4.4489880937500004E-2"/>
    <n v="0.17804999999999999"/>
    <n v="4.4489880937499997"/>
    <n v="0.71454534577546303"/>
    <n v="5.3082953457754627"/>
    <n v="200.20446421875002"/>
    <n v="801.22499999999991"/>
    <n v="20020.446421875"/>
    <n v="3215.4540559895836"/>
    <n v="24037.125477864582"/>
    <n v="0"/>
    <n v="0"/>
    <n v="1"/>
    <n v="0"/>
    <n v="0"/>
    <n v="1"/>
    <n v="24037.125477864582"/>
    <n v="0"/>
    <n v="0"/>
    <n v="24037.125477864582"/>
    <s v="Type A  _x000a_2AM-MRY1325"/>
    <s v="Added"/>
    <n v="2018"/>
    <s v="Direct "/>
    <m/>
    <m/>
    <n v="0.33333333333333331"/>
    <n v="0.33333333333333331"/>
    <n v="0.33333333333333331"/>
    <m/>
    <m/>
    <m/>
    <m/>
    <m/>
    <n v="0"/>
    <m/>
    <n v="8012.3751592881936"/>
    <n v="8012.3751592881936"/>
    <n v="8012.3751592881936"/>
    <n v="0"/>
    <n v="0"/>
    <n v="0"/>
    <n v="0"/>
    <n v="0"/>
  </r>
  <r>
    <x v="1"/>
    <x v="1"/>
    <x v="8"/>
    <x v="8"/>
    <x v="12"/>
    <x v="10"/>
    <x v="19"/>
    <x v="16"/>
    <m/>
    <s v=""/>
    <s v="A3"/>
    <s v="Grade &amp; Re-Contour"/>
    <s v="A2"/>
    <s v="Site Works"/>
    <s v="Grade and Re-Contour"/>
    <s v="Grade and Contour"/>
    <s v="Laydown LP1"/>
    <m/>
    <n v="13000"/>
    <s v="m2"/>
    <n v="1.2689880937499998E-2"/>
    <n v="0.14624999999999999"/>
    <n v="1.2689880937499998"/>
    <n v="0.39654534577546297"/>
    <n v="1.8102953457754629"/>
    <n v="164.96845218749999"/>
    <n v="1901.2499999999998"/>
    <n v="16496.845218749997"/>
    <n v="5155.0894950810189"/>
    <n v="23553.184713831015"/>
    <n v="0"/>
    <n v="0"/>
    <n v="1"/>
    <n v="0"/>
    <n v="0"/>
    <n v="1"/>
    <n v="23553.184713831015"/>
    <n v="0"/>
    <n v="0"/>
    <n v="23553.184713831015"/>
    <s v="Type A  _x000a_2AM-MRY1325"/>
    <s v="Added"/>
    <n v="2018"/>
    <s v="Direct "/>
    <m/>
    <m/>
    <n v="0.33333333333333331"/>
    <n v="0.33333333333333331"/>
    <n v="0.33333333333333331"/>
    <m/>
    <m/>
    <m/>
    <m/>
    <m/>
    <n v="0"/>
    <m/>
    <n v="7851.061571277005"/>
    <n v="7851.061571277005"/>
    <n v="7851.061571277005"/>
    <n v="0"/>
    <n v="0"/>
    <n v="0"/>
    <n v="0"/>
    <n v="0"/>
  </r>
  <r>
    <x v="5"/>
    <x v="5"/>
    <x v="10"/>
    <x v="8"/>
    <x v="18"/>
    <x v="10"/>
    <x v="24"/>
    <x v="87"/>
    <m/>
    <m/>
    <s v="A3"/>
    <s v="Grade &amp; Re-Contour"/>
    <s v="A2"/>
    <s v="Site Works"/>
    <s v="Grade and Re-Contour"/>
    <s v="Grade and Contour"/>
    <s v="P10 Borrow Source"/>
    <m/>
    <n v="19344"/>
    <s v="m2"/>
    <n v="1.2689880937499998E-2"/>
    <n v="0.14624999999999999"/>
    <n v="1.2689880937499998"/>
    <n v="0.39654534577546297"/>
    <n v="1.8102953457754629"/>
    <n v="245.47305685499998"/>
    <n v="2829.06"/>
    <n v="24547.305685499996"/>
    <n v="7670.7731686805555"/>
    <n v="35018.353168680558"/>
    <n v="0"/>
    <n v="0"/>
    <n v="1"/>
    <n v="0"/>
    <n v="0"/>
    <n v="1"/>
    <n v="35018.353168680558"/>
    <n v="0"/>
    <n v="0"/>
    <n v="35018.353168680558"/>
    <s v="Type A  _x000a_2AM-MRY1325"/>
    <s v="Removed (2017)"/>
    <n v="2016"/>
    <s v="Direct "/>
    <m/>
    <m/>
    <n v="0.5"/>
    <n v="0.5"/>
    <m/>
    <m/>
    <m/>
    <m/>
    <m/>
    <m/>
    <n v="0"/>
    <m/>
    <n v="17509.176584340279"/>
    <n v="17509.176584340279"/>
    <n v="0"/>
    <n v="0"/>
    <n v="0"/>
    <n v="0"/>
    <n v="0"/>
    <n v="0"/>
  </r>
  <r>
    <x v="5"/>
    <x v="5"/>
    <x v="10"/>
    <x v="8"/>
    <x v="18"/>
    <x v="10"/>
    <x v="24"/>
    <x v="83"/>
    <m/>
    <m/>
    <s v="A3"/>
    <s v="Grade &amp; Re-Contour"/>
    <s v="A2"/>
    <s v="Site Works"/>
    <s v="Grade and Re-Contour"/>
    <s v="Grade and Contour"/>
    <s v="Q19 Quarry"/>
    <m/>
    <n v="18760"/>
    <s v="m2"/>
    <n v="1.2689880937499998E-2"/>
    <n v="0.14624999999999999"/>
    <n v="1.2689880937499998"/>
    <n v="0.39654534577546297"/>
    <n v="1.8102953457754629"/>
    <n v="238.06216638749996"/>
    <n v="2743.6499999999996"/>
    <n v="23806.216638749996"/>
    <n v="7439.1906867476855"/>
    <n v="33989.057325497684"/>
    <n v="0"/>
    <n v="0"/>
    <n v="1"/>
    <n v="0"/>
    <n v="0"/>
    <n v="1"/>
    <n v="33989.057325497684"/>
    <n v="0"/>
    <n v="0"/>
    <n v="33989.057325497684"/>
    <s v="Type A  _x000a_2AM-MRY1325"/>
    <s v="Check"/>
    <n v="2014"/>
    <s v="Direct "/>
    <m/>
    <m/>
    <n v="0.5"/>
    <n v="0.5"/>
    <m/>
    <m/>
    <m/>
    <m/>
    <m/>
    <m/>
    <n v="0"/>
    <m/>
    <n v="16994.528662748842"/>
    <n v="16994.528662748842"/>
    <n v="0"/>
    <n v="0"/>
    <n v="0"/>
    <n v="0"/>
    <n v="0"/>
    <n v="0"/>
  </r>
  <r>
    <x v="1"/>
    <x v="1"/>
    <x v="8"/>
    <x v="8"/>
    <x v="12"/>
    <x v="10"/>
    <x v="19"/>
    <x v="16"/>
    <m/>
    <s v=""/>
    <s v="A3"/>
    <s v="Grade &amp; Re-Contour"/>
    <s v="A2"/>
    <s v="Site Works"/>
    <s v="Grade and Re-Contour"/>
    <s v="Grade and Contour"/>
    <s v="Laydown LP4"/>
    <m/>
    <n v="13000"/>
    <s v="m2"/>
    <n v="1.2689880937499998E-2"/>
    <n v="0.14624999999999999"/>
    <n v="1.2689880937499998"/>
    <n v="0.39654534577546297"/>
    <n v="1.8102953457754629"/>
    <n v="164.96845218749999"/>
    <n v="1901.2499999999998"/>
    <n v="16496.845218749997"/>
    <n v="5155.0894950810189"/>
    <n v="23553.184713831015"/>
    <n v="0"/>
    <n v="0"/>
    <n v="1"/>
    <n v="0"/>
    <n v="0"/>
    <n v="1"/>
    <n v="23553.184713831015"/>
    <n v="0"/>
    <n v="0"/>
    <n v="23553.184713831015"/>
    <s v="Type A  _x000a_2AM-MRY1325"/>
    <s v="Added"/>
    <n v="2018"/>
    <s v="Direct "/>
    <m/>
    <m/>
    <n v="0.33333333333333331"/>
    <n v="0.33333333333333331"/>
    <n v="0.33333333333333331"/>
    <m/>
    <m/>
    <m/>
    <m/>
    <m/>
    <n v="0"/>
    <m/>
    <n v="7851.061571277005"/>
    <n v="7851.061571277005"/>
    <n v="7851.061571277005"/>
    <n v="0"/>
    <n v="0"/>
    <n v="0"/>
    <n v="0"/>
    <n v="0"/>
  </r>
  <r>
    <x v="5"/>
    <x v="5"/>
    <x v="10"/>
    <x v="8"/>
    <x v="18"/>
    <x v="10"/>
    <x v="24"/>
    <x v="83"/>
    <m/>
    <m/>
    <s v="A3"/>
    <s v="Grade &amp; Re-Contour"/>
    <s v="A2"/>
    <s v="Site Works"/>
    <s v="Grade and Re-Contour"/>
    <s v="Grade and Contour"/>
    <s v="Q9 Quarry"/>
    <m/>
    <n v="15166"/>
    <s v="m2"/>
    <n v="1.2689880937499998E-2"/>
    <n v="0.14624999999999999"/>
    <n v="1.2689880937499998"/>
    <n v="0.39654534577546297"/>
    <n v="1.8102953457754629"/>
    <n v="192.45473429812498"/>
    <n v="2218.0274999999997"/>
    <n v="19245.473429812497"/>
    <n v="6014.006714030671"/>
    <n v="27454.93921403067"/>
    <n v="0"/>
    <n v="0"/>
    <n v="1"/>
    <n v="0"/>
    <n v="0"/>
    <n v="1"/>
    <n v="27454.93921403067"/>
    <n v="0"/>
    <n v="0"/>
    <n v="27454.93921403067"/>
    <s v="Type A  _x000a_2AM-MRY1325"/>
    <s v="Removed (2017)"/>
    <n v="2016"/>
    <s v="Direct "/>
    <m/>
    <m/>
    <n v="0.5"/>
    <n v="0.5"/>
    <m/>
    <m/>
    <m/>
    <m/>
    <m/>
    <m/>
    <n v="0"/>
    <m/>
    <n v="13727.469607015335"/>
    <n v="13727.469607015335"/>
    <n v="0"/>
    <n v="0"/>
    <n v="0"/>
    <n v="0"/>
    <n v="0"/>
    <n v="0"/>
  </r>
  <r>
    <x v="1"/>
    <x v="1"/>
    <x v="8"/>
    <x v="8"/>
    <x v="12"/>
    <x v="10"/>
    <x v="19"/>
    <x v="16"/>
    <m/>
    <s v=""/>
    <s v="A3"/>
    <s v="Grade &amp; Re-Contour"/>
    <s v="A2"/>
    <s v="Site Works"/>
    <s v="Grade and Re-Contour"/>
    <s v="Grade and Contour"/>
    <s v="Milne Port Haul Road 2018"/>
    <m/>
    <n v="12000"/>
    <s v="m2"/>
    <n v="1.2689880937499998E-2"/>
    <n v="0.14624999999999999"/>
    <n v="1.2689880937499998"/>
    <n v="0.39654534577546297"/>
    <n v="1.8102953457754629"/>
    <n v="152.27857124999997"/>
    <n v="1755"/>
    <n v="15227.857124999997"/>
    <n v="4758.5441493055559"/>
    <n v="21741.40127430555"/>
    <n v="0"/>
    <n v="0"/>
    <n v="1"/>
    <n v="0"/>
    <n v="0"/>
    <n v="1"/>
    <n v="21741.40127430555"/>
    <n v="0"/>
    <n v="0"/>
    <n v="21741.40127430555"/>
    <s v="Type A  _x000a_2AM-MRY1325"/>
    <s v="Added"/>
    <n v="2018"/>
    <s v="Direct "/>
    <m/>
    <m/>
    <n v="0.33333333333333331"/>
    <n v="0.33333333333333331"/>
    <n v="0.33333333333333331"/>
    <m/>
    <m/>
    <m/>
    <m/>
    <m/>
    <n v="0"/>
    <m/>
    <n v="7247.1337581018497"/>
    <n v="7247.1337581018497"/>
    <n v="7247.1337581018497"/>
    <n v="0"/>
    <n v="0"/>
    <n v="0"/>
    <n v="0"/>
    <n v="0"/>
  </r>
  <r>
    <x v="6"/>
    <x v="6"/>
    <x v="12"/>
    <x v="8"/>
    <x v="41"/>
    <x v="16"/>
    <x v="96"/>
    <x v="33"/>
    <m/>
    <s v="TK-"/>
    <s v="MT5-d"/>
    <s v="Medium Mobile Diesel Tanks (3000 L to 500k L)"/>
    <s v="MT5-d"/>
    <s v="Mechanical Equipment"/>
    <s v="Medium Mobile Diesel Tanks"/>
    <s v="3rd Party Contractor"/>
    <s v="Gas Tank 50,000L"/>
    <m/>
    <n v="2"/>
    <s v="ea"/>
    <n v="42.724999999999994"/>
    <n v="564.75"/>
    <n v="4268.7992011904762"/>
    <n v="5647.5"/>
    <n v="10481.049201190477"/>
    <n v="85.449999999999989"/>
    <n v="1129.5"/>
    <n v="8537.5984023809524"/>
    <n v="11295"/>
    <n v="20962.098402380951"/>
    <n v="30"/>
    <n v="60"/>
    <n v="1"/>
    <n v="0"/>
    <n v="0"/>
    <n v="1"/>
    <n v="20962.098402380951"/>
    <n v="0"/>
    <n v="0"/>
    <n v="20962.098402380951"/>
    <s v="Type A  _x000a_2AM-MRY1325"/>
    <s v="Added"/>
    <n v="2018"/>
    <s v="Direct "/>
    <m/>
    <m/>
    <n v="0.33333333333333331"/>
    <m/>
    <n v="0.33333333333333331"/>
    <m/>
    <m/>
    <m/>
    <m/>
    <n v="0.33333333333333331"/>
    <n v="0"/>
    <m/>
    <n v="6987.3661341269835"/>
    <n v="0"/>
    <n v="6987.3661341269835"/>
    <n v="0"/>
    <n v="0"/>
    <n v="0"/>
    <n v="0"/>
    <n v="6987.3661341269835"/>
  </r>
  <r>
    <x v="1"/>
    <x v="1"/>
    <x v="3"/>
    <x v="3"/>
    <x v="5"/>
    <x v="4"/>
    <x v="20"/>
    <x v="17"/>
    <m/>
    <s v="LE-"/>
    <s v="MM1"/>
    <s v="Light Equimpent"/>
    <s v="MM1"/>
    <s v="Mechanical Equipment"/>
    <s v="Light Equipment"/>
    <s v="3rd party Equipment"/>
    <s v="Power Pack 5/10 gallon per minute"/>
    <m/>
    <n v="10"/>
    <s v="ea"/>
    <n v="8.1"/>
    <n v="106.5"/>
    <n v="809.29838571428581"/>
    <n v="1065"/>
    <n v="1980.7983857142858"/>
    <n v="81"/>
    <n v="1065"/>
    <n v="8092.9838571428581"/>
    <n v="10650"/>
    <n v="19807.983857142859"/>
    <n v="0.5"/>
    <n v="5"/>
    <n v="1"/>
    <n v="0"/>
    <n v="0"/>
    <n v="1"/>
    <n v="19807.983857142859"/>
    <n v="0"/>
    <n v="0"/>
    <n v="19807.983857142859"/>
    <s v="Type A  _x000a_2AM-MRY1325"/>
    <s v="Added"/>
    <n v="2018"/>
    <s v="Direct "/>
    <m/>
    <m/>
    <n v="0.33333333333333331"/>
    <m/>
    <n v="0.33333333333333331"/>
    <m/>
    <m/>
    <m/>
    <m/>
    <n v="0.33333333333333331"/>
    <n v="0"/>
    <m/>
    <n v="6602.6612857142864"/>
    <n v="0"/>
    <n v="6602.6612857142864"/>
    <n v="0"/>
    <n v="0"/>
    <n v="0"/>
    <n v="0"/>
    <n v="6602.6612857142864"/>
  </r>
  <r>
    <x v="1"/>
    <x v="1"/>
    <x v="8"/>
    <x v="8"/>
    <x v="12"/>
    <x v="10"/>
    <x v="19"/>
    <x v="16"/>
    <m/>
    <s v=""/>
    <s v="Cu"/>
    <s v="Culvert Removal"/>
    <s v="cu"/>
    <s v="Site Works"/>
    <s v="Culvert Removal"/>
    <m/>
    <s v="Culverts - IOL"/>
    <m/>
    <n v="17"/>
    <s v="ea"/>
    <n v="6"/>
    <n v="45"/>
    <n v="599.48028571428574"/>
    <n v="450"/>
    <n v="1094.4802857142859"/>
    <n v="102"/>
    <n v="765"/>
    <n v="10191.164857142858"/>
    <n v="7650"/>
    <n v="18606.16485714286"/>
    <n v="0"/>
    <n v="0"/>
    <n v="1"/>
    <n v="0"/>
    <n v="0"/>
    <n v="1"/>
    <n v="18606.16485714286"/>
    <n v="0"/>
    <n v="0"/>
    <n v="18606.16485714286"/>
    <s v="Type A  _x000a_2AM-MRY1325"/>
    <s v="Added"/>
    <n v="2018"/>
    <s v="Direct "/>
    <m/>
    <m/>
    <m/>
    <n v="0.5"/>
    <n v="0.5"/>
    <m/>
    <m/>
    <m/>
    <m/>
    <m/>
    <n v="0"/>
    <m/>
    <n v="0"/>
    <n v="9303.0824285714298"/>
    <n v="9303.0824285714298"/>
    <n v="0"/>
    <n v="0"/>
    <n v="0"/>
    <n v="0"/>
    <n v="0"/>
  </r>
  <r>
    <x v="1"/>
    <x v="1"/>
    <x v="8"/>
    <x v="8"/>
    <x v="26"/>
    <x v="16"/>
    <x v="37"/>
    <x v="33"/>
    <m/>
    <s v="TK-"/>
    <s v="MT1-d"/>
    <s v="Light Diesel (Day tanks 10,000L to 20,000L)"/>
    <s v="MT1-d"/>
    <s v="Mechanical Equipment"/>
    <s v="Light Diesel Tanks"/>
    <m/>
    <s v="2017 - Diesel tanks on sea lift"/>
    <m/>
    <n v="5"/>
    <s v="ea"/>
    <n v="15.5"/>
    <n v="195"/>
    <n v="1548.6574047619049"/>
    <n v="1950"/>
    <n v="3693.6574047619051"/>
    <n v="77.5"/>
    <n v="975"/>
    <n v="7743.2870238095247"/>
    <n v="9750"/>
    <n v="18468.287023809524"/>
    <n v="20"/>
    <n v="100"/>
    <n v="1"/>
    <n v="0"/>
    <n v="0"/>
    <n v="1"/>
    <n v="18468.287023809524"/>
    <n v="0"/>
    <n v="0"/>
    <n v="18468.287023809524"/>
    <s v="Type A  _x000a_2AM-MRY1325"/>
    <s v="Added"/>
    <s v="2018-R"/>
    <s v="Direct "/>
    <m/>
    <m/>
    <n v="0.5"/>
    <n v="0.5"/>
    <m/>
    <m/>
    <m/>
    <m/>
    <m/>
    <m/>
    <n v="0"/>
    <m/>
    <n v="9234.1435119047619"/>
    <n v="9234.1435119047619"/>
    <n v="0"/>
    <n v="0"/>
    <n v="0"/>
    <n v="0"/>
    <n v="0"/>
    <n v="0"/>
  </r>
  <r>
    <x v="5"/>
    <x v="5"/>
    <x v="10"/>
    <x v="8"/>
    <x v="18"/>
    <x v="10"/>
    <x v="25"/>
    <x v="23"/>
    <m/>
    <s v=""/>
    <s v="A3"/>
    <s v="Grade &amp; Re-Contour"/>
    <s v="A2"/>
    <s v="Site Works"/>
    <s v="Grade and Re-Contour"/>
    <s v="Grade and Contour"/>
    <s v="Laydown No. 5 - 2018 Work Plan"/>
    <m/>
    <n v="10000"/>
    <s v="m2"/>
    <n v="1.2689880937499998E-2"/>
    <n v="0.14624999999999999"/>
    <n v="1.2689880937499998"/>
    <n v="0.39654534577546297"/>
    <n v="1.8102953457754629"/>
    <n v="126.89880937499998"/>
    <n v="1462.5"/>
    <n v="12689.880937499998"/>
    <n v="3965.4534577546297"/>
    <n v="18102.953457754629"/>
    <n v="0"/>
    <n v="0"/>
    <n v="1"/>
    <n v="0"/>
    <n v="0"/>
    <n v="1"/>
    <n v="18102.953457754629"/>
    <n v="0"/>
    <n v="0"/>
    <n v="18102.953457754629"/>
    <s v="Type A  _x000a_2AM-MRY1325"/>
    <s v="Added"/>
    <n v="2018"/>
    <s v="Direct "/>
    <m/>
    <m/>
    <n v="0.33333333333333331"/>
    <n v="0.33333333333333331"/>
    <n v="0.33333333333333331"/>
    <m/>
    <m/>
    <m/>
    <m/>
    <m/>
    <n v="0"/>
    <m/>
    <n v="6034.3178192515425"/>
    <n v="6034.3178192515425"/>
    <n v="6034.3178192515425"/>
    <n v="0"/>
    <n v="0"/>
    <n v="0"/>
    <n v="0"/>
    <n v="0"/>
  </r>
  <r>
    <x v="5"/>
    <x v="5"/>
    <x v="10"/>
    <x v="8"/>
    <x v="18"/>
    <x v="10"/>
    <x v="24"/>
    <x v="88"/>
    <m/>
    <m/>
    <s v="A3"/>
    <s v="Grade &amp; Re-Contour"/>
    <s v="A2"/>
    <s v="Site Works"/>
    <s v="Grade and Re-Contour"/>
    <s v="Grade and Contour"/>
    <s v="Q14 Quarry"/>
    <m/>
    <n v="13440"/>
    <s v="m2"/>
    <n v="1.2689880937499998E-2"/>
    <n v="0.14624999999999999"/>
    <n v="1.2689880937499998"/>
    <n v="0.39654534577546297"/>
    <n v="1.8102953457754629"/>
    <n v="170.55199979999998"/>
    <n v="1965.6"/>
    <n v="17055.199979999998"/>
    <n v="5329.5694472222222"/>
    <n v="24330.369447222223"/>
    <n v="0"/>
    <n v="0"/>
    <n v="1"/>
    <n v="0"/>
    <n v="0"/>
    <n v="1"/>
    <n v="24330.369447222223"/>
    <n v="0"/>
    <n v="0"/>
    <n v="24330.369447222223"/>
    <s v="Type A  _x000a_2AM-MRY1325"/>
    <s v="Removed (2017)"/>
    <n v="2016"/>
    <s v="Direct "/>
    <m/>
    <m/>
    <n v="0.5"/>
    <n v="0.5"/>
    <m/>
    <m/>
    <m/>
    <m/>
    <m/>
    <m/>
    <n v="0"/>
    <m/>
    <n v="12165.184723611112"/>
    <n v="12165.184723611112"/>
    <n v="0"/>
    <n v="0"/>
    <n v="0"/>
    <n v="0"/>
    <n v="0"/>
    <n v="0"/>
  </r>
  <r>
    <x v="5"/>
    <x v="5"/>
    <x v="10"/>
    <x v="8"/>
    <x v="18"/>
    <x v="10"/>
    <x v="97"/>
    <x v="89"/>
    <m/>
    <m/>
    <s v="A3"/>
    <s v="Grade &amp; Re-Contour"/>
    <s v="A9"/>
    <s v="Site Works"/>
    <s v="Grade and Re-Contour Building Footprints"/>
    <m/>
    <s v="Grade and Re-Contour Building Footprints"/>
    <m/>
    <n v="13040"/>
    <s v="m2"/>
    <n v="1.2689880937499998E-2"/>
    <n v="0.14624999999999999"/>
    <n v="1.2689880937499998"/>
    <n v="0.39654534577546297"/>
    <n v="1.8102953457754629"/>
    <n v="165.47604742499999"/>
    <n v="1907.1"/>
    <n v="16547.604742499996"/>
    <n v="5170.9513089120373"/>
    <n v="23625.656051412032"/>
    <n v="0"/>
    <n v="0"/>
    <n v="1"/>
    <n v="0"/>
    <n v="0"/>
    <n v="1"/>
    <n v="23625.656051412032"/>
    <n v="0"/>
    <n v="0"/>
    <n v="23625.656051412032"/>
    <s v="Type A  _x000a_2AM-MRY1325"/>
    <m/>
    <n v="2014"/>
    <s v="Direct "/>
    <m/>
    <m/>
    <n v="0.33333333333333331"/>
    <n v="0.33333333333333331"/>
    <n v="0.33333333333333331"/>
    <m/>
    <m/>
    <m/>
    <m/>
    <m/>
    <n v="0"/>
    <m/>
    <n v="7875.2186838040107"/>
    <n v="7875.2186838040107"/>
    <n v="7875.2186838040107"/>
    <n v="0"/>
    <n v="0"/>
    <n v="0"/>
    <n v="0"/>
    <n v="0"/>
  </r>
  <r>
    <x v="5"/>
    <x v="5"/>
    <x v="10"/>
    <x v="8"/>
    <x v="18"/>
    <x v="10"/>
    <x v="28"/>
    <x v="24"/>
    <m/>
    <s v="BLD"/>
    <s v="CS"/>
    <s v="Slab on Grade - ASSUME 300mm thick"/>
    <s v="CS"/>
    <s v="Flooring / Foundations"/>
    <s v="Slab on Grade"/>
    <m/>
    <s v="Mobile Maintenance Depot - Demolish floor finish - Slab on grade C/W Drainage"/>
    <m/>
    <n v="682"/>
    <s v="m2"/>
    <n v="0.125"/>
    <n v="1.875"/>
    <n v="12.48917261904762"/>
    <n v="18.75"/>
    <n v="33.114172619047622"/>
    <n v="85.25"/>
    <n v="1278.75"/>
    <n v="8517.6157261904773"/>
    <n v="12787.5"/>
    <n v="22583.865726190477"/>
    <n v="0"/>
    <n v="0"/>
    <n v="0"/>
    <n v="1"/>
    <n v="0"/>
    <n v="1"/>
    <n v="0"/>
    <n v="22583.865726190477"/>
    <n v="0"/>
    <n v="22583.865726190477"/>
    <s v="Type A  _x000a_2AM-MRY1325"/>
    <s v="Added"/>
    <n v="2016"/>
    <s v="Direct "/>
    <m/>
    <m/>
    <n v="0.33333333333333331"/>
    <n v="0.33333333333333331"/>
    <n v="0.33333333333333331"/>
    <m/>
    <m/>
    <m/>
    <m/>
    <m/>
    <n v="0"/>
    <m/>
    <n v="7527.9552420634918"/>
    <n v="7527.9552420634918"/>
    <n v="7527.9552420634918"/>
    <n v="0"/>
    <n v="0"/>
    <n v="0"/>
    <n v="0"/>
    <n v="0"/>
  </r>
  <r>
    <x v="5"/>
    <x v="5"/>
    <x v="10"/>
    <x v="8"/>
    <x v="18"/>
    <x v="10"/>
    <x v="24"/>
    <x v="90"/>
    <m/>
    <m/>
    <s v="A3"/>
    <s v="Grade &amp; Re-Contour"/>
    <s v="A2"/>
    <s v="Site Works"/>
    <s v="Grade and Re-Contour"/>
    <s v="Grade and Contour"/>
    <s v="Q16A Quarry"/>
    <m/>
    <n v="11240"/>
    <s v="m2"/>
    <n v="1.2689880937499998E-2"/>
    <n v="0.14624999999999999"/>
    <n v="1.2689880937499998"/>
    <n v="0.39654534577546297"/>
    <n v="1.8102953457754629"/>
    <n v="142.63426173749997"/>
    <n v="1643.85"/>
    <n v="14263.426173749998"/>
    <n v="4457.1696865162039"/>
    <n v="20347.719686516204"/>
    <n v="0"/>
    <n v="0"/>
    <n v="1"/>
    <n v="0"/>
    <n v="0"/>
    <n v="1"/>
    <n v="20347.719686516204"/>
    <n v="0"/>
    <n v="0"/>
    <n v="20347.719686516204"/>
    <s v="Type A  _x000a_2AM-MRY1325"/>
    <s v="Added"/>
    <n v="2016"/>
    <s v="Direct "/>
    <m/>
    <m/>
    <n v="0.5"/>
    <n v="0.5"/>
    <m/>
    <m/>
    <m/>
    <m/>
    <m/>
    <m/>
    <n v="0"/>
    <m/>
    <n v="10173.859843258102"/>
    <n v="10173.859843258102"/>
    <n v="0"/>
    <n v="0"/>
    <n v="0"/>
    <n v="0"/>
    <n v="0"/>
    <n v="0"/>
  </r>
  <r>
    <x v="5"/>
    <x v="5"/>
    <x v="10"/>
    <x v="8"/>
    <x v="18"/>
    <x v="10"/>
    <x v="24"/>
    <x v="91"/>
    <m/>
    <m/>
    <s v="A3"/>
    <s v="Grade &amp; Re-Contour"/>
    <s v="A2"/>
    <s v="Site Works"/>
    <s v="Grade and Re-Contour"/>
    <s v="Grade and Contour"/>
    <s v="Q15 Quarry"/>
    <m/>
    <n v="10680"/>
    <s v="m2"/>
    <n v="1.2689880937499998E-2"/>
    <n v="0.14624999999999999"/>
    <n v="1.2689880937499998"/>
    <n v="0.39654534577546297"/>
    <n v="1.8102953457754629"/>
    <n v="135.52792841249999"/>
    <n v="1561.9499999999998"/>
    <n v="13552.792841249997"/>
    <n v="4235.1042928819443"/>
    <n v="19333.954292881943"/>
    <n v="0"/>
    <n v="0"/>
    <n v="1"/>
    <n v="0"/>
    <n v="0"/>
    <n v="1"/>
    <n v="19333.954292881943"/>
    <n v="0"/>
    <n v="0"/>
    <n v="19333.954292881943"/>
    <s v="Type A  _x000a_2AM-MRY1325"/>
    <s v="Removed (2017)"/>
    <n v="2016"/>
    <s v="Direct "/>
    <m/>
    <m/>
    <n v="0.5"/>
    <n v="0.5"/>
    <m/>
    <m/>
    <m/>
    <m/>
    <m/>
    <m/>
    <n v="0"/>
    <m/>
    <n v="9666.9771464409714"/>
    <n v="9666.9771464409714"/>
    <n v="0"/>
    <n v="0"/>
    <n v="0"/>
    <n v="0"/>
    <n v="0"/>
    <n v="0"/>
  </r>
  <r>
    <x v="5"/>
    <x v="5"/>
    <x v="10"/>
    <x v="8"/>
    <x v="18"/>
    <x v="10"/>
    <x v="25"/>
    <x v="23"/>
    <m/>
    <s v=""/>
    <s v="A3"/>
    <s v="Grade &amp; Re-Contour"/>
    <s v="A2"/>
    <s v="Site Works"/>
    <s v="Grade and Re-Contour"/>
    <s v="Grade and Contour"/>
    <s v="Laydown No. 6 - 2018 Work Plan"/>
    <m/>
    <n v="10000"/>
    <s v="m2"/>
    <n v="1.2689880937499998E-2"/>
    <n v="0.14624999999999999"/>
    <n v="1.2689880937499998"/>
    <n v="0.39654534577546297"/>
    <n v="1.8102953457754629"/>
    <n v="126.89880937499998"/>
    <n v="1462.5"/>
    <n v="12689.880937499998"/>
    <n v="3965.4534577546297"/>
    <n v="18102.953457754629"/>
    <n v="0"/>
    <n v="0"/>
    <n v="1"/>
    <n v="0"/>
    <n v="0"/>
    <n v="1"/>
    <n v="18102.953457754629"/>
    <n v="0"/>
    <n v="0"/>
    <n v="18102.953457754629"/>
    <s v="Type A  _x000a_2AM-MRY1325"/>
    <s v="Added"/>
    <n v="2018"/>
    <s v="Direct "/>
    <m/>
    <m/>
    <n v="0.33333333333333331"/>
    <n v="0.33333333333333331"/>
    <n v="0.33333333333333331"/>
    <m/>
    <m/>
    <m/>
    <m/>
    <m/>
    <n v="0"/>
    <m/>
    <n v="6034.3178192515425"/>
    <n v="6034.3178192515425"/>
    <n v="6034.3178192515425"/>
    <n v="0"/>
    <n v="0"/>
    <n v="0"/>
    <n v="0"/>
    <n v="0"/>
  </r>
  <r>
    <x v="5"/>
    <x v="5"/>
    <x v="10"/>
    <x v="8"/>
    <x v="18"/>
    <x v="10"/>
    <x v="25"/>
    <x v="23"/>
    <m/>
    <s v=""/>
    <s v="A3"/>
    <s v="Grade &amp; Re-Contour"/>
    <s v="A2"/>
    <s v="Site Works"/>
    <s v="Grade and Re-Contour"/>
    <s v="Grade and Contour"/>
    <s v="Laydown Pad development - KM48 Explosives Magazine"/>
    <m/>
    <n v="10000"/>
    <s v="m2"/>
    <n v="1.2689880937499998E-2"/>
    <n v="0.14624999999999999"/>
    <n v="1.2689880937499998"/>
    <n v="0.39654534577546297"/>
    <n v="1.8102953457754629"/>
    <n v="126.89880937499998"/>
    <n v="1462.5"/>
    <n v="12689.880937499998"/>
    <n v="3965.4534577546297"/>
    <n v="18102.953457754629"/>
    <n v="0"/>
    <n v="0"/>
    <n v="1"/>
    <n v="0"/>
    <n v="0"/>
    <n v="1"/>
    <n v="18102.953457754629"/>
    <n v="0"/>
    <n v="0"/>
    <n v="18102.953457754629"/>
    <s v="Type A  _x000a_2AM-MRY1325"/>
    <s v="Added"/>
    <n v="2018"/>
    <s v="Direct "/>
    <m/>
    <m/>
    <n v="0.33333333333333331"/>
    <n v="0.33333333333333331"/>
    <n v="0.33333333333333331"/>
    <m/>
    <m/>
    <m/>
    <m/>
    <m/>
    <n v="0"/>
    <m/>
    <n v="6034.3178192515425"/>
    <n v="6034.3178192515425"/>
    <n v="6034.3178192515425"/>
    <n v="0"/>
    <n v="0"/>
    <n v="0"/>
    <n v="0"/>
    <n v="0"/>
  </r>
  <r>
    <x v="1"/>
    <x v="1"/>
    <x v="8"/>
    <x v="8"/>
    <x v="12"/>
    <x v="10"/>
    <x v="19"/>
    <x v="16"/>
    <m/>
    <s v=""/>
    <s v="A3"/>
    <s v="Grade &amp; Re-Contour"/>
    <s v="A2"/>
    <s v="Site Works"/>
    <s v="Grade and Re-Contour"/>
    <s v="Grade and Contour"/>
    <s v="Milne Port Surface Water Management Diversion Berms &amp; Ditching"/>
    <m/>
    <n v="9500"/>
    <s v="m2"/>
    <n v="1.2689880937499998E-2"/>
    <n v="0.14624999999999999"/>
    <n v="1.2689880937499998"/>
    <n v="0.39654534577546297"/>
    <n v="1.8102953457754629"/>
    <n v="120.55386890624999"/>
    <n v="1389.375"/>
    <n v="12055.386890624997"/>
    <n v="3767.1807848668982"/>
    <n v="17211.942675491897"/>
    <n v="0"/>
    <n v="0"/>
    <n v="1"/>
    <n v="0"/>
    <n v="0"/>
    <n v="1"/>
    <n v="17211.942675491897"/>
    <n v="0"/>
    <n v="0"/>
    <n v="17211.942675491897"/>
    <s v="Type A  _x000a_2AM-MRY1325"/>
    <s v="Added"/>
    <n v="2018"/>
    <s v="Direct "/>
    <m/>
    <m/>
    <n v="0.33333333333333331"/>
    <n v="0.33333333333333331"/>
    <n v="0.33333333333333331"/>
    <m/>
    <m/>
    <m/>
    <m/>
    <m/>
    <n v="0"/>
    <m/>
    <n v="5737.3142251639656"/>
    <n v="5737.3142251639656"/>
    <n v="5737.3142251639656"/>
    <n v="0"/>
    <n v="0"/>
    <n v="0"/>
    <n v="0"/>
    <n v="0"/>
  </r>
  <r>
    <x v="1"/>
    <x v="1"/>
    <x v="3"/>
    <x v="3"/>
    <x v="5"/>
    <x v="4"/>
    <x v="20"/>
    <x v="17"/>
    <s v="302"/>
    <s v="SQ-"/>
    <s v="MM2"/>
    <s v="Medium Equipment"/>
    <s v="MM2"/>
    <s v="Mechanical Equipment"/>
    <s v="Medium Equipment"/>
    <s v="3rd party Equipment"/>
    <s v="Diesel Generator +/- 15-20kw "/>
    <m/>
    <n v="4"/>
    <s v="ea"/>
    <n v="19.2"/>
    <n v="213"/>
    <n v="1918.3369142857146"/>
    <n v="2130"/>
    <n v="4261.3369142857146"/>
    <n v="76.8"/>
    <n v="852"/>
    <n v="7673.3476571428582"/>
    <n v="8520"/>
    <n v="17045.347657142858"/>
    <n v="1"/>
    <n v="4"/>
    <n v="1"/>
    <n v="0"/>
    <n v="0"/>
    <n v="1"/>
    <n v="17045.347657142858"/>
    <n v="0"/>
    <n v="0"/>
    <n v="17045.347657142858"/>
    <s v="Type A  _x000a_2AM-MRY1325"/>
    <s v="Added"/>
    <n v="2018"/>
    <s v="Direct "/>
    <m/>
    <m/>
    <n v="0.33333333333333331"/>
    <m/>
    <n v="0.33333333333333331"/>
    <m/>
    <m/>
    <m/>
    <m/>
    <n v="0.33333333333333331"/>
    <n v="0"/>
    <m/>
    <n v="5681.7825523809524"/>
    <n v="0"/>
    <n v="5681.7825523809524"/>
    <n v="0"/>
    <n v="0"/>
    <n v="0"/>
    <n v="0"/>
    <n v="5681.7825523809524"/>
  </r>
  <r>
    <x v="5"/>
    <x v="5"/>
    <x v="10"/>
    <x v="8"/>
    <x v="18"/>
    <x v="10"/>
    <x v="24"/>
    <x v="92"/>
    <m/>
    <m/>
    <s v="A3"/>
    <s v="Grade &amp; Re-Contour"/>
    <s v="A2"/>
    <s v="Site Works"/>
    <s v="Grade and Re-Contour"/>
    <s v="Grade and Contour"/>
    <s v="P13 Borrow Source"/>
    <m/>
    <n v="8456"/>
    <s v="m2"/>
    <n v="1.2689880937499998E-2"/>
    <n v="0.14624999999999999"/>
    <n v="1.2689880937499998"/>
    <n v="0.39654534577546297"/>
    <n v="1.8102953457754629"/>
    <n v="107.30563320749998"/>
    <n v="1236.6899999999998"/>
    <n v="10730.563320749998"/>
    <n v="3353.1874438773148"/>
    <n v="15307.857443877314"/>
    <n v="0"/>
    <n v="0"/>
    <n v="1"/>
    <n v="0"/>
    <n v="0"/>
    <n v="1"/>
    <n v="15307.857443877314"/>
    <n v="0"/>
    <n v="0"/>
    <n v="15307.857443877314"/>
    <s v="Type A  _x000a_2AM-MRY1325"/>
    <s v="Removed (2017)"/>
    <n v="2016"/>
    <s v="Direct "/>
    <m/>
    <m/>
    <n v="0.5"/>
    <n v="0.5"/>
    <m/>
    <m/>
    <m/>
    <m/>
    <m/>
    <m/>
    <n v="0"/>
    <m/>
    <n v="7653.928721938657"/>
    <n v="7653.928721938657"/>
    <n v="0"/>
    <n v="0"/>
    <n v="0"/>
    <n v="0"/>
    <n v="0"/>
    <n v="0"/>
  </r>
  <r>
    <x v="5"/>
    <x v="5"/>
    <x v="10"/>
    <x v="8"/>
    <x v="18"/>
    <x v="10"/>
    <x v="24"/>
    <x v="50"/>
    <m/>
    <m/>
    <s v="A3"/>
    <s v="Grade &amp; Re-Contour"/>
    <s v="A2"/>
    <s v="Site Works"/>
    <s v="Grade and Re-Contour"/>
    <s v="Grade and Contour"/>
    <s v="P8 Borrow Source"/>
    <m/>
    <n v="8385"/>
    <s v="m2"/>
    <n v="1.2689880937499998E-2"/>
    <n v="0.14624999999999999"/>
    <n v="1.2689880937499998"/>
    <n v="0.39654534577546297"/>
    <n v="1.8102953457754629"/>
    <n v="106.40465166093749"/>
    <n v="1226.3062499999999"/>
    <n v="10640.465166093749"/>
    <n v="3325.0327243272568"/>
    <n v="15179.326474327256"/>
    <n v="0"/>
    <n v="0"/>
    <n v="1"/>
    <n v="0"/>
    <n v="0"/>
    <n v="1"/>
    <n v="15179.326474327256"/>
    <n v="0"/>
    <n v="0"/>
    <n v="15179.326474327256"/>
    <s v="Type A  _x000a_2AM-MRY1325"/>
    <s v="Removed (2017)"/>
    <n v="2016"/>
    <s v="Direct "/>
    <m/>
    <m/>
    <n v="0.5"/>
    <n v="0.5"/>
    <m/>
    <m/>
    <m/>
    <m/>
    <m/>
    <m/>
    <n v="0"/>
    <m/>
    <n v="7589.6632371636279"/>
    <n v="7589.6632371636279"/>
    <n v="0"/>
    <n v="0"/>
    <n v="0"/>
    <n v="0"/>
    <n v="0"/>
    <n v="0"/>
  </r>
  <r>
    <x v="5"/>
    <x v="5"/>
    <x v="10"/>
    <x v="8"/>
    <x v="18"/>
    <x v="10"/>
    <x v="24"/>
    <x v="93"/>
    <m/>
    <m/>
    <s v="A3"/>
    <s v="Grade &amp; Re-Contour"/>
    <s v="A2"/>
    <s v="Site Works"/>
    <s v="Grade and Re-Contour"/>
    <s v="Grade and Contour"/>
    <s v="P7 Borrow Source"/>
    <m/>
    <n v="8100"/>
    <s v="m2"/>
    <n v="1.2689880937499998E-2"/>
    <n v="0.14624999999999999"/>
    <n v="1.2689880937499998"/>
    <n v="0.39654534577546297"/>
    <n v="1.8102953457754629"/>
    <n v="102.78803559374998"/>
    <n v="1184.625"/>
    <n v="10278.803559374997"/>
    <n v="3212.01730078125"/>
    <n v="14663.39230078125"/>
    <n v="0"/>
    <n v="0"/>
    <n v="1"/>
    <n v="0"/>
    <n v="0"/>
    <n v="1"/>
    <n v="14663.39230078125"/>
    <n v="0"/>
    <n v="0"/>
    <n v="14663.39230078125"/>
    <s v="Type A  _x000a_2AM-MRY1325"/>
    <s v="Removed (2017)"/>
    <n v="2016"/>
    <s v="Direct "/>
    <m/>
    <m/>
    <n v="0.5"/>
    <n v="0.5"/>
    <m/>
    <m/>
    <m/>
    <m/>
    <m/>
    <m/>
    <n v="0"/>
    <m/>
    <n v="7331.696150390625"/>
    <n v="7331.696150390625"/>
    <n v="0"/>
    <n v="0"/>
    <n v="0"/>
    <n v="0"/>
    <n v="0"/>
    <n v="0"/>
  </r>
  <r>
    <x v="1"/>
    <x v="1"/>
    <x v="3"/>
    <x v="3"/>
    <x v="5"/>
    <x v="4"/>
    <x v="20"/>
    <x v="17"/>
    <s v="302"/>
    <s v="SQ-"/>
    <s v="MM2"/>
    <s v="Medium Equipment"/>
    <s v="MM2"/>
    <s v="Mechanical Equipment"/>
    <s v="Medium Equipment"/>
    <s v="3rd party Equipment"/>
    <s v="Herman Nelson 6700"/>
    <m/>
    <n v="4"/>
    <s v="ea"/>
    <n v="19.2"/>
    <n v="213"/>
    <n v="1918.3369142857146"/>
    <n v="2130"/>
    <n v="4261.3369142857146"/>
    <n v="76.8"/>
    <n v="852"/>
    <n v="7673.3476571428582"/>
    <n v="8520"/>
    <n v="17045.347657142858"/>
    <n v="1"/>
    <n v="4"/>
    <n v="1"/>
    <n v="0"/>
    <n v="0"/>
    <n v="1"/>
    <n v="17045.347657142858"/>
    <n v="0"/>
    <n v="0"/>
    <n v="17045.347657142858"/>
    <s v="Type A  _x000a_2AM-MRY1325"/>
    <s v="Added"/>
    <n v="2018"/>
    <s v="Direct "/>
    <m/>
    <m/>
    <n v="0.33333333333333331"/>
    <m/>
    <n v="0.33333333333333331"/>
    <m/>
    <m/>
    <m/>
    <m/>
    <n v="0.33333333333333331"/>
    <n v="0"/>
    <m/>
    <n v="5681.7825523809524"/>
    <n v="0"/>
    <n v="5681.7825523809524"/>
    <n v="0"/>
    <n v="0"/>
    <n v="0"/>
    <n v="0"/>
    <n v="5681.7825523809524"/>
  </r>
  <r>
    <x v="5"/>
    <x v="5"/>
    <x v="10"/>
    <x v="8"/>
    <x v="18"/>
    <x v="10"/>
    <x v="24"/>
    <x v="94"/>
    <m/>
    <m/>
    <s v="A3"/>
    <s v="Grade &amp; Re-Contour"/>
    <s v="A2"/>
    <s v="Site Works"/>
    <s v="Grade and Re-Contour"/>
    <s v="Grade and Contour"/>
    <s v="P6 Borrow Source"/>
    <m/>
    <n v="7500"/>
    <s v="m2"/>
    <n v="1.2689880937499998E-2"/>
    <n v="0.14624999999999999"/>
    <n v="1.2689880937499998"/>
    <n v="0.39654534577546297"/>
    <n v="1.8102953457754629"/>
    <n v="95.174107031249989"/>
    <n v="1096.875"/>
    <n v="9517.4107031249987"/>
    <n v="2974.0900933159724"/>
    <n v="13577.215093315972"/>
    <n v="0"/>
    <n v="0"/>
    <n v="1"/>
    <n v="0"/>
    <n v="0"/>
    <n v="1"/>
    <n v="13577.215093315972"/>
    <n v="0"/>
    <n v="0"/>
    <n v="13577.215093315972"/>
    <s v="Type A  _x000a_2AM-MRY1325"/>
    <s v="Removed (2017)"/>
    <n v="2016"/>
    <s v="Direct "/>
    <m/>
    <m/>
    <n v="0.5"/>
    <n v="0.5"/>
    <m/>
    <m/>
    <m/>
    <m/>
    <m/>
    <m/>
    <n v="0"/>
    <m/>
    <n v="6788.6075466579859"/>
    <n v="6788.6075466579859"/>
    <n v="0"/>
    <n v="0"/>
    <n v="0"/>
    <n v="0"/>
    <n v="0"/>
    <n v="0"/>
  </r>
  <r>
    <x v="5"/>
    <x v="5"/>
    <x v="10"/>
    <x v="8"/>
    <x v="18"/>
    <x v="10"/>
    <x v="28"/>
    <x v="24"/>
    <m/>
    <s v=""/>
    <s v="Cu"/>
    <s v="Culvert Removal"/>
    <s v="cu"/>
    <s v="Site Works"/>
    <s v="Culvert Removal"/>
    <m/>
    <s v="Culverts - Crown"/>
    <m/>
    <n v="11"/>
    <s v="ea"/>
    <n v="6"/>
    <n v="45"/>
    <n v="599.48028571428574"/>
    <n v="450"/>
    <n v="1094.4802857142859"/>
    <n v="66"/>
    <n v="495"/>
    <n v="6594.2831428571435"/>
    <n v="4950"/>
    <n v="12039.283142857144"/>
    <n v="0"/>
    <n v="0"/>
    <n v="0"/>
    <n v="1"/>
    <n v="0"/>
    <n v="1"/>
    <n v="0"/>
    <n v="12039.283142857144"/>
    <n v="0"/>
    <n v="12039.283142857144"/>
    <s v="Type A  _x000a_2AM-MRY1325"/>
    <m/>
    <n v="2014"/>
    <s v="Direct "/>
    <m/>
    <m/>
    <m/>
    <n v="0.5"/>
    <n v="0.5"/>
    <m/>
    <m/>
    <m/>
    <m/>
    <m/>
    <n v="0"/>
    <m/>
    <n v="0"/>
    <n v="6019.6415714285722"/>
    <n v="6019.6415714285722"/>
    <n v="0"/>
    <n v="0"/>
    <n v="0"/>
    <n v="0"/>
    <n v="0"/>
  </r>
  <r>
    <x v="6"/>
    <x v="1"/>
    <x v="12"/>
    <x v="8"/>
    <x v="34"/>
    <x v="10"/>
    <x v="66"/>
    <x v="54"/>
    <m/>
    <m/>
    <s v="A3"/>
    <s v="Grade &amp; Re-Contour"/>
    <s v="A2"/>
    <s v="Site Works"/>
    <s v="Grade and Re-Contour"/>
    <s v="Grade and Contour"/>
    <s v="Laydown Pad development (Crusher Pad Expansion Haul Road)"/>
    <m/>
    <n v="9150"/>
    <s v="m2"/>
    <n v="1.2689880937499998E-2"/>
    <n v="0.14624999999999999"/>
    <n v="1.2689880937499998"/>
    <n v="0.39654534577546297"/>
    <n v="1.8102953457754629"/>
    <n v="116.11241057812498"/>
    <n v="1338.1875"/>
    <n v="11611.241057812498"/>
    <n v="3628.3899138454863"/>
    <n v="16564.202413845487"/>
    <n v="0"/>
    <n v="0"/>
    <n v="1"/>
    <n v="0"/>
    <n v="0"/>
    <n v="1"/>
    <n v="16564.202413845487"/>
    <n v="0"/>
    <n v="0"/>
    <n v="16564.202413845487"/>
    <s v="Type A  _x000a_2AM-MRY1325"/>
    <s v="Added"/>
    <n v="2018"/>
    <s v="Direct "/>
    <m/>
    <m/>
    <n v="0.33333333333333331"/>
    <n v="0.33333333333333331"/>
    <n v="0.33333333333333331"/>
    <m/>
    <m/>
    <m/>
    <m/>
    <m/>
    <n v="0"/>
    <m/>
    <n v="5521.4008046151621"/>
    <n v="5521.4008046151621"/>
    <n v="5521.4008046151621"/>
    <n v="0"/>
    <n v="0"/>
    <n v="0"/>
    <n v="0"/>
    <n v="0"/>
  </r>
  <r>
    <x v="5"/>
    <x v="5"/>
    <x v="10"/>
    <x v="8"/>
    <x v="18"/>
    <x v="10"/>
    <x v="24"/>
    <x v="95"/>
    <m/>
    <m/>
    <s v="A3"/>
    <s v="Grade &amp; Re-Contour"/>
    <s v="A2"/>
    <s v="Site Works"/>
    <s v="Grade and Re-Contour"/>
    <s v="Grade and Contour"/>
    <s v="Q13 Quarry"/>
    <m/>
    <n v="6350"/>
    <s v="m2"/>
    <n v="1.2689880937499998E-2"/>
    <n v="0.14624999999999999"/>
    <n v="1.2689880937499998"/>
    <n v="0.39654534577546297"/>
    <n v="1.8102953457754629"/>
    <n v="80.580743953124994"/>
    <n v="928.6875"/>
    <n v="8058.0743953124984"/>
    <n v="2518.0629456741899"/>
    <n v="11495.37544567419"/>
    <n v="0"/>
    <n v="0"/>
    <n v="1"/>
    <n v="0"/>
    <n v="0"/>
    <n v="1"/>
    <n v="11495.37544567419"/>
    <n v="0"/>
    <n v="0"/>
    <n v="11495.37544567419"/>
    <s v="Type A  _x000a_2AM-MRY1325"/>
    <s v="Added"/>
    <n v="2016"/>
    <s v="Direct "/>
    <m/>
    <m/>
    <n v="0.5"/>
    <n v="0.5"/>
    <m/>
    <m/>
    <m/>
    <m/>
    <m/>
    <m/>
    <n v="0"/>
    <m/>
    <n v="5747.687722837095"/>
    <n v="5747.687722837095"/>
    <n v="0"/>
    <n v="0"/>
    <n v="0"/>
    <n v="0"/>
    <n v="0"/>
    <n v="0"/>
  </r>
  <r>
    <x v="6"/>
    <x v="6"/>
    <x v="12"/>
    <x v="8"/>
    <x v="34"/>
    <x v="10"/>
    <x v="66"/>
    <x v="54"/>
    <m/>
    <s v=""/>
    <s v="Cu"/>
    <s v="Culvert Removal"/>
    <s v="cu"/>
    <s v="Site Works"/>
    <s v="Culvert Removal"/>
    <m/>
    <s v="Culverts - IOL"/>
    <m/>
    <n v="12"/>
    <s v="ea"/>
    <n v="6"/>
    <n v="45"/>
    <n v="599.48028571428574"/>
    <n v="450"/>
    <n v="1094.4802857142859"/>
    <n v="72"/>
    <n v="540"/>
    <n v="7193.7634285714284"/>
    <n v="5400"/>
    <n v="13133.763428571428"/>
    <n v="0"/>
    <n v="0"/>
    <n v="1"/>
    <n v="0"/>
    <n v="0"/>
    <n v="1"/>
    <n v="13133.763428571428"/>
    <n v="0"/>
    <n v="0"/>
    <n v="13133.763428571428"/>
    <s v="Type A  _x000a_2AM-MRY1325"/>
    <s v="Added"/>
    <n v="2018"/>
    <s v="Direct "/>
    <m/>
    <m/>
    <m/>
    <n v="0.5"/>
    <n v="0.5"/>
    <m/>
    <m/>
    <m/>
    <m/>
    <m/>
    <n v="0"/>
    <m/>
    <n v="0"/>
    <n v="6566.8817142857142"/>
    <n v="6566.8817142857142"/>
    <n v="0"/>
    <n v="0"/>
    <n v="0"/>
    <n v="0"/>
    <n v="0"/>
  </r>
  <r>
    <x v="1"/>
    <x v="1"/>
    <x v="3"/>
    <x v="3"/>
    <x v="5"/>
    <x v="4"/>
    <x v="20"/>
    <x v="17"/>
    <s v="302"/>
    <s v="SQ-"/>
    <s v="MM2"/>
    <s v="Medium Equipment"/>
    <s v="MM2"/>
    <s v="Mechanical Equipment"/>
    <s v="Medium Equipment"/>
    <s v="3rd party Equipment"/>
    <s v="Herman Nelson 6700 all in one"/>
    <m/>
    <n v="3"/>
    <s v="ea"/>
    <n v="19.2"/>
    <n v="213"/>
    <n v="1918.3369142857146"/>
    <n v="2130"/>
    <n v="4261.3369142857146"/>
    <n v="57.599999999999994"/>
    <n v="639"/>
    <n v="5755.0107428571437"/>
    <n v="6390"/>
    <n v="12784.010742857143"/>
    <n v="1"/>
    <n v="3"/>
    <n v="1"/>
    <n v="0"/>
    <n v="0"/>
    <n v="1"/>
    <n v="12784.010742857143"/>
    <n v="0"/>
    <n v="0"/>
    <n v="12784.010742857143"/>
    <s v="Type A  _x000a_2AM-MRY1325"/>
    <s v="Added"/>
    <n v="2018"/>
    <s v="Direct "/>
    <m/>
    <m/>
    <n v="0.33333333333333331"/>
    <m/>
    <n v="0.33333333333333331"/>
    <m/>
    <m/>
    <m/>
    <m/>
    <n v="0.33333333333333331"/>
    <n v="0"/>
    <m/>
    <n v="4261.3369142857136"/>
    <n v="0"/>
    <n v="4261.3369142857136"/>
    <n v="0"/>
    <n v="0"/>
    <n v="0"/>
    <n v="0"/>
    <n v="4261.3369142857136"/>
  </r>
  <r>
    <x v="1"/>
    <x v="1"/>
    <x v="8"/>
    <x v="8"/>
    <x v="12"/>
    <x v="10"/>
    <x v="19"/>
    <x v="16"/>
    <m/>
    <s v=""/>
    <s v="A3"/>
    <s v="Grade &amp; Re-Contour"/>
    <s v="A2"/>
    <s v="Site Works"/>
    <s v="Grade and Re-Contour"/>
    <s v="Grade and Contour"/>
    <s v="Laydown LP6"/>
    <m/>
    <n v="7000"/>
    <s v="m2"/>
    <n v="1.2689880937499998E-2"/>
    <n v="0.14624999999999999"/>
    <n v="1.2689880937499998"/>
    <n v="0.39654534577546297"/>
    <n v="1.8102953457754629"/>
    <n v="88.829166562499992"/>
    <n v="1023.7499999999999"/>
    <n v="8882.9166562499977"/>
    <n v="2775.8174204282409"/>
    <n v="12682.484076678238"/>
    <n v="0"/>
    <n v="0"/>
    <n v="1"/>
    <n v="0"/>
    <n v="0"/>
    <n v="1"/>
    <n v="12682.484076678238"/>
    <n v="0"/>
    <n v="0"/>
    <n v="12682.484076678238"/>
    <s v="Type A  _x000a_2AM-MRY1325"/>
    <s v="Added"/>
    <n v="2018"/>
    <s v="Direct "/>
    <m/>
    <m/>
    <n v="0.33333333333333331"/>
    <n v="0.33333333333333331"/>
    <n v="0.33333333333333331"/>
    <m/>
    <m/>
    <m/>
    <m/>
    <m/>
    <n v="0"/>
    <m/>
    <n v="4227.4946922260788"/>
    <n v="4227.4946922260788"/>
    <n v="4227.4946922260788"/>
    <n v="0"/>
    <n v="0"/>
    <n v="0"/>
    <n v="0"/>
    <n v="0"/>
  </r>
  <r>
    <x v="1"/>
    <x v="1"/>
    <x v="3"/>
    <x v="3"/>
    <x v="5"/>
    <x v="4"/>
    <x v="20"/>
    <x v="17"/>
    <m/>
    <s v="LE-"/>
    <s v="MM1"/>
    <s v="Light Equimpent"/>
    <s v="MM1"/>
    <s v="Mechanical Equipment"/>
    <s v="Light Equipment"/>
    <s v="3rd party Equipment"/>
    <s v="Clipping machine"/>
    <m/>
    <n v="6"/>
    <s v="ea"/>
    <n v="8.1"/>
    <n v="106.5"/>
    <n v="809.29838571428581"/>
    <n v="1065"/>
    <n v="1980.7983857142858"/>
    <n v="48.599999999999994"/>
    <n v="639"/>
    <n v="4855.7903142857149"/>
    <n v="6390"/>
    <n v="11884.790314285714"/>
    <n v="0.5"/>
    <n v="3"/>
    <n v="1"/>
    <n v="0"/>
    <n v="0"/>
    <n v="1"/>
    <n v="11884.790314285714"/>
    <n v="0"/>
    <n v="0"/>
    <n v="11884.790314285714"/>
    <s v="Type A  _x000a_2AM-MRY1325"/>
    <s v="Added"/>
    <n v="2018"/>
    <s v="Direct "/>
    <m/>
    <m/>
    <n v="0.33333333333333331"/>
    <m/>
    <n v="0.33333333333333331"/>
    <m/>
    <m/>
    <m/>
    <m/>
    <n v="0.33333333333333331"/>
    <n v="0"/>
    <m/>
    <n v="3961.5967714285712"/>
    <n v="0"/>
    <n v="3961.5967714285712"/>
    <n v="0"/>
    <n v="0"/>
    <n v="0"/>
    <n v="0"/>
    <n v="3961.5967714285712"/>
  </r>
  <r>
    <x v="5"/>
    <x v="5"/>
    <x v="10"/>
    <x v="8"/>
    <x v="18"/>
    <x v="10"/>
    <x v="24"/>
    <x v="21"/>
    <m/>
    <s v=""/>
    <s v="A3"/>
    <s v="Grade &amp; Re-Contour"/>
    <s v="A2"/>
    <s v="Site Works"/>
    <s v="Grade and Re-Contour"/>
    <s v="Grade and Contour"/>
    <s v="Q1 Quarry (additional marginal increase in 2017)"/>
    <m/>
    <n v="6000"/>
    <s v="m2"/>
    <n v="1.2689880937499998E-2"/>
    <n v="0.14624999999999999"/>
    <n v="1.2689880937499998"/>
    <n v="0.39654534577546297"/>
    <n v="1.8102953457754629"/>
    <n v="76.139285624999985"/>
    <n v="877.5"/>
    <n v="7613.9285624999984"/>
    <n v="2379.272074652778"/>
    <n v="10870.700637152775"/>
    <n v="0"/>
    <n v="0"/>
    <n v="1"/>
    <n v="0"/>
    <n v="0"/>
    <n v="1"/>
    <n v="10870.700637152775"/>
    <n v="0"/>
    <n v="0"/>
    <n v="10870.700637152775"/>
    <s v="Type A  _x000a_2AM-MRY1325"/>
    <s v="Added "/>
    <n v="2017"/>
    <s v="Direct "/>
    <m/>
    <m/>
    <n v="0.5"/>
    <n v="0.5"/>
    <m/>
    <m/>
    <m/>
    <m/>
    <m/>
    <m/>
    <n v="0"/>
    <m/>
    <n v="5435.3503185763875"/>
    <n v="5435.3503185763875"/>
    <n v="0"/>
    <n v="0"/>
    <n v="0"/>
    <n v="0"/>
    <n v="0"/>
    <n v="0"/>
  </r>
  <r>
    <x v="5"/>
    <x v="5"/>
    <x v="10"/>
    <x v="8"/>
    <x v="18"/>
    <x v="10"/>
    <x v="25"/>
    <x v="23"/>
    <m/>
    <s v=""/>
    <s v="A3"/>
    <s v="Grade &amp; Re-Contour"/>
    <s v="A2"/>
    <s v="Site Works"/>
    <s v="Grade and Re-Contour"/>
    <s v="Grade and Contour"/>
    <s v="Laydown at km 61"/>
    <m/>
    <n v="6000"/>
    <s v="m2"/>
    <n v="1.2689880937499998E-2"/>
    <n v="0.14624999999999999"/>
    <n v="1.2689880937499998"/>
    <n v="0.39654534577546297"/>
    <n v="1.8102953457754629"/>
    <n v="76.139285624999985"/>
    <n v="877.5"/>
    <n v="7613.9285624999984"/>
    <n v="2379.272074652778"/>
    <n v="10861.772074652778"/>
    <n v="0"/>
    <n v="0"/>
    <n v="1"/>
    <n v="0"/>
    <n v="0"/>
    <n v="1"/>
    <n v="10861.772074652778"/>
    <n v="0"/>
    <n v="0"/>
    <n v="10861.772074652778"/>
    <s v="Type A  _x000a_2AM-MRY1325"/>
    <s v="Added"/>
    <s v="2015 R"/>
    <s v="Direct "/>
    <m/>
    <m/>
    <n v="0.33333333333333331"/>
    <n v="0.33333333333333331"/>
    <n v="0.33333333333333331"/>
    <m/>
    <m/>
    <m/>
    <m/>
    <m/>
    <n v="0"/>
    <m/>
    <n v="3620.5906915509258"/>
    <n v="3620.5906915509258"/>
    <n v="3620.5906915509258"/>
    <n v="0"/>
    <n v="0"/>
    <n v="0"/>
    <n v="0"/>
    <n v="0"/>
  </r>
  <r>
    <x v="5"/>
    <x v="5"/>
    <x v="10"/>
    <x v="8"/>
    <x v="18"/>
    <x v="10"/>
    <x v="24"/>
    <x v="96"/>
    <m/>
    <m/>
    <s v="A3"/>
    <s v="Grade &amp; Re-Contour"/>
    <s v="A2"/>
    <s v="Site Works"/>
    <s v="Grade and Re-Contour"/>
    <s v="Grade and Contour"/>
    <s v="P5 Borrow Source"/>
    <m/>
    <n v="4600"/>
    <s v="m2"/>
    <n v="1.2689880937499998E-2"/>
    <n v="0.14624999999999999"/>
    <n v="1.2689880937499998"/>
    <n v="0.39654534577546297"/>
    <n v="1.8102953457754629"/>
    <n v="58.373452312499992"/>
    <n v="672.75"/>
    <n v="5837.3452312499985"/>
    <n v="1824.1085905671296"/>
    <n v="8327.3585905671298"/>
    <n v="0"/>
    <n v="0"/>
    <n v="1"/>
    <n v="0"/>
    <n v="0"/>
    <n v="1"/>
    <n v="8327.3585905671298"/>
    <n v="0"/>
    <n v="0"/>
    <n v="8327.3585905671298"/>
    <s v="Type A  _x000a_2AM-MRY1325"/>
    <s v="Removed (2017)"/>
    <n v="2016"/>
    <s v="Direct "/>
    <m/>
    <m/>
    <n v="0.5"/>
    <n v="0.5"/>
    <m/>
    <m/>
    <m/>
    <m/>
    <m/>
    <m/>
    <n v="0"/>
    <m/>
    <n v="4163.6792952835649"/>
    <n v="4163.6792952835649"/>
    <n v="0"/>
    <n v="0"/>
    <n v="0"/>
    <n v="0"/>
    <n v="0"/>
    <n v="0"/>
  </r>
  <r>
    <x v="5"/>
    <x v="5"/>
    <x v="10"/>
    <x v="8"/>
    <x v="18"/>
    <x v="10"/>
    <x v="24"/>
    <x v="97"/>
    <m/>
    <m/>
    <s v="A3"/>
    <s v="Grade &amp; Re-Contour"/>
    <s v="A2"/>
    <s v="Site Works"/>
    <s v="Grade and Re-Contour"/>
    <s v="Grade and Contour"/>
    <s v="P15 Borrow Source"/>
    <m/>
    <n v="3300"/>
    <s v="m2"/>
    <n v="1.2689880937499998E-2"/>
    <n v="0.14624999999999999"/>
    <n v="1.2689880937499998"/>
    <n v="0.39654534577546297"/>
    <n v="1.8102953457754629"/>
    <n v="41.876607093749996"/>
    <n v="482.62499999999994"/>
    <n v="4187.660709374999"/>
    <n v="1308.5996410590278"/>
    <n v="5973.9746410590278"/>
    <n v="0"/>
    <n v="0"/>
    <n v="1"/>
    <n v="0"/>
    <n v="0"/>
    <n v="1"/>
    <n v="5973.9746410590278"/>
    <n v="0"/>
    <n v="0"/>
    <n v="5973.9746410590278"/>
    <s v="Type A  _x000a_2AM-MRY1325"/>
    <s v="Removed (2017)"/>
    <n v="2016"/>
    <s v="Direct "/>
    <m/>
    <m/>
    <n v="0.5"/>
    <n v="0.5"/>
    <m/>
    <m/>
    <m/>
    <m/>
    <m/>
    <m/>
    <n v="0"/>
    <m/>
    <n v="2986.9873205295139"/>
    <n v="2986.9873205295139"/>
    <n v="0"/>
    <n v="0"/>
    <n v="0"/>
    <n v="0"/>
    <n v="0"/>
    <n v="0"/>
  </r>
  <r>
    <x v="5"/>
    <x v="5"/>
    <x v="10"/>
    <x v="8"/>
    <x v="18"/>
    <x v="10"/>
    <x v="24"/>
    <x v="98"/>
    <m/>
    <m/>
    <s v="A3"/>
    <s v="Grade &amp; Re-Contour"/>
    <s v="A2"/>
    <s v="Site Works"/>
    <s v="Grade and Re-Contour"/>
    <s v="Grade and Contour"/>
    <s v="P14 Borrow Source"/>
    <m/>
    <n v="3160"/>
    <s v="m2"/>
    <n v="1.2689880937499998E-2"/>
    <n v="0.14624999999999999"/>
    <n v="1.2689880937499998"/>
    <n v="0.39654534577546297"/>
    <n v="1.8102953457754629"/>
    <n v="40.100023762499994"/>
    <n v="462.15"/>
    <n v="4010.0023762499991"/>
    <n v="1253.0832926504629"/>
    <n v="5720.5332926504625"/>
    <n v="0"/>
    <n v="0"/>
    <n v="1"/>
    <n v="0"/>
    <n v="0"/>
    <n v="1"/>
    <n v="5720.5332926504625"/>
    <n v="0"/>
    <n v="0"/>
    <n v="5720.5332926504625"/>
    <s v="Type A  _x000a_2AM-MRY1325"/>
    <s v="Removed (2017)"/>
    <n v="2016"/>
    <s v="Direct "/>
    <m/>
    <m/>
    <n v="0.5"/>
    <n v="0.5"/>
    <m/>
    <m/>
    <m/>
    <m/>
    <m/>
    <m/>
    <n v="0"/>
    <m/>
    <n v="2860.2666463252312"/>
    <n v="2860.2666463252312"/>
    <n v="0"/>
    <n v="0"/>
    <n v="0"/>
    <n v="0"/>
    <n v="0"/>
    <n v="0"/>
  </r>
  <r>
    <x v="5"/>
    <x v="5"/>
    <x v="10"/>
    <x v="8"/>
    <x v="18"/>
    <x v="10"/>
    <x v="25"/>
    <x v="23"/>
    <m/>
    <s v=""/>
    <s v="A3"/>
    <s v="Grade &amp; Re-Contour"/>
    <s v="A2"/>
    <s v="Site Works"/>
    <s v="Grade and Re-Contour"/>
    <s v="Grade and Contour"/>
    <s v="Laydown Pad development - Heated Emulsion Truck Parking"/>
    <m/>
    <n v="6400"/>
    <s v="m2"/>
    <n v="1.2689880937499998E-2"/>
    <n v="0.14624999999999999"/>
    <n v="1.2689880937499998"/>
    <n v="0.39654534577546297"/>
    <n v="1.8102953457754629"/>
    <n v="81.215237999999985"/>
    <n v="936"/>
    <n v="8121.5237999999981"/>
    <n v="2537.8902129629628"/>
    <n v="11585.890212962962"/>
    <n v="0"/>
    <n v="0"/>
    <n v="0"/>
    <n v="1"/>
    <n v="0"/>
    <n v="1"/>
    <n v="0"/>
    <n v="11585.890212962962"/>
    <n v="0"/>
    <n v="11585.890212962962"/>
    <s v="Type A  _x000a_2AM-MRY1325"/>
    <s v="Added"/>
    <n v="2018"/>
    <s v="Direct "/>
    <m/>
    <m/>
    <n v="0.33333333333333331"/>
    <n v="0.33333333333333331"/>
    <n v="0.33333333333333331"/>
    <m/>
    <m/>
    <m/>
    <m/>
    <m/>
    <n v="0"/>
    <m/>
    <n v="3861.9634043209871"/>
    <n v="3861.9634043209871"/>
    <n v="3861.9634043209871"/>
    <n v="0"/>
    <n v="0"/>
    <n v="0"/>
    <n v="0"/>
    <n v="0"/>
  </r>
  <r>
    <x v="5"/>
    <x v="5"/>
    <x v="10"/>
    <x v="8"/>
    <x v="18"/>
    <x v="10"/>
    <x v="24"/>
    <x v="80"/>
    <m/>
    <s v=""/>
    <s v="A3"/>
    <s v="Grade &amp; Re-Contour"/>
    <s v="A2"/>
    <s v="Site Works"/>
    <s v="Grade and Re-Contour"/>
    <s v="Grade and Contour"/>
    <s v="Q18 Quarry"/>
    <m/>
    <n v="2000"/>
    <s v="m2"/>
    <n v="1.2689880937499998E-2"/>
    <n v="0.14624999999999999"/>
    <n v="1.2689880937499998"/>
    <n v="0.39654534577546297"/>
    <n v="1.8102953457754629"/>
    <n v="25.379761874999996"/>
    <n v="292.5"/>
    <n v="2537.9761874999995"/>
    <n v="793.09069155092595"/>
    <n v="3623.5668790509253"/>
    <n v="0"/>
    <n v="0"/>
    <n v="1"/>
    <n v="0"/>
    <n v="0"/>
    <n v="1"/>
    <n v="3623.5668790509253"/>
    <n v="0"/>
    <n v="0"/>
    <n v="3623.5668790509253"/>
    <s v="Type A  _x000a_2AM-MRY1325"/>
    <s v="Added"/>
    <n v="2017"/>
    <s v="Direct "/>
    <m/>
    <m/>
    <n v="0.5"/>
    <n v="0.5"/>
    <m/>
    <m/>
    <m/>
    <m/>
    <m/>
    <m/>
    <n v="0"/>
    <m/>
    <n v="1811.7834395254627"/>
    <n v="1811.7834395254627"/>
    <n v="0"/>
    <n v="0"/>
    <n v="0"/>
    <n v="0"/>
    <n v="0"/>
    <n v="0"/>
  </r>
  <r>
    <x v="5"/>
    <x v="5"/>
    <x v="10"/>
    <x v="8"/>
    <x v="18"/>
    <x v="10"/>
    <x v="89"/>
    <x v="73"/>
    <m/>
    <m/>
    <s v="A4"/>
    <s v="Grade &amp; Re-Contour Type A quarry"/>
    <s v="A4"/>
    <s v="Site Works"/>
    <s v="Grade and Re-Contour Significant Disturbed Areas"/>
    <m/>
    <s v="KM 97 Borrow Source (marginal increase in 2017)"/>
    <m/>
    <n v="1000"/>
    <s v="m2"/>
    <n v="1.9034821406249999E-2"/>
    <n v="0.21937499999999999"/>
    <n v="1.9034821406249995"/>
    <n v="0.59481801866319439"/>
    <n v="2.7154430186631942"/>
    <n v="19.03482140625"/>
    <n v="219.375"/>
    <n v="1903.4821406249996"/>
    <n v="594.81801866319438"/>
    <n v="2717.6751592881938"/>
    <n v="0"/>
    <n v="0"/>
    <n v="1"/>
    <n v="0"/>
    <n v="0"/>
    <n v="1"/>
    <n v="2717.6751592881938"/>
    <n v="0"/>
    <n v="0"/>
    <n v="2717.6751592881938"/>
    <s v="Type A  _x000a_2AM-MRY1325"/>
    <s v="Added"/>
    <n v="2017"/>
    <s v="Direct "/>
    <m/>
    <m/>
    <n v="0.5"/>
    <n v="0.5"/>
    <m/>
    <m/>
    <m/>
    <m/>
    <m/>
    <m/>
    <n v="0"/>
    <m/>
    <n v="1358.8375796440969"/>
    <n v="1358.8375796440969"/>
    <n v="0"/>
    <n v="0"/>
    <n v="0"/>
    <n v="0"/>
    <n v="0"/>
    <n v="0"/>
  </r>
  <r>
    <x v="5"/>
    <x v="5"/>
    <x v="10"/>
    <x v="8"/>
    <x v="18"/>
    <x v="10"/>
    <x v="25"/>
    <x v="23"/>
    <m/>
    <s v=""/>
    <s v="A3"/>
    <s v="Grade &amp; Re-Contour"/>
    <s v="A2"/>
    <s v="Site Works"/>
    <s v="Grade and Re-Contour"/>
    <s v="Grade and Contour"/>
    <s v="Laydown Pad development - Temporary Camp and Access Roads KM18"/>
    <m/>
    <n v="6250"/>
    <s v="m2"/>
    <n v="1.2689880937499998E-2"/>
    <n v="0.14624999999999999"/>
    <n v="1.2689880937499998"/>
    <n v="0.39654534577546297"/>
    <n v="1.8102953457754629"/>
    <n v="79.311755859374983"/>
    <n v="914.0625"/>
    <n v="7931.1755859374989"/>
    <n v="2478.4084110966437"/>
    <n v="11314.345911096643"/>
    <n v="0"/>
    <n v="0"/>
    <n v="0"/>
    <n v="1"/>
    <n v="0"/>
    <n v="1"/>
    <n v="0"/>
    <n v="11314.345911096643"/>
    <n v="0"/>
    <n v="11314.345911096643"/>
    <s v="Type A  _x000a_2AM-MRY1325"/>
    <s v="Added"/>
    <n v="2018"/>
    <s v="Direct "/>
    <m/>
    <m/>
    <n v="0.33333333333333331"/>
    <n v="0.33333333333333331"/>
    <n v="0.33333333333333331"/>
    <m/>
    <m/>
    <m/>
    <m/>
    <m/>
    <n v="0"/>
    <m/>
    <n v="3771.4486370322143"/>
    <n v="3771.4486370322143"/>
    <n v="3771.4486370322143"/>
    <n v="0"/>
    <n v="0"/>
    <n v="0"/>
    <n v="0"/>
    <n v="0"/>
  </r>
  <r>
    <x v="5"/>
    <x v="5"/>
    <x v="10"/>
    <x v="8"/>
    <x v="18"/>
    <x v="10"/>
    <x v="28"/>
    <x v="24"/>
    <m/>
    <m/>
    <s v="A5"/>
    <s v="Liner Removal"/>
    <s v="A5"/>
    <s v="Site Works"/>
    <s v="Liner Removal"/>
    <s v="Liner Removal"/>
    <s v="Mobile Maintenance Depot -Liner Removal"/>
    <m/>
    <n v="682"/>
    <s v="m2"/>
    <n v="3.1800000000000002E-2"/>
    <n v="3.1800000000000009E-2"/>
    <n v="3.18"/>
    <n v="0.31800000000000006"/>
    <n v="3.4980000000000002"/>
    <n v="21.6876"/>
    <n v="21.687600000000007"/>
    <n v="2168.7600000000002"/>
    <n v="216.87600000000003"/>
    <n v="2385.636"/>
    <n v="0"/>
    <n v="0"/>
    <n v="0"/>
    <n v="1"/>
    <n v="0"/>
    <n v="1"/>
    <n v="0"/>
    <n v="2385.636"/>
    <n v="0"/>
    <n v="2385.636"/>
    <s v="Type A  _x000a_2AM-MRY1325"/>
    <s v="Added"/>
    <n v="2016"/>
    <s v="Direct "/>
    <m/>
    <m/>
    <n v="0.33333333333333331"/>
    <n v="0.33333333333333331"/>
    <n v="0.33333333333333331"/>
    <m/>
    <m/>
    <m/>
    <m/>
    <m/>
    <n v="0"/>
    <m/>
    <n v="795.21199999999999"/>
    <n v="795.21199999999999"/>
    <n v="795.21199999999999"/>
    <n v="0"/>
    <n v="0"/>
    <n v="0"/>
    <n v="0"/>
    <n v="0"/>
  </r>
  <r>
    <x v="5"/>
    <x v="5"/>
    <x v="10"/>
    <x v="8"/>
    <x v="18"/>
    <x v="10"/>
    <x v="24"/>
    <x v="81"/>
    <m/>
    <s v=""/>
    <s v="A3"/>
    <s v="Grade &amp; Re-Contour"/>
    <s v="A2"/>
    <s v="Site Works"/>
    <s v="Grade and Re-Contour"/>
    <s v="Grade and Contour"/>
    <s v="Km 2 Borrow source (marginal increase in 2017)"/>
    <m/>
    <n v="1000"/>
    <s v="m2"/>
    <n v="1.2689880937499998E-2"/>
    <n v="0.14624999999999999"/>
    <n v="1.2689880937499998"/>
    <n v="0.39654534577546297"/>
    <n v="1.8102953457754629"/>
    <n v="12.689880937499998"/>
    <n v="146.25"/>
    <n v="1268.9880937499997"/>
    <n v="396.54534577546298"/>
    <n v="1811.7834395254627"/>
    <n v="0"/>
    <n v="0"/>
    <n v="1"/>
    <n v="0"/>
    <n v="0"/>
    <n v="1"/>
    <n v="1811.7834395254627"/>
    <n v="0"/>
    <n v="0"/>
    <n v="1811.7834395254627"/>
    <s v="Type A  _x000a_2AM-MRY1325"/>
    <s v="Added"/>
    <n v="2017"/>
    <s v="Direct "/>
    <m/>
    <m/>
    <n v="1"/>
    <m/>
    <m/>
    <m/>
    <m/>
    <m/>
    <m/>
    <m/>
    <n v="0"/>
    <m/>
    <n v="1811.7834395254627"/>
    <n v="0"/>
    <n v="0"/>
    <n v="0"/>
    <n v="0"/>
    <n v="0"/>
    <n v="0"/>
    <n v="0"/>
  </r>
  <r>
    <x v="5"/>
    <x v="5"/>
    <x v="10"/>
    <x v="8"/>
    <x v="18"/>
    <x v="10"/>
    <x v="25"/>
    <x v="23"/>
    <m/>
    <m/>
    <s v="A3"/>
    <s v="Grade &amp; Re-Contour"/>
    <s v="A2"/>
    <s v="Site Works"/>
    <s v="Grade and Re-Contour"/>
    <m/>
    <s v="Explosive magazine pads along Tote Road"/>
    <m/>
    <n v="760"/>
    <s v="m2"/>
    <n v="1.2689880937499998E-2"/>
    <n v="0.14624999999999999"/>
    <n v="1.2689880937499998"/>
    <n v="0.39654534577546297"/>
    <n v="1.8102953457754629"/>
    <n v="9.6443095124999996"/>
    <n v="111.14999999999999"/>
    <n v="964.43095124999979"/>
    <n v="301.37446278935187"/>
    <n v="1376.9554140393516"/>
    <n v="0"/>
    <n v="0"/>
    <n v="1"/>
    <n v="0"/>
    <n v="0"/>
    <n v="1"/>
    <n v="1376.9554140393516"/>
    <n v="0"/>
    <n v="0"/>
    <n v="1376.9554140393516"/>
    <s v="Type A  _x000a_2AM-MRY1325"/>
    <m/>
    <n v="2014"/>
    <s v="Direct "/>
    <m/>
    <m/>
    <n v="0.33333333333333331"/>
    <n v="0.33333333333333331"/>
    <n v="0.33333333333333331"/>
    <m/>
    <m/>
    <m/>
    <m/>
    <m/>
    <n v="0"/>
    <m/>
    <n v="458.98513801311719"/>
    <n v="458.98513801311719"/>
    <n v="458.98513801311719"/>
    <n v="0"/>
    <n v="0"/>
    <n v="0"/>
    <n v="0"/>
    <n v="0"/>
  </r>
  <r>
    <x v="5"/>
    <x v="5"/>
    <x v="10"/>
    <x v="8"/>
    <x v="18"/>
    <x v="10"/>
    <x v="25"/>
    <x v="23"/>
    <m/>
    <s v=""/>
    <s v="A3"/>
    <s v="Grade &amp; Re-Contour"/>
    <s v="A2"/>
    <s v="Site Works"/>
    <s v="Grade and Re-Contour"/>
    <s v="Grade and Contour"/>
    <s v="Laydown Pad development - Temporary Camp and Access Roads KM38"/>
    <m/>
    <n v="6250"/>
    <s v="m2"/>
    <n v="1.2689880937499998E-2"/>
    <n v="0.14624999999999999"/>
    <n v="1.2689880937499998"/>
    <n v="0.39654534577546297"/>
    <n v="1.8102953457754629"/>
    <n v="79.311755859374983"/>
    <n v="914.0625"/>
    <n v="7931.1755859374989"/>
    <n v="2478.4084110966437"/>
    <n v="11314.345911096643"/>
    <n v="0"/>
    <n v="0"/>
    <n v="0"/>
    <n v="1"/>
    <n v="0"/>
    <n v="1"/>
    <n v="0"/>
    <n v="11314.345911096643"/>
    <n v="0"/>
    <n v="11314.345911096643"/>
    <s v="Type A  _x000a_2AM-MRY1325"/>
    <s v="Added"/>
    <n v="2018"/>
    <s v="Direct "/>
    <m/>
    <m/>
    <n v="0.33333333333333331"/>
    <n v="0.33333333333333331"/>
    <n v="0.33333333333333331"/>
    <m/>
    <m/>
    <m/>
    <m/>
    <m/>
    <n v="0"/>
    <m/>
    <n v="3771.4486370322143"/>
    <n v="3771.4486370322143"/>
    <n v="3771.4486370322143"/>
    <n v="0"/>
    <n v="0"/>
    <n v="0"/>
    <n v="0"/>
    <n v="0"/>
  </r>
  <r>
    <x v="5"/>
    <x v="5"/>
    <x v="10"/>
    <x v="8"/>
    <x v="42"/>
    <x v="21"/>
    <x v="98"/>
    <x v="99"/>
    <s v="504"/>
    <s v="BLD"/>
    <s v="FF4"/>
    <s v="ISO Container"/>
    <s v="FC"/>
    <s v="Buildings (Not Contaminated)"/>
    <s v="ISO Shipping Containers"/>
    <m/>
    <s v="Communication Shed No. 1 - Demolish Building - ISO Shipping Container"/>
    <s v="3111-BLD-001"/>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98"/>
    <x v="99"/>
    <s v="507"/>
    <s v="BLD"/>
    <s v="FF4"/>
    <s v="ISO Container"/>
    <s v="FC"/>
    <s v="Buildings (Not Contaminated)"/>
    <s v="ISO Shipping Containers"/>
    <m/>
    <s v="Communication Shed No. 2 - Demolish Building - ISO Shipping Container"/>
    <s v="3111-BLD-002"/>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98"/>
    <x v="99"/>
    <s v="510"/>
    <s v="BLD"/>
    <s v="FF4"/>
    <s v="ISO Container"/>
    <s v="FC"/>
    <s v="Buildings (Not Contaminated)"/>
    <s v="ISO Shipping Containers"/>
    <m/>
    <s v="Communication Shed No. 3 - Demolish Building - ISO Shipping Container"/>
    <s v="3111-BLD-003"/>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98"/>
    <x v="99"/>
    <s v="513"/>
    <s v="BLD"/>
    <s v="FF4"/>
    <s v="ISO Container"/>
    <s v="FC"/>
    <s v="Buildings (Not Contaminated)"/>
    <s v="ISO Shipping Containers"/>
    <m/>
    <s v="Communication Shed No. 4 - Demolish Building - ISO Shipping Container"/>
    <s v="3111-BLD-004"/>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99"/>
    <x v="100"/>
    <s v="517"/>
    <s v="BLD"/>
    <s v="FF4"/>
    <s v="ISO Container"/>
    <s v="FC"/>
    <s v="Buildings (Not Contaminated)"/>
    <s v="ISO Shipping Containers"/>
    <m/>
    <s v="Communication Shed No. 5 - Demolish Building - ISO Shipping Container"/>
    <s v="3112-BLD-001"/>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99"/>
    <x v="100"/>
    <s v="520"/>
    <s v="BLD"/>
    <s v="FF4"/>
    <s v="ISO Container"/>
    <s v="FC"/>
    <s v="Buildings (Not Contaminated)"/>
    <s v="ISO Shipping Containers"/>
    <m/>
    <s v="Communication Shed No. 6 - Demolish Building - ISO Shipping Container"/>
    <s v="3112-BLD-002"/>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99"/>
    <x v="100"/>
    <s v="523"/>
    <s v="BLD"/>
    <s v="FF4"/>
    <s v="ISO Container"/>
    <s v="FC"/>
    <s v="Buildings (Not Contaminated)"/>
    <s v="ISO Shipping Containers"/>
    <m/>
    <s v="Communication Shed No. 7 - Demolish Building - ISO Shipping Container"/>
    <s v="3112-BLD-003"/>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99"/>
    <x v="100"/>
    <s v="526"/>
    <s v="BLD"/>
    <s v="FF4"/>
    <s v="ISO Container"/>
    <s v="FC"/>
    <s v="Buildings (Not Contaminated)"/>
    <s v="ISO Shipping Containers"/>
    <m/>
    <s v="Communication Shed No. 8 - Demolish Building - ISO Shipping Container"/>
    <s v="3112-BLD-004"/>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100"/>
    <x v="101"/>
    <s v="530"/>
    <s v="BLD"/>
    <s v="FF4"/>
    <s v="ISO Container"/>
    <s v="FC"/>
    <s v="Buildings (Not Contaminated)"/>
    <s v="ISO Shipping Containers"/>
    <m/>
    <s v="Communication Shed No. 9 - Demolish Building - ISO Shipping Container"/>
    <s v="3113-BLD-001"/>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100"/>
    <x v="101"/>
    <s v="533"/>
    <s v="BLD"/>
    <s v="FF4"/>
    <s v="ISO Container"/>
    <s v="FC"/>
    <s v="Buildings (Not Contaminated)"/>
    <s v="ISO Shipping Containers"/>
    <m/>
    <s v="Communication Shed No. 10 - Demolish Building - ISO Shipping Container"/>
    <s v="3113-BLD-002"/>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2"/>
    <x v="21"/>
    <x v="100"/>
    <x v="101"/>
    <s v="536"/>
    <s v="BLD"/>
    <s v="FF4"/>
    <s v="ISO Container"/>
    <s v="FC"/>
    <s v="Buildings (Not Contaminated)"/>
    <s v="ISO Shipping Containers"/>
    <m/>
    <s v="Communication Shed No. 11 - Demolish Building - ISO Shipping Container"/>
    <s v="3113-BLD-003"/>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3"/>
    <x v="29"/>
    <x v="101"/>
    <x v="102"/>
    <s v="565"/>
    <s v="BLD"/>
    <s v="FF4"/>
    <s v="ISO Container"/>
    <s v="FC"/>
    <s v="Buildings (Not Contaminated)"/>
    <s v="ISO Shipping Containers"/>
    <m/>
    <s v="Emergency Shelter  No. 1 - Demolish Building - ISO Shipping Container"/>
    <s v="3160-BLD-001"/>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3"/>
    <x v="29"/>
    <x v="101"/>
    <x v="102"/>
    <s v="568"/>
    <s v="BLD"/>
    <s v="FF4"/>
    <s v="ISO Container"/>
    <s v="FC"/>
    <s v="Buildings (Not Contaminated)"/>
    <s v="ISO Shipping Containers"/>
    <m/>
    <s v="Emergency Shelter  No. 2 - Demolish Building - ISO Shipping Container"/>
    <s v="3160-BLD-002"/>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3"/>
    <x v="29"/>
    <x v="101"/>
    <x v="102"/>
    <s v="571"/>
    <s v="BLD"/>
    <s v="FF4"/>
    <s v="ISO Container"/>
    <s v="FC"/>
    <s v="Buildings (Not Contaminated)"/>
    <s v="ISO Shipping Containers"/>
    <m/>
    <s v="Emergency Shelter  No. 3 - Demolish Building - ISO Shipping Container"/>
    <s v="3160-BLD-003"/>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3"/>
    <x v="29"/>
    <x v="101"/>
    <x v="102"/>
    <s v="574"/>
    <s v="BLD"/>
    <s v="FF4"/>
    <s v="ISO Container"/>
    <s v="FC"/>
    <s v="Buildings (Not Contaminated)"/>
    <s v="ISO Shipping Containers"/>
    <m/>
    <s v="Emergency Shelter  No. 4 - Demolish Building - ISO Shipping Container"/>
    <s v="3160-BLD-004"/>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5"/>
    <x v="5"/>
    <x v="10"/>
    <x v="8"/>
    <x v="43"/>
    <x v="29"/>
    <x v="101"/>
    <x v="102"/>
    <s v="566"/>
    <s v="BLD"/>
    <s v="FW"/>
    <s v="Timber Cribbing (480 ft2)"/>
    <s v="FT"/>
    <s v="Flooring / Foundations"/>
    <s v="Timber Cribbing"/>
    <m/>
    <s v="Emergency Shelter  No. 1 - Demolish and foundations - Timber Cribbing to Elevate Building"/>
    <s v="3160-BLD-001"/>
    <n v="14.869888475836431"/>
    <s v="m2"/>
    <n v="0.12329166666666667"/>
    <n v="1.1768750000000001"/>
    <n v="7.8390373472222228"/>
    <n v="11.768750000000001"/>
    <n v="20.784662347222223"/>
    <n v="1.8333333333333335"/>
    <n v="17.5"/>
    <n v="116.56561111111112"/>
    <n v="175"/>
    <n v="309.06561111111114"/>
    <n v="0.3"/>
    <n v="4.4609665427509295"/>
    <n v="1"/>
    <n v="0"/>
    <n v="0"/>
    <n v="1"/>
    <n v="309.06561111111114"/>
    <n v="0"/>
    <n v="0"/>
    <n v="309.06561111111114"/>
    <s v="Type A  _x000a_2AM-MRY1325"/>
    <m/>
    <n v="2014"/>
    <s v="Direct "/>
    <m/>
    <m/>
    <n v="0.33333333333333331"/>
    <n v="0.33333333333333331"/>
    <n v="0.33333333333333331"/>
    <m/>
    <m/>
    <m/>
    <m/>
    <m/>
    <n v="0"/>
    <m/>
    <n v="103.02187037037038"/>
    <n v="103.02187037037038"/>
    <n v="103.02187037037038"/>
    <n v="0"/>
    <n v="0"/>
    <n v="0"/>
    <n v="0"/>
    <n v="0"/>
  </r>
  <r>
    <x v="5"/>
    <x v="5"/>
    <x v="10"/>
    <x v="8"/>
    <x v="43"/>
    <x v="29"/>
    <x v="101"/>
    <x v="102"/>
    <s v="569"/>
    <s v="BLD"/>
    <s v="FW"/>
    <s v="Timber Cribbing (480 ft2)"/>
    <s v="FT"/>
    <s v="Flooring / Foundations"/>
    <s v="Timber Cribbing"/>
    <m/>
    <s v="Emergency Shelter  No. 2 - Demolish and foundations - Timber Cribbing to Elevate Building"/>
    <s v="3160-BLD-002"/>
    <n v="14.869888475836431"/>
    <s v="m2"/>
    <n v="0.12329166666666667"/>
    <n v="1.1768750000000001"/>
    <n v="7.8390373472222228"/>
    <n v="11.768750000000001"/>
    <n v="20.784662347222223"/>
    <n v="1.8333333333333335"/>
    <n v="17.5"/>
    <n v="116.56561111111112"/>
    <n v="175"/>
    <n v="309.06561111111114"/>
    <n v="0.3"/>
    <n v="4.4609665427509295"/>
    <n v="1"/>
    <n v="0"/>
    <n v="0"/>
    <n v="1"/>
    <n v="309.06561111111114"/>
    <n v="0"/>
    <n v="0"/>
    <n v="309.06561111111114"/>
    <s v="Type A  _x000a_2AM-MRY1325"/>
    <m/>
    <n v="2014"/>
    <s v="Direct "/>
    <m/>
    <m/>
    <n v="0.33333333333333331"/>
    <n v="0.33333333333333331"/>
    <n v="0.33333333333333331"/>
    <m/>
    <m/>
    <m/>
    <m/>
    <m/>
    <n v="0"/>
    <m/>
    <n v="103.02187037037038"/>
    <n v="103.02187037037038"/>
    <n v="103.02187037037038"/>
    <n v="0"/>
    <n v="0"/>
    <n v="0"/>
    <n v="0"/>
    <n v="0"/>
  </r>
  <r>
    <x v="5"/>
    <x v="5"/>
    <x v="10"/>
    <x v="8"/>
    <x v="43"/>
    <x v="29"/>
    <x v="101"/>
    <x v="102"/>
    <s v="572"/>
    <s v="BLD"/>
    <s v="FW"/>
    <s v="Timber Cribbing (480 ft2)"/>
    <s v="FT"/>
    <s v="Flooring / Foundations"/>
    <s v="Timber Cribbing"/>
    <m/>
    <s v="Emergency Shelter  No. 3 - Demolish and foundations - Timber Cribbing to Elevate Building"/>
    <s v="3160-BLD-003"/>
    <n v="14.869888475836431"/>
    <s v="m2"/>
    <n v="0.12329166666666667"/>
    <n v="1.1768750000000001"/>
    <n v="7.8390373472222228"/>
    <n v="11.768750000000001"/>
    <n v="20.784662347222223"/>
    <n v="1.8333333333333335"/>
    <n v="17.5"/>
    <n v="116.56561111111112"/>
    <n v="175"/>
    <n v="309.06561111111114"/>
    <n v="0.3"/>
    <n v="4.4609665427509295"/>
    <n v="1"/>
    <n v="0"/>
    <n v="0"/>
    <n v="1"/>
    <n v="309.06561111111114"/>
    <n v="0"/>
    <n v="0"/>
    <n v="309.06561111111114"/>
    <s v="Type A  _x000a_2AM-MRY1325"/>
    <m/>
    <n v="2014"/>
    <s v="Direct "/>
    <m/>
    <m/>
    <n v="0.33333333333333331"/>
    <n v="0.33333333333333331"/>
    <n v="0.33333333333333331"/>
    <m/>
    <m/>
    <m/>
    <m/>
    <m/>
    <n v="0"/>
    <m/>
    <n v="103.02187037037038"/>
    <n v="103.02187037037038"/>
    <n v="103.02187037037038"/>
    <n v="0"/>
    <n v="0"/>
    <n v="0"/>
    <n v="0"/>
    <n v="0"/>
  </r>
  <r>
    <x v="5"/>
    <x v="5"/>
    <x v="10"/>
    <x v="8"/>
    <x v="43"/>
    <x v="29"/>
    <x v="101"/>
    <x v="102"/>
    <s v="575"/>
    <s v="BLD"/>
    <s v="FW"/>
    <s v="Timber Cribbing (480 ft2)"/>
    <s v="FT"/>
    <s v="Flooring / Foundations"/>
    <s v="Timber Cribbing"/>
    <m/>
    <s v="Emergency Shelter  No. 4 - Demolish and foundations - Timber Cribbing to Elevate Building"/>
    <s v="3160-BLD-004"/>
    <n v="14.869888475836431"/>
    <s v="m2"/>
    <n v="0.12329166666666667"/>
    <n v="1.1768750000000001"/>
    <n v="7.8390373472222228"/>
    <n v="11.768750000000001"/>
    <n v="20.784662347222223"/>
    <n v="1.8333333333333335"/>
    <n v="17.5"/>
    <n v="116.56561111111112"/>
    <n v="175"/>
    <n v="309.06561111111114"/>
    <n v="0.3"/>
    <n v="4.4609665427509295"/>
    <n v="1"/>
    <n v="0"/>
    <n v="0"/>
    <n v="1"/>
    <n v="309.06561111111114"/>
    <n v="0"/>
    <n v="0"/>
    <n v="309.06561111111114"/>
    <s v="Type A  _x000a_2AM-MRY1325"/>
    <m/>
    <n v="2014"/>
    <s v="Direct "/>
    <m/>
    <m/>
    <n v="0.33333333333333331"/>
    <n v="0.33333333333333331"/>
    <n v="0.33333333333333331"/>
    <m/>
    <m/>
    <m/>
    <m/>
    <m/>
    <n v="0"/>
    <m/>
    <n v="103.02187037037038"/>
    <n v="103.02187037037038"/>
    <n v="103.02187037037038"/>
    <n v="0"/>
    <n v="0"/>
    <n v="0"/>
    <n v="0"/>
    <n v="0"/>
  </r>
  <r>
    <x v="5"/>
    <x v="5"/>
    <x v="10"/>
    <x v="8"/>
    <x v="18"/>
    <x v="10"/>
    <x v="89"/>
    <x v="73"/>
    <m/>
    <m/>
    <s v="A4"/>
    <s v="Grade &amp; Re-Contour Type A quarry"/>
    <s v="A4"/>
    <s v="Site Works"/>
    <s v="Grade and Re-Contour Significant Disturbed Areas"/>
    <m/>
    <s v="Unidentified High Priority Disturbed Areas"/>
    <m/>
    <n v="0"/>
    <s v="m2"/>
    <n v="1.9034821406249999E-2"/>
    <n v="0.21937499999999999"/>
    <n v="1.9034821406249995"/>
    <n v="0.59481801866319439"/>
    <n v="2.7154430186631942"/>
    <n v="0"/>
    <n v="0"/>
    <n v="0"/>
    <n v="0"/>
    <n v="0"/>
    <n v="0"/>
    <n v="0"/>
    <n v="1"/>
    <n v="0"/>
    <n v="0"/>
    <n v="1"/>
    <n v="0"/>
    <n v="0"/>
    <n v="0"/>
    <n v="0"/>
    <s v="Type A  _x000a_2AM-MRY1325"/>
    <s v="Removed"/>
    <n v="2014"/>
    <s v="Direct "/>
    <m/>
    <m/>
    <n v="0.5"/>
    <n v="0.5"/>
    <m/>
    <m/>
    <m/>
    <m/>
    <m/>
    <m/>
    <n v="0"/>
    <m/>
    <n v="0"/>
    <n v="0"/>
    <n v="0"/>
    <n v="0"/>
    <n v="0"/>
    <n v="0"/>
    <n v="0"/>
    <n v="0"/>
  </r>
  <r>
    <x v="5"/>
    <x v="5"/>
    <x v="10"/>
    <x v="8"/>
    <x v="42"/>
    <x v="21"/>
    <x v="98"/>
    <x v="99"/>
    <s v="505"/>
    <s v="BLD"/>
    <s v="EG"/>
    <s v="Gravel Base Removal"/>
    <s v="EG"/>
    <s v="Flooring / Foundations"/>
    <s v="Gravel Base"/>
    <m/>
    <s v="Communication Shed No. 1 - Demolish and foundations - Gravel Base - Skidded Building"/>
    <s v="3111-BLD-001"/>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8"/>
    <x v="99"/>
    <s v="506"/>
    <s v="BLD"/>
    <m/>
    <e v="#N/A"/>
    <s v="FW"/>
    <s v="Flooring / Foundations"/>
    <s v="Wood Floor"/>
    <m/>
    <s v="Communication Shed No. 1 - Demolish floor finish - Raised Steel or Wooden Floor"/>
    <s v="3111-BLD-001"/>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8"/>
    <x v="99"/>
    <s v="508"/>
    <s v="BLD"/>
    <s v="EG"/>
    <s v="Gravel Base Removal"/>
    <s v="EG"/>
    <s v="Flooring / Foundations"/>
    <s v="Gravel Base"/>
    <m/>
    <s v="Communication Shed No. 2 - Demolish and foundations - Gravel Base - Skidded Building"/>
    <s v="3111-BLD-002"/>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8"/>
    <x v="99"/>
    <s v="509"/>
    <s v="BLD"/>
    <m/>
    <e v="#N/A"/>
    <s v="FW"/>
    <s v="Flooring / Foundations"/>
    <s v="Wood Floor"/>
    <m/>
    <s v="Communication Shed No. 2 - Demolish floor finish - Raised Steel or Wooden Floor"/>
    <s v="3111-BLD-002"/>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8"/>
    <x v="99"/>
    <s v="511"/>
    <s v="BLD"/>
    <s v="EG"/>
    <s v="Gravel Base Removal"/>
    <s v="EG"/>
    <s v="Flooring / Foundations"/>
    <s v="Gravel Base"/>
    <m/>
    <s v="Communication Shed No. 3 - Demolish and foundations - Gravel Base - Skidded Building"/>
    <s v="3111-BLD-003"/>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8"/>
    <x v="99"/>
    <s v="512"/>
    <s v="BLD"/>
    <m/>
    <e v="#N/A"/>
    <s v="FW"/>
    <s v="Flooring / Foundations"/>
    <s v="Wood Floor"/>
    <m/>
    <s v="Communication Shed No. 3 - Demolish floor finish - Raised Steel or Wooden Floor"/>
    <s v="3111-BLD-003"/>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8"/>
    <x v="99"/>
    <s v="514"/>
    <s v="BLD"/>
    <s v="EG"/>
    <s v="Gravel Base Removal"/>
    <s v="EG"/>
    <s v="Flooring / Foundations"/>
    <s v="Gravel Base"/>
    <m/>
    <s v="Communication Shed No. 4 - Demolish and foundations - Gravel Base - Skidded Building"/>
    <s v="3111-BLD-004"/>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8"/>
    <x v="99"/>
    <s v="515"/>
    <s v="BLD"/>
    <m/>
    <e v="#N/A"/>
    <s v="FW"/>
    <s v="Flooring / Foundations"/>
    <s v="Wood Floor"/>
    <m/>
    <s v="Communication Shed No. 4 - Demolish floor finish - Raised Steel or Wooden Floor"/>
    <s v="3111-BLD-004"/>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9"/>
    <x v="100"/>
    <s v="518"/>
    <s v="BLD"/>
    <s v="EG"/>
    <s v="Gravel Base Removal"/>
    <s v="EG"/>
    <s v="Flooring / Foundations"/>
    <s v="Gravel Base"/>
    <m/>
    <s v="Communication Shed No. 5 - Demolish and foundations - Gravel Base - Skidded Building"/>
    <s v="3112-BLD-001"/>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9"/>
    <x v="100"/>
    <s v="519"/>
    <s v="BLD"/>
    <m/>
    <e v="#N/A"/>
    <s v="FW"/>
    <s v="Flooring / Foundations"/>
    <s v="Wood Floor"/>
    <m/>
    <s v="Communication Shed No. 5 - Demolish floor finish - Raised Steel or Wooden Floor"/>
    <s v="3112-BLD-001"/>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9"/>
    <x v="100"/>
    <s v="521"/>
    <s v="BLD"/>
    <s v="EG"/>
    <s v="Gravel Base Removal"/>
    <s v="EG"/>
    <s v="Flooring / Foundations"/>
    <s v="Gravel Base"/>
    <m/>
    <s v="Communication Shed No. 6 - Demolish and foundations - Gravel Base - Skidded Building"/>
    <s v="3112-BLD-002"/>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9"/>
    <x v="100"/>
    <s v="522"/>
    <s v="BLD"/>
    <m/>
    <e v="#N/A"/>
    <s v="FW"/>
    <s v="Flooring / Foundations"/>
    <s v="Wood Floor"/>
    <m/>
    <s v="Communication Shed No. 6 - Demolish floor finish - Raised Steel or Wooden Floor"/>
    <s v="3112-BLD-002"/>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9"/>
    <x v="100"/>
    <s v="524"/>
    <s v="BLD"/>
    <s v="EG"/>
    <s v="Gravel Base Removal"/>
    <s v="EG"/>
    <s v="Flooring / Foundations"/>
    <s v="Gravel Base"/>
    <m/>
    <s v="Communication Shed No. 7 - Demolish and foundations - Gravel Base - Skidded Building"/>
    <s v="3112-BLD-003"/>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9"/>
    <x v="100"/>
    <s v="525"/>
    <s v="BLD"/>
    <m/>
    <e v="#N/A"/>
    <s v="FW"/>
    <s v="Flooring / Foundations"/>
    <s v="Wood Floor"/>
    <m/>
    <s v="Communication Shed No. 7 - Demolish floor finish - Raised Steel or Wooden Floor"/>
    <s v="3112-BLD-003"/>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9"/>
    <x v="100"/>
    <s v="527"/>
    <s v="BLD"/>
    <s v="EG"/>
    <s v="Gravel Base Removal"/>
    <s v="EG"/>
    <s v="Flooring / Foundations"/>
    <s v="Gravel Base"/>
    <m/>
    <s v="Communication Shed No. 8 - Demolish and foundations - Gravel Base - Skidded Building"/>
    <s v="3112-BLD-004"/>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99"/>
    <x v="100"/>
    <s v="528"/>
    <s v="BLD"/>
    <m/>
    <e v="#N/A"/>
    <s v="FW"/>
    <s v="Flooring / Foundations"/>
    <s v="Wood Floor"/>
    <m/>
    <s v="Communication Shed No. 8 - Demolish floor finish - Raised Steel or Wooden Floor"/>
    <s v="3112-BLD-004"/>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100"/>
    <x v="101"/>
    <s v="531"/>
    <s v="BLD"/>
    <s v="EG"/>
    <s v="Gravel Base Removal"/>
    <s v="EG"/>
    <s v="Flooring / Foundations"/>
    <s v="Gravel Base"/>
    <m/>
    <s v="Communication Shed No. 9 - Demolish and foundations - Gravel Base - Skidded Building"/>
    <s v="3113-BLD-001"/>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100"/>
    <x v="101"/>
    <s v="532"/>
    <s v="BLD"/>
    <m/>
    <e v="#N/A"/>
    <s v="FW"/>
    <s v="Flooring / Foundations"/>
    <s v="Wood Floor"/>
    <m/>
    <s v="Communication Shed No. 9 - Demolish floor finish - Raised Steel or Wooden Floor"/>
    <s v="3113-BLD-001"/>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100"/>
    <x v="101"/>
    <s v="534"/>
    <s v="BLD"/>
    <s v="EG"/>
    <s v="Gravel Base Removal"/>
    <s v="EG"/>
    <s v="Flooring / Foundations"/>
    <s v="Gravel Base"/>
    <m/>
    <s v="Communication Shed No. 10 - Demolish and foundations - Gravel Base - Skidded Building"/>
    <s v="3113-BLD-002"/>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100"/>
    <x v="101"/>
    <s v="535"/>
    <s v="BLD"/>
    <m/>
    <e v="#N/A"/>
    <s v="FW"/>
    <s v="Flooring / Foundations"/>
    <s v="Wood Floor"/>
    <m/>
    <s v="Communication Shed No. 10 - Demolish floor finish - Raised Steel or Wooden Floor"/>
    <s v="3113-BLD-002"/>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100"/>
    <x v="101"/>
    <s v="537"/>
    <s v="BLD"/>
    <s v="EG"/>
    <s v="Gravel Base Removal"/>
    <s v="EG"/>
    <s v="Flooring / Foundations"/>
    <s v="Gravel Base"/>
    <m/>
    <s v="Communication Shed No. 11 - Demolish and foundations - Gravel Base - Skidded Building"/>
    <s v="3113-BLD-003"/>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2"/>
    <x v="21"/>
    <x v="100"/>
    <x v="101"/>
    <s v="538"/>
    <s v="BLD"/>
    <m/>
    <e v="#N/A"/>
    <s v="FW"/>
    <s v="Flooring / Foundations"/>
    <s v="Wood Floor"/>
    <m/>
    <s v="Communication Shed No. 11 - Demolish floor finish - Raised Steel or Wooden Floor"/>
    <s v="3113-BLD-003"/>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3"/>
    <x v="29"/>
    <x v="101"/>
    <x v="102"/>
    <s v="567"/>
    <s v="BLD"/>
    <m/>
    <e v="#N/A"/>
    <s v="FW"/>
    <s v="Flooring / Foundations"/>
    <s v="Wood Floor"/>
    <m/>
    <s v="Emergency Shelter  No. 1 - Demolish floor finish - Raised Steel or Wooden Floor"/>
    <s v="3160-BLD-001"/>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3"/>
    <x v="29"/>
    <x v="101"/>
    <x v="102"/>
    <s v="570"/>
    <s v="BLD"/>
    <m/>
    <e v="#N/A"/>
    <s v="FW"/>
    <s v="Flooring / Foundations"/>
    <s v="Wood Floor"/>
    <m/>
    <s v="Emergency Shelter  No. 2 - Demolish floor finish - Raised Steel or Wooden Floor"/>
    <s v="3160-BLD-002"/>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3"/>
    <x v="29"/>
    <x v="101"/>
    <x v="102"/>
    <s v="573"/>
    <s v="BLD"/>
    <m/>
    <e v="#N/A"/>
    <s v="FW"/>
    <s v="Flooring / Foundations"/>
    <s v="Wood Floor"/>
    <m/>
    <s v="Emergency Shelter  No. 3 - Demolish floor finish - Raised Steel or Wooden Floor"/>
    <s v="3160-BLD-003"/>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43"/>
    <x v="29"/>
    <x v="101"/>
    <x v="102"/>
    <s v="576"/>
    <s v="BLD"/>
    <m/>
    <e v="#N/A"/>
    <s v="FW"/>
    <s v="Flooring / Foundations"/>
    <s v="Wood Floor"/>
    <m/>
    <s v="Emergency Shelter  No. 4 - Demolish floor finish - Raised Steel or Wooden Floor"/>
    <s v="3160-BLD-004"/>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5"/>
    <x v="5"/>
    <x v="10"/>
    <x v="8"/>
    <x v="18"/>
    <x v="10"/>
    <x v="28"/>
    <x v="24"/>
    <m/>
    <s v="BLD"/>
    <s v="EG"/>
    <s v="Gravel Base Removal"/>
    <s v="EG"/>
    <s v="Flooring / Foundations"/>
    <s v="Gravel Base"/>
    <m/>
    <s v="Mobile Maintenance Depot - Demolish and foundations - Gravel Base - Skidded Building"/>
    <m/>
    <n v="682"/>
    <s v="m2"/>
    <n v="0"/>
    <n v="0"/>
    <n v="0"/>
    <n v="0"/>
    <n v="0"/>
    <n v="0"/>
    <n v="0"/>
    <n v="0"/>
    <n v="0"/>
    <n v="0"/>
    <n v="0"/>
    <n v="0"/>
    <n v="0"/>
    <n v="1"/>
    <n v="0"/>
    <n v="1"/>
    <n v="0"/>
    <n v="0"/>
    <n v="0"/>
    <n v="0"/>
    <s v="Type A  _x000a_2AM-MRY1325"/>
    <s v="Added"/>
    <n v="2016"/>
    <s v="Direct "/>
    <m/>
    <m/>
    <n v="0.33333333333333331"/>
    <n v="0.33333333333333331"/>
    <n v="0.33333333333333331"/>
    <m/>
    <m/>
    <m/>
    <m/>
    <m/>
    <n v="0"/>
    <m/>
    <n v="0"/>
    <n v="0"/>
    <n v="0"/>
    <n v="0"/>
    <n v="0"/>
    <n v="0"/>
    <n v="0"/>
    <n v="0"/>
  </r>
  <r>
    <x v="5"/>
    <x v="5"/>
    <x v="10"/>
    <x v="8"/>
    <x v="44"/>
    <x v="21"/>
    <x v="102"/>
    <x v="103"/>
    <m/>
    <s v=""/>
    <m/>
    <m/>
    <m/>
    <m/>
    <m/>
    <m/>
    <m/>
    <m/>
    <m/>
    <m/>
    <s v="0"/>
    <s v="0"/>
    <s v="0"/>
    <s v="0"/>
    <s v="0"/>
    <n v="0"/>
    <n v="0"/>
    <n v="0"/>
    <n v="0"/>
    <n v="0"/>
    <n v="0"/>
    <n v="0"/>
    <n v="1"/>
    <n v="0"/>
    <m/>
    <m/>
    <n v="0"/>
    <n v="0"/>
    <m/>
    <m/>
    <s v="Type A  _x000a_2AM-MRY1325"/>
    <m/>
    <n v="2014"/>
    <s v="Direct "/>
    <m/>
    <m/>
    <m/>
    <m/>
    <m/>
    <m/>
    <m/>
    <m/>
    <m/>
    <m/>
    <n v="0"/>
    <m/>
    <n v="0"/>
    <n v="0"/>
    <n v="0"/>
    <n v="0"/>
    <n v="0"/>
    <n v="0"/>
    <n v="0"/>
    <n v="0"/>
  </r>
  <r>
    <x v="5"/>
    <x v="5"/>
    <x v="10"/>
    <x v="8"/>
    <x v="18"/>
    <x v="10"/>
    <x v="15"/>
    <x v="104"/>
    <m/>
    <s v=""/>
    <m/>
    <m/>
    <m/>
    <m/>
    <m/>
    <m/>
    <m/>
    <m/>
    <m/>
    <m/>
    <s v="0"/>
    <s v="0"/>
    <s v="0"/>
    <s v="0"/>
    <s v="0"/>
    <n v="0"/>
    <n v="0"/>
    <n v="0"/>
    <n v="0"/>
    <n v="0"/>
    <n v="0"/>
    <n v="0"/>
    <n v="1"/>
    <n v="0"/>
    <m/>
    <m/>
    <n v="0"/>
    <n v="0"/>
    <m/>
    <m/>
    <s v="Type A  _x000a_2AM-MRY1325"/>
    <m/>
    <n v="2014"/>
    <s v="Direct "/>
    <m/>
    <m/>
    <m/>
    <m/>
    <m/>
    <m/>
    <m/>
    <m/>
    <m/>
    <m/>
    <n v="0"/>
    <m/>
    <n v="0"/>
    <n v="0"/>
    <n v="0"/>
    <n v="0"/>
    <n v="0"/>
    <n v="0"/>
    <n v="0"/>
    <n v="0"/>
  </r>
  <r>
    <x v="5"/>
    <x v="5"/>
    <x v="10"/>
    <x v="8"/>
    <x v="18"/>
    <x v="10"/>
    <x v="15"/>
    <x v="105"/>
    <m/>
    <s v=""/>
    <m/>
    <m/>
    <m/>
    <m/>
    <m/>
    <m/>
    <m/>
    <m/>
    <m/>
    <m/>
    <s v="0"/>
    <s v="0"/>
    <s v="0"/>
    <s v="0"/>
    <s v="0"/>
    <n v="0"/>
    <n v="0"/>
    <n v="0"/>
    <n v="0"/>
    <n v="0"/>
    <n v="0"/>
    <n v="0"/>
    <n v="1"/>
    <n v="0"/>
    <m/>
    <m/>
    <n v="0"/>
    <n v="0"/>
    <m/>
    <m/>
    <s v="Type A  _x000a_2AM-MRY1325"/>
    <m/>
    <n v="2014"/>
    <s v="Direct "/>
    <m/>
    <m/>
    <m/>
    <m/>
    <m/>
    <m/>
    <m/>
    <m/>
    <m/>
    <m/>
    <n v="0"/>
    <m/>
    <n v="0"/>
    <n v="0"/>
    <n v="0"/>
    <n v="0"/>
    <n v="0"/>
    <n v="0"/>
    <n v="0"/>
    <n v="0"/>
  </r>
  <r>
    <x v="5"/>
    <x v="5"/>
    <x v="10"/>
    <x v="8"/>
    <x v="18"/>
    <x v="10"/>
    <x v="15"/>
    <x v="106"/>
    <m/>
    <s v=""/>
    <m/>
    <m/>
    <m/>
    <m/>
    <m/>
    <m/>
    <m/>
    <m/>
    <m/>
    <m/>
    <s v="0"/>
    <s v="0"/>
    <s v="0"/>
    <s v="0"/>
    <s v="0"/>
    <n v="0"/>
    <n v="0"/>
    <n v="0"/>
    <n v="0"/>
    <n v="0"/>
    <n v="0"/>
    <n v="0"/>
    <n v="1"/>
    <n v="0"/>
    <m/>
    <m/>
    <n v="0"/>
    <n v="0"/>
    <m/>
    <m/>
    <s v="Type A  _x000a_2AM-MRY1325"/>
    <m/>
    <n v="2014"/>
    <s v="Direct "/>
    <m/>
    <m/>
    <m/>
    <m/>
    <m/>
    <m/>
    <m/>
    <m/>
    <m/>
    <m/>
    <n v="0"/>
    <m/>
    <n v="0"/>
    <n v="0"/>
    <n v="0"/>
    <n v="0"/>
    <n v="0"/>
    <n v="0"/>
    <n v="0"/>
    <n v="0"/>
  </r>
  <r>
    <x v="5"/>
    <x v="5"/>
    <x v="10"/>
    <x v="8"/>
    <x v="18"/>
    <x v="10"/>
    <x v="15"/>
    <x v="107"/>
    <m/>
    <s v=""/>
    <m/>
    <m/>
    <m/>
    <m/>
    <m/>
    <m/>
    <m/>
    <m/>
    <m/>
    <m/>
    <s v="0"/>
    <s v="0"/>
    <s v="0"/>
    <s v="0"/>
    <s v="0"/>
    <n v="0"/>
    <n v="0"/>
    <n v="0"/>
    <n v="0"/>
    <n v="0"/>
    <n v="0"/>
    <n v="0"/>
    <n v="1"/>
    <n v="0"/>
    <m/>
    <m/>
    <n v="0"/>
    <n v="0"/>
    <m/>
    <m/>
    <s v="Type A  _x000a_2AM-MRY1325"/>
    <m/>
    <n v="2014"/>
    <s v="Direct "/>
    <m/>
    <m/>
    <m/>
    <m/>
    <m/>
    <m/>
    <m/>
    <m/>
    <m/>
    <m/>
    <n v="0"/>
    <m/>
    <n v="0"/>
    <n v="0"/>
    <n v="0"/>
    <n v="0"/>
    <n v="0"/>
    <n v="0"/>
    <n v="0"/>
    <n v="0"/>
  </r>
  <r>
    <x v="5"/>
    <x v="5"/>
    <x v="10"/>
    <x v="8"/>
    <x v="18"/>
    <x v="10"/>
    <x v="24"/>
    <x v="108"/>
    <m/>
    <s v=""/>
    <m/>
    <m/>
    <m/>
    <m/>
    <m/>
    <m/>
    <m/>
    <m/>
    <m/>
    <m/>
    <s v="0"/>
    <s v="0"/>
    <s v="0"/>
    <s v="0"/>
    <s v="0"/>
    <n v="0"/>
    <n v="0"/>
    <n v="0"/>
    <n v="0"/>
    <n v="0"/>
    <n v="0"/>
    <n v="0"/>
    <n v="1"/>
    <n v="0"/>
    <m/>
    <m/>
    <n v="0"/>
    <n v="0"/>
    <m/>
    <m/>
    <s v="Type A  _x000a_2AM-MRY1325"/>
    <m/>
    <n v="2014"/>
    <s v="Direct "/>
    <m/>
    <m/>
    <m/>
    <m/>
    <m/>
    <m/>
    <m/>
    <m/>
    <m/>
    <m/>
    <n v="0"/>
    <m/>
    <n v="0"/>
    <n v="0"/>
    <n v="0"/>
    <n v="0"/>
    <n v="0"/>
    <n v="0"/>
    <n v="0"/>
    <n v="0"/>
  </r>
  <r>
    <x v="5"/>
    <x v="5"/>
    <x v="10"/>
    <x v="8"/>
    <x v="18"/>
    <x v="10"/>
    <x v="24"/>
    <x v="109"/>
    <m/>
    <s v=""/>
    <m/>
    <m/>
    <m/>
    <m/>
    <m/>
    <m/>
    <m/>
    <m/>
    <m/>
    <m/>
    <s v="0"/>
    <s v="0"/>
    <s v="0"/>
    <s v="0"/>
    <s v="0"/>
    <n v="0"/>
    <n v="0"/>
    <n v="0"/>
    <n v="0"/>
    <n v="0"/>
    <n v="0"/>
    <n v="0"/>
    <n v="1"/>
    <n v="0"/>
    <m/>
    <m/>
    <n v="0"/>
    <n v="0"/>
    <m/>
    <m/>
    <s v="Type A  _x000a_2AM-MRY1325"/>
    <m/>
    <n v="2014"/>
    <s v="Direct "/>
    <m/>
    <m/>
    <m/>
    <m/>
    <m/>
    <m/>
    <m/>
    <m/>
    <m/>
    <m/>
    <n v="0"/>
    <m/>
    <n v="0"/>
    <n v="0"/>
    <n v="0"/>
    <n v="0"/>
    <n v="0"/>
    <n v="0"/>
    <n v="0"/>
    <n v="0"/>
  </r>
  <r>
    <x v="5"/>
    <x v="5"/>
    <x v="10"/>
    <x v="8"/>
    <x v="18"/>
    <x v="10"/>
    <x v="24"/>
    <x v="72"/>
    <m/>
    <s v=""/>
    <s v="A3"/>
    <s v="Grade &amp; Re-Contour"/>
    <s v="A2"/>
    <s v="Site Works"/>
    <s v="Grade and Re-Contour"/>
    <s v="Grade and Contour"/>
    <s v="Unidentified Borrow Sources"/>
    <m/>
    <m/>
    <s v="m2"/>
    <n v="1.2689880937499998E-2"/>
    <n v="0.14624999999999999"/>
    <n v="1.2689880937499998"/>
    <n v="0.39654534577546297"/>
    <n v="1.8102953457754629"/>
    <n v="0"/>
    <n v="0"/>
    <n v="0"/>
    <n v="0"/>
    <n v="0"/>
    <n v="0"/>
    <n v="0"/>
    <n v="1"/>
    <n v="0"/>
    <n v="0"/>
    <n v="1"/>
    <n v="0"/>
    <n v="0"/>
    <n v="0"/>
    <n v="0"/>
    <s v="Type A  _x000a_2AM-MRY1325"/>
    <s v="Removed"/>
    <n v="2014"/>
    <s v="Direct "/>
    <m/>
    <m/>
    <n v="0.5"/>
    <n v="0.5"/>
    <m/>
    <m/>
    <m/>
    <m/>
    <m/>
    <m/>
    <n v="0"/>
    <m/>
    <n v="0"/>
    <n v="0"/>
    <n v="0"/>
    <n v="0"/>
    <n v="0"/>
    <n v="0"/>
    <n v="0"/>
    <n v="0"/>
  </r>
  <r>
    <x v="5"/>
    <x v="5"/>
    <x v="10"/>
    <x v="8"/>
    <x v="18"/>
    <x v="10"/>
    <x v="89"/>
    <x v="73"/>
    <m/>
    <s v="MO-"/>
    <s v="O3"/>
    <s v="Heavy Mobile Equipment"/>
    <s v="O3"/>
    <s v="Mobile Equipment"/>
    <s v="Heavy Mobile Equipment"/>
    <s v="45 MT"/>
    <s v="MOBILE EQUIPMENT  -EXCAVATOR - CAT M322D"/>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5"/>
    <x v="5"/>
    <x v="10"/>
    <x v="8"/>
    <x v="18"/>
    <x v="10"/>
    <x v="24"/>
    <x v="97"/>
    <m/>
    <m/>
    <s v="A3"/>
    <s v="Grade &amp; Re-Contour"/>
    <s v="A2"/>
    <s v="Site Works"/>
    <s v="Grade and Re-Contour"/>
    <s v="Grade and Contour"/>
    <s v="Removal of Quarry and Borrow No Longer being Developed (Q9, Q14, Q15, P5, P6, P7, P8, P10, P13, P14, and P15)_x000a_"/>
    <m/>
    <n v="-102131"/>
    <s v="m2"/>
    <n v="1.2689880937499998E-2"/>
    <n v="0.14624999999999999"/>
    <n v="1.2689880937499998"/>
    <n v="0.39654534577546297"/>
    <n v="1.8102953457754629"/>
    <n v="-1296.0302300278124"/>
    <n v="-14936.658749999999"/>
    <n v="-129603.02300278122"/>
    <n v="-40499.572709393811"/>
    <n v="-184887.27395939382"/>
    <n v="0"/>
    <n v="0"/>
    <n v="1"/>
    <n v="0"/>
    <n v="0"/>
    <n v="1"/>
    <n v="-184887.27395939382"/>
    <n v="0"/>
    <n v="0"/>
    <n v="-184887.27395939382"/>
    <s v="Type A  _x000a_2AM-MRY1325"/>
    <s v="Removed"/>
    <n v="2017"/>
    <s v="Direct "/>
    <m/>
    <m/>
    <n v="0.5"/>
    <n v="0.5"/>
    <m/>
    <m/>
    <m/>
    <m/>
    <m/>
    <m/>
    <n v="0"/>
    <m/>
    <n v="-92443.636979696908"/>
    <n v="-92443.636979696908"/>
    <n v="0"/>
    <n v="0"/>
    <n v="0"/>
    <n v="0"/>
    <n v="0"/>
    <n v="0"/>
  </r>
  <r>
    <x v="5"/>
    <x v="5"/>
    <x v="10"/>
    <x v="8"/>
    <x v="1"/>
    <x v="1"/>
    <x v="1"/>
    <x v="1"/>
    <m/>
    <s v=""/>
    <m/>
    <m/>
    <m/>
    <m/>
    <m/>
    <m/>
    <m/>
    <m/>
    <m/>
    <m/>
    <m/>
    <m/>
    <m/>
    <m/>
    <m/>
    <m/>
    <m/>
    <m/>
    <m/>
    <m/>
    <m/>
    <m/>
    <m/>
    <m/>
    <m/>
    <m/>
    <m/>
    <m/>
    <m/>
    <m/>
    <m/>
    <m/>
    <m/>
    <m/>
    <m/>
    <m/>
    <m/>
    <m/>
    <m/>
    <m/>
    <m/>
    <m/>
    <m/>
    <m/>
    <m/>
    <m/>
    <m/>
    <m/>
    <m/>
    <m/>
    <m/>
    <m/>
    <m/>
    <m/>
  </r>
  <r>
    <x v="5"/>
    <x v="5"/>
    <x v="1"/>
    <x v="1"/>
    <x v="1"/>
    <x v="1"/>
    <x v="1"/>
    <x v="1"/>
    <m/>
    <s v=""/>
    <m/>
    <m/>
    <m/>
    <m/>
    <m/>
    <m/>
    <m/>
    <m/>
    <m/>
    <m/>
    <m/>
    <m/>
    <m/>
    <m/>
    <m/>
    <m/>
    <m/>
    <m/>
    <m/>
    <m/>
    <m/>
    <m/>
    <m/>
    <m/>
    <m/>
    <m/>
    <m/>
    <m/>
    <m/>
    <m/>
    <m/>
    <m/>
    <m/>
    <m/>
    <m/>
    <m/>
    <m/>
    <m/>
    <m/>
    <m/>
    <m/>
    <m/>
    <m/>
    <m/>
    <m/>
    <m/>
    <m/>
    <m/>
    <m/>
    <m/>
    <m/>
    <m/>
    <m/>
    <m/>
  </r>
  <r>
    <x v="6"/>
    <x v="6"/>
    <x v="11"/>
    <x v="3"/>
    <x v="45"/>
    <x v="3"/>
    <x v="103"/>
    <x v="15"/>
    <m/>
    <s v="BLD"/>
    <s v="FF1"/>
    <s v="Modular Building Not Contaminated (480 ft2)"/>
    <s v="FS"/>
    <s v="Buildings (Not Contaminated)"/>
    <s v="Prefabricated Special Modular"/>
    <m/>
    <s v="800 man temporary hard-walled camp at Mine Site inclusive of kitchen, dining, locker, recreational and washroom (assume footprint of 13,000 m2)"/>
    <m/>
    <n v="13000"/>
    <s v="m2"/>
    <n v="0.22416666666666665"/>
    <n v="3.3624999999999998"/>
    <n v="22.397249563492064"/>
    <n v="33.625"/>
    <n v="59.384749563492065"/>
    <n v="2914.1666666666665"/>
    <n v="43712.5"/>
    <n v="291164.24432539684"/>
    <n v="437125"/>
    <n v="772001.74432539684"/>
    <n v="1"/>
    <n v="13000"/>
    <n v="1"/>
    <n v="0"/>
    <n v="0"/>
    <n v="1"/>
    <n v="772001.74432539684"/>
    <n v="0"/>
    <n v="0"/>
    <n v="772001.74432539684"/>
    <s v="Type B Construction_x000a_2BC-MRY1416"/>
    <s v="Added"/>
    <s v="2017-A"/>
    <s v="Direct "/>
    <m/>
    <m/>
    <n v="0.33333333333333331"/>
    <n v="0.33333333333333331"/>
    <n v="0.33333333333333331"/>
    <m/>
    <m/>
    <m/>
    <m/>
    <m/>
    <n v="0"/>
    <m/>
    <n v="257333.91477513226"/>
    <n v="257333.91477513226"/>
    <n v="257333.91477513226"/>
    <n v="0"/>
    <n v="0"/>
    <n v="0"/>
    <n v="0"/>
    <n v="0"/>
  </r>
  <r>
    <x v="6"/>
    <x v="6"/>
    <x v="14"/>
    <x v="5"/>
    <x v="46"/>
    <x v="30"/>
    <x v="104"/>
    <x v="110"/>
    <s v="1119"/>
    <s v="In Meters"/>
    <s v="piping"/>
    <s v="Piping"/>
    <s v="Piping"/>
    <s v="Bulks"/>
    <s v="Piping"/>
    <m/>
    <s v="Raw Water Supply Pipe - Piping Installation - Pumphouse to Water Building"/>
    <s v="4712.2-P"/>
    <n v="8518"/>
    <s v="m"/>
    <n v="0.25"/>
    <n v="3.75"/>
    <n v="24.97834523809524"/>
    <n v="37.5"/>
    <n v="66.228345238095244"/>
    <n v="2129.5"/>
    <n v="31942.5"/>
    <n v="212765.54473809525"/>
    <n v="319425"/>
    <n v="564133.04473809525"/>
    <n v="1.0000000000000002E-2"/>
    <n v="85.180000000000021"/>
    <n v="1"/>
    <n v="0"/>
    <n v="1"/>
    <n v="0"/>
    <n v="564133.04473809525"/>
    <n v="0"/>
    <n v="564133.04473809525"/>
    <n v="0"/>
    <s v="Type A  _x000a_2AM-MRY1325"/>
    <m/>
    <n v="2014"/>
    <s v="Direct "/>
    <m/>
    <m/>
    <n v="0.33333333333333331"/>
    <n v="0.33333333333333331"/>
    <n v="0.33333333333333331"/>
    <m/>
    <m/>
    <m/>
    <m/>
    <m/>
    <n v="0"/>
    <m/>
    <n v="188044.34824603173"/>
    <n v="188044.34824603173"/>
    <n v="188044.34824603173"/>
    <n v="0"/>
    <n v="0"/>
    <n v="0"/>
    <n v="0"/>
    <n v="0"/>
  </r>
  <r>
    <x v="6"/>
    <x v="6"/>
    <x v="11"/>
    <x v="3"/>
    <x v="45"/>
    <x v="3"/>
    <x v="105"/>
    <x v="3"/>
    <m/>
    <m/>
    <s v="CON"/>
    <s v="Consumables"/>
    <s v="CON"/>
    <m/>
    <s v="Consumables"/>
    <m/>
    <s v="Addition of 800 person camp at Mine Site"/>
    <m/>
    <n v="800"/>
    <s v="Bed Space"/>
    <n v="0"/>
    <n v="700.80090909090916"/>
    <n v="0"/>
    <n v="0"/>
    <n v="700.80090909090916"/>
    <n v="0"/>
    <n v="560640.72727272729"/>
    <n v="0"/>
    <n v="0"/>
    <n v="560640.72727272729"/>
    <n v="0"/>
    <n v="0"/>
    <n v="1"/>
    <n v="0"/>
    <n v="0"/>
    <n v="1"/>
    <n v="560640.72727272729"/>
    <n v="0"/>
    <n v="0"/>
    <n v="560640.72727272729"/>
    <s v="Type A  _x000a_2AM-MRY1325"/>
    <s v="Added"/>
    <s v="2017-A"/>
    <s v="Direct "/>
    <m/>
    <m/>
    <m/>
    <m/>
    <n v="1"/>
    <m/>
    <m/>
    <m/>
    <m/>
    <m/>
    <n v="0"/>
    <m/>
    <n v="0"/>
    <n v="0"/>
    <n v="560640.72727272729"/>
    <n v="0"/>
    <n v="0"/>
    <n v="0"/>
    <n v="0"/>
    <n v="0"/>
  </r>
  <r>
    <x v="6"/>
    <x v="6"/>
    <x v="12"/>
    <x v="8"/>
    <x v="34"/>
    <x v="10"/>
    <x v="94"/>
    <x v="62"/>
    <m/>
    <s v=""/>
    <s v="A3"/>
    <s v="Grade &amp; Re-Contour"/>
    <s v="A2"/>
    <s v="Site Works"/>
    <s v="Grade and Re-Contour"/>
    <s v="Grade and Contour"/>
    <s v="QMR2 Quarry"/>
    <m/>
    <n v="258580"/>
    <s v="m2"/>
    <n v="1.2689880937499998E-2"/>
    <n v="0.14624999999999999"/>
    <n v="1.2689880937499998"/>
    <n v="0.39654534577546297"/>
    <n v="1.8102953457754629"/>
    <n v="3281.3494128187494"/>
    <n v="37817.324999999997"/>
    <n v="328134.94128187496"/>
    <n v="102538.69551061922"/>
    <n v="468490.96179249417"/>
    <n v="0"/>
    <n v="0"/>
    <n v="1"/>
    <n v="0"/>
    <n v="0"/>
    <n v="1"/>
    <n v="468490.96179249417"/>
    <n v="0"/>
    <n v="0"/>
    <n v="468490.96179249417"/>
    <s v="Type A  _x000a_2AM-MRY1325"/>
    <s v="Check"/>
    <n v="2014"/>
    <s v="Direct "/>
    <m/>
    <m/>
    <n v="0.5"/>
    <n v="0.5"/>
    <m/>
    <m/>
    <m/>
    <m/>
    <m/>
    <m/>
    <n v="0"/>
    <m/>
    <n v="234245.48089624709"/>
    <n v="234245.48089624709"/>
    <n v="0"/>
    <n v="0"/>
    <n v="0"/>
    <n v="0"/>
    <n v="0"/>
    <n v="0"/>
  </r>
  <r>
    <x v="6"/>
    <x v="6"/>
    <x v="18"/>
    <x v="11"/>
    <x v="47"/>
    <x v="31"/>
    <x v="106"/>
    <x v="111"/>
    <m/>
    <s v=""/>
    <s v="A3"/>
    <s v="Grade &amp; Re-Contour"/>
    <s v="A2"/>
    <s v="Site Works"/>
    <s v="Grade and Re-Contour"/>
    <s v="Grade and Contour"/>
    <s v="Pit 1 - Marginal increase "/>
    <m/>
    <n v="214450"/>
    <s v="m2"/>
    <n v="1.2689880937499998E-2"/>
    <n v="0.14624999999999999"/>
    <n v="1.2689880937499998"/>
    <n v="0.39654534577546297"/>
    <n v="1.8102953457754629"/>
    <n v="2721.3449670468744"/>
    <n v="31363.312499999996"/>
    <n v="272134.49670468742"/>
    <n v="85039.149401548028"/>
    <n v="388217.83690154803"/>
    <n v="0"/>
    <n v="0"/>
    <n v="1"/>
    <n v="0"/>
    <n v="0"/>
    <n v="1"/>
    <n v="388217.83690154803"/>
    <n v="0"/>
    <n v="0"/>
    <n v="388217.83690154803"/>
    <s v="Type A  _x000a_2AM-MRY1325"/>
    <s v="Added"/>
    <s v="2015 R"/>
    <s v="Direct "/>
    <m/>
    <m/>
    <n v="0.5"/>
    <n v="0.5"/>
    <m/>
    <m/>
    <m/>
    <m/>
    <m/>
    <m/>
    <n v="0"/>
    <m/>
    <n v="194108.91845077401"/>
    <n v="194108.91845077401"/>
    <n v="0"/>
    <n v="0"/>
    <n v="0"/>
    <n v="0"/>
    <n v="0"/>
    <n v="0"/>
  </r>
  <r>
    <x v="6"/>
    <x v="6"/>
    <x v="13"/>
    <x v="2"/>
    <x v="25"/>
    <x v="19"/>
    <x v="95"/>
    <x v="86"/>
    <s v="828"/>
    <s v="In Meters"/>
    <s v="piping"/>
    <s v="Piping"/>
    <s v="Piping"/>
    <s v="Bulks"/>
    <s v="Piping"/>
    <m/>
    <s v="Stockpile Drain Pipe - Piping Installation - Ore stockpile to effluent pond and Mary River"/>
    <s v="4385.1-P"/>
    <n v="5220"/>
    <s v="m"/>
    <n v="0.25"/>
    <n v="3.75"/>
    <n v="24.97834523809524"/>
    <n v="37.5"/>
    <n v="66.228345238095244"/>
    <n v="1305"/>
    <n v="19575"/>
    <n v="130386.96214285716"/>
    <n v="195750"/>
    <n v="345711.96214285714"/>
    <n v="1.0000000000000002E-2"/>
    <n v="52.20000000000001"/>
    <n v="1"/>
    <n v="0"/>
    <n v="1"/>
    <n v="0"/>
    <n v="345711.96214285714"/>
    <n v="0"/>
    <n v="345711.96214285714"/>
    <n v="0"/>
    <s v="Type A  _x000a_2AM-MRY1325"/>
    <m/>
    <n v="2014"/>
    <s v="Direct "/>
    <m/>
    <m/>
    <n v="0.33333333333333331"/>
    <n v="0.33333333333333331"/>
    <n v="0.33333333333333331"/>
    <m/>
    <m/>
    <m/>
    <m/>
    <m/>
    <n v="0"/>
    <m/>
    <n v="115237.32071428571"/>
    <n v="115237.32071428571"/>
    <n v="115237.32071428571"/>
    <n v="0"/>
    <n v="0"/>
    <n v="0"/>
    <n v="0"/>
    <n v="0"/>
  </r>
  <r>
    <x v="6"/>
    <x v="6"/>
    <x v="11"/>
    <x v="3"/>
    <x v="19"/>
    <x v="4"/>
    <x v="31"/>
    <x v="12"/>
    <s v="942"/>
    <s v="BLD"/>
    <s v="FF2-c"/>
    <s v="Fold Away Building Contaminated (480 ft2)"/>
    <s v="FFL-c"/>
    <s v="Buildings (Contaminated)"/>
    <s v="Fold Away Building"/>
    <m/>
    <s v="Maintenance Building - Demolish and Decontaminate Building - Fold-away Building (Steel)"/>
    <s v="4521-BLD-001"/>
    <n v="2416.3568773234201"/>
    <s v="m2"/>
    <n v="0.56041666666666667"/>
    <n v="2.3537499999999998"/>
    <n v="55.993123908730162"/>
    <n v="84.0625"/>
    <n v="142.40937390873017"/>
    <n v="1354.1666666666667"/>
    <n v="5687.5"/>
    <n v="135299.37003968254"/>
    <n v="203125"/>
    <n v="344111.87003968254"/>
    <n v="1"/>
    <n v="2416.3568773234201"/>
    <n v="1"/>
    <n v="0"/>
    <n v="0"/>
    <n v="1"/>
    <n v="344111.87003968254"/>
    <n v="0"/>
    <n v="0"/>
    <n v="344111.87003968254"/>
    <s v="Type A  _x000a_2AM-MRY1325"/>
    <m/>
    <n v="2014"/>
    <s v="Direct "/>
    <m/>
    <m/>
    <n v="0.33333333333333331"/>
    <n v="0.33333333333333331"/>
    <n v="0.33333333333333331"/>
    <m/>
    <m/>
    <m/>
    <m/>
    <m/>
    <n v="0"/>
    <m/>
    <n v="114703.95667989418"/>
    <n v="114703.95667989418"/>
    <n v="114703.95667989418"/>
    <n v="0"/>
    <n v="0"/>
    <n v="0"/>
    <n v="0"/>
    <n v="0"/>
  </r>
  <r>
    <x v="6"/>
    <x v="6"/>
    <x v="14"/>
    <x v="5"/>
    <x v="48"/>
    <x v="9"/>
    <x v="107"/>
    <x v="10"/>
    <s v="1204"/>
    <s v="In Meters"/>
    <s v="cable"/>
    <s v="Cable"/>
    <s v="Cable"/>
    <s v="Bulks"/>
    <s v="Cable"/>
    <m/>
    <s v="Power Distribution System - Electrical Cable Installation 5kV &amp; Ground Wire - Electrical distribution system from power gen to e-house"/>
    <s v="4750.2-E"/>
    <n v="11000"/>
    <s v="m"/>
    <n v="0.1"/>
    <n v="1.5"/>
    <n v="9.9913380952380972"/>
    <n v="15"/>
    <n v="26.491338095238099"/>
    <n v="1100"/>
    <n v="16500"/>
    <n v="109904.71904761907"/>
    <n v="165000"/>
    <n v="291404.71904761909"/>
    <n v="1.0000000000000002E-2"/>
    <n v="110.00000000000003"/>
    <n v="1"/>
    <n v="0"/>
    <n v="0"/>
    <n v="1"/>
    <n v="291404.71904761909"/>
    <n v="0"/>
    <n v="0"/>
    <n v="291404.71904761909"/>
    <s v="Type A  _x000a_2AM-MRY1325"/>
    <m/>
    <n v="2014"/>
    <s v="Direct "/>
    <m/>
    <m/>
    <n v="0.33333333333333331"/>
    <n v="0.33333333333333331"/>
    <n v="0.33333333333333331"/>
    <m/>
    <m/>
    <m/>
    <m/>
    <m/>
    <n v="0"/>
    <m/>
    <n v="97134.906349206358"/>
    <n v="97134.906349206358"/>
    <n v="97134.906349206358"/>
    <n v="0"/>
    <n v="0"/>
    <n v="0"/>
    <n v="0"/>
    <n v="0"/>
  </r>
  <r>
    <x v="6"/>
    <x v="6"/>
    <x v="11"/>
    <x v="3"/>
    <x v="49"/>
    <x v="32"/>
    <x v="108"/>
    <x v="112"/>
    <m/>
    <s v=""/>
    <s v="A2"/>
    <s v="Fill Application"/>
    <s v="Fill"/>
    <s v="Site Works"/>
    <s v="Fill Application"/>
    <s v="Fill Application"/>
    <s v="Existing Landfill"/>
    <m/>
    <n v="6245"/>
    <s v="m2"/>
    <n v="0.24456421316628418"/>
    <n v="2.0270868355782152"/>
    <n v="22.154098746081509"/>
    <n v="22.214649120790398"/>
    <n v="44.368747866871892"/>
    <n v="1527.3035112234447"/>
    <n v="12659.157288185954"/>
    <n v="138352.34666927901"/>
    <n v="138730.48375933603"/>
    <n v="289741.987716801"/>
    <n v="0"/>
    <n v="0"/>
    <n v="1"/>
    <n v="0"/>
    <n v="0"/>
    <n v="1"/>
    <n v="289741.987716801"/>
    <n v="0"/>
    <n v="0"/>
    <n v="289741.987716801"/>
    <s v="Type A  _x000a_2AM-MRY1325"/>
    <s v="Modified"/>
    <n v="2014"/>
    <s v="Direct "/>
    <m/>
    <m/>
    <m/>
    <n v="1"/>
    <m/>
    <m/>
    <m/>
    <m/>
    <m/>
    <m/>
    <n v="0"/>
    <m/>
    <n v="0"/>
    <n v="289741.987716801"/>
    <n v="0"/>
    <n v="0"/>
    <n v="0"/>
    <n v="0"/>
    <n v="0"/>
    <n v="0"/>
  </r>
  <r>
    <x v="6"/>
    <x v="6"/>
    <x v="13"/>
    <x v="2"/>
    <x v="40"/>
    <x v="19"/>
    <x v="47"/>
    <x v="37"/>
    <m/>
    <s v=""/>
    <s v="A3"/>
    <s v="Grade &amp; Re-Contour"/>
    <s v="A2"/>
    <s v="Site Works"/>
    <s v="Grade and Re-Contour"/>
    <m/>
    <s v="Ore crushing and Loading Pad, Utility &amp; Accommodation Pads"/>
    <m/>
    <n v="121021"/>
    <s v="m2"/>
    <n v="1.2689880937499998E-2"/>
    <n v="0.14624999999999999"/>
    <n v="1.2689880937499998"/>
    <n v="0.39654534577546297"/>
    <n v="1.8102953457754629"/>
    <n v="1535.7420809371872"/>
    <n v="17699.321249999997"/>
    <n v="153574.20809371871"/>
    <n v="47990.314291092305"/>
    <n v="219263.84363481103"/>
    <n v="0"/>
    <n v="0"/>
    <n v="1"/>
    <n v="0"/>
    <n v="0"/>
    <n v="1"/>
    <n v="219263.84363481103"/>
    <n v="0"/>
    <n v="0"/>
    <n v="219263.84363481103"/>
    <s v="Type A  _x000a_2AM-MRY1325"/>
    <m/>
    <n v="2014"/>
    <s v="Direct "/>
    <m/>
    <m/>
    <n v="0.33333333333333331"/>
    <n v="0.33333333333333331"/>
    <n v="0.33333333333333331"/>
    <m/>
    <m/>
    <m/>
    <m/>
    <m/>
    <n v="0"/>
    <m/>
    <n v="73087.947878270337"/>
    <n v="73087.947878270337"/>
    <n v="73087.947878270337"/>
    <n v="0"/>
    <n v="0"/>
    <n v="0"/>
    <n v="0"/>
    <n v="0"/>
  </r>
  <r>
    <x v="6"/>
    <x v="6"/>
    <x v="11"/>
    <x v="3"/>
    <x v="19"/>
    <x v="4"/>
    <x v="109"/>
    <x v="113"/>
    <s v="1031"/>
    <s v="BLD"/>
    <s v="FF2-c"/>
    <s v="Fold Away Building Contaminated (480 ft2)"/>
    <s v="FFL-c"/>
    <s v="Buildings (Contaminated)"/>
    <s v="Fold Away Building"/>
    <m/>
    <s v="Additional Truck Wash Building "/>
    <m/>
    <n v="1500"/>
    <s v="m2"/>
    <n v="0.56041666666666667"/>
    <n v="2.3537499999999998"/>
    <n v="55.993123908730162"/>
    <n v="84.0625"/>
    <n v="142.40937390873017"/>
    <n v="840.625"/>
    <n v="3530.6249999999995"/>
    <n v="83989.685863095248"/>
    <n v="126093.75"/>
    <n v="213614.06086309525"/>
    <n v="1"/>
    <n v="1500"/>
    <n v="1"/>
    <n v="0"/>
    <n v="0"/>
    <n v="1"/>
    <n v="213614.06086309525"/>
    <n v="0"/>
    <n v="0"/>
    <n v="213614.06086309525"/>
    <s v="Type A  _x000a_2AM-MRY1325"/>
    <s v="Added"/>
    <n v="2017"/>
    <s v="Direct "/>
    <m/>
    <m/>
    <n v="0.33333333333333331"/>
    <n v="0.33333333333333331"/>
    <n v="0.33333333333333331"/>
    <m/>
    <m/>
    <m/>
    <m/>
    <m/>
    <n v="0"/>
    <m/>
    <n v="71204.686954365083"/>
    <n v="71204.686954365083"/>
    <n v="71204.686954365083"/>
    <n v="0"/>
    <n v="0"/>
    <n v="0"/>
    <n v="0"/>
    <n v="0"/>
  </r>
  <r>
    <x v="6"/>
    <x v="6"/>
    <x v="12"/>
    <x v="8"/>
    <x v="34"/>
    <x v="10"/>
    <x v="94"/>
    <x v="62"/>
    <m/>
    <s v=""/>
    <s v="A3"/>
    <s v="Grade &amp; Re-Contour"/>
    <s v="A2"/>
    <s v="Site Works"/>
    <s v="Grade and Re-Contour"/>
    <s v="Grade and Contour"/>
    <s v="D1Q2 Quarry"/>
    <m/>
    <n v="109807"/>
    <s v="m2"/>
    <n v="1.2689880937499998E-2"/>
    <n v="0.14624999999999999"/>
    <n v="1.2689880937499998"/>
    <n v="0.39654534577546297"/>
    <n v="1.8102953457754629"/>
    <n v="1393.4377561040624"/>
    <n v="16059.273749999998"/>
    <n v="139343.77561040621"/>
    <n v="43543.45478356626"/>
    <n v="198946.50414397247"/>
    <n v="0"/>
    <n v="0"/>
    <n v="1"/>
    <n v="0"/>
    <n v="0"/>
    <n v="1"/>
    <n v="198946.50414397247"/>
    <n v="0"/>
    <n v="0"/>
    <n v="198946.50414397247"/>
    <s v="Type A  _x000a_2AM-MRY1325"/>
    <s v="Check"/>
    <n v="2014"/>
    <s v="Direct "/>
    <m/>
    <m/>
    <n v="0.5"/>
    <n v="0.5"/>
    <m/>
    <m/>
    <m/>
    <m/>
    <m/>
    <m/>
    <n v="0"/>
    <m/>
    <n v="99473.252071986237"/>
    <n v="99473.252071986237"/>
    <n v="0"/>
    <n v="0"/>
    <n v="0"/>
    <n v="0"/>
    <n v="0"/>
    <n v="0"/>
  </r>
  <r>
    <x v="6"/>
    <x v="6"/>
    <x v="11"/>
    <x v="3"/>
    <x v="49"/>
    <x v="32"/>
    <x v="108"/>
    <x v="112"/>
    <m/>
    <s v=""/>
    <s v="A2"/>
    <s v="Fill Application"/>
    <s v="Fill"/>
    <s v="Site Works"/>
    <s v="Fill Application"/>
    <s v="Fill Application"/>
    <s v="Landfill Expansion"/>
    <m/>
    <n v="4475"/>
    <s v="m2"/>
    <n v="0.24456421316628418"/>
    <n v="2.0270868355782152"/>
    <n v="22.154098746081509"/>
    <n v="22.214649120790398"/>
    <n v="44.368747866871892"/>
    <n v="1094.4248539191217"/>
    <n v="9071.2135892125134"/>
    <n v="99139.591888714756"/>
    <n v="99410.554815537034"/>
    <n v="198550.14670425173"/>
    <n v="0"/>
    <n v="0"/>
    <n v="1"/>
    <n v="0"/>
    <n v="0"/>
    <n v="1"/>
    <n v="198550.14670425173"/>
    <n v="0"/>
    <n v="0"/>
    <n v="198550.14670425173"/>
    <s v="Type A  _x000a_2AM-MRY1325"/>
    <m/>
    <s v="2015 A"/>
    <s v="Direct "/>
    <m/>
    <m/>
    <m/>
    <n v="1"/>
    <m/>
    <m/>
    <m/>
    <m/>
    <m/>
    <m/>
    <n v="0"/>
    <m/>
    <n v="0"/>
    <n v="198550.14670425173"/>
    <n v="0"/>
    <n v="0"/>
    <n v="0"/>
    <n v="0"/>
    <n v="0"/>
    <n v="0"/>
  </r>
  <r>
    <x v="6"/>
    <x v="6"/>
    <x v="18"/>
    <x v="11"/>
    <x v="50"/>
    <x v="33"/>
    <x v="110"/>
    <x v="114"/>
    <m/>
    <s v=""/>
    <s v="A3"/>
    <s v="Grade &amp; Re-Contour"/>
    <s v="A2"/>
    <s v="Site Works"/>
    <s v="Grade and Re-Contour"/>
    <s v="Grade and Contour"/>
    <s v="Waste Rock Dump"/>
    <m/>
    <n v="190000"/>
    <s v="m2"/>
    <n v="1.2689880937499998E-2"/>
    <n v="0.14624999999999999"/>
    <n v="1.2689880937499998"/>
    <n v="0.39654534577546297"/>
    <n v="1.8102953457754629"/>
    <n v="2411.0773781249995"/>
    <n v="27787.5"/>
    <n v="241107.73781249995"/>
    <n v="75343.615697337969"/>
    <n v="190000"/>
    <n v="0"/>
    <n v="0"/>
    <n v="1"/>
    <n v="0"/>
    <n v="0"/>
    <n v="1"/>
    <n v="190000"/>
    <n v="0"/>
    <n v="0"/>
    <n v="190000"/>
    <s v="Type A  _x000a_2AM-MRY1325"/>
    <m/>
    <n v="2015"/>
    <s v="Direct "/>
    <m/>
    <m/>
    <n v="0.33333333333333331"/>
    <n v="0.33333333333333331"/>
    <n v="0.33333333333333331"/>
    <m/>
    <m/>
    <m/>
    <m/>
    <m/>
    <n v="0"/>
    <m/>
    <n v="63333.333333333328"/>
    <n v="63333.333333333328"/>
    <n v="63333.333333333328"/>
    <n v="0"/>
    <n v="0"/>
    <n v="0"/>
    <n v="0"/>
    <n v="0"/>
  </r>
  <r>
    <x v="5"/>
    <x v="5"/>
    <x v="10"/>
    <x v="8"/>
    <x v="18"/>
    <x v="10"/>
    <x v="25"/>
    <x v="23"/>
    <m/>
    <s v=""/>
    <s v="A3"/>
    <s v="Grade &amp; Re-Contour"/>
    <s v="A2"/>
    <s v="Site Works"/>
    <s v="Grade and Re-Contour"/>
    <s v="Grade and Contour"/>
    <s v="Laydown Pad development - Temporary Camp and Access Roads KM50"/>
    <m/>
    <n v="6250"/>
    <s v="m2"/>
    <n v="1.2689880937499998E-2"/>
    <n v="0.14624999999999999"/>
    <n v="1.2689880937499998"/>
    <n v="0.39654534577546297"/>
    <n v="1.8102953457754629"/>
    <n v="79.311755859374983"/>
    <n v="914.0625"/>
    <n v="7931.1755859374989"/>
    <n v="2478.4084110966437"/>
    <n v="11314.345911096643"/>
    <n v="0"/>
    <n v="0"/>
    <n v="0"/>
    <n v="1"/>
    <n v="0"/>
    <n v="1"/>
    <n v="0"/>
    <n v="11314.345911096643"/>
    <n v="0"/>
    <n v="11314.345911096643"/>
    <s v="Type A  _x000a_2AM-MRY1325"/>
    <s v="Added"/>
    <n v="2018"/>
    <s v="Direct "/>
    <m/>
    <m/>
    <n v="0.33333333333333331"/>
    <n v="0.33333333333333331"/>
    <n v="0.33333333333333331"/>
    <m/>
    <m/>
    <m/>
    <m/>
    <m/>
    <n v="0"/>
    <m/>
    <n v="3771.4486370322143"/>
    <n v="3771.4486370322143"/>
    <n v="3771.4486370322143"/>
    <n v="0"/>
    <n v="0"/>
    <n v="0"/>
    <n v="0"/>
    <n v="0"/>
  </r>
  <r>
    <x v="6"/>
    <x v="6"/>
    <x v="20"/>
    <x v="3"/>
    <x v="51"/>
    <x v="28"/>
    <x v="111"/>
    <x v="115"/>
    <m/>
    <s v="BLD"/>
    <s v="FF2-c"/>
    <s v="Fold Away Building Contaminated (480 ft2)"/>
    <s v="FFL-c"/>
    <s v="Buildings (Contaminated)"/>
    <s v="Fold Away Building"/>
    <m/>
    <s v="Aerodrome Equipment Building - Demolish and Decontaminate Building - Undefined"/>
    <s v="4521-BLD-003"/>
    <n v="1296"/>
    <s v="m2"/>
    <n v="0.56041666666666667"/>
    <n v="2.3537499999999998"/>
    <n v="55.993123908730162"/>
    <n v="84.0625"/>
    <n v="142.40937390873017"/>
    <n v="726.3"/>
    <n v="3050.4599999999996"/>
    <n v="72567.088585714286"/>
    <n v="108945"/>
    <n v="184562.54858571431"/>
    <n v="1"/>
    <n v="1296"/>
    <n v="1"/>
    <n v="0"/>
    <n v="0"/>
    <n v="1"/>
    <n v="184562.54858571431"/>
    <n v="0"/>
    <n v="0"/>
    <n v="184562.54858571431"/>
    <s v="Type A  _x000a_2AM-MRY1325"/>
    <m/>
    <n v="2015"/>
    <s v="Direct "/>
    <m/>
    <m/>
    <n v="0.33333333333333331"/>
    <n v="0.33333333333333331"/>
    <n v="0.33333333333333331"/>
    <m/>
    <m/>
    <m/>
    <m/>
    <m/>
    <n v="0"/>
    <m/>
    <n v="61520.849528571431"/>
    <n v="61520.849528571431"/>
    <n v="61520.849528571431"/>
    <n v="0"/>
    <n v="0"/>
    <n v="0"/>
    <n v="0"/>
    <n v="0"/>
  </r>
  <r>
    <x v="5"/>
    <x v="5"/>
    <x v="10"/>
    <x v="8"/>
    <x v="18"/>
    <x v="10"/>
    <x v="25"/>
    <x v="23"/>
    <m/>
    <s v=""/>
    <s v="A3"/>
    <s v="Grade &amp; Re-Contour"/>
    <s v="A2"/>
    <s v="Site Works"/>
    <s v="Grade and Re-Contour"/>
    <s v="Grade and Contour"/>
    <s v="Laydown Pad development - Temporary Camp and Access Roads KM80"/>
    <m/>
    <n v="6250"/>
    <s v="m2"/>
    <n v="1.2689880937499998E-2"/>
    <n v="0.14624999999999999"/>
    <n v="1.2689880937499998"/>
    <n v="0.39654534577546297"/>
    <n v="1.8102953457754629"/>
    <n v="79.311755859374983"/>
    <n v="914.0625"/>
    <n v="7931.1755859374989"/>
    <n v="2478.4084110966437"/>
    <n v="11314.345911096643"/>
    <n v="0"/>
    <n v="0"/>
    <n v="0"/>
    <n v="1"/>
    <n v="0"/>
    <n v="1"/>
    <n v="0"/>
    <n v="11314.345911096643"/>
    <n v="0"/>
    <n v="11314.345911096643"/>
    <s v="Type A  _x000a_2AM-MRY1325"/>
    <s v="Added"/>
    <n v="2018"/>
    <s v="Direct "/>
    <m/>
    <m/>
    <n v="0.33333333333333331"/>
    <n v="0.33333333333333331"/>
    <n v="0.33333333333333331"/>
    <m/>
    <m/>
    <m/>
    <m/>
    <m/>
    <n v="0"/>
    <m/>
    <n v="3771.4486370322143"/>
    <n v="3771.4486370322143"/>
    <n v="3771.4486370322143"/>
    <n v="0"/>
    <n v="0"/>
    <n v="0"/>
    <n v="0"/>
    <n v="0"/>
  </r>
  <r>
    <x v="6"/>
    <x v="6"/>
    <x v="11"/>
    <x v="3"/>
    <x v="45"/>
    <x v="3"/>
    <x v="103"/>
    <x v="15"/>
    <m/>
    <s v="BLD"/>
    <s v="CP"/>
    <s v="Precast Concrete Foundations - (480 ft2)"/>
    <s v="CP"/>
    <s v="Flooring / Foundations"/>
    <s v="Precast Foundations"/>
    <m/>
    <s v="800 man temporary hard-walled camp at Mine Site inclusive of kitchen, dining, locker, recreational and washroom (assume footprint of 13,000 m2)"/>
    <m/>
    <n v="4333"/>
    <s v="m2"/>
    <n v="0.14520631503408685"/>
    <n v="2.1780947255113023"/>
    <n v="14.50805387069216"/>
    <n v="21.780947255113027"/>
    <n v="38.467095851316493"/>
    <n v="629.17896304269834"/>
    <n v="9437.6844456404724"/>
    <n v="62863.397421709131"/>
    <n v="94376.844456404753"/>
    <n v="166677.92632375436"/>
    <n v="0.75"/>
    <n v="3249.75"/>
    <n v="1"/>
    <n v="0"/>
    <n v="0"/>
    <n v="1"/>
    <n v="166677.92632375436"/>
    <n v="0"/>
    <n v="0"/>
    <n v="166677.92632375436"/>
    <s v="Type B Construction_x000a_2BC-MRY1416"/>
    <s v="Added"/>
    <s v="2017-A"/>
    <s v="Direct "/>
    <m/>
    <m/>
    <n v="0.33333333333333331"/>
    <n v="0.33333333333333331"/>
    <n v="0.33333333333333331"/>
    <m/>
    <m/>
    <m/>
    <m/>
    <m/>
    <n v="0"/>
    <m/>
    <n v="55559.308774584788"/>
    <n v="55559.308774584788"/>
    <n v="55559.308774584788"/>
    <n v="0"/>
    <n v="0"/>
    <n v="0"/>
    <n v="0"/>
    <n v="0"/>
  </r>
  <r>
    <x v="6"/>
    <x v="6"/>
    <x v="13"/>
    <x v="2"/>
    <x v="25"/>
    <x v="19"/>
    <x v="47"/>
    <x v="37"/>
    <m/>
    <m/>
    <s v="MM3"/>
    <s v="Heavy Equipment"/>
    <s v="MM3"/>
    <s v="Mechanical Equipment"/>
    <s v="Heavy Equipment"/>
    <s v="Crusher"/>
    <s v="Mobile Crusher/Screener"/>
    <m/>
    <n v="4"/>
    <s v="ea"/>
    <n v="168"/>
    <n v="2220"/>
    <n v="16785.448"/>
    <n v="22200"/>
    <n v="41205.448000000004"/>
    <n v="672"/>
    <n v="8880"/>
    <n v="67141.792000000001"/>
    <n v="88800"/>
    <n v="164821.79200000002"/>
    <n v="56"/>
    <n v="224"/>
    <n v="1"/>
    <n v="0"/>
    <n v="0"/>
    <n v="1"/>
    <n v="164821.79200000002"/>
    <n v="0"/>
    <n v="0"/>
    <n v="164821.79200000002"/>
    <s v="Type A  _x000a_2AM-MRY1325"/>
    <s v="Added"/>
    <s v="2017-A"/>
    <s v="Direct "/>
    <m/>
    <m/>
    <n v="0.33333333333333331"/>
    <m/>
    <n v="0.33333333333333331"/>
    <m/>
    <m/>
    <m/>
    <m/>
    <n v="0.33333333333333331"/>
    <n v="0"/>
    <m/>
    <n v="54940.597333333339"/>
    <n v="0"/>
    <n v="54940.597333333339"/>
    <n v="0"/>
    <n v="0"/>
    <n v="0"/>
    <n v="0"/>
    <n v="54940.597333333339"/>
  </r>
  <r>
    <x v="6"/>
    <x v="6"/>
    <x v="12"/>
    <x v="8"/>
    <x v="34"/>
    <x v="10"/>
    <x v="112"/>
    <x v="29"/>
    <m/>
    <s v=""/>
    <s v="A3"/>
    <s v="Grade &amp; Re-Contour"/>
    <s v="A2"/>
    <s v="Site Works"/>
    <s v="Grade and Re-Contour"/>
    <m/>
    <s v="Site Roads"/>
    <m/>
    <n v="80899"/>
    <s v="m2"/>
    <n v="1.2689880937499998E-2"/>
    <n v="0.14624999999999999"/>
    <n v="1.2689880937499998"/>
    <n v="0.39654534577546297"/>
    <n v="1.8102953457754629"/>
    <n v="1026.5986779628124"/>
    <n v="11831.478749999998"/>
    <n v="102659.86779628124"/>
    <n v="32080.121927889177"/>
    <n v="146571.4684741704"/>
    <n v="0"/>
    <n v="0"/>
    <n v="1"/>
    <n v="0"/>
    <n v="0"/>
    <n v="1"/>
    <n v="146571.4684741704"/>
    <n v="0"/>
    <n v="0"/>
    <n v="146571.4684741704"/>
    <s v="Type A  _x000a_2AM-MRY1325"/>
    <m/>
    <n v="2014"/>
    <s v="Direct "/>
    <m/>
    <m/>
    <n v="0.33333333333333331"/>
    <n v="0.33333333333333331"/>
    <n v="0.33333333333333331"/>
    <m/>
    <m/>
    <m/>
    <m/>
    <m/>
    <n v="0"/>
    <m/>
    <n v="48857.156158056794"/>
    <n v="48857.156158056794"/>
    <n v="48857.156158056794"/>
    <n v="0"/>
    <n v="0"/>
    <n v="0"/>
    <n v="0"/>
    <n v="0"/>
  </r>
  <r>
    <x v="6"/>
    <x v="6"/>
    <x v="11"/>
    <x v="3"/>
    <x v="19"/>
    <x v="4"/>
    <x v="109"/>
    <x v="113"/>
    <s v="1031"/>
    <s v="BLD"/>
    <s v="FF2-c"/>
    <s v="Fold Away Building Contaminated (480 ft2)"/>
    <s v="FFL-c"/>
    <s v="Buildings (Contaminated)"/>
    <s v="Fold Away Building"/>
    <m/>
    <s v="Truck Wash Building - Demolish and Decontaminate Building - Fold-away Building (Steel)"/>
    <s v="4523-BLD-001"/>
    <n v="1003.7174721189591"/>
    <s v="m2"/>
    <n v="0.56041666666666667"/>
    <n v="2.3537499999999998"/>
    <n v="55.993123908730162"/>
    <n v="84.0625"/>
    <n v="142.40937390873017"/>
    <n v="562.5"/>
    <n v="2362.5"/>
    <n v="56201.27678571429"/>
    <n v="84375"/>
    <n v="142938.77678571429"/>
    <n v="1"/>
    <n v="1003.7174721189591"/>
    <n v="1"/>
    <n v="0"/>
    <n v="0"/>
    <n v="1"/>
    <n v="142938.77678571429"/>
    <n v="0"/>
    <n v="0"/>
    <n v="142938.77678571429"/>
    <s v="Type A  _x000a_2AM-MRY1325"/>
    <m/>
    <n v="2014"/>
    <s v="Direct "/>
    <m/>
    <m/>
    <n v="0.33333333333333331"/>
    <n v="0.33333333333333331"/>
    <n v="0.33333333333333331"/>
    <m/>
    <m/>
    <m/>
    <m/>
    <m/>
    <n v="0"/>
    <m/>
    <n v="47646.258928571428"/>
    <n v="47646.258928571428"/>
    <n v="47646.258928571428"/>
    <n v="0"/>
    <n v="0"/>
    <n v="0"/>
    <n v="0"/>
    <n v="0"/>
  </r>
  <r>
    <x v="6"/>
    <x v="6"/>
    <x v="14"/>
    <x v="5"/>
    <x v="27"/>
    <x v="6"/>
    <x v="113"/>
    <x v="7"/>
    <s v="1178"/>
    <s v="In Meters"/>
    <s v="piping"/>
    <s v="Piping"/>
    <s v="Piping"/>
    <s v="Bulks"/>
    <s v="Piping"/>
    <m/>
    <s v="Treated Effluent Piping - Piping Installation - STP to connection with Stockpile Drain Pipe"/>
    <s v="4734.1-P"/>
    <n v="2125"/>
    <s v="m"/>
    <n v="0.25"/>
    <n v="3.75"/>
    <n v="24.97834523809524"/>
    <n v="37.5"/>
    <n v="66.228345238095244"/>
    <n v="531.25"/>
    <n v="7968.75"/>
    <n v="53078.983630952389"/>
    <n v="79687.5"/>
    <n v="140735.2336309524"/>
    <n v="1.0000000000000002E-2"/>
    <n v="21.250000000000004"/>
    <n v="1"/>
    <n v="0"/>
    <n v="1"/>
    <n v="0"/>
    <n v="140735.2336309524"/>
    <n v="0"/>
    <n v="140735.2336309524"/>
    <n v="0"/>
    <s v="Type A  _x000a_2AM-MRY1325"/>
    <m/>
    <n v="2014"/>
    <s v="Direct "/>
    <m/>
    <m/>
    <n v="0.33333333333333331"/>
    <n v="0.33333333333333331"/>
    <n v="0.33333333333333331"/>
    <m/>
    <m/>
    <m/>
    <m/>
    <m/>
    <n v="0"/>
    <m/>
    <n v="46911.744543650799"/>
    <n v="46911.744543650799"/>
    <n v="46911.744543650799"/>
    <n v="0"/>
    <n v="0"/>
    <n v="0"/>
    <n v="0"/>
    <n v="0"/>
  </r>
  <r>
    <x v="6"/>
    <x v="6"/>
    <x v="14"/>
    <x v="5"/>
    <x v="48"/>
    <x v="9"/>
    <x v="107"/>
    <x v="10"/>
    <s v="1205"/>
    <s v="In Meters"/>
    <s v="cable"/>
    <s v="Cable"/>
    <s v="Cable"/>
    <s v="Bulks"/>
    <s v="Cable"/>
    <m/>
    <s v="Power Distribution System - Electrical Cable Installation 600V - Connections from e-house to facilities"/>
    <s v="4750.3-E"/>
    <n v="5200"/>
    <s v="m"/>
    <n v="0.1"/>
    <n v="1.5"/>
    <n v="9.9913380952380972"/>
    <n v="15"/>
    <n v="26.491338095238099"/>
    <n v="520"/>
    <n v="7800"/>
    <n v="51954.958095238107"/>
    <n v="78000"/>
    <n v="137754.95809523811"/>
    <n v="1.0000000000000002E-2"/>
    <n v="52.000000000000007"/>
    <n v="1"/>
    <n v="0"/>
    <n v="0"/>
    <n v="1"/>
    <n v="137754.95809523811"/>
    <n v="0"/>
    <n v="0"/>
    <n v="137754.95809523811"/>
    <s v="Type A  _x000a_2AM-MRY1325"/>
    <m/>
    <n v="2014"/>
    <s v="Direct "/>
    <m/>
    <m/>
    <n v="0.33333333333333331"/>
    <n v="0.33333333333333331"/>
    <n v="0.33333333333333331"/>
    <m/>
    <m/>
    <m/>
    <m/>
    <m/>
    <n v="0"/>
    <m/>
    <n v="45918.319365079369"/>
    <n v="45918.319365079369"/>
    <n v="45918.319365079369"/>
    <n v="0"/>
    <n v="0"/>
    <n v="0"/>
    <n v="0"/>
    <n v="0"/>
  </r>
  <r>
    <x v="6"/>
    <x v="6"/>
    <x v="12"/>
    <x v="8"/>
    <x v="21"/>
    <x v="16"/>
    <x v="39"/>
    <x v="30"/>
    <m/>
    <s v="MO-"/>
    <s v="O3"/>
    <s v="Heavy Mobile Equipment"/>
    <s v="O3"/>
    <s v="Mobile Equipment"/>
    <s v="Heavy Mobile Equipment"/>
    <s v="3rd Party Equipment"/>
    <s v="Haul Truck (40- and 50- ton)"/>
    <m/>
    <n v="50"/>
    <s v="ea"/>
    <n v="13"/>
    <n v="120"/>
    <n v="1298.8739523809525"/>
    <n v="1200"/>
    <n v="2618.8739523809527"/>
    <n v="650"/>
    <n v="6000"/>
    <n v="64943.69761904762"/>
    <n v="60000"/>
    <n v="130943.69761904763"/>
    <n v="96"/>
    <n v="4800"/>
    <n v="1"/>
    <n v="0"/>
    <n v="0"/>
    <n v="1"/>
    <n v="130943.69761904763"/>
    <n v="0"/>
    <n v="0"/>
    <n v="130943.69761904763"/>
    <s v="Type A  _x000a_2AM-MRY1325"/>
    <s v="Added"/>
    <s v="2017-A"/>
    <s v="Direct "/>
    <m/>
    <m/>
    <n v="0.33333333333333331"/>
    <m/>
    <n v="0.33333333333333331"/>
    <m/>
    <m/>
    <m/>
    <m/>
    <n v="0.33333333333333331"/>
    <n v="0"/>
    <m/>
    <n v="43647.899206349204"/>
    <n v="0"/>
    <n v="43647.899206349204"/>
    <n v="0"/>
    <n v="0"/>
    <n v="0"/>
    <n v="0"/>
    <n v="43647.899206349204"/>
  </r>
  <r>
    <x v="1"/>
    <x v="1"/>
    <x v="8"/>
    <x v="8"/>
    <x v="26"/>
    <x v="16"/>
    <x v="37"/>
    <x v="33"/>
    <m/>
    <s v="TK-"/>
    <s v="MT5-d"/>
    <s v="Medium Mobile Diesel Tanks (3000 L to 500k L)"/>
    <s v="MT5-d"/>
    <s v="Mechanical Equipment"/>
    <s v="Medium Mobile Diesel Tanks"/>
    <s v="3rd Party Contractor"/>
    <s v="Diesel Tank 22,500 L"/>
    <m/>
    <n v="1"/>
    <s v="ea"/>
    <n v="42.724999999999994"/>
    <n v="564.75"/>
    <n v="4268.7992011904762"/>
    <n v="5647.5"/>
    <n v="10481.049201190477"/>
    <n v="42.724999999999994"/>
    <n v="564.75"/>
    <n v="4268.7992011904762"/>
    <n v="5647.5"/>
    <n v="10481.049201190475"/>
    <n v="30"/>
    <n v="30"/>
    <n v="1"/>
    <n v="0"/>
    <n v="0"/>
    <n v="1"/>
    <n v="10481.049201190475"/>
    <n v="0"/>
    <n v="0"/>
    <n v="10481.049201190475"/>
    <s v="Type A  _x000a_2AM-MRY1325"/>
    <s v="Added"/>
    <n v="2018"/>
    <s v="Direct "/>
    <m/>
    <m/>
    <n v="0.33333333333333331"/>
    <m/>
    <n v="0.33333333333333331"/>
    <m/>
    <m/>
    <m/>
    <m/>
    <n v="0.33333333333333331"/>
    <n v="0"/>
    <m/>
    <n v="3493.6830670634918"/>
    <n v="0"/>
    <n v="3493.6830670634918"/>
    <n v="0"/>
    <n v="0"/>
    <n v="0"/>
    <n v="0"/>
    <n v="3493.6830670634918"/>
  </r>
  <r>
    <x v="6"/>
    <x v="6"/>
    <x v="11"/>
    <x v="3"/>
    <x v="19"/>
    <x v="4"/>
    <x v="31"/>
    <x v="12"/>
    <s v="945"/>
    <s v="BLD"/>
    <s v="FF2-c"/>
    <s v="Fold Away Building Contaminated (480 ft2)"/>
    <s v="FFL-c"/>
    <s v="Buildings (Contaminated)"/>
    <s v="Fold Away Building"/>
    <m/>
    <s v="Warehouse - Demolish and Decontaminate Building - Fold-away Building (Steel)"/>
    <s v="4521-BLD-002"/>
    <n v="892.19330855018586"/>
    <s v="m2"/>
    <n v="0.56041666666666667"/>
    <n v="2.3537499999999998"/>
    <n v="55.993123908730162"/>
    <n v="84.0625"/>
    <n v="142.40937390873017"/>
    <n v="500"/>
    <n v="2100"/>
    <n v="49956.690476190481"/>
    <n v="75000"/>
    <n v="127056.69047619047"/>
    <n v="1"/>
    <n v="892.19330855018586"/>
    <n v="1"/>
    <n v="0"/>
    <n v="0"/>
    <n v="1"/>
    <n v="127056.69047619047"/>
    <n v="0"/>
    <n v="0"/>
    <n v="127056.69047619047"/>
    <s v="Type A  _x000a_2AM-MRY1325"/>
    <m/>
    <n v="2014"/>
    <s v="Direct "/>
    <m/>
    <m/>
    <n v="0.33333333333333331"/>
    <n v="0.33333333333333331"/>
    <n v="0.33333333333333331"/>
    <m/>
    <m/>
    <m/>
    <m/>
    <m/>
    <n v="0"/>
    <m/>
    <n v="42352.230158730155"/>
    <n v="42352.230158730155"/>
    <n v="42352.230158730155"/>
    <n v="0"/>
    <n v="0"/>
    <n v="0"/>
    <n v="0"/>
    <n v="0"/>
  </r>
  <r>
    <x v="6"/>
    <x v="6"/>
    <x v="12"/>
    <x v="8"/>
    <x v="34"/>
    <x v="10"/>
    <x v="94"/>
    <x v="62"/>
    <m/>
    <s v=""/>
    <s v="A3"/>
    <s v="Grade &amp; Re-Contour"/>
    <s v="A2"/>
    <s v="Site Works"/>
    <s v="Grade and Re-Contour"/>
    <s v="Grade and Contour"/>
    <s v="D1Q1 Quarry"/>
    <m/>
    <n v="66978"/>
    <s v="m2"/>
    <n v="1.2689880937499998E-2"/>
    <n v="0.14624999999999999"/>
    <n v="1.2689880937499998"/>
    <n v="0.39654534577546297"/>
    <n v="1.8102953457754629"/>
    <n v="849.94284543187484"/>
    <n v="9795.5324999999993"/>
    <n v="84994.284543187488"/>
    <n v="26559.81416934896"/>
    <n v="121349.63121253645"/>
    <n v="0"/>
    <n v="0"/>
    <n v="1"/>
    <n v="0"/>
    <n v="0"/>
    <n v="1"/>
    <n v="121349.63121253645"/>
    <n v="0"/>
    <n v="0"/>
    <n v="121349.63121253645"/>
    <s v="Type A  _x000a_2AM-MRY1325"/>
    <m/>
    <n v="2014"/>
    <s v="Direct "/>
    <m/>
    <m/>
    <n v="0.5"/>
    <n v="0.5"/>
    <m/>
    <m/>
    <m/>
    <m/>
    <m/>
    <m/>
    <n v="0"/>
    <m/>
    <n v="60674.815606268225"/>
    <n v="60674.815606268225"/>
    <n v="0"/>
    <n v="0"/>
    <n v="0"/>
    <n v="0"/>
    <n v="0"/>
    <n v="0"/>
  </r>
  <r>
    <x v="6"/>
    <x v="6"/>
    <x v="11"/>
    <x v="3"/>
    <x v="45"/>
    <x v="3"/>
    <x v="103"/>
    <x v="15"/>
    <s v="859"/>
    <s v="BLD"/>
    <s v="FF1"/>
    <s v="Modular Building Not Contaminated (480 ft2)"/>
    <s v="FS"/>
    <s v="Buildings (Not Contaminated)"/>
    <s v="Prefabricated Special Modular"/>
    <m/>
    <s v="Accommodation Service Core - Demolish and Decontaminate Building - Special Modular / Prefabricated"/>
    <s v="4511-BLD-001"/>
    <n v="1856.8773234200744"/>
    <s v="m2"/>
    <n v="0.22416666666666665"/>
    <n v="3.3624999999999998"/>
    <n v="22.397249563492064"/>
    <n v="33.625"/>
    <n v="59.384749563492065"/>
    <n v="416.25"/>
    <n v="6243.75"/>
    <n v="41588.944821428573"/>
    <n v="62437.5"/>
    <n v="110270.19482142857"/>
    <n v="1"/>
    <n v="1856.8773234200744"/>
    <n v="1"/>
    <n v="0"/>
    <n v="0"/>
    <n v="1"/>
    <n v="110270.19482142857"/>
    <n v="0"/>
    <n v="0"/>
    <n v="110270.19482142857"/>
    <s v="Type A  _x000a_2AM-MRY1325"/>
    <m/>
    <n v="2014"/>
    <s v="Direct "/>
    <m/>
    <m/>
    <n v="0.33333333333333331"/>
    <n v="0.33333333333333331"/>
    <n v="0.33333333333333331"/>
    <m/>
    <m/>
    <m/>
    <m/>
    <m/>
    <n v="0"/>
    <m/>
    <n v="36756.73160714285"/>
    <n v="36756.73160714285"/>
    <n v="36756.73160714285"/>
    <n v="0"/>
    <n v="0"/>
    <n v="0"/>
    <n v="0"/>
    <n v="0"/>
  </r>
  <r>
    <x v="6"/>
    <x v="6"/>
    <x v="11"/>
    <x v="3"/>
    <x v="19"/>
    <x v="4"/>
    <x v="114"/>
    <x v="17"/>
    <m/>
    <s v="FRF"/>
    <s v="MM1"/>
    <s v="Light Equimpent"/>
    <s v="MM1"/>
    <s v="Mechanical Equipment"/>
    <s v="Light Equipment"/>
    <s v="Heater"/>
    <s v="Frost Fighter Heater"/>
    <s v="MR-FAC-POH-010"/>
    <n v="52"/>
    <s v="ea"/>
    <n v="8.1"/>
    <n v="106.5"/>
    <n v="809.29838571428581"/>
    <n v="1065"/>
    <n v="1980.7983857142858"/>
    <n v="421.2"/>
    <n v="5538"/>
    <n v="42083.516057142864"/>
    <n v="55380"/>
    <n v="103001.51605714287"/>
    <n v="0.5"/>
    <n v="26"/>
    <n v="1"/>
    <n v="0"/>
    <n v="0"/>
    <n v="1"/>
    <n v="103001.51605714287"/>
    <n v="0"/>
    <n v="0"/>
    <n v="103001.51605714287"/>
    <s v="Type A  _x000a_2AM-MRY1325"/>
    <s v="Added"/>
    <s v="2015 R"/>
    <s v="Direct "/>
    <m/>
    <m/>
    <n v="0.33333333333333331"/>
    <m/>
    <n v="0.33333333333333331"/>
    <m/>
    <m/>
    <m/>
    <m/>
    <n v="0.33333333333333331"/>
    <n v="0"/>
    <m/>
    <n v="34333.83868571429"/>
    <n v="0"/>
    <n v="34333.83868571429"/>
    <n v="0"/>
    <n v="0"/>
    <n v="0"/>
    <n v="0"/>
    <n v="34333.83868571429"/>
  </r>
  <r>
    <x v="6"/>
    <x v="6"/>
    <x v="18"/>
    <x v="11"/>
    <x v="47"/>
    <x v="31"/>
    <x v="106"/>
    <x v="111"/>
    <m/>
    <s v=""/>
    <s v="A3"/>
    <s v="Grade &amp; Re-Contour"/>
    <s v="A2"/>
    <s v="Site Works"/>
    <s v="Grade and Re-Contour"/>
    <s v="Grade and Contour"/>
    <s v="Pit 1"/>
    <m/>
    <n v="55000"/>
    <s v="m2"/>
    <n v="1.2689880937499998E-2"/>
    <n v="0.14624999999999999"/>
    <n v="1.2689880937499998"/>
    <n v="0.39654534577546297"/>
    <n v="1.8102953457754629"/>
    <n v="697.94345156249994"/>
    <n v="8043.7499999999991"/>
    <n v="69794.345156249983"/>
    <n v="21809.994017650464"/>
    <n v="99648.089173900444"/>
    <n v="0"/>
    <n v="0"/>
    <n v="1"/>
    <n v="0"/>
    <n v="0"/>
    <n v="1"/>
    <n v="99648.089173900444"/>
    <n v="0"/>
    <n v="0"/>
    <n v="99648.089173900444"/>
    <s v="Type A  _x000a_2AM-MRY1325"/>
    <m/>
    <n v="2015"/>
    <s v="Direct "/>
    <m/>
    <m/>
    <n v="0.5"/>
    <n v="0.5"/>
    <m/>
    <m/>
    <m/>
    <m/>
    <m/>
    <m/>
    <n v="0"/>
    <m/>
    <n v="49824.044586950222"/>
    <n v="49824.044586950222"/>
    <n v="0"/>
    <n v="0"/>
    <n v="0"/>
    <n v="0"/>
    <n v="0"/>
    <n v="0"/>
  </r>
  <r>
    <x v="1"/>
    <x v="1"/>
    <x v="8"/>
    <x v="8"/>
    <x v="26"/>
    <x v="16"/>
    <x v="37"/>
    <x v="33"/>
    <m/>
    <s v="TK-"/>
    <s v="MT5-d"/>
    <s v="Medium Mobile Diesel Tanks (3000 L to 500k L)"/>
    <s v="MT5-d"/>
    <s v="Mechanical Equipment"/>
    <s v="Medium Mobile Diesel Tanks"/>
    <s v="3rd Party Contractor"/>
    <s v="Gas Tank 50,000L"/>
    <m/>
    <n v="1"/>
    <s v="ea"/>
    <n v="42.724999999999994"/>
    <n v="564.75"/>
    <n v="4268.7992011904762"/>
    <n v="5647.5"/>
    <n v="10481.049201190477"/>
    <n v="42.724999999999994"/>
    <n v="564.75"/>
    <n v="4268.7992011904762"/>
    <n v="5647.5"/>
    <n v="10481.049201190475"/>
    <n v="30"/>
    <n v="30"/>
    <n v="1"/>
    <n v="0"/>
    <n v="0"/>
    <n v="1"/>
    <n v="10481.049201190475"/>
    <n v="0"/>
    <n v="0"/>
    <n v="10481.049201190475"/>
    <s v="Type A  _x000a_2AM-MRY1325"/>
    <s v="Added"/>
    <n v="2018"/>
    <s v="Direct "/>
    <m/>
    <m/>
    <n v="0.33333333333333331"/>
    <m/>
    <n v="0.33333333333333331"/>
    <m/>
    <m/>
    <m/>
    <m/>
    <n v="0.33333333333333331"/>
    <n v="0"/>
    <m/>
    <n v="3493.6830670634918"/>
    <n v="0"/>
    <n v="3493.6830670634918"/>
    <n v="0"/>
    <n v="0"/>
    <n v="0"/>
    <n v="0"/>
    <n v="3493.6830670634918"/>
  </r>
  <r>
    <x v="6"/>
    <x v="6"/>
    <x v="12"/>
    <x v="8"/>
    <x v="41"/>
    <x v="16"/>
    <x v="96"/>
    <x v="33"/>
    <m/>
    <s v="TK-"/>
    <s v="MT5-d"/>
    <s v="Medium Mobile Diesel Tanks (3000 L to 500k L)"/>
    <s v="MT5-d"/>
    <s v="Mechanical Equipment"/>
    <s v="Medium Mobile Diesel Tanks"/>
    <s v="3rd Party Contractor"/>
    <s v="Diesel Tank 22,500 L"/>
    <m/>
    <n v="1"/>
    <s v="ea"/>
    <n v="42.724999999999994"/>
    <n v="564.75"/>
    <n v="4268.7992011904762"/>
    <n v="5647.5"/>
    <n v="10481.049201190477"/>
    <n v="42.724999999999994"/>
    <n v="564.75"/>
    <n v="4268.7992011904762"/>
    <n v="5647.5"/>
    <n v="10481.049201190475"/>
    <n v="30"/>
    <n v="30"/>
    <n v="1"/>
    <n v="0"/>
    <n v="0"/>
    <n v="1"/>
    <n v="10481.049201190475"/>
    <n v="0"/>
    <n v="0"/>
    <n v="10481.049201190475"/>
    <s v="Type A  _x000a_2AM-MRY1325"/>
    <s v="Added"/>
    <n v="2018"/>
    <s v="Direct "/>
    <m/>
    <m/>
    <n v="0.33333333333333331"/>
    <m/>
    <n v="0.33333333333333331"/>
    <m/>
    <m/>
    <m/>
    <m/>
    <n v="0.33333333333333331"/>
    <n v="0"/>
    <m/>
    <n v="3493.6830670634918"/>
    <n v="0"/>
    <n v="3493.6830670634918"/>
    <n v="0"/>
    <n v="0"/>
    <n v="0"/>
    <n v="0"/>
    <n v="3493.6830670634918"/>
  </r>
  <r>
    <x v="6"/>
    <x v="6"/>
    <x v="11"/>
    <x v="3"/>
    <x v="19"/>
    <x v="4"/>
    <x v="31"/>
    <x v="12"/>
    <s v="943"/>
    <s v="BLD"/>
    <s v="CP"/>
    <s v="Precast Concrete Foundations - (480 ft2)"/>
    <s v="CP"/>
    <s v="Flooring / Foundations"/>
    <s v="Precast Foundations"/>
    <m/>
    <s v="Maintenance Building - Demolish and foundations - Precast Footing (Perimeter Beam)"/>
    <s v="4521-BLD-001"/>
    <n v="2416.3568773234201"/>
    <s v="m2"/>
    <n v="0.14520631503408685"/>
    <n v="2.1780947255113023"/>
    <n v="14.50805387069216"/>
    <n v="21.780947255113027"/>
    <n v="38.467095851316493"/>
    <n v="350.87027796340686"/>
    <n v="5263.0541694511021"/>
    <n v="35056.63574702567"/>
    <n v="52630.541694511034"/>
    <n v="92950.231610987801"/>
    <n v="0.75"/>
    <n v="1812.2676579925651"/>
    <n v="1"/>
    <n v="0"/>
    <n v="0"/>
    <n v="1"/>
    <n v="92950.231610987801"/>
    <n v="0"/>
    <n v="0"/>
    <n v="92950.231610987801"/>
    <s v="Type A  _x000a_2AM-MRY1325"/>
    <m/>
    <n v="2014"/>
    <s v="Direct "/>
    <m/>
    <m/>
    <n v="0.33333333333333331"/>
    <n v="0.33333333333333331"/>
    <n v="0.33333333333333331"/>
    <m/>
    <m/>
    <m/>
    <m/>
    <m/>
    <n v="0"/>
    <m/>
    <n v="30983.410536995932"/>
    <n v="30983.410536995932"/>
    <n v="30983.410536995932"/>
    <n v="0"/>
    <n v="0"/>
    <n v="0"/>
    <n v="0"/>
    <n v="0"/>
  </r>
  <r>
    <x v="6"/>
    <x v="6"/>
    <x v="14"/>
    <x v="5"/>
    <x v="48"/>
    <x v="9"/>
    <x v="107"/>
    <x v="10"/>
    <s v="1205"/>
    <s v="In Meters"/>
    <s v="cable"/>
    <s v="Cable"/>
    <s v="Cable"/>
    <s v="Bulks"/>
    <s v="Cable"/>
    <m/>
    <s v="Additional outdoor lighting for safety (with cables) at Mine Site"/>
    <m/>
    <n v="3500"/>
    <s v="m"/>
    <n v="0.1"/>
    <n v="1.5"/>
    <n v="9.9913380952380972"/>
    <n v="15"/>
    <n v="26.491338095238099"/>
    <n v="350"/>
    <n v="5250"/>
    <n v="34969.683333333342"/>
    <n v="52500"/>
    <n v="92719.683333333349"/>
    <n v="1.0000000000000002E-2"/>
    <n v="35.000000000000007"/>
    <n v="1"/>
    <n v="0"/>
    <n v="0"/>
    <n v="1"/>
    <n v="92719.683333333349"/>
    <n v="0"/>
    <n v="0"/>
    <n v="92719.683333333349"/>
    <s v="Type A  _x000a_2AM-MRY1325"/>
    <s v="Added"/>
    <n v="2017"/>
    <s v="Direct "/>
    <m/>
    <m/>
    <n v="0.33333333333333331"/>
    <n v="0.33333333333333331"/>
    <n v="0.33333333333333331"/>
    <m/>
    <m/>
    <m/>
    <m/>
    <m/>
    <n v="0"/>
    <m/>
    <n v="30906.561111111114"/>
    <n v="30906.561111111114"/>
    <n v="30906.561111111114"/>
    <n v="0"/>
    <n v="0"/>
    <n v="0"/>
    <n v="0"/>
    <n v="0"/>
  </r>
  <r>
    <x v="6"/>
    <x v="6"/>
    <x v="12"/>
    <x v="8"/>
    <x v="34"/>
    <x v="10"/>
    <x v="94"/>
    <x v="62"/>
    <m/>
    <s v=""/>
    <s v="A3"/>
    <s v="Grade &amp; Re-Contour"/>
    <s v="A2"/>
    <s v="Site Works"/>
    <s v="Grade and Re-Contour"/>
    <s v="Grade and Contour"/>
    <s v="QMR2 Quarry (marginal increase to existing)"/>
    <m/>
    <n v="50000"/>
    <s v="m2"/>
    <n v="1.2689880937499998E-2"/>
    <n v="0.14624999999999999"/>
    <n v="1.2689880937499998"/>
    <n v="0.39654534577546297"/>
    <n v="1.8102953457754629"/>
    <n v="634.49404687499987"/>
    <n v="7312.5"/>
    <n v="63449.404687499991"/>
    <n v="19827.26728877315"/>
    <n v="90589.171976273137"/>
    <n v="0"/>
    <n v="0"/>
    <n v="1"/>
    <n v="0"/>
    <n v="0"/>
    <n v="1"/>
    <n v="90589.171976273137"/>
    <n v="0"/>
    <n v="0"/>
    <n v="90589.171976273137"/>
    <s v="Type A  _x000a_2AM-MRY1325"/>
    <s v="Added"/>
    <s v="2017-A"/>
    <s v="Direct "/>
    <m/>
    <m/>
    <n v="0.5"/>
    <n v="0.5"/>
    <m/>
    <m/>
    <m/>
    <m/>
    <m/>
    <m/>
    <n v="0"/>
    <m/>
    <n v="45294.585988136569"/>
    <n v="45294.585988136569"/>
    <n v="0"/>
    <n v="0"/>
    <n v="0"/>
    <n v="0"/>
    <n v="0"/>
    <n v="0"/>
  </r>
  <r>
    <x v="6"/>
    <x v="6"/>
    <x v="12"/>
    <x v="8"/>
    <x v="21"/>
    <x v="16"/>
    <x v="39"/>
    <x v="30"/>
    <m/>
    <s v="MO-"/>
    <s v="O3"/>
    <s v="Heavy Mobile Equipment"/>
    <s v="O3"/>
    <s v="Mobile Equipment"/>
    <s v="Heavy Mobile Equipment"/>
    <m/>
    <s v="992 Loader"/>
    <m/>
    <n v="4"/>
    <s v="ea"/>
    <n v="13"/>
    <n v="120"/>
    <n v="1298.8739523809525"/>
    <n v="1200"/>
    <n v="2618.8739523809527"/>
    <n v="52"/>
    <n v="480"/>
    <n v="5195.4958095238098"/>
    <n v="4800"/>
    <n v="10475.495809523811"/>
    <n v="96"/>
    <n v="384"/>
    <n v="1"/>
    <n v="0"/>
    <n v="0"/>
    <n v="1"/>
    <n v="10475.495809523811"/>
    <n v="0"/>
    <n v="0"/>
    <n v="10475.495809523811"/>
    <s v="Type A  _x000a_2AM-MRY1325"/>
    <s v="Added"/>
    <n v="2018"/>
    <s v="Direct "/>
    <m/>
    <m/>
    <n v="0.33333333333333331"/>
    <m/>
    <n v="0.33333333333333331"/>
    <m/>
    <m/>
    <m/>
    <m/>
    <n v="0.33333333333333331"/>
    <n v="0"/>
    <m/>
    <n v="3491.8319365079369"/>
    <n v="0"/>
    <n v="3491.8319365079369"/>
    <n v="0"/>
    <n v="0"/>
    <n v="0"/>
    <n v="0"/>
    <n v="3491.8319365079369"/>
  </r>
  <r>
    <x v="6"/>
    <x v="6"/>
    <x v="11"/>
    <x v="3"/>
    <x v="19"/>
    <x v="4"/>
    <x v="31"/>
    <x v="12"/>
    <s v="944"/>
    <s v="BLD"/>
    <s v="CS"/>
    <s v="Slab on Grade - ASSUME 300mm thick"/>
    <s v="CS"/>
    <s v="Flooring / Foundations"/>
    <s v="Slab on Grade"/>
    <m/>
    <s v="Maintenance Building - Demolish floor finish - Slab on grade C/W Drainage"/>
    <s v="4521-BLD-001"/>
    <n v="2416.3568773234201"/>
    <s v="m2"/>
    <n v="0.125"/>
    <n v="1.875"/>
    <n v="12.48917261904762"/>
    <n v="18.75"/>
    <n v="33.114172619047622"/>
    <n v="302.04460966542752"/>
    <n v="4530.6691449814125"/>
    <n v="30178.298150115068"/>
    <n v="45306.691449814127"/>
    <n v="80015.658744910615"/>
    <n v="0"/>
    <n v="0"/>
    <n v="1"/>
    <n v="0"/>
    <n v="0"/>
    <n v="1"/>
    <n v="80015.658744910615"/>
    <n v="0"/>
    <n v="0"/>
    <n v="80015.658744910615"/>
    <s v="Type A  _x000a_2AM-MRY1325"/>
    <m/>
    <n v="2014"/>
    <s v="Direct "/>
    <m/>
    <m/>
    <n v="0.33333333333333331"/>
    <n v="0.33333333333333331"/>
    <n v="0.33333333333333331"/>
    <m/>
    <m/>
    <m/>
    <m/>
    <m/>
    <n v="0"/>
    <m/>
    <n v="26671.886248303537"/>
    <n v="26671.886248303537"/>
    <n v="26671.886248303537"/>
    <n v="0"/>
    <n v="0"/>
    <n v="0"/>
    <n v="0"/>
    <n v="0"/>
  </r>
  <r>
    <x v="6"/>
    <x v="6"/>
    <x v="11"/>
    <x v="3"/>
    <x v="19"/>
    <x v="4"/>
    <x v="114"/>
    <x v="17"/>
    <m/>
    <s v="BLD"/>
    <s v="FF1-c"/>
    <s v="Modular Building Contaminated (480 ft2) "/>
    <s v="FC-c"/>
    <s v="Buildings (Contaminated)"/>
    <s v="ISO Shipping Containers"/>
    <m/>
    <s v="Tire Shop at Ore Haul Truck Lineup (seacan construction)"/>
    <m/>
    <n v="500"/>
    <s v="m2"/>
    <n v="0.56041666666666667"/>
    <n v="3.3624999999999998"/>
    <n v="55.993123908730162"/>
    <n v="84.0625"/>
    <n v="143.41812390873017"/>
    <n v="280.20833333333331"/>
    <n v="1681.25"/>
    <n v="27996.561954365083"/>
    <n v="42031.25"/>
    <n v="71709.061954365083"/>
    <n v="1"/>
    <n v="500"/>
    <n v="1"/>
    <n v="0"/>
    <n v="0"/>
    <n v="1"/>
    <n v="71709.061954365083"/>
    <n v="0"/>
    <n v="0"/>
    <n v="71709.061954365083"/>
    <s v="Type A  _x000a_2AM-MRY1325"/>
    <s v="Added"/>
    <n v="2017"/>
    <s v="Direct "/>
    <m/>
    <m/>
    <n v="0.5"/>
    <n v="0.5"/>
    <m/>
    <m/>
    <m/>
    <m/>
    <m/>
    <m/>
    <n v="0"/>
    <m/>
    <n v="35854.530977182541"/>
    <n v="35854.530977182541"/>
    <n v="0"/>
    <n v="0"/>
    <n v="0"/>
    <n v="0"/>
    <n v="0"/>
    <n v="0"/>
  </r>
  <r>
    <x v="6"/>
    <x v="6"/>
    <x v="12"/>
    <x v="8"/>
    <x v="34"/>
    <x v="10"/>
    <x v="115"/>
    <x v="116"/>
    <m/>
    <s v=""/>
    <s v="A3"/>
    <s v="Grade &amp; Re-Contour"/>
    <s v="A2"/>
    <s v="Site Works"/>
    <s v="Grade and Re-Contour"/>
    <s v="Grade and Contour"/>
    <s v="Crusher extension Pad"/>
    <m/>
    <n v="36180"/>
    <s v="m2"/>
    <n v="1.2689880937499998E-2"/>
    <n v="0.14624999999999999"/>
    <n v="1.2689880937499998"/>
    <n v="0.39654534577546297"/>
    <n v="1.8102953457754629"/>
    <n v="459.11989231874992"/>
    <n v="5291.3249999999998"/>
    <n v="45911.989231874992"/>
    <n v="14347.010610156251"/>
    <n v="65496.485610156247"/>
    <n v="0"/>
    <n v="0"/>
    <n v="1"/>
    <n v="0"/>
    <n v="0"/>
    <n v="1"/>
    <n v="65496.485610156247"/>
    <n v="0"/>
    <n v="0"/>
    <n v="65496.485610156247"/>
    <s v="Type A  _x000a_2AM-MRY1325"/>
    <m/>
    <s v="2015 A"/>
    <s v="Direct "/>
    <m/>
    <m/>
    <n v="0.33333333333333331"/>
    <n v="0.33333333333333331"/>
    <n v="0.33333333333333331"/>
    <m/>
    <m/>
    <m/>
    <m/>
    <m/>
    <n v="0"/>
    <m/>
    <n v="21832.161870052081"/>
    <n v="21832.161870052081"/>
    <n v="21832.161870052081"/>
    <n v="0"/>
    <n v="0"/>
    <n v="0"/>
    <n v="0"/>
    <n v="0"/>
  </r>
  <r>
    <x v="6"/>
    <x v="6"/>
    <x v="11"/>
    <x v="3"/>
    <x v="52"/>
    <x v="32"/>
    <x v="108"/>
    <x v="112"/>
    <s v="1069"/>
    <s v="BLD"/>
    <s v="FF2-c"/>
    <s v="Fold Away Building Contaminated (480 ft2)"/>
    <s v="FFL-c"/>
    <s v="Buildings (Contaminated)"/>
    <s v="Fold Away Building"/>
    <m/>
    <s v="Waste Management Building - Demolish and Decontaminate Building - Fold-away Building (Steel)"/>
    <s v="4540-BLD-001"/>
    <n v="446.09665427509293"/>
    <s v="m2"/>
    <n v="0.56041666666666667"/>
    <n v="2.3537499999999998"/>
    <n v="55.993123908730162"/>
    <n v="84.0625"/>
    <n v="142.40937390873017"/>
    <n v="250"/>
    <n v="1050"/>
    <n v="24978.34523809524"/>
    <n v="37500"/>
    <n v="63528.345238095237"/>
    <n v="1"/>
    <n v="446.09665427509293"/>
    <n v="1"/>
    <n v="0"/>
    <n v="0"/>
    <n v="1"/>
    <n v="63528.345238095237"/>
    <n v="0"/>
    <n v="0"/>
    <n v="63528.345238095237"/>
    <s v="Type A  _x000a_2AM-MRY1325"/>
    <m/>
    <n v="2014"/>
    <s v="Direct "/>
    <m/>
    <m/>
    <n v="0.33333333333333331"/>
    <n v="0.33333333333333331"/>
    <n v="0.33333333333333331"/>
    <m/>
    <m/>
    <m/>
    <m/>
    <m/>
    <n v="0"/>
    <m/>
    <n v="21176.115079365078"/>
    <n v="21176.115079365078"/>
    <n v="21176.115079365078"/>
    <n v="0"/>
    <n v="0"/>
    <n v="0"/>
    <n v="0"/>
    <n v="0"/>
  </r>
  <r>
    <x v="6"/>
    <x v="6"/>
    <x v="12"/>
    <x v="8"/>
    <x v="34"/>
    <x v="10"/>
    <x v="66"/>
    <x v="54"/>
    <m/>
    <s v=""/>
    <s v="A3"/>
    <s v="Grade &amp; Re-Contour"/>
    <s v="A2"/>
    <s v="Site Works"/>
    <s v="Grade and Re-Contour"/>
    <s v="Grade and Contour"/>
    <s v="Construction Laydown Area"/>
    <m/>
    <n v="33576"/>
    <s v="m2"/>
    <n v="1.2689880937499998E-2"/>
    <n v="0.14624999999999999"/>
    <n v="1.2689880937499998"/>
    <n v="0.39654534577546297"/>
    <n v="1.8102953457754629"/>
    <n v="426.07544235749992"/>
    <n v="4910.49"/>
    <n v="42607.544235749992"/>
    <n v="13314.406529756945"/>
    <n v="60832.440765506937"/>
    <n v="0"/>
    <n v="0"/>
    <n v="1"/>
    <n v="0"/>
    <n v="0"/>
    <n v="1"/>
    <n v="60832.440765506937"/>
    <n v="0"/>
    <n v="0"/>
    <n v="60832.440765506937"/>
    <s v="Type A  _x000a_2AM-MRY1325"/>
    <m/>
    <n v="2014"/>
    <s v="Direct "/>
    <m/>
    <m/>
    <n v="0.33333333333333331"/>
    <n v="0.33333333333333331"/>
    <n v="0.33333333333333331"/>
    <m/>
    <m/>
    <m/>
    <m/>
    <m/>
    <n v="0"/>
    <m/>
    <n v="20277.480255168979"/>
    <n v="20277.480255168979"/>
    <n v="20277.480255168979"/>
    <n v="0"/>
    <n v="0"/>
    <n v="0"/>
    <n v="0"/>
    <n v="0"/>
  </r>
  <r>
    <x v="6"/>
    <x v="6"/>
    <x v="12"/>
    <x v="8"/>
    <x v="21"/>
    <x v="16"/>
    <x v="39"/>
    <x v="30"/>
    <m/>
    <s v="MO-"/>
    <s v="O2"/>
    <s v="Medium Mobile Equipment"/>
    <s v="O2"/>
    <s v="Mobile Equipment"/>
    <s v="Medium Mobile Equipment"/>
    <s v="Hwy Truck"/>
    <s v="Misc. Support Mobile Equipment (assume medium sized)"/>
    <m/>
    <n v="40"/>
    <s v="ea"/>
    <n v="10"/>
    <n v="45"/>
    <n v="999.13380952380965"/>
    <n v="450"/>
    <n v="1494.1338095238098"/>
    <n v="400"/>
    <n v="1800"/>
    <n v="39965.352380952383"/>
    <n v="18000"/>
    <n v="59765.352380952383"/>
    <n v="24"/>
    <n v="960"/>
    <n v="1"/>
    <n v="0"/>
    <n v="0"/>
    <n v="1"/>
    <n v="59765.352380952383"/>
    <n v="0"/>
    <n v="0"/>
    <n v="59765.352380952383"/>
    <s v="Type A  _x000a_2AM-MRY1325"/>
    <s v="Added"/>
    <s v="2017-A"/>
    <s v="Direct "/>
    <m/>
    <m/>
    <n v="0.33333333333333331"/>
    <m/>
    <n v="0.33333333333333331"/>
    <m/>
    <m/>
    <m/>
    <m/>
    <n v="0.33333333333333331"/>
    <n v="0"/>
    <m/>
    <n v="19921.784126984126"/>
    <n v="0"/>
    <n v="19921.784126984126"/>
    <n v="0"/>
    <n v="0"/>
    <n v="0"/>
    <n v="0"/>
    <n v="19921.784126984126"/>
  </r>
  <r>
    <x v="6"/>
    <x v="6"/>
    <x v="11"/>
    <x v="3"/>
    <x v="19"/>
    <x v="4"/>
    <x v="109"/>
    <x v="113"/>
    <s v="1032"/>
    <s v="BLD"/>
    <s v="CP"/>
    <s v="Precast Concrete Foundations - (480 ft2)"/>
    <s v="CP"/>
    <s v="Flooring / Foundations"/>
    <s v="Precast Foundations"/>
    <m/>
    <s v="Additional Truck Wash Building - Demolish and foundations - Precast Footing (Perimeter Beam)"/>
    <m/>
    <n v="1500"/>
    <s v="m2"/>
    <n v="0.14520631503408685"/>
    <n v="2.1780947255113023"/>
    <n v="14.50805387069216"/>
    <n v="21.780947255113027"/>
    <n v="38.467095851316493"/>
    <n v="217.80947255113028"/>
    <n v="3267.1420882669536"/>
    <n v="21762.080806038241"/>
    <n v="32671.420882669539"/>
    <n v="57700.643776974735"/>
    <n v="0.75"/>
    <n v="1125"/>
    <n v="1"/>
    <n v="0"/>
    <n v="0"/>
    <n v="1"/>
    <n v="57700.643776974735"/>
    <n v="0"/>
    <n v="0"/>
    <n v="57700.643776974735"/>
    <s v="Type A  _x000a_2AM-MRY1325"/>
    <s v="Added"/>
    <n v="2017"/>
    <s v="Direct "/>
    <m/>
    <m/>
    <n v="0.33333333333333331"/>
    <n v="0.33333333333333331"/>
    <n v="0.33333333333333331"/>
    <m/>
    <m/>
    <m/>
    <m/>
    <m/>
    <n v="0"/>
    <m/>
    <n v="19233.547925658244"/>
    <n v="19233.547925658244"/>
    <n v="19233.547925658244"/>
    <n v="0"/>
    <n v="0"/>
    <n v="0"/>
    <n v="0"/>
    <n v="0"/>
  </r>
  <r>
    <x v="6"/>
    <x v="6"/>
    <x v="11"/>
    <x v="3"/>
    <x v="19"/>
    <x v="4"/>
    <x v="31"/>
    <x v="12"/>
    <s v="948"/>
    <s v="BLD"/>
    <s v="FF2-c"/>
    <s v="Fold Away Building Contaminated (480 ft2)"/>
    <s v="FFL-c"/>
    <s v="Buildings (Contaminated)"/>
    <s v="Fold Away Building"/>
    <m/>
    <s v="Welding Shop Building - Demolish and Decontaminate Building - Fold-away Building (Steel)"/>
    <s v="4521-BLD-003"/>
    <n v="390.33457249070631"/>
    <s v="m2"/>
    <n v="0.56041666666666667"/>
    <n v="2.3537499999999998"/>
    <n v="55.993123908730162"/>
    <n v="84.0625"/>
    <n v="142.40937390873017"/>
    <n v="218.75"/>
    <n v="918.74999999999989"/>
    <n v="21856.052083333332"/>
    <n v="32812.5"/>
    <n v="55587.302083333328"/>
    <n v="1"/>
    <n v="390.33457249070631"/>
    <n v="1"/>
    <n v="0"/>
    <n v="0"/>
    <n v="1"/>
    <n v="55587.302083333328"/>
    <n v="0"/>
    <n v="0"/>
    <n v="55587.302083333328"/>
    <s v="Type A  _x000a_2AM-MRY1325"/>
    <m/>
    <n v="2014"/>
    <s v="Direct "/>
    <m/>
    <m/>
    <n v="0.33333333333333331"/>
    <n v="0.33333333333333331"/>
    <n v="0.33333333333333331"/>
    <m/>
    <m/>
    <m/>
    <m/>
    <m/>
    <n v="0"/>
    <m/>
    <n v="18529.100694444442"/>
    <n v="18529.100694444442"/>
    <n v="18529.100694444442"/>
    <n v="0"/>
    <n v="0"/>
    <n v="0"/>
    <n v="0"/>
    <n v="0"/>
  </r>
  <r>
    <x v="6"/>
    <x v="6"/>
    <x v="12"/>
    <x v="8"/>
    <x v="34"/>
    <x v="10"/>
    <x v="66"/>
    <x v="54"/>
    <m/>
    <m/>
    <s v="A3"/>
    <s v="Grade &amp; Re-Contour"/>
    <s v="A2"/>
    <s v="Site Works"/>
    <s v="Grade and Re-Contour"/>
    <s v="Grade and Contour"/>
    <s v="Laydown Pad Development (Nuna services)"/>
    <m/>
    <n v="5000"/>
    <s v="m2"/>
    <n v="1.2689880937499998E-2"/>
    <n v="0.14624999999999999"/>
    <n v="1.2689880937499998"/>
    <n v="0.39654534577546297"/>
    <n v="1.8102953457754629"/>
    <n v="63.449404687499992"/>
    <n v="731.25"/>
    <n v="6344.9404687499991"/>
    <n v="1982.7267288773148"/>
    <n v="9051.4767288773146"/>
    <n v="0"/>
    <n v="0"/>
    <n v="1"/>
    <n v="0"/>
    <n v="0"/>
    <n v="1"/>
    <n v="9051.4767288773146"/>
    <n v="0"/>
    <n v="0"/>
    <n v="9051.4767288773146"/>
    <s v="Type A  _x000a_2AM-MRY1325"/>
    <s v="Added"/>
    <n v="2018"/>
    <s v="Direct "/>
    <m/>
    <m/>
    <n v="0.33333333333333331"/>
    <n v="0.33333333333333331"/>
    <n v="0.33333333333333331"/>
    <m/>
    <m/>
    <m/>
    <m/>
    <m/>
    <n v="0"/>
    <m/>
    <n v="3017.1589096257712"/>
    <n v="3017.1589096257712"/>
    <n v="3017.1589096257712"/>
    <n v="0"/>
    <n v="0"/>
    <n v="0"/>
    <n v="0"/>
    <n v="0"/>
  </r>
  <r>
    <x v="6"/>
    <x v="6"/>
    <x v="18"/>
    <x v="11"/>
    <x v="53"/>
    <x v="24"/>
    <x v="116"/>
    <x v="117"/>
    <s v="773"/>
    <s v="BLD"/>
    <s v="FF2-c"/>
    <s v="Fold Away Building Contaminated (480 ft2)"/>
    <s v="FFL-c"/>
    <s v="Buildings (Contaminated)"/>
    <s v="Fold Away Building"/>
    <m/>
    <s v="Explosives Shop - Demolish and Decontaminate Building - Fold-away Building (Steel)"/>
    <s v="4212-BLD-001"/>
    <n v="371.74721189591077"/>
    <s v="m2"/>
    <n v="0.56041666666666667"/>
    <n v="2.3537499999999998"/>
    <n v="55.993123908730162"/>
    <n v="84.0625"/>
    <n v="142.40937390873017"/>
    <n v="208.33333333333331"/>
    <n v="874.99999999999989"/>
    <n v="20815.2876984127"/>
    <n v="31250"/>
    <n v="52940.2876984127"/>
    <n v="1"/>
    <n v="371.74721189591077"/>
    <n v="1"/>
    <n v="0"/>
    <n v="0"/>
    <n v="1"/>
    <n v="52940.2876984127"/>
    <n v="0"/>
    <n v="0"/>
    <n v="52940.2876984127"/>
    <s v="Type A  _x000a_2AM-MRY1325"/>
    <m/>
    <n v="2014"/>
    <s v="Direct "/>
    <m/>
    <m/>
    <n v="0.33333333333333331"/>
    <n v="0.33333333333333331"/>
    <n v="0.33333333333333331"/>
    <m/>
    <m/>
    <m/>
    <m/>
    <m/>
    <n v="0"/>
    <m/>
    <n v="17646.762566137564"/>
    <n v="17646.762566137564"/>
    <n v="17646.762566137564"/>
    <n v="0"/>
    <n v="0"/>
    <n v="0"/>
    <n v="0"/>
    <n v="0"/>
  </r>
  <r>
    <x v="6"/>
    <x v="6"/>
    <x v="20"/>
    <x v="3"/>
    <x v="51"/>
    <x v="28"/>
    <x v="111"/>
    <x v="115"/>
    <m/>
    <s v="BLD"/>
    <s v="CP"/>
    <s v="Precast Concrete Foundations - (480 ft2)"/>
    <s v="CP"/>
    <s v="Flooring / Foundations"/>
    <s v="Precast Foundations"/>
    <m/>
    <s v="Aerodrome Equipment Building - Demolish and foundations - Undefined"/>
    <s v="4521-BLD-003"/>
    <n v="1296"/>
    <s v="m2"/>
    <n v="0.14520631503408685"/>
    <n v="2.1780947255113023"/>
    <n v="14.50805387069216"/>
    <n v="21.780947255113027"/>
    <n v="38.467095851316493"/>
    <n v="188.18738428417655"/>
    <n v="2822.8107642626478"/>
    <n v="18802.437816417041"/>
    <n v="28228.107642626484"/>
    <n v="49853.356223306175"/>
    <n v="0.75"/>
    <n v="972"/>
    <n v="1"/>
    <n v="0"/>
    <n v="0"/>
    <n v="1"/>
    <n v="49853.356223306175"/>
    <n v="0"/>
    <n v="0"/>
    <n v="49853.356223306175"/>
    <s v="Type A  _x000a_2AM-MRY1325"/>
    <m/>
    <n v="2015"/>
    <s v="Direct "/>
    <m/>
    <m/>
    <n v="0.33333333333333331"/>
    <n v="0.33333333333333331"/>
    <n v="0.33333333333333331"/>
    <m/>
    <m/>
    <m/>
    <m/>
    <m/>
    <n v="0"/>
    <m/>
    <n v="16617.785407768723"/>
    <n v="16617.785407768723"/>
    <n v="16617.785407768723"/>
    <n v="0"/>
    <n v="0"/>
    <n v="0"/>
    <n v="0"/>
    <n v="0"/>
  </r>
  <r>
    <x v="6"/>
    <x v="6"/>
    <x v="18"/>
    <x v="11"/>
    <x v="53"/>
    <x v="24"/>
    <x v="117"/>
    <x v="118"/>
    <s v="769"/>
    <s v="BLD"/>
    <s v="FF1-c"/>
    <s v="Modular Building Contaminated (480 ft2) "/>
    <s v="FTR2-c"/>
    <s v="Buildings (Contaminated)"/>
    <s v="Double Trailer (2 or more)"/>
    <m/>
    <s v="Explosives Plant Building - Demolish and Decontaminate Building - Trailer - Modular (2 or more modules)"/>
    <s v="4211-BLD-001"/>
    <n v="342.0074349442379"/>
    <s v="m2"/>
    <n v="0.56041666666666667"/>
    <n v="3.3624999999999998"/>
    <n v="55.993123908730162"/>
    <n v="84.0625"/>
    <n v="143.41812390873017"/>
    <n v="191.66666666666666"/>
    <n v="1149.9999999999998"/>
    <n v="19150.064682539683"/>
    <n v="28750"/>
    <n v="49050.064682539683"/>
    <n v="1"/>
    <n v="342.0074349442379"/>
    <n v="1"/>
    <n v="0"/>
    <n v="0"/>
    <n v="1"/>
    <n v="49050.064682539683"/>
    <n v="0"/>
    <n v="0"/>
    <n v="49050.064682539683"/>
    <s v="Type A  _x000a_2AM-MRY1325"/>
    <m/>
    <n v="2014"/>
    <s v="Direct "/>
    <m/>
    <m/>
    <n v="0.33333333333333331"/>
    <n v="0.33333333333333331"/>
    <n v="0.33333333333333331"/>
    <m/>
    <m/>
    <m/>
    <m/>
    <m/>
    <n v="0"/>
    <m/>
    <n v="16350.021560846561"/>
    <n v="16350.021560846561"/>
    <n v="16350.021560846561"/>
    <n v="0"/>
    <n v="0"/>
    <n v="0"/>
    <n v="0"/>
    <n v="0"/>
  </r>
  <r>
    <x v="6"/>
    <x v="6"/>
    <x v="13"/>
    <x v="2"/>
    <x v="25"/>
    <x v="19"/>
    <x v="118"/>
    <x v="119"/>
    <s v="820"/>
    <s v="BLD"/>
    <s v="FF2-c"/>
    <s v="Fold Away Building Contaminated (480 ft2)"/>
    <s v="FFL-c"/>
    <s v="Buildings (Contaminated)"/>
    <s v="Fold Away Building"/>
    <m/>
    <s v="Truck Weigh Building - Demolish and Decontaminate Building - Fold-away Building (Steel)"/>
    <s v="4382-BLD-001"/>
    <n v="334.57249070631968"/>
    <s v="m2"/>
    <n v="0.56041666666666667"/>
    <n v="2.3537499999999998"/>
    <n v="55.993123908730162"/>
    <n v="84.0625"/>
    <n v="142.40937390873017"/>
    <n v="187.5"/>
    <n v="787.49999999999989"/>
    <n v="18733.758928571428"/>
    <n v="28125"/>
    <n v="47646.258928571428"/>
    <n v="1"/>
    <n v="334.57249070631968"/>
    <n v="1"/>
    <n v="0"/>
    <n v="0"/>
    <n v="1"/>
    <n v="47646.258928571428"/>
    <n v="0"/>
    <n v="0"/>
    <n v="47646.258928571428"/>
    <s v="Type A  _x000a_2AM-MRY1325"/>
    <m/>
    <n v="2014"/>
    <s v="Direct "/>
    <m/>
    <m/>
    <n v="0.33333333333333331"/>
    <n v="0.33333333333333331"/>
    <n v="0.33333333333333331"/>
    <m/>
    <m/>
    <m/>
    <m/>
    <m/>
    <n v="0"/>
    <m/>
    <n v="15882.086309523809"/>
    <n v="15882.086309523809"/>
    <n v="15882.086309523809"/>
    <n v="0"/>
    <n v="0"/>
    <n v="0"/>
    <n v="0"/>
    <n v="0"/>
  </r>
  <r>
    <x v="6"/>
    <x v="6"/>
    <x v="12"/>
    <x v="8"/>
    <x v="34"/>
    <x v="10"/>
    <x v="115"/>
    <x v="116"/>
    <m/>
    <s v=""/>
    <s v="A3"/>
    <s v="Grade &amp; Re-Contour"/>
    <s v="A2"/>
    <s v="Site Works"/>
    <s v="Grade and Re-Contour"/>
    <s v="Grade and Contour"/>
    <s v="Crusher Pad Expansion"/>
    <m/>
    <n v="25700"/>
    <s v="m2"/>
    <n v="1.2689880937499998E-2"/>
    <n v="0.14624999999999999"/>
    <n v="1.2689880937499998"/>
    <n v="0.39654534577546297"/>
    <n v="1.8102953457754629"/>
    <n v="326.12994009374995"/>
    <n v="3758.6249999999995"/>
    <n v="32612.994009374994"/>
    <n v="10191.215386429398"/>
    <n v="46524.590386429394"/>
    <n v="0"/>
    <n v="0"/>
    <n v="1"/>
    <n v="0"/>
    <n v="0"/>
    <n v="1"/>
    <n v="46524.590386429394"/>
    <n v="0"/>
    <n v="0"/>
    <n v="46524.590386429394"/>
    <s v="Type A  _x000a_2AM-MRY1325"/>
    <s v="Added"/>
    <n v="2017"/>
    <s v="Direct "/>
    <m/>
    <m/>
    <n v="0.33333333333333331"/>
    <n v="0.33333333333333331"/>
    <n v="0.33333333333333331"/>
    <m/>
    <m/>
    <m/>
    <m/>
    <m/>
    <n v="0"/>
    <m/>
    <n v="15508.196795476464"/>
    <n v="15508.196795476464"/>
    <n v="15508.196795476464"/>
    <n v="0"/>
    <n v="0"/>
    <n v="0"/>
    <n v="0"/>
    <n v="0"/>
  </r>
  <r>
    <x v="6"/>
    <x v="6"/>
    <x v="11"/>
    <x v="3"/>
    <x v="45"/>
    <x v="3"/>
    <x v="105"/>
    <x v="3"/>
    <m/>
    <s v="BLD"/>
    <s v="FF3"/>
    <s v="Modular Building Not Contaminated (480 ft2)"/>
    <s v="FF3"/>
    <s v="Buildings (Not Contaminated)"/>
    <s v="Soft walled Building (tent)"/>
    <m/>
    <s v="50- Person Rapid Deploy Camp  (assume same footprint as former Shanco Trailer Camp) "/>
    <m/>
    <n v="950"/>
    <s v="m2"/>
    <n v="0.17933333333333332"/>
    <n v="2.69"/>
    <n v="17.917799650793654"/>
    <n v="26.9"/>
    <n v="47.50779965079365"/>
    <n v="170.36666666666665"/>
    <n v="2555.5"/>
    <n v="17021.909668253971"/>
    <n v="25555"/>
    <n v="45132.409668253968"/>
    <n v="0.5"/>
    <n v="475"/>
    <n v="1"/>
    <n v="0"/>
    <n v="0"/>
    <n v="1"/>
    <n v="45132.409668253968"/>
    <n v="0"/>
    <n v="0"/>
    <n v="45132.409668253968"/>
    <s v="Type A  _x000a_2AM-MRY1325"/>
    <s v="Added"/>
    <s v="2017-A"/>
    <s v="Direct "/>
    <m/>
    <m/>
    <m/>
    <n v="1"/>
    <m/>
    <m/>
    <m/>
    <m/>
    <m/>
    <m/>
    <n v="0"/>
    <m/>
    <n v="0"/>
    <n v="45132.409668253968"/>
    <n v="0"/>
    <n v="0"/>
    <n v="0"/>
    <n v="0"/>
    <n v="0"/>
    <n v="0"/>
  </r>
  <r>
    <x v="6"/>
    <x v="6"/>
    <x v="11"/>
    <x v="3"/>
    <x v="45"/>
    <x v="3"/>
    <x v="105"/>
    <x v="3"/>
    <m/>
    <s v="BLD"/>
    <s v="FF3"/>
    <s v="Modular Building Not Contaminated (480 ft2)"/>
    <s v="FF3"/>
    <s v="Buildings (Not Contaminated)"/>
    <s v="Soft walled Building (tent)"/>
    <m/>
    <s v="35- Person 'Norse-man Style' Camp  (assume same footprint as former Shanco Trailer Camp) "/>
    <m/>
    <n v="950"/>
    <s v="m2"/>
    <n v="0.17933333333333332"/>
    <n v="2.69"/>
    <n v="17.917799650793654"/>
    <n v="26.9"/>
    <n v="47.50779965079365"/>
    <n v="170.36666666666665"/>
    <n v="2555.5"/>
    <n v="17021.909668253971"/>
    <n v="25555"/>
    <n v="45132.409668253968"/>
    <n v="0.5"/>
    <n v="475"/>
    <n v="1"/>
    <n v="0"/>
    <n v="0"/>
    <n v="1"/>
    <n v="45132.409668253968"/>
    <n v="0"/>
    <n v="0"/>
    <n v="45132.409668253968"/>
    <s v="Type A  _x000a_2AM-MRY1325"/>
    <s v="Added"/>
    <s v="2017-A"/>
    <s v="Direct "/>
    <m/>
    <m/>
    <m/>
    <n v="1"/>
    <m/>
    <m/>
    <m/>
    <m/>
    <m/>
    <m/>
    <n v="0"/>
    <m/>
    <n v="0"/>
    <n v="45132.409668253968"/>
    <n v="0"/>
    <n v="0"/>
    <n v="0"/>
    <n v="0"/>
    <n v="0"/>
    <n v="0"/>
  </r>
  <r>
    <x v="6"/>
    <x v="6"/>
    <x v="20"/>
    <x v="3"/>
    <x v="51"/>
    <x v="28"/>
    <x v="111"/>
    <x v="115"/>
    <m/>
    <s v="BLD"/>
    <s v="CS"/>
    <s v="Slab on Grade - ASSUME 300mm thick"/>
    <s v="CS"/>
    <s v="Flooring / Foundations"/>
    <s v="Slab on Grade"/>
    <m/>
    <s v="Aerodrome Equipment Building - Demolish floor finish - Undefined"/>
    <s v="4521-BLD-003"/>
    <n v="1296"/>
    <s v="m2"/>
    <n v="0.125"/>
    <n v="1.875"/>
    <n v="12.48917261904762"/>
    <n v="18.75"/>
    <n v="33.114172619047622"/>
    <n v="162"/>
    <n v="2430"/>
    <n v="16185.967714285716"/>
    <n v="24300"/>
    <n v="42915.967714285718"/>
    <n v="0"/>
    <n v="0"/>
    <n v="1"/>
    <n v="0"/>
    <n v="0"/>
    <n v="1"/>
    <n v="42915.967714285718"/>
    <n v="0"/>
    <n v="0"/>
    <n v="42915.967714285718"/>
    <s v="Type A  _x000a_2AM-MRY1325"/>
    <m/>
    <n v="2015"/>
    <s v="Direct "/>
    <m/>
    <m/>
    <n v="0.33333333333333331"/>
    <n v="0.33333333333333331"/>
    <n v="0.33333333333333331"/>
    <m/>
    <m/>
    <m/>
    <m/>
    <m/>
    <n v="0"/>
    <m/>
    <n v="14305.322571428573"/>
    <n v="14305.322571428573"/>
    <n v="14305.322571428573"/>
    <n v="0"/>
    <n v="0"/>
    <n v="0"/>
    <n v="0"/>
    <n v="0"/>
  </r>
  <r>
    <x v="6"/>
    <x v="6"/>
    <x v="13"/>
    <x v="2"/>
    <x v="25"/>
    <x v="19"/>
    <x v="47"/>
    <x v="37"/>
    <m/>
    <m/>
    <s v="MM2"/>
    <s v="Medium Equipment"/>
    <s v="MM2"/>
    <s v="Mechanical Equipment"/>
    <s v="Medium Equipment"/>
    <s v="Drill"/>
    <s v="Quarry Drills"/>
    <m/>
    <n v="10"/>
    <s v="ea"/>
    <n v="19.2"/>
    <n v="213"/>
    <n v="1918.3369142857146"/>
    <n v="2130"/>
    <n v="4261.3369142857146"/>
    <n v="192"/>
    <n v="2130"/>
    <n v="19183.369142857147"/>
    <n v="21300"/>
    <n v="42613.369142857147"/>
    <n v="1"/>
    <n v="10"/>
    <n v="1"/>
    <n v="0"/>
    <n v="0"/>
    <n v="1"/>
    <n v="42613.369142857147"/>
    <n v="0"/>
    <n v="0"/>
    <n v="42613.369142857147"/>
    <s v="Type A  _x000a_2AM-MRY1325"/>
    <s v="Added"/>
    <s v="2017-A"/>
    <s v="Direct "/>
    <m/>
    <m/>
    <n v="0.5"/>
    <n v="0.5"/>
    <m/>
    <m/>
    <m/>
    <m/>
    <m/>
    <m/>
    <n v="0"/>
    <m/>
    <n v="21306.684571428574"/>
    <n v="21306.684571428574"/>
    <n v="0"/>
    <n v="0"/>
    <n v="0"/>
    <n v="0"/>
    <n v="0"/>
    <n v="0"/>
  </r>
  <r>
    <x v="6"/>
    <x v="6"/>
    <x v="11"/>
    <x v="3"/>
    <x v="19"/>
    <x v="4"/>
    <x v="109"/>
    <x v="113"/>
    <s v="1038"/>
    <m/>
    <s v="MM3"/>
    <s v="Heavy Equipment"/>
    <s v="MM3"/>
    <s v="Mechanical Equipment"/>
    <s v="Heavy Equipment"/>
    <m/>
    <s v="Additional Truck Wash Building - Truck Wash System"/>
    <m/>
    <n v="1"/>
    <s v="ea"/>
    <n v="168"/>
    <n v="2220"/>
    <n v="16785.448"/>
    <n v="22200"/>
    <n v="41205.448000000004"/>
    <n v="168"/>
    <n v="2220"/>
    <n v="16785.448"/>
    <n v="22200"/>
    <n v="41205.448000000004"/>
    <n v="56"/>
    <n v="56"/>
    <n v="1"/>
    <n v="0"/>
    <n v="0"/>
    <n v="1"/>
    <n v="41205.448000000004"/>
    <n v="0"/>
    <n v="0"/>
    <n v="41205.448000000004"/>
    <s v="Type A  _x000a_2AM-MRY1325"/>
    <s v="Modified (2017A)"/>
    <n v="2017"/>
    <s v="Direct "/>
    <m/>
    <m/>
    <n v="0.33333333333333331"/>
    <m/>
    <n v="0.33333333333333331"/>
    <m/>
    <m/>
    <m/>
    <m/>
    <n v="0.33333333333333331"/>
    <n v="0"/>
    <m/>
    <n v="13735.149333333335"/>
    <n v="0"/>
    <n v="13735.149333333335"/>
    <n v="0"/>
    <n v="0"/>
    <n v="0"/>
    <n v="0"/>
    <n v="13735.149333333335"/>
  </r>
  <r>
    <x v="6"/>
    <x v="6"/>
    <x v="12"/>
    <x v="8"/>
    <x v="21"/>
    <x v="16"/>
    <x v="39"/>
    <x v="30"/>
    <m/>
    <s v="MO-"/>
    <s v="MM3"/>
    <s v="Heavy Equipment"/>
    <s v="MM3"/>
    <s v="Mechanical Equipment"/>
    <s v="Heavy Equipment"/>
    <m/>
    <s v="C 125 JAW CRUSHER"/>
    <m/>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2"/>
    <x v="8"/>
    <x v="21"/>
    <x v="16"/>
    <x v="39"/>
    <x v="30"/>
    <m/>
    <s v="MO-"/>
    <s v="MM3"/>
    <s v="Heavy Equipment"/>
    <s v="MM3"/>
    <s v="Mechanical Equipment"/>
    <s v="Heavy Equipment"/>
    <m/>
    <s v="SANDVIK  NEW QJ341 JAW CRUSHER S/N# QJ34100262"/>
    <m/>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5"/>
    <x v="5"/>
    <x v="15"/>
    <x v="8"/>
    <x v="28"/>
    <x v="24"/>
    <x v="67"/>
    <x v="55"/>
    <m/>
    <m/>
    <s v="FF1-c"/>
    <s v="Modular Building Contaminated (480 ft2) "/>
    <s v="FTR1-c"/>
    <s v="Buildings (Contaminated)"/>
    <s v="Single Trailers (modular)"/>
    <m/>
    <s v="Explosives Magazines (31m2 x 2) - Demolish and Decontaminate Building - Trailer"/>
    <m/>
    <n v="62"/>
    <s v="m2"/>
    <n v="0.56041666666666667"/>
    <n v="3.3624999999999998"/>
    <n v="55.993123908730162"/>
    <n v="84.0625"/>
    <n v="143.41812390873017"/>
    <n v="34.745833333333337"/>
    <n v="208.47499999999999"/>
    <n v="3471.5736823412699"/>
    <n v="5211.875"/>
    <n v="8891.9236823412703"/>
    <n v="1"/>
    <n v="62"/>
    <n v="1"/>
    <n v="0"/>
    <n v="0"/>
    <n v="1"/>
    <n v="8891.9236823412703"/>
    <n v="0"/>
    <n v="0"/>
    <n v="8891.9236823412703"/>
    <s v="Type A  _x000a_2AM-MRY1325"/>
    <s v="Added"/>
    <n v="2018"/>
    <s v="Direct "/>
    <m/>
    <m/>
    <n v="0.33333333333333331"/>
    <n v="0.33333333333333331"/>
    <n v="0.33333333333333331"/>
    <m/>
    <m/>
    <m/>
    <m/>
    <m/>
    <n v="0"/>
    <m/>
    <n v="2963.9745607804234"/>
    <n v="2963.9745607804234"/>
    <n v="2963.9745607804234"/>
    <n v="0"/>
    <n v="0"/>
    <n v="0"/>
    <n v="0"/>
    <n v="0"/>
  </r>
  <r>
    <x v="6"/>
    <x v="6"/>
    <x v="14"/>
    <x v="5"/>
    <x v="54"/>
    <x v="25"/>
    <x v="119"/>
    <x v="59"/>
    <m/>
    <s v="TK-"/>
    <s v="MT1"/>
    <s v="Light Tanks"/>
    <s v="MT1"/>
    <s v="Mechanical Equipment"/>
    <s v="Light Tanks"/>
    <m/>
    <s v="FRP Water tanks for 800p camp"/>
    <m/>
    <n v="4"/>
    <s v="ea"/>
    <n v="9.6666666666666661"/>
    <n v="107.5"/>
    <n v="965.82934920634932"/>
    <n v="1075"/>
    <n v="2148.3293492063494"/>
    <n v="38.666666666666664"/>
    <n v="430"/>
    <n v="3863.3173968253973"/>
    <n v="4300"/>
    <n v="8593.3173968253977"/>
    <n v="1"/>
    <n v="4"/>
    <n v="1"/>
    <n v="0"/>
    <n v="0"/>
    <n v="1"/>
    <n v="8593.3173968253977"/>
    <n v="0"/>
    <n v="0"/>
    <n v="8593.3173968253977"/>
    <s v="Type A  _x000a_2AM-MRY1325"/>
    <s v="Added"/>
    <n v="2018"/>
    <s v="Direct "/>
    <m/>
    <m/>
    <n v="0.33333333333333331"/>
    <n v="0.33333333333333331"/>
    <n v="0.33333333333333331"/>
    <m/>
    <m/>
    <m/>
    <m/>
    <m/>
    <n v="0"/>
    <m/>
    <n v="2864.4391322751326"/>
    <n v="2864.4391322751326"/>
    <n v="2864.4391322751326"/>
    <n v="0"/>
    <n v="0"/>
    <n v="0"/>
    <n v="0"/>
    <n v="0"/>
  </r>
  <r>
    <x v="1"/>
    <x v="1"/>
    <x v="3"/>
    <x v="3"/>
    <x v="5"/>
    <x v="4"/>
    <x v="20"/>
    <x v="17"/>
    <s v="302"/>
    <s v="SQ-"/>
    <s v="MM2"/>
    <s v="Medium Equipment"/>
    <s v="MM2"/>
    <s v="Mechanical Equipment"/>
    <s v="Medium Equipment"/>
    <s v="3rd party Equipment"/>
    <s v="Herman Nelson Flagro-1000 trailer mount"/>
    <m/>
    <n v="2"/>
    <s v="ea"/>
    <n v="19.2"/>
    <n v="213"/>
    <n v="1918.3369142857146"/>
    <n v="2130"/>
    <n v="4261.3369142857146"/>
    <n v="38.4"/>
    <n v="426"/>
    <n v="3836.6738285714291"/>
    <n v="4260"/>
    <n v="8522.6738285714291"/>
    <n v="1"/>
    <n v="2"/>
    <n v="1"/>
    <n v="0"/>
    <n v="0"/>
    <n v="1"/>
    <n v="8522.6738285714291"/>
    <n v="0"/>
    <n v="0"/>
    <n v="8522.6738285714291"/>
    <s v="Type A  _x000a_2AM-MRY1325"/>
    <s v="Added"/>
    <n v="2018"/>
    <s v="Direct "/>
    <m/>
    <m/>
    <n v="0.33333333333333331"/>
    <m/>
    <n v="0.33333333333333331"/>
    <m/>
    <m/>
    <m/>
    <m/>
    <n v="0.33333333333333331"/>
    <n v="0"/>
    <m/>
    <n v="2840.8912761904762"/>
    <n v="0"/>
    <n v="2840.8912761904762"/>
    <n v="0"/>
    <n v="0"/>
    <n v="0"/>
    <n v="0"/>
    <n v="2840.8912761904762"/>
  </r>
  <r>
    <x v="1"/>
    <x v="1"/>
    <x v="3"/>
    <x v="3"/>
    <x v="5"/>
    <x v="4"/>
    <x v="20"/>
    <x v="17"/>
    <s v="302"/>
    <s v="SQ-"/>
    <s v="MM2"/>
    <s v="Medium Equipment"/>
    <s v="MM2"/>
    <s v="Mechanical Equipment"/>
    <s v="Medium Equipment"/>
    <s v="3rd party Equipment"/>
    <s v="55KW Generator"/>
    <s v=" "/>
    <n v="2"/>
    <s v="ea"/>
    <n v="19.2"/>
    <n v="213"/>
    <n v="1918.3369142857146"/>
    <n v="2130"/>
    <n v="4261.3369142857146"/>
    <n v="38.4"/>
    <n v="426"/>
    <n v="3836.6738285714291"/>
    <n v="4260"/>
    <n v="8522.6738285714291"/>
    <n v="1"/>
    <n v="2"/>
    <n v="1"/>
    <n v="0"/>
    <n v="0"/>
    <n v="1"/>
    <n v="8522.6738285714291"/>
    <n v="0"/>
    <n v="0"/>
    <n v="8522.6738285714291"/>
    <s v="Type A  _x000a_2AM-MRY1325"/>
    <s v="Added"/>
    <n v="2018"/>
    <s v="Direct "/>
    <m/>
    <m/>
    <n v="0.33333333333333331"/>
    <m/>
    <n v="0.33333333333333331"/>
    <m/>
    <m/>
    <m/>
    <m/>
    <n v="0.33333333333333331"/>
    <n v="0"/>
    <m/>
    <n v="2840.8912761904762"/>
    <n v="0"/>
    <n v="2840.8912761904762"/>
    <n v="0"/>
    <n v="0"/>
    <n v="0"/>
    <n v="0"/>
    <n v="2840.8912761904762"/>
  </r>
  <r>
    <x v="1"/>
    <x v="1"/>
    <x v="3"/>
    <x v="3"/>
    <x v="5"/>
    <x v="4"/>
    <x v="20"/>
    <x v="17"/>
    <s v="302"/>
    <s v="SQ-"/>
    <s v="MM2"/>
    <s v="Medium Equipment"/>
    <s v="MM2"/>
    <s v="Mechanical Equipment"/>
    <s v="Medium Equipment"/>
    <s v="3rd party Equipment"/>
    <s v="Diesel Generators 60+kw "/>
    <m/>
    <n v="2"/>
    <s v="ea"/>
    <n v="19.2"/>
    <n v="213"/>
    <n v="1918.3369142857146"/>
    <n v="2130"/>
    <n v="4261.3369142857146"/>
    <n v="38.4"/>
    <n v="426"/>
    <n v="3836.6738285714291"/>
    <n v="4260"/>
    <n v="8522.6738285714291"/>
    <n v="1"/>
    <n v="2"/>
    <n v="1"/>
    <n v="0"/>
    <n v="0"/>
    <n v="1"/>
    <n v="8522.6738285714291"/>
    <n v="0"/>
    <n v="0"/>
    <n v="8522.6738285714291"/>
    <s v="Type A  _x000a_2AM-MRY1325"/>
    <s v="Added"/>
    <n v="2018"/>
    <s v="Direct "/>
    <m/>
    <m/>
    <n v="0.33333333333333331"/>
    <m/>
    <n v="0.33333333333333331"/>
    <m/>
    <m/>
    <m/>
    <m/>
    <n v="0.33333333333333331"/>
    <n v="0"/>
    <m/>
    <n v="2840.8912761904762"/>
    <n v="0"/>
    <n v="2840.8912761904762"/>
    <n v="0"/>
    <n v="0"/>
    <n v="0"/>
    <n v="0"/>
    <n v="2840.8912761904762"/>
  </r>
  <r>
    <x v="1"/>
    <x v="1"/>
    <x v="3"/>
    <x v="3"/>
    <x v="5"/>
    <x v="4"/>
    <x v="20"/>
    <x v="17"/>
    <s v="302"/>
    <s v="SQ-"/>
    <s v="MM2"/>
    <s v="Medium Equipment"/>
    <s v="MM2"/>
    <s v="Mechanical Equipment"/>
    <s v="Medium Equipment"/>
    <s v="3rd party Equipment"/>
    <s v="Diesel Generators 135kw (shipment 2017)"/>
    <m/>
    <n v="2"/>
    <s v="ea"/>
    <n v="19.2"/>
    <n v="213"/>
    <n v="1918.3369142857146"/>
    <n v="2130"/>
    <n v="4261.3369142857146"/>
    <n v="38.4"/>
    <n v="426"/>
    <n v="3836.6738285714291"/>
    <n v="4260"/>
    <n v="8522.6738285714291"/>
    <n v="1"/>
    <n v="2"/>
    <n v="1"/>
    <n v="0"/>
    <n v="0"/>
    <n v="1"/>
    <n v="8522.6738285714291"/>
    <n v="0"/>
    <n v="0"/>
    <n v="8522.6738285714291"/>
    <s v="Type A  _x000a_2AM-MRY1325"/>
    <s v="Added"/>
    <n v="2018"/>
    <s v="Direct "/>
    <m/>
    <m/>
    <n v="0.33333333333333331"/>
    <m/>
    <n v="0.33333333333333331"/>
    <m/>
    <m/>
    <m/>
    <m/>
    <n v="0.33333333333333331"/>
    <n v="0"/>
    <m/>
    <n v="2840.8912761904762"/>
    <n v="0"/>
    <n v="2840.8912761904762"/>
    <n v="0"/>
    <n v="0"/>
    <n v="0"/>
    <n v="0"/>
    <n v="2840.8912761904762"/>
  </r>
  <r>
    <x v="1"/>
    <x v="1"/>
    <x v="3"/>
    <x v="3"/>
    <x v="5"/>
    <x v="4"/>
    <x v="20"/>
    <x v="17"/>
    <s v="302"/>
    <s v="SQ-"/>
    <s v="MM2"/>
    <s v="Medium Equipment"/>
    <s v="MM2"/>
    <s v="Mechanical Equipment"/>
    <s v="Medium Equipment"/>
    <s v="3rd party Equipment"/>
    <s v="Engine System for mobile trolly movement"/>
    <m/>
    <n v="2"/>
    <s v="ea"/>
    <n v="19.2"/>
    <n v="213"/>
    <n v="1918.3369142857146"/>
    <n v="2130"/>
    <n v="4261.3369142857146"/>
    <n v="38.4"/>
    <n v="426"/>
    <n v="3836.6738285714291"/>
    <n v="4260"/>
    <n v="8522.6738285714291"/>
    <n v="1"/>
    <n v="2"/>
    <n v="1"/>
    <n v="0"/>
    <n v="0"/>
    <n v="1"/>
    <n v="8522.6738285714291"/>
    <n v="0"/>
    <n v="0"/>
    <n v="8522.6738285714291"/>
    <s v="Type A  _x000a_2AM-MRY1325"/>
    <s v="Added"/>
    <n v="2018"/>
    <s v="Direct "/>
    <m/>
    <m/>
    <n v="0.33333333333333331"/>
    <m/>
    <n v="0.33333333333333331"/>
    <m/>
    <m/>
    <m/>
    <m/>
    <n v="0.33333333333333331"/>
    <n v="0"/>
    <m/>
    <n v="2840.8912761904762"/>
    <n v="0"/>
    <n v="2840.8912761904762"/>
    <n v="0"/>
    <n v="0"/>
    <n v="0"/>
    <n v="0"/>
    <n v="2840.8912761904762"/>
  </r>
  <r>
    <x v="6"/>
    <x v="6"/>
    <x v="13"/>
    <x v="2"/>
    <x v="25"/>
    <x v="19"/>
    <x v="47"/>
    <x v="37"/>
    <m/>
    <s v="BAE"/>
    <s v="MM3"/>
    <s v="Heavy Equipment"/>
    <s v="MM3"/>
    <s v="Mechanical Equipment"/>
    <s v="Heavy Equipment"/>
    <s v="Spread A, Primary Jaw Plant"/>
    <s v="Spread A, Primary Jaw Plant"/>
    <s v="MR-PRO-CRU-010-PJP01"/>
    <n v="1"/>
    <s v="ea"/>
    <n v="168"/>
    <n v="2220"/>
    <n v="16785.448"/>
    <n v="22200"/>
    <n v="41205.448000000004"/>
    <n v="168"/>
    <n v="2220"/>
    <n v="16785.448"/>
    <n v="22200"/>
    <n v="41205.448000000004"/>
    <n v="56"/>
    <n v="56"/>
    <n v="1"/>
    <n v="0"/>
    <n v="0"/>
    <n v="1"/>
    <n v="41205.448000000004"/>
    <n v="0"/>
    <n v="0"/>
    <n v="41205.448000000004"/>
    <s v="Type A  _x000a_2AM-MRY1325"/>
    <s v="Added"/>
    <s v="2015 R"/>
    <s v="Direct "/>
    <m/>
    <m/>
    <n v="0.33333333333333331"/>
    <m/>
    <n v="0.33333333333333331"/>
    <m/>
    <m/>
    <m/>
    <m/>
    <n v="0.33333333333333331"/>
    <n v="0"/>
    <m/>
    <n v="13735.149333333335"/>
    <n v="0"/>
    <n v="13735.149333333335"/>
    <n v="0"/>
    <n v="0"/>
    <n v="0"/>
    <n v="0"/>
    <n v="13735.149333333335"/>
  </r>
  <r>
    <x v="6"/>
    <x v="6"/>
    <x v="13"/>
    <x v="2"/>
    <x v="25"/>
    <x v="19"/>
    <x v="47"/>
    <x v="37"/>
    <m/>
    <s v="BAE"/>
    <s v="MM3"/>
    <s v="Heavy Equipment"/>
    <s v="MM3"/>
    <s v="Mechanical Equipment"/>
    <s v="Heavy Equipment"/>
    <s v="Spread B, Primary Jaw Plant"/>
    <s v="Spread B, Primary Jaw Plant"/>
    <s v="MR-PRO-CRU-020-PJP01"/>
    <n v="1"/>
    <s v="ea"/>
    <n v="168"/>
    <n v="2220"/>
    <n v="16785.448"/>
    <n v="22200"/>
    <n v="41205.448000000004"/>
    <n v="168"/>
    <n v="2220"/>
    <n v="16785.448"/>
    <n v="22200"/>
    <n v="41205.448000000004"/>
    <n v="56"/>
    <n v="56"/>
    <n v="1"/>
    <n v="0"/>
    <n v="0"/>
    <n v="1"/>
    <n v="41205.448000000004"/>
    <n v="0"/>
    <n v="0"/>
    <n v="41205.448000000004"/>
    <s v="Type A  _x000a_2AM-MRY1325"/>
    <s v="Added"/>
    <s v="2015 R"/>
    <s v="Direct "/>
    <m/>
    <m/>
    <n v="0.33333333333333331"/>
    <m/>
    <n v="0.33333333333333331"/>
    <m/>
    <m/>
    <m/>
    <m/>
    <n v="0.33333333333333331"/>
    <n v="0"/>
    <m/>
    <n v="13735.149333333335"/>
    <n v="0"/>
    <n v="13735.149333333335"/>
    <n v="0"/>
    <n v="0"/>
    <n v="0"/>
    <n v="0"/>
    <n v="13735.149333333335"/>
  </r>
  <r>
    <x v="6"/>
    <x v="6"/>
    <x v="13"/>
    <x v="2"/>
    <x v="25"/>
    <x v="19"/>
    <x v="47"/>
    <x v="37"/>
    <m/>
    <s v="BAE"/>
    <s v="MM3"/>
    <s v="Heavy Equipment"/>
    <s v="MM3"/>
    <s v="Mechanical Equipment"/>
    <s v="Heavy Equipment"/>
    <s v="Spread C, Primary Jaw Plant"/>
    <s v="Spread C, Primary Jaw Plant"/>
    <s v="MR-PRO-CRU-030-PJP01"/>
    <n v="1"/>
    <s v="ea"/>
    <n v="168"/>
    <n v="2220"/>
    <n v="16785.448"/>
    <n v="22200"/>
    <n v="41205.448000000004"/>
    <n v="168"/>
    <n v="2220"/>
    <n v="16785.448"/>
    <n v="22200"/>
    <n v="41205.448000000004"/>
    <n v="56"/>
    <n v="56"/>
    <n v="1"/>
    <n v="0"/>
    <n v="0"/>
    <n v="1"/>
    <n v="41205.448000000004"/>
    <n v="0"/>
    <n v="0"/>
    <n v="41205.448000000004"/>
    <s v="Type A  _x000a_2AM-MRY1325"/>
    <s v="Added"/>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A, Secondary Cone Feed"/>
    <s v="Spread A, Secondary Cone Feed "/>
    <s v="MR-PRO-CRU-010-PCF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A, Primary Screen Plant Discharge"/>
    <s v="Spread A, Primary Screen Plant Discharge"/>
    <s v="MR-PRO-CRU-010-PSD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A, Primary Screen Plant"/>
    <s v="Spread A, Primary Screen Plant "/>
    <s v="MR-PRO-CRU-010-PS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ADR"/>
    <s v="MM3"/>
    <s v="Heavy Equipment"/>
    <s v="MM3"/>
    <s v="Mechanical Equipment"/>
    <s v="Heavy Equipment"/>
    <s v="Spread A, Secondary Cone Plant"/>
    <s v="Spread A, Secondary Cone Plant"/>
    <s v="MR-PRO-CRU-010-SC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ADR"/>
    <s v="MM3"/>
    <s v="Heavy Equipment"/>
    <s v="MM3"/>
    <s v="Mechanical Equipment"/>
    <s v="Heavy Equipment"/>
    <s v="Spread A, Tertiary Cone Plant"/>
    <s v="Spread A, Tertiary Cone Plant"/>
    <s v="MR-PRO-CRU-010-TC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A, Twin Screen Plant"/>
    <s v="Spread A, Twin Screen Plant"/>
    <s v="MR-PRO-CRU-010-TS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B, Secondary Cone Feed"/>
    <s v="Spread B, Secondary Cone Feed "/>
    <s v="MR-PRO-CRU-020-PCF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B, Primary Screen Plant"/>
    <s v="Spread B, Primary Screen Plant "/>
    <s v="MR-PRO-CRU-020-PS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ADR"/>
    <s v="MM3"/>
    <s v="Heavy Equipment"/>
    <s v="MM3"/>
    <s v="Mechanical Equipment"/>
    <s v="Heavy Equipment"/>
    <s v="Spread B, Secondary Cone Plant"/>
    <s v="Spread B, Secondary Cone Plant"/>
    <s v="MR-PRO-CRU-020-SC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ADR"/>
    <s v="MM3"/>
    <s v="Heavy Equipment"/>
    <s v="MM3"/>
    <s v="Mechanical Equipment"/>
    <s v="Heavy Equipment"/>
    <s v="Spread B, Tertiary Cone Plant"/>
    <s v="Spread B, Tertiary Cone Plant"/>
    <s v="MR-PRO-CRU-020-TC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B, Twin Screen Plant"/>
    <s v="Spread B, Twin Screen Plant"/>
    <s v="MR-PRO-CRU-020-TS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C, Secondary Cone Feed"/>
    <s v="Spread C, Secondary Cone Feed "/>
    <s v="MR-PRO-CRU-030-PCF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C, Primary Screen Plant Discharge"/>
    <s v="Spread C, Primary Screen Plant Discharge"/>
    <s v="MR-PRO-CRU-030-PSD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C, Primary Screen Plant"/>
    <s v="Spread C, Primary Screen Plant "/>
    <s v="MR-PRO-CRU-030-PS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ADR"/>
    <s v="MM3"/>
    <s v="Heavy Equipment"/>
    <s v="MM3"/>
    <s v="Mechanical Equipment"/>
    <s v="Heavy Equipment"/>
    <s v="Spread C, Secondary Cone Plant"/>
    <s v="Spread C, Secondary Cone Plant"/>
    <s v="MR-PRO-CRU-030-SC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ADR"/>
    <s v="MM3"/>
    <s v="Heavy Equipment"/>
    <s v="MM3"/>
    <s v="Mechanical Equipment"/>
    <s v="Heavy Equipment"/>
    <s v="Spread C, Tertiary Cone Plant"/>
    <s v="Spread C, Tertiary Cone Plant"/>
    <s v="MR-PRO-CRU-030-TC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3"/>
    <x v="2"/>
    <x v="25"/>
    <x v="19"/>
    <x v="47"/>
    <x v="37"/>
    <m/>
    <s v="COB"/>
    <s v="MM3"/>
    <s v="Heavy Equipment"/>
    <s v="MM3"/>
    <s v="Mechanical Equipment"/>
    <s v="Heavy Equipment"/>
    <s v="Spread C, Twin Screen Plant"/>
    <s v="Spread C, Twin Screen Plant"/>
    <s v="MR-PRO-CRU-030-TSP01"/>
    <n v="1"/>
    <s v="ea"/>
    <n v="168"/>
    <n v="2220"/>
    <n v="16785.448"/>
    <n v="22200"/>
    <n v="41205.448000000004"/>
    <n v="168"/>
    <n v="2220"/>
    <n v="16785.448"/>
    <n v="22200"/>
    <n v="41205.448000000004"/>
    <n v="56"/>
    <n v="56"/>
    <n v="1"/>
    <n v="0"/>
    <n v="0"/>
    <n v="1"/>
    <n v="41205.448000000004"/>
    <n v="0"/>
    <n v="0"/>
    <n v="41205.448000000004"/>
    <s v="Type A  _x000a_2AM-MRY1325"/>
    <s v="Modified (2017A)"/>
    <s v="2015 R"/>
    <s v="Direct "/>
    <m/>
    <m/>
    <n v="0.33333333333333331"/>
    <m/>
    <n v="0.33333333333333331"/>
    <m/>
    <m/>
    <m/>
    <m/>
    <n v="0.33333333333333331"/>
    <n v="0"/>
    <m/>
    <n v="13735.149333333335"/>
    <n v="0"/>
    <n v="13735.149333333335"/>
    <n v="0"/>
    <n v="0"/>
    <n v="0"/>
    <n v="0"/>
    <n v="13735.149333333335"/>
  </r>
  <r>
    <x v="6"/>
    <x v="6"/>
    <x v="12"/>
    <x v="8"/>
    <x v="21"/>
    <x v="16"/>
    <x v="39"/>
    <x v="30"/>
    <m/>
    <s v="MO-"/>
    <s v="O3"/>
    <s v="Heavy Mobile Equipment"/>
    <s v="O3"/>
    <s v="Mobile Equipment"/>
    <s v="Heavy Mobile Equipment"/>
    <s v="3rd Party Equipment"/>
    <s v="Excavators"/>
    <m/>
    <n v="15"/>
    <s v="ea"/>
    <n v="13"/>
    <n v="120"/>
    <n v="1298.8739523809525"/>
    <n v="1200"/>
    <n v="2618.8739523809527"/>
    <n v="195"/>
    <n v="1800"/>
    <n v="19483.109285714287"/>
    <n v="18000"/>
    <n v="39283.109285714294"/>
    <n v="96"/>
    <n v="1440"/>
    <n v="1"/>
    <n v="0"/>
    <n v="0"/>
    <n v="1"/>
    <n v="39283.109285714294"/>
    <n v="0"/>
    <n v="0"/>
    <n v="39283.109285714294"/>
    <s v="Type A  _x000a_2AM-MRY1325"/>
    <s v="Added"/>
    <s v="2017-A"/>
    <s v="Direct "/>
    <m/>
    <m/>
    <n v="0.33333333333333331"/>
    <m/>
    <n v="0.33333333333333331"/>
    <m/>
    <m/>
    <m/>
    <m/>
    <n v="0.33333333333333331"/>
    <n v="0"/>
    <m/>
    <n v="13094.369761904763"/>
    <n v="0"/>
    <n v="13094.369761904763"/>
    <n v="0"/>
    <n v="0"/>
    <n v="0"/>
    <n v="0"/>
    <n v="13094.369761904763"/>
  </r>
  <r>
    <x v="6"/>
    <x v="6"/>
    <x v="11"/>
    <x v="3"/>
    <x v="19"/>
    <x v="4"/>
    <x v="109"/>
    <x v="113"/>
    <s v="1032"/>
    <s v="BLD"/>
    <s v="CP"/>
    <s v="Precast Concrete Foundations - (480 ft2)"/>
    <s v="CP"/>
    <s v="Flooring / Foundations"/>
    <s v="Precast Foundations"/>
    <m/>
    <s v="Truck Wash Building - Demolish and foundations - Precast Footing (Perimeter Beam)"/>
    <s v="4523-BLD-001"/>
    <n v="1003.7174721189591"/>
    <s v="m2"/>
    <n v="0.14520631503408685"/>
    <n v="2.1780947255113023"/>
    <n v="14.50805387069216"/>
    <n v="21.780947255113027"/>
    <n v="38.467095851316493"/>
    <n v="145.74611546172287"/>
    <n v="2186.1917319258423"/>
    <n v="14561.987156456815"/>
    <n v="21861.917319258428"/>
    <n v="38610.09620764108"/>
    <n v="0.75"/>
    <n v="752.78810408921936"/>
    <n v="1"/>
    <n v="0"/>
    <n v="0"/>
    <n v="1"/>
    <n v="38610.09620764108"/>
    <n v="0"/>
    <n v="0"/>
    <n v="38610.09620764108"/>
    <s v="Type A  _x000a_2AM-MRY1325"/>
    <m/>
    <n v="2014"/>
    <s v="Direct "/>
    <m/>
    <m/>
    <n v="0.33333333333333331"/>
    <n v="0.33333333333333331"/>
    <n v="0.33333333333333331"/>
    <m/>
    <m/>
    <m/>
    <m/>
    <m/>
    <n v="0"/>
    <m/>
    <n v="12870.032069213692"/>
    <n v="12870.032069213692"/>
    <n v="12870.032069213692"/>
    <n v="0"/>
    <n v="0"/>
    <n v="0"/>
    <n v="0"/>
    <n v="0"/>
  </r>
  <r>
    <x v="6"/>
    <x v="6"/>
    <x v="11"/>
    <x v="3"/>
    <x v="19"/>
    <x v="4"/>
    <x v="31"/>
    <x v="12"/>
    <s v="951"/>
    <s v="BLD"/>
    <s v="FF1-c"/>
    <s v="Modular Building Contaminated (480 ft2) "/>
    <s v="FTR2-c"/>
    <s v="Buildings (Contaminated)"/>
    <s v="Double Trailer (2 or more)"/>
    <m/>
    <s v="Workshop Office Building - Demolish and Decontaminate Building - Trailer - Modular (2 or more modules)"/>
    <s v="4521-BLD-004"/>
    <n v="267.65799256505579"/>
    <s v="m2"/>
    <n v="0.56041666666666667"/>
    <n v="3.3624999999999998"/>
    <n v="55.993123908730162"/>
    <n v="84.0625"/>
    <n v="143.41812390873017"/>
    <n v="150.00000000000003"/>
    <n v="900"/>
    <n v="14987.007142857145"/>
    <n v="22500.000000000004"/>
    <n v="38387.007142857146"/>
    <n v="1"/>
    <n v="267.65799256505579"/>
    <n v="1"/>
    <n v="0"/>
    <n v="0"/>
    <n v="1"/>
    <n v="38387.007142857146"/>
    <n v="0"/>
    <n v="0"/>
    <n v="38387.007142857146"/>
    <s v="Type A  _x000a_2AM-MRY1325"/>
    <m/>
    <n v="2014"/>
    <s v="Direct "/>
    <m/>
    <m/>
    <n v="0.33333333333333331"/>
    <n v="0.33333333333333331"/>
    <n v="0.33333333333333331"/>
    <m/>
    <m/>
    <m/>
    <m/>
    <m/>
    <n v="0"/>
    <m/>
    <n v="12795.669047619049"/>
    <n v="12795.669047619049"/>
    <n v="12795.669047619049"/>
    <n v="0"/>
    <n v="0"/>
    <n v="0"/>
    <n v="0"/>
    <n v="0"/>
  </r>
  <r>
    <x v="6"/>
    <x v="6"/>
    <x v="14"/>
    <x v="5"/>
    <x v="55"/>
    <x v="17"/>
    <x v="120"/>
    <x v="31"/>
    <m/>
    <s v=""/>
    <s v="A3"/>
    <s v="Grade &amp; Re-Contour"/>
    <s v="A2"/>
    <s v="Site Works"/>
    <s v="Grade and Re-Contour"/>
    <s v="Grade and Contour"/>
    <s v="Infill between service and utility pads"/>
    <m/>
    <n v="20800"/>
    <s v="m2"/>
    <n v="1.2689880937499998E-2"/>
    <n v="0.14624999999999999"/>
    <n v="1.2689880937499998"/>
    <n v="0.39654534577546297"/>
    <n v="1.8102953457754629"/>
    <n v="263.94952349999994"/>
    <n v="3042"/>
    <n v="26394.952349999996"/>
    <n v="8248.1431921296298"/>
    <n v="37654.143192129632"/>
    <n v="0"/>
    <n v="0"/>
    <n v="1"/>
    <n v="0"/>
    <n v="0"/>
    <n v="1"/>
    <n v="37654.143192129632"/>
    <n v="0"/>
    <n v="0"/>
    <n v="37654.143192129632"/>
    <s v="Type A  _x000a_2AM-MRY1325"/>
    <m/>
    <s v="2015 A"/>
    <s v="Direct "/>
    <m/>
    <m/>
    <n v="0.33333333333333331"/>
    <n v="0.33333333333333331"/>
    <n v="0.33333333333333331"/>
    <m/>
    <m/>
    <m/>
    <m/>
    <m/>
    <n v="0"/>
    <m/>
    <n v="12551.381064043209"/>
    <n v="12551.381064043209"/>
    <n v="12551.381064043209"/>
    <n v="0"/>
    <n v="0"/>
    <n v="0"/>
    <n v="0"/>
    <n v="0"/>
  </r>
  <r>
    <x v="6"/>
    <x v="6"/>
    <x v="18"/>
    <x v="11"/>
    <x v="47"/>
    <x v="31"/>
    <x v="106"/>
    <x v="111"/>
    <m/>
    <s v=""/>
    <s v="A3l"/>
    <s v="Grade &amp; Re-Contour with Liner"/>
    <s v="A3l"/>
    <s v="Site Works"/>
    <s v="Grade and Re-Contour With Liner"/>
    <m/>
    <s v="PWSP"/>
    <s v="PWSP-2"/>
    <n v="6967"/>
    <s v="m2"/>
    <n v="4.4489880937500004E-2"/>
    <n v="0.17804999999999999"/>
    <n v="4.4489880937499997"/>
    <n v="0.71454534577546303"/>
    <n v="5.3082953457754627"/>
    <n v="309.96100049156252"/>
    <n v="1240.47435"/>
    <n v="30996.100049156248"/>
    <n v="4978.2374240176505"/>
    <n v="36982.89367401765"/>
    <n v="0"/>
    <n v="0"/>
    <n v="1"/>
    <n v="0"/>
    <n v="0"/>
    <n v="1"/>
    <n v="36982.89367401765"/>
    <n v="0"/>
    <n v="0"/>
    <n v="36982.89367401765"/>
    <s v="Type A  _x000a_2AM-MRY1325"/>
    <s v="Modified"/>
    <s v="2015 R"/>
    <s v="Direct "/>
    <m/>
    <m/>
    <m/>
    <n v="1"/>
    <m/>
    <m/>
    <m/>
    <m/>
    <m/>
    <m/>
    <n v="0"/>
    <m/>
    <n v="0"/>
    <n v="36982.89367401765"/>
    <n v="0"/>
    <n v="0"/>
    <n v="0"/>
    <n v="0"/>
    <n v="0"/>
    <n v="0"/>
  </r>
  <r>
    <x v="6"/>
    <x v="6"/>
    <x v="11"/>
    <x v="3"/>
    <x v="45"/>
    <x v="3"/>
    <x v="105"/>
    <x v="3"/>
    <s v="899"/>
    <s v="BLD"/>
    <s v="FF1"/>
    <s v="Modular Building Not Contaminated (480 ft2)"/>
    <s v="FS"/>
    <s v="Buildings (Not Contaminated)"/>
    <s v="Prefabricated Special Modular"/>
    <m/>
    <s v="Accommodation Wing AA - Demolish and Decontaminate Building - Special Modular / Prefabricated"/>
    <s v="4512-BLD-001"/>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A  _x000a_2AM-MRY1325"/>
    <m/>
    <n v="2014"/>
    <s v="Direct "/>
    <m/>
    <m/>
    <n v="0.33333333333333331"/>
    <n v="0.33333333333333331"/>
    <n v="0.33333333333333331"/>
    <m/>
    <m/>
    <m/>
    <m/>
    <m/>
    <n v="0"/>
    <m/>
    <n v="12110.588797288359"/>
    <n v="12110.588797288359"/>
    <n v="12110.588797288359"/>
    <n v="0"/>
    <n v="0"/>
    <n v="0"/>
    <n v="0"/>
    <n v="0"/>
  </r>
  <r>
    <x v="6"/>
    <x v="6"/>
    <x v="11"/>
    <x v="3"/>
    <x v="45"/>
    <x v="3"/>
    <x v="105"/>
    <x v="3"/>
    <s v="902"/>
    <s v="BLD"/>
    <s v="FF1"/>
    <s v="Modular Building Not Contaminated (480 ft2)"/>
    <s v="FS"/>
    <s v="Buildings (Not Contaminated)"/>
    <s v="Prefabricated Special Modular"/>
    <m/>
    <s v="Accommodation Wing AB - Demolish and Decontaminate Building - Special Modular / Prefabricated"/>
    <s v="4512-BLD-002"/>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A  _x000a_2AM-MRY1325"/>
    <m/>
    <n v="2014"/>
    <s v="Direct "/>
    <m/>
    <m/>
    <n v="0.33333333333333331"/>
    <n v="0.33333333333333331"/>
    <n v="0.33333333333333331"/>
    <m/>
    <m/>
    <m/>
    <m/>
    <m/>
    <n v="0"/>
    <m/>
    <n v="12110.588797288359"/>
    <n v="12110.588797288359"/>
    <n v="12110.588797288359"/>
    <n v="0"/>
    <n v="0"/>
    <n v="0"/>
    <n v="0"/>
    <n v="0"/>
  </r>
  <r>
    <x v="6"/>
    <x v="6"/>
    <x v="11"/>
    <x v="3"/>
    <x v="45"/>
    <x v="3"/>
    <x v="105"/>
    <x v="3"/>
    <s v="905"/>
    <s v="BLD"/>
    <s v="FF1"/>
    <s v="Modular Building Not Contaminated (480 ft2)"/>
    <s v="FS"/>
    <s v="Buildings (Not Contaminated)"/>
    <s v="Prefabricated Special Modular"/>
    <m/>
    <s v="Accommodation Wing AC - Demolish and Decontaminate Building - Special Modular / Prefabricated"/>
    <s v="4512-BLD-003"/>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A  _x000a_2AM-MRY1325"/>
    <m/>
    <n v="2014"/>
    <s v="Direct "/>
    <m/>
    <m/>
    <n v="0.33333333333333331"/>
    <n v="0.33333333333333331"/>
    <n v="0.33333333333333331"/>
    <m/>
    <m/>
    <m/>
    <m/>
    <m/>
    <n v="0"/>
    <m/>
    <n v="12110.588797288359"/>
    <n v="12110.588797288359"/>
    <n v="12110.588797288359"/>
    <n v="0"/>
    <n v="0"/>
    <n v="0"/>
    <n v="0"/>
    <n v="0"/>
  </r>
  <r>
    <x v="6"/>
    <x v="6"/>
    <x v="11"/>
    <x v="3"/>
    <x v="45"/>
    <x v="3"/>
    <x v="105"/>
    <x v="3"/>
    <s v="908"/>
    <s v="BLD"/>
    <s v="FF1"/>
    <s v="Modular Building Not Contaminated (480 ft2)"/>
    <s v="FS"/>
    <s v="Buildings (Not Contaminated)"/>
    <s v="Prefabricated Special Modular"/>
    <m/>
    <s v="Accommodation Wing AD - Demolish and Decontaminate Building - Special Modular / Prefabricated"/>
    <s v="4512-BLD-004"/>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A  _x000a_2AM-MRY1325"/>
    <m/>
    <n v="2014"/>
    <s v="Direct "/>
    <m/>
    <m/>
    <n v="0.33333333333333331"/>
    <n v="0.33333333333333331"/>
    <n v="0.33333333333333331"/>
    <m/>
    <m/>
    <m/>
    <m/>
    <m/>
    <n v="0"/>
    <m/>
    <n v="12110.588797288359"/>
    <n v="12110.588797288359"/>
    <n v="12110.588797288359"/>
    <n v="0"/>
    <n v="0"/>
    <n v="0"/>
    <n v="0"/>
    <n v="0"/>
  </r>
  <r>
    <x v="6"/>
    <x v="6"/>
    <x v="11"/>
    <x v="3"/>
    <x v="45"/>
    <x v="3"/>
    <x v="105"/>
    <x v="3"/>
    <s v="911"/>
    <s v="BLD"/>
    <s v="FF1"/>
    <s v="Modular Building Not Contaminated (480 ft2)"/>
    <s v="FS"/>
    <s v="Buildings (Not Contaminated)"/>
    <s v="Prefabricated Special Modular"/>
    <m/>
    <s v="Accommodation Wing AE - Demolish and Decontaminate Building - Special Modular / Prefabricated"/>
    <s v="4512-BLD-005"/>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A  _x000a_2AM-MRY1325"/>
    <m/>
    <n v="2014"/>
    <s v="Direct "/>
    <m/>
    <m/>
    <n v="0.33333333333333331"/>
    <n v="0.33333333333333331"/>
    <n v="0.33333333333333331"/>
    <m/>
    <m/>
    <m/>
    <m/>
    <m/>
    <n v="0"/>
    <m/>
    <n v="12110.588797288359"/>
    <n v="12110.588797288359"/>
    <n v="12110.588797288359"/>
    <n v="0"/>
    <n v="0"/>
    <n v="0"/>
    <n v="0"/>
    <n v="0"/>
  </r>
  <r>
    <x v="6"/>
    <x v="6"/>
    <x v="11"/>
    <x v="3"/>
    <x v="45"/>
    <x v="3"/>
    <x v="105"/>
    <x v="3"/>
    <s v="914"/>
    <s v="BLD"/>
    <s v="FF1"/>
    <s v="Modular Building Not Contaminated (480 ft2)"/>
    <s v="FS"/>
    <s v="Buildings (Not Contaminated)"/>
    <s v="Prefabricated Special Modular"/>
    <m/>
    <s v="Accommodation Wing AF - Demolish and Decontaminate Building - Special Modular / Prefabricated"/>
    <s v="4512-BLD-006"/>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A  _x000a_2AM-MRY1325"/>
    <m/>
    <n v="2014"/>
    <s v="Direct "/>
    <m/>
    <m/>
    <n v="0.33333333333333331"/>
    <n v="0.33333333333333331"/>
    <n v="0.33333333333333331"/>
    <m/>
    <m/>
    <m/>
    <m/>
    <m/>
    <n v="0"/>
    <m/>
    <n v="12110.588797288359"/>
    <n v="12110.588797288359"/>
    <n v="12110.588797288359"/>
    <n v="0"/>
    <n v="0"/>
    <n v="0"/>
    <n v="0"/>
    <n v="0"/>
  </r>
  <r>
    <x v="6"/>
    <x v="6"/>
    <x v="11"/>
    <x v="3"/>
    <x v="45"/>
    <x v="3"/>
    <x v="105"/>
    <x v="3"/>
    <s v="917"/>
    <s v="BLD"/>
    <s v="FF1"/>
    <s v="Modular Building Not Contaminated (480 ft2)"/>
    <s v="FS"/>
    <s v="Buildings (Not Contaminated)"/>
    <s v="Prefabricated Special Modular"/>
    <m/>
    <s v="Accommodation Wing AG - Demolish and Decontaminate Building - Special Modular / Prefabricated"/>
    <s v="4512-BLD-007"/>
    <n v="611.80297397769516"/>
    <s v="m2"/>
    <n v="0.22416666666666665"/>
    <n v="3.3624999999999998"/>
    <n v="22.397249563492064"/>
    <n v="33.625"/>
    <n v="59.384749563492065"/>
    <n v="137.14583333333331"/>
    <n v="2057.1875"/>
    <n v="13702.70389186508"/>
    <n v="20571.875"/>
    <n v="36331.76639186508"/>
    <n v="1"/>
    <n v="611.80297397769516"/>
    <n v="1"/>
    <n v="0"/>
    <n v="0"/>
    <n v="1"/>
    <n v="36331.76639186508"/>
    <n v="0"/>
    <n v="0"/>
    <n v="36331.76639186508"/>
    <s v="Type A  _x000a_2AM-MRY1325"/>
    <m/>
    <n v="2014"/>
    <s v="Direct "/>
    <m/>
    <m/>
    <n v="0.33333333333333331"/>
    <n v="0.33333333333333331"/>
    <n v="0.33333333333333331"/>
    <m/>
    <m/>
    <m/>
    <m/>
    <m/>
    <n v="0"/>
    <m/>
    <n v="12110.588797288359"/>
    <n v="12110.588797288359"/>
    <n v="12110.588797288359"/>
    <n v="0"/>
    <n v="0"/>
    <n v="0"/>
    <n v="0"/>
    <n v="0"/>
  </r>
  <r>
    <x v="6"/>
    <x v="6"/>
    <x v="12"/>
    <x v="8"/>
    <x v="34"/>
    <x v="10"/>
    <x v="112"/>
    <x v="29"/>
    <m/>
    <s v=""/>
    <s v="A3"/>
    <s v="Grade &amp; Re-Contour"/>
    <s v="A2"/>
    <s v="Site Works"/>
    <s v="Grade and Re-Contour"/>
    <m/>
    <s v="Waste Rock Road"/>
    <m/>
    <n v="20000"/>
    <s v="m2"/>
    <n v="1.2689880937499998E-2"/>
    <n v="0.14624999999999999"/>
    <n v="1.2689880937499998"/>
    <n v="0.39654534577546297"/>
    <n v="1.8102953457754629"/>
    <n v="253.79761874999997"/>
    <n v="2925"/>
    <n v="25379.761874999997"/>
    <n v="7930.9069155092593"/>
    <n v="36235.668790509255"/>
    <n v="0"/>
    <n v="0"/>
    <n v="1"/>
    <n v="0"/>
    <n v="0"/>
    <n v="1"/>
    <n v="36235.668790509255"/>
    <n v="0"/>
    <n v="0"/>
    <n v="36235.668790509255"/>
    <s v="Type A  _x000a_2AM-MRY1325"/>
    <m/>
    <n v="2015"/>
    <s v="Direct "/>
    <m/>
    <m/>
    <n v="0.33333333333333331"/>
    <n v="0.33333333333333331"/>
    <n v="0.33333333333333331"/>
    <m/>
    <m/>
    <m/>
    <m/>
    <m/>
    <n v="0"/>
    <m/>
    <n v="12078.556263503084"/>
    <n v="12078.556263503084"/>
    <n v="12078.556263503084"/>
    <n v="0"/>
    <n v="0"/>
    <n v="0"/>
    <n v="0"/>
    <n v="0"/>
  </r>
  <r>
    <x v="6"/>
    <x v="6"/>
    <x v="11"/>
    <x v="3"/>
    <x v="45"/>
    <x v="3"/>
    <x v="103"/>
    <x v="15"/>
    <s v="862"/>
    <s v="BLD"/>
    <s v="FF1"/>
    <s v="Modular Building Not Contaminated (480 ft2)"/>
    <s v="FS"/>
    <s v="Buildings (Not Contaminated)"/>
    <s v="Prefabricated Special Modular"/>
    <m/>
    <s v="Accommodation Office - Demolish and Decontaminate Building - Special Modular / Prefabricated"/>
    <s v="4511-BLD-002"/>
    <n v="607.80669144981414"/>
    <s v="m2"/>
    <n v="0.22416666666666665"/>
    <n v="3.3624999999999998"/>
    <n v="22.397249563492064"/>
    <n v="33.625"/>
    <n v="59.384749563492065"/>
    <n v="136.25"/>
    <n v="2043.75"/>
    <n v="13613.198154761905"/>
    <n v="20437.5"/>
    <n v="36094.448154761907"/>
    <n v="1"/>
    <n v="607.80669144981414"/>
    <n v="1"/>
    <n v="0"/>
    <n v="0"/>
    <n v="1"/>
    <n v="36094.448154761907"/>
    <n v="0"/>
    <n v="0"/>
    <n v="36094.448154761907"/>
    <s v="Type A  _x000a_2AM-MRY1325"/>
    <m/>
    <n v="2014"/>
    <s v="Direct "/>
    <m/>
    <m/>
    <n v="0.33333333333333331"/>
    <n v="0.33333333333333331"/>
    <n v="0.33333333333333331"/>
    <m/>
    <m/>
    <m/>
    <m/>
    <m/>
    <n v="0"/>
    <m/>
    <n v="12031.482718253968"/>
    <n v="12031.482718253968"/>
    <n v="12031.482718253968"/>
    <n v="0"/>
    <n v="0"/>
    <n v="0"/>
    <n v="0"/>
    <n v="0"/>
  </r>
  <r>
    <x v="6"/>
    <x v="6"/>
    <x v="18"/>
    <x v="11"/>
    <x v="56"/>
    <x v="3"/>
    <x v="121"/>
    <x v="120"/>
    <m/>
    <m/>
    <s v="A3"/>
    <s v="Grade &amp; Re-Contour"/>
    <s v="A2"/>
    <s v="Site Works"/>
    <s v="Grade and Re-Contour"/>
    <m/>
    <s v="Explosive pad haul road"/>
    <m/>
    <n v="19600"/>
    <s v="m2"/>
    <n v="1.2689880937499998E-2"/>
    <n v="0.14624999999999999"/>
    <n v="1.2689880937499998"/>
    <n v="0.39654534577546297"/>
    <n v="1.8102953457754629"/>
    <n v="248.72166637499996"/>
    <n v="2866.5"/>
    <n v="24872.166637499995"/>
    <n v="7772.2887771990745"/>
    <n v="35510.95541469907"/>
    <n v="0"/>
    <n v="0"/>
    <n v="1"/>
    <n v="0"/>
    <n v="0"/>
    <n v="1"/>
    <n v="35510.95541469907"/>
    <n v="0"/>
    <n v="0"/>
    <n v="35510.95541469907"/>
    <s v="Type A  _x000a_2AM-MRY1325"/>
    <m/>
    <n v="2014"/>
    <s v="Direct "/>
    <m/>
    <m/>
    <n v="0.33333333333333331"/>
    <n v="0.33333333333333331"/>
    <n v="0.33333333333333331"/>
    <m/>
    <m/>
    <m/>
    <m/>
    <m/>
    <n v="0"/>
    <m/>
    <n v="11836.985138233023"/>
    <n v="11836.985138233023"/>
    <n v="11836.985138233023"/>
    <n v="0"/>
    <n v="0"/>
    <n v="0"/>
    <n v="0"/>
    <n v="0"/>
  </r>
  <r>
    <x v="6"/>
    <x v="6"/>
    <x v="11"/>
    <x v="3"/>
    <x v="45"/>
    <x v="3"/>
    <x v="105"/>
    <x v="3"/>
    <m/>
    <m/>
    <s v="CON"/>
    <s v="Consumables"/>
    <s v="CON"/>
    <m/>
    <s v="Consumables"/>
    <m/>
    <s v="Addition of 50 person camp at Mine Site"/>
    <m/>
    <n v="50"/>
    <s v="Bed Space"/>
    <n v="0"/>
    <n v="700.80090909090916"/>
    <n v="0"/>
    <n v="0"/>
    <n v="700.80090909090916"/>
    <n v="0"/>
    <n v="35040.045454545456"/>
    <n v="0"/>
    <n v="0"/>
    <n v="35040.045454545456"/>
    <n v="0"/>
    <n v="0"/>
    <n v="1"/>
    <n v="0"/>
    <n v="0"/>
    <n v="1"/>
    <n v="35040.045454545456"/>
    <n v="0"/>
    <n v="0"/>
    <n v="35040.045454545456"/>
    <s v="Type A  _x000a_2AM-MRY1325"/>
    <s v="Added"/>
    <s v="2017-A"/>
    <s v="Direct "/>
    <m/>
    <m/>
    <m/>
    <m/>
    <n v="1"/>
    <m/>
    <m/>
    <m/>
    <m/>
    <m/>
    <n v="0"/>
    <m/>
    <n v="0"/>
    <n v="0"/>
    <n v="35040.045454545456"/>
    <n v="0"/>
    <n v="0"/>
    <n v="0"/>
    <n v="0"/>
    <n v="0"/>
  </r>
  <r>
    <x v="6"/>
    <x v="6"/>
    <x v="18"/>
    <x v="11"/>
    <x v="47"/>
    <x v="31"/>
    <x v="106"/>
    <x v="111"/>
    <m/>
    <s v=""/>
    <s v="A3l"/>
    <s v="Grade &amp; Re-Contour with Liner"/>
    <s v="A3l"/>
    <s v="Site Works"/>
    <s v="Grade and Re-Contour With Liner"/>
    <m/>
    <s v="PWSP"/>
    <s v="PWSP-3"/>
    <n v="6511"/>
    <s v="m2"/>
    <n v="4.4489880937500004E-2"/>
    <n v="0.17804999999999999"/>
    <n v="4.4489880937499997"/>
    <n v="0.71454534577546303"/>
    <n v="5.3082953457754627"/>
    <n v="289.67361478406252"/>
    <n v="1159.2835499999999"/>
    <n v="28967.361478406248"/>
    <n v="4652.4047463440402"/>
    <n v="34562.310996344037"/>
    <n v="0"/>
    <n v="0"/>
    <n v="1"/>
    <n v="0"/>
    <n v="0"/>
    <n v="1"/>
    <n v="34562.310996344037"/>
    <n v="0"/>
    <n v="0"/>
    <n v="34562.310996344037"/>
    <s v="Type A  _x000a_2AM-MRY1325"/>
    <s v="Modified"/>
    <s v="2015 R"/>
    <s v="Direct "/>
    <m/>
    <m/>
    <m/>
    <n v="1"/>
    <m/>
    <m/>
    <m/>
    <m/>
    <m/>
    <m/>
    <n v="0"/>
    <m/>
    <n v="0"/>
    <n v="34562.310996344037"/>
    <n v="0"/>
    <n v="0"/>
    <n v="0"/>
    <n v="0"/>
    <n v="0"/>
    <n v="0"/>
  </r>
  <r>
    <x v="6"/>
    <x v="6"/>
    <x v="13"/>
    <x v="2"/>
    <x v="40"/>
    <x v="19"/>
    <x v="95"/>
    <x v="86"/>
    <m/>
    <s v=""/>
    <s v="A3l"/>
    <s v="Grade &amp; Re-Contour with Liner"/>
    <s v="A3l"/>
    <s v="Site Works"/>
    <s v="Grade and Re-Contour With Liner"/>
    <m/>
    <s v="Ore Crushing Sedimentation Pond"/>
    <m/>
    <n v="6428.69"/>
    <s v="m2"/>
    <n v="4.4489880937500004E-2"/>
    <n v="0.17804999999999999"/>
    <n v="4.4489880937499997"/>
    <n v="0.71454534577546303"/>
    <n v="5.3082953457754627"/>
    <n v="286.01165268409687"/>
    <n v="1144.6282544999999"/>
    <n v="28601.165268409684"/>
    <n v="4593.5905189332607"/>
    <n v="34339.384041842946"/>
    <n v="0"/>
    <n v="0"/>
    <n v="1"/>
    <n v="0"/>
    <n v="0"/>
    <n v="1"/>
    <n v="34339.384041842946"/>
    <n v="0"/>
    <n v="0"/>
    <n v="34339.384041842946"/>
    <s v="Type A  _x000a_2AM-MRY1325"/>
    <m/>
    <n v="2014"/>
    <s v="Direct "/>
    <m/>
    <m/>
    <n v="0.33333333333333331"/>
    <n v="0.33333333333333331"/>
    <n v="0.33333333333333331"/>
    <m/>
    <m/>
    <m/>
    <m/>
    <m/>
    <n v="0"/>
    <m/>
    <n v="11446.461347280981"/>
    <n v="11446.461347280981"/>
    <n v="11446.461347280981"/>
    <n v="0"/>
    <n v="0"/>
    <n v="0"/>
    <n v="0"/>
    <n v="0"/>
  </r>
  <r>
    <x v="6"/>
    <x v="6"/>
    <x v="11"/>
    <x v="3"/>
    <x v="19"/>
    <x v="4"/>
    <x v="31"/>
    <x v="12"/>
    <s v="946"/>
    <s v="BLD"/>
    <s v="CP"/>
    <s v="Precast Concrete Foundations - (480 ft2)"/>
    <s v="CP"/>
    <s v="Flooring / Foundations"/>
    <s v="Precast Foundations"/>
    <m/>
    <s v="Warehouse - Demolish and foundations - Precast Footing (Perimeter Beam)"/>
    <s v="4521-BLD-002"/>
    <n v="892.19330855018586"/>
    <s v="m2"/>
    <n v="0.14520631503408685"/>
    <n v="2.1780947255113023"/>
    <n v="14.50805387069216"/>
    <n v="21.780947255113027"/>
    <n v="38.467095851316493"/>
    <n v="129.55210263264254"/>
    <n v="1943.2815394896377"/>
    <n v="12943.98858351717"/>
    <n v="19432.815394896381"/>
    <n v="34320.085517903186"/>
    <n v="0.75"/>
    <n v="669.14498141263937"/>
    <n v="1"/>
    <n v="0"/>
    <n v="0"/>
    <n v="1"/>
    <n v="34320.085517903186"/>
    <n v="0"/>
    <n v="0"/>
    <n v="34320.085517903186"/>
    <s v="Type A  _x000a_2AM-MRY1325"/>
    <m/>
    <n v="2014"/>
    <s v="Direct "/>
    <m/>
    <m/>
    <n v="0.33333333333333331"/>
    <n v="0.33333333333333331"/>
    <n v="0.33333333333333331"/>
    <m/>
    <m/>
    <m/>
    <m/>
    <m/>
    <n v="0"/>
    <m/>
    <n v="11440.028505967728"/>
    <n v="11440.028505967728"/>
    <n v="11440.028505967728"/>
    <n v="0"/>
    <n v="0"/>
    <n v="0"/>
    <n v="0"/>
    <n v="0"/>
  </r>
  <r>
    <x v="6"/>
    <x v="6"/>
    <x v="18"/>
    <x v="11"/>
    <x v="50"/>
    <x v="34"/>
    <x v="110"/>
    <x v="121"/>
    <m/>
    <s v=""/>
    <s v="A3l"/>
    <s v="Grade &amp; Re-Contour with Liner"/>
    <s v="A3l"/>
    <s v="Site Works"/>
    <s v="Grade and Re-Contour With Liner"/>
    <s v="Grade and Contour"/>
    <s v="Waste Rock Pond"/>
    <m/>
    <n v="6000"/>
    <s v="m2"/>
    <n v="4.4489880937500004E-2"/>
    <n v="0.17804999999999999"/>
    <n v="4.4489880937499997"/>
    <n v="0.71454534577546303"/>
    <n v="5.3082953457754627"/>
    <n v="266.93928562500002"/>
    <n v="1068.3"/>
    <n v="26693.928562499997"/>
    <n v="4287.2720746527784"/>
    <n v="32049.500637152774"/>
    <n v="0"/>
    <n v="0"/>
    <n v="1"/>
    <n v="0"/>
    <n v="0"/>
    <n v="1"/>
    <n v="32049.500637152774"/>
    <n v="0"/>
    <n v="0"/>
    <n v="32049.500637152774"/>
    <s v="Type A  _x000a_2AM-MRY1325"/>
    <m/>
    <n v="2015"/>
    <s v="Direct "/>
    <m/>
    <m/>
    <n v="0.33333333333333331"/>
    <n v="0.33333333333333331"/>
    <n v="0.33333333333333331"/>
    <m/>
    <m/>
    <m/>
    <m/>
    <m/>
    <n v="0"/>
    <m/>
    <n v="10683.166879050925"/>
    <n v="10683.166879050925"/>
    <n v="10683.166879050925"/>
    <n v="0"/>
    <n v="0"/>
    <n v="0"/>
    <n v="0"/>
    <n v="0"/>
  </r>
  <r>
    <x v="1"/>
    <x v="1"/>
    <x v="3"/>
    <x v="3"/>
    <x v="5"/>
    <x v="4"/>
    <x v="20"/>
    <x v="17"/>
    <m/>
    <s v="LE-"/>
    <s v="MM1"/>
    <s v="Light Equimpent"/>
    <s v="MM1"/>
    <s v="Mechanical Equipment"/>
    <s v="Light Equipment"/>
    <s v="3rd party Equipment"/>
    <s v="Heater (Flagro)"/>
    <m/>
    <n v="4"/>
    <s v="ea"/>
    <n v="8.1"/>
    <n v="106.5"/>
    <n v="809.29838571428581"/>
    <n v="1065"/>
    <n v="1980.7983857142858"/>
    <n v="32.4"/>
    <n v="426"/>
    <n v="3237.1935428571433"/>
    <n v="4260"/>
    <n v="7923.1935428571433"/>
    <n v="0.5"/>
    <n v="2"/>
    <n v="1"/>
    <n v="0"/>
    <n v="0"/>
    <n v="1"/>
    <n v="7923.1935428571433"/>
    <n v="0"/>
    <n v="0"/>
    <n v="7923.1935428571433"/>
    <s v="Type A  _x000a_2AM-MRY1325"/>
    <s v="Added"/>
    <n v="2018"/>
    <s v="Direct "/>
    <m/>
    <m/>
    <n v="0.33333333333333331"/>
    <m/>
    <n v="0.33333333333333331"/>
    <m/>
    <m/>
    <m/>
    <m/>
    <n v="0.33333333333333331"/>
    <n v="0"/>
    <m/>
    <n v="2641.0645142857143"/>
    <n v="0"/>
    <n v="2641.0645142857143"/>
    <n v="0"/>
    <n v="0"/>
    <n v="0"/>
    <n v="0"/>
    <n v="2641.0645142857143"/>
  </r>
  <r>
    <x v="6"/>
    <x v="6"/>
    <x v="12"/>
    <x v="8"/>
    <x v="34"/>
    <x v="10"/>
    <x v="66"/>
    <x v="54"/>
    <m/>
    <s v=""/>
    <s v="A3"/>
    <s v="Grade &amp; Re-Contour"/>
    <s v="A2"/>
    <s v="Site Works"/>
    <s v="Grade and Re-Contour"/>
    <s v="Grade and Contour"/>
    <s v="Existing Laydown Area"/>
    <m/>
    <n v="17366.919999999998"/>
    <s v="m2"/>
    <n v="1.2689880937499998E-2"/>
    <n v="0.14624999999999999"/>
    <n v="1.2689880937499998"/>
    <n v="0.39654534577546297"/>
    <n v="1.8102953457754629"/>
    <n v="220.38414705108744"/>
    <n v="2539.9120499999995"/>
    <n v="22038.414705108742"/>
    <n v="6886.7712964548027"/>
    <n v="31465.098051563546"/>
    <n v="0"/>
    <n v="0"/>
    <n v="1"/>
    <n v="0"/>
    <n v="0"/>
    <n v="1"/>
    <n v="31465.098051563546"/>
    <n v="0"/>
    <n v="0"/>
    <n v="31465.098051563546"/>
    <s v="Type A  _x000a_2AM-MRY1325"/>
    <m/>
    <n v="2014"/>
    <s v="Direct "/>
    <m/>
    <m/>
    <n v="0.33333333333333331"/>
    <n v="0.33333333333333331"/>
    <n v="0.33333333333333331"/>
    <m/>
    <m/>
    <m/>
    <m/>
    <m/>
    <n v="0"/>
    <m/>
    <n v="10488.366017187847"/>
    <n v="10488.366017187847"/>
    <n v="10488.366017187847"/>
    <n v="0"/>
    <n v="0"/>
    <n v="0"/>
    <n v="0"/>
    <n v="0"/>
  </r>
  <r>
    <x v="6"/>
    <x v="6"/>
    <x v="12"/>
    <x v="8"/>
    <x v="34"/>
    <x v="10"/>
    <x v="66"/>
    <x v="54"/>
    <m/>
    <s v=""/>
    <s v="A3"/>
    <s v="Grade &amp; Re-Contour"/>
    <s v="A2"/>
    <s v="Site Works"/>
    <s v="Grade and Re-Contour"/>
    <s v="Grade and Contour"/>
    <s v="Existing Laydown Area"/>
    <m/>
    <n v="17366.919999999998"/>
    <s v="m2"/>
    <n v="1.2689880937499998E-2"/>
    <n v="0.14624999999999999"/>
    <n v="1.2689880937499998"/>
    <n v="0.39654534577546297"/>
    <n v="1.8102953457754629"/>
    <n v="220.38414705108744"/>
    <n v="2539.9120499999995"/>
    <n v="22038.414705108742"/>
    <n v="6886.7712964548027"/>
    <n v="31465.098051563546"/>
    <n v="0"/>
    <n v="0"/>
    <n v="1"/>
    <n v="0"/>
    <n v="0"/>
    <n v="1"/>
    <n v="31465.098051563546"/>
    <n v="0"/>
    <n v="0"/>
    <n v="31465.098051563546"/>
    <s v="Type A  _x000a_2AM-MRY1325"/>
    <m/>
    <n v="2014"/>
    <s v="Direct "/>
    <m/>
    <m/>
    <n v="0.33333333333333331"/>
    <n v="0.33333333333333331"/>
    <n v="0.33333333333333331"/>
    <m/>
    <m/>
    <m/>
    <m/>
    <m/>
    <n v="0"/>
    <m/>
    <n v="10488.366017187847"/>
    <n v="10488.366017187847"/>
    <n v="10488.366017187847"/>
    <n v="0"/>
    <n v="0"/>
    <n v="0"/>
    <n v="0"/>
    <n v="0"/>
  </r>
  <r>
    <x v="6"/>
    <x v="6"/>
    <x v="12"/>
    <x v="8"/>
    <x v="21"/>
    <x v="16"/>
    <x v="39"/>
    <x v="30"/>
    <m/>
    <s v="MO-"/>
    <s v="O3"/>
    <s v="Heavy Mobile Equipment"/>
    <s v="O3"/>
    <s v="Mobile Equipment"/>
    <s v="Heavy Mobile Equipment"/>
    <s v="3rd Party Equipment"/>
    <s v="Dozer"/>
    <m/>
    <n v="12"/>
    <s v="ea"/>
    <n v="13"/>
    <n v="120"/>
    <n v="1298.8739523809525"/>
    <n v="1200"/>
    <n v="2618.8739523809527"/>
    <n v="156"/>
    <n v="1440"/>
    <n v="15586.487428571429"/>
    <n v="14400"/>
    <n v="31426.487428571432"/>
    <n v="96"/>
    <n v="1152"/>
    <n v="1"/>
    <n v="0"/>
    <n v="0"/>
    <n v="1"/>
    <n v="31426.487428571432"/>
    <n v="0"/>
    <n v="0"/>
    <n v="31426.487428571432"/>
    <s v="Type A  _x000a_2AM-MRY1325"/>
    <s v="Added"/>
    <s v="2017-A"/>
    <s v="Direct "/>
    <m/>
    <m/>
    <n v="0.33333333333333331"/>
    <m/>
    <n v="0.33333333333333331"/>
    <m/>
    <m/>
    <m/>
    <m/>
    <n v="0.33333333333333331"/>
    <n v="0"/>
    <m/>
    <n v="10475.495809523811"/>
    <n v="0"/>
    <n v="10475.495809523811"/>
    <n v="0"/>
    <n v="0"/>
    <n v="0"/>
    <n v="0"/>
    <n v="10475.495809523811"/>
  </r>
  <r>
    <x v="6"/>
    <x v="6"/>
    <x v="12"/>
    <x v="8"/>
    <x v="21"/>
    <x v="16"/>
    <x v="39"/>
    <x v="30"/>
    <m/>
    <s v="MO-"/>
    <s v="O3"/>
    <s v="Heavy Mobile Equipment"/>
    <s v="O3"/>
    <s v="Mobile Equipment"/>
    <s v="Heavy Mobile Equipment"/>
    <s v="3rd Party Equipment"/>
    <s v="Front End Loader"/>
    <m/>
    <n v="12"/>
    <s v="ea"/>
    <n v="13"/>
    <n v="120"/>
    <n v="1298.8739523809525"/>
    <n v="1200"/>
    <n v="2618.8739523809527"/>
    <n v="156"/>
    <n v="1440"/>
    <n v="15586.487428571429"/>
    <n v="14400"/>
    <n v="31426.487428571432"/>
    <n v="96"/>
    <n v="1152"/>
    <n v="1"/>
    <n v="0"/>
    <n v="0"/>
    <n v="1"/>
    <n v="31426.487428571432"/>
    <n v="0"/>
    <n v="0"/>
    <n v="31426.487428571432"/>
    <s v="Type A  _x000a_2AM-MRY1325"/>
    <s v="Added"/>
    <s v="2017-A"/>
    <s v="Direct "/>
    <m/>
    <m/>
    <n v="0.33333333333333331"/>
    <m/>
    <n v="0.33333333333333331"/>
    <m/>
    <m/>
    <m/>
    <m/>
    <n v="0.33333333333333331"/>
    <n v="0"/>
    <m/>
    <n v="10475.495809523811"/>
    <n v="0"/>
    <n v="10475.495809523811"/>
    <n v="0"/>
    <n v="0"/>
    <n v="0"/>
    <n v="0"/>
    <n v="10475.495809523811"/>
  </r>
  <r>
    <x v="6"/>
    <x v="6"/>
    <x v="11"/>
    <x v="3"/>
    <x v="19"/>
    <x v="4"/>
    <x v="31"/>
    <x v="12"/>
    <s v="947"/>
    <s v="BLD"/>
    <s v="CS"/>
    <s v="Slab on Grade - ASSUME 300mm thick"/>
    <s v="CS"/>
    <s v="Flooring / Foundations"/>
    <s v="Slab on Grade"/>
    <m/>
    <s v="Warehouse - Demolish floor finish - Slab on grade C/W Drainage"/>
    <s v="4521-BLD-002"/>
    <n v="892.19330855018586"/>
    <s v="m2"/>
    <n v="0.125"/>
    <n v="1.875"/>
    <n v="12.48917261904762"/>
    <n v="18.75"/>
    <n v="33.114172619047622"/>
    <n v="111.52416356877323"/>
    <n v="1672.8624535315985"/>
    <n v="11142.756240042487"/>
    <n v="16728.624535315987"/>
    <n v="29544.243228890071"/>
    <n v="0"/>
    <n v="0"/>
    <n v="1"/>
    <n v="0"/>
    <n v="0"/>
    <n v="1"/>
    <n v="29544.243228890071"/>
    <n v="0"/>
    <n v="0"/>
    <n v="29544.243228890071"/>
    <s v="Type A  _x000a_2AM-MRY1325"/>
    <m/>
    <n v="2014"/>
    <s v="Direct "/>
    <m/>
    <m/>
    <n v="0.33333333333333331"/>
    <n v="0.33333333333333331"/>
    <n v="0.33333333333333331"/>
    <m/>
    <m/>
    <m/>
    <m/>
    <m/>
    <n v="0"/>
    <m/>
    <n v="9848.0810762966903"/>
    <n v="9848.0810762966903"/>
    <n v="9848.0810762966903"/>
    <n v="0"/>
    <n v="0"/>
    <n v="0"/>
    <n v="0"/>
    <n v="0"/>
  </r>
  <r>
    <x v="1"/>
    <x v="1"/>
    <x v="3"/>
    <x v="3"/>
    <x v="5"/>
    <x v="4"/>
    <x v="20"/>
    <x v="17"/>
    <m/>
    <s v="LE-"/>
    <s v="MM1"/>
    <s v="Light Equimpent"/>
    <s v="MM1"/>
    <s v="Mechanical Equipment"/>
    <s v="Light Equipment"/>
    <s v="3rd party Equipment"/>
    <s v="Air compressor"/>
    <m/>
    <n v="4"/>
    <s v="ea"/>
    <n v="8.1"/>
    <n v="106.5"/>
    <n v="809.29838571428581"/>
    <n v="1065"/>
    <n v="1980.7983857142858"/>
    <n v="32.4"/>
    <n v="426"/>
    <n v="3237.1935428571433"/>
    <n v="4260"/>
    <n v="7923.1935428571433"/>
    <n v="0.5"/>
    <n v="2"/>
    <n v="1"/>
    <n v="0"/>
    <n v="0"/>
    <n v="1"/>
    <n v="7923.1935428571433"/>
    <n v="0"/>
    <n v="0"/>
    <n v="7923.1935428571433"/>
    <s v="Type A  _x000a_2AM-MRY1325"/>
    <s v="Added"/>
    <n v="2018"/>
    <s v="Direct "/>
    <m/>
    <m/>
    <n v="0.33333333333333331"/>
    <m/>
    <n v="0.33333333333333331"/>
    <m/>
    <m/>
    <m/>
    <m/>
    <n v="0.33333333333333331"/>
    <n v="0"/>
    <m/>
    <n v="2641.0645142857143"/>
    <n v="0"/>
    <n v="2641.0645142857143"/>
    <n v="0"/>
    <n v="0"/>
    <n v="0"/>
    <n v="0"/>
    <n v="2641.0645142857143"/>
  </r>
  <r>
    <x v="6"/>
    <x v="6"/>
    <x v="12"/>
    <x v="8"/>
    <x v="21"/>
    <x v="16"/>
    <x v="39"/>
    <x v="30"/>
    <m/>
    <s v="MO-"/>
    <s v="O1"/>
    <s v="Light Mobile Equipment"/>
    <s v="O1"/>
    <s v="Mobile Equipment"/>
    <s v="Light Mobile Equipment"/>
    <s v="Lights"/>
    <s v="Light Vehicles"/>
    <s v="4142-MO-033"/>
    <n v="30"/>
    <s v="ea"/>
    <n v="6.666666666666667"/>
    <n v="25"/>
    <n v="666.08920634920639"/>
    <n v="250"/>
    <n v="941.08920634920639"/>
    <n v="200"/>
    <n v="750"/>
    <n v="19982.676190476192"/>
    <n v="7500"/>
    <n v="28232.676190476192"/>
    <n v="4"/>
    <n v="120"/>
    <n v="1"/>
    <n v="0"/>
    <n v="0"/>
    <n v="1"/>
    <n v="28232.676190476192"/>
    <n v="0"/>
    <n v="0"/>
    <n v="28232.676190476192"/>
    <s v="Type A  _x000a_2AM-MRY1325"/>
    <s v="Added"/>
    <s v="2017-A"/>
    <s v="Direct "/>
    <m/>
    <m/>
    <n v="0.33333333333333331"/>
    <m/>
    <n v="0.33333333333333331"/>
    <m/>
    <m/>
    <m/>
    <m/>
    <n v="0.33333333333333331"/>
    <n v="0"/>
    <m/>
    <n v="9410.8920634920632"/>
    <n v="0"/>
    <n v="9410.8920634920632"/>
    <n v="0"/>
    <n v="0"/>
    <n v="0"/>
    <n v="0"/>
    <n v="9410.8920634920632"/>
  </r>
  <r>
    <x v="6"/>
    <x v="6"/>
    <x v="12"/>
    <x v="8"/>
    <x v="34"/>
    <x v="10"/>
    <x v="66"/>
    <x v="30"/>
    <m/>
    <m/>
    <s v="A3"/>
    <s v="Grade &amp; Re-Contour"/>
    <s v="A2"/>
    <s v="Site Works"/>
    <s v="Grade and Re-Contour"/>
    <s v="Grade and Contour"/>
    <s v="Laydown Pad development (Mine Site)"/>
    <m/>
    <n v="15000"/>
    <s v="m2"/>
    <n v="1.2689880937499998E-2"/>
    <n v="0.14624999999999999"/>
    <n v="1.2689880937499998"/>
    <n v="0.39654534577546297"/>
    <n v="1.8102953457754629"/>
    <n v="190.34821406249998"/>
    <n v="2193.75"/>
    <n v="19034.821406249997"/>
    <n v="5948.1801866319447"/>
    <n v="27176.751592881941"/>
    <n v="0"/>
    <n v="0"/>
    <n v="1"/>
    <n v="0"/>
    <n v="0"/>
    <n v="1"/>
    <n v="27176.751592881941"/>
    <n v="0"/>
    <n v="0"/>
    <n v="27176.751592881941"/>
    <s v="Type A  _x000a_2AM-MRY1325"/>
    <s v="Added"/>
    <s v="2017-A"/>
    <s v="Direct "/>
    <m/>
    <m/>
    <n v="0.33333333333333331"/>
    <n v="0.33333333333333331"/>
    <n v="0.33333333333333331"/>
    <m/>
    <m/>
    <m/>
    <m/>
    <m/>
    <n v="0"/>
    <m/>
    <n v="9058.9171976273137"/>
    <n v="9058.9171976273137"/>
    <n v="9058.9171976273137"/>
    <n v="0"/>
    <n v="0"/>
    <n v="0"/>
    <n v="0"/>
    <n v="0"/>
  </r>
  <r>
    <x v="6"/>
    <x v="6"/>
    <x v="11"/>
    <x v="3"/>
    <x v="19"/>
    <x v="4"/>
    <x v="31"/>
    <x v="12"/>
    <s v="976"/>
    <s v="In Meters"/>
    <s v="piping"/>
    <s v="Piping"/>
    <s v="Piping"/>
    <s v="Bulks"/>
    <s v="Piping"/>
    <m/>
    <s v="Maintenance Building Utility Piping - Piping Installation - Water, air and lube piping inside building"/>
    <s v="4521.5-P"/>
    <n v="405"/>
    <s v="m"/>
    <n v="0.25"/>
    <n v="3.75"/>
    <n v="24.97834523809524"/>
    <n v="37.5"/>
    <n v="66.228345238095244"/>
    <n v="101.25"/>
    <n v="1518.75"/>
    <n v="10116.229821428573"/>
    <n v="15187.5"/>
    <n v="26822.479821428573"/>
    <n v="1.0000000000000002E-2"/>
    <n v="4.0500000000000007"/>
    <n v="1"/>
    <n v="0"/>
    <n v="1"/>
    <n v="0"/>
    <n v="26822.479821428573"/>
    <n v="0"/>
    <n v="26822.479821428573"/>
    <n v="0"/>
    <s v="Type A  _x000a_2AM-MRY1325"/>
    <m/>
    <n v="2014"/>
    <s v="Direct "/>
    <m/>
    <m/>
    <n v="0.33333333333333331"/>
    <n v="0.33333333333333331"/>
    <n v="0.33333333333333331"/>
    <m/>
    <m/>
    <m/>
    <m/>
    <m/>
    <n v="0"/>
    <m/>
    <n v="8940.826607142857"/>
    <n v="8940.826607142857"/>
    <n v="8940.826607142857"/>
    <n v="0"/>
    <n v="0"/>
    <n v="0"/>
    <n v="0"/>
    <n v="0"/>
  </r>
  <r>
    <x v="6"/>
    <x v="6"/>
    <x v="14"/>
    <x v="5"/>
    <x v="27"/>
    <x v="6"/>
    <x v="53"/>
    <x v="26"/>
    <s v="1154"/>
    <s v="BLD"/>
    <s v="FF1-c"/>
    <s v="Modular Building Contaminated (480 ft2) "/>
    <s v="FTR2-c"/>
    <s v="Buildings (Contaminated)"/>
    <s v="Double Trailer (2 or more)"/>
    <m/>
    <s v="Sewage Treatment Plant - Demolish and Decontaminate Building - Trailer - Modular (2 or more modules)"/>
    <s v="4731-VP-005"/>
    <n v="178.43866171003717"/>
    <s v="m2"/>
    <n v="0.56041666666666667"/>
    <n v="3.3624999999999998"/>
    <n v="55.993123908730162"/>
    <n v="84.0625"/>
    <n v="143.41812390873017"/>
    <n v="100"/>
    <n v="599.99999999999989"/>
    <n v="9991.3380952380958"/>
    <n v="15000"/>
    <n v="25591.338095238098"/>
    <n v="1"/>
    <n v="178.43866171003717"/>
    <n v="1"/>
    <n v="0"/>
    <n v="0"/>
    <n v="1"/>
    <n v="25591.338095238098"/>
    <n v="0"/>
    <n v="0"/>
    <n v="25591.338095238098"/>
    <s v="Type A  _x000a_2AM-MRY1325"/>
    <m/>
    <n v="2014"/>
    <s v="Direct "/>
    <m/>
    <m/>
    <n v="0.5"/>
    <n v="0.5"/>
    <m/>
    <m/>
    <m/>
    <m/>
    <m/>
    <m/>
    <n v="0"/>
    <m/>
    <n v="12795.669047619049"/>
    <n v="12795.669047619049"/>
    <n v="0"/>
    <n v="0"/>
    <n v="0"/>
    <n v="0"/>
    <n v="0"/>
    <n v="0"/>
  </r>
  <r>
    <x v="1"/>
    <x v="1"/>
    <x v="5"/>
    <x v="5"/>
    <x v="35"/>
    <x v="25"/>
    <x v="71"/>
    <x v="59"/>
    <m/>
    <s v="TK-"/>
    <s v="MT2"/>
    <s v="Medium Tanks"/>
    <s v="MT2"/>
    <s v="Mechanical Equipment"/>
    <s v="Medium Tanks"/>
    <m/>
    <s v="Water Tank Main Unit"/>
    <m/>
    <n v="1"/>
    <s v="ea"/>
    <n v="31"/>
    <n v="390"/>
    <n v="3097.3148095238098"/>
    <n v="3900"/>
    <n v="7387.3148095238103"/>
    <n v="31"/>
    <n v="390"/>
    <n v="3097.3148095238098"/>
    <n v="3900"/>
    <n v="7387.3148095238103"/>
    <n v="2"/>
    <n v="2"/>
    <n v="1"/>
    <n v="0"/>
    <n v="0"/>
    <n v="1"/>
    <n v="7387.3148095238103"/>
    <n v="0"/>
    <n v="0"/>
    <n v="7387.3148095238103"/>
    <s v="Type A  _x000a_2AM-MRY1325"/>
    <s v="Added"/>
    <n v="2018"/>
    <s v="Direct "/>
    <m/>
    <m/>
    <n v="0.5"/>
    <n v="0.5"/>
    <m/>
    <m/>
    <m/>
    <m/>
    <m/>
    <m/>
    <n v="0"/>
    <m/>
    <n v="3693.6574047619051"/>
    <n v="3693.6574047619051"/>
    <n v="0"/>
    <n v="0"/>
    <n v="0"/>
    <n v="0"/>
    <n v="0"/>
    <n v="0"/>
  </r>
  <r>
    <x v="1"/>
    <x v="1"/>
    <x v="5"/>
    <x v="5"/>
    <x v="35"/>
    <x v="25"/>
    <x v="71"/>
    <x v="59"/>
    <m/>
    <s v="TK-"/>
    <s v="MT2"/>
    <s v="Medium Tanks"/>
    <s v="MT2"/>
    <s v="Mechanical Equipment"/>
    <s v="Medium Tanks"/>
    <m/>
    <s v="2017 -Water tanks on Sea Lift"/>
    <m/>
    <n v="1"/>
    <s v="ea"/>
    <n v="31"/>
    <n v="390"/>
    <n v="3097.3148095238098"/>
    <n v="3900"/>
    <n v="7387.3148095238103"/>
    <n v="31"/>
    <n v="390"/>
    <n v="3097.3148095238098"/>
    <n v="3900"/>
    <n v="7387.3148095238103"/>
    <n v="2"/>
    <n v="2"/>
    <n v="1"/>
    <n v="0"/>
    <n v="0"/>
    <n v="1"/>
    <n v="7387.3148095238103"/>
    <n v="0"/>
    <n v="0"/>
    <n v="7387.3148095238103"/>
    <s v="Type A  _x000a_2AM-MRY1325"/>
    <s v="Added"/>
    <s v="2018-R"/>
    <s v="Direct "/>
    <m/>
    <m/>
    <n v="0.5"/>
    <n v="0.5"/>
    <m/>
    <m/>
    <m/>
    <m/>
    <m/>
    <m/>
    <n v="0"/>
    <m/>
    <n v="3693.6574047619051"/>
    <n v="3693.6574047619051"/>
    <n v="0"/>
    <n v="0"/>
    <n v="0"/>
    <n v="0"/>
    <n v="0"/>
    <n v="0"/>
  </r>
  <r>
    <x v="1"/>
    <x v="1"/>
    <x v="8"/>
    <x v="8"/>
    <x v="26"/>
    <x v="16"/>
    <x v="37"/>
    <x v="33"/>
    <m/>
    <s v="TK-"/>
    <s v="MT1-d"/>
    <s v="Light Diesel (Day tanks 10,000L to 20,000L)"/>
    <s v="MT1-d"/>
    <s v="Mechanical Equipment"/>
    <s v="Light Diesel Tanks"/>
    <s v="3rd Party Equipment"/>
    <s v="Diesel Tank 10,000L"/>
    <m/>
    <n v="2"/>
    <s v="ea"/>
    <n v="15.5"/>
    <n v="195"/>
    <n v="1548.6574047619049"/>
    <n v="1950"/>
    <n v="3693.6574047619051"/>
    <n v="31"/>
    <n v="390"/>
    <n v="3097.3148095238098"/>
    <n v="3900"/>
    <n v="7387.3148095238103"/>
    <n v="20"/>
    <n v="40"/>
    <n v="1"/>
    <n v="0"/>
    <n v="0"/>
    <n v="1"/>
    <n v="7387.3148095238103"/>
    <n v="0"/>
    <n v="0"/>
    <n v="7387.3148095238103"/>
    <s v="Type A  _x000a_2AM-MRY1325"/>
    <s v="Added"/>
    <n v="2018"/>
    <s v="Direct "/>
    <m/>
    <m/>
    <n v="0.5"/>
    <n v="0.5"/>
    <m/>
    <m/>
    <m/>
    <m/>
    <m/>
    <m/>
    <n v="0"/>
    <m/>
    <n v="3693.6574047619051"/>
    <n v="3693.6574047619051"/>
    <n v="0"/>
    <n v="0"/>
    <n v="0"/>
    <n v="0"/>
    <n v="0"/>
    <n v="0"/>
  </r>
  <r>
    <x v="6"/>
    <x v="6"/>
    <x v="11"/>
    <x v="3"/>
    <x v="45"/>
    <x v="3"/>
    <x v="103"/>
    <x v="15"/>
    <s v="865"/>
    <s v="BLD"/>
    <s v="FF1"/>
    <s v="Modular Building Not Contaminated (480 ft2)"/>
    <s v="FS"/>
    <s v="Buildings (Not Contaminated)"/>
    <s v="Prefabricated Special Modular"/>
    <m/>
    <s v="Accommodation Laundry - Demolish and Decontaminate Building - Special Modular / Prefabricated"/>
    <s v="4511-BLD-003"/>
    <n v="423.79182156133828"/>
    <s v="m2"/>
    <n v="0.22416666666666665"/>
    <n v="3.3624999999999998"/>
    <n v="22.397249563492064"/>
    <n v="33.625"/>
    <n v="59.384749563492065"/>
    <n v="94.999999999999986"/>
    <n v="1425"/>
    <n v="9491.7711904761909"/>
    <n v="14250"/>
    <n v="25166.771190476189"/>
    <n v="1"/>
    <n v="423.79182156133828"/>
    <n v="1"/>
    <n v="0"/>
    <n v="0"/>
    <n v="1"/>
    <n v="25166.771190476189"/>
    <n v="0"/>
    <n v="0"/>
    <n v="25166.771190476189"/>
    <s v="Type A  _x000a_2AM-MRY1325"/>
    <m/>
    <n v="2014"/>
    <s v="Direct "/>
    <m/>
    <m/>
    <n v="0.33333333333333331"/>
    <n v="0.33333333333333331"/>
    <n v="0.33333333333333331"/>
    <m/>
    <m/>
    <m/>
    <m/>
    <m/>
    <n v="0"/>
    <m/>
    <n v="8388.9237301587291"/>
    <n v="8388.9237301587291"/>
    <n v="8388.9237301587291"/>
    <n v="0"/>
    <n v="0"/>
    <n v="0"/>
    <n v="0"/>
    <n v="0"/>
  </r>
  <r>
    <x v="6"/>
    <x v="6"/>
    <x v="12"/>
    <x v="8"/>
    <x v="41"/>
    <x v="16"/>
    <x v="96"/>
    <x v="33"/>
    <m/>
    <s v="TK-"/>
    <s v="MT1-d"/>
    <s v="Light Diesel (Day tanks 10,000L to 20,000L)"/>
    <s v="MT1-d"/>
    <s v="Mechanical Equipment"/>
    <s v="Light Diesel Tanks"/>
    <s v="3rd Party Equipment"/>
    <s v="Diesel Tank 10,000L"/>
    <m/>
    <n v="2"/>
    <s v="ea"/>
    <n v="15.5"/>
    <n v="195"/>
    <n v="1548.6574047619049"/>
    <n v="1950"/>
    <n v="3693.6574047619051"/>
    <n v="31"/>
    <n v="390"/>
    <n v="3097.3148095238098"/>
    <n v="3900"/>
    <n v="7387.3148095238103"/>
    <n v="20"/>
    <n v="40"/>
    <n v="1"/>
    <n v="0"/>
    <n v="0"/>
    <n v="1"/>
    <n v="7387.3148095238103"/>
    <n v="0"/>
    <n v="0"/>
    <n v="7387.3148095238103"/>
    <s v="Type A  _x000a_2AM-MRY1325"/>
    <s v="Added"/>
    <n v="2018"/>
    <s v="Direct "/>
    <m/>
    <m/>
    <n v="0.5"/>
    <n v="0.5"/>
    <m/>
    <m/>
    <m/>
    <m/>
    <m/>
    <m/>
    <n v="0"/>
    <m/>
    <n v="3693.6574047619051"/>
    <n v="3693.6574047619051"/>
    <n v="0"/>
    <n v="0"/>
    <n v="0"/>
    <n v="0"/>
    <n v="0"/>
    <n v="0"/>
  </r>
  <r>
    <x v="6"/>
    <x v="6"/>
    <x v="13"/>
    <x v="2"/>
    <x v="40"/>
    <x v="19"/>
    <x v="118"/>
    <x v="119"/>
    <m/>
    <s v=""/>
    <s v="A3"/>
    <s v="Grade &amp; Re-Contour"/>
    <s v="A2"/>
    <s v="Site Works"/>
    <s v="Grade and Re-Contour"/>
    <s v="Grade and Contour"/>
    <s v="Truck Weigh Facility disturbed area"/>
    <m/>
    <n v="13000"/>
    <s v="m2"/>
    <n v="1.2689880937499998E-2"/>
    <n v="0.14624999999999999"/>
    <n v="1.2689880937499998"/>
    <n v="0.39654534577546297"/>
    <n v="1.8102953457754629"/>
    <n v="164.96845218749999"/>
    <n v="1901.2499999999998"/>
    <n v="16496.845218749997"/>
    <n v="5155.0894950810189"/>
    <n v="23553.184713831015"/>
    <n v="0"/>
    <n v="0"/>
    <n v="1"/>
    <n v="0"/>
    <n v="0"/>
    <n v="1"/>
    <n v="23553.184713831015"/>
    <n v="0"/>
    <n v="0"/>
    <n v="23553.184713831015"/>
    <s v="Type A  _x000a_2AM-MRY1325"/>
    <s v="Check"/>
    <n v="2015"/>
    <s v="Direct "/>
    <m/>
    <m/>
    <n v="1"/>
    <m/>
    <m/>
    <m/>
    <m/>
    <m/>
    <m/>
    <m/>
    <n v="0"/>
    <m/>
    <n v="23553.184713831015"/>
    <n v="0"/>
    <n v="0"/>
    <n v="0"/>
    <n v="0"/>
    <n v="0"/>
    <n v="0"/>
    <n v="0"/>
  </r>
  <r>
    <x v="6"/>
    <x v="6"/>
    <x v="14"/>
    <x v="5"/>
    <x v="54"/>
    <x v="25"/>
    <x v="119"/>
    <x v="59"/>
    <m/>
    <s v="TK-"/>
    <s v="MT2"/>
    <s v="Medium Tanks"/>
    <s v="MT2"/>
    <s v="Mechanical Equipment"/>
    <s v="Medium Tanks"/>
    <m/>
    <s v="Additional Medium Size tanks"/>
    <m/>
    <n v="3"/>
    <s v="ea"/>
    <n v="31"/>
    <n v="390"/>
    <n v="3097.3148095238098"/>
    <n v="3900"/>
    <n v="7387.3148095238103"/>
    <n v="93"/>
    <n v="1170"/>
    <n v="9291.9444285714289"/>
    <n v="11700"/>
    <n v="22161.944428571431"/>
    <n v="2"/>
    <n v="6"/>
    <n v="1"/>
    <n v="0"/>
    <n v="0"/>
    <n v="1"/>
    <n v="22161.944428571431"/>
    <n v="0"/>
    <n v="0"/>
    <n v="22161.944428571431"/>
    <s v="Type B Construction_x000a_2BC-MRY1416"/>
    <s v="Confirmed"/>
    <s v="2015 A"/>
    <s v="Direct "/>
    <m/>
    <m/>
    <n v="0.5"/>
    <n v="0.5"/>
    <m/>
    <m/>
    <m/>
    <m/>
    <m/>
    <m/>
    <n v="0"/>
    <m/>
    <n v="11080.972214285715"/>
    <n v="11080.972214285715"/>
    <n v="0"/>
    <n v="0"/>
    <n v="0"/>
    <n v="0"/>
    <n v="0"/>
    <n v="0"/>
  </r>
  <r>
    <x v="6"/>
    <x v="6"/>
    <x v="21"/>
    <x v="6"/>
    <x v="57"/>
    <x v="35"/>
    <x v="122"/>
    <x v="8"/>
    <m/>
    <s v="TK-"/>
    <s v="MT5-d"/>
    <s v="Medium Mobile Diesel Tanks (3000 L to 500k L)"/>
    <s v="MT5-d"/>
    <s v="Mechanical Equipment"/>
    <s v="Medium Mobile Diesel Tanks"/>
    <m/>
    <s v="50,000 L Portable Fuel Dispensing Unit"/>
    <m/>
    <n v="2"/>
    <s v="ea"/>
    <n v="42.724999999999994"/>
    <n v="564.75"/>
    <n v="4268.7992011904762"/>
    <n v="5647.5"/>
    <n v="10481.049201190477"/>
    <n v="85.449999999999989"/>
    <n v="1129.5"/>
    <n v="8537.5984023809524"/>
    <n v="11295"/>
    <n v="20962.098402380951"/>
    <n v="30"/>
    <n v="60"/>
    <n v="1"/>
    <n v="0"/>
    <n v="0"/>
    <n v="1"/>
    <n v="20962.098402380951"/>
    <n v="0"/>
    <n v="0"/>
    <n v="20962.098402380951"/>
    <s v="Type A  _x000a_2AM-MRY1325"/>
    <s v="Added"/>
    <n v="2016"/>
    <s v="Direct "/>
    <m/>
    <m/>
    <n v="0.33333333333333331"/>
    <m/>
    <n v="0.33333333333333331"/>
    <m/>
    <m/>
    <m/>
    <m/>
    <n v="0.33333333333333331"/>
    <n v="0"/>
    <m/>
    <n v="6987.3661341269835"/>
    <n v="0"/>
    <n v="6987.3661341269835"/>
    <n v="0"/>
    <n v="0"/>
    <n v="0"/>
    <n v="0"/>
    <n v="6987.3661341269835"/>
  </r>
  <r>
    <x v="5"/>
    <x v="5"/>
    <x v="10"/>
    <x v="8"/>
    <x v="18"/>
    <x v="10"/>
    <x v="28"/>
    <x v="24"/>
    <m/>
    <s v=""/>
    <s v="Cu"/>
    <s v="Culvert Removal"/>
    <s v="cu"/>
    <s v="Site Works"/>
    <s v="Culvert Removal"/>
    <m/>
    <s v="Culverts - Crown"/>
    <m/>
    <n v="6"/>
    <s v="ea"/>
    <n v="6"/>
    <n v="45"/>
    <n v="599.48028571428574"/>
    <n v="450"/>
    <n v="1094.4802857142859"/>
    <n v="36"/>
    <n v="270"/>
    <n v="3596.8817142857142"/>
    <n v="2700"/>
    <n v="6566.8817142857142"/>
    <n v="0"/>
    <n v="0"/>
    <n v="0"/>
    <n v="1"/>
    <n v="0"/>
    <n v="1"/>
    <n v="0"/>
    <n v="6566.8817142857142"/>
    <n v="0"/>
    <n v="6566.8817142857142"/>
    <s v="Type A  _x000a_2AM-MRY1325"/>
    <s v="Added"/>
    <n v="2018"/>
    <s v="Direct "/>
    <m/>
    <m/>
    <m/>
    <n v="0.5"/>
    <n v="0.5"/>
    <m/>
    <m/>
    <m/>
    <m/>
    <m/>
    <n v="0"/>
    <m/>
    <n v="0"/>
    <n v="3283.4408571428571"/>
    <n v="3283.4408571428571"/>
    <n v="0"/>
    <n v="0"/>
    <n v="0"/>
    <n v="0"/>
    <n v="0"/>
  </r>
  <r>
    <x v="6"/>
    <x v="6"/>
    <x v="12"/>
    <x v="8"/>
    <x v="21"/>
    <x v="16"/>
    <x v="34"/>
    <x v="30"/>
    <m/>
    <s v="MO-"/>
    <s v="O3"/>
    <s v="Heavy Mobile Equipment"/>
    <s v="O3"/>
    <s v="Mobile Equipment"/>
    <s v="Heavy Mobile Equipment"/>
    <m/>
    <s v="Ore Haul Truck"/>
    <m/>
    <n v="8"/>
    <s v="ea"/>
    <n v="13"/>
    <n v="120"/>
    <n v="1298.8739523809525"/>
    <n v="1200"/>
    <n v="2618.8739523809527"/>
    <n v="104"/>
    <n v="960"/>
    <n v="10390.99161904762"/>
    <n v="9600"/>
    <n v="20950.991619047621"/>
    <n v="96"/>
    <n v="768"/>
    <n v="1"/>
    <n v="0"/>
    <n v="0"/>
    <n v="1"/>
    <n v="20950.991619047621"/>
    <n v="0"/>
    <n v="0"/>
    <n v="20950.991619047621"/>
    <s v="Type A  _x000a_2AM-MRY1325"/>
    <s v="Added"/>
    <n v="2017"/>
    <s v="Direct "/>
    <m/>
    <m/>
    <n v="0.33333333333333331"/>
    <m/>
    <n v="0.33333333333333331"/>
    <m/>
    <m/>
    <m/>
    <m/>
    <n v="0.33333333333333331"/>
    <n v="0"/>
    <m/>
    <n v="6983.6638730158738"/>
    <n v="0"/>
    <n v="6983.6638730158738"/>
    <n v="0"/>
    <n v="0"/>
    <n v="0"/>
    <n v="0"/>
    <n v="6983.6638730158738"/>
  </r>
  <r>
    <x v="6"/>
    <x v="6"/>
    <x v="12"/>
    <x v="8"/>
    <x v="34"/>
    <x v="10"/>
    <x v="66"/>
    <x v="30"/>
    <m/>
    <m/>
    <s v="A3"/>
    <s v="Grade &amp; Re-Contour"/>
    <s v="A2"/>
    <s v="Site Works"/>
    <s v="Grade and Re-Contour"/>
    <s v="Grade and Contour"/>
    <s v="Additional laydown next to Hatch old office/carpentry shack "/>
    <m/>
    <n v="11250"/>
    <s v="m2"/>
    <n v="1.2689880937499998E-2"/>
    <n v="0.14624999999999999"/>
    <n v="1.2689880937499998"/>
    <n v="0.39654534577546297"/>
    <n v="1.8102953457754629"/>
    <n v="142.76116054687498"/>
    <n v="1645.3125"/>
    <n v="14276.116054687498"/>
    <n v="4461.1351399739588"/>
    <n v="20365.822639973958"/>
    <n v="0"/>
    <n v="0"/>
    <n v="1"/>
    <n v="0"/>
    <n v="0"/>
    <n v="1"/>
    <n v="20365.822639973958"/>
    <n v="0"/>
    <n v="0"/>
    <n v="20365.822639973958"/>
    <s v="Type A  _x000a_2AM-MRY1325"/>
    <s v="Added"/>
    <s v="2015 R"/>
    <s v="Direct "/>
    <m/>
    <m/>
    <n v="0.33333333333333331"/>
    <n v="0.33333333333333331"/>
    <n v="0.33333333333333331"/>
    <m/>
    <m/>
    <m/>
    <m/>
    <m/>
    <n v="0"/>
    <m/>
    <n v="6788.6075466579859"/>
    <n v="6788.6075466579859"/>
    <n v="6788.6075466579859"/>
    <n v="0"/>
    <n v="0"/>
    <n v="0"/>
    <n v="0"/>
    <n v="0"/>
  </r>
  <r>
    <x v="6"/>
    <x v="6"/>
    <x v="11"/>
    <x v="3"/>
    <x v="19"/>
    <x v="4"/>
    <x v="114"/>
    <x v="17"/>
    <s v="1015"/>
    <s v="MT-"/>
    <s v="MM1"/>
    <s v="Light Equimpent"/>
    <s v="MM1"/>
    <s v="Mechanical Equipment"/>
    <s v="Light Equipment"/>
    <s v="Bench grinder"/>
    <s v="Light Plant"/>
    <m/>
    <n v="10"/>
    <s v="ea"/>
    <n v="8.1"/>
    <n v="106.5"/>
    <n v="809.29838571428581"/>
    <n v="1065"/>
    <n v="1980.7983857142858"/>
    <n v="81"/>
    <n v="1065"/>
    <n v="8092.9838571428581"/>
    <n v="10650"/>
    <n v="19807.983857142859"/>
    <n v="0.5"/>
    <n v="5"/>
    <n v="1"/>
    <n v="0"/>
    <n v="0"/>
    <n v="1"/>
    <n v="19807.983857142859"/>
    <n v="0"/>
    <n v="0"/>
    <n v="19807.983857142859"/>
    <s v="Type A  _x000a_2AM-MRY1325"/>
    <s v="Added"/>
    <n v="2017"/>
    <s v="Direct "/>
    <m/>
    <m/>
    <n v="0.33333333333333331"/>
    <m/>
    <n v="0.33333333333333331"/>
    <m/>
    <m/>
    <m/>
    <m/>
    <n v="0.33333333333333331"/>
    <n v="0"/>
    <m/>
    <n v="6602.6612857142864"/>
    <n v="0"/>
    <n v="6602.6612857142864"/>
    <n v="0"/>
    <n v="0"/>
    <n v="0"/>
    <n v="0"/>
    <n v="6602.6612857142864"/>
  </r>
  <r>
    <x v="6"/>
    <x v="6"/>
    <x v="11"/>
    <x v="3"/>
    <x v="19"/>
    <x v="4"/>
    <x v="114"/>
    <x v="17"/>
    <s v="1015"/>
    <s v="MT-"/>
    <s v="MM1"/>
    <s v="Light Equimpent"/>
    <s v="MM1"/>
    <s v="Mechanical Equipment"/>
    <s v="Light Equipment"/>
    <s v="Bench grinder"/>
    <s v="Frost Fighter Heater"/>
    <m/>
    <n v="10"/>
    <s v="ea"/>
    <n v="8.1"/>
    <n v="106.5"/>
    <n v="809.29838571428581"/>
    <n v="1065"/>
    <n v="1980.7983857142858"/>
    <n v="81"/>
    <n v="1065"/>
    <n v="8092.9838571428581"/>
    <n v="10650"/>
    <n v="19807.983857142859"/>
    <n v="0.5"/>
    <n v="5"/>
    <n v="1"/>
    <n v="0"/>
    <n v="0"/>
    <n v="1"/>
    <n v="19807.983857142859"/>
    <n v="0"/>
    <n v="0"/>
    <n v="19807.983857142859"/>
    <s v="Type A  _x000a_2AM-MRY1325"/>
    <s v="Added"/>
    <n v="2017"/>
    <s v="Direct "/>
    <m/>
    <m/>
    <n v="0.33333333333333331"/>
    <m/>
    <n v="0.33333333333333331"/>
    <m/>
    <m/>
    <m/>
    <m/>
    <n v="0.33333333333333331"/>
    <n v="0"/>
    <m/>
    <n v="6602.6612857142864"/>
    <n v="0"/>
    <n v="6602.6612857142864"/>
    <n v="0"/>
    <n v="0"/>
    <n v="0"/>
    <n v="0"/>
    <n v="6602.6612857142864"/>
  </r>
  <r>
    <x v="6"/>
    <x v="6"/>
    <x v="18"/>
    <x v="11"/>
    <x v="47"/>
    <x v="31"/>
    <x v="106"/>
    <x v="111"/>
    <m/>
    <s v=""/>
    <s v="A3l"/>
    <s v="Grade &amp; Re-Contour with Liner"/>
    <s v="A3l"/>
    <s v="Site Works"/>
    <s v="Grade and Re-Contour With Liner"/>
    <m/>
    <s v="PWSP"/>
    <s v="PWSP-1"/>
    <n v="3720"/>
    <s v="m2"/>
    <n v="4.4489880937500004E-2"/>
    <n v="0.17804999999999999"/>
    <n v="4.4489880937499997"/>
    <n v="0.71454534577546303"/>
    <n v="5.3082953457754627"/>
    <n v="165.5023570875"/>
    <n v="662.346"/>
    <n v="16550.235708749999"/>
    <n v="2658.1086862847224"/>
    <n v="19746.858686284722"/>
    <n v="0"/>
    <n v="0"/>
    <n v="1"/>
    <n v="0"/>
    <n v="0"/>
    <n v="1"/>
    <n v="19746.858686284722"/>
    <n v="0"/>
    <n v="0"/>
    <n v="19746.858686284722"/>
    <s v="Type A  _x000a_2AM-MRY1325"/>
    <s v="Modified"/>
    <s v="2015 R"/>
    <s v="Direct "/>
    <m/>
    <m/>
    <m/>
    <n v="1"/>
    <m/>
    <m/>
    <m/>
    <m/>
    <m/>
    <m/>
    <n v="0"/>
    <m/>
    <n v="0"/>
    <n v="19746.858686284722"/>
    <n v="0"/>
    <n v="0"/>
    <n v="0"/>
    <n v="0"/>
    <n v="0"/>
    <n v="0"/>
  </r>
  <r>
    <x v="6"/>
    <x v="6"/>
    <x v="11"/>
    <x v="3"/>
    <x v="45"/>
    <x v="3"/>
    <x v="103"/>
    <x v="15"/>
    <s v="868"/>
    <s v="BLD"/>
    <s v="FF1"/>
    <s v="Modular Building Not Contaminated (480 ft2)"/>
    <s v="FS"/>
    <s v="Buildings (Not Contaminated)"/>
    <s v="Prefabricated Special Modular"/>
    <m/>
    <s v="Accommodation Laboratory - Demolish and Decontaminate Building - Special Modular / Prefabricated"/>
    <s v="4511-BLD-004"/>
    <n v="312.26765799256503"/>
    <s v="m2"/>
    <n v="0.22416666666666665"/>
    <n v="3.3624999999999998"/>
    <n v="22.397249563492064"/>
    <n v="33.625"/>
    <n v="59.384749563492065"/>
    <n v="69.999999999999986"/>
    <n v="1049.9999999999998"/>
    <n v="6993.9366666666665"/>
    <n v="10500"/>
    <n v="18543.936666666668"/>
    <n v="1"/>
    <n v="312.26765799256503"/>
    <n v="1"/>
    <n v="0"/>
    <n v="0"/>
    <n v="1"/>
    <n v="18543.936666666668"/>
    <n v="0"/>
    <n v="0"/>
    <n v="18543.936666666668"/>
    <s v="Type A  _x000a_2AM-MRY1325"/>
    <m/>
    <n v="2014"/>
    <s v="Direct "/>
    <m/>
    <m/>
    <n v="0.33333333333333331"/>
    <n v="0.33333333333333331"/>
    <n v="0.33333333333333331"/>
    <m/>
    <m/>
    <m/>
    <m/>
    <m/>
    <n v="0"/>
    <m/>
    <n v="6181.3122222222228"/>
    <n v="6181.3122222222228"/>
    <n v="6181.3122222222228"/>
    <n v="0"/>
    <n v="0"/>
    <n v="0"/>
    <n v="0"/>
    <n v="0"/>
  </r>
  <r>
    <x v="6"/>
    <x v="6"/>
    <x v="11"/>
    <x v="3"/>
    <x v="49"/>
    <x v="32"/>
    <x v="108"/>
    <x v="112"/>
    <m/>
    <s v=""/>
    <s v="A2"/>
    <s v="Fill Application"/>
    <s v="Fill"/>
    <s v="Site Works"/>
    <s v="Fill Application"/>
    <s v="Fill Application"/>
    <s v="Landfill Expansion"/>
    <m/>
    <n v="400"/>
    <s v="m2"/>
    <n v="0.24456421316628418"/>
    <n v="2.0270868355782152"/>
    <n v="22.154098746081509"/>
    <n v="22.214649120790398"/>
    <n v="44.368747866871892"/>
    <n v="97.825685266513673"/>
    <n v="810.83473423128612"/>
    <n v="8861.6394984326034"/>
    <n v="8885.85964831616"/>
    <n v="17747.499146748756"/>
    <n v="0"/>
    <n v="0"/>
    <n v="1"/>
    <n v="0"/>
    <n v="0"/>
    <n v="1"/>
    <n v="17747.499146748756"/>
    <n v="0"/>
    <n v="0"/>
    <n v="17747.499146748756"/>
    <s v="Type A  _x000a_2AM-MRY1325"/>
    <s v="Added"/>
    <s v="2015 R"/>
    <s v="Direct "/>
    <m/>
    <m/>
    <m/>
    <n v="1"/>
    <m/>
    <m/>
    <m/>
    <m/>
    <m/>
    <m/>
    <n v="0"/>
    <m/>
    <n v="0"/>
    <n v="17747.499146748756"/>
    <n v="0"/>
    <n v="0"/>
    <n v="0"/>
    <n v="0"/>
    <n v="0"/>
    <n v="0"/>
  </r>
  <r>
    <x v="6"/>
    <x v="6"/>
    <x v="11"/>
    <x v="3"/>
    <x v="52"/>
    <x v="32"/>
    <x v="108"/>
    <x v="112"/>
    <s v="1070"/>
    <s v="BLD"/>
    <s v="CP"/>
    <s v="Precast Concrete Foundations - (480 ft2)"/>
    <s v="CP"/>
    <s v="Flooring / Foundations"/>
    <s v="Precast Foundations"/>
    <m/>
    <s v="Waste Management Building - Demolish and foundations - Precast Footing (Perimeter Beam)"/>
    <s v="4540-BLD-001"/>
    <n v="446.09665427509293"/>
    <s v="m2"/>
    <n v="0.14520631503408685"/>
    <n v="2.1780947255113023"/>
    <n v="14.50805387069216"/>
    <n v="21.780947255113027"/>
    <n v="38.467095851316493"/>
    <n v="64.776051316321272"/>
    <n v="971.64076974481884"/>
    <n v="6471.994291758585"/>
    <n v="9716.4076974481904"/>
    <n v="17160.042758951593"/>
    <n v="0.75"/>
    <n v="334.57249070631968"/>
    <n v="1"/>
    <n v="0"/>
    <n v="0"/>
    <n v="1"/>
    <n v="17160.042758951593"/>
    <n v="0"/>
    <n v="0"/>
    <n v="17160.042758951593"/>
    <s v="Type A  _x000a_2AM-MRY1325"/>
    <m/>
    <n v="2014"/>
    <s v="Direct "/>
    <m/>
    <m/>
    <n v="0.33333333333333331"/>
    <n v="0.33333333333333331"/>
    <n v="0.33333333333333331"/>
    <m/>
    <m/>
    <m/>
    <m/>
    <m/>
    <n v="0"/>
    <m/>
    <n v="5720.014252983864"/>
    <n v="5720.014252983864"/>
    <n v="5720.014252983864"/>
    <n v="0"/>
    <n v="0"/>
    <n v="0"/>
    <n v="0"/>
    <n v="0"/>
  </r>
  <r>
    <x v="5"/>
    <x v="5"/>
    <x v="15"/>
    <x v="8"/>
    <x v="28"/>
    <x v="24"/>
    <x v="67"/>
    <x v="55"/>
    <m/>
    <m/>
    <s v="FF1-c"/>
    <s v="Modular Building Contaminated (480 ft2) "/>
    <s v="FTR1-c"/>
    <s v="Buildings (Contaminated)"/>
    <s v="Single Trailers (modular)"/>
    <m/>
    <s v="Explosives Magazines (15m2 x 3) - Demolish and Decontaminate Building - Trailer"/>
    <m/>
    <n v="45"/>
    <s v="m2"/>
    <n v="0.56041666666666667"/>
    <n v="3.3624999999999998"/>
    <n v="55.993123908730162"/>
    <n v="84.0625"/>
    <n v="143.41812390873017"/>
    <n v="25.21875"/>
    <n v="151.3125"/>
    <n v="2519.6905758928574"/>
    <n v="3782.8125"/>
    <n v="6453.8155758928569"/>
    <n v="1"/>
    <n v="45"/>
    <n v="1"/>
    <n v="0"/>
    <n v="0"/>
    <n v="1"/>
    <n v="6453.8155758928569"/>
    <n v="0"/>
    <n v="0"/>
    <n v="6453.8155758928569"/>
    <s v="Type A  _x000a_2AM-MRY1325"/>
    <s v="Added"/>
    <n v="2018"/>
    <s v="Direct "/>
    <m/>
    <m/>
    <n v="0.33333333333333331"/>
    <n v="0.33333333333333331"/>
    <n v="0.33333333333333331"/>
    <m/>
    <m/>
    <m/>
    <m/>
    <m/>
    <n v="0"/>
    <m/>
    <n v="2151.271858630952"/>
    <n v="2151.271858630952"/>
    <n v="2151.271858630952"/>
    <n v="0"/>
    <n v="0"/>
    <n v="0"/>
    <n v="0"/>
    <n v="0"/>
  </r>
  <r>
    <x v="6"/>
    <x v="6"/>
    <x v="14"/>
    <x v="5"/>
    <x v="27"/>
    <x v="6"/>
    <x v="53"/>
    <x v="26"/>
    <s v="1163"/>
    <s v="In Meters"/>
    <s v="piping"/>
    <s v="Piping"/>
    <s v="Piping"/>
    <s v="Bulks"/>
    <s v="Piping"/>
    <m/>
    <s v="Sewage Treatment Piping - Piping Installation - Sewage truck bldg to STP"/>
    <s v="4731.2-P"/>
    <n v="247"/>
    <s v="m"/>
    <n v="0.25"/>
    <n v="3.75"/>
    <n v="24.97834523809524"/>
    <n v="37.5"/>
    <n v="66.228345238095244"/>
    <n v="61.75"/>
    <n v="926.25"/>
    <n v="6169.6512738095244"/>
    <n v="9262.5"/>
    <n v="16358.401273809524"/>
    <n v="1.0000000000000002E-2"/>
    <n v="2.4700000000000006"/>
    <n v="1"/>
    <n v="0"/>
    <n v="1"/>
    <n v="0"/>
    <n v="16358.401273809524"/>
    <n v="0"/>
    <n v="16358.401273809524"/>
    <n v="0"/>
    <s v="Type A  _x000a_2AM-MRY1325"/>
    <m/>
    <n v="2014"/>
    <s v="Direct "/>
    <m/>
    <m/>
    <n v="0.5"/>
    <n v="0.5"/>
    <m/>
    <m/>
    <m/>
    <m/>
    <m/>
    <m/>
    <n v="0"/>
    <m/>
    <n v="8179.2006369047622"/>
    <n v="8179.2006369047622"/>
    <n v="0"/>
    <n v="0"/>
    <n v="0"/>
    <n v="0"/>
    <n v="0"/>
    <n v="0"/>
  </r>
  <r>
    <x v="6"/>
    <x v="6"/>
    <x v="14"/>
    <x v="5"/>
    <x v="58"/>
    <x v="17"/>
    <x v="120"/>
    <x v="31"/>
    <s v="1121"/>
    <s v="BLD"/>
    <s v="FF2"/>
    <s v="Fold Away Building Not Contaminated (480 ft2)"/>
    <s v="FFL"/>
    <s v="Buildings (Not Contaminated)"/>
    <s v="Fold Away Building"/>
    <m/>
    <s v="Water Building - Demolish and Decontaminate Building - Fold-away Building (Steel)"/>
    <s v="4720-BLD-001"/>
    <n v="390.33457249070631"/>
    <s v="m2"/>
    <n v="0.15691666666666668"/>
    <n v="2.3537499999999998"/>
    <n v="15.678074694444444"/>
    <n v="23.537499999999998"/>
    <n v="41.569324694444447"/>
    <n v="61.25"/>
    <n v="918.74999999999989"/>
    <n v="6119.694583333333"/>
    <n v="9187.4999999999982"/>
    <n v="16225.94458333333"/>
    <n v="1"/>
    <n v="390.33457249070631"/>
    <n v="1"/>
    <n v="0"/>
    <n v="0"/>
    <n v="1"/>
    <n v="16225.94458333333"/>
    <n v="0"/>
    <n v="0"/>
    <n v="16225.94458333333"/>
    <s v="Type A  _x000a_2AM-MRY1325"/>
    <m/>
    <n v="2014"/>
    <s v="Direct "/>
    <m/>
    <m/>
    <n v="0.33333333333333331"/>
    <n v="0.33333333333333331"/>
    <n v="0.33333333333333331"/>
    <m/>
    <m/>
    <m/>
    <m/>
    <m/>
    <n v="0"/>
    <m/>
    <n v="5408.6481944444431"/>
    <n v="5408.6481944444431"/>
    <n v="5408.6481944444431"/>
    <n v="0"/>
    <n v="0"/>
    <n v="0"/>
    <n v="0"/>
    <n v="0"/>
  </r>
  <r>
    <x v="6"/>
    <x v="6"/>
    <x v="21"/>
    <x v="6"/>
    <x v="57"/>
    <x v="35"/>
    <x v="123"/>
    <x v="8"/>
    <s v="1101"/>
    <s v="TK-"/>
    <s v="MT2-d"/>
    <s v="Medium Diesel Tanks (500k L to 750k L)"/>
    <s v="MT2-d"/>
    <s v="Mechanical Equipment"/>
    <s v="Medium Diesel Tanks"/>
    <m/>
    <s v="TANK  - ARCTIC DIESEL TANK W: 8350 DIA H: 9140 "/>
    <s v="4613-TK-009"/>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A  _x000a_2AM-MRY1325"/>
    <m/>
    <n v="2014"/>
    <s v="Direct "/>
    <m/>
    <m/>
    <n v="0.5"/>
    <n v="0.5"/>
    <m/>
    <m/>
    <m/>
    <m/>
    <m/>
    <m/>
    <n v="0"/>
    <m/>
    <n v="8083.2006664285718"/>
    <n v="8083.2006664285718"/>
    <n v="0"/>
    <n v="0"/>
    <n v="0"/>
    <n v="0"/>
    <n v="0"/>
    <n v="0"/>
  </r>
  <r>
    <x v="6"/>
    <x v="6"/>
    <x v="21"/>
    <x v="6"/>
    <x v="57"/>
    <x v="35"/>
    <x v="123"/>
    <x v="8"/>
    <s v="1102"/>
    <s v="TK-"/>
    <s v="MT2-d"/>
    <s v="Medium Diesel Tanks (500k L to 750k L)"/>
    <s v="MT2-d"/>
    <s v="Mechanical Equipment"/>
    <s v="Medium Diesel Tanks"/>
    <m/>
    <s v="TANK  - ARCTIC DIESEL TANK W: 8350 DIA H: 9140 "/>
    <s v="4613-TK-010"/>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A  _x000a_2AM-MRY1325"/>
    <m/>
    <n v="2014"/>
    <s v="Direct "/>
    <m/>
    <m/>
    <n v="0.5"/>
    <n v="0.5"/>
    <m/>
    <m/>
    <m/>
    <m/>
    <m/>
    <m/>
    <n v="0"/>
    <m/>
    <n v="8083.2006664285718"/>
    <n v="8083.2006664285718"/>
    <n v="0"/>
    <n v="0"/>
    <n v="0"/>
    <n v="0"/>
    <n v="0"/>
    <n v="0"/>
  </r>
  <r>
    <x v="6"/>
    <x v="6"/>
    <x v="21"/>
    <x v="6"/>
    <x v="57"/>
    <x v="35"/>
    <x v="123"/>
    <x v="8"/>
    <s v="1103"/>
    <s v="TK-"/>
    <s v="MT2-d"/>
    <s v="Medium Diesel Tanks (500k L to 750k L)"/>
    <s v="MT2-d"/>
    <s v="Mechanical Equipment"/>
    <s v="Medium Diesel Tanks"/>
    <m/>
    <s v="TANK  - ARCTIC DIESEL TANK W: 8350 DIA H: 9140 "/>
    <s v="4613-TK-011"/>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A  _x000a_2AM-MRY1325"/>
    <m/>
    <n v="2014"/>
    <s v="Direct "/>
    <m/>
    <m/>
    <n v="0.5"/>
    <n v="0.5"/>
    <m/>
    <m/>
    <m/>
    <m/>
    <m/>
    <m/>
    <n v="0"/>
    <m/>
    <n v="8083.2006664285718"/>
    <n v="8083.2006664285718"/>
    <n v="0"/>
    <n v="0"/>
    <n v="0"/>
    <n v="0"/>
    <n v="0"/>
    <n v="0"/>
  </r>
  <r>
    <x v="6"/>
    <x v="6"/>
    <x v="21"/>
    <x v="6"/>
    <x v="57"/>
    <x v="35"/>
    <x v="123"/>
    <x v="8"/>
    <s v="1104"/>
    <s v="TK-"/>
    <s v="MT2-d"/>
    <s v="Medium Diesel Tanks (500k L to 750k L)"/>
    <s v="MT2-d"/>
    <s v="Mechanical Equipment"/>
    <s v="Medium Diesel Tanks"/>
    <m/>
    <s v="TANK  - ARCTIC DIESEL TANK W: 8350 DIA H: 9140 "/>
    <s v="4613-TK-012"/>
    <n v="1"/>
    <s v="ea"/>
    <n v="65.790000000000006"/>
    <n v="872.10000000000014"/>
    <n v="6573.3013328571433"/>
    <n v="8721"/>
    <n v="16166.401332857145"/>
    <n v="65.790000000000006"/>
    <n v="872.10000000000014"/>
    <n v="6573.3013328571433"/>
    <n v="8721"/>
    <n v="16166.401332857144"/>
    <n v="40"/>
    <n v="40"/>
    <n v="1"/>
    <n v="0"/>
    <n v="0"/>
    <n v="1"/>
    <n v="16166.401332857144"/>
    <n v="0"/>
    <n v="0"/>
    <n v="16166.401332857144"/>
    <s v="Type A  _x000a_2AM-MRY1325"/>
    <m/>
    <n v="2014"/>
    <s v="Direct "/>
    <m/>
    <m/>
    <n v="0.5"/>
    <n v="0.5"/>
    <m/>
    <m/>
    <m/>
    <m/>
    <m/>
    <m/>
    <n v="0"/>
    <m/>
    <n v="8083.2006664285718"/>
    <n v="8083.2006664285718"/>
    <n v="0"/>
    <n v="0"/>
    <n v="0"/>
    <n v="0"/>
    <n v="0"/>
    <n v="0"/>
  </r>
  <r>
    <x v="6"/>
    <x v="6"/>
    <x v="18"/>
    <x v="11"/>
    <x v="59"/>
    <x v="26"/>
    <x v="73"/>
    <x v="60"/>
    <s v="786"/>
    <s v="BLD"/>
    <s v="FF1"/>
    <s v="Modular Building Not Contaminated (480 ft2)"/>
    <s v="FTR2"/>
    <s v="Buildings (Not Contaminated)"/>
    <s v="Double Trailer (2 or more)"/>
    <m/>
    <s v="Pit Office Building - Demolish and Decontaminate Building - Trailer - Modular (2 or more modules)"/>
    <s v="4281-BLD-001"/>
    <n v="267.65799256505579"/>
    <s v="m2"/>
    <n v="0.22416666666666665"/>
    <n v="3.3624999999999998"/>
    <n v="22.397249563492064"/>
    <n v="33.625"/>
    <n v="59.384749563492065"/>
    <n v="60"/>
    <n v="900"/>
    <n v="5994.8028571428576"/>
    <n v="9000.0000000000018"/>
    <n v="15894.802857142859"/>
    <n v="1"/>
    <n v="267.65799256505579"/>
    <n v="1"/>
    <n v="0"/>
    <n v="0"/>
    <n v="1"/>
    <n v="15894.802857142859"/>
    <n v="0"/>
    <n v="0"/>
    <n v="15894.802857142859"/>
    <s v="Type A  _x000a_2AM-MRY1325"/>
    <m/>
    <n v="2014"/>
    <s v="Direct "/>
    <m/>
    <m/>
    <n v="0.33333333333333331"/>
    <n v="0.33333333333333331"/>
    <n v="0.33333333333333331"/>
    <m/>
    <m/>
    <m/>
    <m/>
    <m/>
    <n v="0"/>
    <m/>
    <n v="5298.2676190476195"/>
    <n v="5298.2676190476195"/>
    <n v="5298.2676190476195"/>
    <n v="0"/>
    <n v="0"/>
    <n v="0"/>
    <n v="0"/>
    <n v="0"/>
  </r>
  <r>
    <x v="6"/>
    <x v="6"/>
    <x v="11"/>
    <x v="3"/>
    <x v="19"/>
    <x v="4"/>
    <x v="31"/>
    <x v="12"/>
    <s v="949"/>
    <s v="BLD"/>
    <s v="CP"/>
    <s v="Precast Concrete Foundations - (480 ft2)"/>
    <s v="CP"/>
    <s v="Flooring / Foundations"/>
    <s v="Precast Foundations"/>
    <m/>
    <s v="Welding Shop Building - Demolish and foundations - Precast Footing (Perimeter Beam)"/>
    <s v="4521-BLD-003"/>
    <n v="390.33457249070631"/>
    <s v="m2"/>
    <n v="0.14520631503408685"/>
    <n v="2.1780947255113023"/>
    <n v="14.50805387069216"/>
    <n v="21.780947255113027"/>
    <n v="38.467095851316493"/>
    <n v="56.679044901781111"/>
    <n v="850.18567352671653"/>
    <n v="5662.9950052887616"/>
    <n v="8501.8567352671671"/>
    <n v="15015.037414082646"/>
    <n v="0.75"/>
    <n v="292.75092936802974"/>
    <n v="1"/>
    <n v="0"/>
    <n v="0"/>
    <n v="1"/>
    <n v="15015.037414082646"/>
    <n v="0"/>
    <n v="0"/>
    <n v="15015.037414082646"/>
    <s v="Type A  _x000a_2AM-MRY1325"/>
    <m/>
    <n v="2014"/>
    <s v="Direct "/>
    <m/>
    <m/>
    <n v="0.33333333333333331"/>
    <n v="0.33333333333333331"/>
    <n v="0.33333333333333331"/>
    <m/>
    <m/>
    <m/>
    <m/>
    <m/>
    <n v="0"/>
    <m/>
    <n v="5005.012471360882"/>
    <n v="5005.012471360882"/>
    <n v="5005.012471360882"/>
    <n v="0"/>
    <n v="0"/>
    <n v="0"/>
    <n v="0"/>
    <n v="0"/>
  </r>
  <r>
    <x v="6"/>
    <x v="6"/>
    <x v="14"/>
    <x v="5"/>
    <x v="58"/>
    <x v="17"/>
    <x v="120"/>
    <x v="31"/>
    <s v="1122"/>
    <s v="BLD"/>
    <s v="CP"/>
    <s v="Precast Concrete Foundations - (480 ft2)"/>
    <s v="CP"/>
    <s v="Flooring / Foundations"/>
    <s v="Precast Foundations"/>
    <m/>
    <s v="Water Building - Demolish and foundations - Precast Footing (Perimeter Beam)"/>
    <s v="4720-BLD-001"/>
    <n v="390.33457249070631"/>
    <s v="m2"/>
    <n v="0.14520631503408685"/>
    <n v="2.1780947255113023"/>
    <n v="14.50805387069216"/>
    <n v="21.780947255113027"/>
    <n v="38.467095851316493"/>
    <n v="56.679044901781111"/>
    <n v="850.18567352671653"/>
    <n v="5662.9950052887616"/>
    <n v="8501.8567352671671"/>
    <n v="15015.037414082646"/>
    <n v="0.75"/>
    <n v="292.75092936802974"/>
    <n v="1"/>
    <n v="0"/>
    <n v="0"/>
    <n v="1"/>
    <n v="15015.037414082646"/>
    <n v="0"/>
    <n v="0"/>
    <n v="15015.037414082646"/>
    <s v="Type A  _x000a_2AM-MRY1325"/>
    <m/>
    <n v="2014"/>
    <s v="Direct "/>
    <m/>
    <m/>
    <n v="0.33333333333333331"/>
    <n v="0.33333333333333331"/>
    <n v="0.33333333333333331"/>
    <m/>
    <m/>
    <m/>
    <m/>
    <m/>
    <n v="0"/>
    <m/>
    <n v="5005.012471360882"/>
    <n v="5005.012471360882"/>
    <n v="5005.012471360882"/>
    <n v="0"/>
    <n v="0"/>
    <n v="0"/>
    <n v="0"/>
    <n v="0"/>
  </r>
  <r>
    <x v="6"/>
    <x v="6"/>
    <x v="11"/>
    <x v="3"/>
    <x v="52"/>
    <x v="32"/>
    <x v="108"/>
    <x v="112"/>
    <s v="1071"/>
    <s v="BLD"/>
    <s v="CS"/>
    <s v="Slab on Grade - ASSUME 300mm thick"/>
    <s v="CS"/>
    <s v="Flooring / Foundations"/>
    <s v="Slab on Grade"/>
    <m/>
    <s v="Waste Management Building - Demolish floor finish - Slab on grade C/W Drainage"/>
    <s v="4540-BLD-001"/>
    <n v="446.09665427509293"/>
    <s v="m2"/>
    <n v="0.125"/>
    <n v="1.875"/>
    <n v="12.48917261904762"/>
    <n v="18.75"/>
    <n v="33.114172619047622"/>
    <n v="55.762081784386616"/>
    <n v="836.43122676579924"/>
    <n v="5571.3781200212434"/>
    <n v="8364.3122676579933"/>
    <n v="14772.121614445035"/>
    <n v="0"/>
    <n v="0"/>
    <n v="1"/>
    <n v="0"/>
    <n v="0"/>
    <n v="1"/>
    <n v="14772.121614445035"/>
    <n v="0"/>
    <n v="0"/>
    <n v="14772.121614445035"/>
    <s v="Type A  _x000a_2AM-MRY1325"/>
    <m/>
    <n v="2014"/>
    <s v="Direct "/>
    <m/>
    <m/>
    <n v="0.33333333333333331"/>
    <n v="0.33333333333333331"/>
    <n v="0.33333333333333331"/>
    <m/>
    <m/>
    <m/>
    <m/>
    <m/>
    <n v="0"/>
    <m/>
    <n v="4924.0405381483451"/>
    <n v="4924.0405381483451"/>
    <n v="4924.0405381483451"/>
    <n v="0"/>
    <n v="0"/>
    <n v="0"/>
    <n v="0"/>
    <n v="0"/>
  </r>
  <r>
    <x v="6"/>
    <x v="6"/>
    <x v="11"/>
    <x v="3"/>
    <x v="19"/>
    <x v="4"/>
    <x v="31"/>
    <x v="12"/>
    <s v="950"/>
    <s v="BLD"/>
    <s v="CS"/>
    <s v="Slab on Grade - ASSUME 300mm thick"/>
    <s v="CS"/>
    <s v="Flooring / Foundations"/>
    <s v="Slab on Grade"/>
    <m/>
    <s v="Welding Shop Building - Demolish floor finish - Slab on grade C/W Drainage"/>
    <s v="4521-BLD-003"/>
    <n v="390.33457249070631"/>
    <s v="m2"/>
    <n v="0.125"/>
    <n v="1.875"/>
    <n v="12.48917261904762"/>
    <n v="18.75"/>
    <n v="33.114172619047622"/>
    <n v="48.791821561338288"/>
    <n v="731.87732342007428"/>
    <n v="4874.9558550185875"/>
    <n v="7318.773234200743"/>
    <n v="12925.606412639405"/>
    <n v="0"/>
    <n v="0"/>
    <n v="1"/>
    <n v="0"/>
    <n v="0"/>
    <n v="1"/>
    <n v="12925.606412639405"/>
    <n v="0"/>
    <n v="0"/>
    <n v="12925.606412639405"/>
    <s v="Type A  _x000a_2AM-MRY1325"/>
    <m/>
    <n v="2014"/>
    <s v="Direct "/>
    <m/>
    <m/>
    <n v="0.33333333333333331"/>
    <n v="0.33333333333333331"/>
    <n v="0.33333333333333331"/>
    <m/>
    <m/>
    <m/>
    <m/>
    <m/>
    <n v="0"/>
    <m/>
    <n v="4308.5354708798013"/>
    <n v="4308.5354708798013"/>
    <n v="4308.5354708798013"/>
    <n v="0"/>
    <n v="0"/>
    <n v="0"/>
    <n v="0"/>
    <n v="0"/>
  </r>
  <r>
    <x v="6"/>
    <x v="6"/>
    <x v="13"/>
    <x v="2"/>
    <x v="25"/>
    <x v="19"/>
    <x v="118"/>
    <x v="119"/>
    <s v="821"/>
    <s v="BLD"/>
    <s v="CP"/>
    <s v="Precast Concrete Foundations - (480 ft2)"/>
    <s v="CP"/>
    <s v="Flooring / Foundations"/>
    <s v="Precast Foundations"/>
    <m/>
    <s v="Truck Weigh Building - Demolish and foundations - Precast Footing (Perimeter Beam)"/>
    <s v="4382-BLD-001"/>
    <n v="334.57249070631968"/>
    <s v="m2"/>
    <n v="0.14520631503408685"/>
    <n v="2.1780947255113023"/>
    <n v="14.50805387069216"/>
    <n v="21.780947255113027"/>
    <n v="38.467095851316493"/>
    <n v="48.582038487240951"/>
    <n v="728.7305773086141"/>
    <n v="4853.9957188189383"/>
    <n v="7287.3057730861428"/>
    <n v="12870.032069213696"/>
    <n v="0.75"/>
    <n v="250.92936802973975"/>
    <n v="1"/>
    <n v="0"/>
    <n v="0"/>
    <n v="1"/>
    <n v="12870.032069213696"/>
    <n v="0"/>
    <n v="0"/>
    <n v="12870.032069213696"/>
    <s v="Type A  _x000a_2AM-MRY1325"/>
    <m/>
    <n v="2014"/>
    <s v="Direct "/>
    <m/>
    <m/>
    <n v="0.33333333333333331"/>
    <n v="0.33333333333333331"/>
    <n v="0.33333333333333331"/>
    <m/>
    <m/>
    <m/>
    <m/>
    <m/>
    <n v="0"/>
    <m/>
    <n v="4290.0106897378982"/>
    <n v="4290.0106897378982"/>
    <n v="4290.0106897378982"/>
    <n v="0"/>
    <n v="0"/>
    <n v="0"/>
    <n v="0"/>
    <n v="0"/>
  </r>
  <r>
    <x v="6"/>
    <x v="6"/>
    <x v="11"/>
    <x v="3"/>
    <x v="19"/>
    <x v="4"/>
    <x v="31"/>
    <x v="12"/>
    <s v="974"/>
    <s v="TK-"/>
    <s v="MT1"/>
    <s v="Light Tanks"/>
    <s v="MT1"/>
    <s v="Mechanical Equipment"/>
    <s v="Light Tanks"/>
    <m/>
    <s v="TANK  - WORKSHOP OFFICE WASHCAR RAW WATER TANK - PLASTIC-MART 866-310-2556  L: 1803  W: 1245  H: 1346 "/>
    <s v="4521-TK-050"/>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m/>
    <n v="2014"/>
    <s v="Direct "/>
    <m/>
    <m/>
    <n v="0.33333333333333331"/>
    <n v="0.33333333333333331"/>
    <n v="0.33333333333333331"/>
    <m/>
    <m/>
    <m/>
    <m/>
    <m/>
    <n v="0"/>
    <m/>
    <n v="716.10978306878314"/>
    <n v="716.10978306878314"/>
    <n v="716.10978306878314"/>
    <n v="0"/>
    <n v="0"/>
    <n v="0"/>
    <n v="0"/>
    <n v="0"/>
  </r>
  <r>
    <x v="6"/>
    <x v="6"/>
    <x v="18"/>
    <x v="11"/>
    <x v="53"/>
    <x v="24"/>
    <x v="116"/>
    <x v="117"/>
    <s v="775"/>
    <s v="BLD"/>
    <s v="CS"/>
    <s v="Slab on Grade - ASSUME 300mm thick"/>
    <s v="CS"/>
    <s v="Flooring / Foundations"/>
    <s v="Slab on Grade"/>
    <m/>
    <s v="Explosives Shop - Demolish floor finish - Slab on grade C/W Drainage"/>
    <s v="4212-BLD-001"/>
    <n v="371.74721189591077"/>
    <s v="m2"/>
    <n v="0.125"/>
    <n v="1.875"/>
    <n v="12.48917261904762"/>
    <n v="18.75"/>
    <n v="33.114172619047622"/>
    <n v="46.468401486988846"/>
    <n v="697.02602230483274"/>
    <n v="4642.8151000177022"/>
    <n v="6970.2602230483271"/>
    <n v="12310.101345370862"/>
    <n v="0"/>
    <n v="0"/>
    <n v="1"/>
    <n v="0"/>
    <n v="0"/>
    <n v="1"/>
    <n v="12310.101345370862"/>
    <n v="0"/>
    <n v="0"/>
    <n v="12310.101345370862"/>
    <s v="Type A  _x000a_2AM-MRY1325"/>
    <m/>
    <n v="2014"/>
    <s v="Direct "/>
    <m/>
    <m/>
    <n v="0.33333333333333331"/>
    <n v="0.33333333333333331"/>
    <n v="0.33333333333333331"/>
    <m/>
    <m/>
    <m/>
    <m/>
    <m/>
    <n v="0"/>
    <m/>
    <n v="4103.3671151236204"/>
    <n v="4103.3671151236204"/>
    <n v="4103.3671151236204"/>
    <n v="0"/>
    <n v="0"/>
    <n v="0"/>
    <n v="0"/>
    <n v="0"/>
  </r>
  <r>
    <x v="6"/>
    <x v="6"/>
    <x v="12"/>
    <x v="8"/>
    <x v="21"/>
    <x v="16"/>
    <x v="34"/>
    <x v="30"/>
    <m/>
    <s v="MO-"/>
    <s v="O2"/>
    <s v="Medium Mobile Equipment"/>
    <s v="O2"/>
    <s v="Mobile Equipment"/>
    <s v="Medium Mobile Equipment"/>
    <m/>
    <s v="B-Train Trailer (for Ore Haul Truck)"/>
    <m/>
    <n v="8"/>
    <s v="ea"/>
    <n v="10"/>
    <n v="45"/>
    <n v="999.13380952380965"/>
    <n v="450"/>
    <n v="1494.1338095238098"/>
    <n v="80"/>
    <n v="360"/>
    <n v="7993.0704761904772"/>
    <n v="3600"/>
    <n v="11953.070476190478"/>
    <n v="24"/>
    <n v="192"/>
    <n v="1"/>
    <n v="0"/>
    <n v="0"/>
    <n v="1"/>
    <n v="11953.070476190478"/>
    <n v="0"/>
    <n v="0"/>
    <n v="11953.070476190478"/>
    <s v="Type A  _x000a_2AM-MRY1325"/>
    <s v="Added"/>
    <n v="2017"/>
    <s v="Direct "/>
    <m/>
    <m/>
    <n v="0.33333333333333331"/>
    <m/>
    <n v="0.33333333333333331"/>
    <m/>
    <m/>
    <m/>
    <m/>
    <n v="0.33333333333333331"/>
    <n v="0"/>
    <m/>
    <n v="3984.356825396826"/>
    <n v="0"/>
    <n v="3984.356825396826"/>
    <n v="0"/>
    <n v="0"/>
    <n v="0"/>
    <n v="0"/>
    <n v="3984.356825396826"/>
  </r>
  <r>
    <x v="6"/>
    <x v="6"/>
    <x v="11"/>
    <x v="3"/>
    <x v="45"/>
    <x v="3"/>
    <x v="124"/>
    <x v="34"/>
    <s v="924"/>
    <s v="BLD"/>
    <s v="FF2"/>
    <s v="Fold Away Building Not Contaminated (480 ft2)"/>
    <s v="FFL"/>
    <s v="Buildings (Not Contaminated)"/>
    <s v="Fold Away Building"/>
    <m/>
    <s v="Emergency Response Garage - Demolish and Decontaminate Building - Fold-away Building (Steel)"/>
    <s v="4513-BLD-002"/>
    <n v="278.81040892193312"/>
    <s v="m2"/>
    <n v="0.15691666666666668"/>
    <n v="2.3537499999999998"/>
    <n v="15.678074694444444"/>
    <n v="23.537499999999998"/>
    <n v="41.569324694444447"/>
    <n v="43.750000000000007"/>
    <n v="656.25"/>
    <n v="4371.2104166666668"/>
    <n v="6562.5"/>
    <n v="11589.960416666667"/>
    <n v="1"/>
    <n v="278.81040892193312"/>
    <n v="1"/>
    <n v="0"/>
    <n v="0"/>
    <n v="1"/>
    <n v="11589.960416666667"/>
    <n v="0"/>
    <n v="0"/>
    <n v="11589.960416666667"/>
    <s v="Type A  _x000a_2AM-MRY1325"/>
    <m/>
    <n v="2014"/>
    <s v="Direct "/>
    <m/>
    <m/>
    <n v="0.33333333333333331"/>
    <n v="0.33333333333333331"/>
    <n v="0.33333333333333331"/>
    <m/>
    <m/>
    <m/>
    <m/>
    <m/>
    <n v="0"/>
    <m/>
    <n v="3863.3201388888888"/>
    <n v="3863.3201388888888"/>
    <n v="3863.3201388888888"/>
    <n v="0"/>
    <n v="0"/>
    <n v="0"/>
    <n v="0"/>
    <n v="0"/>
  </r>
  <r>
    <x v="6"/>
    <x v="6"/>
    <x v="14"/>
    <x v="5"/>
    <x v="27"/>
    <x v="6"/>
    <x v="53"/>
    <x v="26"/>
    <s v="1161"/>
    <s v="VP-"/>
    <s v="VP3"/>
    <s v="VENDOR PKG - Sewage Treatment Plant"/>
    <s v="VP3"/>
    <s v="Packaged_x000a_Facilities"/>
    <s v="Sewage Treatment Plant"/>
    <m/>
    <s v="SEWAGE TREATMENT PLANT VENDOR PACKAGE "/>
    <s v="4731-VP-005"/>
    <n v="1"/>
    <s v="ea"/>
    <n v="51"/>
    <n v="540"/>
    <n v="5095.5824285714289"/>
    <n v="5400"/>
    <n v="11035.58242857143"/>
    <n v="51"/>
    <n v="540"/>
    <n v="5095.5824285714289"/>
    <n v="5400"/>
    <n v="11035.58242857143"/>
    <n v="329.26829268292681"/>
    <n v="329.26829268292681"/>
    <n v="1"/>
    <n v="0"/>
    <n v="1"/>
    <n v="0"/>
    <n v="11035.58242857143"/>
    <n v="0"/>
    <n v="11035.58242857143"/>
    <n v="0"/>
    <s v="Type A  _x000a_2AM-MRY1325"/>
    <m/>
    <n v="2014"/>
    <s v="Direct "/>
    <m/>
    <m/>
    <n v="0.5"/>
    <n v="0.5"/>
    <m/>
    <m/>
    <m/>
    <m/>
    <m/>
    <m/>
    <n v="0"/>
    <m/>
    <n v="5517.7912142857149"/>
    <n v="5517.7912142857149"/>
    <n v="0"/>
    <n v="0"/>
    <n v="0"/>
    <n v="0"/>
    <n v="0"/>
    <n v="0"/>
  </r>
  <r>
    <x v="6"/>
    <x v="6"/>
    <x v="14"/>
    <x v="5"/>
    <x v="27"/>
    <x v="6"/>
    <x v="53"/>
    <x v="26"/>
    <m/>
    <s v="VP-"/>
    <s v="VP3"/>
    <s v="VENDOR PKG - Sewage Treatment Plant"/>
    <s v="VP3"/>
    <s v="Packaged_x000a_Facilities"/>
    <s v="Sewage Treatment Plant"/>
    <m/>
    <s v="Sewage Treatment Plant for 800-person camp at Mine Site"/>
    <m/>
    <n v="1"/>
    <s v="ea"/>
    <n v="51"/>
    <n v="540"/>
    <n v="5095.5824285714289"/>
    <n v="5400"/>
    <n v="11035.58242857143"/>
    <n v="51"/>
    <n v="540"/>
    <n v="5095.5824285714289"/>
    <n v="5400"/>
    <n v="11035.58242857143"/>
    <n v="329.26829268292681"/>
    <n v="329.26829268292681"/>
    <n v="1"/>
    <n v="0"/>
    <n v="1"/>
    <n v="0"/>
    <n v="11035.58242857143"/>
    <n v="0"/>
    <n v="11035.58242857143"/>
    <n v="0"/>
    <s v="Type A  _x000a_2AM-MRY1325"/>
    <s v="Added"/>
    <s v="2017-A"/>
    <s v="Direct "/>
    <m/>
    <m/>
    <n v="0.5"/>
    <n v="0.5"/>
    <m/>
    <m/>
    <m/>
    <m/>
    <m/>
    <m/>
    <n v="0"/>
    <m/>
    <n v="5517.7912142857149"/>
    <n v="5517.7912142857149"/>
    <n v="0"/>
    <n v="0"/>
    <n v="0"/>
    <n v="0"/>
    <n v="0"/>
    <n v="0"/>
  </r>
  <r>
    <x v="6"/>
    <x v="6"/>
    <x v="11"/>
    <x v="3"/>
    <x v="19"/>
    <x v="4"/>
    <x v="31"/>
    <x v="12"/>
    <m/>
    <s v=""/>
    <s v="A3l"/>
    <s v="Grade &amp; Re-Contour with Liner"/>
    <s v="A3l"/>
    <s v="Site Works"/>
    <s v="Grade and Re-Contour With Liner"/>
    <m/>
    <s v="Liner Removal for Soft Wall Maintenance Garage (assume same size as existing on Tote Road)"/>
    <m/>
    <n v="2046"/>
    <s v="m2"/>
    <n v="4.4489880937500004E-2"/>
    <n v="0.17804999999999999"/>
    <n v="4.4489880937499997"/>
    <n v="0.71454534577546303"/>
    <n v="5.3082953457754627"/>
    <n v="91.026296398125012"/>
    <n v="364.29029999999995"/>
    <n v="9102.6296398124996"/>
    <n v="1461.9597774565973"/>
    <n v="10928.879717269097"/>
    <n v="0"/>
    <n v="0"/>
    <n v="1"/>
    <n v="0"/>
    <n v="0"/>
    <n v="1"/>
    <n v="10928.879717269097"/>
    <n v="0"/>
    <n v="0"/>
    <n v="10928.879717269097"/>
    <s v="Type A  _x000a_2AM-MRY1325"/>
    <s v="Added"/>
    <s v="2017-A"/>
    <s v="Direct "/>
    <m/>
    <m/>
    <n v="0.33333333333333331"/>
    <n v="0.33333333333333331"/>
    <n v="0.33333333333333331"/>
    <m/>
    <m/>
    <m/>
    <m/>
    <m/>
    <n v="0"/>
    <m/>
    <n v="3642.9599057563655"/>
    <n v="3642.9599057563655"/>
    <n v="3642.9599057563655"/>
    <n v="0"/>
    <n v="0"/>
    <n v="0"/>
    <n v="0"/>
    <n v="0"/>
  </r>
  <r>
    <x v="6"/>
    <x v="6"/>
    <x v="12"/>
    <x v="8"/>
    <x v="34"/>
    <x v="10"/>
    <x v="94"/>
    <x v="62"/>
    <m/>
    <s v=""/>
    <s v="A3"/>
    <s v="Grade &amp; Re-Contour"/>
    <s v="A2"/>
    <s v="Site Works"/>
    <s v="Grade and Re-Contour"/>
    <s v="Grade and Contour"/>
    <s v="QMR2 Quarry (additional marginal increase in 2017)"/>
    <m/>
    <n v="6000"/>
    <s v="m2"/>
    <n v="1.2689880937499998E-2"/>
    <n v="0.14624999999999999"/>
    <n v="1.2689880937499998"/>
    <n v="0.39654534577546297"/>
    <n v="1.8102953457754629"/>
    <n v="76.139285624999985"/>
    <n v="877.5"/>
    <n v="7613.9285624999984"/>
    <n v="2379.272074652778"/>
    <n v="10870.700637152775"/>
    <n v="0"/>
    <n v="0"/>
    <n v="1"/>
    <n v="0"/>
    <n v="0"/>
    <n v="1"/>
    <n v="10870.700637152775"/>
    <n v="0"/>
    <n v="0"/>
    <n v="10870.700637152775"/>
    <s v="Type A  _x000a_2AM-MRY1325"/>
    <s v="Added"/>
    <n v="2017"/>
    <s v="Direct "/>
    <m/>
    <m/>
    <n v="0.5"/>
    <n v="0.5"/>
    <m/>
    <m/>
    <m/>
    <m/>
    <m/>
    <m/>
    <n v="0"/>
    <m/>
    <n v="5435.3503185763875"/>
    <n v="5435.3503185763875"/>
    <n v="0"/>
    <n v="0"/>
    <n v="0"/>
    <n v="0"/>
    <n v="0"/>
    <n v="0"/>
  </r>
  <r>
    <x v="6"/>
    <x v="6"/>
    <x v="11"/>
    <x v="3"/>
    <x v="45"/>
    <x v="3"/>
    <x v="124"/>
    <x v="34"/>
    <s v="925"/>
    <s v="BLD"/>
    <s v="CP"/>
    <s v="Precast Concrete Foundations - (480 ft2)"/>
    <s v="CP"/>
    <s v="Flooring / Foundations"/>
    <s v="Precast Foundations"/>
    <m/>
    <s v="Emergency Response Garage - Demolish and foundations - Precast Footing (Perimeter Beam)"/>
    <s v="4513-BLD-002"/>
    <n v="278.81040892193312"/>
    <s v="m2"/>
    <n v="0.14520631503408685"/>
    <n v="2.1780947255113023"/>
    <n v="14.50805387069216"/>
    <n v="21.780947255113027"/>
    <n v="38.467095851316493"/>
    <n v="40.485032072700797"/>
    <n v="607.2754810905119"/>
    <n v="4044.9964323491158"/>
    <n v="6072.7548109051195"/>
    <n v="10725.026724344747"/>
    <n v="0.75"/>
    <n v="209.10780669144984"/>
    <n v="1"/>
    <n v="0"/>
    <n v="0"/>
    <n v="1"/>
    <n v="10725.026724344747"/>
    <n v="0"/>
    <n v="0"/>
    <n v="10725.026724344747"/>
    <s v="Type A  _x000a_2AM-MRY1325"/>
    <m/>
    <n v="2014"/>
    <s v="Direct "/>
    <m/>
    <m/>
    <n v="0.33333333333333331"/>
    <n v="0.33333333333333331"/>
    <n v="0.33333333333333331"/>
    <m/>
    <m/>
    <m/>
    <m/>
    <m/>
    <n v="0"/>
    <m/>
    <n v="3575.0089081149154"/>
    <n v="3575.0089081149154"/>
    <n v="3575.0089081149154"/>
    <n v="0"/>
    <n v="0"/>
    <n v="0"/>
    <n v="0"/>
    <n v="0"/>
  </r>
  <r>
    <x v="6"/>
    <x v="6"/>
    <x v="12"/>
    <x v="8"/>
    <x v="34"/>
    <x v="10"/>
    <x v="66"/>
    <x v="54"/>
    <m/>
    <m/>
    <s v="A3"/>
    <s v="Grade &amp; Re-Contour"/>
    <s v="A2"/>
    <s v="Site Works"/>
    <s v="Grade and Re-Contour"/>
    <s v="Grade and Contour"/>
    <s v="Laydown Pad development (Crusher Pad Expansion Access Road)"/>
    <m/>
    <n v="2750"/>
    <s v="m2"/>
    <n v="1.2689880937499998E-2"/>
    <n v="0.14624999999999999"/>
    <n v="1.2689880937499998"/>
    <n v="0.39654534577546297"/>
    <n v="1.8102953457754629"/>
    <n v="34.897172578124994"/>
    <n v="402.1875"/>
    <n v="3489.7172578124992"/>
    <n v="1090.4997008825233"/>
    <n v="4978.312200882523"/>
    <n v="0"/>
    <n v="0"/>
    <n v="1"/>
    <n v="0"/>
    <n v="0"/>
    <n v="1"/>
    <n v="4978.312200882523"/>
    <n v="0"/>
    <n v="0"/>
    <n v="4978.312200882523"/>
    <s v="Type A  _x000a_2AM-MRY1325"/>
    <s v="Added"/>
    <n v="2018"/>
    <s v="Direct "/>
    <m/>
    <m/>
    <n v="0.33333333333333331"/>
    <n v="0.33333333333333331"/>
    <n v="0.33333333333333331"/>
    <m/>
    <m/>
    <m/>
    <m/>
    <m/>
    <n v="0"/>
    <m/>
    <n v="1659.4374002941743"/>
    <n v="1659.4374002941743"/>
    <n v="1659.4374002941743"/>
    <n v="0"/>
    <n v="0"/>
    <n v="0"/>
    <n v="0"/>
    <n v="0"/>
  </r>
  <r>
    <x v="5"/>
    <x v="5"/>
    <x v="10"/>
    <x v="8"/>
    <x v="42"/>
    <x v="21"/>
    <x v="98"/>
    <x v="99"/>
    <s v="504"/>
    <s v="BLD"/>
    <s v="FF4"/>
    <s v="ISO Container"/>
    <s v="FC"/>
    <s v="Buildings (Not Contaminated)"/>
    <s v="ISO Shipping Containers"/>
    <m/>
    <s v="IT Towers Communication Sheds (10 units at 15m2 ea)"/>
    <m/>
    <n v="150"/>
    <s v="m2"/>
    <n v="0.11208333333333333"/>
    <n v="1.6812499999999999"/>
    <n v="11.198624781746032"/>
    <n v="16.8125"/>
    <n v="29.692374781746032"/>
    <n v="16.8125"/>
    <n v="252.1875"/>
    <n v="1679.7937172619047"/>
    <n v="2521.875"/>
    <n v="4453.8562172619049"/>
    <n v="1"/>
    <n v="150"/>
    <n v="1"/>
    <n v="0"/>
    <n v="0"/>
    <n v="1"/>
    <n v="4453.8562172619049"/>
    <n v="0"/>
    <n v="0"/>
    <n v="4453.8562172619049"/>
    <s v="Type A  _x000a_2AM-MRY1325"/>
    <s v="Added"/>
    <s v="2018-R"/>
    <s v="Direct "/>
    <m/>
    <m/>
    <n v="0.33333333333333331"/>
    <n v="0.33333333333333331"/>
    <n v="0.33333333333333331"/>
    <m/>
    <m/>
    <m/>
    <m/>
    <m/>
    <n v="0"/>
    <m/>
    <n v="1484.6187390873015"/>
    <n v="1484.6187390873015"/>
    <n v="1484.6187390873015"/>
    <n v="0"/>
    <n v="0"/>
    <n v="0"/>
    <n v="0"/>
    <n v="0"/>
  </r>
  <r>
    <x v="6"/>
    <x v="6"/>
    <x v="20"/>
    <x v="12"/>
    <x v="60"/>
    <x v="28"/>
    <x v="125"/>
    <x v="70"/>
    <m/>
    <s v=""/>
    <s v="A3"/>
    <s v="Grade &amp; Re-Contour"/>
    <s v="A2"/>
    <s v="Site Works"/>
    <s v="Grade and Re-Contour"/>
    <m/>
    <s v="Heli Pad"/>
    <m/>
    <n v="5776"/>
    <s v="m2"/>
    <n v="1.2689880937499998E-2"/>
    <n v="0.14624999999999999"/>
    <n v="1.2689880937499998"/>
    <n v="0.39654534577546297"/>
    <n v="1.8102953457754629"/>
    <n v="73.29675229499999"/>
    <n v="844.7399999999999"/>
    <n v="7329.6752294999987"/>
    <n v="2290.4459171990743"/>
    <n v="10464.861146699073"/>
    <n v="0"/>
    <n v="0"/>
    <n v="1"/>
    <n v="0"/>
    <n v="0"/>
    <n v="1"/>
    <n v="10464.861146699073"/>
    <n v="0"/>
    <n v="0"/>
    <n v="10464.861146699073"/>
    <s v="Type A  _x000a_2AM-MRY1325"/>
    <m/>
    <n v="2014"/>
    <s v="Direct "/>
    <m/>
    <m/>
    <n v="0.33333333333333331"/>
    <n v="0.33333333333333331"/>
    <n v="0.33333333333333331"/>
    <m/>
    <m/>
    <m/>
    <m/>
    <m/>
    <n v="0"/>
    <m/>
    <n v="3488.2870488996909"/>
    <n v="3488.2870488996909"/>
    <n v="3488.2870488996909"/>
    <n v="0"/>
    <n v="0"/>
    <n v="0"/>
    <n v="0"/>
    <n v="0"/>
  </r>
  <r>
    <x v="6"/>
    <x v="6"/>
    <x v="21"/>
    <x v="6"/>
    <x v="57"/>
    <x v="35"/>
    <x v="126"/>
    <x v="11"/>
    <m/>
    <s v=""/>
    <s v="A3l"/>
    <s v="Grade &amp; Re-Contour with Liner"/>
    <s v="A3l"/>
    <s v="Site Works"/>
    <s v="Grade and Re-Contour With Liner"/>
    <m/>
    <s v="Fuel Farm Tank Dike"/>
    <m/>
    <n v="1911.3"/>
    <s v="m2"/>
    <n v="4.4489880937500004E-2"/>
    <n v="0.17804999999999999"/>
    <n v="4.4489880937499997"/>
    <n v="0.71454534577546303"/>
    <n v="5.3082953457754627"/>
    <n v="85.033509435843754"/>
    <n v="340.30696499999999"/>
    <n v="8503.3509435843735"/>
    <n v="1365.7105193806424"/>
    <n v="10209.368427965015"/>
    <n v="0"/>
    <n v="0"/>
    <n v="1"/>
    <n v="0"/>
    <n v="0"/>
    <n v="1"/>
    <n v="10209.368427965015"/>
    <n v="0"/>
    <n v="0"/>
    <n v="10209.368427965015"/>
    <s v="Type A  _x000a_2AM-MRY1325"/>
    <m/>
    <n v="2014"/>
    <s v="Direct "/>
    <m/>
    <m/>
    <n v="0.5"/>
    <n v="0.5"/>
    <m/>
    <m/>
    <m/>
    <m/>
    <m/>
    <m/>
    <n v="0"/>
    <m/>
    <n v="5104.6842139825076"/>
    <n v="5104.6842139825076"/>
    <n v="0"/>
    <n v="0"/>
    <n v="0"/>
    <n v="0"/>
    <n v="0"/>
    <n v="0"/>
  </r>
  <r>
    <x v="6"/>
    <x v="6"/>
    <x v="11"/>
    <x v="3"/>
    <x v="52"/>
    <x v="32"/>
    <x v="108"/>
    <x v="112"/>
    <s v="1083"/>
    <s v="VP-"/>
    <s v="VP1"/>
    <s v="VENDOR PKG - Incenerator"/>
    <s v="VP1"/>
    <s v="Packaged_x000a_Facilities"/>
    <s v="Incinerator"/>
    <m/>
    <s v="WASTE INCINERATOR VENDOR PACKAGE "/>
    <s v="4540-VP-001"/>
    <n v="1"/>
    <s v="ea"/>
    <n v="47"/>
    <n v="480"/>
    <n v="4695.928904761905"/>
    <n v="4800"/>
    <n v="9975.9289047619059"/>
    <n v="47"/>
    <n v="480"/>
    <n v="4695.928904761905"/>
    <n v="4800"/>
    <n v="9975.9289047619059"/>
    <n v="329.26829268292681"/>
    <n v="329.26829268292681"/>
    <n v="1"/>
    <n v="0"/>
    <n v="0"/>
    <n v="1"/>
    <n v="9975.9289047619059"/>
    <n v="0"/>
    <n v="0"/>
    <n v="9975.9289047619059"/>
    <s v="Type A  _x000a_2AM-MRY1325"/>
    <m/>
    <n v="2014"/>
    <s v="Direct "/>
    <m/>
    <m/>
    <n v="0.33333333333333331"/>
    <n v="0.33333333333333331"/>
    <n v="0.33333333333333331"/>
    <m/>
    <m/>
    <m/>
    <m/>
    <m/>
    <n v="0"/>
    <m/>
    <n v="3325.3096349206353"/>
    <n v="3325.3096349206353"/>
    <n v="3325.3096349206353"/>
    <n v="0"/>
    <n v="0"/>
    <n v="0"/>
    <n v="0"/>
    <n v="0"/>
  </r>
  <r>
    <x v="6"/>
    <x v="6"/>
    <x v="14"/>
    <x v="5"/>
    <x v="55"/>
    <x v="17"/>
    <x v="120"/>
    <x v="31"/>
    <s v="1148"/>
    <s v="VP-"/>
    <s v="VP2"/>
    <s v="VENDOR PKG - Potable Water"/>
    <s v="VP2"/>
    <s v="Packaged_x000a_Facilities"/>
    <s v="Potable Water"/>
    <m/>
    <s v="POTABLE WATER TREATMENT PLANT VENDOR PACKAGE "/>
    <s v="4720-VP-020"/>
    <n v="1"/>
    <s v="ea"/>
    <n v="47"/>
    <n v="480"/>
    <n v="4695.928904761905"/>
    <n v="4800"/>
    <n v="9975.9289047619059"/>
    <n v="47"/>
    <n v="480"/>
    <n v="4695.928904761905"/>
    <n v="4800"/>
    <n v="9975.9289047619059"/>
    <n v="329.26829268292681"/>
    <n v="329.26829268292681"/>
    <n v="1"/>
    <n v="0"/>
    <n v="1"/>
    <n v="0"/>
    <n v="9975.9289047619059"/>
    <n v="0"/>
    <n v="9975.9289047619059"/>
    <n v="0"/>
    <s v="Type A  _x000a_2AM-MRY1325"/>
    <m/>
    <n v="2014"/>
    <s v="Direct "/>
    <m/>
    <m/>
    <n v="0.33333333333333331"/>
    <n v="0.33333333333333331"/>
    <n v="0.33333333333333331"/>
    <m/>
    <m/>
    <m/>
    <m/>
    <m/>
    <n v="0"/>
    <m/>
    <n v="3325.3096349206353"/>
    <n v="3325.3096349206353"/>
    <n v="3325.3096349206353"/>
    <n v="0"/>
    <n v="0"/>
    <n v="0"/>
    <n v="0"/>
    <n v="0"/>
  </r>
  <r>
    <x v="6"/>
    <x v="6"/>
    <x v="11"/>
    <x v="3"/>
    <x v="52"/>
    <x v="32"/>
    <x v="108"/>
    <x v="112"/>
    <m/>
    <s v="VP-"/>
    <s v="VP1"/>
    <s v="VENDOR PKG - Incenerator"/>
    <s v="VP1"/>
    <s v="Packaged_x000a_Facilities"/>
    <s v="Incinerator"/>
    <m/>
    <s v="Incinerator for 380-person camp at Mine Site"/>
    <m/>
    <n v="1"/>
    <s v="ea"/>
    <n v="47"/>
    <n v="480"/>
    <n v="4695.928904761905"/>
    <n v="4800"/>
    <n v="9975.9289047619059"/>
    <n v="47"/>
    <n v="480"/>
    <n v="4695.928904761905"/>
    <n v="4800"/>
    <n v="9975.9289047619059"/>
    <n v="329.26829268292681"/>
    <n v="329.26829268292681"/>
    <n v="1"/>
    <n v="0"/>
    <n v="0"/>
    <n v="1"/>
    <n v="9975.9289047619059"/>
    <n v="0"/>
    <n v="0"/>
    <n v="9975.9289047619059"/>
    <s v="Type A  _x000a_2AM-MRY1325"/>
    <s v="Added"/>
    <s v="2017-A"/>
    <s v="Direct "/>
    <m/>
    <m/>
    <n v="0.33333333333333331"/>
    <n v="0.33333333333333331"/>
    <n v="0.33333333333333331"/>
    <m/>
    <m/>
    <m/>
    <m/>
    <m/>
    <n v="0"/>
    <m/>
    <n v="3325.3096349206353"/>
    <n v="3325.3096349206353"/>
    <n v="3325.3096349206353"/>
    <n v="0"/>
    <n v="0"/>
    <n v="0"/>
    <n v="0"/>
    <n v="0"/>
  </r>
  <r>
    <x v="6"/>
    <x v="6"/>
    <x v="14"/>
    <x v="5"/>
    <x v="55"/>
    <x v="17"/>
    <x v="120"/>
    <x v="31"/>
    <s v="1148"/>
    <s v="VP-"/>
    <s v="VP2"/>
    <s v="VENDOR PKG - Potable Water"/>
    <s v="VP2"/>
    <s v="Packaged_x000a_Facilities"/>
    <s v="Potable Water"/>
    <m/>
    <s v="Potable Water System for 800-person camp at Mine Site"/>
    <m/>
    <n v="1"/>
    <s v="ea"/>
    <n v="47"/>
    <n v="480"/>
    <n v="4695.928904761905"/>
    <n v="4800"/>
    <n v="9975.9289047619059"/>
    <n v="47"/>
    <n v="480"/>
    <n v="4695.928904761905"/>
    <n v="4800"/>
    <n v="9975.9289047619059"/>
    <n v="329.26829268292681"/>
    <n v="329.26829268292681"/>
    <n v="1"/>
    <n v="0"/>
    <n v="1"/>
    <n v="0"/>
    <n v="9975.9289047619059"/>
    <n v="0"/>
    <n v="9975.9289047619059"/>
    <n v="0"/>
    <s v="Type A  _x000a_2AM-MRY1325"/>
    <s v="Added"/>
    <s v="2017-A"/>
    <s v="Direct "/>
    <m/>
    <m/>
    <n v="0.33333333333333331"/>
    <n v="0.33333333333333331"/>
    <n v="0.33333333333333331"/>
    <m/>
    <m/>
    <m/>
    <m/>
    <m/>
    <n v="0"/>
    <m/>
    <n v="3325.3096349206353"/>
    <n v="3325.3096349206353"/>
    <n v="3325.3096349206353"/>
    <n v="0"/>
    <n v="0"/>
    <n v="0"/>
    <n v="0"/>
    <n v="0"/>
  </r>
  <r>
    <x v="6"/>
    <x v="6"/>
    <x v="11"/>
    <x v="3"/>
    <x v="61"/>
    <x v="18"/>
    <x v="127"/>
    <x v="35"/>
    <s v="1059"/>
    <s v="BLD"/>
    <s v="FF1-c"/>
    <s v="Modular Building Contaminated (480 ft2) "/>
    <s v="FS-c"/>
    <s v="Buildings (Contaminated)"/>
    <s v="Prefabricated Special Modular"/>
    <m/>
    <s v="Power Generation E-House #1 - Demolish and Decontaminate Building - Special Modular / Prefabricated"/>
    <s v="4530-BLD-007"/>
    <n v="66.914498141263948"/>
    <s v="m2"/>
    <n v="0.56041666666666667"/>
    <n v="3.3624999999999998"/>
    <n v="55.993123908730162"/>
    <n v="84.0625"/>
    <n v="143.41812390873017"/>
    <n v="37.500000000000007"/>
    <n v="225"/>
    <n v="3746.7517857142861"/>
    <n v="5625.0000000000009"/>
    <n v="9596.7517857142866"/>
    <n v="1"/>
    <n v="66.914498141263948"/>
    <n v="1"/>
    <n v="0"/>
    <n v="0"/>
    <n v="1"/>
    <n v="9596.7517857142866"/>
    <n v="0"/>
    <n v="0"/>
    <n v="9596.7517857142866"/>
    <s v="Type A  _x000a_2AM-MRY1325"/>
    <m/>
    <n v="2014"/>
    <s v="Direct "/>
    <m/>
    <m/>
    <n v="0.33333333333333331"/>
    <n v="0.33333333333333331"/>
    <n v="0.33333333333333331"/>
    <m/>
    <m/>
    <m/>
    <m/>
    <m/>
    <n v="0"/>
    <m/>
    <n v="3198.9172619047622"/>
    <n v="3198.9172619047622"/>
    <n v="3198.9172619047622"/>
    <n v="0"/>
    <n v="0"/>
    <n v="0"/>
    <n v="0"/>
    <n v="0"/>
  </r>
  <r>
    <x v="6"/>
    <x v="6"/>
    <x v="11"/>
    <x v="3"/>
    <x v="61"/>
    <x v="18"/>
    <x v="127"/>
    <x v="35"/>
    <s v="1062"/>
    <s v="BLD"/>
    <s v="FF1-c"/>
    <s v="Modular Building Contaminated (480 ft2) "/>
    <s v="FS-c"/>
    <s v="Buildings (Contaminated)"/>
    <s v="Prefabricated Special Modular"/>
    <m/>
    <s v="Power Generation E-House #2 - Demolish and Decontaminate Building - Special Modular / Prefabricated"/>
    <s v="4530-BLD-008"/>
    <n v="66.914498141263948"/>
    <s v="m2"/>
    <n v="0.56041666666666667"/>
    <n v="3.3624999999999998"/>
    <n v="55.993123908730162"/>
    <n v="84.0625"/>
    <n v="143.41812390873017"/>
    <n v="37.500000000000007"/>
    <n v="225"/>
    <n v="3746.7517857142861"/>
    <n v="5625.0000000000009"/>
    <n v="9596.7517857142866"/>
    <n v="1"/>
    <n v="66.914498141263948"/>
    <n v="1"/>
    <n v="0"/>
    <n v="0"/>
    <n v="1"/>
    <n v="9596.7517857142866"/>
    <n v="0"/>
    <n v="0"/>
    <n v="9596.7517857142866"/>
    <s v="Type A  _x000a_2AM-MRY1325"/>
    <m/>
    <n v="2014"/>
    <s v="Direct "/>
    <m/>
    <m/>
    <n v="0.33333333333333331"/>
    <n v="0.33333333333333331"/>
    <n v="0.33333333333333331"/>
    <m/>
    <m/>
    <m/>
    <m/>
    <m/>
    <n v="0"/>
    <m/>
    <n v="3198.9172619047622"/>
    <n v="3198.9172619047622"/>
    <n v="3198.9172619047622"/>
    <n v="0"/>
    <n v="0"/>
    <n v="0"/>
    <n v="0"/>
    <n v="0"/>
  </r>
  <r>
    <x v="6"/>
    <x v="6"/>
    <x v="13"/>
    <x v="2"/>
    <x v="40"/>
    <x v="19"/>
    <x v="47"/>
    <x v="37"/>
    <m/>
    <s v=""/>
    <s v="A3"/>
    <s v="Grade &amp; Re-Contour"/>
    <s v="A2"/>
    <s v="Site Works"/>
    <s v="Grade and Re-Contour"/>
    <s v="Grade and Contour"/>
    <s v="Ore Stockpiles"/>
    <m/>
    <n v="5100.2299999999996"/>
    <s v="m2"/>
    <n v="1.2689880937499998E-2"/>
    <n v="0.14624999999999999"/>
    <n v="1.2689880937499998"/>
    <n v="0.39654534577546297"/>
    <n v="1.8102953457754629"/>
    <n v="64.72131145386561"/>
    <n v="745.90863749999994"/>
    <n v="6472.131145386561"/>
    <n v="2022.4724688843894"/>
    <n v="9240.5122517709497"/>
    <n v="0"/>
    <n v="0"/>
    <n v="1"/>
    <n v="0"/>
    <n v="0"/>
    <n v="1"/>
    <n v="9240.5122517709497"/>
    <n v="0"/>
    <n v="0"/>
    <n v="9240.5122517709497"/>
    <s v="Type A  _x000a_2AM-MRY1325"/>
    <m/>
    <n v="2014"/>
    <s v="Direct "/>
    <m/>
    <m/>
    <n v="0.33333333333333331"/>
    <n v="0.33333333333333331"/>
    <n v="0.33333333333333331"/>
    <m/>
    <m/>
    <m/>
    <m/>
    <m/>
    <n v="0"/>
    <m/>
    <n v="3080.1707505903164"/>
    <n v="3080.1707505903164"/>
    <n v="3080.1707505903164"/>
    <n v="0"/>
    <n v="0"/>
    <n v="0"/>
    <n v="0"/>
    <n v="0"/>
  </r>
  <r>
    <x v="6"/>
    <x v="6"/>
    <x v="11"/>
    <x v="3"/>
    <x v="45"/>
    <x v="3"/>
    <x v="124"/>
    <x v="34"/>
    <s v="926"/>
    <s v="BLD"/>
    <s v="CS"/>
    <s v="Slab on Grade - ASSUME 300mm thick"/>
    <s v="CS"/>
    <s v="Flooring / Foundations"/>
    <s v="Slab on Grade"/>
    <m/>
    <s v="Emergency Response Garage - Demolish floor finish - Slab on grade C/W Drainage"/>
    <s v="4513-BLD-002"/>
    <n v="278.81040892193312"/>
    <s v="m2"/>
    <n v="0.125"/>
    <n v="1.875"/>
    <n v="12.48917261904762"/>
    <n v="18.75"/>
    <n v="33.114172619047622"/>
    <n v="34.85130111524164"/>
    <n v="522.76951672862458"/>
    <n v="3482.1113250132776"/>
    <n v="5227.695167286246"/>
    <n v="9232.5760090281474"/>
    <n v="0"/>
    <n v="0"/>
    <n v="1"/>
    <n v="0"/>
    <n v="0"/>
    <n v="1"/>
    <n v="9232.5760090281474"/>
    <n v="0"/>
    <n v="0"/>
    <n v="9232.5760090281474"/>
    <s v="Type A  _x000a_2AM-MRY1325"/>
    <m/>
    <n v="2014"/>
    <s v="Direct "/>
    <m/>
    <m/>
    <n v="0.33333333333333331"/>
    <n v="0.33333333333333331"/>
    <n v="0.33333333333333331"/>
    <m/>
    <m/>
    <m/>
    <m/>
    <m/>
    <n v="0"/>
    <m/>
    <n v="3077.5253363427155"/>
    <n v="3077.5253363427155"/>
    <n v="3077.5253363427155"/>
    <n v="0"/>
    <n v="0"/>
    <n v="0"/>
    <n v="0"/>
    <n v="0"/>
  </r>
  <r>
    <x v="1"/>
    <x v="1"/>
    <x v="3"/>
    <x v="3"/>
    <x v="5"/>
    <x v="4"/>
    <x v="20"/>
    <x v="17"/>
    <s v="302"/>
    <s v="SQ-"/>
    <s v="MM2"/>
    <s v="Medium Equipment"/>
    <s v="MM2"/>
    <s v="Mechanical Equipment"/>
    <s v="Medium Equipment"/>
    <s v="3rd party Equipment"/>
    <s v="Generator 114 kW"/>
    <m/>
    <n v="1"/>
    <s v="ea"/>
    <n v="19.2"/>
    <n v="213"/>
    <n v="1918.3369142857146"/>
    <n v="2130"/>
    <n v="4261.3369142857146"/>
    <n v="19.2"/>
    <n v="213"/>
    <n v="1918.3369142857146"/>
    <n v="2130"/>
    <n v="4261.3369142857146"/>
    <n v="1"/>
    <n v="1"/>
    <n v="1"/>
    <n v="0"/>
    <n v="0"/>
    <n v="1"/>
    <n v="4261.3369142857146"/>
    <n v="0"/>
    <n v="0"/>
    <n v="4261.3369142857146"/>
    <s v="Type A  _x000a_2AM-MRY1325"/>
    <s v="Added"/>
    <n v="2018"/>
    <s v="Direct "/>
    <m/>
    <m/>
    <n v="0.33333333333333331"/>
    <m/>
    <n v="0.33333333333333331"/>
    <m/>
    <m/>
    <m/>
    <m/>
    <n v="0.33333333333333331"/>
    <n v="0"/>
    <m/>
    <n v="1420.4456380952381"/>
    <n v="0"/>
    <n v="1420.4456380952381"/>
    <n v="0"/>
    <n v="0"/>
    <n v="0"/>
    <n v="0"/>
    <n v="1420.4456380952381"/>
  </r>
  <r>
    <x v="1"/>
    <x v="1"/>
    <x v="3"/>
    <x v="3"/>
    <x v="5"/>
    <x v="4"/>
    <x v="20"/>
    <x v="17"/>
    <s v="302"/>
    <s v="SQ-"/>
    <s v="MM2"/>
    <s v="Medium Equipment"/>
    <s v="MM2"/>
    <s v="Mechanical Equipment"/>
    <s v="Medium Equipment"/>
    <s v="3rd party Equipment"/>
    <s v="Generator 150 kVA, Generator 250 kVA, Generator 30 kVA, Generator 100 kVA"/>
    <m/>
    <n v="1"/>
    <s v="ea"/>
    <n v="19.2"/>
    <n v="213"/>
    <n v="1918.3369142857146"/>
    <n v="2130"/>
    <n v="4261.3369142857146"/>
    <n v="19.2"/>
    <n v="213"/>
    <n v="1918.3369142857146"/>
    <n v="2130"/>
    <n v="4261.3369142857146"/>
    <n v="1"/>
    <n v="1"/>
    <n v="1"/>
    <n v="0"/>
    <n v="0"/>
    <n v="1"/>
    <n v="4261.3369142857146"/>
    <n v="0"/>
    <n v="0"/>
    <n v="4261.3369142857146"/>
    <s v="Type A  _x000a_2AM-MRY1325"/>
    <s v="Added"/>
    <n v="2018"/>
    <s v="Direct "/>
    <m/>
    <m/>
    <n v="0.33333333333333331"/>
    <m/>
    <n v="0.33333333333333331"/>
    <m/>
    <m/>
    <m/>
    <m/>
    <n v="0.33333333333333331"/>
    <n v="0"/>
    <m/>
    <n v="1420.4456380952381"/>
    <n v="0"/>
    <n v="1420.4456380952381"/>
    <n v="0"/>
    <n v="0"/>
    <n v="0"/>
    <n v="0"/>
    <n v="1420.4456380952381"/>
  </r>
  <r>
    <x v="6"/>
    <x v="6"/>
    <x v="13"/>
    <x v="2"/>
    <x v="25"/>
    <x v="19"/>
    <x v="47"/>
    <x v="37"/>
    <m/>
    <s v="COB"/>
    <s v="MM2"/>
    <s v="Medium Equipment"/>
    <s v="MM2"/>
    <s v="Mechanical Equipment"/>
    <s v="Medium Equipment"/>
    <s v="Chain Conveyor"/>
    <s v="Chain Conveyor (1 for under jaw crusher, 1 for under crusher bin)"/>
    <m/>
    <n v="2"/>
    <s v="ea"/>
    <n v="19.2"/>
    <n v="213"/>
    <n v="1918.3369142857146"/>
    <n v="2130"/>
    <n v="4261.3369142857146"/>
    <n v="38.4"/>
    <n v="426"/>
    <n v="3836.6738285714291"/>
    <n v="4260"/>
    <n v="8522.6738285714291"/>
    <n v="1"/>
    <n v="2"/>
    <n v="1"/>
    <n v="0"/>
    <n v="0"/>
    <n v="1"/>
    <n v="8522.6738285714291"/>
    <n v="0"/>
    <n v="0"/>
    <n v="8522.6738285714291"/>
    <s v="Type A  _x000a_2AM-MRY1325"/>
    <s v="Added"/>
    <n v="2017"/>
    <s v="Direct "/>
    <m/>
    <m/>
    <n v="0.33333333333333331"/>
    <m/>
    <n v="0.33333333333333331"/>
    <m/>
    <m/>
    <m/>
    <m/>
    <n v="0.33333333333333331"/>
    <n v="0"/>
    <m/>
    <n v="2840.8912761904762"/>
    <n v="0"/>
    <n v="2840.8912761904762"/>
    <n v="0"/>
    <n v="0"/>
    <n v="0"/>
    <n v="0"/>
    <n v="2840.8912761904762"/>
  </r>
  <r>
    <x v="6"/>
    <x v="6"/>
    <x v="11"/>
    <x v="3"/>
    <x v="61"/>
    <x v="19"/>
    <x v="127"/>
    <x v="122"/>
    <m/>
    <s v="GE-"/>
    <s v="MM2"/>
    <s v="Medium Equipment"/>
    <s v="MM2"/>
    <s v="Mechanical Equipment"/>
    <s v="Medium Equipment"/>
    <s v="Generator"/>
    <s v="Generator for 380-person temporary soft-walled camp"/>
    <m/>
    <n v="2"/>
    <s v="ea"/>
    <n v="19.2"/>
    <n v="213"/>
    <n v="1918.3369142857146"/>
    <n v="2130"/>
    <n v="4261.3369142857146"/>
    <n v="38.4"/>
    <n v="426"/>
    <n v="3836.6738285714291"/>
    <n v="4260"/>
    <n v="8522.6738285714291"/>
    <n v="1"/>
    <n v="2"/>
    <n v="1"/>
    <n v="0"/>
    <n v="0"/>
    <n v="1"/>
    <n v="8522.6738285714291"/>
    <n v="0"/>
    <n v="0"/>
    <n v="8522.6738285714291"/>
    <s v="Type A  _x000a_2AM-MRY1325"/>
    <s v="Added"/>
    <s v="2017-A"/>
    <s v="Direct "/>
    <m/>
    <m/>
    <n v="0.33333333333333331"/>
    <m/>
    <n v="0.33333333333333331"/>
    <m/>
    <m/>
    <m/>
    <m/>
    <n v="0.33333333333333331"/>
    <n v="0"/>
    <m/>
    <n v="2840.8912761904762"/>
    <n v="0"/>
    <n v="2840.8912761904762"/>
    <n v="0"/>
    <n v="0"/>
    <n v="0"/>
    <n v="0"/>
    <n v="2840.8912761904762"/>
  </r>
  <r>
    <x v="6"/>
    <x v="6"/>
    <x v="14"/>
    <x v="5"/>
    <x v="27"/>
    <x v="6"/>
    <x v="128"/>
    <x v="36"/>
    <s v="1165"/>
    <s v="BLD"/>
    <s v="FF2-c"/>
    <s v="Fold Away Building Contaminated (480 ft2)"/>
    <s v="FFL-c"/>
    <s v="Buildings (Contaminated)"/>
    <s v="Fold Away Building"/>
    <m/>
    <s v="Sewage Truck Building - Demolish and Decontaminate Building - Fold-away Building (Steel)"/>
    <s v="4732-BLD-001"/>
    <n v="55.762081784386616"/>
    <s v="m2"/>
    <n v="0.56041666666666667"/>
    <n v="2.3537499999999998"/>
    <n v="55.993123908730162"/>
    <n v="84.0625"/>
    <n v="142.40937390873017"/>
    <n v="31.25"/>
    <n v="131.25"/>
    <n v="3122.293154761905"/>
    <n v="4687.5"/>
    <n v="7941.0431547619046"/>
    <n v="1"/>
    <n v="55.762081784386616"/>
    <n v="1"/>
    <n v="0"/>
    <n v="0"/>
    <n v="1"/>
    <n v="7941.0431547619046"/>
    <n v="0"/>
    <n v="0"/>
    <n v="7941.0431547619046"/>
    <s v="Type A  _x000a_2AM-MRY1325"/>
    <m/>
    <n v="2014"/>
    <s v="Direct "/>
    <m/>
    <m/>
    <n v="0.5"/>
    <n v="0.5"/>
    <m/>
    <m/>
    <m/>
    <m/>
    <m/>
    <m/>
    <n v="0"/>
    <m/>
    <n v="3970.5215773809523"/>
    <n v="3970.5215773809523"/>
    <n v="0"/>
    <n v="0"/>
    <n v="0"/>
    <n v="0"/>
    <n v="0"/>
    <n v="0"/>
  </r>
  <r>
    <x v="6"/>
    <x v="6"/>
    <x v="11"/>
    <x v="3"/>
    <x v="19"/>
    <x v="4"/>
    <x v="114"/>
    <x v="17"/>
    <m/>
    <s v="HOB"/>
    <s v="MM1"/>
    <s v="Light Equimpent"/>
    <s v="MM1"/>
    <s v="Mechanical Equipment"/>
    <s v="Light Equipment"/>
    <s v="Hot Box"/>
    <s v="Hot Box Heater "/>
    <s v="MR-FAC-POH-020"/>
    <n v="4"/>
    <s v="ea"/>
    <n v="8.1"/>
    <n v="106.5"/>
    <n v="809.29838571428581"/>
    <n v="1065"/>
    <n v="1980.7983857142858"/>
    <n v="32.4"/>
    <n v="426"/>
    <n v="3237.1935428571433"/>
    <n v="4260"/>
    <n v="7923.1935428571433"/>
    <n v="0.5"/>
    <n v="2"/>
    <n v="1"/>
    <n v="0"/>
    <n v="0"/>
    <n v="1"/>
    <n v="7923.1935428571433"/>
    <n v="0"/>
    <n v="0"/>
    <n v="7923.1935428571433"/>
    <s v="Type A  _x000a_2AM-MRY1325"/>
    <s v="Added"/>
    <s v="2015 R"/>
    <s v="Direct "/>
    <m/>
    <m/>
    <n v="0.33333333333333331"/>
    <m/>
    <n v="0.33333333333333331"/>
    <m/>
    <m/>
    <m/>
    <m/>
    <n v="0.33333333333333331"/>
    <n v="0"/>
    <m/>
    <n v="2641.0645142857143"/>
    <n v="0"/>
    <n v="2641.0645142857143"/>
    <n v="0"/>
    <n v="0"/>
    <n v="0"/>
    <n v="0"/>
    <n v="2641.0645142857143"/>
  </r>
  <r>
    <x v="6"/>
    <x v="6"/>
    <x v="12"/>
    <x v="8"/>
    <x v="21"/>
    <x v="16"/>
    <x v="39"/>
    <x v="30"/>
    <m/>
    <s v="MO-"/>
    <s v="O3"/>
    <s v="Heavy Mobile Equipment"/>
    <s v="O3"/>
    <s v="Mobile Equipment"/>
    <s v="Heavy Mobile Equipment"/>
    <s v="3rd Party Equipment"/>
    <s v="Piling Rig"/>
    <m/>
    <n v="3"/>
    <s v="ea"/>
    <n v="13"/>
    <n v="120"/>
    <n v="1298.8739523809525"/>
    <n v="1200"/>
    <n v="2618.8739523809527"/>
    <n v="39"/>
    <n v="360"/>
    <n v="3896.6218571428572"/>
    <n v="3600"/>
    <n v="7856.6218571428581"/>
    <n v="96"/>
    <n v="288"/>
    <n v="1"/>
    <n v="0"/>
    <n v="0"/>
    <n v="1"/>
    <n v="7856.6218571428581"/>
    <n v="0"/>
    <n v="0"/>
    <n v="7856.6218571428581"/>
    <s v="Type A  _x000a_2AM-MRY1325"/>
    <s v="Added"/>
    <s v="2017-A"/>
    <s v="Direct "/>
    <m/>
    <m/>
    <n v="0.33333333333333331"/>
    <m/>
    <n v="0.33333333333333331"/>
    <m/>
    <m/>
    <m/>
    <m/>
    <n v="0.33333333333333331"/>
    <n v="0"/>
    <m/>
    <n v="2618.8739523809527"/>
    <n v="0"/>
    <n v="2618.8739523809527"/>
    <n v="0"/>
    <n v="0"/>
    <n v="0"/>
    <n v="0"/>
    <n v="2618.8739523809527"/>
  </r>
  <r>
    <x v="6"/>
    <x v="6"/>
    <x v="12"/>
    <x v="8"/>
    <x v="21"/>
    <x v="16"/>
    <x v="39"/>
    <x v="30"/>
    <m/>
    <s v="MO-"/>
    <s v="O3"/>
    <s v="Heavy Mobile Equipment"/>
    <s v="O3"/>
    <s v="Mobile Equipment"/>
    <s v="Heavy Mobile Equipment"/>
    <s v="3rd Party Equipment"/>
    <s v="Mine Haul Truck, 777"/>
    <m/>
    <n v="3"/>
    <s v="ea"/>
    <n v="13"/>
    <n v="120"/>
    <n v="1298.8739523809525"/>
    <n v="1200"/>
    <n v="2618.8739523809527"/>
    <n v="39"/>
    <n v="360"/>
    <n v="3896.6218571428572"/>
    <n v="3600"/>
    <n v="7856.6218571428581"/>
    <n v="96"/>
    <n v="288"/>
    <n v="1"/>
    <n v="0"/>
    <n v="0"/>
    <n v="1"/>
    <n v="7856.6218571428581"/>
    <n v="0"/>
    <n v="0"/>
    <n v="7856.6218571428581"/>
    <s v="Type A  _x000a_2AM-MRY1325"/>
    <s v="Added"/>
    <n v="2016"/>
    <s v="Direct "/>
    <m/>
    <m/>
    <n v="0.33333333333333331"/>
    <m/>
    <n v="0.33333333333333331"/>
    <m/>
    <m/>
    <m/>
    <m/>
    <n v="0.33333333333333331"/>
    <n v="0"/>
    <m/>
    <n v="2618.8739523809527"/>
    <n v="0"/>
    <n v="2618.8739523809527"/>
    <n v="0"/>
    <n v="0"/>
    <n v="0"/>
    <n v="0"/>
    <n v="2618.8739523809527"/>
  </r>
  <r>
    <x v="1"/>
    <x v="1"/>
    <x v="3"/>
    <x v="3"/>
    <x v="5"/>
    <x v="4"/>
    <x v="20"/>
    <x v="17"/>
    <s v="302"/>
    <s v="SQ-"/>
    <s v="MM2"/>
    <s v="Medium Equipment"/>
    <s v="MM2"/>
    <s v="Mechanical Equipment"/>
    <s v="Medium Equipment"/>
    <s v="3rd party Equipment"/>
    <s v="7m3/min / 250cft/min mobile compressors, set of 50 mm PVC perforated tubes"/>
    <m/>
    <n v="1"/>
    <s v="ea"/>
    <n v="19.2"/>
    <n v="213"/>
    <n v="1918.3369142857146"/>
    <n v="2130"/>
    <n v="4261.3369142857146"/>
    <n v="19.2"/>
    <n v="213"/>
    <n v="1918.3369142857146"/>
    <n v="2130"/>
    <n v="4261.3369142857146"/>
    <n v="1"/>
    <n v="1"/>
    <n v="1"/>
    <n v="0"/>
    <n v="0"/>
    <n v="1"/>
    <n v="4261.3369142857146"/>
    <n v="0"/>
    <n v="0"/>
    <n v="4261.3369142857146"/>
    <s v="Type A  _x000a_2AM-MRY1325"/>
    <s v="Added"/>
    <n v="2018"/>
    <s v="Direct "/>
    <m/>
    <m/>
    <n v="0.33333333333333331"/>
    <m/>
    <n v="0.33333333333333331"/>
    <m/>
    <m/>
    <m/>
    <m/>
    <n v="0.33333333333333331"/>
    <n v="0"/>
    <m/>
    <n v="1420.4456380952381"/>
    <n v="0"/>
    <n v="1420.4456380952381"/>
    <n v="0"/>
    <n v="0"/>
    <n v="0"/>
    <n v="0"/>
    <n v="1420.4456380952381"/>
  </r>
  <r>
    <x v="6"/>
    <x v="6"/>
    <x v="12"/>
    <x v="8"/>
    <x v="21"/>
    <x v="16"/>
    <x v="34"/>
    <x v="30"/>
    <m/>
    <s v="MO-"/>
    <s v="O3"/>
    <s v="Heavy Mobile Equipment"/>
    <s v="O3"/>
    <s v="Mobile Equipment"/>
    <s v="Heavy Mobile Equipment"/>
    <s v="3rd Party Equipment"/>
    <s v="3rd Party Heavy Mobile Equipment (make up for typical fleet)"/>
    <m/>
    <n v="3"/>
    <s v="ea"/>
    <n v="13"/>
    <n v="120"/>
    <n v="1298.8739523809525"/>
    <n v="1200"/>
    <n v="2618.8739523809527"/>
    <n v="39"/>
    <n v="360"/>
    <n v="3896.6218571428572"/>
    <n v="3600"/>
    <n v="7856.6218571428572"/>
    <n v="96"/>
    <n v="288"/>
    <n v="1"/>
    <n v="0"/>
    <n v="0"/>
    <n v="1"/>
    <n v="7856.6218571428572"/>
    <n v="0"/>
    <n v="0"/>
    <n v="7856.6218571428572"/>
    <s v="Type A  _x000a_2AM-MRY1325"/>
    <s v="Added"/>
    <n v="2017"/>
    <s v="Direct "/>
    <m/>
    <m/>
    <n v="0.33333333333333331"/>
    <m/>
    <n v="0.33333333333333331"/>
    <m/>
    <m/>
    <m/>
    <m/>
    <n v="0.33333333333333331"/>
    <n v="0"/>
    <m/>
    <n v="2618.8739523809522"/>
    <n v="0"/>
    <n v="2618.8739523809522"/>
    <n v="0"/>
    <n v="0"/>
    <n v="0"/>
    <n v="0"/>
    <n v="2618.8739523809522"/>
  </r>
  <r>
    <x v="6"/>
    <x v="6"/>
    <x v="12"/>
    <x v="8"/>
    <x v="21"/>
    <x v="16"/>
    <x v="39"/>
    <x v="30"/>
    <m/>
    <s v="MO-"/>
    <s v="O2"/>
    <s v="Medium Mobile Equipment"/>
    <s v="O2"/>
    <s v="Mobile Equipment"/>
    <s v="Medium Mobile Equipment "/>
    <s v="3rd Party Equipment"/>
    <s v="Mobile Light Plant"/>
    <m/>
    <n v="5"/>
    <s v="ea"/>
    <n v="10"/>
    <n v="45"/>
    <n v="999.13380952380965"/>
    <n v="450"/>
    <n v="1494.1338095238098"/>
    <n v="50"/>
    <n v="225"/>
    <n v="4995.6690476190479"/>
    <n v="2250"/>
    <n v="7470.6690476190488"/>
    <n v="24"/>
    <n v="120"/>
    <n v="1"/>
    <n v="0"/>
    <n v="0"/>
    <n v="1"/>
    <n v="7470.6690476190488"/>
    <n v="0"/>
    <n v="0"/>
    <n v="7470.6690476190488"/>
    <s v="Type A  _x000a_2AM-MRY1325"/>
    <s v="Added"/>
    <n v="2016"/>
    <s v="Direct "/>
    <m/>
    <m/>
    <n v="0.33333333333333331"/>
    <m/>
    <n v="0.33333333333333331"/>
    <m/>
    <m/>
    <m/>
    <m/>
    <n v="0.33333333333333331"/>
    <n v="0"/>
    <m/>
    <n v="2490.2230158730163"/>
    <n v="0"/>
    <n v="2490.2230158730163"/>
    <n v="0"/>
    <n v="0"/>
    <n v="0"/>
    <n v="0"/>
    <n v="2490.2230158730163"/>
  </r>
  <r>
    <x v="6"/>
    <x v="6"/>
    <x v="11"/>
    <x v="3"/>
    <x v="52"/>
    <x v="32"/>
    <x v="108"/>
    <x v="112"/>
    <s v="1072"/>
    <s v="BLD"/>
    <s v="FF1-c"/>
    <s v="Modular Building Contaminated (480 ft2) "/>
    <s v="FTR2-c"/>
    <s v="Buildings (Contaminated)"/>
    <s v="Double Trailer (2 or more)"/>
    <m/>
    <s v="Waste Incinerators - Demolish and Decontaminate Building - Trailer - Modular (2 or more modules)"/>
    <s v="4540-VP-001"/>
    <n v="52.044609665427508"/>
    <s v="m2"/>
    <n v="0.56041666666666667"/>
    <n v="3.3624999999999998"/>
    <n v="55.993123908730162"/>
    <n v="84.0625"/>
    <n v="143.41812390873017"/>
    <n v="29.166666666666668"/>
    <n v="175"/>
    <n v="2914.140277777778"/>
    <n v="4375"/>
    <n v="7464.1402777777785"/>
    <n v="1"/>
    <n v="52.044609665427508"/>
    <n v="1"/>
    <n v="0"/>
    <n v="0"/>
    <n v="1"/>
    <n v="7464.1402777777785"/>
    <n v="0"/>
    <n v="0"/>
    <n v="7464.1402777777785"/>
    <s v="Type A  _x000a_2AM-MRY1325"/>
    <m/>
    <n v="2014"/>
    <s v="Direct "/>
    <m/>
    <m/>
    <n v="0.33333333333333331"/>
    <n v="0.33333333333333331"/>
    <n v="0.33333333333333331"/>
    <m/>
    <m/>
    <m/>
    <m/>
    <m/>
    <n v="0"/>
    <m/>
    <n v="2488.0467592592595"/>
    <n v="2488.0467592592595"/>
    <n v="2488.0467592592595"/>
    <n v="0"/>
    <n v="0"/>
    <n v="0"/>
    <n v="0"/>
    <n v="0"/>
  </r>
  <r>
    <x v="6"/>
    <x v="6"/>
    <x v="11"/>
    <x v="3"/>
    <x v="61"/>
    <x v="18"/>
    <x v="127"/>
    <x v="35"/>
    <s v="1041"/>
    <s v="BLD"/>
    <s v="FF1-c"/>
    <s v="Modular Building Contaminated (480 ft2) "/>
    <s v="FS-c"/>
    <s v="Buildings (Contaminated)"/>
    <s v="Prefabricated Special Modular"/>
    <m/>
    <s v="Power Generation Module #1 - Demolish and Decontaminate Building - Special Modular / Prefabricated"/>
    <s v="4530-BLD-001"/>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A  _x000a_2AM-MRY1325"/>
    <m/>
    <n v="2014"/>
    <s v="Direct "/>
    <m/>
    <m/>
    <n v="0.33333333333333331"/>
    <n v="0.33333333333333331"/>
    <n v="0.33333333333333331"/>
    <m/>
    <m/>
    <m/>
    <m/>
    <m/>
    <n v="0"/>
    <m/>
    <n v="2483.6038186177248"/>
    <n v="2483.6038186177248"/>
    <n v="2483.6038186177248"/>
    <n v="0"/>
    <n v="0"/>
    <n v="0"/>
    <n v="0"/>
    <n v="0"/>
  </r>
  <r>
    <x v="6"/>
    <x v="6"/>
    <x v="11"/>
    <x v="3"/>
    <x v="61"/>
    <x v="18"/>
    <x v="127"/>
    <x v="35"/>
    <s v="1044"/>
    <s v="BLD"/>
    <s v="FF1-c"/>
    <s v="Modular Building Contaminated (480 ft2) "/>
    <s v="FS-c"/>
    <s v="Buildings (Contaminated)"/>
    <s v="Prefabricated Special Modular"/>
    <m/>
    <s v="Power Generation Module #2 - Demolish and Decontaminate Building - Special Modular / Prefabricated"/>
    <s v="4530-BLD-002"/>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A  _x000a_2AM-MRY1325"/>
    <m/>
    <n v="2014"/>
    <s v="Direct "/>
    <m/>
    <m/>
    <n v="0.33333333333333331"/>
    <n v="0.33333333333333331"/>
    <n v="0.33333333333333331"/>
    <m/>
    <m/>
    <m/>
    <m/>
    <m/>
    <n v="0"/>
    <m/>
    <n v="2483.6038186177248"/>
    <n v="2483.6038186177248"/>
    <n v="2483.6038186177248"/>
    <n v="0"/>
    <n v="0"/>
    <n v="0"/>
    <n v="0"/>
    <n v="0"/>
  </r>
  <r>
    <x v="6"/>
    <x v="6"/>
    <x v="11"/>
    <x v="3"/>
    <x v="61"/>
    <x v="18"/>
    <x v="127"/>
    <x v="35"/>
    <s v="1047"/>
    <s v="BLD"/>
    <s v="FF1-c"/>
    <s v="Modular Building Contaminated (480 ft2) "/>
    <s v="FS-c"/>
    <s v="Buildings (Contaminated)"/>
    <s v="Prefabricated Special Modular"/>
    <m/>
    <s v="Power Generation Module #3 - Demolish and Decontaminate Building - Special Modular / Prefabricated"/>
    <s v="4530-BLD-003"/>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A  _x000a_2AM-MRY1325"/>
    <m/>
    <n v="2014"/>
    <s v="Direct "/>
    <m/>
    <m/>
    <n v="0.33333333333333331"/>
    <n v="0.33333333333333331"/>
    <n v="0.33333333333333331"/>
    <m/>
    <m/>
    <m/>
    <m/>
    <m/>
    <n v="0"/>
    <m/>
    <n v="2483.6038186177248"/>
    <n v="2483.6038186177248"/>
    <n v="2483.6038186177248"/>
    <n v="0"/>
    <n v="0"/>
    <n v="0"/>
    <n v="0"/>
    <n v="0"/>
  </r>
  <r>
    <x v="6"/>
    <x v="6"/>
    <x v="11"/>
    <x v="3"/>
    <x v="61"/>
    <x v="18"/>
    <x v="127"/>
    <x v="35"/>
    <s v="1050"/>
    <s v="BLD"/>
    <s v="FF1-c"/>
    <s v="Modular Building Contaminated (480 ft2) "/>
    <s v="FS-c"/>
    <s v="Buildings (Contaminated)"/>
    <s v="Prefabricated Special Modular"/>
    <m/>
    <s v="Power Generation Module #4 - Demolish and Decontaminate Building - Special Modular / Prefabricated"/>
    <s v="4530-BLD-004"/>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A  _x000a_2AM-MRY1325"/>
    <m/>
    <n v="2014"/>
    <s v="Direct "/>
    <m/>
    <m/>
    <n v="0.33333333333333331"/>
    <n v="0.33333333333333331"/>
    <n v="0.33333333333333331"/>
    <m/>
    <m/>
    <m/>
    <m/>
    <m/>
    <n v="0"/>
    <m/>
    <n v="2483.6038186177248"/>
    <n v="2483.6038186177248"/>
    <n v="2483.6038186177248"/>
    <n v="0"/>
    <n v="0"/>
    <n v="0"/>
    <n v="0"/>
    <n v="0"/>
  </r>
  <r>
    <x v="6"/>
    <x v="6"/>
    <x v="11"/>
    <x v="3"/>
    <x v="61"/>
    <x v="18"/>
    <x v="127"/>
    <x v="35"/>
    <s v="1053"/>
    <s v="BLD"/>
    <s v="FF1-c"/>
    <s v="Modular Building Contaminated (480 ft2) "/>
    <s v="FS-c"/>
    <s v="Buildings (Contaminated)"/>
    <s v="Prefabricated Special Modular"/>
    <m/>
    <s v="Power Generation Module #5 - Demolish and Decontaminate Building - Special Modular / Prefabricated"/>
    <s v="4530-BLD-005"/>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A  _x000a_2AM-MRY1325"/>
    <m/>
    <n v="2014"/>
    <s v="Direct "/>
    <m/>
    <m/>
    <n v="0.33333333333333331"/>
    <n v="0.33333333333333331"/>
    <n v="0.33333333333333331"/>
    <m/>
    <m/>
    <m/>
    <m/>
    <m/>
    <n v="0"/>
    <m/>
    <n v="2483.6038186177248"/>
    <n v="2483.6038186177248"/>
    <n v="2483.6038186177248"/>
    <n v="0"/>
    <n v="0"/>
    <n v="0"/>
    <n v="0"/>
    <n v="0"/>
  </r>
  <r>
    <x v="6"/>
    <x v="6"/>
    <x v="11"/>
    <x v="3"/>
    <x v="61"/>
    <x v="18"/>
    <x v="127"/>
    <x v="35"/>
    <s v="1056"/>
    <s v="BLD"/>
    <s v="FF1-c"/>
    <s v="Modular Building Contaminated (480 ft2) "/>
    <s v="FS-c"/>
    <s v="Buildings (Contaminated)"/>
    <s v="Prefabricated Special Modular"/>
    <m/>
    <s v="Power Generation Module #6 - Demolish and Decontaminate Building - Special Modular / Prefabricated"/>
    <s v="4530-BLD-006"/>
    <n v="51.951672862453535"/>
    <s v="m2"/>
    <n v="0.56041666666666667"/>
    <n v="3.3624999999999998"/>
    <n v="55.993123908730162"/>
    <n v="84.0625"/>
    <n v="143.41812390873017"/>
    <n v="29.114583333333336"/>
    <n v="174.6875"/>
    <n v="2908.9364558531747"/>
    <n v="4367.1875"/>
    <n v="7450.8114558531743"/>
    <n v="1"/>
    <n v="51.951672862453535"/>
    <n v="1"/>
    <n v="0"/>
    <n v="0"/>
    <n v="1"/>
    <n v="7450.8114558531743"/>
    <n v="0"/>
    <n v="0"/>
    <n v="7450.8114558531743"/>
    <s v="Type A  _x000a_2AM-MRY1325"/>
    <m/>
    <n v="2014"/>
    <s v="Direct "/>
    <m/>
    <m/>
    <n v="0.33333333333333331"/>
    <n v="0.33333333333333331"/>
    <n v="0.33333333333333331"/>
    <m/>
    <m/>
    <m/>
    <m/>
    <m/>
    <n v="0"/>
    <m/>
    <n v="2483.6038186177248"/>
    <n v="2483.6038186177248"/>
    <n v="2483.6038186177248"/>
    <n v="0"/>
    <n v="0"/>
    <n v="0"/>
    <n v="0"/>
    <n v="0"/>
  </r>
  <r>
    <x v="6"/>
    <x v="6"/>
    <x v="20"/>
    <x v="12"/>
    <x v="51"/>
    <x v="28"/>
    <x v="129"/>
    <x v="123"/>
    <s v="839"/>
    <s v="TK-"/>
    <s v="MT2"/>
    <s v="Medium Tanks"/>
    <s v="MT2"/>
    <s v="Mechanical Equipment"/>
    <s v="Medium Tanks"/>
    <m/>
    <s v="TANK  - AERODROME OFFICE SEWAGE COLLECTION TANK - LAGRANGE MECHANICAL SERVICES  L: 3791 _x000a_W: 1829 _x000a_H: 610 "/>
    <s v="4431-TK-004"/>
    <n v="1"/>
    <s v="ea"/>
    <n v="31"/>
    <n v="390"/>
    <n v="3097.3148095238098"/>
    <n v="3900"/>
    <n v="7387.3148095238103"/>
    <n v="31"/>
    <n v="390"/>
    <n v="3097.3148095238098"/>
    <n v="3900"/>
    <n v="7387.3148095238103"/>
    <n v="2"/>
    <n v="2"/>
    <n v="1"/>
    <n v="0"/>
    <n v="0"/>
    <n v="1"/>
    <n v="7387.3148095238103"/>
    <n v="0"/>
    <n v="0"/>
    <n v="7387.3148095238103"/>
    <s v="Type A  _x000a_2AM-MRY1325"/>
    <m/>
    <n v="2014"/>
    <s v="Direct "/>
    <m/>
    <m/>
    <n v="0.5"/>
    <n v="0.5"/>
    <m/>
    <m/>
    <m/>
    <m/>
    <m/>
    <m/>
    <n v="0"/>
    <m/>
    <n v="3693.6574047619051"/>
    <n v="3693.6574047619051"/>
    <n v="0"/>
    <n v="0"/>
    <n v="0"/>
    <n v="0"/>
    <n v="0"/>
    <n v="0"/>
  </r>
  <r>
    <x v="6"/>
    <x v="6"/>
    <x v="11"/>
    <x v="3"/>
    <x v="45"/>
    <x v="3"/>
    <x v="124"/>
    <x v="34"/>
    <s v="937"/>
    <s v="TK-"/>
    <s v="MT2"/>
    <s v="Medium Tanks"/>
    <s v="MT2"/>
    <s v="Mechanical Equipment"/>
    <s v="Medium Tanks"/>
    <m/>
    <s v="TANK  - EMERGENCY RESPONSE OFFICE SEWAGE COLLECTION TANK - LAGRANGE MECHANICAL SERVICES  L: 3791 _x000a_W: 1829 _x000a_H: 610 "/>
    <s v="4513-TK-004"/>
    <n v="1"/>
    <s v="ea"/>
    <n v="31"/>
    <n v="390"/>
    <n v="3097.3148095238098"/>
    <n v="3900"/>
    <n v="7387.3148095238103"/>
    <n v="31"/>
    <n v="390"/>
    <n v="3097.3148095238098"/>
    <n v="3900"/>
    <n v="7387.3148095238103"/>
    <n v="2"/>
    <n v="2"/>
    <n v="1"/>
    <n v="0"/>
    <n v="0"/>
    <n v="1"/>
    <n v="7387.3148095238103"/>
    <n v="0"/>
    <n v="0"/>
    <n v="7387.3148095238103"/>
    <s v="Type A  _x000a_2AM-MRY1325"/>
    <m/>
    <n v="2014"/>
    <s v="Direct "/>
    <m/>
    <m/>
    <n v="0.5"/>
    <n v="0.5"/>
    <m/>
    <m/>
    <m/>
    <m/>
    <m/>
    <m/>
    <n v="0"/>
    <m/>
    <n v="3693.6574047619051"/>
    <n v="3693.6574047619051"/>
    <n v="0"/>
    <n v="0"/>
    <n v="0"/>
    <n v="0"/>
    <n v="0"/>
    <n v="0"/>
  </r>
  <r>
    <x v="6"/>
    <x v="6"/>
    <x v="11"/>
    <x v="3"/>
    <x v="19"/>
    <x v="4"/>
    <x v="31"/>
    <x v="12"/>
    <s v="955"/>
    <s v="BLD"/>
    <s v="FW"/>
    <s v="Timber Cribbing (480 ft2)"/>
    <s v="FT"/>
    <s v="Flooring / Foundations"/>
    <s v="Timber Cribbing"/>
    <m/>
    <s v="Workshop Office Washcar - Demolish and foundations - Timber Cribbing to Elevate Building"/>
    <s v="4521-BLD-005"/>
    <n v="35.687732342007436"/>
    <s v="m2"/>
    <n v="0.12329166666666667"/>
    <n v="1.1768750000000001"/>
    <n v="7.8390373472222228"/>
    <n v="11.768750000000001"/>
    <n v="20.784662347222223"/>
    <n v="4.4000000000000004"/>
    <n v="42.000000000000007"/>
    <n v="279.75746666666669"/>
    <n v="420.00000000000006"/>
    <n v="741.75746666666669"/>
    <n v="0.3"/>
    <n v="10.706319702602231"/>
    <n v="1"/>
    <n v="0"/>
    <n v="0"/>
    <n v="1"/>
    <n v="741.75746666666669"/>
    <n v="0"/>
    <n v="0"/>
    <n v="741.75746666666669"/>
    <s v="Type A  _x000a_2AM-MRY1325"/>
    <m/>
    <n v="2014"/>
    <s v="Direct "/>
    <m/>
    <m/>
    <n v="0.33333333333333331"/>
    <n v="0.33333333333333331"/>
    <n v="0.33333333333333331"/>
    <m/>
    <m/>
    <m/>
    <m/>
    <m/>
    <n v="0"/>
    <m/>
    <n v="247.25248888888888"/>
    <n v="247.25248888888888"/>
    <n v="247.25248888888888"/>
    <n v="0"/>
    <n v="0"/>
    <n v="0"/>
    <n v="0"/>
    <n v="0"/>
  </r>
  <r>
    <x v="6"/>
    <x v="6"/>
    <x v="14"/>
    <x v="5"/>
    <x v="55"/>
    <x v="17"/>
    <x v="120"/>
    <x v="31"/>
    <s v="1143"/>
    <s v="TK-"/>
    <s v="MT2"/>
    <s v="Medium Tanks"/>
    <s v="MT2"/>
    <s v="Mechanical Equipment"/>
    <s v="Medium Tanks"/>
    <m/>
    <s v="TANK  - RAW WATER TANK "/>
    <s v="4720-TK-001"/>
    <n v="1"/>
    <s v="ea"/>
    <n v="31"/>
    <n v="390"/>
    <n v="3097.3148095238098"/>
    <n v="3900"/>
    <n v="7387.3148095238103"/>
    <n v="31"/>
    <n v="390"/>
    <n v="3097.3148095238098"/>
    <n v="3900"/>
    <n v="7387.3148095238103"/>
    <n v="2"/>
    <n v="2"/>
    <n v="1"/>
    <n v="0"/>
    <n v="0"/>
    <n v="1"/>
    <n v="7387.3148095238103"/>
    <n v="0"/>
    <n v="0"/>
    <n v="7387.3148095238103"/>
    <s v="Type A  _x000a_2AM-MRY1325"/>
    <m/>
    <n v="2014"/>
    <s v="Direct "/>
    <m/>
    <m/>
    <n v="0.33333333333333331"/>
    <n v="0.33333333333333331"/>
    <n v="0.33333333333333331"/>
    <m/>
    <m/>
    <m/>
    <m/>
    <m/>
    <n v="0"/>
    <m/>
    <n v="2462.4382698412701"/>
    <n v="2462.4382698412701"/>
    <n v="2462.4382698412701"/>
    <n v="0"/>
    <n v="0"/>
    <n v="0"/>
    <n v="0"/>
    <n v="0"/>
  </r>
  <r>
    <x v="6"/>
    <x v="6"/>
    <x v="14"/>
    <x v="5"/>
    <x v="55"/>
    <x v="17"/>
    <x v="120"/>
    <x v="31"/>
    <s v="1144"/>
    <s v="TK-"/>
    <s v="MT2"/>
    <s v="Medium Tanks"/>
    <s v="MT2"/>
    <s v="Mechanical Equipment"/>
    <s v="Medium Tanks"/>
    <m/>
    <s v="TANK  - FIRE WATER TANK "/>
    <s v="4720-TK-007"/>
    <n v="1"/>
    <s v="ea"/>
    <n v="31"/>
    <n v="390"/>
    <n v="3097.3148095238098"/>
    <n v="3900"/>
    <n v="7387.3148095238103"/>
    <n v="31"/>
    <n v="390"/>
    <n v="3097.3148095238098"/>
    <n v="3900"/>
    <n v="7387.3148095238103"/>
    <n v="2"/>
    <n v="2"/>
    <n v="1"/>
    <n v="0"/>
    <n v="0"/>
    <n v="1"/>
    <n v="7387.3148095238103"/>
    <n v="0"/>
    <n v="0"/>
    <n v="7387.3148095238103"/>
    <s v="Type A  _x000a_2AM-MRY1325"/>
    <m/>
    <n v="2014"/>
    <s v="Direct "/>
    <m/>
    <m/>
    <n v="0.33333333333333331"/>
    <n v="0.33333333333333331"/>
    <n v="0.33333333333333331"/>
    <m/>
    <m/>
    <m/>
    <m/>
    <m/>
    <n v="0"/>
    <m/>
    <n v="2462.4382698412701"/>
    <n v="2462.4382698412701"/>
    <n v="2462.4382698412701"/>
    <n v="0"/>
    <n v="0"/>
    <n v="0"/>
    <n v="0"/>
    <n v="0"/>
  </r>
  <r>
    <x v="6"/>
    <x v="6"/>
    <x v="14"/>
    <x v="5"/>
    <x v="55"/>
    <x v="17"/>
    <x v="120"/>
    <x v="31"/>
    <s v="1145"/>
    <s v="TK-"/>
    <s v="MT2"/>
    <s v="Medium Tanks"/>
    <s v="MT2"/>
    <s v="Mechanical Equipment"/>
    <s v="Medium Tanks"/>
    <m/>
    <s v="TANK  - POTABLE WATER STORAGE TANK "/>
    <s v="4720-TK-009"/>
    <n v="1"/>
    <s v="ea"/>
    <n v="31"/>
    <n v="390"/>
    <n v="3097.3148095238098"/>
    <n v="3900"/>
    <n v="7387.3148095238103"/>
    <n v="31"/>
    <n v="390"/>
    <n v="3097.3148095238098"/>
    <n v="3900"/>
    <n v="7387.3148095238103"/>
    <n v="2"/>
    <n v="2"/>
    <n v="1"/>
    <n v="0"/>
    <n v="0"/>
    <n v="1"/>
    <n v="7387.3148095238103"/>
    <n v="0"/>
    <n v="0"/>
    <n v="7387.3148095238103"/>
    <s v="Type A  _x000a_2AM-MRY1325"/>
    <m/>
    <n v="2014"/>
    <s v="Direct "/>
    <m/>
    <m/>
    <n v="0.33333333333333331"/>
    <n v="0.33333333333333331"/>
    <n v="0.33333333333333331"/>
    <m/>
    <m/>
    <m/>
    <m/>
    <m/>
    <n v="0"/>
    <m/>
    <n v="2462.4382698412701"/>
    <n v="2462.4382698412701"/>
    <n v="2462.4382698412701"/>
    <n v="0"/>
    <n v="0"/>
    <n v="0"/>
    <n v="0"/>
    <n v="0"/>
  </r>
  <r>
    <x v="6"/>
    <x v="6"/>
    <x v="14"/>
    <x v="5"/>
    <x v="55"/>
    <x v="17"/>
    <x v="120"/>
    <x v="31"/>
    <s v="1146"/>
    <s v="TK-"/>
    <s v="MT2"/>
    <s v="Medium Tanks"/>
    <s v="MT2"/>
    <s v="Mechanical Equipment"/>
    <s v="Medium Tanks"/>
    <m/>
    <s v="TANK  - BACKWASH SETTLING TANK "/>
    <s v="4720-TK-012"/>
    <n v="1"/>
    <s v="ea"/>
    <n v="31"/>
    <n v="390"/>
    <n v="3097.3148095238098"/>
    <n v="3900"/>
    <n v="7387.3148095238103"/>
    <n v="31"/>
    <n v="390"/>
    <n v="3097.3148095238098"/>
    <n v="3900"/>
    <n v="7387.3148095238103"/>
    <n v="2"/>
    <n v="2"/>
    <n v="1"/>
    <n v="0"/>
    <n v="0"/>
    <n v="1"/>
    <n v="7387.3148095238103"/>
    <n v="0"/>
    <n v="0"/>
    <n v="7387.3148095238103"/>
    <s v="Type A  _x000a_2AM-MRY1325"/>
    <m/>
    <n v="2014"/>
    <s v="Direct "/>
    <m/>
    <m/>
    <n v="0.33333333333333331"/>
    <n v="0.33333333333333331"/>
    <n v="0.33333333333333331"/>
    <m/>
    <m/>
    <m/>
    <m/>
    <m/>
    <n v="0"/>
    <m/>
    <n v="2462.4382698412701"/>
    <n v="2462.4382698412701"/>
    <n v="2462.4382698412701"/>
    <n v="0"/>
    <n v="0"/>
    <n v="0"/>
    <n v="0"/>
    <n v="0"/>
  </r>
  <r>
    <x v="6"/>
    <x v="6"/>
    <x v="14"/>
    <x v="5"/>
    <x v="55"/>
    <x v="17"/>
    <x v="120"/>
    <x v="31"/>
    <m/>
    <s v="TK-"/>
    <s v="MT2"/>
    <s v="Medium Tanks"/>
    <s v="MT2"/>
    <s v="Mechanical Equipment"/>
    <s v="Medium Tanks"/>
    <m/>
    <s v="TANK  - POTABLE WATER STORAGE TANK (40 m3)"/>
    <m/>
    <n v="1"/>
    <s v="ea"/>
    <n v="31"/>
    <n v="390"/>
    <n v="3097.3148095238098"/>
    <n v="3900"/>
    <n v="7387.3148095238103"/>
    <n v="31"/>
    <n v="390"/>
    <n v="3097.3148095238098"/>
    <n v="3900"/>
    <n v="7387.3148095238103"/>
    <n v="2"/>
    <n v="2"/>
    <n v="1"/>
    <n v="0"/>
    <n v="0"/>
    <n v="1"/>
    <n v="7387.3148095238103"/>
    <n v="0"/>
    <n v="0"/>
    <n v="7387.3148095238103"/>
    <s v="Type A  _x000a_2AM-MRY1325"/>
    <s v="Confirmed"/>
    <s v="2015 A"/>
    <s v="Direct "/>
    <m/>
    <m/>
    <n v="0.33333333333333331"/>
    <n v="0.33333333333333331"/>
    <n v="0.33333333333333331"/>
    <m/>
    <m/>
    <m/>
    <m/>
    <m/>
    <n v="0"/>
    <m/>
    <n v="2462.4382698412701"/>
    <n v="2462.4382698412701"/>
    <n v="2462.4382698412701"/>
    <n v="0"/>
    <n v="0"/>
    <n v="0"/>
    <n v="0"/>
    <n v="0"/>
  </r>
  <r>
    <x v="6"/>
    <x v="6"/>
    <x v="14"/>
    <x v="5"/>
    <x v="55"/>
    <x v="17"/>
    <x v="120"/>
    <x v="31"/>
    <m/>
    <s v="TK-"/>
    <s v="MT2"/>
    <s v="Medium Tanks"/>
    <s v="MT2"/>
    <s v="Mechanical Equipment"/>
    <s v="Medium Tanks"/>
    <m/>
    <s v="TANK  - RAW WATER TANK (60 m3)"/>
    <m/>
    <n v="1"/>
    <s v="ea"/>
    <n v="31"/>
    <n v="390"/>
    <n v="3097.3148095238098"/>
    <n v="3900"/>
    <n v="7387.3148095238103"/>
    <n v="31"/>
    <n v="390"/>
    <n v="3097.3148095238098"/>
    <n v="3900"/>
    <n v="7387.3148095238103"/>
    <n v="2"/>
    <n v="2"/>
    <n v="1"/>
    <n v="0"/>
    <n v="0"/>
    <n v="1"/>
    <n v="7387.3148095238103"/>
    <n v="0"/>
    <n v="0"/>
    <n v="7387.3148095238103"/>
    <s v="Type A  _x000a_2AM-MRY1325"/>
    <s v="Confirmed"/>
    <s v="2015 A"/>
    <s v="Direct "/>
    <m/>
    <m/>
    <n v="0.33333333333333331"/>
    <n v="0.33333333333333331"/>
    <n v="0.33333333333333331"/>
    <m/>
    <m/>
    <m/>
    <m/>
    <m/>
    <n v="0"/>
    <m/>
    <n v="2462.4382698412701"/>
    <n v="2462.4382698412701"/>
    <n v="2462.4382698412701"/>
    <n v="0"/>
    <n v="0"/>
    <n v="0"/>
    <n v="0"/>
    <n v="0"/>
  </r>
  <r>
    <x v="6"/>
    <x v="6"/>
    <x v="14"/>
    <x v="5"/>
    <x v="27"/>
    <x v="6"/>
    <x v="53"/>
    <x v="26"/>
    <s v="1160"/>
    <s v="TK-"/>
    <s v="MT2"/>
    <s v="Medium Tanks"/>
    <s v="MT2"/>
    <s v="Mechanical Equipment"/>
    <s v="Medium Tanks"/>
    <m/>
    <s v="TANK  - TREATED EFFLUENT TANK "/>
    <s v="4731-TK-002"/>
    <n v="1"/>
    <s v="ea"/>
    <n v="31"/>
    <n v="390"/>
    <n v="3097.3148095238098"/>
    <n v="3900"/>
    <n v="7387.3148095238103"/>
    <n v="31"/>
    <n v="390"/>
    <n v="3097.3148095238098"/>
    <n v="3900"/>
    <n v="7387.3148095238103"/>
    <n v="2"/>
    <n v="2"/>
    <n v="1"/>
    <n v="0"/>
    <n v="0"/>
    <n v="1"/>
    <n v="7387.3148095238103"/>
    <n v="0"/>
    <n v="0"/>
    <n v="7387.3148095238103"/>
    <s v="Type A  _x000a_2AM-MRY1325"/>
    <m/>
    <n v="2014"/>
    <s v="Direct "/>
    <m/>
    <m/>
    <n v="0.33333333333333331"/>
    <n v="0.33333333333333331"/>
    <n v="0.33333333333333331"/>
    <m/>
    <m/>
    <m/>
    <m/>
    <m/>
    <n v="0"/>
    <m/>
    <n v="2462.4382698412701"/>
    <n v="2462.4382698412701"/>
    <n v="2462.4382698412701"/>
    <n v="0"/>
    <n v="0"/>
    <n v="0"/>
    <n v="0"/>
    <n v="0"/>
  </r>
  <r>
    <x v="1"/>
    <x v="1"/>
    <x v="3"/>
    <x v="3"/>
    <x v="5"/>
    <x v="4"/>
    <x v="20"/>
    <x v="17"/>
    <s v="302"/>
    <s v="SQ-"/>
    <s v="MM2"/>
    <s v="Medium Equipment"/>
    <s v="MM2"/>
    <s v="Mechanical Equipment"/>
    <s v="Medium Equipment"/>
    <s v="3rd party Equipment"/>
    <s v="Oxy fuel cutting systems, induction heating system, 400A welding generators, welding sets, 7m3/min / 250cft/min mobile compressors"/>
    <m/>
    <n v="1"/>
    <s v="ea"/>
    <n v="19.2"/>
    <n v="213"/>
    <n v="1918.3369142857146"/>
    <n v="2130"/>
    <n v="4261.3369142857146"/>
    <n v="19.2"/>
    <n v="213"/>
    <n v="1918.3369142857146"/>
    <n v="2130"/>
    <n v="4261.3369142857146"/>
    <n v="1"/>
    <n v="1"/>
    <n v="1"/>
    <n v="0"/>
    <n v="0"/>
    <n v="1"/>
    <n v="4261.3369142857146"/>
    <n v="0"/>
    <n v="0"/>
    <n v="4261.3369142857146"/>
    <s v="Type A  _x000a_2AM-MRY1325"/>
    <s v="Added"/>
    <n v="2018"/>
    <s v="Direct "/>
    <m/>
    <m/>
    <n v="0.33333333333333331"/>
    <m/>
    <n v="0.33333333333333331"/>
    <m/>
    <m/>
    <m/>
    <m/>
    <n v="0.33333333333333331"/>
    <n v="0"/>
    <m/>
    <n v="1420.4456380952381"/>
    <n v="0"/>
    <n v="1420.4456380952381"/>
    <n v="0"/>
    <n v="0"/>
    <n v="0"/>
    <n v="0"/>
    <n v="1420.4456380952381"/>
  </r>
  <r>
    <x v="6"/>
    <x v="6"/>
    <x v="11"/>
    <x v="3"/>
    <x v="52"/>
    <x v="32"/>
    <x v="108"/>
    <x v="112"/>
    <m/>
    <m/>
    <s v="A3l"/>
    <s v="Grade &amp; Re-Contour with Liner"/>
    <s v="A3l"/>
    <s v="Site Works"/>
    <s v="Grade and Re-Contour With Liner"/>
    <m/>
    <s v="Hazardous Waste Berm"/>
    <s v="MS-HWB-2"/>
    <n v="1298"/>
    <s v="m2"/>
    <n v="4.4489880937500004E-2"/>
    <n v="0.17804999999999999"/>
    <n v="4.4489880937499997"/>
    <n v="0.71454534577546303"/>
    <n v="5.3082953457754627"/>
    <n v="57.747865456875004"/>
    <n v="231.10889999999998"/>
    <n v="5774.7865456874997"/>
    <n v="927.47985881655097"/>
    <n v="6890.1673588165504"/>
    <n v="0"/>
    <n v="0"/>
    <n v="1"/>
    <n v="0"/>
    <n v="0"/>
    <n v="1"/>
    <n v="6890.1673588165504"/>
    <n v="0"/>
    <n v="0"/>
    <n v="6890.1673588165504"/>
    <s v="Type A  _x000a_2AM-MRY1325"/>
    <s v="Modified"/>
    <s v="2015 R"/>
    <s v="Direct "/>
    <m/>
    <m/>
    <n v="0.33333333333333331"/>
    <n v="0.33333333333333331"/>
    <n v="0.33333333333333331"/>
    <m/>
    <m/>
    <m/>
    <m/>
    <m/>
    <n v="0"/>
    <m/>
    <n v="2296.72245293885"/>
    <n v="2296.72245293885"/>
    <n v="2296.72245293885"/>
    <n v="0"/>
    <n v="0"/>
    <n v="0"/>
    <n v="0"/>
    <n v="0"/>
  </r>
  <r>
    <x v="6"/>
    <x v="6"/>
    <x v="12"/>
    <x v="8"/>
    <x v="21"/>
    <x v="16"/>
    <x v="39"/>
    <x v="30"/>
    <m/>
    <s v="MO-"/>
    <s v="O1"/>
    <s v="Light Mobile Equipment"/>
    <s v="O1"/>
    <s v="Mobile Equipment"/>
    <s v="Light Mobile Equipment"/>
    <s v="3rd Party Equipment"/>
    <s v="Pick-Up Truck"/>
    <m/>
    <n v="7"/>
    <s v="ea"/>
    <n v="6.666666666666667"/>
    <n v="25"/>
    <n v="666.08920634920639"/>
    <n v="250"/>
    <n v="941.08920634920639"/>
    <n v="46.666666666666671"/>
    <n v="175"/>
    <n v="4662.6244444444446"/>
    <n v="1750"/>
    <n v="6587.6244444444446"/>
    <n v="4"/>
    <n v="28"/>
    <n v="1"/>
    <n v="0"/>
    <n v="0"/>
    <n v="1"/>
    <n v="6587.6244444444446"/>
    <n v="0"/>
    <n v="0"/>
    <n v="6587.6244444444446"/>
    <s v="Type A  _x000a_2AM-MRY1325"/>
    <s v="Added"/>
    <n v="2016"/>
    <s v="Direct "/>
    <m/>
    <m/>
    <n v="0.33333333333333331"/>
    <m/>
    <n v="0.33333333333333331"/>
    <m/>
    <m/>
    <m/>
    <m/>
    <n v="0.33333333333333331"/>
    <n v="0"/>
    <m/>
    <n v="2195.8748148148147"/>
    <n v="0"/>
    <n v="2195.8748148148147"/>
    <n v="0"/>
    <n v="0"/>
    <n v="0"/>
    <n v="0"/>
    <n v="2195.8748148148147"/>
  </r>
  <r>
    <x v="6"/>
    <x v="6"/>
    <x v="11"/>
    <x v="3"/>
    <x v="61"/>
    <x v="16"/>
    <x v="127"/>
    <x v="33"/>
    <m/>
    <s v="BLD"/>
    <s v="CS"/>
    <s v="Slab on Grade - ASSUME 300mm thick"/>
    <s v="CS"/>
    <s v="Flooring / Foundations"/>
    <s v="Slab on Grade"/>
    <m/>
    <s v="Additional Buildings by BIM Site Services slab on grade"/>
    <m/>
    <n v="180"/>
    <s v="m2"/>
    <n v="0.125"/>
    <n v="1.875"/>
    <n v="12.48917261904762"/>
    <n v="18.75"/>
    <n v="33.114172619047622"/>
    <n v="22.5"/>
    <n v="337.5"/>
    <n v="2248.0510714285715"/>
    <n v="3375"/>
    <n v="5960.551071428572"/>
    <n v="0"/>
    <n v="0"/>
    <n v="1"/>
    <n v="0"/>
    <n v="0"/>
    <n v="1"/>
    <n v="5960.551071428572"/>
    <n v="0"/>
    <n v="0"/>
    <n v="5960.551071428572"/>
    <s v="Type A  _x000a_2AM-MRY1325"/>
    <m/>
    <n v="2014"/>
    <s v="Direct "/>
    <m/>
    <m/>
    <n v="0.33333333333333331"/>
    <n v="0.33333333333333331"/>
    <n v="0.33333333333333331"/>
    <m/>
    <m/>
    <m/>
    <m/>
    <m/>
    <n v="0"/>
    <m/>
    <n v="1986.8503571428573"/>
    <n v="1986.8503571428573"/>
    <n v="1986.8503571428573"/>
    <n v="0"/>
    <n v="0"/>
    <n v="0"/>
    <n v="0"/>
    <n v="0"/>
  </r>
  <r>
    <x v="6"/>
    <x v="6"/>
    <x v="13"/>
    <x v="2"/>
    <x v="25"/>
    <x v="19"/>
    <x v="130"/>
    <x v="37"/>
    <s v="795"/>
    <s v="BLD"/>
    <s v="FF1-c"/>
    <s v="Modular Building Contaminated (480 ft2) "/>
    <s v="FS-c"/>
    <s v="Buildings (Contaminated)"/>
    <s v="Prefabricated Special Modular"/>
    <m/>
    <s v="Crushing &amp; Screening Electrical Trailer - Demolish and Decontaminate Building - Special Modular / Prefabricated"/>
    <s v="4381-BLD-001"/>
    <n v="39.405204460966544"/>
    <s v="m2"/>
    <n v="0.56041666666666667"/>
    <n v="3.3624999999999998"/>
    <n v="55.993123908730162"/>
    <n v="84.0625"/>
    <n v="143.41812390873017"/>
    <n v="22.083333333333336"/>
    <n v="132.5"/>
    <n v="2206.4204960317461"/>
    <n v="3312.5"/>
    <n v="5651.4204960317456"/>
    <n v="1"/>
    <n v="39.405204460966544"/>
    <n v="1"/>
    <n v="0"/>
    <n v="0"/>
    <n v="1"/>
    <n v="5651.4204960317456"/>
    <n v="0"/>
    <n v="0"/>
    <n v="5651.4204960317456"/>
    <s v="Type A  _x000a_2AM-MRY1325"/>
    <m/>
    <n v="2014"/>
    <s v="Direct "/>
    <m/>
    <m/>
    <n v="0.33333333333333331"/>
    <n v="0.33333333333333331"/>
    <n v="0.33333333333333331"/>
    <m/>
    <m/>
    <m/>
    <m/>
    <m/>
    <n v="0"/>
    <m/>
    <n v="1883.8068320105817"/>
    <n v="1883.8068320105817"/>
    <n v="1883.8068320105817"/>
    <n v="0"/>
    <n v="0"/>
    <n v="0"/>
    <n v="0"/>
    <n v="0"/>
  </r>
  <r>
    <x v="6"/>
    <x v="6"/>
    <x v="13"/>
    <x v="2"/>
    <x v="25"/>
    <x v="19"/>
    <x v="130"/>
    <x v="37"/>
    <s v="798"/>
    <s v="BLD"/>
    <s v="FF1-c"/>
    <s v="Modular Building Contaminated (480 ft2) "/>
    <s v="FS-c"/>
    <s v="Buildings (Contaminated)"/>
    <s v="Prefabricated Special Modular"/>
    <m/>
    <s v="Crushing &amp; Screening Electrical Trailer - Demolish and Decontaminate Building - Special Modular / Prefabricated"/>
    <s v="4381-BLD-002"/>
    <n v="39.405204460966544"/>
    <s v="m2"/>
    <n v="0.56041666666666667"/>
    <n v="3.3624999999999998"/>
    <n v="55.993123908730162"/>
    <n v="84.0625"/>
    <n v="143.41812390873017"/>
    <n v="22.083333333333336"/>
    <n v="132.5"/>
    <n v="2206.4204960317461"/>
    <n v="3312.5"/>
    <n v="5651.4204960317456"/>
    <n v="1"/>
    <n v="39.405204460966544"/>
    <n v="1"/>
    <n v="0"/>
    <n v="0"/>
    <n v="1"/>
    <n v="5651.4204960317456"/>
    <n v="0"/>
    <n v="0"/>
    <n v="5651.4204960317456"/>
    <s v="Type A  _x000a_2AM-MRY1325"/>
    <m/>
    <n v="2014"/>
    <s v="Direct "/>
    <m/>
    <m/>
    <n v="0.33333333333333331"/>
    <n v="0.33333333333333331"/>
    <n v="0.33333333333333331"/>
    <m/>
    <m/>
    <m/>
    <m/>
    <m/>
    <n v="0"/>
    <m/>
    <n v="1883.8068320105817"/>
    <n v="1883.8068320105817"/>
    <n v="1883.8068320105817"/>
    <n v="0"/>
    <n v="0"/>
    <n v="0"/>
    <n v="0"/>
    <n v="0"/>
  </r>
  <r>
    <x v="6"/>
    <x v="6"/>
    <x v="12"/>
    <x v="8"/>
    <x v="21"/>
    <x v="16"/>
    <x v="34"/>
    <x v="30"/>
    <m/>
    <s v="MO-"/>
    <s v="O1"/>
    <s v="Light Mobile Equipment"/>
    <s v="O1"/>
    <s v="Mobile Equipment"/>
    <s v="Light Mobile Equipment"/>
    <s v="Pick Up"/>
    <s v="Pick Up Truck"/>
    <m/>
    <n v="6"/>
    <s v="ea"/>
    <n v="6.666666666666667"/>
    <n v="25"/>
    <n v="666.08920634920639"/>
    <n v="250"/>
    <n v="941.08920634920639"/>
    <n v="40"/>
    <n v="150"/>
    <n v="3996.5352380952381"/>
    <n v="1500"/>
    <n v="5646.5352380952381"/>
    <n v="4"/>
    <n v="24"/>
    <n v="1"/>
    <n v="0"/>
    <n v="0"/>
    <n v="1"/>
    <n v="5646.5352380952381"/>
    <n v="0"/>
    <n v="0"/>
    <n v="5646.5352380952381"/>
    <s v="Type A  _x000a_2AM-MRY1325"/>
    <s v="Added"/>
    <n v="2017"/>
    <s v="Direct "/>
    <m/>
    <m/>
    <n v="0.33333333333333331"/>
    <m/>
    <n v="0.33333333333333331"/>
    <m/>
    <m/>
    <m/>
    <m/>
    <n v="0.33333333333333331"/>
    <n v="0"/>
    <m/>
    <n v="1882.1784126984126"/>
    <n v="0"/>
    <n v="1882.1784126984126"/>
    <n v="0"/>
    <n v="0"/>
    <n v="0"/>
    <n v="0"/>
    <n v="1882.1784126984126"/>
  </r>
  <r>
    <x v="6"/>
    <x v="6"/>
    <x v="18"/>
    <x v="11"/>
    <x v="36"/>
    <x v="26"/>
    <x v="73"/>
    <x v="60"/>
    <s v="787"/>
    <s v="BLD"/>
    <s v="FW"/>
    <s v="Timber Cribbing (480 ft2)"/>
    <s v="FT"/>
    <s v="Flooring / Foundations"/>
    <s v="Timber Cribbing"/>
    <m/>
    <s v="Pit Office Building - Demolish and foundations - Timber Cribbing to Elevate Building"/>
    <s v="4281-BLD-001"/>
    <n v="267.65799256505579"/>
    <s v="m2"/>
    <n v="0.12329166666666667"/>
    <n v="1.1768750000000001"/>
    <n v="7.8390373472222228"/>
    <n v="11.768750000000001"/>
    <n v="20.784662347222223"/>
    <n v="33.000000000000007"/>
    <n v="315.00000000000006"/>
    <n v="2098.1810000000005"/>
    <n v="3150.0000000000005"/>
    <n v="5563.1810000000005"/>
    <n v="0.3"/>
    <n v="80.297397769516735"/>
    <n v="1"/>
    <n v="0"/>
    <n v="0"/>
    <n v="1"/>
    <n v="5563.1810000000005"/>
    <n v="0"/>
    <n v="0"/>
    <n v="5563.1810000000005"/>
    <s v="Type A  _x000a_2AM-MRY1325"/>
    <m/>
    <n v="2014"/>
    <s v="Direct "/>
    <m/>
    <m/>
    <n v="0.33333333333333331"/>
    <n v="0.33333333333333331"/>
    <n v="0.33333333333333331"/>
    <m/>
    <m/>
    <m/>
    <m/>
    <m/>
    <n v="0"/>
    <m/>
    <n v="1854.3936666666668"/>
    <n v="1854.3936666666668"/>
    <n v="1854.3936666666668"/>
    <n v="0"/>
    <n v="0"/>
    <n v="0"/>
    <n v="0"/>
    <n v="0"/>
  </r>
  <r>
    <x v="6"/>
    <x v="6"/>
    <x v="11"/>
    <x v="3"/>
    <x v="19"/>
    <x v="4"/>
    <x v="31"/>
    <x v="12"/>
    <s v="952"/>
    <s v="BLD"/>
    <s v="FW"/>
    <s v="Timber Cribbing (480 ft2)"/>
    <s v="FT"/>
    <s v="Flooring / Foundations"/>
    <s v="Timber Cribbing"/>
    <m/>
    <s v="Workshop Office Building - Demolish and foundations - Timber Cribbing to Elevate Building"/>
    <s v="4521-BLD-004"/>
    <n v="267.65799256505579"/>
    <s v="m2"/>
    <n v="0.12329166666666667"/>
    <n v="1.1768750000000001"/>
    <n v="7.8390373472222228"/>
    <n v="11.768750000000001"/>
    <n v="20.784662347222223"/>
    <n v="33.000000000000007"/>
    <n v="315.00000000000006"/>
    <n v="2098.1810000000005"/>
    <n v="3150.0000000000005"/>
    <n v="5563.1810000000005"/>
    <n v="0.3"/>
    <n v="80.297397769516735"/>
    <n v="1"/>
    <n v="0"/>
    <n v="0"/>
    <n v="1"/>
    <n v="5563.1810000000005"/>
    <n v="0"/>
    <n v="0"/>
    <n v="5563.1810000000005"/>
    <s v="Type A  _x000a_2AM-MRY1325"/>
    <m/>
    <n v="2014"/>
    <s v="Direct "/>
    <m/>
    <m/>
    <n v="0.33333333333333331"/>
    <n v="0.33333333333333331"/>
    <n v="0.33333333333333331"/>
    <m/>
    <m/>
    <m/>
    <m/>
    <m/>
    <n v="0"/>
    <m/>
    <n v="1854.3936666666668"/>
    <n v="1854.3936666666668"/>
    <n v="1854.3936666666668"/>
    <n v="0"/>
    <n v="0"/>
    <n v="0"/>
    <n v="0"/>
    <n v="0"/>
  </r>
  <r>
    <x v="6"/>
    <x v="6"/>
    <x v="11"/>
    <x v="3"/>
    <x v="45"/>
    <x v="3"/>
    <x v="124"/>
    <x v="34"/>
    <s v="921"/>
    <s v="BLD"/>
    <s v="FF1"/>
    <s v="Modular Building Not Contaminated (480 ft2)"/>
    <s v="FTR2"/>
    <s v="Buildings (Not Contaminated)"/>
    <s v="Double Trailer (2 or more)"/>
    <m/>
    <s v="Emergency Response Office - Demolish and Decontaminate Building - Trailer - Modular (2 or more modules)"/>
    <s v="4513-BLD-001"/>
    <n v="89.219330855018583"/>
    <s v="m2"/>
    <n v="0.22416666666666665"/>
    <n v="3.3624999999999998"/>
    <n v="22.397249563492064"/>
    <n v="33.625"/>
    <n v="59.384749563492065"/>
    <n v="19.999999999999996"/>
    <n v="299.99999999999994"/>
    <n v="1998.2676190476191"/>
    <n v="3000"/>
    <n v="5298.2676190476195"/>
    <n v="1"/>
    <n v="89.219330855018583"/>
    <n v="1"/>
    <n v="0"/>
    <n v="0"/>
    <n v="1"/>
    <n v="5298.2676190476195"/>
    <n v="0"/>
    <n v="0"/>
    <n v="5298.2676190476195"/>
    <s v="Type A  _x000a_2AM-MRY1325"/>
    <m/>
    <n v="2014"/>
    <s v="Direct "/>
    <m/>
    <m/>
    <n v="0.33333333333333331"/>
    <n v="0.33333333333333331"/>
    <n v="0.33333333333333331"/>
    <m/>
    <m/>
    <m/>
    <m/>
    <m/>
    <n v="0"/>
    <m/>
    <n v="1766.0892063492065"/>
    <n v="1766.0892063492065"/>
    <n v="1766.0892063492065"/>
    <n v="0"/>
    <n v="0"/>
    <n v="0"/>
    <n v="0"/>
    <n v="0"/>
  </r>
  <r>
    <x v="6"/>
    <x v="6"/>
    <x v="12"/>
    <x v="8"/>
    <x v="21"/>
    <x v="16"/>
    <x v="34"/>
    <x v="30"/>
    <m/>
    <s v="MO-"/>
    <s v="O3"/>
    <s v="Heavy Mobile Equipment"/>
    <s v="O3"/>
    <s v="Mobile Equipment"/>
    <s v="Heavy Mobile Equipment"/>
    <m/>
    <s v="Excavator"/>
    <m/>
    <n v="2"/>
    <s v="ea"/>
    <n v="13"/>
    <n v="120"/>
    <n v="1298.8739523809525"/>
    <n v="1200"/>
    <n v="2618.8739523809527"/>
    <n v="26"/>
    <n v="240"/>
    <n v="2597.7479047619049"/>
    <n v="2400"/>
    <n v="5237.7479047619054"/>
    <n v="96"/>
    <n v="192"/>
    <n v="1"/>
    <n v="0"/>
    <n v="0"/>
    <n v="1"/>
    <n v="5237.7479047619054"/>
    <n v="0"/>
    <n v="0"/>
    <n v="5237.7479047619054"/>
    <s v="Type A  _x000a_2AM-MRY1325"/>
    <s v="Added"/>
    <n v="2017"/>
    <s v="Direct "/>
    <m/>
    <m/>
    <n v="0.33333333333333331"/>
    <m/>
    <n v="0.33333333333333331"/>
    <m/>
    <m/>
    <m/>
    <m/>
    <n v="0.33333333333333331"/>
    <n v="0"/>
    <m/>
    <n v="1745.9159682539685"/>
    <n v="0"/>
    <n v="1745.9159682539685"/>
    <n v="0"/>
    <n v="0"/>
    <n v="0"/>
    <n v="0"/>
    <n v="1745.9159682539685"/>
  </r>
  <r>
    <x v="6"/>
    <x v="6"/>
    <x v="12"/>
    <x v="8"/>
    <x v="21"/>
    <x v="16"/>
    <x v="34"/>
    <x v="30"/>
    <m/>
    <s v="MO-"/>
    <s v="O3"/>
    <s v="Heavy Mobile Equipment"/>
    <s v="O3"/>
    <s v="Mobile Equipment"/>
    <s v="Heavy Mobile Equipment"/>
    <m/>
    <s v="Large Forklift"/>
    <m/>
    <n v="2"/>
    <s v="ea"/>
    <n v="13"/>
    <n v="120"/>
    <n v="1298.8739523809525"/>
    <n v="1200"/>
    <n v="2618.8739523809527"/>
    <n v="26"/>
    <n v="240"/>
    <n v="2597.7479047619049"/>
    <n v="2400"/>
    <n v="5237.7479047619054"/>
    <n v="96"/>
    <n v="192"/>
    <n v="1"/>
    <n v="0"/>
    <n v="0"/>
    <n v="1"/>
    <n v="5237.7479047619054"/>
    <n v="0"/>
    <n v="0"/>
    <n v="5237.7479047619054"/>
    <s v="Type A  _x000a_2AM-MRY1325"/>
    <s v="Added"/>
    <n v="2017"/>
    <s v="Direct "/>
    <m/>
    <m/>
    <n v="0.33333333333333331"/>
    <m/>
    <n v="0.33333333333333331"/>
    <m/>
    <m/>
    <m/>
    <m/>
    <n v="0.33333333333333331"/>
    <n v="0"/>
    <m/>
    <n v="1745.9159682539685"/>
    <n v="0"/>
    <n v="1745.9159682539685"/>
    <n v="0"/>
    <n v="0"/>
    <n v="0"/>
    <n v="0"/>
    <n v="1745.9159682539685"/>
  </r>
  <r>
    <x v="6"/>
    <x v="6"/>
    <x v="11"/>
    <x v="3"/>
    <x v="19"/>
    <x v="4"/>
    <x v="31"/>
    <x v="12"/>
    <s v="969"/>
    <s v="PP-"/>
    <s v="MM1"/>
    <s v="Light Equimpent"/>
    <s v="MM1"/>
    <s v="Mechanical Equipment"/>
    <s v="Light Equipment"/>
    <s v="Pump"/>
    <s v="PUMP  - WORKSHOP OFFICE WASHCAR RAW WATER PUMP - SIMER JET PUMPS 2205C  L: 483 _x000a_W: 275 _x000a_H: 267 "/>
    <s v="4521-PP-051"/>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5"/>
    <x v="5"/>
    <x v="10"/>
    <x v="8"/>
    <x v="18"/>
    <x v="10"/>
    <x v="89"/>
    <x v="73"/>
    <m/>
    <m/>
    <s v="A4"/>
    <s v="Grade &amp; Re-Contour Type A quarry"/>
    <s v="A4"/>
    <s v="Site Works"/>
    <s v="Grade and Re-Contour Significant Disturbed Areas"/>
    <m/>
    <s v="KM 97 Borrow Source (marginal increase in 2018)"/>
    <m/>
    <n v="1500"/>
    <s v="m2"/>
    <n v="1.9034821406249999E-2"/>
    <n v="0.21937499999999999"/>
    <n v="1.9034821406249995"/>
    <n v="0.59481801866319439"/>
    <n v="2.7154430186631942"/>
    <n v="28.552232109374998"/>
    <n v="329.0625"/>
    <n v="2855.2232109374995"/>
    <n v="892.22702799479157"/>
    <n v="4076.5127389322911"/>
    <n v="0"/>
    <n v="0"/>
    <n v="1"/>
    <n v="0"/>
    <n v="0"/>
    <n v="1"/>
    <n v="4076.5127389322911"/>
    <n v="0"/>
    <n v="0"/>
    <n v="4076.5127389322911"/>
    <s v="Type A  _x000a_2AM-MRY1325"/>
    <s v="Added"/>
    <n v="2018"/>
    <s v="Direct "/>
    <m/>
    <m/>
    <n v="0.5"/>
    <n v="0.5"/>
    <m/>
    <m/>
    <m/>
    <m/>
    <m/>
    <m/>
    <n v="0"/>
    <m/>
    <n v="2038.2563694661455"/>
    <n v="2038.2563694661455"/>
    <n v="0"/>
    <n v="0"/>
    <n v="0"/>
    <n v="0"/>
    <n v="0"/>
    <n v="0"/>
  </r>
  <r>
    <x v="6"/>
    <x v="6"/>
    <x v="11"/>
    <x v="3"/>
    <x v="49"/>
    <x v="32"/>
    <x v="108"/>
    <x v="112"/>
    <m/>
    <s v=""/>
    <s v="A3l"/>
    <s v="Grade &amp; Re-Contour with Liner"/>
    <s v="A3l"/>
    <s v="Site Works"/>
    <s v="Grade and Re-Contour With Liner"/>
    <m/>
    <s v="Lined Containment Cell"/>
    <m/>
    <n v="900"/>
    <s v="m2"/>
    <n v="4.4489880937500004E-2"/>
    <n v="0.17804999999999999"/>
    <n v="4.4489880937499997"/>
    <n v="0.71454534577546303"/>
    <n v="5.3082953457754627"/>
    <n v="40.040892843750001"/>
    <n v="160.24499999999998"/>
    <n v="4004.0892843749998"/>
    <n v="643.09081119791676"/>
    <n v="4807.4250955729167"/>
    <n v="0"/>
    <n v="0"/>
    <n v="1"/>
    <n v="0"/>
    <n v="0"/>
    <n v="1"/>
    <n v="4807.4250955729167"/>
    <n v="0"/>
    <n v="0"/>
    <n v="4807.4250955729167"/>
    <s v="Type A  _x000a_2AM-MRY1325"/>
    <m/>
    <n v="2015"/>
    <s v="Direct "/>
    <m/>
    <m/>
    <n v="0.33333333333333331"/>
    <n v="0.33333333333333331"/>
    <n v="0.33333333333333331"/>
    <m/>
    <m/>
    <m/>
    <m/>
    <m/>
    <n v="0"/>
    <m/>
    <n v="1602.4750318576389"/>
    <n v="1602.4750318576389"/>
    <n v="1602.4750318576389"/>
    <n v="0"/>
    <n v="0"/>
    <n v="0"/>
    <n v="0"/>
    <n v="0"/>
  </r>
  <r>
    <x v="6"/>
    <x v="6"/>
    <x v="18"/>
    <x v="11"/>
    <x v="53"/>
    <x v="24"/>
    <x v="131"/>
    <x v="55"/>
    <s v="777"/>
    <s v="BLD"/>
    <s v="FF1-c"/>
    <s v="Modular Building Contaminated (480 ft2) "/>
    <s v="FTR1-c"/>
    <s v="Buildings (Contaminated)"/>
    <s v="Single Trailers (modular)"/>
    <m/>
    <s v="Explosives Magazines - Demolish and Decontaminate Building - Trailer - Single"/>
    <s v="4213-BLD-001"/>
    <n v="33.457249070631974"/>
    <s v="m2"/>
    <n v="0.56041666666666667"/>
    <n v="3.3624999999999998"/>
    <n v="55.993123908730162"/>
    <n v="84.0625"/>
    <n v="143.41812390873017"/>
    <n v="18.750000000000004"/>
    <n v="112.5"/>
    <n v="1873.3758928571431"/>
    <n v="2812.5000000000005"/>
    <n v="4798.3758928571433"/>
    <n v="1"/>
    <n v="33.457249070631974"/>
    <n v="1"/>
    <n v="0"/>
    <n v="0"/>
    <n v="1"/>
    <n v="4798.3758928571433"/>
    <n v="0"/>
    <n v="0"/>
    <n v="4798.3758928571433"/>
    <s v="Type A  _x000a_2AM-MRY1325"/>
    <m/>
    <n v="2014"/>
    <s v="Direct "/>
    <m/>
    <m/>
    <n v="0.33333333333333331"/>
    <n v="0.33333333333333331"/>
    <n v="0.33333333333333331"/>
    <m/>
    <m/>
    <m/>
    <m/>
    <m/>
    <n v="0"/>
    <m/>
    <n v="1599.4586309523811"/>
    <n v="1599.4586309523811"/>
    <n v="1599.4586309523811"/>
    <n v="0"/>
    <n v="0"/>
    <n v="0"/>
    <n v="0"/>
    <n v="0"/>
  </r>
  <r>
    <x v="6"/>
    <x v="6"/>
    <x v="12"/>
    <x v="8"/>
    <x v="41"/>
    <x v="16"/>
    <x v="96"/>
    <x v="33"/>
    <m/>
    <s v="TK-"/>
    <s v="MT1-d"/>
    <s v="Light Diesel (Day tanks 10,000L to 20,000L)"/>
    <s v="MT1-d"/>
    <s v="Mechanical Equipment"/>
    <s v="Light Diesel Tanks"/>
    <s v="3rd Party Equipment"/>
    <s v="Gas Tank 10,000L"/>
    <m/>
    <n v="1"/>
    <s v="ea"/>
    <n v="15.5"/>
    <n v="195"/>
    <n v="1548.6574047619049"/>
    <n v="1950"/>
    <n v="3693.6574047619051"/>
    <n v="15.5"/>
    <n v="195"/>
    <n v="1548.6574047619049"/>
    <n v="1950"/>
    <n v="3693.6574047619051"/>
    <n v="20"/>
    <n v="20"/>
    <n v="1"/>
    <n v="0"/>
    <n v="0"/>
    <n v="1"/>
    <n v="3693.6574047619051"/>
    <n v="0"/>
    <n v="0"/>
    <n v="3693.6574047619051"/>
    <s v="Type A  _x000a_2AM-MRY1325"/>
    <s v="Added"/>
    <n v="2018"/>
    <s v="Direct "/>
    <m/>
    <m/>
    <n v="0.5"/>
    <n v="0.5"/>
    <m/>
    <m/>
    <m/>
    <m/>
    <m/>
    <m/>
    <n v="0"/>
    <m/>
    <n v="1846.8287023809526"/>
    <n v="1846.8287023809526"/>
    <n v="0"/>
    <n v="0"/>
    <n v="0"/>
    <n v="0"/>
    <n v="0"/>
    <n v="0"/>
  </r>
  <r>
    <x v="5"/>
    <x v="5"/>
    <x v="15"/>
    <x v="8"/>
    <x v="28"/>
    <x v="24"/>
    <x v="67"/>
    <x v="55"/>
    <m/>
    <m/>
    <s v="FF1-c"/>
    <s v="Modular Building Contaminated (480 ft2) "/>
    <s v="FTR1-c"/>
    <s v="Buildings (Contaminated)"/>
    <s v="Single Trailers (modular)"/>
    <m/>
    <s v="Explosives Magazine (22m2) - Demolish and Decontaminate Building - Trailer"/>
    <m/>
    <n v="22"/>
    <s v="m2"/>
    <n v="0.56041666666666667"/>
    <n v="3.3624999999999998"/>
    <n v="55.993123908730162"/>
    <n v="84.0625"/>
    <n v="143.41812390873017"/>
    <n v="12.329166666666667"/>
    <n v="73.974999999999994"/>
    <n v="1231.8487259920635"/>
    <n v="1849.375"/>
    <n v="3155.1987259920634"/>
    <n v="1"/>
    <n v="22"/>
    <n v="1"/>
    <n v="0"/>
    <n v="0"/>
    <n v="1"/>
    <n v="3155.1987259920634"/>
    <n v="0"/>
    <n v="0"/>
    <n v="3155.1987259920634"/>
    <s v="Type A  _x000a_2AM-MRY1325"/>
    <s v="Added"/>
    <n v="2018"/>
    <s v="Direct "/>
    <m/>
    <m/>
    <n v="0.33333333333333331"/>
    <n v="0.33333333333333331"/>
    <n v="0.33333333333333331"/>
    <m/>
    <m/>
    <m/>
    <m/>
    <m/>
    <n v="0"/>
    <m/>
    <n v="1051.7329086640211"/>
    <n v="1051.7329086640211"/>
    <n v="1051.7329086640211"/>
    <n v="0"/>
    <n v="0"/>
    <n v="0"/>
    <n v="0"/>
    <n v="0"/>
  </r>
  <r>
    <x v="1"/>
    <x v="1"/>
    <x v="8"/>
    <x v="8"/>
    <x v="23"/>
    <x v="16"/>
    <x v="37"/>
    <x v="33"/>
    <m/>
    <s v="MO-"/>
    <s v="O2"/>
    <s v="Medium Mobile Equipment"/>
    <s v="O2"/>
    <s v="Mobile Equipment"/>
    <s v="Medium Mobile Equipment"/>
    <m/>
    <s v="Passenger Bus"/>
    <m/>
    <n v="2"/>
    <s v="ea"/>
    <n v="10"/>
    <n v="45"/>
    <n v="999.13380952380965"/>
    <n v="450"/>
    <n v="1494.1338095238098"/>
    <n v="20"/>
    <n v="90"/>
    <n v="1998.2676190476193"/>
    <n v="900"/>
    <n v="2988.2676190476195"/>
    <n v="24"/>
    <n v="48"/>
    <n v="1"/>
    <n v="0"/>
    <n v="0"/>
    <n v="1"/>
    <n v="2988.2676190476195"/>
    <n v="0"/>
    <n v="0"/>
    <n v="2988.2676190476195"/>
    <s v="Type A  _x000a_2AM-MRY1325"/>
    <s v="Added"/>
    <n v="2018"/>
    <s v="Direct "/>
    <m/>
    <m/>
    <n v="0.33333333333333331"/>
    <m/>
    <n v="0.33333333333333331"/>
    <m/>
    <m/>
    <m/>
    <m/>
    <n v="0.33333333333333331"/>
    <n v="0"/>
    <m/>
    <n v="996.08920634920651"/>
    <n v="0"/>
    <n v="996.08920634920651"/>
    <n v="0"/>
    <n v="0"/>
    <n v="0"/>
    <n v="0"/>
    <n v="996.08920634920651"/>
  </r>
  <r>
    <x v="5"/>
    <x v="5"/>
    <x v="10"/>
    <x v="8"/>
    <x v="18"/>
    <x v="10"/>
    <x v="24"/>
    <x v="81"/>
    <m/>
    <s v=""/>
    <s v="A3"/>
    <s v="Grade &amp; Re-Contour"/>
    <s v="A2"/>
    <s v="Site Works"/>
    <s v="Grade and Re-Contour"/>
    <s v="Grade and Contour"/>
    <s v="Km 2 Borrow source (marginal increase in 2018)"/>
    <m/>
    <n v="1500"/>
    <s v="m2"/>
    <n v="1.2689880937499998E-2"/>
    <n v="0.14624999999999999"/>
    <n v="1.2689880937499998"/>
    <n v="0.39654534577546297"/>
    <n v="1.8102953457754629"/>
    <n v="19.034821406249996"/>
    <n v="219.375"/>
    <n v="1903.4821406249996"/>
    <n v="594.81801866319449"/>
    <n v="2717.6751592881938"/>
    <n v="0"/>
    <n v="0"/>
    <n v="1"/>
    <n v="0"/>
    <n v="0"/>
    <n v="1"/>
    <n v="2717.6751592881938"/>
    <n v="0"/>
    <n v="0"/>
    <n v="2717.6751592881938"/>
    <s v="Type A  _x000a_2AM-MRY1325"/>
    <s v="Added"/>
    <n v="2018"/>
    <s v="Direct "/>
    <m/>
    <m/>
    <n v="1"/>
    <m/>
    <m/>
    <m/>
    <m/>
    <m/>
    <m/>
    <m/>
    <n v="0"/>
    <m/>
    <n v="2717.6751592881938"/>
    <n v="0"/>
    <n v="0"/>
    <n v="0"/>
    <n v="0"/>
    <n v="0"/>
    <n v="0"/>
    <n v="0"/>
  </r>
  <r>
    <x v="1"/>
    <x v="1"/>
    <x v="8"/>
    <x v="8"/>
    <x v="23"/>
    <x v="16"/>
    <x v="37"/>
    <x v="33"/>
    <m/>
    <s v="MO-"/>
    <s v="O3"/>
    <s v="Heavy Mobile Equipment"/>
    <s v="O3"/>
    <s v="Mobile Equipment"/>
    <s v="Heavy Mobile Equipment"/>
    <m/>
    <s v="950M Loader"/>
    <s v="JIS00277"/>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8"/>
    <x v="11"/>
    <x v="36"/>
    <x v="26"/>
    <x v="132"/>
    <x v="60"/>
    <s v="009"/>
    <s v="BLD"/>
    <s v="FF1"/>
    <s v="Modular Building Not Contaminated (480 ft2)"/>
    <s v="FTR1"/>
    <s v="Buildings (Not Contaminated)"/>
    <s v="Single Trailers (modular)"/>
    <m/>
    <s v="Geology ‘core’ building  - Demolish and Decontaminate Building - Trailer - Single"/>
    <s v="4000-BLD-GEO-001"/>
    <n v="72"/>
    <s v="m2"/>
    <n v="0.22416666666666665"/>
    <n v="3.3624999999999998"/>
    <n v="22.397249563492064"/>
    <n v="33.625"/>
    <n v="59.384749563492065"/>
    <n v="16.14"/>
    <n v="242.1"/>
    <n v="1612.6019685714286"/>
    <n v="2421"/>
    <n v="4275.7019685714286"/>
    <n v="1"/>
    <n v="72"/>
    <n v="1"/>
    <n v="0"/>
    <n v="0"/>
    <n v="1"/>
    <n v="4275.7019685714286"/>
    <n v="0"/>
    <n v="0"/>
    <n v="4275.7019685714286"/>
    <s v="Type A  _x000a_2AM-MRY1325"/>
    <s v="Added"/>
    <s v="2015 R"/>
    <s v="Direct "/>
    <m/>
    <m/>
    <n v="0.33333333333333331"/>
    <n v="0.33333333333333331"/>
    <n v="0.33333333333333331"/>
    <m/>
    <m/>
    <m/>
    <m/>
    <m/>
    <n v="0"/>
    <m/>
    <n v="1425.2339895238094"/>
    <n v="1425.2339895238094"/>
    <n v="1425.2339895238094"/>
    <n v="0"/>
    <n v="0"/>
    <n v="0"/>
    <n v="0"/>
    <n v="0"/>
  </r>
  <r>
    <x v="6"/>
    <x v="6"/>
    <x v="11"/>
    <x v="3"/>
    <x v="61"/>
    <x v="18"/>
    <x v="127"/>
    <x v="35"/>
    <s v="1065"/>
    <s v="BLD"/>
    <s v="FF1-c"/>
    <s v="Modular Building Contaminated (480 ft2) "/>
    <s v="FC-c"/>
    <s v="Buildings (Contaminated)"/>
    <s v="ISO Shipping Containers"/>
    <m/>
    <s v="Power Generation Stores - Demolish and Decontaminate Building - ISO Shipping Container"/>
    <s v="4530-BLD-009"/>
    <n v="29.739776951672862"/>
    <s v="m2"/>
    <n v="0.56041666666666667"/>
    <n v="3.3624999999999998"/>
    <n v="55.993123908730162"/>
    <n v="84.0625"/>
    <n v="143.41812390873017"/>
    <n v="16.666666666666668"/>
    <n v="100"/>
    <n v="1665.223015873016"/>
    <n v="2500"/>
    <n v="4265.2230158730163"/>
    <n v="1"/>
    <n v="29.739776951672862"/>
    <n v="1"/>
    <n v="0"/>
    <n v="0"/>
    <n v="1"/>
    <n v="4265.2230158730163"/>
    <n v="0"/>
    <n v="0"/>
    <n v="4265.2230158730163"/>
    <s v="Type A  _x000a_2AM-MRY1325"/>
    <m/>
    <n v="2014"/>
    <s v="Direct "/>
    <m/>
    <m/>
    <n v="0.33333333333333331"/>
    <n v="0.33333333333333331"/>
    <n v="0.33333333333333331"/>
    <m/>
    <m/>
    <m/>
    <m/>
    <m/>
    <n v="0"/>
    <m/>
    <n v="1421.7410052910054"/>
    <n v="1421.7410052910054"/>
    <n v="1421.7410052910054"/>
    <n v="0"/>
    <n v="0"/>
    <n v="0"/>
    <n v="0"/>
    <n v="0"/>
  </r>
  <r>
    <x v="6"/>
    <x v="6"/>
    <x v="21"/>
    <x v="6"/>
    <x v="57"/>
    <x v="35"/>
    <x v="133"/>
    <x v="8"/>
    <s v="1089"/>
    <s v="BLD"/>
    <s v="FF1-c"/>
    <s v="Modular Building Contaminated (480 ft2) "/>
    <s v="FC-c"/>
    <s v="Buildings (Contaminated)"/>
    <s v="ISO Shipping Containers"/>
    <m/>
    <s v="Diesel Fuel Dispensing Module  - Demolish and Decontaminate Building - ISO Shipping Container"/>
    <s v="4613-FD-013"/>
    <n v="29.739776951672862"/>
    <s v="m2"/>
    <n v="0.56041666666666667"/>
    <n v="3.3624999999999998"/>
    <n v="55.993123908730162"/>
    <n v="84.0625"/>
    <n v="143.41812390873017"/>
    <n v="16.666666666666668"/>
    <n v="100"/>
    <n v="1665.223015873016"/>
    <n v="2500"/>
    <n v="4265.2230158730163"/>
    <n v="1"/>
    <n v="29.739776951672862"/>
    <n v="1"/>
    <n v="0"/>
    <n v="0"/>
    <n v="1"/>
    <n v="4265.2230158730163"/>
    <n v="0"/>
    <n v="0"/>
    <n v="4265.2230158730163"/>
    <s v="Type A  _x000a_2AM-MRY1325"/>
    <m/>
    <n v="2014"/>
    <s v="Direct "/>
    <m/>
    <m/>
    <n v="0.5"/>
    <n v="0.5"/>
    <m/>
    <m/>
    <m/>
    <m/>
    <m/>
    <m/>
    <n v="0"/>
    <m/>
    <n v="2132.6115079365081"/>
    <n v="2132.6115079365081"/>
    <n v="0"/>
    <n v="0"/>
    <n v="0"/>
    <n v="0"/>
    <n v="0"/>
    <n v="0"/>
  </r>
  <r>
    <x v="6"/>
    <x v="6"/>
    <x v="14"/>
    <x v="5"/>
    <x v="27"/>
    <x v="6"/>
    <x v="53"/>
    <x v="26"/>
    <s v="1151"/>
    <s v="BLD"/>
    <s v="FF1-c"/>
    <s v="Modular Building Contaminated (480 ft2) "/>
    <s v="FC-c"/>
    <s v="Buildings (Contaminated)"/>
    <s v="ISO Shipping Containers"/>
    <m/>
    <s v="Sewage Chemical Storage Container - Demolish and Decontaminate Building - ISO Shipping Container"/>
    <s v="4731-BLD-001"/>
    <n v="29.739776951672862"/>
    <s v="m2"/>
    <n v="0.56041666666666667"/>
    <n v="3.3624999999999998"/>
    <n v="55.993123908730162"/>
    <n v="84.0625"/>
    <n v="143.41812390873017"/>
    <n v="16.666666666666668"/>
    <n v="100"/>
    <n v="1665.223015873016"/>
    <n v="2500"/>
    <n v="4265.2230158730163"/>
    <n v="1"/>
    <n v="29.739776951672862"/>
    <n v="1"/>
    <n v="0"/>
    <n v="0"/>
    <n v="1"/>
    <n v="4265.2230158730163"/>
    <n v="0"/>
    <n v="0"/>
    <n v="4265.2230158730163"/>
    <s v="Type A  _x000a_2AM-MRY1325"/>
    <m/>
    <n v="2014"/>
    <s v="Direct "/>
    <m/>
    <m/>
    <n v="0.5"/>
    <n v="0.5"/>
    <m/>
    <m/>
    <m/>
    <m/>
    <m/>
    <m/>
    <n v="0"/>
    <m/>
    <n v="2132.6115079365081"/>
    <n v="2132.6115079365081"/>
    <n v="0"/>
    <n v="0"/>
    <n v="0"/>
    <n v="0"/>
    <n v="0"/>
    <n v="0"/>
  </r>
  <r>
    <x v="6"/>
    <x v="6"/>
    <x v="13"/>
    <x v="2"/>
    <x v="25"/>
    <x v="19"/>
    <x v="47"/>
    <x v="37"/>
    <m/>
    <s v="AIM"/>
    <s v="MM2"/>
    <s v="Medium Equipment"/>
    <s v="MM2"/>
    <s v="Mechanical Equipment"/>
    <s v="Medium Equipment"/>
    <s v="Spread A, Control Room"/>
    <s v="Spread A, Control Room"/>
    <s v="MR-PRO-CRU-010-COR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3"/>
    <x v="2"/>
    <x v="25"/>
    <x v="19"/>
    <x v="47"/>
    <x v="37"/>
    <m/>
    <s v="COB"/>
    <s v="MM2"/>
    <s v="Medium Equipment"/>
    <s v="MM2"/>
    <s v="Mechanical Equipment"/>
    <s v="Medium Equipment"/>
    <s v="Spread A, Fine Discharge"/>
    <s v="Spread A, Fine Discharge"/>
    <s v="MR-PRO-CRU-010-FID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3"/>
    <x v="2"/>
    <x v="25"/>
    <x v="19"/>
    <x v="47"/>
    <x v="37"/>
    <m/>
    <s v="COB"/>
    <s v="MM2"/>
    <s v="Medium Equipment"/>
    <s v="MM2"/>
    <s v="Mechanical Equipment"/>
    <s v="Medium Equipment"/>
    <s v="Spread A, Lumps Discharge"/>
    <s v="Spread A, Lumps Discharge"/>
    <s v="MR-PRO-CRU-010-LUD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3"/>
    <x v="2"/>
    <x v="25"/>
    <x v="19"/>
    <x v="47"/>
    <x v="37"/>
    <m/>
    <s v="AIM"/>
    <s v="MM2"/>
    <s v="Medium Equipment"/>
    <s v="MM2"/>
    <s v="Mechanical Equipment"/>
    <s v="Medium Equipment"/>
    <s v="Spread B, Control Room"/>
    <s v="Spread B, Control Room"/>
    <s v="MR-PRO-CRU-020-COR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3"/>
    <x v="2"/>
    <x v="25"/>
    <x v="19"/>
    <x v="47"/>
    <x v="37"/>
    <m/>
    <s v="COB"/>
    <s v="MM2"/>
    <s v="Medium Equipment"/>
    <s v="MM2"/>
    <s v="Mechanical Equipment"/>
    <s v="Medium Equipment"/>
    <s v="Spread B, Fine Discharge"/>
    <s v="Spread B, Fine Discharge"/>
    <s v="MR-PRO-CRU-020-FID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3"/>
    <x v="2"/>
    <x v="25"/>
    <x v="19"/>
    <x v="47"/>
    <x v="37"/>
    <m/>
    <s v="COB"/>
    <s v="MM2"/>
    <s v="Medium Equipment"/>
    <s v="MM2"/>
    <s v="Mechanical Equipment"/>
    <s v="Medium Equipment"/>
    <s v="Spread B, Lumps Discharge"/>
    <s v="Spread B, Lumps Discharge"/>
    <s v="MR-PRO-CRU-020-LUD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3"/>
    <x v="2"/>
    <x v="25"/>
    <x v="19"/>
    <x v="47"/>
    <x v="37"/>
    <m/>
    <s v="COB"/>
    <s v="MM2"/>
    <s v="Medium Equipment"/>
    <s v="MM2"/>
    <s v="Mechanical Equipment"/>
    <s v="Medium Equipment"/>
    <s v="Spread B, Primary Screen Plant Discharge"/>
    <s v="Spread B, Primary Screen Plant Discharge"/>
    <s v="MR-PRO-CRU-020-PSD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3"/>
    <x v="2"/>
    <x v="25"/>
    <x v="19"/>
    <x v="47"/>
    <x v="37"/>
    <m/>
    <s v="COB"/>
    <s v="MM2"/>
    <s v="Medium Equipment"/>
    <s v="MM2"/>
    <s v="Mechanical Equipment"/>
    <s v="Medium Equipment"/>
    <s v="Spread C, Fine Discharge"/>
    <s v="Spread C, Fine Discharge"/>
    <s v="MR-PRO-CRU-030-FID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3"/>
    <x v="2"/>
    <x v="25"/>
    <x v="19"/>
    <x v="47"/>
    <x v="37"/>
    <m/>
    <s v="COB"/>
    <s v="MM2"/>
    <s v="Medium Equipment"/>
    <s v="MM2"/>
    <s v="Mechanical Equipment"/>
    <s v="Medium Equipment"/>
    <s v="Spread C, Lumps Discharge"/>
    <s v="Spread C, Lumps Discharge"/>
    <s v="MR-PRO-CRU-030-LUD01"/>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1"/>
    <x v="3"/>
    <x v="19"/>
    <x v="4"/>
    <x v="109"/>
    <x v="113"/>
    <s v="1038"/>
    <s v="TK-"/>
    <s v="MM2"/>
    <s v="Medium Equipment"/>
    <s v="MM2"/>
    <s v="Mechanical Equipment"/>
    <s v="Medium Equipment"/>
    <s v="Tank"/>
    <s v="TANK  - TRUCK WASH BUILDING DIESEL TANK "/>
    <s v="4523-TK-004"/>
    <n v="1"/>
    <s v="ea"/>
    <n v="19.2"/>
    <n v="213"/>
    <n v="1918.3369142857146"/>
    <n v="2130"/>
    <n v="4261.3369142857146"/>
    <n v="19.2"/>
    <n v="213"/>
    <n v="1918.3369142857146"/>
    <n v="2130"/>
    <n v="4261.3369142857146"/>
    <n v="1"/>
    <n v="1"/>
    <n v="1"/>
    <n v="0"/>
    <n v="0"/>
    <n v="1"/>
    <n v="4261.3369142857146"/>
    <n v="0"/>
    <n v="0"/>
    <n v="4261.3369142857146"/>
    <s v="Type A  _x000a_2AM-MRY1325"/>
    <s v="Added"/>
    <n v="2014"/>
    <s v="Direct "/>
    <m/>
    <m/>
    <n v="0.33333333333333331"/>
    <m/>
    <n v="0.33333333333333331"/>
    <m/>
    <m/>
    <m/>
    <m/>
    <n v="0.33333333333333331"/>
    <n v="0"/>
    <m/>
    <n v="1420.4456380952381"/>
    <n v="0"/>
    <n v="1420.4456380952381"/>
    <n v="0"/>
    <n v="0"/>
    <n v="0"/>
    <n v="0"/>
    <n v="1420.4456380952381"/>
  </r>
  <r>
    <x v="6"/>
    <x v="6"/>
    <x v="11"/>
    <x v="3"/>
    <x v="52"/>
    <x v="32"/>
    <x v="108"/>
    <x v="112"/>
    <s v="1082"/>
    <s v="TK-"/>
    <s v="MM2"/>
    <s v="Medium Equipment"/>
    <s v="MM2"/>
    <s v="Mechanical Equipment"/>
    <s v="Medium Equipment"/>
    <s v="Tank"/>
    <s v="TANK  - MILNE  WASTE MANAGEMENT BUILDING DIESEL FUEL TANK - DTE ULC601-07  "/>
    <s v="4540-TK-007"/>
    <n v="1"/>
    <s v="ea"/>
    <n v="19.2"/>
    <n v="213"/>
    <n v="1918.3369142857146"/>
    <n v="2130"/>
    <n v="4261.3369142857146"/>
    <n v="19.2"/>
    <n v="213"/>
    <n v="1918.3369142857146"/>
    <n v="2130"/>
    <n v="4261.3369142857146"/>
    <n v="1"/>
    <n v="1"/>
    <n v="1"/>
    <n v="0"/>
    <n v="0"/>
    <n v="1"/>
    <n v="4261.3369142857146"/>
    <n v="0"/>
    <n v="0"/>
    <n v="4261.3369142857146"/>
    <s v="Type A  _x000a_2AM-MRY1325"/>
    <s v="Added"/>
    <n v="2014"/>
    <s v="Direct "/>
    <m/>
    <m/>
    <n v="0.5"/>
    <n v="0.5"/>
    <m/>
    <m/>
    <m/>
    <m/>
    <m/>
    <m/>
    <n v="0"/>
    <m/>
    <n v="2130.6684571428573"/>
    <n v="2130.6684571428573"/>
    <n v="0"/>
    <n v="0"/>
    <n v="0"/>
    <n v="0"/>
    <n v="0"/>
    <n v="0"/>
  </r>
  <r>
    <x v="6"/>
    <x v="6"/>
    <x v="21"/>
    <x v="6"/>
    <x v="57"/>
    <x v="35"/>
    <x v="122"/>
    <x v="8"/>
    <m/>
    <s v="ENE"/>
    <s v="MM2"/>
    <s v="Medium Equipment"/>
    <s v="MM2"/>
    <s v="Mechanical Equipment"/>
    <s v="Medium Equipment"/>
    <s v="Diesel Module"/>
    <s v="Diesel Module 1"/>
    <s v="MR-FUM-FDI-010"/>
    <n v="1"/>
    <s v="ea"/>
    <n v="19.2"/>
    <n v="213"/>
    <n v="1918.3369142857146"/>
    <n v="2130"/>
    <n v="4261.3369142857146"/>
    <n v="19.2"/>
    <n v="213"/>
    <n v="1918.3369142857146"/>
    <n v="2130"/>
    <n v="4261.3369142857146"/>
    <n v="1"/>
    <n v="1"/>
    <n v="1"/>
    <n v="0"/>
    <n v="0"/>
    <n v="1"/>
    <n v="4261.3369142857146"/>
    <n v="0"/>
    <n v="0"/>
    <n v="4261.3369142857146"/>
    <s v="Type A  _x000a_2AM-MRY1325"/>
    <s v="Added"/>
    <s v="2015 R"/>
    <s v="Direct "/>
    <m/>
    <m/>
    <n v="0.33333333333333331"/>
    <m/>
    <n v="0.33333333333333331"/>
    <m/>
    <m/>
    <m/>
    <m/>
    <n v="0.33333333333333331"/>
    <n v="0"/>
    <m/>
    <n v="1420.4456380952381"/>
    <n v="0"/>
    <n v="1420.4456380952381"/>
    <n v="0"/>
    <n v="0"/>
    <n v="0"/>
    <n v="0"/>
    <n v="1420.4456380952381"/>
  </r>
  <r>
    <x v="6"/>
    <x v="6"/>
    <x v="14"/>
    <x v="5"/>
    <x v="55"/>
    <x v="17"/>
    <x v="120"/>
    <x v="31"/>
    <s v="1147"/>
    <s v="TK-"/>
    <s v="MM2"/>
    <s v="Medium Equipment"/>
    <s v="MM2"/>
    <s v="Mechanical Equipment"/>
    <s v="Medium Equipment"/>
    <s v="Tank"/>
    <s v="TANK  - MINE WATER BUILDING DIESEL FUEL TANK - DTE ULC601-07  "/>
    <s v="4720-TK-033"/>
    <n v="1"/>
    <s v="ea"/>
    <n v="19.2"/>
    <n v="213"/>
    <n v="1918.3369142857146"/>
    <n v="2130"/>
    <n v="4261.3369142857146"/>
    <n v="19.2"/>
    <n v="213"/>
    <n v="1918.3369142857146"/>
    <n v="2130"/>
    <n v="4261.3369142857146"/>
    <n v="1"/>
    <n v="1"/>
    <n v="1"/>
    <n v="0"/>
    <n v="0"/>
    <n v="1"/>
    <n v="4261.3369142857146"/>
    <n v="0"/>
    <n v="0"/>
    <n v="4261.3369142857146"/>
    <s v="Type A  _x000a_2AM-MRY1325"/>
    <s v="Added"/>
    <n v="2014"/>
    <s v="Direct "/>
    <m/>
    <m/>
    <n v="0.5"/>
    <n v="0.5"/>
    <m/>
    <m/>
    <m/>
    <m/>
    <m/>
    <m/>
    <n v="0"/>
    <m/>
    <n v="2130.6684571428573"/>
    <n v="2130.6684571428573"/>
    <n v="0"/>
    <n v="0"/>
    <n v="0"/>
    <n v="0"/>
    <n v="0"/>
    <n v="0"/>
  </r>
  <r>
    <x v="6"/>
    <x v="6"/>
    <x v="11"/>
    <x v="3"/>
    <x v="52"/>
    <x v="32"/>
    <x v="108"/>
    <x v="112"/>
    <m/>
    <m/>
    <s v="A3l"/>
    <s v="Grade &amp; Re-Contour with Liner"/>
    <s v="A3l"/>
    <s v="Site Works"/>
    <s v="Grade and Re-Contour With Liner"/>
    <m/>
    <s v="Hazardous Waste Berm"/>
    <s v="MS-HWB-1"/>
    <n v="754"/>
    <s v="m2"/>
    <n v="4.4489880937500004E-2"/>
    <n v="0.17804999999999999"/>
    <n v="4.4489880937499997"/>
    <n v="0.71454534577546303"/>
    <n v="5.3082953457754627"/>
    <n v="33.545370226875001"/>
    <n v="134.24969999999999"/>
    <n v="3354.5370226874998"/>
    <n v="538.76719071469915"/>
    <n v="4027.5539134021988"/>
    <n v="0"/>
    <n v="0"/>
    <n v="1"/>
    <n v="0"/>
    <n v="0"/>
    <n v="1"/>
    <n v="4027.5539134021988"/>
    <n v="0"/>
    <n v="0"/>
    <n v="4027.5539134021988"/>
    <s v="Type A  _x000a_2AM-MRY1325"/>
    <s v="Modified"/>
    <s v="2015 R"/>
    <s v="Direct "/>
    <m/>
    <m/>
    <n v="0.33333333333333331"/>
    <n v="0.33333333333333331"/>
    <n v="0.33333333333333331"/>
    <m/>
    <m/>
    <m/>
    <m/>
    <m/>
    <n v="0"/>
    <m/>
    <n v="1342.5179711340661"/>
    <n v="1342.5179711340661"/>
    <n v="1342.5179711340661"/>
    <n v="0"/>
    <n v="0"/>
    <n v="0"/>
    <n v="0"/>
    <n v="0"/>
  </r>
  <r>
    <x v="6"/>
    <x v="6"/>
    <x v="20"/>
    <x v="12"/>
    <x v="51"/>
    <x v="28"/>
    <x v="134"/>
    <x v="123"/>
    <s v="833"/>
    <s v="BLD"/>
    <s v="FF1"/>
    <s v="Modular Building Not Contaminated (480 ft2)"/>
    <s v="FTR1"/>
    <s v="Buildings (Not Contaminated)"/>
    <s v="Single Trailers (modular)"/>
    <m/>
    <s v="Aerodrome Office - Demolish and Decontaminate Building - Trailer - Single"/>
    <s v="4431-BLD-001"/>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A  _x000a_2AM-MRY1325"/>
    <m/>
    <n v="2014"/>
    <s v="Direct "/>
    <m/>
    <m/>
    <n v="0.33333333333333331"/>
    <n v="0.33333333333333331"/>
    <n v="0.33333333333333331"/>
    <m/>
    <m/>
    <m/>
    <m/>
    <m/>
    <n v="0"/>
    <m/>
    <n v="1324.5669047619049"/>
    <n v="1324.5669047619049"/>
    <n v="1324.5669047619049"/>
    <n v="0"/>
    <n v="0"/>
    <n v="0"/>
    <n v="0"/>
    <n v="0"/>
  </r>
  <r>
    <x v="1"/>
    <x v="1"/>
    <x v="8"/>
    <x v="8"/>
    <x v="23"/>
    <x v="16"/>
    <x v="37"/>
    <x v="33"/>
    <m/>
    <s v="MO-"/>
    <s v="O3"/>
    <s v="Heavy Mobile Equipment"/>
    <s v="O3"/>
    <s v="Mobile Equipment"/>
    <s v="Heavy Mobile Equipment"/>
    <m/>
    <s v="950M Loader"/>
    <s v="JIS00251"/>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1"/>
    <x v="3"/>
    <x v="45"/>
    <x v="3"/>
    <x v="124"/>
    <x v="34"/>
    <s v="939"/>
    <s v="TK-"/>
    <s v="MT1-d"/>
    <s v="Light Diesel (Day tanks 10,000L to 20,000L)"/>
    <s v="MT1-d"/>
    <s v="Mechanical Equipment"/>
    <s v="Light Diesel Tanks"/>
    <m/>
    <s v="TANK  - MINE EMERGENCY RESPONSE GARAGE DIESEL FUEL TANK - DTE ULC601-07  "/>
    <s v="4513-TK-023"/>
    <n v="1"/>
    <s v="ea"/>
    <n v="15.5"/>
    <n v="195"/>
    <n v="1548.6574047619049"/>
    <n v="1950"/>
    <n v="3693.6574047619051"/>
    <n v="15.5"/>
    <n v="195"/>
    <n v="1548.6574047619049"/>
    <n v="1950"/>
    <n v="3693.6574047619051"/>
    <n v="20"/>
    <n v="20"/>
    <n v="1"/>
    <n v="0"/>
    <n v="0"/>
    <n v="1"/>
    <n v="3693.6574047619051"/>
    <n v="0"/>
    <n v="0"/>
    <n v="3693.6574047619051"/>
    <s v="Type A  _x000a_2AM-MRY1325"/>
    <m/>
    <n v="2014"/>
    <s v="Direct "/>
    <m/>
    <m/>
    <n v="0.5"/>
    <n v="0.5"/>
    <m/>
    <m/>
    <m/>
    <m/>
    <m/>
    <m/>
    <n v="0"/>
    <m/>
    <n v="1846.8287023809526"/>
    <n v="1846.8287023809526"/>
    <n v="0"/>
    <n v="0"/>
    <n v="0"/>
    <n v="0"/>
    <n v="0"/>
    <n v="0"/>
  </r>
  <r>
    <x v="6"/>
    <x v="6"/>
    <x v="11"/>
    <x v="3"/>
    <x v="19"/>
    <x v="4"/>
    <x v="31"/>
    <x v="12"/>
    <s v="971"/>
    <s v="TK-"/>
    <s v="MT1-d"/>
    <s v="Light Diesel (Day tanks 10,000L to 20,000L)"/>
    <s v="MT1-d"/>
    <s v="Mechanical Equipment"/>
    <s v="Light Diesel Tanks"/>
    <m/>
    <s v="TANK  - WELDING SHOP DIESEL FUEL TANK - DTE ULC601-07  "/>
    <s v="4521-TK-005"/>
    <n v="1"/>
    <s v="ea"/>
    <n v="15.5"/>
    <n v="195"/>
    <n v="1548.6574047619049"/>
    <n v="1950"/>
    <n v="3693.6574047619051"/>
    <n v="15.5"/>
    <n v="195"/>
    <n v="1548.6574047619049"/>
    <n v="1950"/>
    <n v="3693.6574047619051"/>
    <n v="20"/>
    <n v="20"/>
    <n v="1"/>
    <n v="0"/>
    <n v="0"/>
    <n v="1"/>
    <n v="3693.6574047619051"/>
    <n v="0"/>
    <n v="0"/>
    <n v="3693.6574047619051"/>
    <s v="Type A  _x000a_2AM-MRY1325"/>
    <m/>
    <n v="2014"/>
    <s v="Direct "/>
    <m/>
    <m/>
    <n v="0.5"/>
    <n v="0.5"/>
    <m/>
    <m/>
    <m/>
    <m/>
    <m/>
    <m/>
    <n v="0"/>
    <m/>
    <n v="1846.8287023809526"/>
    <n v="1846.8287023809526"/>
    <n v="0"/>
    <n v="0"/>
    <n v="0"/>
    <n v="0"/>
    <n v="0"/>
    <n v="0"/>
  </r>
  <r>
    <x v="6"/>
    <x v="6"/>
    <x v="11"/>
    <x v="3"/>
    <x v="19"/>
    <x v="4"/>
    <x v="31"/>
    <x v="12"/>
    <s v="972"/>
    <s v="TK-"/>
    <s v="MT1-d"/>
    <s v="Light Diesel (Day tanks 10,000L to 20,000L)"/>
    <s v="MT1-d"/>
    <s v="Mechanical Equipment"/>
    <s v="Light Diesel Tanks"/>
    <m/>
    <s v="TANK  - MAINTENANCE BUILDING DIESEL TANK "/>
    <s v="4521-TK-013"/>
    <n v="1"/>
    <s v="ea"/>
    <n v="15.5"/>
    <n v="195"/>
    <n v="1548.6574047619049"/>
    <n v="1950"/>
    <n v="3693.6574047619051"/>
    <n v="15.5"/>
    <n v="195"/>
    <n v="1548.6574047619049"/>
    <n v="1950"/>
    <n v="3693.6574047619051"/>
    <n v="20"/>
    <n v="20"/>
    <n v="1"/>
    <n v="0"/>
    <n v="0"/>
    <n v="1"/>
    <n v="3693.6574047619051"/>
    <n v="0"/>
    <n v="0"/>
    <n v="3693.6574047619051"/>
    <s v="Type A  _x000a_2AM-MRY1325"/>
    <m/>
    <n v="2014"/>
    <s v="Direct "/>
    <m/>
    <m/>
    <n v="0.5"/>
    <n v="0.5"/>
    <m/>
    <m/>
    <m/>
    <m/>
    <m/>
    <m/>
    <n v="0"/>
    <m/>
    <n v="1846.8287023809526"/>
    <n v="1846.8287023809526"/>
    <n v="0"/>
    <n v="0"/>
    <n v="0"/>
    <n v="0"/>
    <n v="0"/>
    <n v="0"/>
  </r>
  <r>
    <x v="6"/>
    <x v="6"/>
    <x v="11"/>
    <x v="3"/>
    <x v="19"/>
    <x v="4"/>
    <x v="31"/>
    <x v="12"/>
    <s v="973"/>
    <s v="TK-"/>
    <s v="MT1-d"/>
    <s v="Light Diesel (Day tanks 10,000L to 20,000L)"/>
    <s v="MT1-d"/>
    <s v="Mechanical Equipment"/>
    <s v="Light Diesel Tanks"/>
    <m/>
    <s v="TANK  - WAREHOUSE BUILDING DIESEL TANK "/>
    <s v="4521-TK-023"/>
    <n v="1"/>
    <s v="ea"/>
    <n v="15.5"/>
    <n v="195"/>
    <n v="1548.6574047619049"/>
    <n v="1950"/>
    <n v="3693.6574047619051"/>
    <n v="15.5"/>
    <n v="195"/>
    <n v="1548.6574047619049"/>
    <n v="1950"/>
    <n v="3693.6574047619051"/>
    <n v="20"/>
    <n v="20"/>
    <n v="1"/>
    <n v="0"/>
    <n v="0"/>
    <n v="1"/>
    <n v="3693.6574047619051"/>
    <n v="0"/>
    <n v="0"/>
    <n v="3693.6574047619051"/>
    <s v="Type A  _x000a_2AM-MRY1325"/>
    <m/>
    <n v="2014"/>
    <s v="Direct "/>
    <m/>
    <m/>
    <n v="0.5"/>
    <n v="0.5"/>
    <m/>
    <m/>
    <m/>
    <m/>
    <m/>
    <m/>
    <n v="0"/>
    <m/>
    <n v="1846.8287023809526"/>
    <n v="1846.8287023809526"/>
    <n v="0"/>
    <n v="0"/>
    <n v="0"/>
    <n v="0"/>
    <n v="0"/>
    <n v="0"/>
  </r>
  <r>
    <x v="6"/>
    <x v="6"/>
    <x v="14"/>
    <x v="5"/>
    <x v="27"/>
    <x v="6"/>
    <x v="128"/>
    <x v="36"/>
    <s v="1172"/>
    <s v="TK-"/>
    <s v="MT1-d"/>
    <s v="Light Diesel (Day tanks 10,000L to 20,000L)"/>
    <s v="MT1-d"/>
    <s v="Mechanical Equipment"/>
    <s v="Light Diesel Tanks"/>
    <m/>
    <s v="TANK  - MINE SEWAGE TRUCK BUILDING DIESEL FUEL TANK - DTE ULC601-07  "/>
    <s v="4732-TK-003"/>
    <n v="1"/>
    <s v="ea"/>
    <n v="15.5"/>
    <n v="195"/>
    <n v="1548.6574047619049"/>
    <n v="1950"/>
    <n v="3693.6574047619051"/>
    <n v="15.5"/>
    <n v="195"/>
    <n v="1548.6574047619049"/>
    <n v="1950"/>
    <n v="3693.6574047619051"/>
    <n v="20"/>
    <n v="20"/>
    <n v="1"/>
    <n v="0"/>
    <n v="0"/>
    <n v="1"/>
    <n v="3693.6574047619051"/>
    <n v="0"/>
    <n v="0"/>
    <n v="3693.6574047619051"/>
    <s v="Type A  _x000a_2AM-MRY1325"/>
    <m/>
    <n v="2014"/>
    <s v="Direct "/>
    <m/>
    <m/>
    <n v="0.5"/>
    <n v="0.5"/>
    <m/>
    <m/>
    <m/>
    <m/>
    <m/>
    <m/>
    <n v="0"/>
    <m/>
    <n v="1846.8287023809526"/>
    <n v="1846.8287023809526"/>
    <n v="0"/>
    <n v="0"/>
    <n v="0"/>
    <n v="0"/>
    <n v="0"/>
    <n v="0"/>
  </r>
  <r>
    <x v="6"/>
    <x v="6"/>
    <x v="14"/>
    <x v="5"/>
    <x v="48"/>
    <x v="9"/>
    <x v="107"/>
    <x v="10"/>
    <s v="1180"/>
    <s v="BLD"/>
    <s v="FF1"/>
    <s v="Modular Building Not Contaminated (480 ft2)"/>
    <s v="FS"/>
    <s v="Buildings (Not Contaminated)"/>
    <s v="Prefabricated Special Modular"/>
    <m/>
    <s v="Accommodation Area E-House #1 - Demolish and Decontaminate Building - Special Modular / Prefabricated"/>
    <s v="4750-BLD-001"/>
    <n v="59.479553903345725"/>
    <s v="m2"/>
    <n v="0.22416666666666665"/>
    <n v="3.3624999999999998"/>
    <n v="22.397249563492064"/>
    <n v="33.625"/>
    <n v="59.384749563492065"/>
    <n v="13.333333333333332"/>
    <n v="200"/>
    <n v="1332.1784126984128"/>
    <n v="2000"/>
    <n v="3532.178412698413"/>
    <n v="1"/>
    <n v="59.479553903345725"/>
    <n v="1"/>
    <n v="0"/>
    <n v="0"/>
    <n v="1"/>
    <n v="3532.178412698413"/>
    <n v="0"/>
    <n v="0"/>
    <n v="3532.178412698413"/>
    <s v="Type A  _x000a_2AM-MRY1325"/>
    <m/>
    <n v="2014"/>
    <s v="Direct "/>
    <m/>
    <m/>
    <n v="0.33333333333333331"/>
    <n v="0.33333333333333331"/>
    <n v="0.33333333333333331"/>
    <m/>
    <m/>
    <m/>
    <m/>
    <m/>
    <n v="0"/>
    <m/>
    <n v="1177.3928042328043"/>
    <n v="1177.3928042328043"/>
    <n v="1177.3928042328043"/>
    <n v="0"/>
    <n v="0"/>
    <n v="0"/>
    <n v="0"/>
    <n v="0"/>
  </r>
  <r>
    <x v="6"/>
    <x v="6"/>
    <x v="14"/>
    <x v="5"/>
    <x v="48"/>
    <x v="9"/>
    <x v="107"/>
    <x v="10"/>
    <s v="1201"/>
    <s v="BLD"/>
    <s v="FF1"/>
    <s v="Modular Building Not Contaminated (480 ft2)"/>
    <s v="FS"/>
    <s v="Buildings (Not Contaminated)"/>
    <s v="Prefabricated Special Modular"/>
    <m/>
    <s v="Crushing &amp; Screening E-House - Demolish and Decontaminate Building - Special Modular / Prefabricated"/>
    <s v="4750-BLD-008"/>
    <n v="59.479553903345725"/>
    <s v="m2"/>
    <n v="0.22416666666666665"/>
    <n v="3.3624999999999998"/>
    <n v="22.397249563492064"/>
    <n v="33.625"/>
    <n v="59.384749563492065"/>
    <n v="13.333333333333332"/>
    <n v="200"/>
    <n v="1332.1784126984128"/>
    <n v="2000"/>
    <n v="3532.178412698413"/>
    <n v="1"/>
    <n v="59.479553903345725"/>
    <n v="1"/>
    <n v="0"/>
    <n v="0"/>
    <n v="1"/>
    <n v="3532.178412698413"/>
    <n v="0"/>
    <n v="0"/>
    <n v="3532.178412698413"/>
    <s v="Type A  _x000a_2AM-MRY1325"/>
    <m/>
    <n v="2014"/>
    <s v="Direct "/>
    <m/>
    <m/>
    <n v="0.33333333333333331"/>
    <n v="0.33333333333333331"/>
    <n v="0.33333333333333331"/>
    <m/>
    <m/>
    <m/>
    <m/>
    <m/>
    <n v="0"/>
    <m/>
    <n v="1177.3928042328043"/>
    <n v="1177.3928042328043"/>
    <n v="1177.3928042328043"/>
    <n v="0"/>
    <n v="0"/>
    <n v="0"/>
    <n v="0"/>
    <n v="0"/>
  </r>
  <r>
    <x v="6"/>
    <x v="6"/>
    <x v="11"/>
    <x v="3"/>
    <x v="52"/>
    <x v="32"/>
    <x v="108"/>
    <x v="112"/>
    <m/>
    <m/>
    <s v="A3l"/>
    <s v="Grade &amp; Re-Contour with Liner"/>
    <s v="A3l"/>
    <s v="Site Works"/>
    <s v="Grade and Re-Contour With Liner"/>
    <m/>
    <s v="Hazardous Waste Berm"/>
    <s v="MS-HWB-4"/>
    <n v="649"/>
    <s v="m2"/>
    <n v="4.4489880937500004E-2"/>
    <n v="0.17804999999999999"/>
    <n v="4.4489880937499997"/>
    <n v="0.71454534577546303"/>
    <n v="5.3082953457754627"/>
    <n v="28.873932728437502"/>
    <n v="115.55444999999999"/>
    <n v="2887.3932728437499"/>
    <n v="463.73992940827549"/>
    <n v="3445.0836794082752"/>
    <n v="0"/>
    <n v="0"/>
    <n v="1"/>
    <n v="0"/>
    <n v="0"/>
    <n v="1"/>
    <n v="3445.0836794082752"/>
    <n v="0"/>
    <n v="0"/>
    <n v="3445.0836794082752"/>
    <s v="Type A  _x000a_2AM-MRY1325"/>
    <s v="Modified"/>
    <s v="2015 R"/>
    <s v="Direct "/>
    <m/>
    <m/>
    <n v="0.33333333333333331"/>
    <n v="0.33333333333333331"/>
    <n v="0.33333333333333331"/>
    <m/>
    <m/>
    <m/>
    <m/>
    <m/>
    <n v="0"/>
    <m/>
    <n v="1148.361226469425"/>
    <n v="1148.361226469425"/>
    <n v="1148.361226469425"/>
    <n v="0"/>
    <n v="0"/>
    <n v="0"/>
    <n v="0"/>
    <n v="0"/>
  </r>
  <r>
    <x v="6"/>
    <x v="6"/>
    <x v="18"/>
    <x v="11"/>
    <x v="36"/>
    <x v="26"/>
    <x v="132"/>
    <x v="60"/>
    <s v="009"/>
    <s v="BLD"/>
    <s v="FF1"/>
    <s v="Modular Building Not Contaminated (480 ft2)"/>
    <s v="FTR1"/>
    <s v="Buildings (Not Contaminated)"/>
    <s v="Single Trailers (modular)"/>
    <m/>
    <s v="Geology ‘core’ building  - Demolish and Decontaminate Building - Trailer - Single"/>
    <s v="4000-BLD-GEO-002"/>
    <n v="54"/>
    <s v="m2"/>
    <n v="0.22416666666666665"/>
    <n v="3.3624999999999998"/>
    <n v="22.397249563492064"/>
    <n v="33.625"/>
    <n v="59.384749563492065"/>
    <n v="12.104999999999999"/>
    <n v="181.57499999999999"/>
    <n v="1209.4514764285714"/>
    <n v="1815.75"/>
    <n v="3206.7764764285716"/>
    <n v="1"/>
    <n v="54"/>
    <n v="1"/>
    <n v="0"/>
    <n v="0"/>
    <n v="1"/>
    <n v="3206.7764764285716"/>
    <n v="0"/>
    <n v="0"/>
    <n v="3206.7764764285716"/>
    <s v="Type A  _x000a_2AM-MRY1325"/>
    <s v="Added"/>
    <s v="2015 R"/>
    <s v="Direct "/>
    <m/>
    <m/>
    <n v="0.33333333333333331"/>
    <n v="0.33333333333333331"/>
    <n v="0.33333333333333331"/>
    <m/>
    <m/>
    <m/>
    <m/>
    <m/>
    <n v="0"/>
    <m/>
    <n v="1068.9254921428571"/>
    <n v="1068.9254921428571"/>
    <n v="1068.9254921428571"/>
    <n v="0"/>
    <n v="0"/>
    <n v="0"/>
    <n v="0"/>
    <n v="0"/>
  </r>
  <r>
    <x v="6"/>
    <x v="6"/>
    <x v="11"/>
    <x v="3"/>
    <x v="52"/>
    <x v="32"/>
    <x v="108"/>
    <x v="112"/>
    <m/>
    <m/>
    <s v="A3l"/>
    <s v="Grade &amp; Re-Contour with Liner"/>
    <s v="A3l"/>
    <s v="Site Works"/>
    <s v="Grade and Re-Contour With Liner"/>
    <m/>
    <s v="Hazardous Waste Berm"/>
    <s v="MS-HWB-3"/>
    <n v="600"/>
    <s v="m2"/>
    <n v="4.4489880937500004E-2"/>
    <n v="0.17804999999999999"/>
    <n v="4.4489880937499997"/>
    <n v="0.71454534577546303"/>
    <n v="5.3082953457754627"/>
    <n v="26.693928562500002"/>
    <n v="106.83"/>
    <n v="2669.39285625"/>
    <n v="428.72720746527784"/>
    <n v="3184.9772074652774"/>
    <n v="0"/>
    <n v="0"/>
    <n v="1"/>
    <n v="0"/>
    <n v="0"/>
    <n v="1"/>
    <n v="3184.9772074652774"/>
    <n v="0"/>
    <n v="0"/>
    <n v="3184.9772074652774"/>
    <s v="Type A  _x000a_2AM-MRY1325"/>
    <s v="Modified"/>
    <s v="2015 R"/>
    <s v="Direct "/>
    <m/>
    <m/>
    <n v="0.33333333333333331"/>
    <n v="0.33333333333333331"/>
    <n v="0.33333333333333331"/>
    <m/>
    <m/>
    <m/>
    <m/>
    <m/>
    <n v="0"/>
    <m/>
    <n v="1061.6590691550923"/>
    <n v="1061.6590691550923"/>
    <n v="1061.6590691550923"/>
    <n v="0"/>
    <n v="0"/>
    <n v="0"/>
    <n v="0"/>
    <n v="0"/>
  </r>
  <r>
    <x v="6"/>
    <x v="6"/>
    <x v="11"/>
    <x v="3"/>
    <x v="52"/>
    <x v="32"/>
    <x v="108"/>
    <x v="112"/>
    <m/>
    <m/>
    <s v="A3l"/>
    <s v="Grade &amp; Re-Contour with Liner"/>
    <s v="A3l"/>
    <s v="Site Works"/>
    <s v="Grade and Re-Contour With Liner"/>
    <m/>
    <s v="Hazardous Waste Berm"/>
    <s v="MS-HWB-6"/>
    <n v="550"/>
    <s v="m2"/>
    <n v="4.4489880937500004E-2"/>
    <n v="0.17804999999999999"/>
    <n v="4.4489880937499997"/>
    <n v="0.71454534577546303"/>
    <n v="5.3082953457754627"/>
    <n v="24.469434515625004"/>
    <n v="97.927499999999995"/>
    <n v="2446.9434515624998"/>
    <n v="392.99994017650465"/>
    <n v="2919.5624401765044"/>
    <n v="0"/>
    <n v="0"/>
    <n v="1"/>
    <n v="0"/>
    <n v="0"/>
    <n v="1"/>
    <n v="2919.5624401765044"/>
    <n v="0"/>
    <n v="0"/>
    <n v="2919.5624401765044"/>
    <s v="Type A  _x000a_2AM-MRY1325"/>
    <s v="Added"/>
    <s v="2015 R"/>
    <s v="Direct "/>
    <m/>
    <m/>
    <n v="0.33333333333333331"/>
    <n v="0.33333333333333331"/>
    <n v="0.33333333333333331"/>
    <m/>
    <m/>
    <m/>
    <m/>
    <m/>
    <n v="0"/>
    <m/>
    <n v="973.18748005883481"/>
    <n v="973.18748005883481"/>
    <n v="973.18748005883481"/>
    <n v="0"/>
    <n v="0"/>
    <n v="0"/>
    <n v="0"/>
    <n v="0"/>
  </r>
  <r>
    <x v="6"/>
    <x v="6"/>
    <x v="11"/>
    <x v="3"/>
    <x v="19"/>
    <x v="4"/>
    <x v="31"/>
    <x v="12"/>
    <s v="956"/>
    <s v="BLD"/>
    <m/>
    <e v="#N/A"/>
    <s v="FW"/>
    <s v="Flooring / Foundations"/>
    <s v="Wood Floor"/>
    <m/>
    <s v="Workshop Office Washcar - Demolish floor finish - Raised Steel or Wooden Floor"/>
    <s v="4521-BLD-005"/>
    <n v="35.68773234200743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21"/>
    <x v="16"/>
    <x v="34"/>
    <x v="30"/>
    <m/>
    <s v="MO-"/>
    <s v="O3"/>
    <s v="Heavy Mobile Equipment"/>
    <s v="O3"/>
    <s v="Mobile Equipment"/>
    <s v="Heavy Mobile Equipment"/>
    <m/>
    <s v="Grader"/>
    <m/>
    <n v="1"/>
    <s v="ea"/>
    <n v="13"/>
    <n v="120"/>
    <n v="1298.8739523809525"/>
    <n v="1200"/>
    <n v="2618.8739523809527"/>
    <n v="13"/>
    <n v="120"/>
    <n v="1298.8739523809525"/>
    <n v="1200"/>
    <n v="2618.8739523809527"/>
    <n v="96"/>
    <n v="96"/>
    <n v="1"/>
    <n v="0"/>
    <n v="0"/>
    <n v="1"/>
    <n v="2618.8739523809527"/>
    <n v="0"/>
    <n v="0"/>
    <n v="2618.8739523809527"/>
    <s v="Type A  _x000a_2AM-MRY1325"/>
    <s v="Added"/>
    <n v="2017"/>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77 Haul Truck"/>
    <m/>
    <n v="1"/>
    <s v="ea"/>
    <n v="13"/>
    <n v="120"/>
    <n v="1298.8739523809525"/>
    <n v="1200"/>
    <n v="2618.8739523809527"/>
    <n v="13"/>
    <n v="120"/>
    <n v="1298.8739523809525"/>
    <n v="1200"/>
    <n v="2618.8739523809527"/>
    <n v="96"/>
    <n v="96"/>
    <n v="1"/>
    <n v="0"/>
    <n v="0"/>
    <n v="1"/>
    <n v="2618.8739523809527"/>
    <n v="0"/>
    <n v="0"/>
    <n v="2618.8739523809527"/>
    <s v="Type A  _x000a_2AM-MRY1325"/>
    <s v="Added"/>
    <n v="2017"/>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D10 Dozer"/>
    <m/>
    <n v="1"/>
    <s v="ea"/>
    <n v="13"/>
    <n v="120"/>
    <n v="1298.8739523809525"/>
    <n v="1200"/>
    <n v="2618.8739523809527"/>
    <n v="13"/>
    <n v="120"/>
    <n v="1298.8739523809525"/>
    <n v="1200"/>
    <n v="2618.8739523809527"/>
    <n v="96"/>
    <n v="96"/>
    <n v="1"/>
    <n v="0"/>
    <n v="0"/>
    <n v="1"/>
    <n v="2618.8739523809527"/>
    <n v="0"/>
    <n v="0"/>
    <n v="2618.8739523809527"/>
    <s v="Type A  _x000a_2AM-MRY1325"/>
    <s v="Added"/>
    <n v="2017"/>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Fuel/ Lube Truck"/>
    <m/>
    <n v="1"/>
    <s v="ea"/>
    <n v="13"/>
    <n v="120"/>
    <n v="1298.8739523809525"/>
    <n v="1200"/>
    <n v="2618.8739523809527"/>
    <n v="13"/>
    <n v="120"/>
    <n v="1298.8739523809525"/>
    <n v="1200"/>
    <n v="2618.8739523809527"/>
    <n v="96"/>
    <n v="96"/>
    <n v="1"/>
    <n v="0"/>
    <n v="0"/>
    <n v="1"/>
    <n v="2618.8739523809527"/>
    <n v="0"/>
    <n v="0"/>
    <n v="2618.8739523809527"/>
    <s v="Type A  _x000a_2AM-MRY1325"/>
    <s v="Added"/>
    <n v="2017"/>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Telehandler"/>
    <m/>
    <n v="1"/>
    <s v="ea"/>
    <n v="13"/>
    <n v="120"/>
    <n v="1298.8739523809525"/>
    <n v="1200"/>
    <n v="2618.8739523809527"/>
    <n v="13"/>
    <n v="120"/>
    <n v="1298.8739523809525"/>
    <n v="1200"/>
    <n v="2618.8739523809527"/>
    <n v="96"/>
    <n v="96"/>
    <n v="1"/>
    <n v="0"/>
    <n v="0"/>
    <n v="1"/>
    <n v="2618.8739523809527"/>
    <n v="0"/>
    <n v="0"/>
    <n v="2618.8739523809527"/>
    <s v="Type A  _x000a_2AM-MRY1325"/>
    <s v="Added"/>
    <n v="2017"/>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Zoom Boom"/>
    <m/>
    <n v="1"/>
    <s v="ea"/>
    <n v="13"/>
    <n v="120"/>
    <n v="1298.8739523809525"/>
    <n v="1200"/>
    <n v="2618.8739523809527"/>
    <n v="13"/>
    <n v="120"/>
    <n v="1298.8739523809525"/>
    <n v="1200"/>
    <n v="2618.8739523809527"/>
    <n v="96"/>
    <n v="96"/>
    <n v="1"/>
    <n v="0"/>
    <n v="0"/>
    <n v="1"/>
    <n v="2618.8739523809527"/>
    <n v="0"/>
    <n v="0"/>
    <n v="2618.8739523809527"/>
    <s v="Type A  _x000a_2AM-MRY1325"/>
    <s v="Added"/>
    <n v="2017"/>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PETERBILT SERVICE TRUCK 2014"/>
    <s v="HTP01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FREIGHTLINER VAC TRUCK"/>
    <s v="HTP01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FREIGHTLINER M2 SERVICE TRUCK"/>
    <s v="HTP02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50H SNOW REMOVAL LOADER"/>
    <s v="LDR01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2014 MACK JET FUEL TRUCK"/>
    <s v="FLT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SUPER B FUEL TANKER LEAD UNIT"/>
    <s v="FLT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TRI AXLE FUEL TRAILER"/>
    <s v="FLT00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SUPER B FUEL TRAILER PUP UNIT"/>
    <s v="FLT00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FUEL/LUBE TRUCK"/>
    <s v="FLT01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FREIGHTLINER M2 FUEL TRUCK"/>
    <s v="FLT01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0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0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0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0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1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ROCK TRUCK"/>
    <s v="ART02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WATER/SAND TRUCK"/>
    <s v="AWT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40B ARTICULATING WATER TRUCK"/>
    <s v="AWT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CONTAINER HANDLER"/>
    <s v="CNH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TEREX RT780 CRANE"/>
    <s v="CRN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TEREX RT130 CRANE"/>
    <s v="CRN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MANITOWOC CRANE MODEL 2250"/>
    <s v="CRN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MOBILE SPYDER CRANE W706"/>
    <s v="CRN00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BOOM CRANE, CONMA, MTP016"/>
    <s v="CRN00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TAMROCK RANDER 800-2 HYDRAULIC DRILL 200"/>
    <s v="DRL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MD6290 CAT ROTARY PRODUCTION DRILL"/>
    <s v="DRL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MD6290 CAT ROTARY PRODUCTION DRILL"/>
    <s v="DRL00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SHKOSH FIRE TRUCK 1993 -T1500 MR"/>
    <s v="EMG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390DL EXCAVATOR CATERPILLAR"/>
    <s v="EXC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390DL EXCAVATOR CATERPILLAR"/>
    <s v="EXC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345DL EXCAVATOR CATERPILLAR"/>
    <s v="EXC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345DL EXCAVATOR CATERPILLAR"/>
    <s v="EXC00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345DL EXCAVATOR CATERPILLAR"/>
    <s v="EXC00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M320F EXCAVATOR CATERPILLAR RUBBER TIRE"/>
    <s v="EXC00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16H CATERPILLAR GRADER"/>
    <s v="GRD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16M CATERPILLAR GRADER"/>
    <s v="GRD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14M CATERPILLAR GRADER"/>
    <s v="GRD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14M CATERPILLAR GRADER W/WING"/>
    <s v="GRD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14M CATERPILLAR GRADER"/>
    <s v="GRD00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14M CATERPILLAR GRADER W/WING"/>
    <s v="GRD00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92K WHEEL LOADER"/>
    <s v="LDR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88H WHEEL LOADER"/>
    <s v="LDR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88H WHEEL LOADER"/>
    <s v="LDR00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88H WHEEL LOADER"/>
    <s v="LDR01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88H WHEEL LOADER"/>
    <s v="LDR01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30K WHEEL LOADER"/>
    <s v="LDR01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30K WHEEL LOADER"/>
    <s v="LDR01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30K WHEEL LOADER"/>
    <s v="LDR01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30K WHEEL LOADER"/>
    <s v="LDR01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IT14 LOADER  NFLD HARDROCK"/>
    <s v="LDR01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906 CATERPILLAR LOADER"/>
    <s v="LDR02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VOLVO L-180 LOADER - W/TIRE MANIPULATOR"/>
    <s v="LDR02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77G MINE HAUL TRUCK"/>
    <s v="MHT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77G MINE HAUL TRUCK"/>
    <s v="MHT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77G MINE HAUL TRUCK"/>
    <s v="MHT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777G MINE HAUL TRUCK"/>
    <s v="MHT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0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1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2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ORE HAUL TRUCK"/>
    <s v="OHT03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0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1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2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0"/>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1"/>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2"/>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3"/>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4"/>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5"/>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6"/>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7"/>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8"/>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ORE HAUL LEAD TRAILER"/>
    <s v="OHT1039"/>
    <n v="1"/>
    <s v="ea"/>
    <n v="13"/>
    <n v="120"/>
    <n v="1298.8739523809525"/>
    <n v="1200"/>
    <n v="2618.8739523809527"/>
    <n v="13"/>
    <n v="120"/>
    <n v="1298.8739523809525"/>
    <n v="1200"/>
    <n v="2618.8739523809527"/>
    <n v="96"/>
    <n v="96"/>
    <n v="1"/>
    <n v="0"/>
    <n v="0"/>
    <n v="1"/>
    <n v="2618.8739523809527"/>
    <n v="0"/>
    <n v="0"/>
    <n v="2618.8739523809527"/>
    <s v="Type A  _x000a_2AM-MRY1325"/>
    <s v="Added"/>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s v="3rd Party Equipment"/>
    <s v="Truck Wash Facility"/>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s v="3rd Party Equipment"/>
    <s v="Container Handler"/>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s v="3rd Party Equipment"/>
    <s v="Gantry Crane"/>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s v="3rd Party Equipment"/>
    <s v="Single Pass Production Drill"/>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s v="3rd Party Equipment"/>
    <s v="Ore Haul Truck Workshop"/>
    <m/>
    <n v="1"/>
    <s v="ea"/>
    <n v="13"/>
    <n v="120"/>
    <n v="1298.8739523809525"/>
    <n v="1200"/>
    <n v="2618.8739523809527"/>
    <n v="13"/>
    <n v="120"/>
    <n v="1298.8739523809525"/>
    <n v="1200"/>
    <n v="2618.8739523809527"/>
    <n v="96"/>
    <n v="96"/>
    <n v="1"/>
    <n v="0"/>
    <n v="0"/>
    <n v="1"/>
    <n v="2618.8739523809527"/>
    <n v="0"/>
    <n v="0"/>
    <n v="2618.8739523809527"/>
    <s v="Type A  _x000a_2AM-MRY1325"/>
    <s v="Added"/>
    <n v="2016"/>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LOADER VOLVO-L-180E C/W TIRE HANDLER &amp; 3 CRATES IN CAB"/>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HP 400RD PLANT CRUSHER S/N MC-0401/MC2015102"/>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FORD F650 SERVICE TRUCK VIN# 3FDNF65H13MB00286"/>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ORE TRAILER OFF-ROAD MINE MODEL HDT4-38-23 S/N 712379"/>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WESTERN STAR TRUCK + 10 SPARE TIRES STRAPPED ON TRUCK"/>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WESTERN STAR TRUCK (2 PALLETS STRAPPED ON TRUCK)"/>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WESTERN STAR TRUCK (OHT031)"/>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WESTERN STAR TRUCK"/>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2005 WESTERN STAR VIN# 1XKCPBEX85R980272"/>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2015 CAT 14M GRADER YELLOW VIN# 8814WKR9J88448"/>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2012 CAT 14M GRADER YELLOW"/>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WINCH TRUCK"/>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TRAILER DUMP TRUCK TRIAXLE S/N# 2ATE060336A003392"/>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2016 WETSERN STAR TRUCK VIN: 5KJRASD19GPHD7171"/>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2016 WESTERN STAR TRUCK VIN: 5KJRASD14GPHD7174"/>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2016 WESTERN STAR TRUCK  VIN: 5KJRASD12GPHD7173"/>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2016 WESTERN STAR TRUCK VIN: 5KJRASD10GPHD7172"/>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D9T CATERPILLAR DOZER"/>
    <s v="DZR006"/>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D9T CATERPILLAR DOZER"/>
    <s v="DZR007"/>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824H CATERPILLAR RUBBER TIRED DOZER"/>
    <s v="DZR011"/>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D9T CATERPILLAR DOZER"/>
    <s v="DZR012"/>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TRACTOR"/>
    <s v="FLT005"/>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PETERBILT ROAD MAINTENANCE 2013"/>
    <s v="HTP005"/>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STERLING BOOM TRUCK W/ MANITEX CRANE"/>
    <s v="HTP006"/>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STERLING BOOM TRUCK W/ MANITEX CRANE"/>
    <s v="HTP007"/>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PETERBILT 367 TRACTOR 2017"/>
    <s v="HTP009"/>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KENWORTH TOW TRUCK"/>
    <s v="HTP010"/>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PETERBILT TRACTOR 2014"/>
    <s v="HTP011"/>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PETERBILT TRACTOR 2014"/>
    <s v="HTP013"/>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INTERNATIONAL PLOW TRUCK"/>
    <s v="HTP016"/>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INTERNATIONAL BOOM TRUCK KNUCKLE"/>
    <s v="HTP019"/>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4900 2014 (NFLD HARD ROCK)"/>
    <s v="HTP024"/>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4900 2014 (NFLD HARD ROCK)"/>
    <s v="HTP025"/>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TRACTOR"/>
    <s v="HTP029"/>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TRACTOR"/>
    <s v="HTP032"/>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4"/>
    <x v="30"/>
    <m/>
    <s v="MO-"/>
    <s v="O3"/>
    <s v="Heavy Mobile Equipment"/>
    <s v="O3"/>
    <s v="Mobile Equipment"/>
    <s v="Heavy Mobile Equipment"/>
    <m/>
    <s v="WESTERN STAR TRACTOR"/>
    <s v="HTP033"/>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TRACTOR FRTL CABOVER UNIT 512109"/>
    <m/>
    <n v="1"/>
    <s v="ea"/>
    <n v="13"/>
    <n v="120"/>
    <n v="1298.8739523809525"/>
    <n v="1200"/>
    <n v="2618.8739523809527"/>
    <n v="13"/>
    <n v="120"/>
    <n v="1298.8739523809525"/>
    <n v="1200"/>
    <n v="2618.8739523809527"/>
    <n v="96"/>
    <n v="96"/>
    <n v="1"/>
    <n v="0"/>
    <n v="0"/>
    <n v="1"/>
    <n v="2618.8739523809527"/>
    <n v="0"/>
    <n v="0"/>
    <n v="2618.8739523809527"/>
    <s v="Type A  _x000a_2AM-MRY1325"/>
    <s v="Modified (2017A)"/>
    <s v="2015 R"/>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BRODERSON 16 80 CRANE"/>
    <m/>
    <n v="1"/>
    <s v="ea"/>
    <n v="13"/>
    <n v="120"/>
    <n v="1298.8739523809525"/>
    <n v="1200"/>
    <n v="2618.8739523809527"/>
    <n v="13"/>
    <n v="120"/>
    <n v="1298.8739523809525"/>
    <n v="1200"/>
    <n v="2618.8739523809527"/>
    <n v="96"/>
    <n v="96"/>
    <n v="1"/>
    <n v="0"/>
    <n v="0"/>
    <n v="1"/>
    <n v="2618.8739523809527"/>
    <n v="0"/>
    <n v="0"/>
    <n v="2618.8739523809527"/>
    <s v="Type A  _x000a_2AM-MRY1325"/>
    <s v="Added "/>
    <s v="2015 R"/>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745C Rock Truck"/>
    <s v="TFK00727"/>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745C Rock Truck"/>
    <s v="TFK01304"/>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745C Rock Truck"/>
    <s v="TFK01306"/>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745C Rock Truck"/>
    <s v="TFK01308"/>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745C Rock Truck"/>
    <s v="TFK00734"/>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1"/>
    <x v="1"/>
    <x v="8"/>
    <x v="8"/>
    <x v="23"/>
    <x v="16"/>
    <x v="37"/>
    <x v="33"/>
    <m/>
    <s v="MO-"/>
    <s v="O3"/>
    <s v="Heavy Mobile Equipment"/>
    <s v="O3"/>
    <s v="Mobile Equipment"/>
    <s v="Heavy Mobile Equipment"/>
    <m/>
    <s v="745C Rock Truck"/>
    <s v="TFK00743"/>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4"/>
    <x v="5"/>
    <x v="48"/>
    <x v="9"/>
    <x v="107"/>
    <x v="10"/>
    <s v="1183"/>
    <s v="BLD"/>
    <s v="FF1"/>
    <s v="Modular Building Not Contaminated (480 ft2)"/>
    <s v="FS"/>
    <s v="Buildings (Not Contaminated)"/>
    <s v="Prefabricated Special Modular"/>
    <m/>
    <s v="Accommodation Area E-House #2 - Demolish and Decontaminate Building - Special Modular / Prefabricated"/>
    <s v="4750-BLD-002"/>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A  _x000a_2AM-MRY1325"/>
    <m/>
    <n v="2014"/>
    <s v="Direct "/>
    <m/>
    <m/>
    <n v="0.33333333333333331"/>
    <n v="0.33333333333333331"/>
    <n v="0.33333333333333331"/>
    <m/>
    <m/>
    <m/>
    <m/>
    <m/>
    <n v="0"/>
    <m/>
    <n v="735.87050264550271"/>
    <n v="735.87050264550271"/>
    <n v="735.87050264550271"/>
    <n v="0"/>
    <n v="0"/>
    <n v="0"/>
    <n v="0"/>
    <n v="0"/>
  </r>
  <r>
    <x v="6"/>
    <x v="6"/>
    <x v="14"/>
    <x v="5"/>
    <x v="48"/>
    <x v="9"/>
    <x v="107"/>
    <x v="10"/>
    <s v="1186"/>
    <s v="BLD"/>
    <s v="FF1"/>
    <s v="Modular Building Not Contaminated (480 ft2)"/>
    <s v="FS"/>
    <s v="Buildings (Not Contaminated)"/>
    <s v="Prefabricated Special Modular"/>
    <m/>
    <s v="Services Area E-House #1 - Demolish and Decontaminate Building - Special Modular / Prefabricated"/>
    <s v="4750-BLD-003"/>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A  _x000a_2AM-MRY1325"/>
    <m/>
    <n v="2014"/>
    <s v="Direct "/>
    <m/>
    <m/>
    <n v="0.33333333333333331"/>
    <n v="0.33333333333333331"/>
    <n v="0.33333333333333331"/>
    <m/>
    <m/>
    <m/>
    <m/>
    <m/>
    <n v="0"/>
    <m/>
    <n v="735.87050264550271"/>
    <n v="735.87050264550271"/>
    <n v="735.87050264550271"/>
    <n v="0"/>
    <n v="0"/>
    <n v="0"/>
    <n v="0"/>
    <n v="0"/>
  </r>
  <r>
    <x v="6"/>
    <x v="6"/>
    <x v="14"/>
    <x v="5"/>
    <x v="48"/>
    <x v="9"/>
    <x v="107"/>
    <x v="10"/>
    <s v="1189"/>
    <s v="BLD"/>
    <s v="FF1"/>
    <s v="Modular Building Not Contaminated (480 ft2)"/>
    <s v="FS"/>
    <s v="Buildings (Not Contaminated)"/>
    <s v="Prefabricated Special Modular"/>
    <m/>
    <s v="Services Area E-House #2 - Demolish and Decontaminate Building - Special Modular / Prefabricated"/>
    <s v="4750-BLD-004"/>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A  _x000a_2AM-MRY1325"/>
    <m/>
    <n v="2014"/>
    <s v="Direct "/>
    <m/>
    <m/>
    <n v="0.33333333333333331"/>
    <n v="0.33333333333333331"/>
    <n v="0.33333333333333331"/>
    <m/>
    <m/>
    <m/>
    <m/>
    <m/>
    <n v="0"/>
    <m/>
    <n v="735.87050264550271"/>
    <n v="735.87050264550271"/>
    <n v="735.87050264550271"/>
    <n v="0"/>
    <n v="0"/>
    <n v="0"/>
    <n v="0"/>
    <n v="0"/>
  </r>
  <r>
    <x v="6"/>
    <x v="6"/>
    <x v="14"/>
    <x v="5"/>
    <x v="48"/>
    <x v="9"/>
    <x v="107"/>
    <x v="10"/>
    <s v="1192"/>
    <s v="BLD"/>
    <s v="FF1"/>
    <s v="Modular Building Not Contaminated (480 ft2)"/>
    <s v="FS"/>
    <s v="Buildings (Not Contaminated)"/>
    <s v="Prefabricated Special Modular"/>
    <m/>
    <s v="Fuel Tank Farm E-House - Demolish and Decontaminate Building - Special Modular / Prefabricated"/>
    <s v="4750-BLD-005"/>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A  _x000a_2AM-MRY1325"/>
    <m/>
    <n v="2014"/>
    <s v="Direct "/>
    <m/>
    <m/>
    <n v="0.5"/>
    <n v="0.5"/>
    <m/>
    <m/>
    <m/>
    <m/>
    <m/>
    <m/>
    <n v="0"/>
    <m/>
    <n v="1103.8057539682541"/>
    <n v="1103.8057539682541"/>
    <n v="0"/>
    <n v="0"/>
    <n v="0"/>
    <n v="0"/>
    <n v="0"/>
    <n v="0"/>
  </r>
  <r>
    <x v="6"/>
    <x v="6"/>
    <x v="14"/>
    <x v="5"/>
    <x v="48"/>
    <x v="9"/>
    <x v="107"/>
    <x v="10"/>
    <s v="1195"/>
    <s v="BLD"/>
    <s v="FF1"/>
    <s v="Modular Building Not Contaminated (480 ft2)"/>
    <s v="FS"/>
    <s v="Buildings (Not Contaminated)"/>
    <s v="Prefabricated Special Modular"/>
    <m/>
    <s v="Aerodrome Area E-House  - Demolish and Decontaminate Building - Special Modular / Prefabricated"/>
    <s v="4750-BLD-006"/>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A  _x000a_2AM-MRY1325"/>
    <m/>
    <n v="2014"/>
    <s v="Direct "/>
    <m/>
    <m/>
    <n v="0.33333333333333331"/>
    <n v="0.33333333333333331"/>
    <n v="0.33333333333333331"/>
    <m/>
    <m/>
    <m/>
    <m/>
    <m/>
    <n v="0"/>
    <m/>
    <n v="735.87050264550271"/>
    <n v="735.87050264550271"/>
    <n v="735.87050264550271"/>
    <n v="0"/>
    <n v="0"/>
    <n v="0"/>
    <n v="0"/>
    <n v="0"/>
  </r>
  <r>
    <x v="6"/>
    <x v="6"/>
    <x v="14"/>
    <x v="5"/>
    <x v="48"/>
    <x v="9"/>
    <x v="107"/>
    <x v="10"/>
    <s v="1198"/>
    <s v="BLD"/>
    <s v="FF1"/>
    <s v="Modular Building Not Contaminated (480 ft2)"/>
    <s v="FS"/>
    <s v="Buildings (Not Contaminated)"/>
    <s v="Prefabricated Special Modular"/>
    <m/>
    <s v="Raw Water Supply E-House - Demolish and Decontaminate Building - Special Modular / Prefabricated"/>
    <s v="4750-BLD-007"/>
    <n v="37.174721189591082"/>
    <s v="m2"/>
    <n v="0.22416666666666665"/>
    <n v="3.3624999999999998"/>
    <n v="22.397249563492064"/>
    <n v="33.625"/>
    <n v="59.384749563492065"/>
    <n v="8.3333333333333339"/>
    <n v="125.00000000000001"/>
    <n v="832.61150793650802"/>
    <n v="1250.0000000000002"/>
    <n v="2207.6115079365081"/>
    <n v="1"/>
    <n v="37.174721189591082"/>
    <n v="1"/>
    <n v="0"/>
    <n v="0"/>
    <n v="1"/>
    <n v="2207.6115079365081"/>
    <n v="0"/>
    <n v="0"/>
    <n v="2207.6115079365081"/>
    <s v="Type A  _x000a_2AM-MRY1325"/>
    <m/>
    <n v="2014"/>
    <s v="Direct "/>
    <m/>
    <m/>
    <n v="0.33333333333333331"/>
    <n v="0.33333333333333331"/>
    <n v="0.33333333333333331"/>
    <m/>
    <m/>
    <m/>
    <m/>
    <m/>
    <n v="0"/>
    <m/>
    <n v="735.87050264550271"/>
    <n v="735.87050264550271"/>
    <n v="735.87050264550271"/>
    <n v="0"/>
    <n v="0"/>
    <n v="0"/>
    <n v="0"/>
    <n v="0"/>
  </r>
  <r>
    <x v="6"/>
    <x v="6"/>
    <x v="14"/>
    <x v="5"/>
    <x v="48"/>
    <x v="9"/>
    <x v="107"/>
    <x v="10"/>
    <s v="012"/>
    <s v="BLD"/>
    <s v="FF1"/>
    <s v="Modular Building Not Contaminated (480 ft2)"/>
    <s v="FS"/>
    <s v="Buildings (Not Contaminated)"/>
    <s v="Prefabricated Special Modular"/>
    <m/>
    <s v="Services Area E-House #3 - Demolish and Decontaminate Building - Special Modular / Prefabricated"/>
    <s v="4750-BLD-012"/>
    <n v="37.161217438644513"/>
    <s v="m2"/>
    <n v="0.22416666666666665"/>
    <n v="3.3624999999999998"/>
    <n v="22.397249563492064"/>
    <n v="33.625"/>
    <n v="59.384749563492065"/>
    <n v="8.3303062424961443"/>
    <n v="124.95459363744217"/>
    <n v="832.30906105651445"/>
    <n v="1249.5459363744217"/>
    <n v="2206.8095910683783"/>
    <n v="1"/>
    <n v="37.161217438644513"/>
    <n v="1"/>
    <n v="0"/>
    <n v="0"/>
    <n v="1"/>
    <n v="2206.8095910683783"/>
    <n v="0"/>
    <n v="0"/>
    <n v="2206.8095910683783"/>
    <s v="Type A  _x000a_2AM-MRY1325"/>
    <m/>
    <s v="2015 A"/>
    <s v="Direct "/>
    <m/>
    <m/>
    <n v="0.33333333333333331"/>
    <n v="0.33333333333333331"/>
    <n v="0.33333333333333331"/>
    <m/>
    <m/>
    <m/>
    <m/>
    <m/>
    <n v="0"/>
    <m/>
    <n v="735.60319702279276"/>
    <n v="735.60319702279276"/>
    <n v="735.60319702279276"/>
    <n v="0"/>
    <n v="0"/>
    <n v="0"/>
    <n v="0"/>
    <n v="0"/>
  </r>
  <r>
    <x v="6"/>
    <x v="6"/>
    <x v="12"/>
    <x v="8"/>
    <x v="21"/>
    <x v="16"/>
    <x v="39"/>
    <x v="30"/>
    <m/>
    <s v="TK-"/>
    <s v="MT1"/>
    <s v="Light Tanks"/>
    <s v="MT1"/>
    <s v="Mechanical Equipment"/>
    <s v="Light Tanks"/>
    <m/>
    <s v="1650 GAL. VERTICAL STORAGE TANK"/>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
    <s v="2015 R"/>
    <s v="Direct "/>
    <m/>
    <m/>
    <n v="0.33333333333333331"/>
    <m/>
    <n v="0.33333333333333331"/>
    <m/>
    <m/>
    <m/>
    <m/>
    <n v="0.33333333333333331"/>
    <n v="0"/>
    <m/>
    <n v="716.10978306878314"/>
    <n v="0"/>
    <n v="716.10978306878314"/>
    <n v="0"/>
    <n v="0"/>
    <n v="0"/>
    <n v="0"/>
    <n v="716.10978306878314"/>
  </r>
  <r>
    <x v="6"/>
    <x v="6"/>
    <x v="12"/>
    <x v="8"/>
    <x v="21"/>
    <x v="16"/>
    <x v="39"/>
    <x v="30"/>
    <m/>
    <s v="TK-"/>
    <s v="MT1"/>
    <s v="Light Tanks"/>
    <s v="MT1"/>
    <s v="Mechanical Equipment"/>
    <s v="Light Tanks"/>
    <m/>
    <s v="1650 GAL. VERTICAL STORAGE TANK"/>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
    <s v="2015 R"/>
    <s v="Direct "/>
    <m/>
    <m/>
    <n v="0.33333333333333331"/>
    <m/>
    <n v="0.33333333333333331"/>
    <m/>
    <m/>
    <m/>
    <m/>
    <n v="0.33333333333333331"/>
    <n v="0"/>
    <m/>
    <n v="716.10978306878314"/>
    <n v="0"/>
    <n v="716.10978306878314"/>
    <n v="0"/>
    <n v="0"/>
    <n v="0"/>
    <n v="0"/>
    <n v="716.10978306878314"/>
  </r>
  <r>
    <x v="6"/>
    <x v="6"/>
    <x v="12"/>
    <x v="8"/>
    <x v="21"/>
    <x v="16"/>
    <x v="39"/>
    <x v="30"/>
    <m/>
    <s v="TK-"/>
    <s v="MT1"/>
    <s v="Light Tanks"/>
    <s v="MT1"/>
    <s v="Mechanical Equipment"/>
    <s v="Light Tanks"/>
    <m/>
    <s v="1650 GAL. VERTICAL STORAGE TANK + BOX PLASTIC FITTINGS"/>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
    <s v="2015 R"/>
    <s v="Direct "/>
    <m/>
    <m/>
    <n v="0.33333333333333331"/>
    <m/>
    <n v="0.33333333333333331"/>
    <m/>
    <m/>
    <m/>
    <m/>
    <n v="0.33333333333333331"/>
    <n v="0"/>
    <m/>
    <n v="716.10978306878314"/>
    <n v="0"/>
    <n v="716.10978306878314"/>
    <n v="0"/>
    <n v="0"/>
    <n v="0"/>
    <n v="0"/>
    <n v="716.10978306878314"/>
  </r>
  <r>
    <x v="6"/>
    <x v="6"/>
    <x v="20"/>
    <x v="12"/>
    <x v="51"/>
    <x v="28"/>
    <x v="129"/>
    <x v="123"/>
    <s v="838"/>
    <s v="TK-"/>
    <s v="MT1"/>
    <s v="Light Tanks"/>
    <s v="MT1"/>
    <s v="Mechanical Equipment"/>
    <s v="Light Tanks"/>
    <m/>
    <s v="TANK  - AERODROME OFFICE RAW WATER TANK - NORWESCO  L: 1613 _x000a_W: 737 _x000a_H: 1676 "/>
    <s v="4431-TK-001"/>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m/>
    <n v="2014"/>
    <s v="Direct "/>
    <m/>
    <m/>
    <n v="0.33333333333333331"/>
    <n v="0.33333333333333331"/>
    <n v="0.33333333333333331"/>
    <m/>
    <m/>
    <m/>
    <m/>
    <m/>
    <n v="0"/>
    <m/>
    <n v="716.10978306878314"/>
    <n v="716.10978306878314"/>
    <n v="716.10978306878314"/>
    <n v="0"/>
    <n v="0"/>
    <n v="0"/>
    <n v="0"/>
    <n v="0"/>
  </r>
  <r>
    <x v="6"/>
    <x v="6"/>
    <x v="11"/>
    <x v="3"/>
    <x v="45"/>
    <x v="3"/>
    <x v="124"/>
    <x v="34"/>
    <s v="938"/>
    <s v="TK-"/>
    <s v="MT1"/>
    <s v="Light Tanks"/>
    <s v="MT1"/>
    <s v="Mechanical Equipment"/>
    <s v="Light Tanks"/>
    <m/>
    <s v="TANK  - EMERGENCY RESPONSE OFFICE RAW WATER TANK - NORWESCO  L: 1613 _x000a_W: 737 _x000a_H: 1676 "/>
    <s v="4513-TK-005"/>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m/>
    <n v="2014"/>
    <s v="Direct "/>
    <m/>
    <m/>
    <n v="0.33333333333333331"/>
    <n v="0.33333333333333331"/>
    <n v="0.33333333333333331"/>
    <m/>
    <m/>
    <m/>
    <m/>
    <m/>
    <n v="0"/>
    <m/>
    <n v="716.10978306878314"/>
    <n v="716.10978306878314"/>
    <n v="716.10978306878314"/>
    <n v="0"/>
    <n v="0"/>
    <n v="0"/>
    <n v="0"/>
    <n v="0"/>
  </r>
  <r>
    <x v="6"/>
    <x v="6"/>
    <x v="18"/>
    <x v="11"/>
    <x v="36"/>
    <x v="26"/>
    <x v="73"/>
    <x v="60"/>
    <s v="790"/>
    <s v="BLD"/>
    <s v="EG"/>
    <s v="Gravel Base Removal"/>
    <s v="EG"/>
    <s v="Flooring / Foundations"/>
    <s v="Gravel Base"/>
    <m/>
    <s v="Pit Office Washcar - Demolish and foundations - Gravel Base - Skidded Building"/>
    <s v="4281-BLD-002"/>
    <n v="44.609665427509292"/>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1"/>
    <x v="1"/>
    <x v="8"/>
    <x v="8"/>
    <x v="23"/>
    <x v="16"/>
    <x v="37"/>
    <x v="33"/>
    <m/>
    <s v="MO-"/>
    <s v="O3"/>
    <s v="Heavy Mobile Equipment"/>
    <s v="O3"/>
    <s v="Mobile Equipment"/>
    <s v="Heavy Mobile Equipment"/>
    <m/>
    <s v="745C Rock Truck"/>
    <s v="TFK01353"/>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1"/>
    <x v="1"/>
    <x v="8"/>
    <x v="8"/>
    <x v="26"/>
    <x v="16"/>
    <x v="76"/>
    <x v="63"/>
    <m/>
    <s v="MO-"/>
    <s v="O3"/>
    <s v="Heavy Mobile Equipment"/>
    <s v="O3"/>
    <s v="Mobile Equipment"/>
    <s v="Heavy Mobile Equipment"/>
    <m/>
    <s v="Front End Loader"/>
    <m/>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4"/>
    <x v="5"/>
    <x v="27"/>
    <x v="6"/>
    <x v="128"/>
    <x v="36"/>
    <s v="1166"/>
    <s v="BLD"/>
    <s v="CP"/>
    <s v="Precast Concrete Foundations - (480 ft2)"/>
    <s v="CP"/>
    <s v="Flooring / Foundations"/>
    <s v="Precast Foundations"/>
    <m/>
    <s v="Sewage Truck Building - Demolish and foundations - Precast Footing (Perimeter Beam)"/>
    <s v="4732-BLD-001"/>
    <n v="55.762081784386616"/>
    <s v="m2"/>
    <n v="0.14520631503408685"/>
    <n v="2.1780947255113023"/>
    <n v="14.50805387069216"/>
    <n v="21.780947255113027"/>
    <n v="38.467095851316493"/>
    <n v="8.097006414540159"/>
    <n v="121.45509621810236"/>
    <n v="808.99928646982312"/>
    <n v="1214.5509621810238"/>
    <n v="2145.0053448689491"/>
    <n v="0.75"/>
    <n v="41.82156133828996"/>
    <n v="1"/>
    <n v="0"/>
    <n v="0"/>
    <n v="1"/>
    <n v="2145.0053448689491"/>
    <n v="0"/>
    <n v="0"/>
    <n v="2145.0053448689491"/>
    <s v="Type A  _x000a_2AM-MRY1325"/>
    <m/>
    <n v="2014"/>
    <s v="Direct "/>
    <m/>
    <m/>
    <n v="0.5"/>
    <n v="0.5"/>
    <m/>
    <m/>
    <m/>
    <m/>
    <m/>
    <m/>
    <n v="0"/>
    <m/>
    <n v="1072.5026724344746"/>
    <n v="1072.5026724344746"/>
    <n v="0"/>
    <n v="0"/>
    <n v="0"/>
    <n v="0"/>
    <n v="0"/>
    <n v="0"/>
  </r>
  <r>
    <x v="6"/>
    <x v="6"/>
    <x v="18"/>
    <x v="11"/>
    <x v="36"/>
    <x v="26"/>
    <x v="132"/>
    <x v="60"/>
    <s v="009"/>
    <s v="BLD"/>
    <s v="FF1"/>
    <s v="Modular Building Not Contaminated (480 ft2)"/>
    <s v="FTR1"/>
    <s v="Buildings (Not Contaminated)"/>
    <s v="Single Trailers (modular)"/>
    <m/>
    <s v="Geology ‘core’ building  - Demolish and Decontaminate Building - Trailer - Single"/>
    <s v="4000-BLD-GEO-003"/>
    <n v="36"/>
    <s v="m2"/>
    <n v="0.22416666666666665"/>
    <n v="3.3624999999999998"/>
    <n v="22.397249563492064"/>
    <n v="33.625"/>
    <n v="59.384749563492065"/>
    <n v="8.07"/>
    <n v="121.05"/>
    <n v="806.30098428571432"/>
    <n v="1210.5"/>
    <n v="2137.8509842857143"/>
    <n v="1"/>
    <n v="36"/>
    <n v="1"/>
    <n v="0"/>
    <n v="0"/>
    <n v="1"/>
    <n v="2137.8509842857143"/>
    <n v="0"/>
    <n v="0"/>
    <n v="2137.8509842857143"/>
    <s v="Type A  _x000a_2AM-MRY1325"/>
    <s v="Added"/>
    <s v="2015 R"/>
    <s v="Direct "/>
    <m/>
    <m/>
    <n v="0.33333333333333331"/>
    <n v="0.33333333333333331"/>
    <n v="0.33333333333333331"/>
    <m/>
    <m/>
    <m/>
    <m/>
    <m/>
    <n v="0"/>
    <m/>
    <n v="712.61699476190472"/>
    <n v="712.61699476190472"/>
    <n v="712.61699476190472"/>
    <n v="0"/>
    <n v="0"/>
    <n v="0"/>
    <n v="0"/>
    <n v="0"/>
  </r>
  <r>
    <x v="6"/>
    <x v="6"/>
    <x v="21"/>
    <x v="6"/>
    <x v="57"/>
    <x v="35"/>
    <x v="126"/>
    <x v="11"/>
    <m/>
    <s v=""/>
    <s v="A3l"/>
    <s v="Grade &amp; Re-Contour with Liner"/>
    <s v="A3l"/>
    <s v="Site Works"/>
    <s v="Grade and Re-Contour With Liner"/>
    <m/>
    <s v="Fuel Tank Containment Area"/>
    <m/>
    <n v="400"/>
    <s v="m2"/>
    <n v="4.4489880937500004E-2"/>
    <n v="0.17804999999999999"/>
    <n v="4.4489880937499997"/>
    <n v="0.71454534577546303"/>
    <n v="5.3082953457754627"/>
    <n v="17.795952375000002"/>
    <n v="71.22"/>
    <n v="1779.5952374999999"/>
    <n v="285.81813831018519"/>
    <n v="2136.633375810185"/>
    <n v="0"/>
    <n v="0"/>
    <n v="1"/>
    <n v="0"/>
    <n v="0"/>
    <n v="1"/>
    <n v="2136.633375810185"/>
    <n v="0"/>
    <n v="0"/>
    <n v="2136.633375810185"/>
    <s v="Type A  _x000a_2AM-MRY1325"/>
    <m/>
    <n v="2015"/>
    <s v="Direct "/>
    <m/>
    <m/>
    <n v="0.5"/>
    <n v="0.5"/>
    <m/>
    <m/>
    <m/>
    <m/>
    <m/>
    <m/>
    <n v="0"/>
    <m/>
    <n v="1068.3166879050925"/>
    <n v="1068.3166879050925"/>
    <n v="0"/>
    <n v="0"/>
    <n v="0"/>
    <n v="0"/>
    <n v="0"/>
    <n v="0"/>
  </r>
  <r>
    <x v="6"/>
    <x v="6"/>
    <x v="20"/>
    <x v="12"/>
    <x v="51"/>
    <x v="28"/>
    <x v="135"/>
    <x v="71"/>
    <s v="850"/>
    <s v="BLD"/>
    <s v="FF1-c"/>
    <s v="Modular Building Contaminated (480 ft2) "/>
    <s v="FS-c"/>
    <s v="Buildings (Contaminated)"/>
    <s v="Prefabricated Special Modular"/>
    <m/>
    <s v="Aerodrome Field Electrical Centre - Demolish and Decontaminate Building - Special Modular / Prefabricated"/>
    <s v="4435-BLD-001"/>
    <n v="14.869888475836431"/>
    <s v="m2"/>
    <n v="0.56041666666666667"/>
    <n v="3.3624999999999998"/>
    <n v="55.993123908730162"/>
    <n v="84.0625"/>
    <n v="143.41812390873017"/>
    <n v="8.3333333333333339"/>
    <n v="50"/>
    <n v="832.61150793650802"/>
    <n v="1250"/>
    <n v="2132.6115079365081"/>
    <n v="1"/>
    <n v="14.869888475836431"/>
    <n v="1"/>
    <n v="0"/>
    <n v="0"/>
    <n v="1"/>
    <n v="2132.6115079365081"/>
    <n v="0"/>
    <n v="0"/>
    <n v="2132.6115079365081"/>
    <s v="Type A  _x000a_2AM-MRY1325"/>
    <m/>
    <n v="2014"/>
    <s v="Direct "/>
    <m/>
    <m/>
    <n v="0.33333333333333331"/>
    <n v="0.33333333333333331"/>
    <n v="0.33333333333333331"/>
    <m/>
    <m/>
    <m/>
    <m/>
    <m/>
    <n v="0"/>
    <m/>
    <n v="710.87050264550271"/>
    <n v="710.87050264550271"/>
    <n v="710.87050264550271"/>
    <n v="0"/>
    <n v="0"/>
    <n v="0"/>
    <n v="0"/>
    <n v="0"/>
  </r>
  <r>
    <x v="6"/>
    <x v="6"/>
    <x v="12"/>
    <x v="8"/>
    <x v="34"/>
    <x v="10"/>
    <x v="112"/>
    <x v="29"/>
    <m/>
    <s v=""/>
    <s v="A3"/>
    <s v="Grade &amp; Re-Contour"/>
    <s v="A2"/>
    <s v="Site Works"/>
    <s v="Grade and Re-Contour"/>
    <s v="Grade and Contour"/>
    <s v="Site Roads"/>
    <m/>
    <n v="1120"/>
    <s v="m2"/>
    <n v="1.2689880937499998E-2"/>
    <n v="0.14624999999999999"/>
    <n v="1.2689880937499998"/>
    <n v="0.39654534577546297"/>
    <n v="1.8102953457754629"/>
    <n v="14.212666649999997"/>
    <n v="163.79999999999998"/>
    <n v="1421.2666649999996"/>
    <n v="444.13078726851853"/>
    <n v="2027.5307872685185"/>
    <n v="0"/>
    <n v="0"/>
    <n v="1"/>
    <n v="0"/>
    <n v="0"/>
    <n v="1"/>
    <n v="2027.5307872685185"/>
    <n v="0"/>
    <n v="0"/>
    <n v="2027.5307872685185"/>
    <s v="Type A  _x000a_2AM-MRY1325"/>
    <m/>
    <s v="2015 A"/>
    <s v="Direct "/>
    <m/>
    <m/>
    <n v="0.33333333333333331"/>
    <n v="0.33333333333333331"/>
    <n v="0.33333333333333331"/>
    <m/>
    <m/>
    <m/>
    <m/>
    <m/>
    <n v="0"/>
    <m/>
    <n v="675.84359575617282"/>
    <n v="675.84359575617282"/>
    <n v="675.84359575617282"/>
    <n v="0"/>
    <n v="0"/>
    <n v="0"/>
    <n v="0"/>
    <n v="0"/>
  </r>
  <r>
    <x v="6"/>
    <x v="6"/>
    <x v="21"/>
    <x v="6"/>
    <x v="57"/>
    <x v="35"/>
    <x v="122"/>
    <x v="8"/>
    <m/>
    <s v="FIR"/>
    <s v="MM1"/>
    <s v="Light Equimpent"/>
    <s v="MM1"/>
    <s v="Mechanical Equipment"/>
    <s v="Light Equipment"/>
    <s v="Jet A1 Pump Module"/>
    <s v="Jet A1 Pump Module"/>
    <s v="MR-FUM-FUS-020-PUM01"/>
    <n v="1"/>
    <s v="ea"/>
    <n v="8.1"/>
    <n v="106.5"/>
    <n v="809.29838571428581"/>
    <n v="1065"/>
    <n v="1980.7983857142858"/>
    <n v="8.1"/>
    <n v="106.5"/>
    <n v="809.29838571428581"/>
    <n v="1065"/>
    <n v="1980.7983857142858"/>
    <n v="0.5"/>
    <n v="0.5"/>
    <n v="1"/>
    <n v="0"/>
    <n v="0"/>
    <n v="1"/>
    <n v="1980.7983857142858"/>
    <n v="0"/>
    <n v="0"/>
    <n v="1980.7983857142858"/>
    <s v="Type A  _x000a_2AM-MRY1325"/>
    <s v="Added"/>
    <s v="2015 R"/>
    <s v="Direct "/>
    <m/>
    <m/>
    <n v="0.33333333333333331"/>
    <m/>
    <n v="0.33333333333333331"/>
    <m/>
    <m/>
    <m/>
    <m/>
    <n v="0.33333333333333331"/>
    <n v="0"/>
    <m/>
    <n v="660.26612857142857"/>
    <n v="0"/>
    <n v="660.26612857142857"/>
    <n v="0"/>
    <n v="0"/>
    <n v="0"/>
    <n v="0"/>
    <n v="660.26612857142857"/>
  </r>
  <r>
    <x v="6"/>
    <x v="6"/>
    <x v="11"/>
    <x v="3"/>
    <x v="52"/>
    <x v="32"/>
    <x v="108"/>
    <x v="112"/>
    <m/>
    <m/>
    <s v="A3l"/>
    <s v="Grade &amp; Re-Contour with Liner"/>
    <s v="A3l"/>
    <s v="Site Works"/>
    <s v="Grade and Re-Contour With Liner"/>
    <m/>
    <s v="Hazardous Waste Berm - 2016 (new) - 1"/>
    <s v="MS-HWB-XX"/>
    <n v="360"/>
    <s v="m2"/>
    <n v="4.4489880937500004E-2"/>
    <n v="0.17804999999999999"/>
    <n v="4.4489880937499997"/>
    <n v="0.71454534577546303"/>
    <n v="5.3082953457754627"/>
    <n v="16.016357137500002"/>
    <n v="64.097999999999999"/>
    <n v="1601.6357137499999"/>
    <n v="257.23632447916668"/>
    <n v="1910.9863244791666"/>
    <n v="0"/>
    <n v="0"/>
    <n v="1"/>
    <n v="0"/>
    <n v="0"/>
    <n v="1"/>
    <n v="1910.9863244791666"/>
    <n v="0"/>
    <n v="0"/>
    <n v="1910.9863244791666"/>
    <s v="Type A  _x000a_2AM-MRY1325"/>
    <s v="Added"/>
    <n v="2016"/>
    <s v="Direct "/>
    <m/>
    <m/>
    <n v="0.33333333333333331"/>
    <n v="0.33333333333333331"/>
    <n v="0.33333333333333331"/>
    <m/>
    <m/>
    <m/>
    <m/>
    <m/>
    <n v="0"/>
    <m/>
    <n v="636.99544149305552"/>
    <n v="636.99544149305552"/>
    <n v="636.99544149305552"/>
    <n v="0"/>
    <n v="0"/>
    <n v="0"/>
    <n v="0"/>
    <n v="0"/>
  </r>
  <r>
    <x v="6"/>
    <x v="6"/>
    <x v="11"/>
    <x v="3"/>
    <x v="52"/>
    <x v="32"/>
    <x v="108"/>
    <x v="112"/>
    <m/>
    <m/>
    <s v="A3l"/>
    <s v="Grade &amp; Re-Contour with Liner"/>
    <s v="A3l"/>
    <s v="Site Works"/>
    <s v="Grade and Re-Contour With Liner"/>
    <m/>
    <s v="Hazardous Waste Berm - 2016 (new) - 2"/>
    <s v="MS-HWB-XX"/>
    <n v="360"/>
    <s v="m2"/>
    <n v="4.4489880937500004E-2"/>
    <n v="0.17804999999999999"/>
    <n v="4.4489880937499997"/>
    <n v="0.71454534577546303"/>
    <n v="5.3082953457754627"/>
    <n v="16.016357137500002"/>
    <n v="64.097999999999999"/>
    <n v="1601.6357137499999"/>
    <n v="257.23632447916668"/>
    <n v="1910.9863244791666"/>
    <n v="0"/>
    <n v="0"/>
    <n v="1"/>
    <n v="0"/>
    <n v="0"/>
    <n v="1"/>
    <n v="1910.9863244791666"/>
    <n v="0"/>
    <n v="0"/>
    <n v="1910.9863244791666"/>
    <s v="Type A  _x000a_2AM-MRY1325"/>
    <s v="Added"/>
    <n v="2016"/>
    <s v="Direct "/>
    <m/>
    <m/>
    <n v="0.33333333333333331"/>
    <n v="0.33333333333333331"/>
    <n v="0.33333333333333331"/>
    <m/>
    <m/>
    <m/>
    <m/>
    <m/>
    <n v="0"/>
    <m/>
    <n v="636.99544149305552"/>
    <n v="636.99544149305552"/>
    <n v="636.99544149305552"/>
    <n v="0"/>
    <n v="0"/>
    <n v="0"/>
    <n v="0"/>
    <n v="0"/>
  </r>
  <r>
    <x v="6"/>
    <x v="6"/>
    <x v="11"/>
    <x v="3"/>
    <x v="45"/>
    <x v="3"/>
    <x v="124"/>
    <x v="34"/>
    <s v="922"/>
    <s v="BLD"/>
    <s v="FW"/>
    <s v="Timber Cribbing (480 ft2)"/>
    <s v="FT"/>
    <s v="Flooring / Foundations"/>
    <s v="Timber Cribbing"/>
    <m/>
    <s v="Emergency Response Office - Demolish and foundations - Timber Cribbing to Elevate Building"/>
    <s v="4513-BLD-001"/>
    <n v="89.219330855018583"/>
    <s v="m2"/>
    <n v="0.12329166666666667"/>
    <n v="1.1768750000000001"/>
    <n v="7.8390373472222228"/>
    <n v="11.768750000000001"/>
    <n v="20.784662347222223"/>
    <n v="11"/>
    <n v="105"/>
    <n v="699.39366666666672"/>
    <n v="1050"/>
    <n v="1854.3936666666668"/>
    <n v="0.3"/>
    <n v="26.765799256505574"/>
    <n v="1"/>
    <n v="0"/>
    <n v="0"/>
    <n v="1"/>
    <n v="1854.3936666666668"/>
    <n v="0"/>
    <n v="0"/>
    <n v="1854.3936666666668"/>
    <s v="Type A  _x000a_2AM-MRY1325"/>
    <m/>
    <n v="2014"/>
    <s v="Direct "/>
    <m/>
    <m/>
    <n v="0.33333333333333331"/>
    <n v="0.33333333333333331"/>
    <n v="0.33333333333333331"/>
    <m/>
    <m/>
    <m/>
    <m/>
    <m/>
    <n v="0"/>
    <m/>
    <n v="618.13122222222228"/>
    <n v="618.13122222222228"/>
    <n v="618.13122222222228"/>
    <n v="0"/>
    <n v="0"/>
    <n v="0"/>
    <n v="0"/>
    <n v="0"/>
  </r>
  <r>
    <x v="6"/>
    <x v="6"/>
    <x v="11"/>
    <x v="3"/>
    <x v="52"/>
    <x v="32"/>
    <x v="108"/>
    <x v="112"/>
    <m/>
    <m/>
    <s v="A3l"/>
    <s v="Grade &amp; Re-Contour with Liner"/>
    <s v="A3l"/>
    <s v="Site Works"/>
    <s v="Grade and Re-Contour With Liner"/>
    <m/>
    <s v="Hazardous Waste Berm"/>
    <s v="MS-HWB-5"/>
    <n v="347"/>
    <s v="m2"/>
    <n v="4.4489880937500004E-2"/>
    <n v="0.17804999999999999"/>
    <n v="4.4489880937499997"/>
    <n v="0.71454534577546303"/>
    <n v="5.3082953457754627"/>
    <n v="15.437988685312501"/>
    <n v="61.783349999999999"/>
    <n v="1543.7988685312498"/>
    <n v="247.94723498408567"/>
    <n v="1841.9784849840855"/>
    <n v="0"/>
    <n v="0"/>
    <n v="1"/>
    <n v="0"/>
    <n v="0"/>
    <n v="1"/>
    <n v="1841.9784849840855"/>
    <n v="0"/>
    <n v="0"/>
    <n v="1841.9784849840855"/>
    <s v="Type A  _x000a_2AM-MRY1325"/>
    <s v="Modified"/>
    <s v="2015 R"/>
    <s v="Direct "/>
    <m/>
    <m/>
    <n v="0.33333333333333331"/>
    <n v="0.33333333333333331"/>
    <n v="0.33333333333333331"/>
    <m/>
    <m/>
    <m/>
    <m/>
    <m/>
    <n v="0"/>
    <m/>
    <n v="613.99282832802851"/>
    <n v="613.99282832802851"/>
    <n v="613.99282832802851"/>
    <n v="0"/>
    <n v="0"/>
    <n v="0"/>
    <n v="0"/>
    <n v="0"/>
  </r>
  <r>
    <x v="6"/>
    <x v="6"/>
    <x v="12"/>
    <x v="8"/>
    <x v="21"/>
    <x v="16"/>
    <x v="34"/>
    <x v="30"/>
    <m/>
    <s v="MO-"/>
    <s v="O2"/>
    <s v="Medium Mobile Equipment"/>
    <s v="O2"/>
    <s v="Mobile Equipment"/>
    <s v="Medium Mobile Equipment "/>
    <m/>
    <s v="DX800 SANDVIK ROCK DRILL"/>
    <s v="DRL00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
    <m/>
    <s v="DX800 SANDVIK ROCK DRILL"/>
    <s v="DRL002"/>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
    <m/>
    <s v="DX780 SANDVIK ROCK DRILL"/>
    <s v="DRL005"/>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
    <m/>
    <s v="DX800 SANDVIK ROCK DRILL"/>
    <s v="DRL006"/>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
    <m/>
    <s v="2013 K/W FUEL LUBE TRUCK"/>
    <s v="FLT00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
    <m/>
    <s v="2014K/W FUEL LUBE TRUCK"/>
    <s v="FLT002"/>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2"/>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3"/>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4"/>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5"/>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6"/>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7"/>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8"/>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09"/>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0"/>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2"/>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3"/>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4"/>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5"/>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6"/>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7"/>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8"/>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19"/>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0"/>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2"/>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3"/>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4"/>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5"/>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6"/>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7"/>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8"/>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29"/>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0"/>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2"/>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3"/>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4"/>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5"/>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6"/>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7"/>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8"/>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ORE HAUL PUP TRAILER"/>
    <s v="OHT2039"/>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SMITHCO SIDE DUMP TRAILER MODEL HDT 4-38-23, S/N 712377"/>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ORE SIDE DUMP TRAILER MODEL HDT4-38-23 S/N 712385"/>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ORE SIDE-DUMP TRAILER MODEL HDT4-38-23, S/N 712381"/>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393"/>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387"/>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391"/>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89"/>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395"/>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1 KENWORTH S/A MECHANICS SERVICE TRUCK  VIN# 2NKHHM6X1BM284136"/>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AIL # 712397"/>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405"/>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78"/>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AIL #712388"/>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82"/>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392"/>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90"/>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80"/>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98"/>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94"/>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84"/>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AIL #712402"/>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AIL #712400"/>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96"/>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AIL #712406 * damaged by stevedores during receiving (hydraulic fittings in front of trailer)"/>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404"/>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712386"/>
    <m/>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END DUMP TRAILER"/>
    <s v="EDT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SCONA TRIDEM HIBOY TRAILER"/>
    <s v="HBT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SCONA TRIDEM HIBOY TRAILER"/>
    <s v="HBT002"/>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SCONA TRIDEM HIBOY TRAILER"/>
    <s v="HBT003"/>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SCONA TRIDEM HIBOY TRAILER"/>
    <s v="HBT004"/>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SCONA TRIDEM HI BOY TRAILER"/>
    <s v="HBT005"/>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FLOAT TRAILER MINI DECK SCHELTENA MD1"/>
    <s v="LBT003-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F750 DE-ICEING TRUCK BBS-97"/>
    <s v="MTP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24 PASSENGER BUS"/>
    <s v="BUS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48 PASSENGER BUS"/>
    <s v="BUS002"/>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24 PASSENGER BUS"/>
    <s v="BUS003"/>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48 PASSENGER BUS"/>
    <s v="BUS004"/>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48 PASSENGER BUS"/>
    <s v="BUS005"/>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MANUAL JIB CRANE MOBILE MAINTENANCE SHOP"/>
    <s v="CRN007"/>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D6T CATERPILLAR DOZER"/>
    <s v="DZR002"/>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D6T CATERPILLAR DOZER"/>
    <s v="DZR003"/>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D6T CATERPILLAR DOZER"/>
    <s v="DZR004"/>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D6T CATERPILLAR DOZER"/>
    <s v="DZR005"/>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D5M CATERPILLAR DOZER"/>
    <s v="DZR009"/>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D4C CATERPILLAR DOZER LPGIII"/>
    <s v="DZR010"/>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TRI AXLE WATER TRUCK"/>
    <s v="HTP004"/>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PETERBILT ROLL OFF TRUCK"/>
    <s v="HTP015"/>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JLG MAN LIFT"/>
    <s v="JLG007"/>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GENIE BOOM LIFT ZOOM BOOM Z60/34"/>
    <s v="JLG008"/>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KUBOTA TRACTOR B7800"/>
    <s v="KUB004"/>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LOWBOY TRAILER DELOUPE"/>
    <s v="LBT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LOWBOY TRAILER DELOUPE"/>
    <s v="LBT002"/>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CS74 SMOOTH ROLLER"/>
    <s v="RLR002"/>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TELEHANDLER CAT TH514"/>
    <s v="TLH002"/>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TELEHANDLER CAT TH514"/>
    <s v="TLH003"/>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TELEHANDLER CAT TH514"/>
    <s v="TLH004"/>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TELEHANDLER CAT TL642"/>
    <s v="TLH005"/>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TRAILER LIVE BOTTOM"/>
    <s v="WBT001"/>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PC09-1 EXCAVATOR KOMATSU MINI"/>
    <s v="EXC008"/>
    <n v="1"/>
    <s v="ea"/>
    <n v="10"/>
    <n v="45"/>
    <n v="999.13380952380965"/>
    <n v="450"/>
    <n v="1494.1338095238098"/>
    <n v="10"/>
    <n v="45"/>
    <n v="999.13380952380965"/>
    <n v="450"/>
    <n v="1494.1338095238098"/>
    <n v="24"/>
    <n v="24"/>
    <n v="1"/>
    <n v="0"/>
    <n v="0"/>
    <n v="1"/>
    <n v="1494.1338095238098"/>
    <n v="0"/>
    <n v="0"/>
    <n v="1494.1338095238098"/>
    <s v="Type A  _x000a_2AM-MRY1325"/>
    <s v="Added"/>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
    <s v="3rd Party Equipment"/>
    <s v="Boom Truck"/>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
    <s v="3rd Party Equipment"/>
    <s v="Passenger Bus"/>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
    <s v="3rd Party Equipment"/>
    <s v="Track Dozer, D9"/>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
    <s v="3rd Party Equipment"/>
    <s v="Shovel 6030"/>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
    <s v="3rd Party Equipment"/>
    <s v="Integrated Tool Carrier, 938"/>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
    <s v="3rd Party Equipment"/>
    <s v="FREIGHT HAUL TRACTOR ,"/>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
    <s v="3rd Party Equipment"/>
    <s v="WATER TRUCK"/>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
    <s v="3rd Party Equipment"/>
    <s v="MAINTENANCE FUEL/LUBE TRUCK ,"/>
    <m/>
    <n v="1"/>
    <s v="ea"/>
    <n v="10"/>
    <n v="45"/>
    <n v="999.13380952380965"/>
    <n v="450"/>
    <n v="1494.1338095238098"/>
    <n v="10"/>
    <n v="45"/>
    <n v="999.13380952380965"/>
    <n v="450"/>
    <n v="1494.1338095238098"/>
    <n v="24"/>
    <n v="24"/>
    <n v="1"/>
    <n v="0"/>
    <n v="0"/>
    <n v="1"/>
    <n v="1494.1338095238098"/>
    <n v="0"/>
    <n v="0"/>
    <n v="1494.1338095238098"/>
    <s v="Type A  _x000a_2AM-MRY1325"/>
    <s v="Added"/>
    <n v="2016"/>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53' POWER TRAILER"/>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F550 FLAT DECK PICK-UP WHITE VIN# 1FDOW5HTOFED33588"/>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STEP-DECK TRAILER 3 AXLES UNIT # 533F650"/>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GMC PICK UP 4WD + TOOL/JOB BOX  VIN# 1GTHK39D17E173219"/>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UTILITY TRAILERS STACKED 2 HIGH"/>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ORE HAUL TRAILER (FRONT) SERIAL # 712383"/>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399"/>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CO SIDE-DUMP TRAILER, SERIAL # 712401"/>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15 SMITH SIDE-DUMP TRAILER, SERIAL # 712403"/>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07 FREIGHTLINER M2 4X4 VIN# 1FVDCXDC47HX81790"/>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SANDVIK QA441 SCREENER S/N # QA44100342"/>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V SNOW PLOW VIN# 9900-2564"/>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9"/>
    <x v="30"/>
    <m/>
    <s v="MO-"/>
    <s v="O2"/>
    <s v="Medium Mobile Equipment"/>
    <s v="O2"/>
    <s v="Mobile Equipment"/>
    <s v="Medium Mobile Equipment"/>
    <m/>
    <s v="2006 TRAILER TRIAXLE GREY VIN# LA90735316A003393 * RECEIVED WITH DAMAGE TO HYDROLIC OIL SUPPLY FITTING*"/>
    <m/>
    <n v="1"/>
    <s v="ea"/>
    <n v="10"/>
    <n v="45"/>
    <n v="999.13380952380965"/>
    <n v="450"/>
    <n v="1494.1338095238098"/>
    <n v="10"/>
    <n v="45"/>
    <n v="999.13380952380965"/>
    <n v="450"/>
    <n v="1494.1338095238098"/>
    <n v="24"/>
    <n v="24"/>
    <n v="1"/>
    <n v="0"/>
    <n v="0"/>
    <n v="1"/>
    <n v="1494.1338095238098"/>
    <n v="0"/>
    <n v="0"/>
    <n v="1494.1338095238098"/>
    <s v="Type A  _x000a_2AM-MRY1325"/>
    <s v="Added "/>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FORKLIFT CATERPILLAR P20000"/>
    <s v="FKT00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FORKLIFT CATERPILLAR P10000"/>
    <s v="FKT005"/>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F550 SERVICE TRUCK FOUNTAIN TIRE"/>
    <s v="MTP011"/>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F550 SERVICE TRUCK"/>
    <s v="MTP013"/>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F650 SERVICE TRUCK 2003"/>
    <s v="MTP015"/>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F-550 SERVICE TRUCK FOUNTAIN TIRE"/>
    <s v="MTP016"/>
    <n v="1"/>
    <s v="ea"/>
    <n v="10"/>
    <n v="45"/>
    <n v="999.13380952380965"/>
    <n v="450"/>
    <n v="1494.1338095238098"/>
    <n v="10"/>
    <n v="45"/>
    <n v="999.13380952380965"/>
    <n v="450"/>
    <n v="1494.1338095238098"/>
    <n v="24"/>
    <n v="24"/>
    <n v="1"/>
    <n v="0"/>
    <n v="0"/>
    <n v="1"/>
    <n v="1494.1338095238098"/>
    <n v="0"/>
    <n v="0"/>
    <n v="1494.1338095238098"/>
    <s v="Type A  _x000a_2AM-MRY1325"/>
    <s v="Modified (2017A)"/>
    <s v="2015 R"/>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Passenger Bus"/>
    <m/>
    <n v="1"/>
    <s v="ea"/>
    <n v="10"/>
    <n v="45"/>
    <n v="999.13380952380965"/>
    <n v="450"/>
    <n v="1494.1338095238098"/>
    <n v="10"/>
    <n v="45"/>
    <n v="999.13380952380965"/>
    <n v="450"/>
    <n v="1494.1338095238098"/>
    <n v="24"/>
    <n v="24"/>
    <n v="1"/>
    <n v="0"/>
    <n v="0"/>
    <n v="1"/>
    <n v="1494.1338095238098"/>
    <n v="0"/>
    <n v="0"/>
    <n v="1494.1338095238098"/>
    <s v="Type A  _x000a_2AM-MRY1325"/>
    <s v="Added"/>
    <n v="2017"/>
    <s v="Direct "/>
    <m/>
    <m/>
    <n v="0.33333333333333331"/>
    <m/>
    <n v="0.33333333333333331"/>
    <m/>
    <m/>
    <m/>
    <m/>
    <n v="0.33333333333333331"/>
    <n v="0"/>
    <m/>
    <n v="498.04460317460325"/>
    <n v="0"/>
    <n v="498.04460317460325"/>
    <n v="0"/>
    <n v="0"/>
    <n v="0"/>
    <n v="0"/>
    <n v="498.04460317460325"/>
  </r>
  <r>
    <x v="6"/>
    <x v="6"/>
    <x v="12"/>
    <x v="8"/>
    <x v="21"/>
    <x v="16"/>
    <x v="34"/>
    <x v="30"/>
    <m/>
    <s v="MO-"/>
    <s v="O2"/>
    <s v="Medium Mobile Equipment"/>
    <s v="O2"/>
    <s v="Mobile Equipment"/>
    <s v="Medium Mobile Equipment"/>
    <m/>
    <s v="Mechanics Truck (with compressor and crane)"/>
    <m/>
    <n v="1"/>
    <s v="ea"/>
    <n v="10"/>
    <n v="45"/>
    <n v="999.13380952380965"/>
    <n v="450"/>
    <n v="1494.1338095238098"/>
    <n v="10"/>
    <n v="45"/>
    <n v="999.13380952380965"/>
    <n v="450"/>
    <n v="1494.1338095238098"/>
    <n v="24"/>
    <n v="24"/>
    <n v="1"/>
    <n v="0"/>
    <n v="0"/>
    <n v="1"/>
    <n v="1494.1338095238098"/>
    <n v="0"/>
    <n v="0"/>
    <n v="1494.1338095238098"/>
    <s v="Type A  _x000a_2AM-MRY1325"/>
    <s v="Added"/>
    <n v="2017"/>
    <s v="Direct "/>
    <m/>
    <m/>
    <n v="0.33333333333333331"/>
    <m/>
    <n v="0.33333333333333331"/>
    <m/>
    <m/>
    <m/>
    <m/>
    <n v="0.33333333333333331"/>
    <n v="0"/>
    <m/>
    <n v="498.04460317460325"/>
    <n v="0"/>
    <n v="498.04460317460325"/>
    <n v="0"/>
    <n v="0"/>
    <n v="0"/>
    <n v="0"/>
    <n v="498.04460317460325"/>
  </r>
  <r>
    <x v="6"/>
    <x v="6"/>
    <x v="18"/>
    <x v="11"/>
    <x v="36"/>
    <x v="26"/>
    <x v="132"/>
    <x v="60"/>
    <s v="009"/>
    <s v="BLD"/>
    <s v="FF1"/>
    <s v="Modular Building Not Contaminated (480 ft2)"/>
    <s v="FTR1"/>
    <s v="Buildings (Not Contaminated)"/>
    <s v="Single Trailers (modular)"/>
    <m/>
    <s v="Geology ‘core’ building  - Demolish and Decontaminate Building - Trailer - Single"/>
    <s v="4000-BLD-GEO-004"/>
    <n v="25"/>
    <s v="m2"/>
    <n v="0.22416666666666665"/>
    <n v="3.3624999999999998"/>
    <n v="22.397249563492064"/>
    <n v="33.625"/>
    <n v="59.384749563492065"/>
    <n v="5.6041666666666661"/>
    <n v="84.0625"/>
    <n v="559.93123908730161"/>
    <n v="840.625"/>
    <n v="1484.6187390873017"/>
    <n v="1"/>
    <n v="25"/>
    <n v="1"/>
    <n v="0"/>
    <n v="0"/>
    <n v="1"/>
    <n v="1484.6187390873017"/>
    <n v="0"/>
    <n v="0"/>
    <n v="1484.6187390873017"/>
    <s v="Type A  _x000a_2AM-MRY1325"/>
    <s v="Added"/>
    <s v="2015 R"/>
    <s v="Direct "/>
    <m/>
    <m/>
    <n v="0.33333333333333331"/>
    <n v="0.33333333333333331"/>
    <n v="0.33333333333333331"/>
    <m/>
    <m/>
    <m/>
    <m/>
    <m/>
    <n v="0"/>
    <m/>
    <n v="494.87291302910057"/>
    <n v="494.87291302910057"/>
    <n v="494.87291302910057"/>
    <n v="0"/>
    <n v="0"/>
    <n v="0"/>
    <n v="0"/>
    <n v="0"/>
  </r>
  <r>
    <x v="6"/>
    <x v="6"/>
    <x v="20"/>
    <x v="12"/>
    <x v="51"/>
    <x v="28"/>
    <x v="134"/>
    <x v="123"/>
    <s v="834"/>
    <s v="BLD"/>
    <s v="FW"/>
    <s v="Timber Cribbing (480 ft2)"/>
    <s v="FT"/>
    <s v="Flooring / Foundations"/>
    <s v="Timber Cribbing"/>
    <m/>
    <s v="Aerodrome Office - Demolish and foundations - Timber Cribbing to Elevate Building"/>
    <s v="4431-BLD-001"/>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A  _x000a_2AM-MRY1325"/>
    <m/>
    <n v="2014"/>
    <s v="Direct "/>
    <m/>
    <m/>
    <n v="0.33333333333333331"/>
    <n v="0.33333333333333331"/>
    <n v="0.33333333333333331"/>
    <m/>
    <m/>
    <m/>
    <m/>
    <m/>
    <n v="0"/>
    <m/>
    <n v="463.59841666666671"/>
    <n v="463.59841666666671"/>
    <n v="463.59841666666671"/>
    <n v="0"/>
    <n v="0"/>
    <n v="0"/>
    <n v="0"/>
    <n v="0"/>
  </r>
  <r>
    <x v="6"/>
    <x v="6"/>
    <x v="11"/>
    <x v="3"/>
    <x v="61"/>
    <x v="28"/>
    <x v="127"/>
    <x v="70"/>
    <m/>
    <s v="BLD"/>
    <s v="FF1"/>
    <s v="Modular Building Not Contaminated (480 ft2)"/>
    <s v="FTR1"/>
    <s v="Buildings (Not Contaminated)"/>
    <s v="Single Trailers (modular)"/>
    <m/>
    <s v="Electrical Office - Demolish and Decontaminate Building - Fold-away Building (Steel)"/>
    <s v="4530-BLD-BIM-001"/>
    <n v="20"/>
    <s v="m2"/>
    <n v="0.22416666666666665"/>
    <n v="3.3624999999999998"/>
    <n v="22.397249563492064"/>
    <n v="33.625"/>
    <n v="59.384749563492065"/>
    <n v="4.4833333333333334"/>
    <n v="67.25"/>
    <n v="447.9449912698413"/>
    <n v="672.5"/>
    <n v="1187.6949912698412"/>
    <n v="1"/>
    <n v="20"/>
    <n v="1"/>
    <n v="0"/>
    <n v="0"/>
    <n v="1"/>
    <n v="1187.6949912698412"/>
    <n v="0"/>
    <n v="0"/>
    <n v="1187.6949912698412"/>
    <s v="Type A  _x000a_2AM-MRY1325"/>
    <s v="Added"/>
    <s v="2015 R"/>
    <s v="Direct "/>
    <m/>
    <m/>
    <n v="0.33333333333333331"/>
    <n v="0.33333333333333331"/>
    <n v="0.33333333333333331"/>
    <m/>
    <m/>
    <m/>
    <m/>
    <m/>
    <n v="0"/>
    <m/>
    <n v="395.89833042328041"/>
    <n v="395.89833042328041"/>
    <n v="395.89833042328041"/>
    <n v="0"/>
    <n v="0"/>
    <n v="0"/>
    <n v="0"/>
    <n v="0"/>
  </r>
  <r>
    <x v="6"/>
    <x v="6"/>
    <x v="12"/>
    <x v="8"/>
    <x v="21"/>
    <x v="16"/>
    <x v="34"/>
    <x v="30"/>
    <m/>
    <s v="MO-"/>
    <s v="O1"/>
    <s v="Light Mobile Equipment"/>
    <s v="O1"/>
    <s v="Mobile Equipment"/>
    <s v="Light Mobile Equipment"/>
    <m/>
    <s v="TEREX LIGHT TOWER"/>
    <s v="ALT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0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0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1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2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EREX LIGHT TOWER"/>
    <s v="ALT03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INGERSOLL RAND LIGHT TOWER"/>
    <s v="ALT03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INGERSOLL RAND LIGHT TOWER"/>
    <s v="ALT03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INGERSOLL RAND LIGHT TOWER"/>
    <s v="ALT03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INGERSOLL RAND LIGHT TOWER"/>
    <s v="ALT03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INGERSOLL RAND LIGHT TOWER"/>
    <s v="ALT04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INGERSOLL RAND LIGHT TOWER"/>
    <s v="ALT04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AMBULANCE"/>
    <s v="EMG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450 AMBULANCE"/>
    <s v="EMG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HAGGLUNDS SNOW RESCUE VEHICLE"/>
    <s v="EMG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ORKLIFT/MANLIFT CROWN WAV50-118"/>
    <s v="FKT01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LAMELESS SPARKLESS HEATER"/>
    <s v="FSH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LAMELESS SPARKLESS HEATER"/>
    <s v="FSH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GROUND SURFACE HEATER"/>
    <s v="GTH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GENIE MANLIFT / Z45/25J (BURNED)"/>
    <s v="JLG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GENIE MANLIFT / Z45/25J"/>
    <s v="JLG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JLG MANLIFT 450AJ"/>
    <s v="JLG01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LOAT TRAILER SCHELTENA"/>
    <s v="LBT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3"/>
    <s v="LTP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3"/>
    <s v="LTP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3"/>
    <s v="LTP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3"/>
    <s v="LTP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0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1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1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1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1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1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1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2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2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2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2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2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2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250 SD CREW CAB 4X4 2008"/>
    <s v="LTP03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OYOTA 4X4 PICK-UP LAND CRUISER"/>
    <s v="LTP03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250 SD CREW CAB 4X4 2008"/>
    <s v="LTP03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OYOTA 4X4 PICK UP LAND CRUISER"/>
    <s v="LTP03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1"/>
    <s v="LTP03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250 SD CREW CAB 4X4 2013"/>
    <s v="LTP04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250 SD CREW CAB 4X4 2013"/>
    <s v="LTP04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4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4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4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4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5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5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250 SD CREW CAB 4X4 2014"/>
    <s v="LTP05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5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SD CREW CAB 4X4 2014"/>
    <s v="LTP06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350 CREW CAB 4X4 2010- LEVITT SAFETY"/>
    <s v="LTP06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3500 GMC CREW CAB 4X4 2006"/>
    <s v="LTP06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GMC 2500 MOBILE STAIR TRUCK"/>
    <s v="MST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3   DECK TRUCK"/>
    <s v="MTP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3   DECK TRUCK"/>
    <s v="MTP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3  WELDING TRUCK"/>
    <s v="MTP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3"/>
    <s v="MTP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3  CUBE VAN"/>
    <s v="MTP00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3 (BLASTERS)"/>
    <s v="MTP009"/>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3"/>
    <s v="MTP01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4"/>
    <s v="MTP01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F550 SD CREW CAB 4X4 2015"/>
    <s v="MTP01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ULL- TYPE PNEUMATIC ROLLER"/>
    <s v="PTR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ULL-TYPE PNEUMATIC TIRE ROLLER"/>
    <s v="PTR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ORTABLE VAC TANK UNIT"/>
    <s v="PVT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ORTABLE VACUUM TANK c/w PUMP"/>
    <s v="PVT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ORTABLE VAC TANK UNIT"/>
    <s v="PVT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ORTABLE WATR PUMP 6&quot;"/>
    <s v="PWP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ORTABLE WATR PUMP"/>
    <s v="PWP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ORTABLE WATR PUMP 4&quot;"/>
    <s v="PWP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PORTABLE WATR PUMP - CAT-PAC"/>
    <s v="PWP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ID STEER CATERPILLAR 247B"/>
    <s v="SKD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ID STEER CATERPILLAR 247B"/>
    <s v="SKD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ID STEER CATERPILLAR 247B"/>
    <s v="SKD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ID STEER CATERPILLAR 277 MULTI TERRAIN"/>
    <s v="SKD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ID STEER CATERPILLAR 299D"/>
    <s v="SKD00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ID STEER CATERPILLAR 247B"/>
    <s v="SKD01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ID STEER CATERPILLAR 262D Rubber Tire"/>
    <s v="SKD01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CISSOR LIFT 03"/>
    <s v="SKJ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CISSOR LIFT 10"/>
    <s v="SKJ010"/>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UNDRA SKIDOO"/>
    <s v="SNM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ANDIK WT 600"/>
    <s v="SNM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ANDIK WT 600"/>
    <s v="SNM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ANDIC ACE 600 SNOWMOBILE"/>
    <s v="SNM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KANDIC ACE 600 SNOWMOBILE"/>
    <s v="SNM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IDE BY SIDE CAN AM COMMANDER 800XT"/>
    <s v="SXS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IDE BY SIDE BOBCAT"/>
    <s v="SXS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IDE BY SIDE BOBCAT"/>
    <s v="SXS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IDE BY SIDE BOBCAT"/>
    <s v="SXS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IDE BY SIDE BOBCAT TRACKED"/>
    <s v="SXS00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IRE MANIPULATOR"/>
    <s v="TMN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TRAILER ENCLOSED SNOWMOBILE"/>
    <s v="TRL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BOAT TRAILER"/>
    <s v="TRL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WELDER MILLER AIR PAK"/>
    <s v="WLD001"/>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WELDER MILLER AIR PAK"/>
    <s v="WLD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WELDER LINCOLN 300D"/>
    <s v="WLD004"/>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WELDER LINCOLN 300D"/>
    <s v="WLD007"/>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WELDER LINCOLN 300D"/>
    <s v="WLD008"/>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TERLING SPILL RESPONSE UNIT 2002"/>
    <s v="EMG005"/>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TERLING SPILL RESPONSE UNIT 2002"/>
    <s v="EMG006"/>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CARGO LUGGAGE HANDLER"/>
    <s v="CNH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NOW BLOWER VOHL DV4000"/>
    <s v="SBL002"/>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4"/>
    <x v="30"/>
    <m/>
    <s v="MO-"/>
    <s v="O1"/>
    <s v="Light Mobile Equipment"/>
    <s v="O1"/>
    <s v="Mobile Equipment"/>
    <s v="Light Mobile Equipment"/>
    <m/>
    <s v="SNOW BLOWER VOHL DV4000"/>
    <s v="SBL003"/>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s v="2015 R"/>
    <s v="Direct "/>
    <m/>
    <m/>
    <n v="0.33333333333333331"/>
    <m/>
    <n v="0.33333333333333331"/>
    <m/>
    <m/>
    <m/>
    <m/>
    <n v="0.33333333333333331"/>
    <n v="0"/>
    <m/>
    <n v="313.69640211640211"/>
    <n v="0"/>
    <n v="313.69640211640211"/>
    <n v="0"/>
    <n v="0"/>
    <n v="0"/>
    <n v="0"/>
    <n v="313.69640211640211"/>
  </r>
  <r>
    <x v="6"/>
    <x v="6"/>
    <x v="12"/>
    <x v="8"/>
    <x v="21"/>
    <x v="16"/>
    <x v="39"/>
    <x v="30"/>
    <m/>
    <s v="MO-"/>
    <s v="O1"/>
    <s v="Light Mobile Equipment"/>
    <s v="O1"/>
    <s v="Mobile Equipment"/>
    <s v="Light Mobile Equipment"/>
    <s v="3rd Party Equipment"/>
    <s v="Flat Deck Truck"/>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6"/>
    <x v="6"/>
    <x v="12"/>
    <x v="8"/>
    <x v="21"/>
    <x v="16"/>
    <x v="39"/>
    <x v="30"/>
    <m/>
    <s v="MO-"/>
    <s v="O1"/>
    <s v="Light Mobile Equipment"/>
    <s v="O1"/>
    <s v="Mobile Equipment"/>
    <s v="Light Mobile Equipment"/>
    <s v="3rd Party Equipment"/>
    <s v="Mini-Crane"/>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6"/>
    <x v="6"/>
    <x v="12"/>
    <x v="8"/>
    <x v="21"/>
    <x v="16"/>
    <x v="39"/>
    <x v="30"/>
    <m/>
    <s v="MO-"/>
    <s v="O1"/>
    <s v="Light Mobile Equipment"/>
    <s v="O1"/>
    <s v="Mobile Equipment"/>
    <s v="Light Mobile Equipment"/>
    <s v="3rd Party Equipment"/>
    <s v="RESCUE UNIT"/>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6"/>
    <x v="6"/>
    <x v="12"/>
    <x v="8"/>
    <x v="21"/>
    <x v="16"/>
    <x v="39"/>
    <x v="30"/>
    <m/>
    <s v="MO-"/>
    <s v="O1"/>
    <s v="Light Mobile Equipment"/>
    <s v="O1"/>
    <s v="Mobile Equipment"/>
    <s v="Light Mobile Equipment"/>
    <s v="3rd Party Equipment"/>
    <s v="MECHANICS TRUCK,"/>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6"/>
    <x v="6"/>
    <x v="12"/>
    <x v="8"/>
    <x v="21"/>
    <x v="16"/>
    <x v="39"/>
    <x v="30"/>
    <m/>
    <s v="MO-"/>
    <s v="O1"/>
    <s v="Light Mobile Equipment"/>
    <s v="O1"/>
    <s v="Mobile Equipment"/>
    <s v="Light Mobile Equipment"/>
    <s v="3rd Party Equipment"/>
    <s v="SKELETON TRAILER,"/>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6"/>
    <s v="Direct "/>
    <m/>
    <m/>
    <n v="0.33333333333333331"/>
    <m/>
    <n v="0.33333333333333331"/>
    <m/>
    <m/>
    <m/>
    <m/>
    <n v="0.33333333333333331"/>
    <n v="0"/>
    <m/>
    <n v="313.69640211640211"/>
    <n v="0"/>
    <n v="313.69640211640211"/>
    <n v="0"/>
    <n v="0"/>
    <n v="0"/>
    <n v="0"/>
    <n v="313.69640211640211"/>
  </r>
  <r>
    <x v="6"/>
    <x v="6"/>
    <x v="14"/>
    <x v="5"/>
    <x v="46"/>
    <x v="30"/>
    <x v="104"/>
    <x v="110"/>
    <s v="1115"/>
    <s v="BLD"/>
    <s v="FF1"/>
    <s v="Modular Building Not Contaminated (480 ft2)"/>
    <s v="FS"/>
    <s v="Buildings (Not Contaminated)"/>
    <s v="Prefabricated Special Modular"/>
    <m/>
    <s v="Raw Water Pumphouse - Demolish and Decontaminate Building - Special Modular / Prefabricated"/>
    <s v="4712-BLD-001"/>
    <n v="14.869888475836431"/>
    <s v="m2"/>
    <n v="0.22416666666666665"/>
    <n v="3.3624999999999998"/>
    <n v="22.397249563492064"/>
    <n v="33.625"/>
    <n v="59.384749563492065"/>
    <n v="3.333333333333333"/>
    <n v="50"/>
    <n v="333.0446031746032"/>
    <n v="500"/>
    <n v="883.04460317460325"/>
    <n v="1"/>
    <n v="14.869888475836431"/>
    <n v="1"/>
    <n v="0"/>
    <n v="0"/>
    <n v="1"/>
    <n v="883.04460317460325"/>
    <n v="0"/>
    <n v="0"/>
    <n v="883.04460317460325"/>
    <s v="Type A  _x000a_2AM-MRY1325"/>
    <m/>
    <n v="2014"/>
    <s v="Direct "/>
    <m/>
    <m/>
    <n v="0.33333333333333331"/>
    <n v="0.33333333333333331"/>
    <n v="0.33333333333333331"/>
    <m/>
    <m/>
    <m/>
    <m/>
    <m/>
    <n v="0"/>
    <m/>
    <n v="294.34820105820108"/>
    <n v="294.34820105820108"/>
    <n v="294.34820105820108"/>
    <n v="0"/>
    <n v="0"/>
    <n v="0"/>
    <n v="0"/>
    <n v="0"/>
  </r>
  <r>
    <x v="6"/>
    <x v="6"/>
    <x v="11"/>
    <x v="3"/>
    <x v="52"/>
    <x v="32"/>
    <x v="108"/>
    <x v="112"/>
    <m/>
    <m/>
    <s v="A3l"/>
    <s v="Grade &amp; Re-Contour with Liner"/>
    <s v="A3l"/>
    <s v="Site Works"/>
    <s v="Grade and Re-Contour With Liner"/>
    <m/>
    <s v="Hazardous Waste Berm - 2016 (new-by generator) - 3 "/>
    <s v="MS-HWB-XX"/>
    <n v="160"/>
    <s v="m2"/>
    <n v="4.4489880937500004E-2"/>
    <n v="0.17804999999999999"/>
    <n v="4.4489880937499997"/>
    <n v="0.71454534577546303"/>
    <n v="5.3082953457754627"/>
    <n v="7.1183809500000006"/>
    <n v="28.488"/>
    <n v="711.83809499999995"/>
    <n v="114.32725532407409"/>
    <n v="849.32725532407403"/>
    <n v="0"/>
    <n v="0"/>
    <n v="1"/>
    <n v="0"/>
    <n v="0"/>
    <n v="1"/>
    <n v="849.32725532407403"/>
    <n v="0"/>
    <n v="0"/>
    <n v="849.32725532407403"/>
    <s v="Type A  _x000a_2AM-MRY1325"/>
    <s v="Added"/>
    <n v="2016"/>
    <s v="Direct "/>
    <m/>
    <m/>
    <n v="0.33333333333333331"/>
    <n v="0.33333333333333331"/>
    <n v="0.33333333333333331"/>
    <m/>
    <m/>
    <m/>
    <m/>
    <m/>
    <n v="0"/>
    <m/>
    <n v="283.10908510802466"/>
    <n v="283.10908510802466"/>
    <n v="283.10908510802466"/>
    <n v="0"/>
    <n v="0"/>
    <n v="0"/>
    <n v="0"/>
    <n v="0"/>
  </r>
  <r>
    <x v="6"/>
    <x v="6"/>
    <x v="11"/>
    <x v="3"/>
    <x v="61"/>
    <x v="32"/>
    <x v="127"/>
    <x v="124"/>
    <m/>
    <s v="BLD"/>
    <s v="FF2"/>
    <s v="Fold Away Building Not Contaminated (480 ft2)"/>
    <s v="FFL"/>
    <s v="Buildings (Not Contaminated)"/>
    <s v="Fold Away Building"/>
    <m/>
    <s v="Electrical Shop - Demolish and Decontaminate Building - Fold-away Building (Steel)"/>
    <s v="4530-BLD-BIM-002"/>
    <n v="20"/>
    <s v="m2"/>
    <n v="0.15691666666666668"/>
    <n v="2.3537499999999998"/>
    <n v="15.678074694444444"/>
    <n v="23.537499999999998"/>
    <n v="41.569324694444447"/>
    <n v="3.1383333333333336"/>
    <n v="47.074999999999996"/>
    <n v="313.56149388888889"/>
    <n v="470.74999999999994"/>
    <n v="831.38649388888894"/>
    <n v="1"/>
    <n v="20"/>
    <n v="1"/>
    <n v="0"/>
    <n v="0"/>
    <n v="1"/>
    <n v="831.38649388888894"/>
    <n v="0"/>
    <n v="0"/>
    <n v="831.38649388888894"/>
    <s v="Type A  _x000a_2AM-MRY1325"/>
    <s v="Added"/>
    <s v="2015 R"/>
    <s v="Direct "/>
    <m/>
    <m/>
    <n v="0.33333333333333331"/>
    <n v="0.33333333333333331"/>
    <n v="0.33333333333333331"/>
    <m/>
    <m/>
    <m/>
    <m/>
    <m/>
    <n v="0"/>
    <m/>
    <n v="277.12883129629631"/>
    <n v="277.12883129629631"/>
    <n v="277.12883129629631"/>
    <n v="0"/>
    <n v="0"/>
    <n v="0"/>
    <n v="0"/>
    <n v="0"/>
  </r>
  <r>
    <x v="6"/>
    <x v="6"/>
    <x v="11"/>
    <x v="3"/>
    <x v="61"/>
    <x v="32"/>
    <x v="127"/>
    <x v="124"/>
    <m/>
    <s v="BLD"/>
    <s v="CP"/>
    <s v="Precast Concrete Foundations - (480 ft2)"/>
    <s v="CP"/>
    <s v="Flooring / Foundations"/>
    <s v="Precast Foundations"/>
    <m/>
    <s v="Electrical Shop - Demolish and foundations - Precast Footing (Perimeter Beam)"/>
    <s v="4530-BLD-BIM-002"/>
    <n v="20"/>
    <s v="m2"/>
    <n v="0.14520631503408685"/>
    <n v="2.1780947255113023"/>
    <n v="14.50805387069216"/>
    <n v="21.780947255113027"/>
    <n v="38.467095851316493"/>
    <n v="2.904126300681737"/>
    <n v="43.561894510226047"/>
    <n v="290.1610774138432"/>
    <n v="435.61894510226057"/>
    <n v="769.34191702632984"/>
    <n v="0.75"/>
    <n v="15"/>
    <n v="1"/>
    <n v="0"/>
    <n v="0"/>
    <n v="1"/>
    <n v="769.34191702632984"/>
    <n v="0"/>
    <n v="0"/>
    <n v="769.34191702632984"/>
    <s v="Type A  _x000a_2AM-MRY1325"/>
    <s v="Added"/>
    <s v="2015 R"/>
    <s v="Direct "/>
    <m/>
    <m/>
    <n v="0.33333333333333331"/>
    <n v="0.33333333333333331"/>
    <n v="0.33333333333333331"/>
    <m/>
    <m/>
    <m/>
    <m/>
    <m/>
    <n v="0"/>
    <m/>
    <n v="256.44730567544326"/>
    <n v="256.44730567544326"/>
    <n v="256.44730567544326"/>
    <n v="0"/>
    <n v="0"/>
    <n v="0"/>
    <n v="0"/>
    <n v="0"/>
  </r>
  <r>
    <x v="6"/>
    <x v="6"/>
    <x v="18"/>
    <x v="11"/>
    <x v="36"/>
    <x v="26"/>
    <x v="73"/>
    <x v="60"/>
    <s v="791"/>
    <s v="BLD"/>
    <m/>
    <e v="#N/A"/>
    <s v="FW"/>
    <s v="Flooring / Foundations"/>
    <s v="Wood Floor"/>
    <m/>
    <s v="Pit Office Washcar - Demolish floor finish - Raised Steel or Wooden Floor"/>
    <s v="4281-BLD-002"/>
    <n v="44.609665427509292"/>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62"/>
    <x v="21"/>
    <x v="136"/>
    <x v="46"/>
    <s v="579"/>
    <s v="BLD"/>
    <s v="FF4"/>
    <s v="ISO Container"/>
    <s v="FC"/>
    <s v="Buildings (Not Contaminated)"/>
    <s v="ISO Shipping Containers"/>
    <m/>
    <s v="Communication Shed No. 1 - Demolish Building - ISO Shipping Container"/>
    <s v="4110-BLD-001"/>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6"/>
    <x v="6"/>
    <x v="12"/>
    <x v="8"/>
    <x v="62"/>
    <x v="21"/>
    <x v="136"/>
    <x v="46"/>
    <s v="582"/>
    <s v="BLD"/>
    <s v="FF4"/>
    <s v="ISO Container"/>
    <s v="FC"/>
    <s v="Buildings (Not Contaminated)"/>
    <s v="ISO Shipping Containers"/>
    <m/>
    <s v="Communication Shed No. 2 - Demolish Building - ISO Shipping Container"/>
    <s v="4110-BLD-002"/>
    <n v="14.869888475836431"/>
    <s v="m2"/>
    <n v="0.11208333333333333"/>
    <n v="1.6812499999999999"/>
    <n v="11.198624781746032"/>
    <n v="16.8125"/>
    <n v="29.692374781746032"/>
    <n v="1.6666666666666665"/>
    <n v="25"/>
    <n v="166.5223015873016"/>
    <n v="250"/>
    <n v="441.52230158730163"/>
    <n v="1"/>
    <n v="14.869888475836431"/>
    <n v="1"/>
    <n v="0"/>
    <n v="0"/>
    <n v="1"/>
    <n v="441.52230158730163"/>
    <n v="0"/>
    <n v="0"/>
    <n v="441.52230158730163"/>
    <s v="Type A  _x000a_2AM-MRY1325"/>
    <m/>
    <n v="2014"/>
    <s v="Direct "/>
    <m/>
    <m/>
    <n v="0.33333333333333331"/>
    <n v="0.33333333333333331"/>
    <n v="0.33333333333333331"/>
    <m/>
    <m/>
    <m/>
    <m/>
    <m/>
    <n v="0"/>
    <m/>
    <n v="147.17410052910054"/>
    <n v="147.17410052910054"/>
    <n v="147.17410052910054"/>
    <n v="0"/>
    <n v="0"/>
    <n v="0"/>
    <n v="0"/>
    <n v="0"/>
  </r>
  <r>
    <x v="6"/>
    <x v="6"/>
    <x v="12"/>
    <x v="8"/>
    <x v="62"/>
    <x v="10"/>
    <x v="137"/>
    <x v="125"/>
    <m/>
    <m/>
    <s v="A3"/>
    <s v="Grade &amp; Re-Contour"/>
    <s v="A9"/>
    <s v="Site Works"/>
    <s v="Grade and Re-Contour Building Footprints"/>
    <m/>
    <s v="Grade and Re-Contour Building Footprints"/>
    <m/>
    <n v="223"/>
    <s v="m2"/>
    <n v="1.2689880937499998E-2"/>
    <n v="0.14624999999999999"/>
    <n v="1.2689880937499998"/>
    <n v="0.39654534577546297"/>
    <n v="1.8102953457754629"/>
    <n v="2.8298434490624995"/>
    <n v="32.613749999999996"/>
    <n v="282.98434490624993"/>
    <n v="88.429612107928236"/>
    <n v="404.02770701417813"/>
    <n v="0"/>
    <n v="0"/>
    <n v="1"/>
    <n v="0"/>
    <n v="0"/>
    <n v="1"/>
    <n v="404.02770701417813"/>
    <n v="0"/>
    <n v="0"/>
    <n v="404.02770701417813"/>
    <s v="Type A  _x000a_2AM-MRY1325"/>
    <m/>
    <n v="2014"/>
    <s v="Direct "/>
    <m/>
    <m/>
    <n v="0.33333333333333331"/>
    <n v="0.33333333333333331"/>
    <n v="0.33333333333333331"/>
    <m/>
    <m/>
    <m/>
    <m/>
    <m/>
    <n v="0"/>
    <m/>
    <n v="134.67590233805936"/>
    <n v="134.67590233805936"/>
    <n v="134.67590233805936"/>
    <n v="0"/>
    <n v="0"/>
    <n v="0"/>
    <n v="0"/>
    <n v="0"/>
  </r>
  <r>
    <x v="6"/>
    <x v="6"/>
    <x v="12"/>
    <x v="8"/>
    <x v="62"/>
    <x v="21"/>
    <x v="136"/>
    <x v="46"/>
    <m/>
    <s v="BLD"/>
    <m/>
    <m/>
    <m/>
    <m/>
    <m/>
    <m/>
    <s v="Satellite Dish Sea Can - Demolish and Decontaminate Building - Undefined"/>
    <s v="4110-BLD-003"/>
    <n v="0"/>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62"/>
    <x v="21"/>
    <x v="136"/>
    <x v="46"/>
    <m/>
    <s v="BLD"/>
    <m/>
    <m/>
    <m/>
    <m/>
    <m/>
    <m/>
    <s v="Satellite Dish Sea Can - Demolish and foundations - Undefined"/>
    <s v="4110-BLD-003"/>
    <n v="0"/>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62"/>
    <x v="21"/>
    <x v="136"/>
    <x v="46"/>
    <m/>
    <s v="BLD"/>
    <m/>
    <m/>
    <m/>
    <m/>
    <m/>
    <m/>
    <s v="Satellite Dish Sea Can - Demolish floor finish - Undefined"/>
    <s v="4110-BLD-003"/>
    <n v="0"/>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8"/>
    <x v="11"/>
    <x v="47"/>
    <x v="31"/>
    <x v="106"/>
    <x v="111"/>
    <m/>
    <s v=""/>
    <s v="A3"/>
    <s v="Grade &amp; Re-Contour"/>
    <s v="A2"/>
    <s v="Site Works"/>
    <s v="Grade and Re-Contour"/>
    <s v="Grade and Contour"/>
    <s v="2008 Bulk Sample Pit"/>
    <m/>
    <n v="0"/>
    <s v="m2"/>
    <n v="1.2689880937499998E-2"/>
    <n v="0.14624999999999999"/>
    <n v="1.2689880937499998"/>
    <n v="0.39654534577546297"/>
    <n v="1.8102953457754629"/>
    <n v="0"/>
    <n v="0"/>
    <n v="0"/>
    <n v="0"/>
    <n v="0"/>
    <n v="0"/>
    <n v="0"/>
    <n v="1"/>
    <n v="0"/>
    <n v="0"/>
    <n v="1"/>
    <n v="0"/>
    <n v="0"/>
    <n v="0"/>
    <n v="0"/>
    <s v="Type A  _x000a_2AM-MRY1325"/>
    <m/>
    <n v="2014"/>
    <s v="Direct "/>
    <m/>
    <m/>
    <n v="0.33333333333333331"/>
    <n v="0.33333333333333331"/>
    <n v="0.33333333333333331"/>
    <m/>
    <m/>
    <m/>
    <m/>
    <m/>
    <n v="0"/>
    <m/>
    <n v="0"/>
    <n v="0"/>
    <n v="0"/>
    <n v="0"/>
    <n v="0"/>
    <n v="0"/>
    <n v="0"/>
    <n v="0"/>
  </r>
  <r>
    <x v="6"/>
    <x v="6"/>
    <x v="18"/>
    <x v="11"/>
    <x v="36"/>
    <x v="26"/>
    <x v="132"/>
    <x v="60"/>
    <s v="009"/>
    <s v="BLD"/>
    <s v="FF1"/>
    <s v="Modular Building Not Contaminated (480 ft2)"/>
    <s v="FTR1"/>
    <s v="Buildings (Not Contaminated)"/>
    <s v="Single Trailers (modular)"/>
    <m/>
    <s v="Pit Office Lunchroom Building - Demolish and Decontaminate Building - Trailer - Single"/>
    <s v="4281-BLD-002"/>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8"/>
    <x v="11"/>
    <x v="36"/>
    <x v="26"/>
    <x v="132"/>
    <x v="60"/>
    <s v="009"/>
    <s v="BLD"/>
    <s v="FW"/>
    <s v="Timber Cribbing (480 ft2)"/>
    <s v="FT"/>
    <s v="Flooring / Foundations"/>
    <s v="Timber Cribbing"/>
    <m/>
    <s v="Pit Office Lunchroom Building - Demolish and foundations - Timber Cribbing to Elevate Building"/>
    <s v="4281-BLD-002"/>
    <n v="0"/>
    <s v="m2"/>
    <n v="0.12329166666666667"/>
    <n v="1.1768750000000001"/>
    <n v="7.8390373472222228"/>
    <n v="11.768750000000001"/>
    <n v="20.784662347222223"/>
    <n v="0"/>
    <n v="0"/>
    <n v="0"/>
    <n v="0"/>
    <n v="0"/>
    <n v="0.3"/>
    <n v="0"/>
    <n v="1"/>
    <n v="0"/>
    <n v="0"/>
    <n v="1"/>
    <n v="0"/>
    <n v="0"/>
    <n v="0"/>
    <n v="0"/>
    <s v="Type A  _x000a_2AM-MRY1325"/>
    <s v="Removed"/>
    <s v="2015 A"/>
    <s v="Direct "/>
    <m/>
    <m/>
    <n v="0.33333333333333331"/>
    <n v="0.33333333333333331"/>
    <n v="0.33333333333333331"/>
    <m/>
    <m/>
    <m/>
    <m/>
    <m/>
    <n v="0"/>
    <m/>
    <n v="0"/>
    <n v="0"/>
    <n v="0"/>
    <n v="0"/>
    <n v="0"/>
    <n v="0"/>
    <n v="0"/>
    <n v="0"/>
  </r>
  <r>
    <x v="6"/>
    <x v="6"/>
    <x v="18"/>
    <x v="11"/>
    <x v="36"/>
    <x v="26"/>
    <x v="132"/>
    <x v="60"/>
    <s v="009"/>
    <s v="BLD"/>
    <m/>
    <e v="#N/A"/>
    <s v="FW"/>
    <s v="Flooring / Foundations"/>
    <s v="Wood Floor"/>
    <m/>
    <s v="Pit Office Lunchroom Building - Demolish floor finish - Raised Steel or Wooden Floor"/>
    <s v="4281-BLD-002"/>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3"/>
    <x v="2"/>
    <x v="25"/>
    <x v="19"/>
    <x v="138"/>
    <x v="37"/>
    <s v="801"/>
    <s v="CR-"/>
    <s v="MM3"/>
    <s v="Heavy Equipment"/>
    <s v="MM3"/>
    <s v="Mechanical Equipment"/>
    <s v="Heavy Equipment"/>
    <s v="Crusher"/>
    <s v="CRUSHER  - PRIMARY CRUSHING PLANT LINE 1 - METSO C125  _x000a_L: 3470, W: 4100, H: 3440, 38000 kg"/>
    <s v="4381-CR-001"/>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02"/>
    <s v="CR-"/>
    <s v="MM3"/>
    <s v="Heavy Equipment"/>
    <s v="MM3"/>
    <s v="Mechanical Equipment"/>
    <s v="Heavy Equipment"/>
    <s v="Crusher"/>
    <s v="CRUSHER  - SECONDARY CRUSHING PLANT LINE 1 - METSO HP400  L: 2370, W: 2370, H: 1600, 23000 kg"/>
    <s v="4381-CR-003"/>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03"/>
    <s v="CR-"/>
    <s v="MM3"/>
    <s v="Heavy Equipment"/>
    <s v="MM3"/>
    <s v="Mechanical Equipment"/>
    <s v="Heavy Equipment"/>
    <s v="Crusher"/>
    <s v="CRUSHER  - TERTIARY CRUSHING PLANT LINE 1 - METSO HP400  _x000a_L: 2370, W: 2370, H: 1600, 23000 kg"/>
    <s v="4381-CR-005"/>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04"/>
    <s v="CR-"/>
    <s v="MM3"/>
    <s v="Heavy Equipment"/>
    <s v="MM3"/>
    <s v="Mechanical Equipment"/>
    <s v="Heavy Equipment"/>
    <s v="Crusher"/>
    <s v="CRUSHER  - PRIMARY CRUSHING PLANT LINE 2 - METSO C125  _x000a_L: 3470, W: 4100, H: 3440, 38000 kg"/>
    <s v="4381-CR-006"/>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05"/>
    <s v="CR-"/>
    <s v="MM3"/>
    <s v="Heavy Equipment"/>
    <s v="MM3"/>
    <s v="Mechanical Equipment"/>
    <s v="Heavy Equipment"/>
    <s v="Crusher"/>
    <s v="CRUSHER  - SECONDARY CRUSHING PLANT LINE 2 - METSO HP400  L: 2370, W: 2370, H: 1600, 23000 kg"/>
    <s v="4381-CR-008"/>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06"/>
    <s v="CR-"/>
    <s v="MM3"/>
    <s v="Heavy Equipment"/>
    <s v="MM3"/>
    <s v="Mechanical Equipment"/>
    <s v="Heavy Equipment"/>
    <s v="Crusher"/>
    <s v="CRUSHER  - TERTIARY CRUSHING PLANT LINE 2 - METSO HP400  _x000a_L: 2370, W: 2370, H: 1600, 23000 kg"/>
    <s v="4381-CR-010"/>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5"/>
    <s v="SC-"/>
    <s v="MM3"/>
    <s v="Heavy Equipment"/>
    <s v="MM3"/>
    <s v="Mechanical Equipment"/>
    <s v="Heavy Equipment"/>
    <s v="Screen"/>
    <s v="SCREEN  - PRIMARY SCREEN LINE 1 - METSO FS302  _x000a_L: 2700, W: 6900, 9000 kg"/>
    <s v="4381-SC-002"/>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6"/>
    <s v="SC-"/>
    <s v="MM3"/>
    <s v="Heavy Equipment"/>
    <s v="MM3"/>
    <s v="Mechanical Equipment"/>
    <s v="Heavy Equipment"/>
    <s v="Screen"/>
    <s v="SCREEN  - SECONDARY SCREEN LINE 1 - METSO FS 353  _x000a_L: 3000, W: 6900, 14500 kg"/>
    <s v="4381-SC-004"/>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7"/>
    <s v="SC-"/>
    <s v="MM3"/>
    <s v="Heavy Equipment"/>
    <s v="MM3"/>
    <s v="Mechanical Equipment"/>
    <s v="Heavy Equipment"/>
    <s v="Screen"/>
    <s v="SCREEN  - PRIMARY SCREEN LINE 2 - METSO FS302  _x000a_L: 2700, W: 6900, 9000 kg"/>
    <s v="4381-SC-007"/>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8"/>
    <s v="SC-"/>
    <s v="MM3"/>
    <s v="Heavy Equipment"/>
    <s v="MM3"/>
    <s v="Mechanical Equipment"/>
    <s v="Heavy Equipment"/>
    <s v="Screen"/>
    <s v="SCREEN  - SECONDARY SCREEN LINE 2 - METSO FS 353  _x000a_L: 3000, W: 6900, 14500 kg"/>
    <s v="4381-SC-009"/>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47"/>
    <x v="37"/>
    <m/>
    <s v="CR-"/>
    <s v="MM3"/>
    <s v="Heavy Equipment"/>
    <s v="MM3"/>
    <s v="Mechanical Equipment"/>
    <s v="Heavy Equipment"/>
    <s v="Crusher"/>
    <s v="CRUSHER  - PRIMARY CRUSHING PLANT LINE 3 - METSO C125  _x000a_L: 3470, W: 4100, H: 3440, 38000 kg"/>
    <m/>
    <n v="0"/>
    <s v="ea"/>
    <n v="168"/>
    <n v="2220"/>
    <n v="16785.448"/>
    <n v="22200"/>
    <n v="41205.448000000004"/>
    <n v="0"/>
    <n v="0"/>
    <n v="0"/>
    <n v="0"/>
    <n v="0"/>
    <n v="56"/>
    <n v="0"/>
    <n v="1"/>
    <n v="0"/>
    <n v="0"/>
    <n v="1"/>
    <n v="0"/>
    <n v="0"/>
    <n v="0"/>
    <n v="0"/>
    <s v="Type A  _x000a_2AM-MRY1325"/>
    <s v="Removed"/>
    <s v="2015 A"/>
    <s v="Direct "/>
    <m/>
    <m/>
    <n v="0.33333333333333331"/>
    <m/>
    <n v="0.33333333333333331"/>
    <m/>
    <m/>
    <m/>
    <m/>
    <n v="0.33333333333333331"/>
    <n v="0"/>
    <m/>
    <n v="0"/>
    <n v="0"/>
    <n v="0"/>
    <n v="0"/>
    <n v="0"/>
    <n v="0"/>
    <n v="0"/>
    <n v="0"/>
  </r>
  <r>
    <x v="6"/>
    <x v="6"/>
    <x v="13"/>
    <x v="2"/>
    <x v="25"/>
    <x v="19"/>
    <x v="47"/>
    <x v="37"/>
    <m/>
    <s v="SC-"/>
    <s v="MM3"/>
    <s v="Heavy Equipment"/>
    <s v="MM3"/>
    <s v="Mechanical Equipment"/>
    <s v="Heavy Equipment"/>
    <s v="Screen"/>
    <s v="PRIMARY SCREENING PLANT LINE 3 - METSO FS303"/>
    <m/>
    <n v="0"/>
    <s v="ea"/>
    <n v="168"/>
    <n v="2220"/>
    <n v="16785.448"/>
    <n v="22200"/>
    <n v="41205.448000000004"/>
    <n v="0"/>
    <n v="0"/>
    <n v="0"/>
    <n v="0"/>
    <n v="0"/>
    <n v="56"/>
    <n v="0"/>
    <n v="1"/>
    <n v="0"/>
    <n v="0"/>
    <n v="1"/>
    <n v="0"/>
    <n v="0"/>
    <n v="0"/>
    <n v="0"/>
    <s v="Type A  _x000a_2AM-MRY1325"/>
    <s v="Removed"/>
    <s v="2015 A"/>
    <s v="Direct "/>
    <m/>
    <m/>
    <n v="0.33333333333333331"/>
    <m/>
    <n v="0.33333333333333331"/>
    <m/>
    <m/>
    <m/>
    <m/>
    <n v="0.33333333333333331"/>
    <n v="0"/>
    <m/>
    <n v="0"/>
    <n v="0"/>
    <n v="0"/>
    <n v="0"/>
    <n v="0"/>
    <n v="0"/>
    <n v="0"/>
    <n v="0"/>
  </r>
  <r>
    <x v="6"/>
    <x v="6"/>
    <x v="13"/>
    <x v="2"/>
    <x v="25"/>
    <x v="19"/>
    <x v="47"/>
    <x v="37"/>
    <m/>
    <s v="CR-"/>
    <s v="MM3"/>
    <s v="Heavy Equipment"/>
    <s v="MM3"/>
    <s v="Mechanical Equipment"/>
    <s v="Heavy Equipment"/>
    <s v="Crusher"/>
    <s v="CRUSHER  - SECONDARY CRUSHING PLANT LINE 3 - METSO HP400  _x000a_L: 2370, W: 2370, H: 1600, 23000 kg"/>
    <m/>
    <n v="0"/>
    <s v="ea"/>
    <n v="168"/>
    <n v="2220"/>
    <n v="16785.448"/>
    <n v="22200"/>
    <n v="41205.448000000004"/>
    <n v="0"/>
    <n v="0"/>
    <n v="0"/>
    <n v="0"/>
    <n v="0"/>
    <n v="56"/>
    <n v="0"/>
    <n v="1"/>
    <n v="0"/>
    <n v="0"/>
    <n v="1"/>
    <n v="0"/>
    <n v="0"/>
    <n v="0"/>
    <n v="0"/>
    <s v="Type A  _x000a_2AM-MRY1325"/>
    <s v="Removed"/>
    <s v="2015 A"/>
    <s v="Direct "/>
    <m/>
    <m/>
    <n v="0.33333333333333331"/>
    <m/>
    <n v="0.33333333333333331"/>
    <m/>
    <m/>
    <m/>
    <m/>
    <n v="0.33333333333333331"/>
    <n v="0"/>
    <m/>
    <n v="0"/>
    <n v="0"/>
    <n v="0"/>
    <n v="0"/>
    <n v="0"/>
    <n v="0"/>
    <n v="0"/>
    <n v="0"/>
  </r>
  <r>
    <x v="6"/>
    <x v="6"/>
    <x v="13"/>
    <x v="2"/>
    <x v="25"/>
    <x v="19"/>
    <x v="47"/>
    <x v="37"/>
    <m/>
    <s v="SC-"/>
    <s v="MM3"/>
    <s v="Heavy Equipment"/>
    <s v="MM3"/>
    <s v="Mechanical Equipment"/>
    <s v="Heavy Equipment"/>
    <s v="Screen"/>
    <s v="SCREEN  - SECONDARY SCREENING PLANT LINE 3 - METSO FS 353  _x000a_L: 3000, W: 6900, 14500 kg"/>
    <m/>
    <n v="0"/>
    <s v="ea"/>
    <n v="168"/>
    <n v="2220"/>
    <n v="16785.448"/>
    <n v="22200"/>
    <n v="41205.448000000004"/>
    <n v="0"/>
    <n v="0"/>
    <n v="0"/>
    <n v="0"/>
    <n v="0"/>
    <n v="56"/>
    <n v="0"/>
    <n v="1"/>
    <n v="0"/>
    <n v="0"/>
    <n v="1"/>
    <n v="0"/>
    <n v="0"/>
    <n v="0"/>
    <n v="0"/>
    <s v="Type A  _x000a_2AM-MRY1325"/>
    <s v="Removed"/>
    <s v="2015 A"/>
    <s v="Direct "/>
    <m/>
    <m/>
    <n v="0.33333333333333331"/>
    <m/>
    <n v="0.33333333333333331"/>
    <m/>
    <m/>
    <m/>
    <m/>
    <n v="0.33333333333333331"/>
    <n v="0"/>
    <m/>
    <n v="0"/>
    <n v="0"/>
    <n v="0"/>
    <n v="0"/>
    <n v="0"/>
    <n v="0"/>
    <n v="0"/>
    <n v="0"/>
  </r>
  <r>
    <x v="6"/>
    <x v="6"/>
    <x v="13"/>
    <x v="2"/>
    <x v="25"/>
    <x v="19"/>
    <x v="47"/>
    <x v="37"/>
    <m/>
    <s v="CR-"/>
    <s v="MM3"/>
    <s v="Heavy Equipment"/>
    <s v="MM3"/>
    <s v="Mechanical Equipment"/>
    <s v="Heavy Equipment"/>
    <s v="Crusher"/>
    <s v="CRUSHER  - TERTIARY CRUSHING PLANT LINE 3 - METSO HP400  _x000a_L: 2370, W: 2370, H: 1600"/>
    <m/>
    <n v="0"/>
    <s v="ea"/>
    <n v="168"/>
    <n v="2220"/>
    <n v="16785.448"/>
    <n v="22200"/>
    <n v="41205.448000000004"/>
    <n v="0"/>
    <n v="0"/>
    <n v="0"/>
    <n v="0"/>
    <n v="0"/>
    <n v="56"/>
    <n v="0"/>
    <n v="1"/>
    <n v="0"/>
    <n v="0"/>
    <n v="1"/>
    <n v="0"/>
    <n v="0"/>
    <n v="0"/>
    <n v="0"/>
    <s v="Type A  _x000a_2AM-MRY1325"/>
    <s v="Removed"/>
    <s v="2015 A"/>
    <s v="Direct "/>
    <m/>
    <m/>
    <n v="0.33333333333333331"/>
    <m/>
    <n v="0.33333333333333331"/>
    <m/>
    <m/>
    <m/>
    <m/>
    <n v="0.33333333333333331"/>
    <n v="0"/>
    <m/>
    <n v="0"/>
    <n v="0"/>
    <n v="0"/>
    <n v="0"/>
    <n v="0"/>
    <n v="0"/>
    <n v="0"/>
    <n v="0"/>
  </r>
  <r>
    <x v="6"/>
    <x v="6"/>
    <x v="13"/>
    <x v="2"/>
    <x v="25"/>
    <x v="19"/>
    <x v="118"/>
    <x v="119"/>
    <s v="823"/>
    <s v="SC-"/>
    <s v="MM3"/>
    <s v="Heavy Equipment"/>
    <s v="MM3"/>
    <s v="Mechanical Equipment"/>
    <s v="Heavy Equipment"/>
    <s v="Screen"/>
    <s v="SCREEN  - TRUCK WEIGH SCALE  - RICE LAKE OTR-XV  _x000a_L: 36600 _x000a_W: 3960, H: 1030 "/>
    <s v="4382-SC-001"/>
    <n v="0"/>
    <s v="ea"/>
    <n v="168"/>
    <n v="2220"/>
    <n v="16785.448"/>
    <n v="22200"/>
    <n v="41205.448000000004"/>
    <n v="0"/>
    <n v="0"/>
    <n v="0"/>
    <n v="0"/>
    <n v="0"/>
    <n v="56"/>
    <n v="0"/>
    <n v="1"/>
    <n v="0"/>
    <n v="0"/>
    <n v="1"/>
    <n v="0"/>
    <n v="0"/>
    <n v="0"/>
    <n v="0"/>
    <s v="Type A  _x000a_2AM-MRY1325"/>
    <s v="Removed"/>
    <n v="2014"/>
    <s v="Direct "/>
    <m/>
    <m/>
    <n v="0.33333333333333331"/>
    <m/>
    <n v="0.33333333333333331"/>
    <m/>
    <m/>
    <m/>
    <m/>
    <n v="0.33333333333333331"/>
    <n v="0"/>
    <m/>
    <n v="0"/>
    <n v="0"/>
    <n v="0"/>
    <n v="0"/>
    <n v="0"/>
    <n v="0"/>
    <n v="0"/>
    <n v="0"/>
  </r>
  <r>
    <x v="6"/>
    <x v="6"/>
    <x v="13"/>
    <x v="2"/>
    <x v="25"/>
    <x v="19"/>
    <x v="95"/>
    <x v="86"/>
    <s v="825"/>
    <s v="PP-"/>
    <s v="MM1"/>
    <s v="Light Equimpent"/>
    <s v="MM1"/>
    <s v="Mechanical Equipment"/>
    <s v="Light Equipment"/>
    <s v="Pump"/>
    <s v="PUMP  - CRUSHER STOCKPILE RUNOFF POND DISCHARGE PUMP - LOBE PRO SM68 "/>
    <s v="4385-PP-001"/>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3"/>
    <x v="2"/>
    <x v="25"/>
    <x v="19"/>
    <x v="95"/>
    <x v="86"/>
    <s v="826"/>
    <s v="PP-"/>
    <s v="MM1"/>
    <s v="Light Equimpent"/>
    <s v="MM1"/>
    <s v="Mechanical Equipment"/>
    <s v="Light Equipment"/>
    <s v="Pump"/>
    <s v="PUMP  - CRUSHER STOCKPILE RUNOFF POND DISCHARGE PUMP - LOBE PRO SM68 "/>
    <s v="4385-PP-00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20"/>
    <x v="12"/>
    <x v="51"/>
    <x v="28"/>
    <x v="111"/>
    <x v="115"/>
    <m/>
    <s v="BLD"/>
    <m/>
    <m/>
    <m/>
    <m/>
    <m/>
    <m/>
    <s v="Aerodrome Equipment Building - Demolish and Decontaminate Building - Undefined"/>
    <s v="4432-BLD-001"/>
    <n v="0"/>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20"/>
    <x v="12"/>
    <x v="51"/>
    <x v="28"/>
    <x v="111"/>
    <x v="115"/>
    <m/>
    <s v="BLD"/>
    <m/>
    <m/>
    <m/>
    <m/>
    <m/>
    <m/>
    <s v="Aerodrome Equipment Building - Demolish and foundations - Undefined"/>
    <s v="4432-BLD-001"/>
    <n v="0"/>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20"/>
    <x v="12"/>
    <x v="51"/>
    <x v="28"/>
    <x v="111"/>
    <x v="115"/>
    <m/>
    <s v="BLD"/>
    <m/>
    <m/>
    <m/>
    <m/>
    <m/>
    <m/>
    <s v="Aerodrome Equipment Building - Demolish floor finish - Undefined"/>
    <s v="4432-BLD-001"/>
    <n v="0"/>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20"/>
    <x v="12"/>
    <x v="51"/>
    <x v="28"/>
    <x v="129"/>
    <x v="123"/>
    <s v="836"/>
    <s v="PP-"/>
    <s v="MM1"/>
    <s v="Light Equimpent"/>
    <s v="MM1"/>
    <s v="Mechanical Equipment"/>
    <s v="Light Equipment"/>
    <s v="Pump"/>
    <s v="PUMP  - AERODROME OFFICE RAW WATER PUMP - SIMER JET PUMPS 2205C  L: 483, W: 275, _x000a_H: 267 "/>
    <s v="4431-PP-00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20"/>
    <x v="12"/>
    <x v="51"/>
    <x v="28"/>
    <x v="129"/>
    <x v="123"/>
    <s v="837"/>
    <s v="MT-"/>
    <s v="MM1"/>
    <s v="Light Equimpent"/>
    <s v="MM1"/>
    <s v="Mechanical Equipment"/>
    <s v="Light Equipment"/>
    <s v="Pump"/>
    <s v="   RAW WATER TANK PUMP  "/>
    <s v="4431-MT-00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20"/>
    <x v="12"/>
    <x v="51"/>
    <x v="28"/>
    <x v="139"/>
    <x v="126"/>
    <s v="845"/>
    <s v="AE-"/>
    <s v="MM2"/>
    <s v="Medium Equipment"/>
    <s v="MM2"/>
    <s v="Mechanical Equipment"/>
    <s v="Medium Equipment"/>
    <s v="x-ray"/>
    <s v="AERODROME EQUIPMENT  - SECURITY X-RAY MACHINE _x000a_L: 2282, W: 1030, H: 1467 "/>
    <s v="4433-AE-00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0"/>
    <x v="12"/>
    <x v="51"/>
    <x v="28"/>
    <x v="139"/>
    <x v="126"/>
    <s v="846"/>
    <s v="AE-"/>
    <s v="MM2"/>
    <s v="Medium Equipment"/>
    <s v="MM2"/>
    <s v="Mechanical Equipment"/>
    <s v="Medium Equipment"/>
    <s v="Aircraft equip"/>
    <s v="AERODROME EQUIPMENT  - AIRCRAFT GROUND POWER UNIT "/>
    <s v="4433-AE-015"/>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0"/>
    <x v="12"/>
    <x v="51"/>
    <x v="28"/>
    <x v="139"/>
    <x v="126"/>
    <s v="847"/>
    <s v="AE-"/>
    <s v="MM2"/>
    <s v="Medium Equipment"/>
    <s v="MM2"/>
    <s v="Mechanical Equipment"/>
    <s v="Medium Equipment"/>
    <s v="Aircraft equip"/>
    <s v="AERODROME EQUIPMENT  - AIRCRAFT PASSENGER STAIRS _x000a_L: 9906, W: 2565, H: 3048 "/>
    <s v="4433-AE-02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49"/>
    <x v="32"/>
    <x v="108"/>
    <x v="112"/>
    <m/>
    <s v=""/>
    <s v="A3l"/>
    <s v="Grade &amp; Re-Contour with Liner"/>
    <s v="A3l"/>
    <s v="Site Works"/>
    <s v="Grade and Re-Contour With Liner"/>
    <m/>
    <s v="Landfarm"/>
    <m/>
    <n v="0"/>
    <s v="m2"/>
    <n v="4.4489880937500004E-2"/>
    <n v="0.17804999999999999"/>
    <n v="4.4489880937499997"/>
    <n v="0.71454534577546303"/>
    <n v="5.3082953457754627"/>
    <n v="0"/>
    <n v="0"/>
    <n v="0"/>
    <n v="0"/>
    <n v="0"/>
    <n v="0"/>
    <n v="0"/>
    <n v="1"/>
    <n v="0"/>
    <n v="0"/>
    <n v="1"/>
    <n v="0"/>
    <n v="0"/>
    <n v="0"/>
    <n v="0"/>
    <s v="Type A  _x000a_2AM-MRY1325"/>
    <s v="Removed"/>
    <n v="2015"/>
    <s v="Direct "/>
    <m/>
    <m/>
    <n v="0.33333333333333331"/>
    <n v="0.33333333333333331"/>
    <n v="0.33333333333333331"/>
    <m/>
    <m/>
    <m/>
    <m/>
    <m/>
    <n v="0"/>
    <m/>
    <n v="0"/>
    <n v="0"/>
    <n v="0"/>
    <n v="0"/>
    <n v="0"/>
    <n v="0"/>
    <n v="0"/>
    <n v="0"/>
  </r>
  <r>
    <x v="6"/>
    <x v="6"/>
    <x v="11"/>
    <x v="3"/>
    <x v="45"/>
    <x v="3"/>
    <x v="140"/>
    <x v="49"/>
    <s v="857"/>
    <s v="PP-"/>
    <s v="MM1"/>
    <s v="Light Equimpent"/>
    <s v="MM1"/>
    <s v="Mechanical Equipment"/>
    <s v="Light Equipment"/>
    <s v="Pump"/>
    <s v="PUMP  - RAW SEWAGE LIFT STATION "/>
    <s v="4510-PP-00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45"/>
    <x v="3"/>
    <x v="103"/>
    <x v="15"/>
    <s v="871"/>
    <s v="LE-"/>
    <s v="MM1"/>
    <s v="Light Equimpent"/>
    <s v="MM1"/>
    <s v="Mechanical Equipment"/>
    <s v="Light Equipment"/>
    <s v="Lab Equip."/>
    <s v="LABORATORY EQUIPMENT  - AIR COMPRESSOR  "/>
    <s v="4511-LE-001"/>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72"/>
    <s v="LE-"/>
    <s v="MM1"/>
    <s v="Light Equimpent"/>
    <s v="MM1"/>
    <s v="Mechanical Equipment"/>
    <s v="Light Equipment"/>
    <s v="Lab Equip."/>
    <s v="LABORATORY EQUIPMENT  - AIR COMPRESSOR  "/>
    <s v="4511-LE-00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73"/>
    <s v="LE-"/>
    <s v="MM1"/>
    <s v="Light Equimpent"/>
    <s v="MM1"/>
    <s v="Mechanical Equipment"/>
    <s v="Light Equipment"/>
    <s v="Lab Equip."/>
    <s v="LABORATORY EQUIPMENT  - AIR DRYER  "/>
    <s v="4511-LE-00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74"/>
    <s v="LE-"/>
    <s v="MM1"/>
    <s v="Light Equimpent"/>
    <s v="MM1"/>
    <s v="Mechanical Equipment"/>
    <s v="Light Equipment"/>
    <s v="Lab Equip."/>
    <s v="LABORATORY EQUIPMENT  - BALANCE SCALE  "/>
    <s v="4511-LE-004"/>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75"/>
    <s v="LE-"/>
    <s v="MM1"/>
    <s v="Light Equimpent"/>
    <s v="MM1"/>
    <s v="Mechanical Equipment"/>
    <s v="Light Equipment"/>
    <s v="Lab Equip."/>
    <s v="LABORATORY EQUIPMENT  - BALANCE SCALE  "/>
    <s v="4511-LE-005"/>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76"/>
    <s v="LE-"/>
    <s v="MM1"/>
    <s v="Light Equimpent"/>
    <s v="MM1"/>
    <s v="Mechanical Equipment"/>
    <s v="Light Equipment"/>
    <s v="Lab Equip."/>
    <s v="LABORATORY EQUIPMENT  - BALANCE SCALE  "/>
    <s v="4511-LE-006"/>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77"/>
    <s v="LE-"/>
    <s v="MM1"/>
    <s v="Light Equimpent"/>
    <s v="MM1"/>
    <s v="Mechanical Equipment"/>
    <s v="Light Equipment"/>
    <s v="Lab Equip."/>
    <s v="LABORATORY EQUIPMENT  - CARBON/SULFUR ANALYSER "/>
    <s v="4511-LE-007"/>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78"/>
    <s v="LE-"/>
    <s v="MM1"/>
    <s v="Light Equimpent"/>
    <s v="MM1"/>
    <s v="Mechanical Equipment"/>
    <s v="Light Equipment"/>
    <s v="Lab Equip."/>
    <s v="LABORATORY EQUIPMENT  - CHILLER  "/>
    <s v="4511-LE-008"/>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79"/>
    <s v="LE-"/>
    <s v="MM1"/>
    <s v="Light Equimpent"/>
    <s v="MM1"/>
    <s v="Mechanical Equipment"/>
    <s v="Light Equipment"/>
    <s v="Lab Equip."/>
    <s v="LABORATORY EQUIPMENT  - CRUSHER  "/>
    <s v="4511-LE-016"/>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0"/>
    <s v="LE-"/>
    <s v="MM1"/>
    <s v="Light Equimpent"/>
    <s v="MM1"/>
    <s v="Mechanical Equipment"/>
    <s v="Light Equipment"/>
    <s v="Lab Equip."/>
    <s v="LABORATORY EQUIPMENT  - CRUSHER DUST HOOD "/>
    <s v="4511-LE-017"/>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1"/>
    <s v="LE-"/>
    <s v="MM1"/>
    <s v="Light Equimpent"/>
    <s v="MM1"/>
    <s v="Mechanical Equipment"/>
    <s v="Light Equipment"/>
    <s v="Lab Equip."/>
    <s v="LABORATORY EQUIPMENT  - DRYING OVEN  "/>
    <s v="4511-LE-018"/>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2"/>
    <s v="LE-"/>
    <s v="MM1"/>
    <s v="Light Equimpent"/>
    <s v="MM1"/>
    <s v="Mechanical Equipment"/>
    <s v="Light Equipment"/>
    <s v="Lab Equip."/>
    <s v="LABORATORY EQUIPMENT  - DRYING OVEN  "/>
    <s v="4511-LE-019"/>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3"/>
    <s v="LE-"/>
    <s v="MM1"/>
    <s v="Light Equimpent"/>
    <s v="MM1"/>
    <s v="Mechanical Equipment"/>
    <s v="Light Equipment"/>
    <s v="Lab Equip."/>
    <s v="LABORATORY EQUIPMENT  - DUST COLLECTOR  "/>
    <s v="4511-LE-020"/>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4"/>
    <s v="LE-"/>
    <s v="MM1"/>
    <s v="Light Equimpent"/>
    <s v="MM1"/>
    <s v="Mechanical Equipment"/>
    <s v="Light Equipment"/>
    <s v="Lab Equip."/>
    <s v="LABORATORY EQUIPMENT  - FUMEHOOD  "/>
    <s v="4511-LE-021"/>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5"/>
    <s v="LE-"/>
    <s v="MM1"/>
    <s v="Light Equimpent"/>
    <s v="MM1"/>
    <s v="Mechanical Equipment"/>
    <s v="Light Equipment"/>
    <s v="Lab Equip."/>
    <s v="LABORATORY EQUIPMENT  - FUSION SYSTEM  "/>
    <s v="4511-LE-02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6"/>
    <s v="LE-"/>
    <s v="MM1"/>
    <s v="Light Equimpent"/>
    <s v="MM1"/>
    <s v="Mechanical Equipment"/>
    <s v="Light Equipment"/>
    <s v="Lab Equip."/>
    <s v="LABORATORY EQUIPMENT  - HOT PLATE  "/>
    <s v="4511-LE-02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7"/>
    <s v="LE-"/>
    <s v="MM1"/>
    <s v="Light Equimpent"/>
    <s v="MM1"/>
    <s v="Mechanical Equipment"/>
    <s v="Light Equipment"/>
    <s v="Lab Equip."/>
    <s v="LABORATORY EQUIPMENT  - MUFFLE FURNACE  "/>
    <s v="4511-LE-024"/>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001"/>
    <s v="BLD"/>
    <s v="FF1"/>
    <s v="Modular Building Not Contaminated (480 ft2)"/>
    <s v="FS"/>
    <s v="Buildings (Not Contaminated)"/>
    <s v="Prefabricated Special Modular"/>
    <m/>
    <s v="Accommodation Service Core Extension - Demolish and Decontaminate Building - Special Modular / Prefabricated"/>
    <s v="4511-BLD-001"/>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001"/>
    <s v="BLD"/>
    <s v="EG"/>
    <s v="Gravel Base Removal"/>
    <s v="EG"/>
    <s v="Flooring / Foundations"/>
    <s v="Gravel Base"/>
    <m/>
    <s v="Accommodation Service Core Extension - Demolish and foundations - Gravel Base - Skidded Building"/>
    <s v="4511-BLD-001"/>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001"/>
    <s v="BLD"/>
    <m/>
    <e v="#N/A"/>
    <s v="FW"/>
    <s v="Flooring / Foundations"/>
    <s v="Wood Floor"/>
    <m/>
    <s v="Accommodation Service Core Extension - Demolish floor finish - Raised Steel or Wooden Floor"/>
    <s v="4511-BLD-001"/>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005"/>
    <s v="BLD"/>
    <s v="FF1"/>
    <s v="Modular Building Not Contaminated (480 ft2)"/>
    <s v="FS"/>
    <s v="Buildings (Not Contaminated)"/>
    <s v="Prefabricated Special Modular"/>
    <m/>
    <s v="Accommodation Exercise Facility - Demolish and Decontaminate Building - Special Modular / Prefabricated"/>
    <s v="4511-BLD-005"/>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005"/>
    <s v="BLD"/>
    <s v="EG"/>
    <s v="Gravel Base Removal"/>
    <s v="EG"/>
    <s v="Flooring / Foundations"/>
    <s v="Gravel Base"/>
    <m/>
    <s v="Accommodation Exercise Facility - Demolish and foundations - Gravel Base - Skidded Building"/>
    <s v="4511-BLD-005"/>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005"/>
    <s v="BLD"/>
    <m/>
    <e v="#N/A"/>
    <s v="FW"/>
    <s v="Flooring / Foundations"/>
    <s v="Wood Floor"/>
    <m/>
    <s v="Accommodation Exercise Facility - Demolish floor finish - Raised Steel or Wooden Floor"/>
    <s v="4511-BLD-005"/>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006"/>
    <s v="BLD"/>
    <s v="FF1"/>
    <s v="Modular Building Not Contaminated (480 ft2)"/>
    <s v="FS"/>
    <s v="Buildings (Not Contaminated)"/>
    <s v="Prefabricated Special Modular"/>
    <m/>
    <s v="Accommodation Arctic Corridor Extension - Demolish and Decontaminate Building - Special Modular / Prefabricated"/>
    <s v="4511-BLD-006"/>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006"/>
    <s v="BLD"/>
    <s v="EG"/>
    <s v="Gravel Base Removal"/>
    <s v="EG"/>
    <s v="Flooring / Foundations"/>
    <s v="Gravel Base"/>
    <m/>
    <s v="Accommodation Arctic Corridor Extension - Demolish and foundations - Gravel Base - Skidded Building"/>
    <s v="4511-BLD-006"/>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006"/>
    <s v="BLD"/>
    <m/>
    <e v="#N/A"/>
    <s v="FW"/>
    <s v="Flooring / Foundations"/>
    <s v="Wood Floor"/>
    <m/>
    <s v="Accommodation Arctic Corridor Extension - Demolish floor finish - Raised Steel or Wooden Floor"/>
    <s v="4511-BLD-006"/>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08"/>
    <s v="BLD"/>
    <s v="FF1"/>
    <s v="Modular Building Not Contaminated (480 ft2)"/>
    <s v="FS"/>
    <s v="Buildings (Not Contaminated)"/>
    <s v="Prefabricated Special Modular"/>
    <m/>
    <s v="Accommodation Wing AH - Demolish and Decontaminate Building - Special Modular / Prefabricated"/>
    <s v="4512-BLD-008"/>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08"/>
    <s v="BLD"/>
    <s v="EG"/>
    <s v="Gravel Base Removal"/>
    <s v="EG"/>
    <s v="Flooring / Foundations"/>
    <s v="Gravel Base"/>
    <m/>
    <s v="Accommodation Wing AH - Demolish and foundations - Gravel Base - Skidded Building"/>
    <s v="4512-BLD-008"/>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08"/>
    <s v="BLD"/>
    <m/>
    <e v="#N/A"/>
    <s v="FW"/>
    <s v="Flooring / Foundations"/>
    <s v="Wood Floor"/>
    <m/>
    <s v="Accommodation Wing AH - Demolish floor finish - Raised Steel or Wooden Floor"/>
    <s v="4512-BLD-008"/>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09"/>
    <s v="BLD"/>
    <s v="FF1"/>
    <s v="Modular Building Not Contaminated (480 ft2)"/>
    <s v="FS"/>
    <s v="Buildings (Not Contaminated)"/>
    <s v="Prefabricated Special Modular"/>
    <m/>
    <s v="Accommodation Wing AI - Demolish and Decontaminate Building - Special Modular / Prefabricated"/>
    <s v="4512-BLD-009"/>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09"/>
    <s v="BLD"/>
    <s v="EG"/>
    <s v="Gravel Base Removal"/>
    <s v="EG"/>
    <s v="Flooring / Foundations"/>
    <s v="Gravel Base"/>
    <m/>
    <s v="Accommodation Wing AI - Demolish and foundations - Gravel Base - Skidded Building"/>
    <s v="4512-BLD-009"/>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09"/>
    <s v="BLD"/>
    <m/>
    <e v="#N/A"/>
    <s v="FW"/>
    <s v="Flooring / Foundations"/>
    <s v="Wood Floor"/>
    <m/>
    <s v="Accommodation Wing AI - Demolish floor finish - Raised Steel or Wooden Floor"/>
    <s v="4512-BLD-009"/>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0"/>
    <s v="BLD"/>
    <s v="FF1"/>
    <s v="Modular Building Not Contaminated (480 ft2)"/>
    <s v="FS"/>
    <s v="Buildings (Not Contaminated)"/>
    <s v="Prefabricated Special Modular"/>
    <m/>
    <s v="Accommodation Wing AJ - Demolish and Decontaminate Building - Special Modular / Prefabricated"/>
    <s v="4512-BLD-010"/>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0"/>
    <s v="BLD"/>
    <s v="EG"/>
    <s v="Gravel Base Removal"/>
    <s v="EG"/>
    <s v="Flooring / Foundations"/>
    <s v="Gravel Base"/>
    <m/>
    <s v="Accommodation Wing AJ - Demolish and foundations - Gravel Base - Skidded Building"/>
    <s v="4512-BLD-010"/>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0"/>
    <s v="BLD"/>
    <m/>
    <e v="#N/A"/>
    <s v="FW"/>
    <s v="Flooring / Foundations"/>
    <s v="Wood Floor"/>
    <m/>
    <s v="Accommodation Wing AJ - Demolish floor finish - Raised Steel or Wooden Floor"/>
    <s v="4512-BLD-010"/>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1"/>
    <s v="BLD"/>
    <s v="FF1"/>
    <s v="Modular Building Not Contaminated (480 ft2)"/>
    <s v="FS"/>
    <s v="Buildings (Not Contaminated)"/>
    <s v="Prefabricated Special Modular"/>
    <m/>
    <s v="Accommodation Wing AK - Demolish and Decontaminate Building - Special Modular / Prefabricated"/>
    <s v="4512-BLD-011"/>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1"/>
    <s v="BLD"/>
    <s v="EG"/>
    <s v="Gravel Base Removal"/>
    <s v="EG"/>
    <s v="Flooring / Foundations"/>
    <s v="Gravel Base"/>
    <m/>
    <s v="Accommodation Wing AK - Demolish and foundations - Gravel Base - Skidded Building"/>
    <s v="4512-BLD-011"/>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1"/>
    <s v="BLD"/>
    <m/>
    <e v="#N/A"/>
    <s v="FW"/>
    <s v="Flooring / Foundations"/>
    <s v="Wood Floor"/>
    <m/>
    <s v="Accommodation Wing AK - Demolish floor finish - Raised Steel or Wooden Floor"/>
    <s v="4512-BLD-011"/>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2"/>
    <s v="BLD"/>
    <s v="FF1"/>
    <s v="Modular Building Not Contaminated (480 ft2)"/>
    <s v="FS"/>
    <s v="Buildings (Not Contaminated)"/>
    <s v="Prefabricated Special Modular"/>
    <m/>
    <s v="Accommodation Wing AL - Demolish and Decontaminate Building - Special Modular / Prefabricated"/>
    <s v="4512-BLD-012"/>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2"/>
    <s v="BLD"/>
    <s v="EG"/>
    <s v="Gravel Base Removal"/>
    <s v="EG"/>
    <s v="Flooring / Foundations"/>
    <s v="Gravel Base"/>
    <m/>
    <s v="Accommodation Wing AL - Demolish and foundations - Gravel Base - Skidded Building"/>
    <s v="4512-BLD-012"/>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2"/>
    <s v="BLD"/>
    <m/>
    <e v="#N/A"/>
    <s v="FW"/>
    <s v="Flooring / Foundations"/>
    <s v="Wood Floor"/>
    <m/>
    <s v="Accommodation Wing AL - Demolish floor finish - Raised Steel or Wooden Floor"/>
    <s v="4512-BLD-012"/>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3"/>
    <s v="BLD"/>
    <s v="FF1"/>
    <s v="Modular Building Not Contaminated (480 ft2)"/>
    <s v="FS"/>
    <s v="Buildings (Not Contaminated)"/>
    <s v="Prefabricated Special Modular"/>
    <m/>
    <s v="Accommodation Wing AM - Demolish and Decontaminate Building - Special Modular / Prefabricated"/>
    <s v="4512-BLD-013"/>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3"/>
    <s v="BLD"/>
    <s v="EG"/>
    <s v="Gravel Base Removal"/>
    <s v="EG"/>
    <s v="Flooring / Foundations"/>
    <s v="Gravel Base"/>
    <m/>
    <s v="Accommodation Wing AM - Demolish and foundations - Gravel Base - Skidded Building"/>
    <s v="4512-BLD-013"/>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s v="013"/>
    <s v="BLD"/>
    <m/>
    <e v="#N/A"/>
    <s v="FW"/>
    <s v="Flooring / Foundations"/>
    <s v="Wood Floor"/>
    <m/>
    <s v="Accommodation Wing AM - Demolish floor finish - Raised Steel or Wooden Floor"/>
    <s v="4512-BLD-013"/>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m/>
    <s v=""/>
    <s v="A3"/>
    <s v="Grade &amp; Re-Contour"/>
    <s v="A2"/>
    <s v="Site Works"/>
    <s v="Grade and Re-Contour"/>
    <s v="Grade and Contour"/>
    <s v="Accommodation extension – West side"/>
    <m/>
    <n v="0"/>
    <s v="m2"/>
    <n v="1.2689880937499998E-2"/>
    <n v="0.14624999999999999"/>
    <n v="1.2689880937499998"/>
    <n v="0.39654534577546297"/>
    <n v="1.8102953457754629"/>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5"/>
    <x v="3"/>
    <m/>
    <s v=""/>
    <s v="A3"/>
    <s v="Grade &amp; Re-Contour"/>
    <s v="A2"/>
    <s v="Site Works"/>
    <s v="Grade and Re-Contour"/>
    <s v="Grade and Contour"/>
    <s v="Accommodation extension – East Side"/>
    <m/>
    <n v="0"/>
    <s v="m2"/>
    <n v="1.2689880937499998E-2"/>
    <n v="0.14624999999999999"/>
    <n v="1.2689880937499998"/>
    <n v="0.39654534577546297"/>
    <n v="1.8102953457754629"/>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45"/>
    <x v="3"/>
    <x v="103"/>
    <x v="15"/>
    <s v="888"/>
    <s v="LE-"/>
    <s v="MM1"/>
    <s v="Light Equimpent"/>
    <s v="MM1"/>
    <s v="Mechanical Equipment"/>
    <s v="Light Equipment"/>
    <s v="Lab Equip."/>
    <s v="LABORATORY EQUIPMENT  - PULVERIZER  "/>
    <s v="4511-LE-027"/>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89"/>
    <s v="LE-"/>
    <s v="MM1"/>
    <s v="Light Equimpent"/>
    <s v="MM1"/>
    <s v="Mechanical Equipment"/>
    <s v="Light Equipment"/>
    <s v="Lab Equip."/>
    <s v="LABORATORY EQUIPMENT  - PULVERIZER  "/>
    <s v="4511-LE-028"/>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90"/>
    <s v="LE-"/>
    <s v="MM1"/>
    <s v="Light Equimpent"/>
    <s v="MM1"/>
    <s v="Mechanical Equipment"/>
    <s v="Light Equipment"/>
    <s v="Lab Equip."/>
    <s v="LABORATORY EQUIPMENT  - PULVERIZER DUST HOOD "/>
    <s v="4511-LE-029"/>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91"/>
    <s v="LE-"/>
    <s v="MM1"/>
    <s v="Light Equimpent"/>
    <s v="MM1"/>
    <s v="Mechanical Equipment"/>
    <s v="Light Equipment"/>
    <s v="Lab Equip."/>
    <s v="LABORATORY EQUIPMENT  - ROTAP  "/>
    <s v="4511-LE-030"/>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92"/>
    <s v="LE-"/>
    <s v="MM1"/>
    <s v="Light Equimpent"/>
    <s v="MM1"/>
    <s v="Mechanical Equipment"/>
    <s v="Light Equipment"/>
    <s v="Lab Equip."/>
    <s v="LABORATORY EQUIPMENT  - ROTAP DUST HOOD "/>
    <s v="4511-LE-031"/>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93"/>
    <s v="LE-"/>
    <s v="MM1"/>
    <s v="Light Equimpent"/>
    <s v="MM1"/>
    <s v="Mechanical Equipment"/>
    <s v="Light Equipment"/>
    <s v="Lab Equip."/>
    <s v="LABORATORY EQUIPMENT  - MAGNETITE ANALYSER "/>
    <s v="4511-LE-03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94"/>
    <s v="LE-"/>
    <s v="MM1"/>
    <s v="Light Equimpent"/>
    <s v="MM1"/>
    <s v="Mechanical Equipment"/>
    <s v="Light Equipment"/>
    <s v="Lab Equip."/>
    <s v="LABORATORY EQUIPMENT  - SCRUBBER FAN  "/>
    <s v="4511-LE-03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95"/>
    <s v="LE-"/>
    <s v="MM1"/>
    <s v="Light Equimpent"/>
    <s v="MM1"/>
    <s v="Mechanical Equipment"/>
    <s v="Light Equipment"/>
    <s v="Pump"/>
    <s v="LABORATORY EQUIPMENT  - SCRUBBER RECIRCULATION PUMP "/>
    <s v="4511-LE-034"/>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96"/>
    <s v="LE-"/>
    <s v="MM1"/>
    <s v="Light Equimpent"/>
    <s v="MM1"/>
    <s v="Mechanical Equipment"/>
    <s v="Light Equipment"/>
    <s v="Lab Equip."/>
    <s v="LABORATORY EQUIPMENT  - THERMOGRAVIMETRIC ANALYSER "/>
    <s v="4511-LE-035"/>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03"/>
    <x v="15"/>
    <s v="897"/>
    <s v="LE-"/>
    <s v="MM1"/>
    <s v="Light Equimpent"/>
    <s v="MM1"/>
    <s v="Mechanical Equipment"/>
    <s v="Light Equipment"/>
    <s v="Lab Equip."/>
    <s v="LABORATORY EQUIPMENT  - XRF SPECTROMETER  "/>
    <s v="4511-LE-036"/>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24"/>
    <x v="34"/>
    <s v="930"/>
    <s v="PP-"/>
    <s v="MM1"/>
    <s v="Light Equimpent"/>
    <s v="MM1"/>
    <s v="Mechanical Equipment"/>
    <s v="Light Equipment"/>
    <s v="Pump"/>
    <s v="PUMP  - EMERGENCY RESPONSE OFFICE RAW WATER PUMP - SIMER JET PUMPS 2205C  L: 483 _x000a_W: 275 _x000a_H: 267 "/>
    <s v="4513-PP-006"/>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24"/>
    <x v="34"/>
    <s v="931"/>
    <s v="MT-"/>
    <s v="MM1"/>
    <s v="Light Equimpent"/>
    <s v="MM1"/>
    <s v="Mechanical Equipment"/>
    <s v="Light Equipment"/>
    <s v="Pump"/>
    <s v="   RAW WATER TANK PUMP  "/>
    <s v="4513-MT-006"/>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45"/>
    <x v="3"/>
    <x v="124"/>
    <x v="34"/>
    <s v="932"/>
    <s v="PP-"/>
    <s v="MM1"/>
    <s v="Light Equimpent"/>
    <s v="MM1"/>
    <s v="Mechanical Equipment"/>
    <s v="Light Equipment"/>
    <s v="Pump"/>
    <s v="PUMP  - MINE EMERGENCY RESPONSE GARAGE FUEL OIL PUMP (PUMP) - VIKING DUPLEX OIL SYSTEMS  "/>
    <s v="4513-PP-02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45"/>
    <x v="3"/>
    <x v="124"/>
    <x v="34"/>
    <s v="933"/>
    <s v="MT-"/>
    <s v="MM1"/>
    <s v="Light Equimpent"/>
    <s v="MM1"/>
    <s v="Mechanical Equipment"/>
    <s v="Light Equipment"/>
    <s v="Pump"/>
    <s v="   FUEL OIL PUMP  "/>
    <s v="4513-MT-02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45"/>
    <x v="3"/>
    <x v="124"/>
    <x v="34"/>
    <s v="934"/>
    <s v="PP-"/>
    <s v="MM1"/>
    <s v="Light Equimpent"/>
    <s v="MM1"/>
    <s v="Mechanical Equipment"/>
    <s v="Light Equipment"/>
    <s v="Pump"/>
    <s v="PUMP  - MINE EMERGENCY RESPONSE GARAGE FUEL OIL PUMP (STANDBY) - VIKING DUPLEX OIL SYSTEMS  "/>
    <s v="4513-PP-02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45"/>
    <x v="3"/>
    <x v="124"/>
    <x v="34"/>
    <s v="935"/>
    <s v="MT-"/>
    <s v="MM1"/>
    <s v="Light Equimpent"/>
    <s v="MM1"/>
    <s v="Mechanical Equipment"/>
    <s v="Light Equipment"/>
    <s v="Pump"/>
    <s v="   FUEL OIL PUMP  "/>
    <s v="4513-MT-02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45"/>
    <x v="3"/>
    <x v="124"/>
    <x v="34"/>
    <s v="936"/>
    <s v="SQ-"/>
    <s v="MM2"/>
    <s v="Medium Equipment"/>
    <s v="MM2"/>
    <s v="Mechanical Equipment"/>
    <s v="Medium Equipment"/>
    <s v="Shop Equipment"/>
    <s v="SHOP / MAINTENANCE EQUIPMENT  - DRY CHEMICAL REFILL STATION - TYCO FIRE PROTECTION  "/>
    <s v="4513-SQ-010"/>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31"/>
    <x v="12"/>
    <s v="957"/>
    <s v="PP-"/>
    <s v="MM1"/>
    <s v="Light Equimpent"/>
    <s v="MM1"/>
    <s v="Mechanical Equipment"/>
    <s v="Light Equipment"/>
    <s v="Pump"/>
    <s v="PUMP  - WELDING SHOP FUEL OIL PUMP (DUTY) - VIKING DUPLEX OIL SYSTEMS  "/>
    <s v="4521-PP-003"/>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31"/>
    <x v="12"/>
    <s v="958"/>
    <s v="MT-"/>
    <s v="MM1"/>
    <s v="Light Equimpent"/>
    <s v="MM1"/>
    <s v="Mechanical Equipment"/>
    <s v="Light Equipment"/>
    <s v="Pump"/>
    <s v="   FUEL OIL PUMP  "/>
    <s v="4521-MT-003"/>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31"/>
    <x v="12"/>
    <s v="959"/>
    <s v="PP-"/>
    <s v="MM1"/>
    <s v="Light Equimpent"/>
    <s v="MM1"/>
    <s v="Mechanical Equipment"/>
    <s v="Light Equipment"/>
    <s v="Pump"/>
    <s v="PUMP  - WELDING SHOP FUEL OIL PUMP (STANDBY) - VIKING DUPLEX OIL SYSTEMS  "/>
    <s v="4521-PP-004"/>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31"/>
    <x v="12"/>
    <s v="960"/>
    <s v="MT-"/>
    <s v="MM1"/>
    <s v="Light Equimpent"/>
    <s v="MM1"/>
    <s v="Mechanical Equipment"/>
    <s v="Light Equipment"/>
    <s v="Pump"/>
    <s v="   FUEL OIL PUMP  "/>
    <s v="4521-MT-004"/>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3"/>
    <x v="3"/>
    <x v="7"/>
    <x v="7"/>
    <x v="9"/>
    <x v="8"/>
    <x v="141"/>
    <x v="127"/>
    <s v="1271"/>
    <s v="TK-"/>
    <s v="MT2"/>
    <s v="Medium Tanks"/>
    <s v="MT2"/>
    <s v="Mechanical Equipment"/>
    <s v="Medium Tanks"/>
    <m/>
    <s v="TANK  - SITE SERVICES WASHCAR #1 SEWAGE COLLECTION TANK - LAGRANGE MECHANICAL SERVICES  L: 3791  W: 1829  H: 610 "/>
    <s v="7232-TK-004"/>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5"/>
    <n v="0.5"/>
    <m/>
    <m/>
    <m/>
    <m/>
    <m/>
    <m/>
    <n v="0"/>
    <m/>
    <n v="3693.6574047619051"/>
    <n v="3693.6574047619051"/>
    <n v="0"/>
    <n v="0"/>
    <n v="0"/>
    <n v="0"/>
    <n v="0"/>
    <n v="0"/>
  </r>
  <r>
    <x v="3"/>
    <x v="3"/>
    <x v="22"/>
    <x v="13"/>
    <x v="63"/>
    <x v="8"/>
    <x v="142"/>
    <x v="127"/>
    <s v="1435"/>
    <s v="TK-"/>
    <s v="MT2"/>
    <s v="Medium Tanks"/>
    <s v="MT2"/>
    <s v="Mechanical Equipment"/>
    <s v="Medium Tanks"/>
    <m/>
    <s v="TANK  - FUEL SYSTEMS WASHCAR SEWAGE COLLECTION TANK - LAGRANGE MECHANICAL SERVICES  L: 3791   W: 1829  H: 610 "/>
    <s v="7432-TK-004"/>
    <n v="1"/>
    <s v="ea"/>
    <n v="31"/>
    <n v="390"/>
    <n v="3097.3148095238098"/>
    <n v="3900"/>
    <n v="7387.3148095238103"/>
    <n v="31"/>
    <n v="390"/>
    <n v="3097.3148095238098"/>
    <n v="3900"/>
    <n v="7387.3148095238103"/>
    <n v="2"/>
    <n v="2"/>
    <n v="1"/>
    <n v="0"/>
    <n v="0"/>
    <n v="1"/>
    <n v="7387.3148095238103"/>
    <n v="0"/>
    <n v="0"/>
    <n v="7387.3148095238103"/>
    <s v="Type A  _x000a_2AM-MRY1325"/>
    <m/>
    <n v="2014"/>
    <s v="Direct "/>
    <m/>
    <m/>
    <n v="0.5"/>
    <n v="0.5"/>
    <m/>
    <m/>
    <m/>
    <m/>
    <m/>
    <m/>
    <n v="0"/>
    <m/>
    <n v="3693.6574047619051"/>
    <n v="3693.6574047619051"/>
    <n v="0"/>
    <n v="0"/>
    <n v="0"/>
    <n v="0"/>
    <n v="0"/>
    <n v="0"/>
  </r>
  <r>
    <x v="3"/>
    <x v="3"/>
    <x v="22"/>
    <x v="13"/>
    <x v="63"/>
    <x v="8"/>
    <x v="142"/>
    <x v="127"/>
    <s v="1437"/>
    <s v="TK-"/>
    <s v="MT2"/>
    <s v="Medium Tanks"/>
    <s v="MT2"/>
    <s v="Mechanical Equipment"/>
    <s v="Medium Tanks"/>
    <m/>
    <s v="TANK  - SITE SERVICES WASHCAR #1 SEWAGE COLLECTION TANK - LAGRANGE MECHANICAL SERVICES  L: 3791  W: 1829  H: 610 "/>
    <s v="7432-TK-007"/>
    <n v="1"/>
    <s v="ea"/>
    <n v="31"/>
    <n v="390"/>
    <n v="3097.3148095238098"/>
    <n v="3900"/>
    <n v="7387.3148095238103"/>
    <n v="31"/>
    <n v="390"/>
    <n v="3097.3148095238098"/>
    <n v="3900"/>
    <n v="7387.3148095238103"/>
    <n v="2"/>
    <n v="2"/>
    <n v="1"/>
    <n v="0"/>
    <n v="0"/>
    <n v="1"/>
    <n v="7387.3148095238103"/>
    <n v="0"/>
    <n v="0"/>
    <n v="7387.3148095238103"/>
    <s v="Type A  _x000a_2AM-MRY1325"/>
    <m/>
    <n v="2014"/>
    <s v="Direct "/>
    <m/>
    <m/>
    <n v="0.5"/>
    <n v="0.5"/>
    <m/>
    <m/>
    <m/>
    <m/>
    <m/>
    <m/>
    <n v="0"/>
    <m/>
    <n v="3693.6574047619051"/>
    <n v="3693.6574047619051"/>
    <n v="0"/>
    <n v="0"/>
    <n v="0"/>
    <n v="0"/>
    <n v="0"/>
    <n v="0"/>
  </r>
  <r>
    <x v="6"/>
    <x v="6"/>
    <x v="11"/>
    <x v="3"/>
    <x v="19"/>
    <x v="4"/>
    <x v="31"/>
    <x v="12"/>
    <s v="007"/>
    <s v="BLD"/>
    <s v="FF2-c"/>
    <s v="Fold Away Building Contaminated (480 ft2)"/>
    <s v="FFL-c"/>
    <s v="Buildings (Contaminated)"/>
    <s v="Fold Away Building"/>
    <m/>
    <s v="Welding Shop Building #2 - Demolish and Decontaminate Building - Fold-away Building (Steel)"/>
    <s v="4521-BLD-007"/>
    <n v="0"/>
    <s v="m2"/>
    <n v="0.56041666666666667"/>
    <n v="2.3537499999999998"/>
    <n v="55.993123908730162"/>
    <n v="84.0625"/>
    <n v="142.40937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007"/>
    <s v="BLD"/>
    <s v="CP"/>
    <s v="Precast Concrete Foundations - (480 ft2)"/>
    <s v="CP"/>
    <s v="Flooring / Foundations"/>
    <s v="Precast Foundations"/>
    <m/>
    <s v="Welding Shop Building #2 - Demolish and foundations - Precast Footing (Perimeter Beam)"/>
    <s v="4521-BLD-007"/>
    <n v="0"/>
    <s v="m2"/>
    <n v="0.14520631503408685"/>
    <n v="2.1780947255113023"/>
    <n v="14.50805387069216"/>
    <n v="21.780947255113027"/>
    <n v="38.467095851316493"/>
    <n v="0"/>
    <n v="0"/>
    <n v="0"/>
    <n v="0"/>
    <n v="0"/>
    <n v="0.75"/>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007"/>
    <s v="BLD"/>
    <s v="CS"/>
    <s v="Slab on Grade - ASSUME 300mm thick"/>
    <s v="CS"/>
    <s v="Flooring / Foundations"/>
    <s v="Slab on Grade"/>
    <m/>
    <s v="Welding Shop Building #2 - Demolish floor finish - Slab on grade C/W Drainage"/>
    <s v="4521-BLD-007"/>
    <n v="0"/>
    <s v="m2"/>
    <n v="0.125"/>
    <n v="1.875"/>
    <n v="12.48917261904762"/>
    <n v="18.75"/>
    <n v="33.114172619047622"/>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008"/>
    <s v="BLD"/>
    <s v="FF1-c"/>
    <s v="Modular Building Contaminated (480 ft2) "/>
    <s v="FTR2-c"/>
    <s v="Buildings (Contaminated)"/>
    <s v="Double Trailer (2 or more)"/>
    <m/>
    <s v="Ore Haul  Truck Workshop Office Building - Demolish and Decontaminate Building - Trailer - Modular (2 or more modules)"/>
    <s v="4521-BLD-008"/>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008"/>
    <s v="BLD"/>
    <s v="FW"/>
    <s v="Timber Cribbing (480 ft2)"/>
    <s v="FT"/>
    <s v="Flooring / Foundations"/>
    <s v="Timber Cribbing"/>
    <m/>
    <s v="Ore Haul  Truck Workshop Office Building - Demolish and foundations - Timber Cribbing to Elevate Building"/>
    <s v="4521-BLD-008"/>
    <n v="0"/>
    <s v="m2"/>
    <n v="0.12329166666666667"/>
    <n v="1.1768750000000001"/>
    <n v="7.8390373472222228"/>
    <n v="11.768750000000001"/>
    <n v="20.784662347222223"/>
    <n v="0"/>
    <n v="0"/>
    <n v="0"/>
    <n v="0"/>
    <n v="0"/>
    <n v="0.3"/>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008"/>
    <s v="BLD"/>
    <m/>
    <e v="#N/A"/>
    <s v="FW"/>
    <s v="Flooring / Foundations"/>
    <s v="Wood Floor"/>
    <m/>
    <s v="Ore Haul  Truck Workshop Office Building - Demolish floor finish - Raised Steel or Wooden Floor"/>
    <s v="4521-BLD-008"/>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006"/>
    <s v="BLD"/>
    <s v="FF1-c"/>
    <s v="Modular Building Contaminated (480 ft2) "/>
    <s v="FTR2-c"/>
    <s v="Buildings (Contaminated)"/>
    <s v="Double Trailer (2 or more)"/>
    <m/>
    <s v="Ore Haul Maintenance Building - Demolish and Decontaminate Building - Trailer - Modular (2 or more modules)"/>
    <s v="4521-BLD-006"/>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006"/>
    <s v="BLD"/>
    <s v="FW"/>
    <s v="Timber Cribbing (480 ft2)"/>
    <s v="FT"/>
    <s v="Flooring / Foundations"/>
    <s v="Timber Cribbing"/>
    <m/>
    <s v="Ore Haul Maintenance Building  - Demolish and foundations - Timber Cribbing to Elevate Building"/>
    <s v="4521-BLD-006"/>
    <n v="0"/>
    <s v="m2"/>
    <n v="0.12329166666666667"/>
    <n v="1.1768750000000001"/>
    <n v="7.8390373472222228"/>
    <n v="11.768750000000001"/>
    <n v="20.784662347222223"/>
    <n v="0"/>
    <n v="0"/>
    <n v="0"/>
    <n v="0"/>
    <n v="0"/>
    <n v="0.3"/>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006"/>
    <s v="BLD"/>
    <m/>
    <e v="#N/A"/>
    <s v="FW"/>
    <s v="Flooring / Foundations"/>
    <s v="Wood Floor"/>
    <m/>
    <s v="Ore Haul Maintenance Building - Demolish floor finish - Raised Steel or Wooden Floor"/>
    <s v="4521-BLD-006"/>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s v="961"/>
    <s v="PP-"/>
    <s v="MM1"/>
    <s v="Light Equimpent"/>
    <s v="MM1"/>
    <s v="Mechanical Equipment"/>
    <s v="Light Equipment"/>
    <s v="Pump"/>
    <s v="PUMP  - MAINTENANCE BUILDING FUEL OIL PUMP (DUTY) "/>
    <s v="4521-PP-01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3"/>
    <x v="3"/>
    <x v="22"/>
    <x v="13"/>
    <x v="63"/>
    <x v="8"/>
    <x v="142"/>
    <x v="127"/>
    <s v="1439"/>
    <s v="TK-"/>
    <s v="MT2"/>
    <s v="Medium Tanks"/>
    <s v="MT2"/>
    <s v="Mechanical Equipment"/>
    <s v="Medium Tanks"/>
    <m/>
    <s v="TANK  - SITE SERVICES WASHCAR #2 SEWAGE COLLECTION TANK - LAGRANGE MECHANICAL SERVICES  L: 3791  W: 1829  H: 610 "/>
    <s v="7432-TK-010"/>
    <n v="1"/>
    <s v="ea"/>
    <n v="31"/>
    <n v="390"/>
    <n v="3097.3148095238098"/>
    <n v="3900"/>
    <n v="7387.3148095238103"/>
    <n v="31"/>
    <n v="390"/>
    <n v="3097.3148095238098"/>
    <n v="3900"/>
    <n v="7387.3148095238103"/>
    <n v="2"/>
    <n v="2"/>
    <n v="1"/>
    <n v="0"/>
    <n v="0"/>
    <n v="1"/>
    <n v="7387.3148095238103"/>
    <n v="0"/>
    <n v="0"/>
    <n v="7387.3148095238103"/>
    <s v="Type A  _x000a_2AM-MRY1325"/>
    <m/>
    <n v="2014"/>
    <s v="Direct "/>
    <m/>
    <m/>
    <n v="0.5"/>
    <n v="0.5"/>
    <m/>
    <m/>
    <m/>
    <m/>
    <m/>
    <m/>
    <n v="0"/>
    <m/>
    <n v="3693.6574047619051"/>
    <n v="3693.6574047619051"/>
    <n v="0"/>
    <n v="0"/>
    <n v="0"/>
    <n v="0"/>
    <n v="0"/>
    <n v="0"/>
  </r>
  <r>
    <x v="3"/>
    <x v="3"/>
    <x v="7"/>
    <x v="7"/>
    <x v="9"/>
    <x v="8"/>
    <x v="141"/>
    <x v="127"/>
    <s v="1254"/>
    <s v="BLD"/>
    <s v="FF1-c"/>
    <s v="Modular Building Contaminated (480 ft2) "/>
    <s v="FTR1-c"/>
    <s v="Buildings (Contaminated)"/>
    <s v="Single Trailers (modular)"/>
    <m/>
    <s v="Site Services Washcar #1 - Demolish and Decontaminate Building - Trailer - Single"/>
    <s v="7232-BLD-009"/>
    <n v="35.687732342007436"/>
    <s v="m2"/>
    <n v="0.56041666666666667"/>
    <n v="3.3624999999999998"/>
    <n v="55.993123908730162"/>
    <n v="84.0625"/>
    <n v="143.41812390873017"/>
    <n v="20"/>
    <n v="120"/>
    <n v="1998.2676190476193"/>
    <n v="3000"/>
    <n v="5118.2676190476195"/>
    <n v="1"/>
    <n v="35.687732342007436"/>
    <n v="1"/>
    <n v="0"/>
    <n v="0"/>
    <n v="1"/>
    <n v="5118.2676190476195"/>
    <n v="0"/>
    <n v="0"/>
    <n v="5118.2676190476195"/>
    <s v="Type B Construction_x000a_2BC-MRY1416"/>
    <m/>
    <n v="2014"/>
    <s v="Direct "/>
    <m/>
    <m/>
    <n v="0.33333333333333331"/>
    <n v="0.33333333333333331"/>
    <n v="0.33333333333333331"/>
    <m/>
    <m/>
    <m/>
    <m/>
    <m/>
    <n v="0"/>
    <m/>
    <n v="1706.0892063492065"/>
    <n v="1706.0892063492065"/>
    <n v="1706.0892063492065"/>
    <n v="0"/>
    <n v="0"/>
    <n v="0"/>
    <n v="0"/>
    <n v="0"/>
  </r>
  <r>
    <x v="6"/>
    <x v="6"/>
    <x v="11"/>
    <x v="3"/>
    <x v="19"/>
    <x v="4"/>
    <x v="31"/>
    <x v="12"/>
    <s v="962"/>
    <s v="MT-"/>
    <s v="MM1"/>
    <s v="Light Equimpent"/>
    <s v="MM1"/>
    <s v="Mechanical Equipment"/>
    <s v="Light Equipment"/>
    <s v="Pump"/>
    <s v="   FUEL OIL PUMP  "/>
    <s v="4521-MT-01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114"/>
    <x v="17"/>
    <s v="979"/>
    <s v="SQ-"/>
    <s v="MISC"/>
    <s v="Miscellanous Items (Minor)"/>
    <s v="Misc"/>
    <s v="Mechanical Equipment"/>
    <s v="Miscellaneous Items (Minor)"/>
    <m/>
    <s v="SHOP / MAINTENANCE EQUIPMENT  - KIDNEY LOOP  - AG - DYE10MFP240SA10QBV  50 _x000a_kg"/>
    <s v="4522-SQ-002"/>
    <n v="0"/>
    <s v="ea"/>
    <n v="2"/>
    <n v="30"/>
    <n v="199.82676190476192"/>
    <n v="300"/>
    <n v="529.82676190476195"/>
    <n v="0"/>
    <n v="0"/>
    <n v="0"/>
    <n v="0"/>
    <n v="0"/>
    <n v="0.5"/>
    <n v="0"/>
    <n v="1"/>
    <n v="0"/>
    <n v="0"/>
    <n v="1"/>
    <n v="0"/>
    <n v="0"/>
    <n v="0"/>
    <n v="0"/>
    <s v="Type A  _x000a_2AM-MRY1325"/>
    <s v="Removed"/>
    <n v="2014"/>
    <s v="Direct "/>
    <m/>
    <m/>
    <n v="0.33333333333333331"/>
    <n v="0.33333333333333331"/>
    <n v="0.33333333333333331"/>
    <m/>
    <m/>
    <m/>
    <m/>
    <m/>
    <n v="0"/>
    <m/>
    <n v="0"/>
    <n v="0"/>
    <n v="0"/>
    <n v="0"/>
    <n v="0"/>
    <n v="0"/>
    <n v="0"/>
    <n v="0"/>
  </r>
  <r>
    <x v="6"/>
    <x v="6"/>
    <x v="11"/>
    <x v="3"/>
    <x v="19"/>
    <x v="4"/>
    <x v="31"/>
    <x v="12"/>
    <s v="963"/>
    <s v="PP-"/>
    <s v="MM1"/>
    <s v="Light Equimpent"/>
    <s v="MM1"/>
    <s v="Mechanical Equipment"/>
    <s v="Light Equipment"/>
    <s v="Pump"/>
    <s v="PUMP  - MAINTENANCE BUILDING FUEL OIL PUMP (STANDBY) "/>
    <s v="4521-PP-01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31"/>
    <x v="12"/>
    <s v="964"/>
    <s v="MT-"/>
    <s v="MM1"/>
    <s v="Light Equimpent"/>
    <s v="MM1"/>
    <s v="Mechanical Equipment"/>
    <s v="Light Equipment"/>
    <s v="Pump"/>
    <s v="   FUEL OIL PUMP  "/>
    <s v="4521-MT-01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114"/>
    <x v="17"/>
    <s v="982"/>
    <s v="MT-"/>
    <s v="MISC"/>
    <s v="Miscellanous Items (Minor)"/>
    <s v="Misc"/>
    <s v="Mechanical Equipment"/>
    <s v="Miscellaneous Items (Minor)"/>
    <m/>
    <s v="   LATHE SPINDLE MOTOR  "/>
    <s v="4522-MT-004A"/>
    <n v="0"/>
    <s v="ea"/>
    <n v="2"/>
    <n v="30"/>
    <n v="199.82676190476192"/>
    <n v="300"/>
    <n v="529.82676190476195"/>
    <n v="0"/>
    <n v="0"/>
    <n v="0"/>
    <n v="0"/>
    <n v="0"/>
    <n v="0.5"/>
    <n v="0"/>
    <n v="1"/>
    <n v="0"/>
    <n v="0"/>
    <n v="1"/>
    <n v="0"/>
    <n v="0"/>
    <n v="0"/>
    <n v="0"/>
    <s v="Type A  _x000a_2AM-MRY1325"/>
    <s v="Removed"/>
    <n v="2014"/>
    <s v="Direct "/>
    <m/>
    <m/>
    <n v="0.33333333333333331"/>
    <n v="0.33333333333333331"/>
    <n v="0.33333333333333331"/>
    <m/>
    <m/>
    <m/>
    <m/>
    <m/>
    <n v="0"/>
    <m/>
    <n v="0"/>
    <n v="0"/>
    <n v="0"/>
    <n v="0"/>
    <n v="0"/>
    <n v="0"/>
    <n v="0"/>
    <n v="0"/>
  </r>
  <r>
    <x v="6"/>
    <x v="6"/>
    <x v="11"/>
    <x v="3"/>
    <x v="19"/>
    <x v="4"/>
    <x v="31"/>
    <x v="12"/>
    <s v="965"/>
    <s v="PP-"/>
    <s v="MM1"/>
    <s v="Light Equimpent"/>
    <s v="MM1"/>
    <s v="Mechanical Equipment"/>
    <s v="Light Equipment"/>
    <s v="Pump"/>
    <s v="PUMP  - WAREHOUSE BUILDING FUEL OIL PUMP (DUTY) "/>
    <s v="4521-PP-02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31"/>
    <x v="12"/>
    <s v="966"/>
    <s v="MT-"/>
    <s v="MM1"/>
    <s v="Light Equimpent"/>
    <s v="MM1"/>
    <s v="Mechanical Equipment"/>
    <s v="Light Equipment"/>
    <s v="Pump"/>
    <s v="   FUEL OIL PUMP  "/>
    <s v="4521-MT-02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31"/>
    <x v="12"/>
    <s v="967"/>
    <s v="PP-"/>
    <s v="MM1"/>
    <s v="Light Equimpent"/>
    <s v="MM1"/>
    <s v="Mechanical Equipment"/>
    <s v="Light Equipment"/>
    <s v="Pump"/>
    <s v="PUMP  - WAREHOUSE BUILDING FUEL OIL PUMP (STANDBY) "/>
    <s v="4521-PP-02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31"/>
    <x v="12"/>
    <s v="968"/>
    <s v="MT-"/>
    <s v="MM1"/>
    <s v="Light Equimpent"/>
    <s v="MM1"/>
    <s v="Mechanical Equipment"/>
    <s v="Light Equipment"/>
    <s v="Pump"/>
    <s v="   FUEL OIL PUMP  "/>
    <s v="4521-MT-02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3"/>
    <x v="3"/>
    <x v="7"/>
    <x v="7"/>
    <x v="9"/>
    <x v="8"/>
    <x v="141"/>
    <x v="127"/>
    <s v="1257"/>
    <s v="BLD"/>
    <s v="FF1-c"/>
    <s v="Modular Building Contaminated (480 ft2) "/>
    <s v="FTR1-c"/>
    <s v="Buildings (Contaminated)"/>
    <s v="Single Trailers (modular)"/>
    <m/>
    <s v="Site Services Washcar #2 - Demolish and Decontaminate Building - Trailer - Single"/>
    <s v="7232-BLD-010"/>
    <n v="35.687732342007436"/>
    <s v="m2"/>
    <n v="0.56041666666666667"/>
    <n v="3.3624999999999998"/>
    <n v="55.993123908730162"/>
    <n v="84.0625"/>
    <n v="143.41812390873017"/>
    <n v="20"/>
    <n v="120"/>
    <n v="1998.2676190476193"/>
    <n v="3000"/>
    <n v="5118.2676190476195"/>
    <n v="1"/>
    <n v="35.687732342007436"/>
    <n v="1"/>
    <n v="0"/>
    <n v="0"/>
    <n v="1"/>
    <n v="5118.2676190476195"/>
    <n v="0"/>
    <n v="0"/>
    <n v="5118.2676190476195"/>
    <s v="Type B Construction_x000a_2BC-MRY1416"/>
    <m/>
    <n v="2014"/>
    <s v="Direct "/>
    <m/>
    <m/>
    <n v="0.33333333333333331"/>
    <n v="0.33333333333333331"/>
    <n v="0.33333333333333331"/>
    <m/>
    <m/>
    <m/>
    <m/>
    <m/>
    <n v="0"/>
    <m/>
    <n v="1706.0892063492065"/>
    <n v="1706.0892063492065"/>
    <n v="1706.0892063492065"/>
    <n v="0"/>
    <n v="0"/>
    <n v="0"/>
    <n v="0"/>
    <n v="0"/>
  </r>
  <r>
    <x v="6"/>
    <x v="6"/>
    <x v="11"/>
    <x v="3"/>
    <x v="19"/>
    <x v="4"/>
    <x v="31"/>
    <x v="12"/>
    <s v="970"/>
    <s v="MT-"/>
    <s v="MM1"/>
    <s v="Light Equimpent"/>
    <s v="MM1"/>
    <s v="Mechanical Equipment"/>
    <s v="Light Equipment"/>
    <s v="Pump"/>
    <s v="   RAW WATER TANK PUMP  "/>
    <s v="4521-MT-051"/>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3"/>
    <x v="3"/>
    <x v="22"/>
    <x v="13"/>
    <x v="63"/>
    <x v="8"/>
    <x v="142"/>
    <x v="127"/>
    <s v="1407"/>
    <s v="BLD"/>
    <s v="FF1-c"/>
    <s v="Modular Building Contaminated (480 ft2) "/>
    <s v="FTR1-c"/>
    <s v="Buildings (Contaminated)"/>
    <s v="Single Trailers (modular)"/>
    <m/>
    <s v="Fuel Systems Washcar - Demolish and Decontaminate Building - Trailer - Single"/>
    <s v="7432-BLD-004"/>
    <n v="35.687732342007436"/>
    <s v="m2"/>
    <n v="0.56041666666666667"/>
    <n v="3.3624999999999998"/>
    <n v="55.993123908730162"/>
    <n v="84.0625"/>
    <n v="143.41812390873017"/>
    <n v="20"/>
    <n v="120"/>
    <n v="1998.2676190476193"/>
    <n v="3000"/>
    <n v="5118.2676190476195"/>
    <n v="1"/>
    <n v="35.687732342007436"/>
    <n v="1"/>
    <n v="0"/>
    <n v="0"/>
    <n v="1"/>
    <n v="5118.2676190476195"/>
    <n v="0"/>
    <n v="0"/>
    <n v="5118.2676190476195"/>
    <s v="Type A  _x000a_2AM-MRY1325"/>
    <m/>
    <n v="2014"/>
    <s v="Direct "/>
    <m/>
    <m/>
    <n v="0.5"/>
    <n v="0.5"/>
    <m/>
    <m/>
    <m/>
    <m/>
    <m/>
    <m/>
    <n v="0"/>
    <m/>
    <n v="2559.1338095238098"/>
    <n v="2559.1338095238098"/>
    <n v="0"/>
    <n v="0"/>
    <n v="0"/>
    <n v="0"/>
    <n v="0"/>
    <n v="0"/>
  </r>
  <r>
    <x v="6"/>
    <x v="6"/>
    <x v="11"/>
    <x v="3"/>
    <x v="19"/>
    <x v="4"/>
    <x v="114"/>
    <x v="17"/>
    <s v="978"/>
    <s v="SQ-"/>
    <s v="MM2"/>
    <s v="Medium Equipment"/>
    <s v="MM2"/>
    <s v="Mechanical Equipment"/>
    <s v="Medium Equipment"/>
    <s v="Shop Equipment"/>
    <s v="SHOP / MAINTENANCE EQUIPMENT  - INDUSTRIAL FREEZER  - ONTARIO OVENS 80-12  _x000a_L: 1525, W: 715, H: 1250,  290 kg"/>
    <s v="4522-SQ-00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0"/>
    <s v="SQ-"/>
    <s v="MM2"/>
    <s v="Medium Equipment"/>
    <s v="MM2"/>
    <s v="Mechanical Equipment"/>
    <s v="Medium Equipment"/>
    <s v="Shop Equipment"/>
    <s v="SHOP / MAINTENANCE EQUIPMENT  - LARGE SHOP PRESS  - AG - OTC1866  _x000a_L: 1295, W: 1727, H: 3125, 1970 kg"/>
    <s v="4522-SQ-00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1"/>
    <s v="SQ-"/>
    <s v="MM2"/>
    <s v="Medium Equipment"/>
    <s v="MM2"/>
    <s v="Mechanical Equipment"/>
    <s v="Medium Equipment"/>
    <s v="Shop Equipment"/>
    <s v="SHOP / MAINTENANCE EQUIPMENT  - LATHE  - SUMMIT MACHINE TOOL  _x000a_W: 44, H: 64 "/>
    <s v="4522-SQ-004"/>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3"/>
    <s v="MT-"/>
    <s v="MM1"/>
    <s v="Light Equimpent"/>
    <s v="MM1"/>
    <s v="Mechanical Equipment"/>
    <s v="Light Equipment"/>
    <s v="Pump"/>
    <s v="   LATHE COOLANT PUMP  "/>
    <s v="4522-MT-004B"/>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4"/>
    <s v="SQ-"/>
    <s v="MM2"/>
    <s v="Medium Equipment"/>
    <s v="MM2"/>
    <s v="Mechanical Equipment"/>
    <s v="Medium Equipment"/>
    <s v="Shop Equipment"/>
    <s v="SHOP / MAINTENANCE EQUIPMENT  - MILLING MACHINE  - AG  "/>
    <s v="4522-SQ-005"/>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5"/>
    <s v="SQ-"/>
    <s v="MM2"/>
    <s v="Medium Equipment"/>
    <s v="MM2"/>
    <s v="Mechanical Equipment"/>
    <s v="Medium Equipment"/>
    <s v="Shop Equipment"/>
    <s v="SHOP / MAINTENANCE EQUIPMENT  - LINE BORING MACHINE  - CLIMAX BB5000  L: 1830 _x000a_W: 330 _x000a_H: 280 205 _x000a_kg"/>
    <s v="4522-SQ-006"/>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6"/>
    <s v="SQ-"/>
    <s v="MM2"/>
    <s v="Medium Equipment"/>
    <s v="MM2"/>
    <s v="Mechanical Equipment"/>
    <s v="Medium Equipment"/>
    <s v="Shop Equipment"/>
    <s v="SHOP / MAINTENANCE EQUIPMENT  - IRON WORKER  - BAILEIGH INDUSTRIAL 001-99777  _x000a_L: 1525, W: 915, H: 1985, 2300 kg"/>
    <s v="4522-SQ-008"/>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7"/>
    <s v="SQ-"/>
    <s v="MM2"/>
    <s v="Medium Equipment"/>
    <s v="MM2"/>
    <s v="Mechanical Equipment"/>
    <s v="Medium Equipment"/>
    <s v="Shop Equipment"/>
    <s v="SHOP / MAINTENANCE EQUIPMENT  - HEAVY TRUCK RAMP  - ROTARY 60000HDL  _x000a_L: 13360, W: 4980, H: 3990 "/>
    <s v="4522-SQ-009"/>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8"/>
    <s v="SQ-"/>
    <s v="MM2"/>
    <s v="Medium Equipment"/>
    <s v="MM2"/>
    <s v="Mechanical Equipment"/>
    <s v="Medium Equipment"/>
    <s v="Shop Equipment"/>
    <s v="SHOP / MAINTENANCE EQUIPMENT  - LIGHT TRUCK RAMP  - ROTARY SM18LO-X  H: 6990 "/>
    <s v="4522-SQ-010"/>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89"/>
    <s v="SQ-"/>
    <s v="MM2"/>
    <s v="Medium Equipment"/>
    <s v="MM2"/>
    <s v="Mechanical Equipment"/>
    <s v="Medium Equipment"/>
    <s v="Shop Equipment"/>
    <s v="SHOP / MAINTENANCE EQUIPMENT  - TIRE SIPING MACHINE  - AG  "/>
    <s v="4522-SQ-01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0"/>
    <s v="SQ-"/>
    <s v="MM2"/>
    <s v="Medium Equipment"/>
    <s v="MM2"/>
    <s v="Mechanical Equipment"/>
    <s v="Medium Equipment"/>
    <s v="Shop Equipment"/>
    <s v="SHOP / MAINTENANCE EQUIPMENT  - AIR FILTER CLEANER  - DIVERSI-TECH  _x000a_L: 1830, W: 1830, H: 2650 "/>
    <s v="4522-SQ-012"/>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1"/>
    <s v="SQ-"/>
    <s v="MM2"/>
    <s v="Medium Equipment"/>
    <s v="MM2"/>
    <s v="Mechanical Equipment"/>
    <s v="Medium Equipment"/>
    <s v="Shop Equipment"/>
    <s v="SHOP / MAINTENANCE EQUIPMENT  - EVAC TANK  - NORTHERN TOOL 30070V  _x000a_L: 1118, W: 508, H: 1093, 200 kg"/>
    <s v="4522-SQ-018"/>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2"/>
    <s v="SQ-"/>
    <s v="MM2"/>
    <s v="Medium Equipment"/>
    <s v="MM2"/>
    <s v="Mechanical Equipment"/>
    <s v="Medium Equipment"/>
    <s v="Shop Equipment"/>
    <s v="SHOP / MAINTENANCE EQUIPMENT  - EVAC TANK  - NORTHERN TOOL 30070V  _x000a_L: 1118, W: 508, H: 1093, 200 kg"/>
    <s v="4522-SQ-019"/>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3"/>
    <s v="SQ-"/>
    <s v="MM2"/>
    <s v="Medium Equipment"/>
    <s v="MM2"/>
    <s v="Mechanical Equipment"/>
    <s v="Medium Equipment"/>
    <s v="Shop Equipment"/>
    <s v="SHOP / MAINTENANCE EQUIPMENT  - DRILL PRESS  - AG - DPE18-900  L: 508, W: 356, H: 1778, 120 kg"/>
    <s v="4522-SQ-02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4"/>
    <s v="SQ-"/>
    <s v="MM2"/>
    <s v="Medium Equipment"/>
    <s v="MM2"/>
    <s v="Mechanical Equipment"/>
    <s v="Medium Equipment"/>
    <s v="Shop Equipment"/>
    <s v="SHOP / MAINTENANCE EQUIPMENT  - MAGNETIC BASE DRILL  - AG - MTL4210-1  33 kg"/>
    <s v="4522-SQ-022"/>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5"/>
    <s v="SQ-"/>
    <s v="MM2"/>
    <s v="Medium Equipment"/>
    <s v="MM2"/>
    <s v="Mechanical Equipment"/>
    <s v="Medium Equipment"/>
    <s v="Shop Equipment"/>
    <s v="SHOP / MAINTENANCE EQUIPMENT  - OIL FILTER PRESS  - OBERG P300  _x000a_L: 1524, W: 914, H: 2640, 680 kg"/>
    <s v="4522-SQ-02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6"/>
    <s v="SQ-"/>
    <s v="MM2"/>
    <s v="Medium Equipment"/>
    <s v="MM2"/>
    <s v="Mechanical Equipment"/>
    <s v="Medium Equipment"/>
    <s v="Shop Equipment"/>
    <s v="SHOP / MAINTENANCE EQUIPMENT  - WELDING MACHINE  - AG - MLW951-277  L: 965 _x000a_W: 584 _x000a_H: 762 192 _x000a_kg"/>
    <s v="4522-SQ-026"/>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7"/>
    <s v="SQ-"/>
    <s v="MM2"/>
    <s v="Medium Equipment"/>
    <s v="MM2"/>
    <s v="Mechanical Equipment"/>
    <s v="Medium Equipment"/>
    <s v="Shop Equipment"/>
    <s v="SHOP / MAINTENANCE EQUIPMENT  - WELDING MACHINE  - AG - MLW951-277  L: 965 _x000a_W: 584 _x000a_H: 762 192 _x000a_kg"/>
    <s v="4522-SQ-027"/>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8"/>
    <s v="SQ-"/>
    <s v="MM2"/>
    <s v="Medium Equipment"/>
    <s v="MM2"/>
    <s v="Mechanical Equipment"/>
    <s v="Medium Equipment"/>
    <s v="Shop Equipment"/>
    <s v="SHOP / MAINTENANCE EQUIPMENT  - PORTABLE WELDING FUME EXTRACTOR - AG - NED12634345  73 _x000a_kg"/>
    <s v="4522-SQ-028"/>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999"/>
    <s v="SQ-"/>
    <s v="MM2"/>
    <s v="Medium Equipment"/>
    <s v="MM2"/>
    <s v="Mechanical Equipment"/>
    <s v="Medium Equipment"/>
    <s v="Shop Equipment"/>
    <s v="SHOP / MAINTENANCE EQUIPMENT  - PORTABLE WELDING SPARK PROTECTOR - AG - NED12375241  "/>
    <s v="4522-SQ-029"/>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0"/>
    <s v="SQ-"/>
    <s v="MM2"/>
    <s v="Medium Equipment"/>
    <s v="MM2"/>
    <s v="Mechanical Equipment"/>
    <s v="Medium Equipment"/>
    <s v="Shop Equipment"/>
    <s v="SHOP / MAINTENANCE EQUIPMENT  - SWEEPER  - AG  "/>
    <s v="4522-SQ-03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1"/>
    <s v="SQ-"/>
    <s v="MM2"/>
    <s v="Medium Equipment"/>
    <s v="MM2"/>
    <s v="Mechanical Equipment"/>
    <s v="Medium Equipment"/>
    <s v="Shop Equipment"/>
    <s v="SHOP / MAINTENANCE EQUIPMENT  - TIRE CHANGER  - COATS APX80A  "/>
    <s v="4522-SQ-036"/>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2"/>
    <s v="SQ-"/>
    <s v="MM2"/>
    <s v="Medium Equipment"/>
    <s v="MM2"/>
    <s v="Mechanical Equipment"/>
    <s v="Medium Equipment"/>
    <s v="Shop Equipment"/>
    <s v="SHOP / MAINTENANCE EQUIPMENT  - TRACK PIN PRESS  - AG  "/>
    <s v="4522-SQ-038"/>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3"/>
    <s v="SQ-"/>
    <s v="MM2"/>
    <s v="Medium Equipment"/>
    <s v="MM2"/>
    <s v="Mechanical Equipment"/>
    <s v="Medium Equipment"/>
    <s v="Shop Equipment"/>
    <s v="SHOP / MAINTENANCE EQUIPMENT  - BULK FLUID DISTRIBUTION SYSTEM  - AG  "/>
    <s v="4522-SQ-04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4"/>
    <s v="SQ-"/>
    <s v="MM2"/>
    <s v="Medium Equipment"/>
    <s v="MM2"/>
    <s v="Mechanical Equipment"/>
    <s v="Medium Equipment"/>
    <s v="Shop Equipment"/>
    <s v="SHOP / MAINTENANCE EQUIPMENT  - EVAC TANK  - NORTHERN TOOL 30070V  L: 1118, W: 508, H: 1093, 200 kg"/>
    <s v="4522-SQ-042"/>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5"/>
    <s v="SQ-"/>
    <s v="MM2"/>
    <s v="Medium Equipment"/>
    <s v="MM2"/>
    <s v="Mechanical Equipment"/>
    <s v="Medium Equipment"/>
    <s v="Shop Equipment"/>
    <s v="SHOP / MAINTENANCE EQUIPMENT  - EVAC TANK  - NORTHERN TOOL 30070V  L: 1118, W: 508, H: 1093, 200 kg"/>
    <s v="4522-SQ-04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6"/>
    <s v="SQ-"/>
    <s v="MM2"/>
    <s v="Medium Equipment"/>
    <s v="MM2"/>
    <s v="Mechanical Equipment"/>
    <s v="Medium Equipment"/>
    <s v="Shop Equipment"/>
    <s v="SHOP / MAINTENANCE EQUIPMENT  - WELDING MACHINE  - AG - MLW951-277  L: 965, W: 584, H: 762, 192 _x000a_kg"/>
    <s v="4522-SQ-044"/>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7"/>
    <s v="SQ-"/>
    <s v="MM2"/>
    <s v="Medium Equipment"/>
    <s v="MM2"/>
    <s v="Mechanical Equipment"/>
    <s v="Medium Equipment"/>
    <s v="Shop Equipment"/>
    <s v="SHOP / MAINTENANCE EQUIPMENT  - METAL BREAK FLOOR  - AG - GGS13W877  580 kg"/>
    <s v="4522-SQ-046"/>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8"/>
    <s v="SQ-"/>
    <s v="MM2"/>
    <s v="Medium Equipment"/>
    <s v="MM2"/>
    <s v="Mechanical Equipment"/>
    <s v="Medium Equipment"/>
    <s v="Shop Equipment"/>
    <s v="SHOP / MAINTENANCE EQUIPMENT  - PARTS WASHER  - AG - GRYPL422A  L: 1070, W: 560, H: 406, 84 kg"/>
    <s v="4522-SQ-047"/>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09"/>
    <s v="SQ-"/>
    <s v="MM2"/>
    <s v="Medium Equipment"/>
    <s v="MM2"/>
    <s v="Mechanical Equipment"/>
    <s v="Medium Equipment"/>
    <s v="Shop Equipment"/>
    <s v="SHOP / MAINTENANCE EQUIPMENT  - PARTS WASHER  - AG - GRYPL422A  L: 1070, W: 560, H: 406, 84 kg"/>
    <s v="4522-SQ-048"/>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0"/>
    <s v="SQ-"/>
    <s v="MM2"/>
    <s v="Medium Equipment"/>
    <s v="MM2"/>
    <s v="Mechanical Equipment"/>
    <s v="Medium Equipment"/>
    <s v="Shop Equipment"/>
    <s v="SHOP / MAINTENANCE EQUIPMENT  - PARTS WASHER  - AG - GRYPL422A  L: 1070, W: 560, H: 406, 84 kg"/>
    <s v="4522-SQ-049"/>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1"/>
    <s v="SQ-"/>
    <s v="MM2"/>
    <s v="Medium Equipment"/>
    <s v="MM2"/>
    <s v="Mechanical Equipment"/>
    <s v="Medium Equipment"/>
    <s v="Shop Equipment"/>
    <s v="SHOP / MAINTENANCE EQUIPMENT  - PARTS WASHER  - AG - GRYPL422A  L: 1070, W: 560, H: 406, 84 kg"/>
    <s v="4522-SQ-050"/>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2"/>
    <s v="SQ-"/>
    <s v="MM2"/>
    <s v="Medium Equipment"/>
    <s v="MM2"/>
    <s v="Mechanical Equipment"/>
    <s v="Medium Equipment"/>
    <s v="Shop Equipment"/>
    <s v="SHOP / MAINTENANCE EQUIPMENT  - TIRE SPREADER  - ZHUHAI TEAMROC TR-S825  "/>
    <s v="4522-SQ-05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3"/>
    <s v="SQ-"/>
    <s v="MM2"/>
    <s v="Medium Equipment"/>
    <s v="MM2"/>
    <s v="Mechanical Equipment"/>
    <s v="Medium Equipment"/>
    <s v="Shop Equipment"/>
    <s v="SHOP / MAINTENANCE EQUIPMENT  - HYDRAULIC PORTA POWER PUMP  - AG  "/>
    <s v="4522-SQ-052"/>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4"/>
    <s v="SQ-"/>
    <s v="MM2"/>
    <s v="Medium Equipment"/>
    <s v="MM2"/>
    <s v="Mechanical Equipment"/>
    <s v="Medium Equipment"/>
    <s v="Shop Equipment"/>
    <s v="SHOP / MAINTENANCE EQUIPMENT  - BENCH GRINDER  - AG - WSWBG10D  W: 610 H: 345 "/>
    <s v="4522-SQ-05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5"/>
    <s v="MT-"/>
    <s v="MM1"/>
    <s v="Light Equimpent"/>
    <s v="MM1"/>
    <s v="Mechanical Equipment"/>
    <s v="Light Equipment"/>
    <s v="Bench grinder"/>
    <s v="BENCH GRINDER  "/>
    <s v="4522-MT-05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6"/>
    <s v="SQ-"/>
    <s v="MM2"/>
    <s v="Medium Equipment"/>
    <s v="MM2"/>
    <s v="Mechanical Equipment"/>
    <s v="Medium Equipment"/>
    <s v="Shop Equipment"/>
    <s v="SHOP / MAINTENANCE EQUIPMENT  - BENCH GRINDER  - AG - WSWBG10D  W: 610 _x000a_H: 345 "/>
    <s v="4522-SQ-054"/>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7"/>
    <s v="MT-"/>
    <s v="MM1"/>
    <s v="Light Equimpent"/>
    <s v="MM1"/>
    <s v="Mechanical Equipment"/>
    <s v="Light Equipment"/>
    <s v="Bench grinder"/>
    <s v="   BENCH GRINDER  "/>
    <s v="4522-MT-054"/>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26"/>
    <s v="SQ-"/>
    <s v="MISC"/>
    <s v="Miscellanous Items (Minor)"/>
    <s v="Misc"/>
    <s v="Mechanical Equipment"/>
    <s v="Miscellaneous Items (Minor)"/>
    <m/>
    <s v="SHOP / MAINTENANCE EQUIPMENT  - INCHING TOOL  - AG  "/>
    <s v="4522-SQ-065"/>
    <n v="0"/>
    <s v="ea"/>
    <n v="2"/>
    <n v="30"/>
    <n v="199.82676190476192"/>
    <n v="300"/>
    <n v="529.82676190476195"/>
    <n v="0"/>
    <n v="0"/>
    <n v="0"/>
    <n v="0"/>
    <n v="0"/>
    <n v="0.5"/>
    <n v="0"/>
    <n v="1"/>
    <n v="0"/>
    <n v="0"/>
    <n v="1"/>
    <n v="0"/>
    <n v="0"/>
    <n v="0"/>
    <n v="0"/>
    <s v="Type A  _x000a_2AM-MRY1325"/>
    <s v="Removed"/>
    <n v="2014"/>
    <s v="Direct "/>
    <m/>
    <m/>
    <n v="0.33333333333333331"/>
    <n v="0.33333333333333331"/>
    <n v="0.33333333333333331"/>
    <m/>
    <m/>
    <m/>
    <m/>
    <m/>
    <n v="0"/>
    <m/>
    <n v="0"/>
    <n v="0"/>
    <n v="0"/>
    <n v="0"/>
    <n v="0"/>
    <n v="0"/>
    <n v="0"/>
    <n v="0"/>
  </r>
  <r>
    <x v="6"/>
    <x v="6"/>
    <x v="11"/>
    <x v="3"/>
    <x v="19"/>
    <x v="4"/>
    <x v="114"/>
    <x v="17"/>
    <s v="1027"/>
    <s v="SQ-"/>
    <s v="MISC"/>
    <s v="Miscellanous Items (Minor)"/>
    <s v="Misc"/>
    <s v="Mechanical Equipment"/>
    <s v="Miscellaneous Items (Minor)"/>
    <m/>
    <s v="SHOP / MAINTENANCE EQUIPMENT  - BATTERY CHARGER  - AG - WSW1JYU3  "/>
    <s v="4522-SQ-066"/>
    <n v="0"/>
    <s v="ea"/>
    <n v="2"/>
    <n v="30"/>
    <n v="199.82676190476192"/>
    <n v="300"/>
    <n v="529.82676190476195"/>
    <n v="0"/>
    <n v="0"/>
    <n v="0"/>
    <n v="0"/>
    <n v="0"/>
    <n v="0.5"/>
    <n v="0"/>
    <n v="1"/>
    <n v="0"/>
    <n v="0"/>
    <n v="1"/>
    <n v="0"/>
    <n v="0"/>
    <n v="0"/>
    <n v="0"/>
    <s v="Type A  _x000a_2AM-MRY1325"/>
    <s v="Removed"/>
    <n v="2014"/>
    <s v="Direct "/>
    <m/>
    <m/>
    <n v="0.33333333333333331"/>
    <n v="0.33333333333333331"/>
    <n v="0.33333333333333331"/>
    <m/>
    <m/>
    <m/>
    <m/>
    <m/>
    <n v="0"/>
    <m/>
    <n v="0"/>
    <n v="0"/>
    <n v="0"/>
    <n v="0"/>
    <n v="0"/>
    <n v="0"/>
    <n v="0"/>
    <n v="0"/>
  </r>
  <r>
    <x v="6"/>
    <x v="6"/>
    <x v="11"/>
    <x v="3"/>
    <x v="19"/>
    <x v="4"/>
    <x v="114"/>
    <x v="17"/>
    <s v="1028"/>
    <s v="SQ-"/>
    <s v="MISC"/>
    <s v="Miscellanous Items (Minor)"/>
    <s v="Misc"/>
    <s v="Mechanical Equipment"/>
    <s v="Miscellaneous Items (Minor)"/>
    <m/>
    <s v="SHOP / MAINTENANCE EQUIPMENT  - BATTERY CHARGER  - AG - WSW1JYU3  "/>
    <s v="4522-SQ-067"/>
    <n v="0"/>
    <s v="ea"/>
    <n v="2"/>
    <n v="30"/>
    <n v="199.82676190476192"/>
    <n v="300"/>
    <n v="529.82676190476195"/>
    <n v="0"/>
    <n v="0"/>
    <n v="0"/>
    <n v="0"/>
    <n v="0"/>
    <n v="0.5"/>
    <n v="0"/>
    <n v="1"/>
    <n v="0"/>
    <n v="0"/>
    <n v="1"/>
    <n v="0"/>
    <n v="0"/>
    <n v="0"/>
    <n v="0"/>
    <s v="Type A  _x000a_2AM-MRY1325"/>
    <s v="Removed"/>
    <n v="2014"/>
    <s v="Direct "/>
    <m/>
    <m/>
    <n v="0.33333333333333331"/>
    <n v="0.33333333333333331"/>
    <n v="0.33333333333333331"/>
    <m/>
    <m/>
    <m/>
    <m/>
    <m/>
    <n v="0"/>
    <m/>
    <n v="0"/>
    <n v="0"/>
    <n v="0"/>
    <n v="0"/>
    <n v="0"/>
    <n v="0"/>
    <n v="0"/>
    <n v="0"/>
  </r>
  <r>
    <x v="6"/>
    <x v="6"/>
    <x v="11"/>
    <x v="3"/>
    <x v="19"/>
    <x v="4"/>
    <x v="114"/>
    <x v="17"/>
    <s v="1018"/>
    <s v="SQ-"/>
    <s v="MM2"/>
    <s v="Medium Equipment"/>
    <s v="MM2"/>
    <s v="Mechanical Equipment"/>
    <s v="Medium Equipment"/>
    <s v="Shop Equipment"/>
    <s v="SHOP / MAINTENANCE EQUIPMENT  - BENCH GRINDER  - AG - WSWBG10D  W: 610 _x000a_H: 345 "/>
    <s v="4522-SQ-055"/>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19"/>
    <s v="MT-"/>
    <s v="MM1"/>
    <s v="Light Equimpent"/>
    <s v="MM1"/>
    <s v="Mechanical Equipment"/>
    <s v="Light Equipment"/>
    <s v="Bench grinder"/>
    <s v="   BENCH GRINDER  "/>
    <s v="4522-MT-055"/>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20"/>
    <s v="SQ-"/>
    <s v="MM2"/>
    <s v="Medium Equipment"/>
    <s v="MM2"/>
    <s v="Mechanical Equipment"/>
    <s v="Medium Equipment"/>
    <s v="Shop Equipment"/>
    <s v="SHOP / MAINTENANCE EQUIPMENT  - BENCH GRINDER  - AG - WSWBG10D  W: 610 H: 345 "/>
    <s v="4522-SQ-056"/>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21"/>
    <s v="MT-"/>
    <s v="MM1"/>
    <s v="Light Equimpent"/>
    <s v="MM1"/>
    <s v="Mechanical Equipment"/>
    <s v="Light Equipment"/>
    <s v="Bench grinder"/>
    <s v="BENCH GRINDER  "/>
    <s v="4522-MT-056"/>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22"/>
    <s v="SQ-"/>
    <s v="MM2"/>
    <s v="Medium Equipment"/>
    <s v="MM2"/>
    <s v="Mechanical Equipment"/>
    <s v="Medium Equipment"/>
    <s v="Shop Equipment"/>
    <s v="SHOP / MAINTENANCE EQUIPMENT  - TRUCK MOUNT GOODALL BOOST SYSTEM - AG  "/>
    <s v="4522-SQ-059"/>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23"/>
    <s v="SQ-"/>
    <s v="MM2"/>
    <s v="Medium Equipment"/>
    <s v="MM2"/>
    <s v="Mechanical Equipment"/>
    <s v="Medium Equipment"/>
    <s v="Shop Equipment"/>
    <s v="SHOP / MAINTENANCE EQUIPMENT  - GOODALL BOOST SYSTEM  - AG  "/>
    <s v="4522-SQ-060"/>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24"/>
    <s v="SQ-"/>
    <s v="MM2"/>
    <s v="Medium Equipment"/>
    <s v="MM2"/>
    <s v="Mechanical Equipment"/>
    <s v="Medium Equipment"/>
    <s v="Shop Equipment"/>
    <s v="SHOP / MAINTENANCE EQUIPMENT  - TRACK PIN PRESS  - AG - OTC4240  "/>
    <s v="4522-SQ-06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25"/>
    <s v="SQ-"/>
    <s v="MM1"/>
    <s v="Light Equimpent"/>
    <s v="MM1"/>
    <s v="Mechanical Equipment"/>
    <s v="Light Equipment"/>
    <m/>
    <s v="SHOP / MAINTENANCE EQUIPMENT  - A/C RECOVERY RECHARGE UNIT - ROBINAIR RBN17800B  L: 584 W: 864 H: 1120 110 kg"/>
    <s v="4522-SQ-064"/>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19"/>
    <x v="4"/>
    <x v="114"/>
    <x v="17"/>
    <s v="1029"/>
    <s v="SQ-"/>
    <s v="MM2"/>
    <s v="Medium Equipment"/>
    <s v="MM2"/>
    <s v="Mechanical Equipment"/>
    <s v="Medium Equipment"/>
    <s v="Shop Equipment"/>
    <s v="SHOP / MAINTENANCE EQUIPMENT  - TUBE BENDER  - AG  "/>
    <s v="4522-SQ-068"/>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19"/>
    <x v="4"/>
    <x v="109"/>
    <x v="113"/>
    <s v="002"/>
    <s v="BLD"/>
    <s v="FF2-c"/>
    <s v="Fold Away Building Contaminated (480 ft2)"/>
    <s v="FFL-c"/>
    <s v="Buildings (Contaminated)"/>
    <s v="Fold Away Building"/>
    <m/>
    <s v="Ore Haul Truck Wash Building - Demolish and Decontaminate Building - Fold-away Building (Steel)"/>
    <s v="4523-BLD-002"/>
    <n v="0"/>
    <s v="m2"/>
    <n v="0.56041666666666667"/>
    <n v="2.3537499999999998"/>
    <n v="55.993123908730162"/>
    <n v="84.0625"/>
    <n v="142.40937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19"/>
    <x v="4"/>
    <x v="109"/>
    <x v="113"/>
    <s v="002"/>
    <s v="BLD"/>
    <s v="CP"/>
    <s v="Precast Concrete Foundations - (480 ft2)"/>
    <s v="CP"/>
    <s v="Flooring / Foundations"/>
    <s v="Precast Foundations"/>
    <m/>
    <s v="Ore Haul Truck Wash Building - Demolish and foundations - Precast Footing (Perimeter Beam)"/>
    <s v="4523-BLD-002"/>
    <n v="0"/>
    <s v="m2"/>
    <n v="0.14520631503408685"/>
    <n v="2.1780947255113023"/>
    <n v="14.50805387069216"/>
    <n v="21.780947255113027"/>
    <n v="38.467095851316493"/>
    <n v="0"/>
    <n v="0"/>
    <n v="0"/>
    <n v="0"/>
    <n v="0"/>
    <n v="0.75"/>
    <n v="0"/>
    <n v="1"/>
    <n v="0"/>
    <n v="0"/>
    <n v="1"/>
    <n v="0"/>
    <n v="0"/>
    <n v="0"/>
    <n v="0"/>
    <s v="Type A  _x000a_2AM-MRY1325"/>
    <s v="Removed"/>
    <s v="2015 A"/>
    <s v="Direct "/>
    <m/>
    <m/>
    <n v="0.33333333333333331"/>
    <n v="0.33333333333333331"/>
    <n v="0.33333333333333331"/>
    <m/>
    <m/>
    <m/>
    <m/>
    <m/>
    <n v="0"/>
    <m/>
    <n v="0"/>
    <n v="0"/>
    <n v="0"/>
    <n v="0"/>
    <n v="0"/>
    <n v="0"/>
    <n v="0"/>
    <n v="0"/>
  </r>
  <r>
    <x v="6"/>
    <x v="6"/>
    <x v="11"/>
    <x v="3"/>
    <x v="19"/>
    <x v="4"/>
    <x v="109"/>
    <x v="113"/>
    <s v="002"/>
    <s v="BLD"/>
    <s v="EG"/>
    <s v="Gravel Base Removal"/>
    <s v="EG"/>
    <s v="Flooring / Foundations"/>
    <s v="Gravel Base"/>
    <m/>
    <s v="Ore Haul Truck Wash Building - Demolish floor finish - Gravel"/>
    <s v="4523-BLD-002"/>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2"/>
    <s v="BLD"/>
    <s v="FF1-c"/>
    <s v="Modular Building Contaminated (480 ft2) "/>
    <s v="FS-c"/>
    <s v="Buildings (Contaminated)"/>
    <s v="Prefabricated Special Modular"/>
    <m/>
    <s v="Power Generation Module #7 - Demolish and Decontaminate Building - Special Modular / Prefabricated"/>
    <s v="4530-BLD-022"/>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2"/>
    <s v="BLD"/>
    <s v="EG"/>
    <s v="Gravel Base Removal"/>
    <s v="EG"/>
    <s v="Flooring / Foundations"/>
    <s v="Gravel Base"/>
    <m/>
    <s v="Power Generation Module #7 - Demolish and foundations - Gravel Base - Skidded Building"/>
    <s v="4530-BLD-022"/>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2"/>
    <s v="BLD"/>
    <m/>
    <e v="#N/A"/>
    <s v="FW"/>
    <s v="Flooring / Foundations"/>
    <s v="Wood Floor"/>
    <m/>
    <s v="Power Generation Module #7 - Demolish floor finish - Raised Steel or Wooden Floor"/>
    <s v="4530-BLD-022"/>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3"/>
    <s v="BLD"/>
    <s v="FF1-c"/>
    <s v="Modular Building Contaminated (480 ft2) "/>
    <s v="FS-c"/>
    <s v="Buildings (Contaminated)"/>
    <s v="Prefabricated Special Modular"/>
    <m/>
    <s v="Power Generation Module #8 - Demolish and Decontaminate Building - Special Modular / Prefabricated"/>
    <s v="4530-BLD-023"/>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3"/>
    <s v="BLD"/>
    <s v="EG"/>
    <s v="Gravel Base Removal"/>
    <s v="EG"/>
    <s v="Flooring / Foundations"/>
    <s v="Gravel Base"/>
    <m/>
    <s v="Power Generation Module #8 - Demolish and foundations - Gravel Base - Skidded Building"/>
    <s v="4530-BLD-023"/>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3"/>
    <s v="BLD"/>
    <m/>
    <e v="#N/A"/>
    <s v="FW"/>
    <s v="Flooring / Foundations"/>
    <s v="Wood Floor"/>
    <m/>
    <s v="Power Generation Module #8 - Demolish floor finish - Raised Steel or Wooden Floor"/>
    <s v="4530-BLD-023"/>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6"/>
    <s v="BLD"/>
    <s v="FF1-c"/>
    <s v="Modular Building Contaminated (480 ft2) "/>
    <s v="FS-c"/>
    <s v="Buildings (Contaminated)"/>
    <s v="Prefabricated Special Modular"/>
    <m/>
    <s v="Power Generation Module #9 - Demolish and Decontaminate Building - Special Modular / Prefabricated"/>
    <s v="4530-BLD-026"/>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6"/>
    <s v="BLD"/>
    <s v="EG"/>
    <s v="Gravel Base Removal"/>
    <s v="EG"/>
    <s v="Flooring / Foundations"/>
    <s v="Gravel Base"/>
    <m/>
    <s v="Power Generation Module #9 - Demolish and foundations - Gravel Base - Skidded Building"/>
    <s v="4530-BLD-026"/>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6"/>
    <s v="BLD"/>
    <m/>
    <e v="#N/A"/>
    <s v="FW"/>
    <s v="Flooring / Foundations"/>
    <s v="Wood Floor"/>
    <m/>
    <s v="Power Generation Module #9 - Demolish floor finish - Raised Steel or Wooden Floor"/>
    <s v="4530-BLD-026"/>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7"/>
    <s v="BLD"/>
    <s v="FF1-c"/>
    <s v="Modular Building Contaminated (480 ft2) "/>
    <s v="FS-c"/>
    <s v="Buildings (Contaminated)"/>
    <s v="Prefabricated Special Modular"/>
    <m/>
    <s v="Power Generation Module #10 - Demolish and Decontaminate Building - Special Modular / Prefabricated"/>
    <s v="4530-BLD-027"/>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7"/>
    <s v="BLD"/>
    <s v="EG"/>
    <s v="Gravel Base Removal"/>
    <s v="EG"/>
    <s v="Flooring / Foundations"/>
    <s v="Gravel Base"/>
    <m/>
    <s v="Power Generation Module #10 - Demolish and foundations - Gravel Base - Skidded Building"/>
    <s v="4530-BLD-027"/>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7"/>
    <s v="BLD"/>
    <m/>
    <e v="#N/A"/>
    <s v="FW"/>
    <s v="Flooring / Foundations"/>
    <s v="Wood Floor"/>
    <m/>
    <s v="Power Generation Module #10 - Demolish floor finish - Raised Steel or Wooden Floor"/>
    <s v="4530-BLD-027"/>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9"/>
    <s v="BLD"/>
    <s v="FF1-c"/>
    <s v="Modular Building Contaminated (480 ft2) "/>
    <s v="FS-c"/>
    <s v="Buildings (Contaminated)"/>
    <s v="Prefabricated Special Modular"/>
    <m/>
    <s v="Power Generation E-House #3 - Demolish and Decontaminate Building - Special Modular / Prefabricated"/>
    <s v="4530-BLD-029"/>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9"/>
    <s v="BLD"/>
    <s v="EG"/>
    <s v="Gravel Base Removal"/>
    <s v="EG"/>
    <s v="Flooring / Foundations"/>
    <s v="Gravel Base"/>
    <m/>
    <s v="Power Generation E-House #3 - Demolish and foundations - Gravel Base - Skidded Building"/>
    <s v="4530-BLD-029"/>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29"/>
    <s v="BLD"/>
    <m/>
    <e v="#N/A"/>
    <s v="FW"/>
    <s v="Flooring / Foundations"/>
    <s v="Wood Floor"/>
    <m/>
    <s v="Power Generation E-House #3 - Demolish floor finish - Raised Steel or Wooden Floor"/>
    <s v="4530-BLD-029"/>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30"/>
    <s v="BLD"/>
    <s v="FF1-c"/>
    <s v="Modular Building Contaminated (480 ft2) "/>
    <s v="FS-c"/>
    <s v="Buildings (Contaminated)"/>
    <s v="Prefabricated Special Modular"/>
    <m/>
    <s v="Power Generation E-House #4 - Demolish and Decontaminate Building - Special Modular / Prefabricated"/>
    <s v="4530-BLD-030"/>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30"/>
    <s v="BLD"/>
    <s v="EG"/>
    <s v="Gravel Base Removal"/>
    <s v="EG"/>
    <s v="Flooring / Foundations"/>
    <s v="Gravel Base"/>
    <m/>
    <s v="Power Generation E-House #4 - Demolish and foundations - Gravel Base - Skidded Building"/>
    <s v="4530-BLD-030"/>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30"/>
    <s v="BLD"/>
    <m/>
    <e v="#N/A"/>
    <s v="FW"/>
    <s v="Flooring / Foundations"/>
    <s v="Wood Floor"/>
    <m/>
    <s v="Power Generation E-House #4 - Demolish floor finish - Raised Steel or Wooden Floor"/>
    <s v="4530-BLD-030"/>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31"/>
    <s v="BLD"/>
    <s v="FF1-c"/>
    <s v="Modular Building Contaminated (480 ft2) "/>
    <s v="FC-c"/>
    <s v="Buildings (Contaminated)"/>
    <s v="ISO Shipping Containers"/>
    <m/>
    <s v="Power Generation Stores #2 - Demolish and Decontaminate Building - Special Modular / Prefabricated"/>
    <s v="4530-BLD-031"/>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31"/>
    <s v="BLD"/>
    <s v="EG"/>
    <s v="Gravel Base Removal"/>
    <s v="EG"/>
    <s v="Flooring / Foundations"/>
    <s v="Gravel Base"/>
    <m/>
    <s v="Power Generation Stores #2 - Demolish and foundations - Gravel Base - Skidded Building"/>
    <s v="4530-BLD-031"/>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61"/>
    <x v="4"/>
    <x v="127"/>
    <x v="5"/>
    <s v="031"/>
    <s v="BLD"/>
    <m/>
    <e v="#N/A"/>
    <s v="FW"/>
    <s v="Flooring / Foundations"/>
    <s v="Wood Floor"/>
    <m/>
    <s v="Power Generation Stores #2 - Demolish floor finish - Raised Steel or Wooden Floor"/>
    <s v="4530-BLD-031"/>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19"/>
    <x v="4"/>
    <x v="109"/>
    <x v="113"/>
    <s v="1034"/>
    <s v="PP-"/>
    <s v="MM1"/>
    <s v="Light Equimpent"/>
    <s v="MM1"/>
    <s v="Mechanical Equipment"/>
    <s v="Light Equipment"/>
    <s v="Pump"/>
    <s v="PUMP  - TRUCK WASH BUILDING FUEL OIL PUMP (DUTY) "/>
    <s v="4523-PP-00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109"/>
    <x v="113"/>
    <s v="1035"/>
    <s v="MT-"/>
    <s v="MM1"/>
    <s v="Light Equimpent"/>
    <s v="MM1"/>
    <s v="Mechanical Equipment"/>
    <s v="Light Equipment"/>
    <s v="Pump"/>
    <s v="FUEL OIL PUMP  "/>
    <s v="4523-MT-00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109"/>
    <x v="113"/>
    <s v="1036"/>
    <s v="PP-"/>
    <s v="MM1"/>
    <s v="Light Equimpent"/>
    <s v="MM1"/>
    <s v="Mechanical Equipment"/>
    <s v="Light Equipment"/>
    <s v="Pump"/>
    <s v="PUMP  - TRUCK WASH BUILDING FUEL OIL PUMP (STANDBY) "/>
    <s v="4523-PP-003"/>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19"/>
    <x v="4"/>
    <x v="109"/>
    <x v="113"/>
    <s v="1037"/>
    <s v="MT-"/>
    <s v="MM1"/>
    <s v="Light Equimpent"/>
    <s v="MM1"/>
    <s v="Mechanical Equipment"/>
    <s v="Light Equipment"/>
    <s v="Pump"/>
    <s v="FUEL OIL PUMP  "/>
    <s v="4523-MT-003"/>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52"/>
    <x v="32"/>
    <x v="108"/>
    <x v="112"/>
    <s v="1079"/>
    <s v="SQ-"/>
    <s v="MISC"/>
    <s v="Miscellanous Items (Minor)"/>
    <s v="MISC"/>
    <s v="Mechanical Equipment"/>
    <s v="Miscellaneous Items (Minor)"/>
    <m/>
    <s v="SHOP / MAINTENANCE EQUIPMENT  - AEROSOL CAN RECYCLING SYSTEM - AG - SAYCPU03  5 kg"/>
    <s v="4540-SQ-002"/>
    <n v="0"/>
    <s v="ea"/>
    <n v="2"/>
    <n v="30"/>
    <n v="199.82676190476192"/>
    <n v="300"/>
    <n v="529.82676190476195"/>
    <n v="0"/>
    <n v="0"/>
    <n v="0"/>
    <n v="0"/>
    <n v="0"/>
    <n v="0.5"/>
    <n v="0"/>
    <n v="1"/>
    <n v="0"/>
    <n v="0"/>
    <n v="1"/>
    <n v="0"/>
    <n v="0"/>
    <n v="0"/>
    <n v="0"/>
    <s v="Type A  _x000a_2AM-MRY1325"/>
    <s v="Removed"/>
    <n v="2014"/>
    <s v="Direct "/>
    <m/>
    <m/>
    <n v="0.33333333333333331"/>
    <n v="0.33333333333333331"/>
    <n v="0.33333333333333331"/>
    <m/>
    <m/>
    <m/>
    <m/>
    <m/>
    <n v="0"/>
    <m/>
    <n v="0"/>
    <n v="0"/>
    <n v="0"/>
    <n v="0"/>
    <n v="0"/>
    <n v="0"/>
    <n v="0"/>
    <n v="0"/>
  </r>
  <r>
    <x v="6"/>
    <x v="6"/>
    <x v="11"/>
    <x v="3"/>
    <x v="52"/>
    <x v="32"/>
    <x v="108"/>
    <x v="112"/>
    <s v="1075"/>
    <s v="PP-"/>
    <s v="MM1"/>
    <s v="Light Equimpent"/>
    <s v="MM1"/>
    <s v="Mechanical Equipment"/>
    <s v="Light Equipment"/>
    <s v="Pump"/>
    <s v="PUMP  - MINE WASTE MANAGEMENT BUILDING FUEL OIL PUMP (DUTY) - VIKING DUPLEX OIL SYSTEMS  "/>
    <s v="4540-PP-005"/>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52"/>
    <x v="32"/>
    <x v="108"/>
    <x v="112"/>
    <s v="1076"/>
    <s v="MT-"/>
    <s v="MM1"/>
    <s v="Light Equimpent"/>
    <s v="MM1"/>
    <s v="Mechanical Equipment"/>
    <s v="Light Equipment"/>
    <s v="Pump"/>
    <s v="   FUEL OIL PUMP  "/>
    <s v="4540-MT-005"/>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52"/>
    <x v="32"/>
    <x v="108"/>
    <x v="112"/>
    <s v="1077"/>
    <s v="PP-"/>
    <s v="MM1"/>
    <s v="Light Equimpent"/>
    <s v="MM1"/>
    <s v="Mechanical Equipment"/>
    <s v="Light Equipment"/>
    <s v="Pump"/>
    <s v="PUMP  - MINE WASTE MANAGEMENT BUILDING FUEL OIL PUMP (STANDBY) - VIKING DUPLEX OIL SYSTEMS  "/>
    <s v="4540-PP-006"/>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52"/>
    <x v="32"/>
    <x v="108"/>
    <x v="112"/>
    <s v="1078"/>
    <s v="MT-"/>
    <s v="MM1"/>
    <s v="Light Equimpent"/>
    <s v="MM1"/>
    <s v="Mechanical Equipment"/>
    <s v="Light Equipment"/>
    <s v="Pump"/>
    <s v="   FUEL OIL PUMP  "/>
    <s v="4540-MT-006"/>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1"/>
    <x v="3"/>
    <x v="52"/>
    <x v="32"/>
    <x v="108"/>
    <x v="112"/>
    <s v="1080"/>
    <s v="SQ-"/>
    <s v="MM2"/>
    <s v="Medium Equipment"/>
    <s v="MM2"/>
    <s v="Mechanical Equipment"/>
    <s v="Medium Equipment"/>
    <s v="Shop Equipment"/>
    <s v="SHOP / MAINTENANCE EQUIPMENT  - DRUM CRUSHER  - AG - VESHDC900IDC  650 kg"/>
    <s v="4540-SQ-00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52"/>
    <x v="32"/>
    <x v="108"/>
    <x v="112"/>
    <s v="1081"/>
    <s v="SQ-"/>
    <s v="MM2"/>
    <s v="Medium Equipment"/>
    <s v="MM2"/>
    <s v="Mechanical Equipment"/>
    <s v="Medium Equipment"/>
    <s v="Shop Equipment"/>
    <s v="SHOP / MAINTENANCE EQUIPMENT  - PLATFORM SCALE  - AG  "/>
    <s v="4540-SQ-004"/>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1"/>
    <x v="6"/>
    <x v="57"/>
    <x v="35"/>
    <x v="143"/>
    <x v="32"/>
    <s v="416"/>
    <s v="TK-"/>
    <s v="MT5-d"/>
    <s v="Medium Mobile Diesel Tanks (3000 L to 500k L)"/>
    <s v="MT5-d"/>
    <s v="Mechanical Equipment"/>
    <s v="Medium Mobile Diesel Tanks"/>
    <m/>
    <s v="Tank  - Jet-A tanks @ aerodrome apron"/>
    <m/>
    <n v="0"/>
    <s v="ea"/>
    <n v="42.724999999999994"/>
    <n v="564.75"/>
    <n v="4268.7992011904762"/>
    <n v="5647.5"/>
    <n v="10481.049201190477"/>
    <n v="0"/>
    <n v="0"/>
    <n v="0"/>
    <n v="0"/>
    <n v="0"/>
    <n v="30"/>
    <n v="0"/>
    <n v="1"/>
    <n v="0"/>
    <n v="0"/>
    <n v="1"/>
    <n v="0"/>
    <n v="0"/>
    <n v="0"/>
    <n v="0"/>
    <s v="Type A  _x000a_2AM-MRY1325"/>
    <s v="Removed"/>
    <n v="2015"/>
    <s v="Direct "/>
    <m/>
    <m/>
    <n v="0.5"/>
    <n v="0.5"/>
    <m/>
    <m/>
    <m/>
    <m/>
    <m/>
    <m/>
    <n v="0"/>
    <m/>
    <n v="0"/>
    <n v="0"/>
    <n v="0"/>
    <n v="0"/>
    <n v="0"/>
    <n v="0"/>
    <n v="0"/>
    <n v="0"/>
  </r>
  <r>
    <x v="6"/>
    <x v="6"/>
    <x v="21"/>
    <x v="6"/>
    <x v="57"/>
    <x v="35"/>
    <x v="123"/>
    <x v="8"/>
    <s v="1092"/>
    <s v="FD-"/>
    <s v="MM1"/>
    <s v="Light Equimpent"/>
    <s v="MM1"/>
    <s v="Mechanical Equipment"/>
    <s v="Light Equipment"/>
    <s v="Fuel dispenser"/>
    <s v="FUEL DISPENSER  - DIESEL FUEL DISPENSING MODULE "/>
    <s v="4613-FD-013"/>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23"/>
    <x v="8"/>
    <s v="1093"/>
    <s v="PP-"/>
    <s v="MM1"/>
    <s v="Light Equimpent"/>
    <s v="MM1"/>
    <s v="Mechanical Equipment"/>
    <s v="Light Equipment"/>
    <s v="Pump"/>
    <s v="PUMP  - DIESEL FUEL DISPENSING MODULE DISCHARGE PUMP "/>
    <s v="4613-PP-00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23"/>
    <x v="8"/>
    <s v="1094"/>
    <s v="PP-"/>
    <s v="MM1"/>
    <s v="Light Equimpent"/>
    <s v="MM1"/>
    <s v="Mechanical Equipment"/>
    <s v="Light Equipment"/>
    <s v="Pump"/>
    <s v="PUMP  - DIESEL FUEL DISPENSING MODULE DISCHARGE PUMP "/>
    <s v="4613-PP-00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23"/>
    <x v="8"/>
    <s v="1095"/>
    <s v="PP-"/>
    <s v="MM1"/>
    <s v="Light Equimpent"/>
    <s v="MM1"/>
    <s v="Mechanical Equipment"/>
    <s v="Light Equipment"/>
    <s v="Pump"/>
    <s v="PUMP  - DIESEL FUEL DISPENSING MODULE DISCHARGE PUMP "/>
    <s v="4613-PP-003"/>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23"/>
    <x v="8"/>
    <s v="1096"/>
    <s v="PP-"/>
    <s v="MM1"/>
    <s v="Light Equimpent"/>
    <s v="MM1"/>
    <s v="Mechanical Equipment"/>
    <s v="Light Equipment"/>
    <s v="Pump"/>
    <s v="PUMP  - DIESEL FUEL DISPENSING MODULE DISCHARGE PUMP "/>
    <s v="4613-PP-004"/>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23"/>
    <x v="8"/>
    <s v="1097"/>
    <s v="PP-"/>
    <s v="MM1"/>
    <s v="Light Equimpent"/>
    <s v="MM1"/>
    <s v="Mechanical Equipment"/>
    <s v="Light Equipment"/>
    <s v="Pump"/>
    <s v="PUMP  - DIESEL FUEL DISPENSING MODULE DISCHARGE PUMP "/>
    <s v="4613-PP-005"/>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22"/>
    <x v="8"/>
    <m/>
    <s v=""/>
    <s v="A3"/>
    <s v="Grade &amp; Re-Contour"/>
    <s v="A2"/>
    <s v="Site Works"/>
    <s v="Grade and Re-Contour"/>
    <s v="Grade and Contour"/>
    <s v="Utility pad extension (North West)"/>
    <m/>
    <n v="0"/>
    <s v="m2"/>
    <n v="1.2689880937499998E-2"/>
    <n v="0.14624999999999999"/>
    <n v="1.2689880937499998"/>
    <n v="0.39654534577546297"/>
    <n v="1.8102953457754629"/>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21"/>
    <x v="6"/>
    <x v="57"/>
    <x v="35"/>
    <x v="122"/>
    <x v="8"/>
    <m/>
    <s v=""/>
    <s v="A3"/>
    <s v="Grade &amp; Re-Contour"/>
    <s v="A2"/>
    <s v="Site Works"/>
    <s v="Grade and Re-Contour"/>
    <s v="Grade and Contour"/>
    <s v="Utility pad extension (South West)"/>
    <m/>
    <n v="0"/>
    <s v="m2"/>
    <n v="1.2689880937499998E-2"/>
    <n v="0.14624999999999999"/>
    <n v="1.2689880937499998"/>
    <n v="0.39654534577546297"/>
    <n v="1.8102953457754629"/>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21"/>
    <x v="6"/>
    <x v="57"/>
    <x v="35"/>
    <x v="123"/>
    <x v="8"/>
    <s v="1098"/>
    <s v="PP-"/>
    <s v="MM1"/>
    <s v="Light Equimpent"/>
    <s v="MM1"/>
    <s v="Mechanical Equipment"/>
    <s v="Light Equipment"/>
    <s v="Pump"/>
    <s v="PUMP  - DIESEL FUEL DISPENSING MODULE DISCHARGE PUMP "/>
    <s v="4613-PP-006"/>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23"/>
    <x v="8"/>
    <s v="1099"/>
    <s v="PP-"/>
    <s v="MM1"/>
    <s v="Light Equimpent"/>
    <s v="MM1"/>
    <s v="Mechanical Equipment"/>
    <s v="Light Equipment"/>
    <s v="Pump"/>
    <s v="PUMP  - DIESEL FUEL DISPENSING MODULE DISCHARGE PUMP "/>
    <s v="4613-PP-007"/>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23"/>
    <x v="8"/>
    <s v="1100"/>
    <s v="PP-"/>
    <s v="MM1"/>
    <s v="Light Equimpent"/>
    <s v="MM1"/>
    <s v="Mechanical Equipment"/>
    <s v="Light Equipment"/>
    <s v="Pump"/>
    <s v="PUMP  - DIESEL FUEL DISPENSING MODULE DISCHARGE PUMP "/>
    <s v="4613-PP-008"/>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21"/>
    <x v="6"/>
    <x v="57"/>
    <x v="35"/>
    <x v="144"/>
    <x v="128"/>
    <s v="1105"/>
    <s v="GE-"/>
    <s v="MM2"/>
    <s v="Medium Equipment"/>
    <s v="MM2"/>
    <s v="Mechanical Equipment"/>
    <s v="Medium Equipment"/>
    <s v="Generator"/>
    <s v="GENERATOR  - GENERATOR  "/>
    <s v="4619-GE-00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1"/>
    <x v="6"/>
    <x v="57"/>
    <x v="35"/>
    <x v="144"/>
    <x v="128"/>
    <s v="1106"/>
    <s v="GE-"/>
    <s v="MM2"/>
    <s v="Medium Equipment"/>
    <s v="MM2"/>
    <s v="Mechanical Equipment"/>
    <s v="Medium Equipment"/>
    <s v="Generator"/>
    <s v="GENERATOR  - GENERATOR  "/>
    <s v="4619-GE-002"/>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1"/>
    <x v="6"/>
    <x v="57"/>
    <x v="35"/>
    <x v="144"/>
    <x v="128"/>
    <s v="1107"/>
    <s v="GE-"/>
    <s v="MM2"/>
    <s v="Medium Equipment"/>
    <s v="MM2"/>
    <s v="Mechanical Equipment"/>
    <s v="Medium Equipment"/>
    <s v="Generator"/>
    <s v="GENERATOR  - GENERATOR  "/>
    <s v="4619-GE-00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1"/>
    <x v="6"/>
    <x v="57"/>
    <x v="35"/>
    <x v="144"/>
    <x v="128"/>
    <s v="1108"/>
    <s v="GE-"/>
    <s v="MM2"/>
    <s v="Medium Equipment"/>
    <s v="MM2"/>
    <s v="Mechanical Equipment"/>
    <s v="Medium Equipment"/>
    <s v="Generator"/>
    <s v="GENERATOR  - GENERATOR  "/>
    <s v="4619-GE-004"/>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1"/>
    <x v="6"/>
    <x v="57"/>
    <x v="35"/>
    <x v="144"/>
    <x v="128"/>
    <s v="1109"/>
    <s v="GE-"/>
    <s v="MM2"/>
    <s v="Medium Equipment"/>
    <s v="MM2"/>
    <s v="Mechanical Equipment"/>
    <s v="Medium Equipment"/>
    <s v="Generator"/>
    <s v="GENERATOR  - GENERATOR  "/>
    <s v="4619-GE-005"/>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1"/>
    <x v="6"/>
    <x v="57"/>
    <x v="35"/>
    <x v="144"/>
    <x v="128"/>
    <s v="1110"/>
    <s v="GE-"/>
    <s v="MM2"/>
    <s v="Medium Equipment"/>
    <s v="MM2"/>
    <s v="Mechanical Equipment"/>
    <s v="Medium Equipment"/>
    <s v="Generator"/>
    <s v="GENERATOR  - GENERATOR  "/>
    <s v="4619-GE-006"/>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21"/>
    <x v="6"/>
    <x v="57"/>
    <x v="35"/>
    <x v="144"/>
    <x v="128"/>
    <m/>
    <s v="GE-"/>
    <s v="MM2"/>
    <s v="Medium Equipment"/>
    <s v="MM2"/>
    <s v="Mechanical Equipment"/>
    <s v="Medium Equipment"/>
    <s v="Generator"/>
    <s v="GENERATOR  - 1.35 MW GENERATOR"/>
    <m/>
    <n v="0"/>
    <s v="ea"/>
    <n v="19.2"/>
    <n v="213"/>
    <n v="1918.3369142857146"/>
    <n v="2130"/>
    <n v="4261.3369142857146"/>
    <n v="0"/>
    <n v="0"/>
    <n v="0"/>
    <n v="0"/>
    <n v="0"/>
    <n v="1"/>
    <n v="0"/>
    <n v="1"/>
    <n v="0"/>
    <n v="0"/>
    <n v="1"/>
    <n v="0"/>
    <n v="0"/>
    <n v="0"/>
    <n v="0"/>
    <s v="Type A  _x000a_2AM-MRY1325"/>
    <s v="Removed"/>
    <s v="2015 A"/>
    <s v="Direct "/>
    <m/>
    <m/>
    <n v="0.33333333333333331"/>
    <m/>
    <n v="0.33333333333333331"/>
    <m/>
    <m/>
    <m/>
    <m/>
    <n v="0.33333333333333331"/>
    <n v="0"/>
    <m/>
    <n v="0"/>
    <n v="0"/>
    <n v="0"/>
    <n v="0"/>
    <n v="0"/>
    <n v="0"/>
    <n v="0"/>
    <n v="0"/>
  </r>
  <r>
    <x v="6"/>
    <x v="6"/>
    <x v="14"/>
    <x v="5"/>
    <x v="58"/>
    <x v="17"/>
    <x v="120"/>
    <x v="31"/>
    <s v="1124"/>
    <s v="PP-"/>
    <s v="MM1"/>
    <s v="Light Equimpent"/>
    <s v="MM1"/>
    <s v="Mechanical Equipment"/>
    <s v="Light Equipment"/>
    <s v="Pump"/>
    <s v="PUMP  - RAW WATER DISTRIBUTION PUMP "/>
    <s v="4720-PP-00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25"/>
    <s v="MT-"/>
    <s v="MM1"/>
    <s v="Light Equimpent"/>
    <s v="MM1"/>
    <s v="Mechanical Equipment"/>
    <s v="Light Equipment"/>
    <s v="Pump"/>
    <s v="RAW WATER DISTRIBUTION PUMP  "/>
    <s v="4720-MT-00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26"/>
    <s v="PP-"/>
    <s v="MM1"/>
    <s v="Light Equimpent"/>
    <s v="MM1"/>
    <s v="Mechanical Equipment"/>
    <s v="Light Equipment"/>
    <s v="Pump"/>
    <s v="PUMP  - RAW WATER DISTRIBUTION PUMP "/>
    <s v="4720-PP-00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27"/>
    <s v="MT-"/>
    <s v="MM1"/>
    <s v="Light Equimpent"/>
    <s v="MM1"/>
    <s v="Mechanical Equipment"/>
    <s v="Light Equipment"/>
    <s v="Pump"/>
    <s v="   RAW WATER DISTRIBUTION PUMP  "/>
    <s v="4720-MT-00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28"/>
    <s v="PP-"/>
    <s v="MM1"/>
    <s v="Light Equimpent"/>
    <s v="MM1"/>
    <s v="Mechanical Equipment"/>
    <s v="Light Equipment"/>
    <s v="Pump"/>
    <s v="PUMP  - DIESEL FIRE WATER PUMP "/>
    <s v="4720-PP-004"/>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29"/>
    <s v="PP-"/>
    <s v="MM1"/>
    <s v="Light Equimpent"/>
    <s v="MM1"/>
    <s v="Mechanical Equipment"/>
    <s v="Light Equipment"/>
    <s v="Pump"/>
    <s v="PUMP  - ELECTRIC FIRE WATER PUMP "/>
    <s v="4720-PP-005"/>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30"/>
    <s v="PP-"/>
    <s v="MM1"/>
    <s v="Light Equimpent"/>
    <s v="MM1"/>
    <s v="Mechanical Equipment"/>
    <s v="Light Equipment"/>
    <s v="Pump"/>
    <s v="PUMP  - JOCKEY PUMP "/>
    <s v="4720-PP-006"/>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31"/>
    <s v="PP-"/>
    <s v="MM1"/>
    <s v="Light Equimpent"/>
    <s v="MM1"/>
    <s v="Mechanical Equipment"/>
    <s v="Light Equipment"/>
    <s v="Pump"/>
    <s v="PUMP  - RAW WATER FEED PUMP "/>
    <s v="4720-PP-008"/>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32"/>
    <s v="MT-"/>
    <s v="MM1"/>
    <s v="Light Equimpent"/>
    <s v="MM1"/>
    <s v="Mechanical Equipment"/>
    <s v="Light Equipment"/>
    <s v="Pump"/>
    <s v="RAW WATER FEED PUMP  "/>
    <s v="4720-MT-008"/>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33"/>
    <s v="PP-"/>
    <s v="MM1"/>
    <s v="Light Equimpent"/>
    <s v="MM1"/>
    <s v="Mechanical Equipment"/>
    <s v="Light Equipment"/>
    <s v="Pump"/>
    <s v="PUMP  - POTABLE WATER DISCHARGE PUMP NO.1 "/>
    <s v="4720-PP-010"/>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34"/>
    <s v="PP-"/>
    <s v="MM1"/>
    <s v="Light Equimpent"/>
    <s v="MM1"/>
    <s v="Mechanical Equipment"/>
    <s v="Light Equipment"/>
    <s v="Pump"/>
    <s v="PUMP  - POTABLE WATER DISCHARGE PUMP NO.2 "/>
    <s v="4720-PP-011"/>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35"/>
    <s v="PP-"/>
    <s v="MM1"/>
    <s v="Light Equimpent"/>
    <s v="MM1"/>
    <s v="Mechanical Equipment"/>
    <s v="Light Equipment"/>
    <s v="Pump"/>
    <s v="PUMP  - BACKWASH SLURRY PUMP "/>
    <s v="4720-PP-01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8"/>
    <x v="17"/>
    <x v="120"/>
    <x v="31"/>
    <s v="1136"/>
    <s v="PP-"/>
    <s v="MM1"/>
    <s v="Light Equimpent"/>
    <s v="MM1"/>
    <s v="Mechanical Equipment"/>
    <s v="Light Equipment"/>
    <s v="Pump"/>
    <s v="PUMP  - CLEAN BACKWASH PUMP "/>
    <s v="4720-PP-014"/>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5"/>
    <x v="17"/>
    <x v="120"/>
    <x v="31"/>
    <s v="1137"/>
    <s v="PP-"/>
    <s v="MM1"/>
    <s v="Light Equimpent"/>
    <s v="MM1"/>
    <s v="Mechanical Equipment"/>
    <s v="Light Equipment"/>
    <s v="Pump"/>
    <s v="PUMP  - RAW WATER FEED PUMP "/>
    <s v="4720-PP-015"/>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5"/>
    <x v="17"/>
    <x v="120"/>
    <x v="31"/>
    <s v="1138"/>
    <s v="MT-"/>
    <s v="MM1"/>
    <s v="Light Equimpent"/>
    <s v="MM1"/>
    <s v="Mechanical Equipment"/>
    <s v="Light Equipment"/>
    <s v="Pump"/>
    <s v="RAW WATER FEED PUMP  "/>
    <s v="4720-MT-015"/>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55"/>
    <x v="17"/>
    <x v="120"/>
    <x v="31"/>
    <s v="1139"/>
    <s v="PP-"/>
    <s v="MM1"/>
    <s v="Light Equimpent"/>
    <s v="MM1"/>
    <s v="Mechanical Equipment"/>
    <s v="Light Equipment"/>
    <s v="Pump"/>
    <s v="PUMP  - MINE WATER BUILDING FUEL OIL PUMP (DUTY) - VIKING DUPLEX OIL SYSTEMS  "/>
    <s v="4720-PP-03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4"/>
    <x v="5"/>
    <x v="55"/>
    <x v="17"/>
    <x v="120"/>
    <x v="31"/>
    <s v="1140"/>
    <s v="MT-"/>
    <s v="MM1"/>
    <s v="Light Equimpent"/>
    <s v="MM1"/>
    <s v="Mechanical Equipment"/>
    <s v="Light Equipment"/>
    <s v="Pump"/>
    <s v="FUEL OIL PUMP  "/>
    <s v="4720-MT-03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4"/>
    <x v="5"/>
    <x v="55"/>
    <x v="17"/>
    <x v="120"/>
    <x v="31"/>
    <s v="1141"/>
    <s v="PP-"/>
    <s v="MM1"/>
    <s v="Light Equimpent"/>
    <s v="MM1"/>
    <s v="Mechanical Equipment"/>
    <s v="Light Equipment"/>
    <s v="Pump"/>
    <s v="PUMP  - MINE WATER BUILDING FUEL OIL PUMP (STANDBY) - VIKING DUPLEX OIL SYSTEMS  "/>
    <s v="4720-PP-03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4"/>
    <x v="5"/>
    <x v="55"/>
    <x v="17"/>
    <x v="120"/>
    <x v="31"/>
    <s v="1142"/>
    <s v="MT-"/>
    <s v="MM1"/>
    <s v="Light Equimpent"/>
    <s v="MM1"/>
    <s v="Mechanical Equipment"/>
    <s v="Light Equipment"/>
    <s v="Pump"/>
    <s v="FUEL OIL PUMP  "/>
    <s v="4720-MT-03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4"/>
    <x v="5"/>
    <x v="55"/>
    <x v="17"/>
    <x v="120"/>
    <x v="31"/>
    <m/>
    <s v="VP-"/>
    <s v="VP2"/>
    <s v="VENDOR PKG - Potable Water"/>
    <s v="VP2"/>
    <s v="Packaged_x000a_Facilities"/>
    <s v="Potable Water"/>
    <m/>
    <s v="VENDOR PACKAGE  - POTABLE WATER TREATMENT PLANT VENDOR PACKAGE "/>
    <m/>
    <n v="0"/>
    <s v="ea"/>
    <n v="47"/>
    <n v="480"/>
    <n v="4695.928904761905"/>
    <n v="4800"/>
    <n v="9975.9289047619059"/>
    <n v="0"/>
    <n v="0"/>
    <n v="0"/>
    <n v="0"/>
    <n v="0"/>
    <n v="329.26829268292681"/>
    <n v="0"/>
    <n v="1"/>
    <n v="0"/>
    <n v="1"/>
    <n v="0"/>
    <n v="0"/>
    <n v="0"/>
    <n v="0"/>
    <n v="0"/>
    <s v="Type A  _x000a_2AM-MRY1325"/>
    <s v="Removed"/>
    <s v="2015 A"/>
    <s v="Direct "/>
    <m/>
    <m/>
    <n v="0.33333333333333331"/>
    <n v="0.33333333333333331"/>
    <n v="0.33333333333333331"/>
    <m/>
    <m/>
    <m/>
    <m/>
    <m/>
    <n v="0"/>
    <m/>
    <n v="0"/>
    <n v="0"/>
    <n v="0"/>
    <n v="0"/>
    <n v="0"/>
    <n v="0"/>
    <n v="0"/>
    <n v="0"/>
  </r>
  <r>
    <x v="6"/>
    <x v="6"/>
    <x v="14"/>
    <x v="5"/>
    <x v="27"/>
    <x v="6"/>
    <x v="53"/>
    <x v="26"/>
    <s v="1157"/>
    <s v="PP-"/>
    <s v="MM1"/>
    <s v="Light Equimpent"/>
    <s v="MM1"/>
    <s v="Mechanical Equipment"/>
    <s v="Light Equipment"/>
    <s v="Pump"/>
    <s v="PUMP  - TREATED EFFLUENT DISCHARGE PUMP NO.1 "/>
    <s v="4731-PP-00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27"/>
    <x v="6"/>
    <x v="53"/>
    <x v="26"/>
    <s v="1158"/>
    <s v="PP-"/>
    <s v="MM1"/>
    <s v="Light Equimpent"/>
    <s v="MM1"/>
    <s v="Mechanical Equipment"/>
    <s v="Light Equipment"/>
    <s v="Pump"/>
    <s v="PUMP  - TREATED EFFLUENT DISCHARGE PUMP NO.2 "/>
    <s v="4731-PP-004"/>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4"/>
    <x v="5"/>
    <x v="27"/>
    <x v="6"/>
    <x v="53"/>
    <x v="26"/>
    <s v="1159"/>
    <s v="SC-"/>
    <s v="MM2"/>
    <s v="Medium Equipment"/>
    <s v="MM2"/>
    <s v="Mechanical Equipment"/>
    <s v="Medium Equipment"/>
    <s v="Screen"/>
    <s v="SCREEN  - SCREEN  "/>
    <s v="4731-SC-00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4"/>
    <x v="5"/>
    <x v="27"/>
    <x v="6"/>
    <x v="53"/>
    <x v="26"/>
    <m/>
    <s v="VP-"/>
    <s v="VP3"/>
    <s v="VENDOR PKG - Sewage Treatment Plant"/>
    <s v="VP3"/>
    <s v="Packaged_x000a_Facilities"/>
    <s v="Sewage Treatment Plant"/>
    <m/>
    <s v="VENDOR PACKAGE  - SEWAGE TREATMENT PLANT VENDOR PACKAGE "/>
    <m/>
    <n v="0"/>
    <s v="ea"/>
    <n v="51"/>
    <n v="540"/>
    <n v="5095.5824285714289"/>
    <n v="5400"/>
    <n v="11035.58242857143"/>
    <n v="0"/>
    <n v="0"/>
    <n v="0"/>
    <n v="0"/>
    <n v="0"/>
    <n v="329.26829268292681"/>
    <n v="0"/>
    <n v="1"/>
    <n v="0"/>
    <n v="1"/>
    <n v="0"/>
    <n v="0"/>
    <n v="0"/>
    <n v="0"/>
    <n v="0"/>
    <s v="Type A  _x000a_2AM-MRY1325"/>
    <s v="Removed"/>
    <s v="2015 A"/>
    <s v="Direct "/>
    <m/>
    <m/>
    <n v="0.5"/>
    <n v="0.5"/>
    <m/>
    <m/>
    <m/>
    <m/>
    <m/>
    <m/>
    <n v="0"/>
    <m/>
    <n v="0"/>
    <n v="0"/>
    <n v="0"/>
    <n v="0"/>
    <n v="0"/>
    <n v="0"/>
    <n v="0"/>
    <n v="0"/>
  </r>
  <r>
    <x v="6"/>
    <x v="6"/>
    <x v="14"/>
    <x v="5"/>
    <x v="27"/>
    <x v="6"/>
    <x v="128"/>
    <x v="36"/>
    <s v="1168"/>
    <s v="PP-"/>
    <s v="MM1"/>
    <s v="Light Equimpent"/>
    <s v="MM1"/>
    <s v="Mechanical Equipment"/>
    <s v="Light Equipment"/>
    <s v="Pump"/>
    <s v="PUMP  - MINE SEWAGE TRUCK BUILDING FUEL OIL PUMP (DUTY) - VIKING DUPLEX OIL SYSTEMS  "/>
    <s v="4732-PP-00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4"/>
    <x v="5"/>
    <x v="27"/>
    <x v="6"/>
    <x v="128"/>
    <x v="36"/>
    <s v="1169"/>
    <s v="MT-"/>
    <s v="MM1"/>
    <s v="Light Equimpent"/>
    <s v="MM1"/>
    <s v="Mechanical Equipment"/>
    <s v="Light Equipment"/>
    <s v="Pump"/>
    <s v="   FUEL OIL PUMP  "/>
    <s v="4732-MT-001"/>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4"/>
    <x v="5"/>
    <x v="27"/>
    <x v="6"/>
    <x v="128"/>
    <x v="36"/>
    <s v="1170"/>
    <s v="PP-"/>
    <s v="MM1"/>
    <s v="Light Equimpent"/>
    <s v="MM1"/>
    <s v="Mechanical Equipment"/>
    <s v="Light Equipment"/>
    <s v="Pump"/>
    <s v="PUMP  - MINE SEWAGE TRUCK BUILDING FUEL OIL PUMP (STANDBY) - VIKING DUPLEX OIL SYSTEMS  "/>
    <s v="4732-PP-00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4"/>
    <x v="5"/>
    <x v="27"/>
    <x v="6"/>
    <x v="128"/>
    <x v="36"/>
    <s v="1171"/>
    <s v="MT-"/>
    <s v="MM1"/>
    <s v="Light Equimpent"/>
    <s v="MM1"/>
    <s v="Mechanical Equipment"/>
    <s v="Light Equipment"/>
    <s v="Pump"/>
    <s v="   FUEL OIL PUMP  "/>
    <s v="4732-MT-002"/>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6"/>
    <x v="6"/>
    <x v="14"/>
    <x v="5"/>
    <x v="27"/>
    <x v="6"/>
    <x v="145"/>
    <x v="129"/>
    <s v="1174"/>
    <s v="VM-"/>
    <s v="MISC"/>
    <s v="Miscellanous Items (Minor)"/>
    <s v="MISC"/>
    <s v="Mechanical Equipment"/>
    <s v="Miscellaneous Items (Minor)"/>
    <m/>
    <s v="BULK MATERIAL VALVES  - TREATED EFFLUENT POND SLUICE GATE "/>
    <s v="4733-VM-001"/>
    <n v="0"/>
    <s v="ea"/>
    <n v="2"/>
    <n v="30"/>
    <n v="199.82676190476192"/>
    <n v="300"/>
    <n v="529.82676190476195"/>
    <n v="0"/>
    <n v="0"/>
    <n v="0"/>
    <n v="0"/>
    <n v="0"/>
    <n v="0.5"/>
    <n v="0"/>
    <n v="1"/>
    <n v="0"/>
    <n v="0"/>
    <n v="1"/>
    <n v="0"/>
    <n v="0"/>
    <n v="0"/>
    <n v="0"/>
    <s v="Type A  _x000a_2AM-MRY1325"/>
    <s v="Removed"/>
    <n v="2014"/>
    <s v="Direct "/>
    <m/>
    <m/>
    <n v="0.33333333333333331"/>
    <n v="0.33333333333333331"/>
    <n v="0.33333333333333331"/>
    <m/>
    <m/>
    <m/>
    <m/>
    <m/>
    <n v="0"/>
    <m/>
    <n v="0"/>
    <n v="0"/>
    <n v="0"/>
    <n v="0"/>
    <n v="0"/>
    <n v="0"/>
    <n v="0"/>
    <n v="0"/>
  </r>
  <r>
    <x v="6"/>
    <x v="6"/>
    <x v="14"/>
    <x v="5"/>
    <x v="27"/>
    <x v="6"/>
    <x v="145"/>
    <x v="129"/>
    <s v="1175"/>
    <s v="VM-"/>
    <s v="MISC"/>
    <s v="Miscellanous Items (Minor)"/>
    <s v="MISC"/>
    <s v="Mechanical Equipment"/>
    <s v="Miscellaneous Items (Minor)"/>
    <m/>
    <s v="BULK MATERIAL VALVES  - TREATED EFFLUENT POND SLUICE GATE SPARE "/>
    <s v="4733-VM-002"/>
    <n v="0"/>
    <s v="ea"/>
    <n v="2"/>
    <n v="30"/>
    <n v="199.82676190476192"/>
    <n v="300"/>
    <n v="529.82676190476195"/>
    <n v="0"/>
    <n v="0"/>
    <n v="0"/>
    <n v="0"/>
    <n v="0"/>
    <n v="0.5"/>
    <n v="0"/>
    <n v="1"/>
    <n v="0"/>
    <n v="0"/>
    <n v="1"/>
    <n v="0"/>
    <n v="0"/>
    <n v="0"/>
    <n v="0"/>
    <s v="Type A  _x000a_2AM-MRY1325"/>
    <s v="Removed"/>
    <n v="2014"/>
    <s v="Direct "/>
    <m/>
    <m/>
    <n v="0.33333333333333331"/>
    <n v="0.33333333333333331"/>
    <n v="0.33333333333333331"/>
    <m/>
    <m/>
    <m/>
    <m/>
    <m/>
    <n v="0"/>
    <m/>
    <n v="0"/>
    <n v="0"/>
    <n v="0"/>
    <n v="0"/>
    <n v="0"/>
    <n v="0"/>
    <n v="0"/>
    <n v="0"/>
  </r>
  <r>
    <x v="6"/>
    <x v="6"/>
    <x v="14"/>
    <x v="5"/>
    <x v="54"/>
    <x v="25"/>
    <x v="119"/>
    <x v="59"/>
    <m/>
    <s v="TK-"/>
    <s v="MT1"/>
    <s v="Light Tanks"/>
    <s v="MT1"/>
    <s v="Mechanical Equipment"/>
    <s v="Light Tanks"/>
    <m/>
    <s v="Additional Light Size tanks"/>
    <m/>
    <n v="0"/>
    <s v="ea"/>
    <n v="9.6666666666666661"/>
    <n v="107.5"/>
    <n v="965.82934920634932"/>
    <n v="1075"/>
    <n v="2148.3293492063494"/>
    <n v="0"/>
    <n v="0"/>
    <n v="0"/>
    <n v="0"/>
    <n v="0"/>
    <n v="1"/>
    <n v="0"/>
    <n v="1"/>
    <n v="0"/>
    <n v="0"/>
    <n v="1"/>
    <n v="0"/>
    <n v="0"/>
    <n v="0"/>
    <n v="0"/>
    <s v="Type B Construction_x000a_2BC-MRY1416"/>
    <s v="Removed"/>
    <s v="2015 A"/>
    <s v="Direct "/>
    <m/>
    <m/>
    <n v="0.5"/>
    <n v="0.5"/>
    <m/>
    <m/>
    <m/>
    <m/>
    <m/>
    <m/>
    <n v="0"/>
    <m/>
    <n v="0"/>
    <n v="0"/>
    <n v="0"/>
    <n v="0"/>
    <n v="0"/>
    <n v="0"/>
    <n v="0"/>
    <n v="0"/>
  </r>
  <r>
    <x v="6"/>
    <x v="6"/>
    <x v="14"/>
    <x v="5"/>
    <x v="48"/>
    <x v="9"/>
    <x v="107"/>
    <x v="10"/>
    <s v="008"/>
    <s v="BLD"/>
    <s v="FF1"/>
    <s v="Modular Building Not Contaminated (480 ft2)"/>
    <s v="FS"/>
    <s v="Buildings (Not Contaminated)"/>
    <s v="Prefabricated Special Modular"/>
    <m/>
    <s v="Accommodation Area E-House #3 - Demolish and Decontaminate Building - Special Modular / Prefabricated"/>
    <s v="4750-BLD-008"/>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4"/>
    <x v="5"/>
    <x v="48"/>
    <x v="9"/>
    <x v="107"/>
    <x v="10"/>
    <s v="008"/>
    <s v="BLD"/>
    <s v="EG"/>
    <s v="Gravel Base Removal"/>
    <s v="EG"/>
    <s v="Flooring / Foundations"/>
    <s v="Gravel Base"/>
    <m/>
    <s v="Accommodation Area E-House #3 - Demolish and foundations - Gravel Base - Skidded Building"/>
    <s v="4750-BLD-008"/>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4"/>
    <x v="5"/>
    <x v="48"/>
    <x v="9"/>
    <x v="107"/>
    <x v="10"/>
    <s v="008"/>
    <s v="BLD"/>
    <m/>
    <e v="#N/A"/>
    <s v="FW"/>
    <s v="Flooring / Foundations"/>
    <s v="Wood Floor"/>
    <m/>
    <s v="Accommodation Area E-House #3 - Demolish floor finish - Raised Steel or Wooden Floor"/>
    <s v="4750-BLD-008"/>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4"/>
    <x v="5"/>
    <x v="48"/>
    <x v="9"/>
    <x v="107"/>
    <x v="10"/>
    <s v="010"/>
    <s v="BLD"/>
    <s v="FF1"/>
    <s v="Modular Building Not Contaminated (480 ft2)"/>
    <s v="FS"/>
    <s v="Buildings (Not Contaminated)"/>
    <s v="Prefabricated Special Modular"/>
    <m/>
    <s v="Crushing and Screening E-House #1 - Demolish and Decontaminate Building - Special Modular / Prefabricated"/>
    <s v="4750-BLD-010"/>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4"/>
    <x v="5"/>
    <x v="48"/>
    <x v="9"/>
    <x v="107"/>
    <x v="10"/>
    <s v="010"/>
    <s v="BLD"/>
    <m/>
    <e v="#N/A"/>
    <s v="FW"/>
    <s v="Flooring / Foundations"/>
    <s v="Wood Floor"/>
    <m/>
    <s v="Crushing and Screening E-House #1 - Demolish floor finish - Raised Steel or Wooden Floor"/>
    <s v="4750-BLD-010"/>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4"/>
    <x v="5"/>
    <x v="48"/>
    <x v="9"/>
    <x v="107"/>
    <x v="10"/>
    <s v="011"/>
    <s v="BLD"/>
    <s v="FF1"/>
    <s v="Modular Building Not Contaminated (480 ft2)"/>
    <s v="FS"/>
    <s v="Buildings (Not Contaminated)"/>
    <s v="Prefabricated Special Modular"/>
    <m/>
    <s v="Crushing and Screening E-House #2 - Demolish and Decontaminate Building - Special Modular / Prefabricated"/>
    <s v="4750-BLD-011"/>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6"/>
    <x v="6"/>
    <x v="14"/>
    <x v="5"/>
    <x v="48"/>
    <x v="9"/>
    <x v="107"/>
    <x v="10"/>
    <s v="011"/>
    <s v="BLD"/>
    <s v="EG"/>
    <s v="Gravel Base Removal"/>
    <s v="EG"/>
    <s v="Flooring / Foundations"/>
    <s v="Gravel Base"/>
    <m/>
    <s v="Crushing and Screening E-House #2- Demolish and foundations - Gravel Base - Skidded Building"/>
    <s v="4750-BLD-011"/>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2"/>
    <x v="8"/>
    <x v="62"/>
    <x v="21"/>
    <x v="136"/>
    <x v="46"/>
    <s v="580"/>
    <s v="BLD"/>
    <s v="EG"/>
    <s v="Gravel Base Removal"/>
    <s v="EG"/>
    <s v="Flooring / Foundations"/>
    <s v="Gravel Base"/>
    <m/>
    <s v="Communication Shed No. 1 - Demolish and foundations - Gravel Base - Skidded Building"/>
    <s v="4110-BLD-001"/>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62"/>
    <x v="21"/>
    <x v="136"/>
    <x v="46"/>
    <s v="581"/>
    <s v="BLD"/>
    <m/>
    <e v="#N/A"/>
    <s v="FW"/>
    <s v="Flooring / Foundations"/>
    <s v="Wood Floor"/>
    <m/>
    <s v="Communication Shed No. 1 - Demolish floor finish - Raised Steel or Wooden Floor"/>
    <s v="4110-BLD-001"/>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62"/>
    <x v="21"/>
    <x v="136"/>
    <x v="46"/>
    <s v="583"/>
    <s v="BLD"/>
    <s v="EG"/>
    <s v="Gravel Base Removal"/>
    <s v="EG"/>
    <s v="Flooring / Foundations"/>
    <s v="Gravel Base"/>
    <m/>
    <s v="Communication Shed No. 2 - Demolish and foundations - Gravel Base - Skidded Building"/>
    <s v="4110-BLD-002"/>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62"/>
    <x v="21"/>
    <x v="136"/>
    <x v="46"/>
    <s v="584"/>
    <s v="BLD"/>
    <m/>
    <e v="#N/A"/>
    <s v="FW"/>
    <s v="Flooring / Foundations"/>
    <s v="Wood Floor"/>
    <m/>
    <s v="Communication Shed No. 2 - Demolish floor finish - Raised Steel or Wooden Floor"/>
    <s v="4110-BLD-002"/>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20"/>
    <x v="12"/>
    <x v="51"/>
    <x v="28"/>
    <x v="135"/>
    <x v="71"/>
    <s v="851"/>
    <s v="BLD"/>
    <s v="EG"/>
    <s v="Gravel Base Removal"/>
    <s v="EG"/>
    <s v="Flooring / Foundations"/>
    <s v="Gravel Base"/>
    <m/>
    <s v="Aerodrome Field Electrical Centre - Demolish and foundations - Gravel Base - Skidded Building"/>
    <s v="4435-BLD-001"/>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20"/>
    <x v="12"/>
    <x v="51"/>
    <x v="28"/>
    <x v="135"/>
    <x v="71"/>
    <s v="852"/>
    <s v="BLD"/>
    <m/>
    <e v="#N/A"/>
    <s v="FW"/>
    <s v="Flooring / Foundations"/>
    <s v="Wood Floor"/>
    <m/>
    <s v="Aerodrome Field Electrical Centre - Demolish floor finish - Raised Steel or Wooden Floor"/>
    <s v="4435-BLD-001"/>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6"/>
    <x v="30"/>
    <x v="104"/>
    <x v="110"/>
    <s v="1116"/>
    <s v="BLD"/>
    <s v="EG"/>
    <s v="Gravel Base Removal"/>
    <s v="EG"/>
    <s v="Flooring / Foundations"/>
    <s v="Gravel Base"/>
    <m/>
    <s v="Raw Water Pumphouse - Demolish and foundations - Gravel Base - Skidded Building"/>
    <s v="4712-BLD-001"/>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6"/>
    <x v="30"/>
    <x v="104"/>
    <x v="110"/>
    <s v="1117"/>
    <s v="BLD"/>
    <m/>
    <e v="#N/A"/>
    <s v="FW"/>
    <s v="Flooring / Foundations"/>
    <s v="Wood Floor"/>
    <m/>
    <s v="Raw Water Pumphouse - Demolish floor finish - Raised Steel or Wooden Floor"/>
    <s v="4712-BLD-001"/>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30"/>
    <x v="127"/>
    <x v="130"/>
    <m/>
    <s v="BLD"/>
    <s v="EG"/>
    <s v="Gravel Base Removal"/>
    <s v="EG"/>
    <s v="Flooring / Foundations"/>
    <s v="Gravel Base"/>
    <m/>
    <s v="Electrical Shop - Demolish and foundations - Precast Footing (Perimeter Beam)"/>
    <s v="4530-BLD-BIM-001"/>
    <n v="20"/>
    <s v="m2"/>
    <n v="0"/>
    <n v="0"/>
    <n v="0"/>
    <n v="0"/>
    <n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1"/>
    <x v="3"/>
    <x v="61"/>
    <x v="30"/>
    <x v="127"/>
    <x v="130"/>
    <m/>
    <s v="BLD"/>
    <m/>
    <e v="#N/A"/>
    <s v="FW"/>
    <s v="Flooring / Foundations"/>
    <s v="Wood Floor"/>
    <m/>
    <s v="Electrical Shop - Demolish floor finish - Gravel"/>
    <s v="4530-BLD-BIM-001"/>
    <n v="20"/>
    <s v="m2"/>
    <s v="0"/>
    <s v="0"/>
    <s v="0"/>
    <s v="0"/>
    <s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1"/>
    <x v="3"/>
    <x v="61"/>
    <x v="30"/>
    <x v="127"/>
    <x v="130"/>
    <m/>
    <s v="BLD"/>
    <s v="EG"/>
    <s v="Gravel Base Removal"/>
    <s v="EG"/>
    <s v="Flooring / Foundations"/>
    <s v="Gravel Base"/>
    <m/>
    <s v="Electrical Shop - Demolish floor finish - Gravel"/>
    <s v="4530-BLD-BIM-002"/>
    <n v="20"/>
    <s v="m2"/>
    <n v="0"/>
    <n v="0"/>
    <n v="0"/>
    <n v="0"/>
    <n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8"/>
    <x v="11"/>
    <x v="36"/>
    <x v="26"/>
    <x v="132"/>
    <x v="60"/>
    <s v="009"/>
    <s v="BLD"/>
    <s v="EG"/>
    <s v="Gravel Base Removal"/>
    <s v="EG"/>
    <s v="Flooring / Foundations"/>
    <s v="Gravel Base"/>
    <m/>
    <s v="Geology ‘core’ building - Demolish and foundations - Gravel Base - Skidded Building"/>
    <s v="4000-BLD-GEO-004"/>
    <n v="25"/>
    <s v="m2"/>
    <n v="0"/>
    <n v="0"/>
    <n v="0"/>
    <n v="0"/>
    <n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8"/>
    <x v="11"/>
    <x v="36"/>
    <x v="26"/>
    <x v="132"/>
    <x v="60"/>
    <s v="009"/>
    <s v="BLD"/>
    <m/>
    <e v="#N/A"/>
    <s v="FW"/>
    <s v="Flooring / Foundations"/>
    <s v="Wood Floor"/>
    <m/>
    <s v="Geology ‘core’ building - Demolish floor finish - Raised Steel or Wooden Floor"/>
    <s v="4000-BLD-GEO-004"/>
    <n v="25"/>
    <s v="m2"/>
    <s v="0"/>
    <s v="0"/>
    <s v="0"/>
    <s v="0"/>
    <s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21"/>
    <x v="6"/>
    <x v="57"/>
    <x v="35"/>
    <x v="133"/>
    <x v="8"/>
    <s v="1091"/>
    <s v="FD-"/>
    <m/>
    <e v="#N/A"/>
    <s v="FW"/>
    <s v="Flooring / Foundations"/>
    <s v="Wood Floor"/>
    <m/>
    <s v="Diesel Fuel Dispensing Module  - Demolish floor finish - Raised Steel or Wooden Floor"/>
    <s v="4613-FD-013"/>
    <n v="29.728973"/>
    <s v="m2"/>
    <s v="0"/>
    <s v="0"/>
    <s v="0"/>
    <s v="0"/>
    <s v="0"/>
    <n v="0"/>
    <n v="0"/>
    <n v="0"/>
    <n v="0"/>
    <n v="0"/>
    <n v="0"/>
    <n v="0"/>
    <n v="1"/>
    <n v="0"/>
    <n v="0"/>
    <n v="1"/>
    <n v="0"/>
    <n v="0"/>
    <n v="0"/>
    <n v="0"/>
    <s v="Type A  _x000a_2AM-MRY1325"/>
    <m/>
    <n v="2014"/>
    <s v="Direct "/>
    <m/>
    <m/>
    <n v="0.5"/>
    <n v="0.5"/>
    <m/>
    <m/>
    <m/>
    <m/>
    <m/>
    <m/>
    <n v="0"/>
    <m/>
    <n v="0"/>
    <n v="0"/>
    <n v="0"/>
    <n v="0"/>
    <n v="0"/>
    <n v="0"/>
    <n v="0"/>
    <n v="0"/>
  </r>
  <r>
    <x v="6"/>
    <x v="6"/>
    <x v="21"/>
    <x v="6"/>
    <x v="57"/>
    <x v="35"/>
    <x v="133"/>
    <x v="8"/>
    <s v="1091"/>
    <s v="FD-"/>
    <m/>
    <e v="#N/A"/>
    <s v="FW"/>
    <s v="Flooring / Foundations"/>
    <s v="Wood Floor"/>
    <m/>
    <s v="Diesel Fuel Dispensing Module  - Demolish floor finish - Raised Steel or Wooden Floor"/>
    <s v="4613-FD-013"/>
    <n v="29.728973"/>
    <s v="m2"/>
    <s v="0"/>
    <s v="0"/>
    <s v="0"/>
    <s v="0"/>
    <s v="0"/>
    <n v="0"/>
    <n v="0"/>
    <n v="0"/>
    <n v="0"/>
    <n v="0"/>
    <n v="0"/>
    <n v="0"/>
    <n v="1"/>
    <n v="0"/>
    <n v="0"/>
    <n v="1"/>
    <n v="0"/>
    <n v="0"/>
    <n v="0"/>
    <n v="0"/>
    <s v="Type A  _x000a_2AM-MRY1325"/>
    <m/>
    <n v="2014"/>
    <s v="Direct "/>
    <m/>
    <m/>
    <n v="0.5"/>
    <n v="0.5"/>
    <m/>
    <m/>
    <m/>
    <m/>
    <m/>
    <m/>
    <n v="0"/>
    <m/>
    <n v="0"/>
    <n v="0"/>
    <n v="0"/>
    <n v="0"/>
    <n v="0"/>
    <n v="0"/>
    <n v="0"/>
    <n v="0"/>
  </r>
  <r>
    <x v="6"/>
    <x v="6"/>
    <x v="11"/>
    <x v="3"/>
    <x v="61"/>
    <x v="18"/>
    <x v="127"/>
    <x v="35"/>
    <s v="1066"/>
    <s v="BLD"/>
    <s v="EG"/>
    <s v="Gravel Base Removal"/>
    <s v="EG"/>
    <s v="Flooring / Foundations"/>
    <s v="Gravel Base"/>
    <m/>
    <s v="Power Generation Stores - Demolish and foundations - Gravel Base - Skidded Building"/>
    <s v="4530-BLD-009"/>
    <n v="29.739776951672862"/>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67"/>
    <s v="BLD"/>
    <m/>
    <e v="#N/A"/>
    <s v="FW"/>
    <s v="Flooring / Foundations"/>
    <s v="Wood Floor"/>
    <m/>
    <s v="Power Generation Stores - Demolish floor finish - Raised Steel or Wooden Floor"/>
    <s v="4530-BLD-009"/>
    <n v="29.739776951672862"/>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21"/>
    <x v="6"/>
    <x v="57"/>
    <x v="35"/>
    <x v="133"/>
    <x v="8"/>
    <s v="1090"/>
    <s v="BLD"/>
    <s v="EG"/>
    <s v="Gravel Base Removal"/>
    <s v="EG"/>
    <s v="Flooring / Foundations"/>
    <s v="Gravel Base"/>
    <m/>
    <s v="Diesel Fuel Dispensing Module  - Demolish and foundations - Gravel Base - Skidded Building"/>
    <s v="4613-FD-013"/>
    <n v="29.739776951672862"/>
    <s v="m2"/>
    <n v="0"/>
    <n v="0"/>
    <n v="0"/>
    <n v="0"/>
    <n v="0"/>
    <n v="0"/>
    <n v="0"/>
    <n v="0"/>
    <n v="0"/>
    <n v="0"/>
    <n v="0"/>
    <n v="0"/>
    <n v="1"/>
    <n v="0"/>
    <n v="0"/>
    <n v="1"/>
    <n v="0"/>
    <n v="0"/>
    <n v="0"/>
    <n v="0"/>
    <s v="Type A  _x000a_2AM-MRY1325"/>
    <m/>
    <n v="2014"/>
    <s v="Direct "/>
    <m/>
    <m/>
    <n v="0.5"/>
    <n v="0.5"/>
    <m/>
    <m/>
    <m/>
    <m/>
    <m/>
    <m/>
    <n v="0"/>
    <m/>
    <n v="0"/>
    <n v="0"/>
    <n v="0"/>
    <n v="0"/>
    <n v="0"/>
    <n v="0"/>
    <n v="0"/>
    <n v="0"/>
  </r>
  <r>
    <x v="6"/>
    <x v="6"/>
    <x v="14"/>
    <x v="5"/>
    <x v="27"/>
    <x v="6"/>
    <x v="53"/>
    <x v="26"/>
    <s v="1152"/>
    <s v="BLD"/>
    <s v="EG"/>
    <s v="Gravel Base Removal"/>
    <s v="EG"/>
    <s v="Flooring / Foundations"/>
    <s v="Gravel Base"/>
    <m/>
    <s v="Sewage Chemical Storage Container - Demolish and foundations - Gravel Base - Skidded Building"/>
    <s v="4731-BLD-001"/>
    <n v="29.739776951672862"/>
    <s v="m2"/>
    <n v="0"/>
    <n v="0"/>
    <n v="0"/>
    <n v="0"/>
    <n v="0"/>
    <n v="0"/>
    <n v="0"/>
    <n v="0"/>
    <n v="0"/>
    <n v="0"/>
    <n v="0"/>
    <n v="0"/>
    <n v="1"/>
    <n v="0"/>
    <n v="0"/>
    <n v="1"/>
    <n v="0"/>
    <n v="0"/>
    <n v="0"/>
    <n v="0"/>
    <s v="Type A  _x000a_2AM-MRY1325"/>
    <m/>
    <n v="2014"/>
    <s v="Direct "/>
    <m/>
    <m/>
    <n v="0.5"/>
    <n v="0.5"/>
    <m/>
    <m/>
    <m/>
    <m/>
    <m/>
    <m/>
    <n v="0"/>
    <m/>
    <n v="0"/>
    <n v="0"/>
    <n v="0"/>
    <n v="0"/>
    <n v="0"/>
    <n v="0"/>
    <n v="0"/>
    <n v="0"/>
  </r>
  <r>
    <x v="6"/>
    <x v="6"/>
    <x v="14"/>
    <x v="5"/>
    <x v="27"/>
    <x v="6"/>
    <x v="53"/>
    <x v="26"/>
    <s v="1153"/>
    <s v="BLD"/>
    <m/>
    <e v="#N/A"/>
    <s v="FW"/>
    <s v="Flooring / Foundations"/>
    <s v="Wood Floor"/>
    <m/>
    <s v="Sewage Chemical Storage Container - Demolish floor finish - Raised Steel or Wooden Floor"/>
    <s v="4731-BLD-001"/>
    <n v="29.739776951672862"/>
    <s v="m2"/>
    <s v="0"/>
    <s v="0"/>
    <s v="0"/>
    <s v="0"/>
    <s v="0"/>
    <n v="0"/>
    <n v="0"/>
    <n v="0"/>
    <n v="0"/>
    <n v="0"/>
    <n v="0"/>
    <n v="0"/>
    <n v="1"/>
    <n v="0"/>
    <n v="0"/>
    <n v="1"/>
    <n v="0"/>
    <n v="0"/>
    <n v="0"/>
    <n v="0"/>
    <s v="Type A  _x000a_2AM-MRY1325"/>
    <m/>
    <n v="2014"/>
    <s v="Direct "/>
    <m/>
    <m/>
    <n v="0.5"/>
    <n v="0.5"/>
    <m/>
    <m/>
    <m/>
    <m/>
    <m/>
    <m/>
    <n v="0"/>
    <m/>
    <n v="0"/>
    <n v="0"/>
    <n v="0"/>
    <n v="0"/>
    <n v="0"/>
    <n v="0"/>
    <n v="0"/>
    <n v="0"/>
  </r>
  <r>
    <x v="6"/>
    <x v="6"/>
    <x v="18"/>
    <x v="11"/>
    <x v="53"/>
    <x v="24"/>
    <x v="131"/>
    <x v="55"/>
    <s v="778"/>
    <s v="BLD"/>
    <s v="EG"/>
    <s v="Gravel Base Removal"/>
    <s v="EG"/>
    <s v="Flooring / Foundations"/>
    <s v="Gravel Base"/>
    <m/>
    <s v="Explosives Magazines - Demolish and foundations - Gravel Base - Skidded Building"/>
    <s v="4213-BLD-001"/>
    <n v="33.457249070631974"/>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8"/>
    <x v="11"/>
    <x v="53"/>
    <x v="24"/>
    <x v="131"/>
    <x v="55"/>
    <s v="779"/>
    <s v="BLD"/>
    <m/>
    <e v="#N/A"/>
    <s v="FW"/>
    <s v="Flooring / Foundations"/>
    <s v="Wood Floor"/>
    <m/>
    <s v="Explosives Magazines - Demolish floor finish - Raised Steel or Wooden Floor"/>
    <s v="4213-BLD-001"/>
    <n v="33.457249070631974"/>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3"/>
    <x v="8"/>
    <x v="142"/>
    <x v="127"/>
    <s v="1416"/>
    <s v="BLD"/>
    <s v="FF1-c"/>
    <s v="Modular Building Contaminated (480 ft2) "/>
    <s v="FTR1-c"/>
    <s v="Buildings (Contaminated)"/>
    <s v="Single Trailers (modular)"/>
    <m/>
    <s v="Site Services Washcar #1 - Demolish and Decontaminate Building - Trailer - Single"/>
    <s v="7432-BLD-007"/>
    <n v="35.687732342007436"/>
    <s v="m2"/>
    <n v="0.56041666666666667"/>
    <n v="3.3624999999999998"/>
    <n v="55.993123908730162"/>
    <n v="84.0625"/>
    <n v="143.41812390873017"/>
    <n v="20"/>
    <n v="120"/>
    <n v="1998.2676190476193"/>
    <n v="3000"/>
    <n v="5118.2676190476195"/>
    <n v="1"/>
    <n v="35.687732342007436"/>
    <n v="1"/>
    <n v="0"/>
    <n v="0"/>
    <n v="1"/>
    <n v="5118.2676190476195"/>
    <n v="0"/>
    <n v="0"/>
    <n v="5118.2676190476195"/>
    <s v="Type A  _x000a_2AM-MRY1325"/>
    <m/>
    <n v="2014"/>
    <s v="Direct "/>
    <m/>
    <m/>
    <n v="0.33333333333333331"/>
    <n v="0.33333333333333331"/>
    <n v="0.33333333333333331"/>
    <m/>
    <m/>
    <m/>
    <m/>
    <m/>
    <n v="0"/>
    <m/>
    <n v="1706.0892063492065"/>
    <n v="1706.0892063492065"/>
    <n v="1706.0892063492065"/>
    <n v="0"/>
    <n v="0"/>
    <n v="0"/>
    <n v="0"/>
    <n v="0"/>
  </r>
  <r>
    <x v="6"/>
    <x v="6"/>
    <x v="18"/>
    <x v="11"/>
    <x v="36"/>
    <x v="26"/>
    <x v="132"/>
    <x v="60"/>
    <s v="009"/>
    <s v="BLD"/>
    <s v="EG"/>
    <s v="Gravel Base Removal"/>
    <s v="EG"/>
    <s v="Flooring / Foundations"/>
    <s v="Gravel Base"/>
    <m/>
    <s v="Geology ‘core’ building - Demolish and foundations - Gravel Base - Skidded Building"/>
    <s v="4000-BLD-GEO-003"/>
    <n v="36"/>
    <s v="m2"/>
    <n v="0"/>
    <n v="0"/>
    <n v="0"/>
    <n v="0"/>
    <n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8"/>
    <x v="11"/>
    <x v="36"/>
    <x v="26"/>
    <x v="132"/>
    <x v="60"/>
    <s v="009"/>
    <s v="BLD"/>
    <m/>
    <e v="#N/A"/>
    <s v="FW"/>
    <s v="Flooring / Foundations"/>
    <s v="Wood Floor"/>
    <m/>
    <s v="Geology ‘core’ building - Demolish floor finish - Raised Steel or Wooden Floor"/>
    <s v="4000-BLD-GEO-003"/>
    <n v="36"/>
    <s v="m2"/>
    <s v="0"/>
    <s v="0"/>
    <s v="0"/>
    <s v="0"/>
    <s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4"/>
    <x v="5"/>
    <x v="48"/>
    <x v="9"/>
    <x v="107"/>
    <x v="10"/>
    <s v="012"/>
    <s v="BLD"/>
    <s v="EG"/>
    <s v="Gravel Base Removal"/>
    <s v="EG"/>
    <s v="Flooring / Foundations"/>
    <s v="Gravel Base"/>
    <m/>
    <s v="Services Area E-House #3- Demolish and foundations - Gravel Base - Skidded Building"/>
    <s v="4750-BLD-012"/>
    <n v="37.161217438644513"/>
    <s v="m2"/>
    <n v="0"/>
    <n v="0"/>
    <n v="0"/>
    <n v="0"/>
    <n v="0"/>
    <n v="0"/>
    <n v="0"/>
    <n v="0"/>
    <n v="0"/>
    <n v="0"/>
    <n v="0"/>
    <n v="0"/>
    <n v="1"/>
    <n v="0"/>
    <n v="0"/>
    <n v="1"/>
    <n v="0"/>
    <n v="0"/>
    <n v="0"/>
    <n v="0"/>
    <s v="Type A  _x000a_2AM-MRY1325"/>
    <m/>
    <s v="2015 A"/>
    <s v="Direct "/>
    <m/>
    <m/>
    <n v="0.33333333333333331"/>
    <n v="0.33333333333333331"/>
    <n v="0.33333333333333331"/>
    <m/>
    <m/>
    <m/>
    <m/>
    <m/>
    <n v="0"/>
    <m/>
    <n v="0"/>
    <n v="0"/>
    <n v="0"/>
    <n v="0"/>
    <n v="0"/>
    <n v="0"/>
    <n v="0"/>
    <n v="0"/>
  </r>
  <r>
    <x v="6"/>
    <x v="6"/>
    <x v="14"/>
    <x v="5"/>
    <x v="48"/>
    <x v="9"/>
    <x v="107"/>
    <x v="10"/>
    <s v="012"/>
    <s v="BLD"/>
    <m/>
    <e v="#N/A"/>
    <s v="FW"/>
    <s v="Flooring / Foundations"/>
    <s v="Wood Floor"/>
    <m/>
    <s v="Services Area E-House #3 - Demolish floor finish - Raised Steel or Wooden Floor"/>
    <s v="4750-BLD-012"/>
    <n v="37.161217438644513"/>
    <s v="m2"/>
    <s v="0"/>
    <s v="0"/>
    <s v="0"/>
    <s v="0"/>
    <s v="0"/>
    <n v="0"/>
    <n v="0"/>
    <n v="0"/>
    <n v="0"/>
    <n v="0"/>
    <n v="0"/>
    <n v="0"/>
    <n v="1"/>
    <n v="0"/>
    <n v="0"/>
    <n v="1"/>
    <n v="0"/>
    <n v="0"/>
    <n v="0"/>
    <n v="0"/>
    <s v="Type A  _x000a_2AM-MRY1325"/>
    <m/>
    <s v="2015 A"/>
    <s v="Direct "/>
    <m/>
    <m/>
    <n v="0.33333333333333331"/>
    <n v="0.33333333333333331"/>
    <n v="0.33333333333333331"/>
    <m/>
    <m/>
    <m/>
    <m/>
    <m/>
    <n v="0"/>
    <m/>
    <n v="0"/>
    <n v="0"/>
    <n v="0"/>
    <n v="0"/>
    <n v="0"/>
    <n v="0"/>
    <n v="0"/>
    <n v="0"/>
  </r>
  <r>
    <x v="6"/>
    <x v="6"/>
    <x v="14"/>
    <x v="5"/>
    <x v="48"/>
    <x v="9"/>
    <x v="107"/>
    <x v="10"/>
    <s v="1184"/>
    <s v="BLD"/>
    <s v="EG"/>
    <s v="Gravel Base Removal"/>
    <s v="EG"/>
    <s v="Flooring / Foundations"/>
    <s v="Gravel Base"/>
    <m/>
    <s v="Accommodation Area E-House #2 - Demolish and foundations - Gravel Base - Skidded Building"/>
    <s v="4750-BLD-002"/>
    <n v="37.174721189591082"/>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85"/>
    <s v="BLD"/>
    <m/>
    <e v="#N/A"/>
    <s v="FW"/>
    <s v="Flooring / Foundations"/>
    <s v="Wood Floor"/>
    <m/>
    <s v="Accommodation Area E-House #2 - Demolish floor finish - Raised Steel or Wooden Floor"/>
    <s v="4750-BLD-002"/>
    <n v="37.174721189591082"/>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87"/>
    <s v="BLD"/>
    <s v="EG"/>
    <s v="Gravel Base Removal"/>
    <s v="EG"/>
    <s v="Flooring / Foundations"/>
    <s v="Gravel Base"/>
    <m/>
    <s v="Services Area E-House #1 - Demolish and foundations - Gravel Base - Skidded Building"/>
    <s v="4750-BLD-003"/>
    <n v="37.174721189591082"/>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88"/>
    <s v="BLD"/>
    <m/>
    <e v="#N/A"/>
    <s v="FW"/>
    <s v="Flooring / Foundations"/>
    <s v="Wood Floor"/>
    <m/>
    <s v="Services Area E-House #1 - Demolish floor finish - Raised Steel or Wooden Floor"/>
    <s v="4750-BLD-003"/>
    <n v="37.174721189591082"/>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90"/>
    <s v="BLD"/>
    <s v="EG"/>
    <s v="Gravel Base Removal"/>
    <s v="EG"/>
    <s v="Flooring / Foundations"/>
    <s v="Gravel Base"/>
    <m/>
    <s v="Services Area E-House #2 - Demolish and foundations - Gravel Base - Skidded Building"/>
    <s v="4750-BLD-004"/>
    <n v="37.174721189591082"/>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91"/>
    <s v="BLD"/>
    <m/>
    <e v="#N/A"/>
    <s v="FW"/>
    <s v="Flooring / Foundations"/>
    <s v="Wood Floor"/>
    <m/>
    <s v="Services Area E-House #2 - Demolish floor finish - Raised Steel or Wooden Floor"/>
    <s v="4750-BLD-004"/>
    <n v="37.174721189591082"/>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93"/>
    <s v="BLD"/>
    <s v="EG"/>
    <s v="Gravel Base Removal"/>
    <s v="EG"/>
    <s v="Flooring / Foundations"/>
    <s v="Gravel Base"/>
    <m/>
    <s v="Fuel Tank Farm E-House - Demolish and foundations - Gravel Base - Skidded Building"/>
    <s v="4750-BLD-005"/>
    <n v="37.174721189591082"/>
    <s v="m2"/>
    <n v="0"/>
    <n v="0"/>
    <n v="0"/>
    <n v="0"/>
    <n v="0"/>
    <n v="0"/>
    <n v="0"/>
    <n v="0"/>
    <n v="0"/>
    <n v="0"/>
    <n v="0"/>
    <n v="0"/>
    <n v="1"/>
    <n v="0"/>
    <n v="0"/>
    <n v="1"/>
    <n v="0"/>
    <n v="0"/>
    <n v="0"/>
    <n v="0"/>
    <s v="Type A  _x000a_2AM-MRY1325"/>
    <m/>
    <n v="2014"/>
    <s v="Direct "/>
    <m/>
    <m/>
    <n v="0.5"/>
    <n v="0.5"/>
    <m/>
    <m/>
    <m/>
    <m/>
    <m/>
    <m/>
    <n v="0"/>
    <m/>
    <n v="0"/>
    <n v="0"/>
    <n v="0"/>
    <n v="0"/>
    <n v="0"/>
    <n v="0"/>
    <n v="0"/>
    <n v="0"/>
  </r>
  <r>
    <x v="6"/>
    <x v="6"/>
    <x v="14"/>
    <x v="5"/>
    <x v="48"/>
    <x v="9"/>
    <x v="107"/>
    <x v="10"/>
    <s v="1194"/>
    <s v="BLD"/>
    <m/>
    <e v="#N/A"/>
    <s v="FW"/>
    <s v="Flooring / Foundations"/>
    <s v="Wood Floor"/>
    <m/>
    <s v="Fuel Tank Farm E-House - Demolish floor finish - Raised Steel or Wooden Floor"/>
    <s v="4750-BLD-005"/>
    <n v="37.174721189591082"/>
    <s v="m2"/>
    <s v="0"/>
    <s v="0"/>
    <s v="0"/>
    <s v="0"/>
    <s v="0"/>
    <n v="0"/>
    <n v="0"/>
    <n v="0"/>
    <n v="0"/>
    <n v="0"/>
    <n v="0"/>
    <n v="0"/>
    <n v="1"/>
    <n v="0"/>
    <n v="0"/>
    <n v="1"/>
    <n v="0"/>
    <n v="0"/>
    <n v="0"/>
    <n v="0"/>
    <s v="Type A  _x000a_2AM-MRY1325"/>
    <m/>
    <n v="2014"/>
    <s v="Direct "/>
    <m/>
    <m/>
    <n v="0.5"/>
    <n v="0.5"/>
    <m/>
    <m/>
    <m/>
    <m/>
    <m/>
    <m/>
    <n v="0"/>
    <m/>
    <n v="0"/>
    <n v="0"/>
    <n v="0"/>
    <n v="0"/>
    <n v="0"/>
    <n v="0"/>
    <n v="0"/>
    <n v="0"/>
  </r>
  <r>
    <x v="6"/>
    <x v="6"/>
    <x v="14"/>
    <x v="5"/>
    <x v="48"/>
    <x v="9"/>
    <x v="107"/>
    <x v="10"/>
    <s v="1196"/>
    <s v="BLD"/>
    <s v="EG"/>
    <s v="Gravel Base Removal"/>
    <s v="EG"/>
    <s v="Flooring / Foundations"/>
    <s v="Gravel Base"/>
    <m/>
    <s v="Aerodrome Area E-House  - Demolish and foundations - Gravel Base - Skidded Building"/>
    <s v="4750-BLD-006"/>
    <n v="37.174721189591082"/>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97"/>
    <s v="BLD"/>
    <m/>
    <e v="#N/A"/>
    <s v="FW"/>
    <s v="Flooring / Foundations"/>
    <s v="Wood Floor"/>
    <m/>
    <s v="Aerodrome Area E-House  - Demolish floor finish - Raised Steel or Wooden Floor"/>
    <s v="4750-BLD-006"/>
    <n v="37.174721189591082"/>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99"/>
    <s v="BLD"/>
    <s v="EG"/>
    <s v="Gravel Base Removal"/>
    <s v="EG"/>
    <s v="Flooring / Foundations"/>
    <s v="Gravel Base"/>
    <m/>
    <s v="Raw Water Supply E-House - Demolish and foundations - Gravel Base - Skidded Building"/>
    <s v="4750-BLD-007"/>
    <n v="37.174721189591082"/>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200"/>
    <s v="BLD"/>
    <m/>
    <e v="#N/A"/>
    <s v="FW"/>
    <s v="Flooring / Foundations"/>
    <s v="Wood Floor"/>
    <m/>
    <s v="Raw Water Supply E-House - Demolish floor finish - Raised Steel or Wooden Floor"/>
    <s v="4750-BLD-007"/>
    <n v="37.174721189591082"/>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3"/>
    <x v="2"/>
    <x v="25"/>
    <x v="19"/>
    <x v="130"/>
    <x v="37"/>
    <s v="796"/>
    <s v="BLD"/>
    <s v="EG"/>
    <s v="Gravel Base Removal"/>
    <s v="EG"/>
    <s v="Flooring / Foundations"/>
    <s v="Gravel Base"/>
    <m/>
    <s v="Crushing &amp; Screening Electrical Trailer - Demolish and foundations - Gravel Base - Skidded Building"/>
    <s v="4381-BLD-001"/>
    <n v="39.405204460966544"/>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3"/>
    <x v="2"/>
    <x v="25"/>
    <x v="19"/>
    <x v="130"/>
    <x v="37"/>
    <s v="797"/>
    <s v="BLD"/>
    <m/>
    <e v="#N/A"/>
    <s v="FW"/>
    <s v="Flooring / Foundations"/>
    <s v="Wood Floor"/>
    <m/>
    <s v="Crushing &amp; Screening Electrical Trailer - Demolish floor finish - Raised Steel or Wooden Floor"/>
    <s v="4381-BLD-001"/>
    <n v="39.405204460966544"/>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3"/>
    <x v="2"/>
    <x v="25"/>
    <x v="19"/>
    <x v="130"/>
    <x v="37"/>
    <s v="799"/>
    <s v="BLD"/>
    <s v="EG"/>
    <s v="Gravel Base Removal"/>
    <s v="EG"/>
    <s v="Flooring / Foundations"/>
    <s v="Gravel Base"/>
    <m/>
    <s v="Crushing &amp; Screening Electrical Trailer - Demolish and foundations - Gravel Base - Skidded Building"/>
    <s v="4381-BLD-002"/>
    <n v="39.405204460966544"/>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3"/>
    <x v="2"/>
    <x v="25"/>
    <x v="19"/>
    <x v="130"/>
    <x v="37"/>
    <s v="800"/>
    <s v="BLD"/>
    <m/>
    <e v="#N/A"/>
    <s v="FW"/>
    <s v="Flooring / Foundations"/>
    <s v="Wood Floor"/>
    <m/>
    <s v="Crushing &amp; Screening Electrical Trailer - Demolish floor finish - Raised Steel or Wooden Floor"/>
    <s v="4381-BLD-002"/>
    <n v="39.405204460966544"/>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3"/>
    <x v="8"/>
    <x v="142"/>
    <x v="127"/>
    <s v="1419"/>
    <s v="BLD"/>
    <s v="FF1-c"/>
    <s v="Modular Building Contaminated (480 ft2) "/>
    <s v="FTR1-c"/>
    <s v="Buildings (Contaminated)"/>
    <s v="Single Trailers (modular)"/>
    <m/>
    <s v="Site Services Washcar #2 - Demolish and Decontaminate Building - Trailer - Single"/>
    <s v="7432-BLD-008"/>
    <n v="35.687732342007436"/>
    <s v="m2"/>
    <n v="0.56041666666666667"/>
    <n v="3.3624999999999998"/>
    <n v="55.993123908730162"/>
    <n v="84.0625"/>
    <n v="143.41812390873017"/>
    <n v="20"/>
    <n v="120"/>
    <n v="1998.2676190476193"/>
    <n v="3000"/>
    <n v="5118.2676190476195"/>
    <n v="1"/>
    <n v="35.687732342007436"/>
    <n v="1"/>
    <n v="0"/>
    <n v="0"/>
    <n v="1"/>
    <n v="5118.2676190476195"/>
    <n v="0"/>
    <n v="0"/>
    <n v="5118.2676190476195"/>
    <s v="Type A  _x000a_2AM-MRY1325"/>
    <m/>
    <n v="2014"/>
    <s v="Direct "/>
    <m/>
    <m/>
    <n v="0.33333333333333331"/>
    <n v="0.33333333333333331"/>
    <n v="0.33333333333333331"/>
    <m/>
    <m/>
    <m/>
    <m/>
    <m/>
    <n v="0"/>
    <m/>
    <n v="1706.0892063492065"/>
    <n v="1706.0892063492065"/>
    <n v="1706.0892063492065"/>
    <n v="0"/>
    <n v="0"/>
    <n v="0"/>
    <n v="0"/>
    <n v="0"/>
  </r>
  <r>
    <x v="3"/>
    <x v="3"/>
    <x v="7"/>
    <x v="7"/>
    <x v="9"/>
    <x v="8"/>
    <x v="141"/>
    <x v="127"/>
    <s v="1272"/>
    <s v="TK-"/>
    <s v="MT1"/>
    <s v="Light Tanks"/>
    <s v="MT1"/>
    <s v="Mechanical Equipment"/>
    <s v="Light Tanks"/>
    <m/>
    <s v="TANK  - SITE SERVICES WASHCAR #1 RAW WATER TANK - PLASTIC-MART 866-310-2556  L: 1803 _x000a_W: 1245 H: 1346  "/>
    <s v="7232-TK-005"/>
    <n v="1"/>
    <s v="ea"/>
    <n v="9.6666666666666661"/>
    <n v="107.5"/>
    <n v="965.82934920634932"/>
    <n v="1075"/>
    <n v="2148.3293492063494"/>
    <n v="9.6666666666666661"/>
    <n v="107.5"/>
    <n v="965.82934920634932"/>
    <n v="1075"/>
    <n v="2148.3293492063494"/>
    <n v="1"/>
    <n v="1"/>
    <n v="1"/>
    <n v="0"/>
    <n v="0"/>
    <n v="1"/>
    <n v="2148.3293492063494"/>
    <n v="0"/>
    <n v="0"/>
    <n v="2148.3293492063494"/>
    <s v="Type B Construction_x000a_2BC-MRY1416"/>
    <m/>
    <n v="2014"/>
    <s v="Direct "/>
    <m/>
    <m/>
    <n v="0.33333333333333331"/>
    <n v="0.33333333333333331"/>
    <n v="0.33333333333333331"/>
    <m/>
    <m/>
    <m/>
    <m/>
    <m/>
    <n v="0"/>
    <m/>
    <n v="716.10978306878314"/>
    <n v="716.10978306878314"/>
    <n v="716.10978306878314"/>
    <n v="0"/>
    <n v="0"/>
    <n v="0"/>
    <n v="0"/>
    <n v="0"/>
  </r>
  <r>
    <x v="6"/>
    <x v="6"/>
    <x v="11"/>
    <x v="3"/>
    <x v="61"/>
    <x v="18"/>
    <x v="127"/>
    <x v="35"/>
    <s v="1042"/>
    <s v="BLD"/>
    <s v="EG"/>
    <s v="Gravel Base Removal"/>
    <s v="EG"/>
    <s v="Flooring / Foundations"/>
    <s v="Gravel Base"/>
    <m/>
    <s v="Power Generation Module #1 - Demolish and foundations - Gravel Base - Skidded Building"/>
    <s v="4530-BLD-001"/>
    <n v="51.951672862453535"/>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43"/>
    <s v="BLD"/>
    <m/>
    <e v="#N/A"/>
    <s v="FW"/>
    <s v="Flooring / Foundations"/>
    <s v="Wood Floor"/>
    <m/>
    <s v="Power Generation Module #1 - Demolish floor finish - Raised Steel or Wooden Floor"/>
    <s v="4530-BLD-001"/>
    <n v="51.951672862453535"/>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45"/>
    <s v="BLD"/>
    <s v="EG"/>
    <s v="Gravel Base Removal"/>
    <s v="EG"/>
    <s v="Flooring / Foundations"/>
    <s v="Gravel Base"/>
    <m/>
    <s v="Power Generation Module #2 - Demolish and foundations - Gravel Base - Skidded Building"/>
    <s v="4530-BLD-002"/>
    <n v="51.951672862453535"/>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46"/>
    <s v="BLD"/>
    <m/>
    <e v="#N/A"/>
    <s v="FW"/>
    <s v="Flooring / Foundations"/>
    <s v="Wood Floor"/>
    <m/>
    <s v="Power Generation Module #2 - Demolish floor finish - Raised Steel or Wooden Floor"/>
    <s v="4530-BLD-002"/>
    <n v="51.951672862453535"/>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48"/>
    <s v="BLD"/>
    <s v="EG"/>
    <s v="Gravel Base Removal"/>
    <s v="EG"/>
    <s v="Flooring / Foundations"/>
    <s v="Gravel Base"/>
    <m/>
    <s v="Power Generation Module #3 - Demolish and foundations - Gravel Base - Skidded Building"/>
    <s v="4530-BLD-003"/>
    <n v="51.951672862453535"/>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49"/>
    <s v="BLD"/>
    <m/>
    <e v="#N/A"/>
    <s v="FW"/>
    <s v="Flooring / Foundations"/>
    <s v="Wood Floor"/>
    <m/>
    <s v="Power Generation Module #3 - Demolish floor finish - Raised Steel or Wooden Floor"/>
    <s v="4530-BLD-003"/>
    <n v="51.951672862453535"/>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51"/>
    <s v="BLD"/>
    <s v="EG"/>
    <s v="Gravel Base Removal"/>
    <s v="EG"/>
    <s v="Flooring / Foundations"/>
    <s v="Gravel Base"/>
    <m/>
    <s v="Power Generation Module #4 - Demolish and foundations - Gravel Base - Skidded Building"/>
    <s v="4530-BLD-004"/>
    <n v="51.951672862453535"/>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52"/>
    <s v="BLD"/>
    <m/>
    <e v="#N/A"/>
    <s v="FW"/>
    <s v="Flooring / Foundations"/>
    <s v="Wood Floor"/>
    <m/>
    <s v="Power Generation Module #4 - Demolish floor finish - Raised Steel or Wooden Floor"/>
    <s v="4530-BLD-004"/>
    <n v="51.951672862453535"/>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54"/>
    <s v="BLD"/>
    <s v="EG"/>
    <s v="Gravel Base Removal"/>
    <s v="EG"/>
    <s v="Flooring / Foundations"/>
    <s v="Gravel Base"/>
    <m/>
    <s v="Power Generation Module #5 - Demolish and foundations - Gravel Base - Skidded Building"/>
    <s v="4530-BLD-005"/>
    <n v="51.951672862453535"/>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55"/>
    <s v="BLD"/>
    <m/>
    <e v="#N/A"/>
    <s v="FW"/>
    <s v="Flooring / Foundations"/>
    <s v="Wood Floor"/>
    <m/>
    <s v="Power Generation Module #5 - Demolish floor finish - Raised Steel or Wooden Floor"/>
    <s v="4530-BLD-005"/>
    <n v="51.951672862453535"/>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57"/>
    <s v="BLD"/>
    <s v="EG"/>
    <s v="Gravel Base Removal"/>
    <s v="EG"/>
    <s v="Flooring / Foundations"/>
    <s v="Gravel Base"/>
    <m/>
    <s v="Power Generation Module #6 - Demolish and foundations - Gravel Base - Skidded Building"/>
    <s v="4530-BLD-006"/>
    <n v="51.951672862453535"/>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58"/>
    <s v="BLD"/>
    <m/>
    <e v="#N/A"/>
    <s v="FW"/>
    <s v="Flooring / Foundations"/>
    <s v="Wood Floor"/>
    <m/>
    <s v="Power Generation Module #6 - Demolish floor finish - Raised Steel or Wooden Floor"/>
    <s v="4530-BLD-006"/>
    <n v="51.951672862453535"/>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52"/>
    <x v="32"/>
    <x v="108"/>
    <x v="112"/>
    <s v="1073"/>
    <s v="BLD"/>
    <s v="EG"/>
    <s v="Gravel Base Removal"/>
    <s v="EG"/>
    <s v="Flooring / Foundations"/>
    <s v="Gravel Base"/>
    <m/>
    <s v="Waste Incinerators - Demolish and foundations - Gravel Base - Skidded Building"/>
    <s v="4540-VP-001"/>
    <n v="52.044609665427508"/>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52"/>
    <x v="32"/>
    <x v="108"/>
    <x v="112"/>
    <s v="1074"/>
    <s v="VP-"/>
    <m/>
    <e v="#N/A"/>
    <s v="FW"/>
    <s v="Flooring / Foundations"/>
    <s v="Wood Floor"/>
    <m/>
    <s v="Waste Incinerators - Demolish floor finish - Raised Steel or Wooden Floor"/>
    <s v="4540-VP-001"/>
    <n v="52.044609665427508"/>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8"/>
    <x v="11"/>
    <x v="36"/>
    <x v="26"/>
    <x v="132"/>
    <x v="60"/>
    <s v="009"/>
    <s v="BLD"/>
    <s v="EG"/>
    <s v="Gravel Base Removal"/>
    <s v="EG"/>
    <s v="Flooring / Foundations"/>
    <s v="Gravel Base"/>
    <m/>
    <s v="Geology ‘core’ building - Demolish and foundations - Gravel Base - Skidded Building"/>
    <s v="4000-BLD-GEO-002"/>
    <n v="54"/>
    <s v="m2"/>
    <n v="0"/>
    <n v="0"/>
    <n v="0"/>
    <n v="0"/>
    <n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8"/>
    <x v="11"/>
    <x v="36"/>
    <x v="26"/>
    <x v="132"/>
    <x v="60"/>
    <s v="009"/>
    <s v="BLD"/>
    <m/>
    <e v="#N/A"/>
    <s v="FW"/>
    <s v="Flooring / Foundations"/>
    <s v="Wood Floor"/>
    <m/>
    <s v="Geology ‘core’ building - Demolish floor finish - Raised Steel or Wooden Floor"/>
    <s v="4000-BLD-GEO-002"/>
    <n v="54"/>
    <s v="m2"/>
    <s v="0"/>
    <s v="0"/>
    <s v="0"/>
    <s v="0"/>
    <s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4"/>
    <x v="5"/>
    <x v="27"/>
    <x v="6"/>
    <x v="128"/>
    <x v="36"/>
    <s v="1167"/>
    <s v="BLD"/>
    <s v="EG"/>
    <s v="Gravel Base Removal"/>
    <s v="EG"/>
    <s v="Flooring / Foundations"/>
    <s v="Gravel Base"/>
    <m/>
    <s v="Sewage Truck Building - Demolish floor finish - Gravel"/>
    <s v="4732-BLD-001"/>
    <n v="55.762081784386616"/>
    <s v="m2"/>
    <n v="0"/>
    <n v="0"/>
    <n v="0"/>
    <n v="0"/>
    <n v="0"/>
    <n v="0"/>
    <n v="0"/>
    <n v="0"/>
    <n v="0"/>
    <n v="0"/>
    <n v="0"/>
    <n v="0"/>
    <n v="1"/>
    <n v="0"/>
    <n v="0"/>
    <n v="1"/>
    <n v="0"/>
    <n v="0"/>
    <n v="0"/>
    <n v="0"/>
    <s v="Type A  _x000a_2AM-MRY1325"/>
    <m/>
    <n v="2014"/>
    <s v="Direct "/>
    <m/>
    <m/>
    <n v="0.5"/>
    <n v="0.5"/>
    <m/>
    <m/>
    <m/>
    <m/>
    <m/>
    <m/>
    <n v="0"/>
    <m/>
    <n v="0"/>
    <n v="0"/>
    <n v="0"/>
    <n v="0"/>
    <n v="0"/>
    <n v="0"/>
    <n v="0"/>
    <n v="0"/>
  </r>
  <r>
    <x v="6"/>
    <x v="6"/>
    <x v="14"/>
    <x v="5"/>
    <x v="48"/>
    <x v="9"/>
    <x v="107"/>
    <x v="10"/>
    <s v="010"/>
    <s v="BLD"/>
    <s v="EG"/>
    <s v="Gravel Base Removal"/>
    <s v="EG"/>
    <s v="Flooring / Foundations"/>
    <s v="Gravel Base"/>
    <m/>
    <s v="Crushing and Screening E-House #1 - Demolish and foundations - Gravel Base - Skidded Building"/>
    <s v="4750-BLD-010"/>
    <n v="59.457947901831218"/>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4"/>
    <x v="5"/>
    <x v="48"/>
    <x v="9"/>
    <x v="107"/>
    <x v="10"/>
    <s v="011"/>
    <s v="BLD"/>
    <m/>
    <e v="#N/A"/>
    <s v="FW"/>
    <s v="Flooring / Foundations"/>
    <s v="Wood Floor"/>
    <m/>
    <s v="Crushing and Screening E-House #2 - Demolish floor finish - Raised Steel or Wooden Floor"/>
    <s v="4750-BLD-011"/>
    <n v="59.457947901831218"/>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4"/>
    <x v="5"/>
    <x v="48"/>
    <x v="9"/>
    <x v="107"/>
    <x v="10"/>
    <s v="1181"/>
    <s v="BLD"/>
    <s v="EG"/>
    <s v="Gravel Base Removal"/>
    <s v="EG"/>
    <s v="Flooring / Foundations"/>
    <s v="Gravel Base"/>
    <m/>
    <s v="Accommodation Area E-House #1 - Demolish and foundations - Gravel Base - Skidded Building"/>
    <s v="4750-BLD-001"/>
    <n v="59.479553903345725"/>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182"/>
    <s v="BLD"/>
    <m/>
    <e v="#N/A"/>
    <s v="FW"/>
    <s v="Flooring / Foundations"/>
    <s v="Wood Floor"/>
    <m/>
    <s v="Accommodation Area E-House #1 - Demolish floor finish - Raised Steel or Wooden Floor"/>
    <s v="4750-BLD-001"/>
    <n v="59.479553903345725"/>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202"/>
    <s v="BLD"/>
    <s v="EG"/>
    <s v="Gravel Base Removal"/>
    <s v="EG"/>
    <s v="Flooring / Foundations"/>
    <s v="Gravel Base"/>
    <m/>
    <s v="Crushing &amp; Screening E-House - Demolish and foundations - Gravel Base - Skidded Building"/>
    <s v="4750-BLD-008"/>
    <n v="59.479553903345725"/>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48"/>
    <x v="9"/>
    <x v="107"/>
    <x v="10"/>
    <s v="1203"/>
    <s v="BLD"/>
    <m/>
    <e v="#N/A"/>
    <s v="FW"/>
    <s v="Flooring / Foundations"/>
    <s v="Wood Floor"/>
    <m/>
    <s v="Crushing &amp; Screening E-House - Demolish floor finish - Raised Steel or Wooden Floor"/>
    <s v="4750-BLD-008"/>
    <n v="59.479553903345725"/>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20"/>
    <x v="12"/>
    <x v="51"/>
    <x v="28"/>
    <x v="134"/>
    <x v="123"/>
    <s v="835"/>
    <s v="BLD"/>
    <m/>
    <e v="#N/A"/>
    <s v="FW"/>
    <s v="Flooring / Foundations"/>
    <s v="Wood Floor"/>
    <m/>
    <s v="Aerodrome Office - Demolish floor finish - Raised Steel or Wooden Floor"/>
    <s v="4431-BLD-001"/>
    <n v="66.914498141263948"/>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60"/>
    <s v="BLD"/>
    <s v="EG"/>
    <s v="Gravel Base Removal"/>
    <s v="EG"/>
    <s v="Flooring / Foundations"/>
    <s v="Gravel Base"/>
    <m/>
    <s v="Power Generation E-House #1 - Demolish and foundations - Gravel Base - Skidded Building"/>
    <s v="4530-BLD-007"/>
    <n v="66.914498141263948"/>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61"/>
    <s v="BLD"/>
    <m/>
    <e v="#N/A"/>
    <s v="FW"/>
    <s v="Flooring / Foundations"/>
    <s v="Wood Floor"/>
    <m/>
    <s v="Power Generation E-House #1 - Demolish floor finish - Raised Steel or Wooden Floor"/>
    <s v="4530-BLD-007"/>
    <n v="66.914498141263948"/>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63"/>
    <s v="BLD"/>
    <s v="EG"/>
    <s v="Gravel Base Removal"/>
    <s v="EG"/>
    <s v="Flooring / Foundations"/>
    <s v="Gravel Base"/>
    <m/>
    <s v="Power Generation E-House #2 - Demolish and foundations - Gravel Base - Skidded Building"/>
    <s v="4530-BLD-008"/>
    <n v="66.914498141263948"/>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61"/>
    <x v="18"/>
    <x v="127"/>
    <x v="35"/>
    <s v="1064"/>
    <s v="BLD"/>
    <m/>
    <e v="#N/A"/>
    <s v="FW"/>
    <s v="Flooring / Foundations"/>
    <s v="Wood Floor"/>
    <m/>
    <s v="Power Generation E-House #2 - Demolish floor finish - Raised Steel or Wooden Floor"/>
    <s v="4530-BLD-008"/>
    <n v="66.914498141263948"/>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8"/>
    <x v="11"/>
    <x v="36"/>
    <x v="26"/>
    <x v="132"/>
    <x v="60"/>
    <s v="009"/>
    <s v="BLD"/>
    <s v="EG"/>
    <s v="Gravel Base Removal"/>
    <s v="EG"/>
    <s v="Flooring / Foundations"/>
    <s v="Gravel Base"/>
    <m/>
    <s v="Geology ‘core’ building - Demolish and foundations - Gravel Base - Skidded Building"/>
    <s v="4000-BLD-GEO-001"/>
    <n v="72"/>
    <s v="m2"/>
    <n v="0"/>
    <n v="0"/>
    <n v="0"/>
    <n v="0"/>
    <n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8"/>
    <x v="11"/>
    <x v="36"/>
    <x v="26"/>
    <x v="132"/>
    <x v="60"/>
    <s v="009"/>
    <s v="BLD"/>
    <m/>
    <e v="#N/A"/>
    <s v="FW"/>
    <s v="Flooring / Foundations"/>
    <s v="Wood Floor"/>
    <m/>
    <s v="Geology ‘core’ building - Demolish floor finish - Raised Steel or Wooden Floor"/>
    <s v="4000-BLD-GEO-001"/>
    <n v="72"/>
    <s v="m2"/>
    <s v="0"/>
    <s v="0"/>
    <s v="0"/>
    <s v="0"/>
    <s v="0"/>
    <n v="0"/>
    <n v="0"/>
    <n v="0"/>
    <n v="0"/>
    <n v="0"/>
    <n v="0"/>
    <n v="0"/>
    <n v="1"/>
    <n v="0"/>
    <n v="0"/>
    <n v="1"/>
    <n v="0"/>
    <n v="0"/>
    <n v="0"/>
    <n v="0"/>
    <s v="Type A  _x000a_2AM-MRY1325"/>
    <s v="Added"/>
    <s v="2015 R"/>
    <s v="Direct "/>
    <m/>
    <m/>
    <n v="0.33333333333333331"/>
    <n v="0.33333333333333331"/>
    <n v="0.33333333333333331"/>
    <m/>
    <m/>
    <m/>
    <m/>
    <m/>
    <n v="0"/>
    <m/>
    <n v="0"/>
    <n v="0"/>
    <n v="0"/>
    <n v="0"/>
    <n v="0"/>
    <n v="0"/>
    <n v="0"/>
    <n v="0"/>
  </r>
  <r>
    <x v="6"/>
    <x v="6"/>
    <x v="11"/>
    <x v="3"/>
    <x v="45"/>
    <x v="3"/>
    <x v="124"/>
    <x v="34"/>
    <s v="923"/>
    <s v="BLD"/>
    <m/>
    <e v="#N/A"/>
    <s v="FW"/>
    <s v="Flooring / Foundations"/>
    <s v="Wood Floor"/>
    <m/>
    <s v="Emergency Response Office - Demolish floor finish - Raised Steel or Wooden Floor"/>
    <s v="4513-BLD-001"/>
    <n v="89.219330855018583"/>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27"/>
    <x v="6"/>
    <x v="53"/>
    <x v="26"/>
    <s v="1162"/>
    <s v="In Meters"/>
    <m/>
    <s v="Inlcuded  with Piping"/>
    <s v="Piping - Heat Tracing"/>
    <s v="Bulks"/>
    <s v="Piping - Heat Tracing"/>
    <m/>
    <s v="Sewage Treatment Piping - Heat Trace Installation - Sewage truck bldg to STP"/>
    <s v="4731.2-E"/>
    <n v="128"/>
    <s v="m"/>
    <s v="0"/>
    <s v="0"/>
    <s v="0"/>
    <s v="0"/>
    <s v="0"/>
    <n v="0"/>
    <n v="0"/>
    <n v="0"/>
    <n v="0"/>
    <n v="0"/>
    <n v="0"/>
    <n v="0"/>
    <n v="1"/>
    <n v="0"/>
    <n v="1"/>
    <n v="0"/>
    <n v="0"/>
    <n v="0"/>
    <n v="0"/>
    <n v="0"/>
    <s v="Type A  _x000a_2AM-MRY1325"/>
    <m/>
    <n v="2014"/>
    <s v="Direct "/>
    <m/>
    <m/>
    <n v="0.5"/>
    <n v="0.5"/>
    <m/>
    <m/>
    <m/>
    <m/>
    <m/>
    <m/>
    <n v="0"/>
    <m/>
    <n v="0"/>
    <n v="0"/>
    <n v="0"/>
    <n v="0"/>
    <n v="0"/>
    <n v="0"/>
    <n v="0"/>
    <n v="0"/>
  </r>
  <r>
    <x v="6"/>
    <x v="6"/>
    <x v="14"/>
    <x v="5"/>
    <x v="27"/>
    <x v="6"/>
    <x v="53"/>
    <x v="26"/>
    <s v="1155"/>
    <s v="BLD"/>
    <s v="EG"/>
    <s v="Gravel Base Removal"/>
    <s v="EG"/>
    <s v="Flooring / Foundations"/>
    <s v="Gravel Base"/>
    <m/>
    <s v="Sewage Treatment Plant - Demolish and foundations - Gravel Base - Skidded Building"/>
    <s v="4731-VP-005"/>
    <n v="178.43866171003717"/>
    <s v="m2"/>
    <n v="0"/>
    <n v="0"/>
    <n v="0"/>
    <n v="0"/>
    <n v="0"/>
    <n v="0"/>
    <n v="0"/>
    <n v="0"/>
    <n v="0"/>
    <n v="0"/>
    <n v="0"/>
    <n v="0"/>
    <n v="1"/>
    <n v="0"/>
    <n v="0"/>
    <n v="1"/>
    <n v="0"/>
    <n v="0"/>
    <n v="0"/>
    <n v="0"/>
    <s v="Type A  _x000a_2AM-MRY1325"/>
    <m/>
    <n v="2014"/>
    <s v="Direct "/>
    <m/>
    <m/>
    <n v="0.5"/>
    <n v="0.5"/>
    <m/>
    <m/>
    <m/>
    <m/>
    <m/>
    <m/>
    <n v="0"/>
    <m/>
    <n v="0"/>
    <n v="0"/>
    <n v="0"/>
    <n v="0"/>
    <n v="0"/>
    <n v="0"/>
    <n v="0"/>
    <n v="0"/>
  </r>
  <r>
    <x v="6"/>
    <x v="6"/>
    <x v="18"/>
    <x v="11"/>
    <x v="36"/>
    <x v="26"/>
    <x v="73"/>
    <x v="60"/>
    <s v="788"/>
    <s v="BLD"/>
    <m/>
    <e v="#N/A"/>
    <s v="FW"/>
    <s v="Flooring / Foundations"/>
    <s v="Wood Floor"/>
    <m/>
    <s v="Pit Office Building - Demolish floor finish - Raised Steel or Wooden Floor"/>
    <s v="4281-BLD-001"/>
    <n v="267.65799256505579"/>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19"/>
    <x v="4"/>
    <x v="31"/>
    <x v="12"/>
    <s v="953"/>
    <s v="BLD"/>
    <m/>
    <e v="#N/A"/>
    <s v="FW"/>
    <s v="Flooring / Foundations"/>
    <s v="Wood Floor"/>
    <m/>
    <s v="Workshop Office Building - Demolish floor finish - Raised Steel or Wooden Floor"/>
    <s v="4521-BLD-004"/>
    <n v="267.65799256505579"/>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3"/>
    <x v="15"/>
    <s v="869"/>
    <s v="BLD"/>
    <s v="EG"/>
    <s v="Gravel Base Removal"/>
    <s v="EG"/>
    <s v="Flooring / Foundations"/>
    <s v="Gravel Base"/>
    <m/>
    <s v="Accommodation Laboratory - Demolish and foundations - Gravel Base - Skidded Building"/>
    <s v="4511-BLD-004"/>
    <n v="312.26765799256503"/>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3"/>
    <x v="15"/>
    <s v="870"/>
    <s v="BLD"/>
    <m/>
    <e v="#N/A"/>
    <s v="FW"/>
    <s v="Flooring / Foundations"/>
    <s v="Wood Floor"/>
    <m/>
    <s v="Accommodation Laboratory - Demolish floor finish - Raised Steel or Wooden Floor"/>
    <s v="4511-BLD-004"/>
    <n v="312.26765799256503"/>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3"/>
    <x v="2"/>
    <x v="25"/>
    <x v="19"/>
    <x v="118"/>
    <x v="119"/>
    <s v="822"/>
    <s v="BLD"/>
    <s v="EG"/>
    <s v="Gravel Base Removal"/>
    <s v="EG"/>
    <s v="Flooring / Foundations"/>
    <s v="Gravel Base"/>
    <m/>
    <s v="Truck Weigh Building - Demolish floor finish - Gravel"/>
    <s v="4382-BLD-001"/>
    <n v="334.57249070631968"/>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8"/>
    <x v="11"/>
    <x v="53"/>
    <x v="24"/>
    <x v="117"/>
    <x v="118"/>
    <s v="770"/>
    <s v="BLD"/>
    <s v="EG"/>
    <s v="Gravel Base Removal"/>
    <s v="EG"/>
    <s v="Flooring / Foundations"/>
    <s v="Gravel Base"/>
    <m/>
    <s v="Explosives Plant Building - Demolish and foundations - Gravel Base - Skidded Building"/>
    <s v="4211-BLD-001"/>
    <n v="342.0074349442379"/>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8"/>
    <x v="11"/>
    <x v="53"/>
    <x v="24"/>
    <x v="117"/>
    <x v="118"/>
    <s v="771"/>
    <s v="BLD"/>
    <m/>
    <e v="#N/A"/>
    <s v="FW"/>
    <s v="Flooring / Foundations"/>
    <s v="Wood Floor"/>
    <m/>
    <s v="Explosives Plant Building - Demolish floor finish - Raised Steel or Wooden Floor"/>
    <s v="4211-BLD-001"/>
    <n v="342.0074349442379"/>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8"/>
    <x v="11"/>
    <x v="53"/>
    <x v="24"/>
    <x v="116"/>
    <x v="117"/>
    <s v="774"/>
    <s v="BLD"/>
    <s v="EG"/>
    <s v="Gravel Base Removal"/>
    <s v="EG"/>
    <s v="Flooring / Foundations"/>
    <s v="Gravel Base"/>
    <m/>
    <s v="Explosives Shop - Demolish and foundations - Gravel Base - Skidded Building"/>
    <s v="4212-BLD-001"/>
    <n v="371.74721189591077"/>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58"/>
    <x v="17"/>
    <x v="120"/>
    <x v="31"/>
    <s v="1123"/>
    <s v="BLD"/>
    <s v="EG"/>
    <s v="Gravel Base Removal"/>
    <s v="EG"/>
    <s v="Flooring / Foundations"/>
    <s v="Gravel Base"/>
    <m/>
    <s v="Water Building - Demolish floor finish - Gravel"/>
    <s v="4720-BLD-001"/>
    <n v="390.334572490706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3"/>
    <x v="15"/>
    <s v="866"/>
    <s v="BLD"/>
    <s v="EG"/>
    <s v="Gravel Base Removal"/>
    <s v="EG"/>
    <s v="Flooring / Foundations"/>
    <s v="Gravel Base"/>
    <m/>
    <s v="Accommodation Laundry - Demolish and foundations - Gravel Base - Skidded Building"/>
    <s v="4511-BLD-003"/>
    <n v="423.79182156133828"/>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3"/>
    <x v="15"/>
    <s v="867"/>
    <s v="BLD"/>
    <m/>
    <e v="#N/A"/>
    <s v="FW"/>
    <s v="Flooring / Foundations"/>
    <s v="Wood Floor"/>
    <m/>
    <s v="Accommodation Laundry - Demolish floor finish - Raised Steel or Wooden Floor"/>
    <s v="4511-BLD-003"/>
    <n v="423.79182156133828"/>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3"/>
    <x v="15"/>
    <s v="863"/>
    <s v="BLD"/>
    <s v="EG"/>
    <s v="Gravel Base Removal"/>
    <s v="EG"/>
    <s v="Flooring / Foundations"/>
    <s v="Gravel Base"/>
    <m/>
    <s v="Accommodation Office - Demolish and foundations - Gravel Base - Skidded Building"/>
    <s v="4511-BLD-002"/>
    <n v="607.80669144981414"/>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3"/>
    <x v="15"/>
    <s v="864"/>
    <s v="BLD"/>
    <m/>
    <e v="#N/A"/>
    <s v="FW"/>
    <s v="Flooring / Foundations"/>
    <s v="Wood Floor"/>
    <m/>
    <s v="Accommodation Office - Demolish floor finish - Raised Steel or Wooden Floor"/>
    <s v="4511-BLD-002"/>
    <n v="607.80669144981414"/>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00"/>
    <s v="BLD"/>
    <s v="EG"/>
    <s v="Gravel Base Removal"/>
    <s v="EG"/>
    <s v="Flooring / Foundations"/>
    <s v="Gravel Base"/>
    <m/>
    <s v="Accommodation Wing AA - Demolish and foundations - Gravel Base - Skidded Building"/>
    <s v="4512-BLD-001"/>
    <n v="611.80297397769516"/>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01"/>
    <s v="BLD"/>
    <m/>
    <e v="#N/A"/>
    <s v="FW"/>
    <s v="Flooring / Foundations"/>
    <s v="Wood Floor"/>
    <m/>
    <s v="Accommodation Wing AA - Demolish floor finish - Raised Steel or Wooden Floor"/>
    <s v="4512-BLD-001"/>
    <n v="611.8029739776951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03"/>
    <s v="BLD"/>
    <s v="EG"/>
    <s v="Gravel Base Removal"/>
    <s v="EG"/>
    <s v="Flooring / Foundations"/>
    <s v="Gravel Base"/>
    <m/>
    <s v="Accommodation Wing AB - Demolish and foundations - Gravel Base - Skidded Building"/>
    <s v="4512-BLD-002"/>
    <n v="611.80297397769516"/>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04"/>
    <s v="BLD"/>
    <m/>
    <e v="#N/A"/>
    <s v="FW"/>
    <s v="Flooring / Foundations"/>
    <s v="Wood Floor"/>
    <m/>
    <s v="Accommodation Wing AB - Demolish floor finish - Raised Steel or Wooden Floor"/>
    <s v="4512-BLD-002"/>
    <n v="611.8029739776951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06"/>
    <s v="BLD"/>
    <s v="EG"/>
    <s v="Gravel Base Removal"/>
    <s v="EG"/>
    <s v="Flooring / Foundations"/>
    <s v="Gravel Base"/>
    <m/>
    <s v="Accommodation Wing AC - Demolish and foundations - Gravel Base - Skidded Building"/>
    <s v="4512-BLD-003"/>
    <n v="611.80297397769516"/>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07"/>
    <s v="BLD"/>
    <m/>
    <e v="#N/A"/>
    <s v="FW"/>
    <s v="Flooring / Foundations"/>
    <s v="Wood Floor"/>
    <m/>
    <s v="Accommodation Wing AC - Demolish floor finish - Raised Steel or Wooden Floor"/>
    <s v="4512-BLD-003"/>
    <n v="611.8029739776951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09"/>
    <s v="BLD"/>
    <s v="EG"/>
    <s v="Gravel Base Removal"/>
    <s v="EG"/>
    <s v="Flooring / Foundations"/>
    <s v="Gravel Base"/>
    <m/>
    <s v="Accommodation Wing AD - Demolish and foundations - Gravel Base - Skidded Building"/>
    <s v="4512-BLD-004"/>
    <n v="611.80297397769516"/>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10"/>
    <s v="BLD"/>
    <m/>
    <e v="#N/A"/>
    <s v="FW"/>
    <s v="Flooring / Foundations"/>
    <s v="Wood Floor"/>
    <m/>
    <s v="Accommodation Wing AD - Demolish floor finish - Raised Steel or Wooden Floor"/>
    <s v="4512-BLD-004"/>
    <n v="611.8029739776951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12"/>
    <s v="BLD"/>
    <s v="EG"/>
    <s v="Gravel Base Removal"/>
    <s v="EG"/>
    <s v="Flooring / Foundations"/>
    <s v="Gravel Base"/>
    <m/>
    <s v="Accommodation Wing AE - Demolish and foundations - Gravel Base - Skidded Building"/>
    <s v="4512-BLD-005"/>
    <n v="611.80297397769516"/>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13"/>
    <s v="BLD"/>
    <m/>
    <e v="#N/A"/>
    <s v="FW"/>
    <s v="Flooring / Foundations"/>
    <s v="Wood Floor"/>
    <m/>
    <s v="Accommodation Wing AE - Demolish floor finish - Raised Steel or Wooden Floor"/>
    <s v="4512-BLD-005"/>
    <n v="611.8029739776951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15"/>
    <s v="BLD"/>
    <s v="EG"/>
    <s v="Gravel Base Removal"/>
    <s v="EG"/>
    <s v="Flooring / Foundations"/>
    <s v="Gravel Base"/>
    <m/>
    <s v="Accommodation Wing AF - Demolish and foundations - Gravel Base - Skidded Building"/>
    <s v="4512-BLD-006"/>
    <n v="611.80297397769516"/>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16"/>
    <s v="BLD"/>
    <m/>
    <e v="#N/A"/>
    <s v="FW"/>
    <s v="Flooring / Foundations"/>
    <s v="Wood Floor"/>
    <m/>
    <s v="Accommodation Wing AF - Demolish floor finish - Raised Steel or Wooden Floor"/>
    <s v="4512-BLD-006"/>
    <n v="611.8029739776951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18"/>
    <s v="BLD"/>
    <s v="EG"/>
    <s v="Gravel Base Removal"/>
    <s v="EG"/>
    <s v="Flooring / Foundations"/>
    <s v="Gravel Base"/>
    <m/>
    <s v="Accommodation Wing AG - Demolish and foundations - Gravel Base - Skidded Building"/>
    <s v="4512-BLD-007"/>
    <n v="611.80297397769516"/>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5"/>
    <x v="3"/>
    <s v="919"/>
    <s v="BLD"/>
    <m/>
    <e v="#N/A"/>
    <s v="FW"/>
    <s v="Flooring / Foundations"/>
    <s v="Wood Floor"/>
    <m/>
    <s v="Accommodation Wing AG - Demolish floor finish - Raised Steel or Wooden Floor"/>
    <s v="4512-BLD-007"/>
    <n v="611.8029739776951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19"/>
    <x v="4"/>
    <x v="109"/>
    <x v="113"/>
    <s v="1033"/>
    <s v="BLD"/>
    <s v="EG"/>
    <s v="Gravel Base Removal"/>
    <s v="EG"/>
    <s v="Flooring / Foundations"/>
    <s v="Gravel Base"/>
    <m/>
    <s v="Truck Wash Building - Demolish floor finish - Gravel"/>
    <s v="4523-BLD-001"/>
    <n v="1003.717472118959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3"/>
    <x v="15"/>
    <s v="860"/>
    <s v="BLD"/>
    <s v="EG"/>
    <s v="Gravel Base Removal"/>
    <s v="EG"/>
    <s v="Flooring / Foundations"/>
    <s v="Gravel Base"/>
    <m/>
    <s v="Accommodation Service Core - Demolish and foundations - Gravel Base - Skidded Building"/>
    <s v="4511-BLD-001"/>
    <n v="1856.8773234200744"/>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45"/>
    <x v="3"/>
    <x v="103"/>
    <x v="15"/>
    <s v="861"/>
    <s v="BLD"/>
    <m/>
    <e v="#N/A"/>
    <s v="FW"/>
    <s v="Flooring / Foundations"/>
    <s v="Wood Floor"/>
    <m/>
    <s v="Accommodation Service Core - Demolish floor finish - Raised Steel or Wooden Floor"/>
    <s v="4511-BLD-001"/>
    <n v="1856.8773234200744"/>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4"/>
    <x v="5"/>
    <x v="27"/>
    <x v="6"/>
    <x v="53"/>
    <x v="26"/>
    <s v="1156"/>
    <s v="VP-"/>
    <m/>
    <e v="#N/A"/>
    <m/>
    <m/>
    <m/>
    <m/>
    <s v="Sewage Treatment Plant - Demolish floor finish - Raised Steel or Wooden Floor"/>
    <s v="4731-VP-005"/>
    <n v="1920"/>
    <s v="m2"/>
    <s v="0"/>
    <s v="0"/>
    <s v="0"/>
    <s v="0"/>
    <s v="0"/>
    <n v="0"/>
    <n v="0"/>
    <n v="0"/>
    <n v="0"/>
    <n v="0"/>
    <n v="0"/>
    <n v="0"/>
    <n v="1"/>
    <n v="0"/>
    <n v="0"/>
    <n v="1"/>
    <n v="0"/>
    <n v="0"/>
    <n v="0"/>
    <n v="0"/>
    <s v="Type A  _x000a_2AM-MRY1325"/>
    <m/>
    <n v="2014"/>
    <s v="Direct "/>
    <m/>
    <m/>
    <n v="0.5"/>
    <n v="0.5"/>
    <m/>
    <m/>
    <m/>
    <m/>
    <m/>
    <m/>
    <n v="0"/>
    <m/>
    <n v="0"/>
    <n v="0"/>
    <n v="0"/>
    <n v="0"/>
    <n v="0"/>
    <n v="0"/>
    <n v="0"/>
    <n v="0"/>
  </r>
  <r>
    <x v="6"/>
    <x v="6"/>
    <x v="14"/>
    <x v="5"/>
    <x v="27"/>
    <x v="6"/>
    <x v="113"/>
    <x v="7"/>
    <s v="1177"/>
    <s v="In Meters"/>
    <m/>
    <s v="Inlcuded  with Piping"/>
    <s v="Piping - Heat Tracing"/>
    <s v="Bulks"/>
    <s v="Piping - Heat Tracing"/>
    <m/>
    <s v="Treated Effluent Piping - Heat Trace Installation - STP to connection with Stockpile Drain Pipe"/>
    <s v="4734.1-E"/>
    <n v="2050"/>
    <s v="m"/>
    <s v="0"/>
    <s v="0"/>
    <s v="0"/>
    <s v="0"/>
    <s v="0"/>
    <n v="0"/>
    <n v="0"/>
    <n v="0"/>
    <n v="0"/>
    <n v="0"/>
    <n v="0"/>
    <n v="0"/>
    <n v="1"/>
    <n v="0"/>
    <n v="1"/>
    <n v="0"/>
    <n v="0"/>
    <n v="0"/>
    <n v="0"/>
    <n v="0"/>
    <s v="Type A  _x000a_2AM-MRY1325"/>
    <m/>
    <n v="2014"/>
    <s v="Direct "/>
    <m/>
    <m/>
    <n v="0.33333333333333331"/>
    <n v="0.33333333333333331"/>
    <n v="0.33333333333333331"/>
    <m/>
    <m/>
    <m/>
    <m/>
    <m/>
    <n v="0"/>
    <m/>
    <n v="0"/>
    <n v="0"/>
    <n v="0"/>
    <n v="0"/>
    <n v="0"/>
    <n v="0"/>
    <n v="0"/>
    <n v="0"/>
  </r>
  <r>
    <x v="6"/>
    <x v="6"/>
    <x v="13"/>
    <x v="2"/>
    <x v="25"/>
    <x v="19"/>
    <x v="95"/>
    <x v="86"/>
    <s v="827"/>
    <s v="In Meters"/>
    <m/>
    <s v="Inlcuded  with Piping"/>
    <s v="Piping - Heat Tracing"/>
    <s v="Bulks"/>
    <s v="Piping - Heat Tracing"/>
    <m/>
    <s v="Stockpile Drain Pipe - Heat Trace Installation - Ore stockpile to effluent pond and Mary River"/>
    <s v="4385.1-E"/>
    <n v="2610"/>
    <s v="m"/>
    <s v="0"/>
    <s v="0"/>
    <s v="0"/>
    <s v="0"/>
    <s v="0"/>
    <n v="0"/>
    <n v="0"/>
    <n v="0"/>
    <n v="0"/>
    <n v="0"/>
    <n v="0"/>
    <n v="0"/>
    <n v="1"/>
    <n v="0"/>
    <n v="1"/>
    <n v="0"/>
    <n v="0"/>
    <n v="0"/>
    <n v="0"/>
    <n v="0"/>
    <s v="Type A  _x000a_2AM-MRY1325"/>
    <m/>
    <n v="2014"/>
    <s v="Direct "/>
    <m/>
    <m/>
    <n v="0.33333333333333331"/>
    <n v="0.33333333333333331"/>
    <n v="0.33333333333333331"/>
    <m/>
    <m/>
    <m/>
    <m/>
    <m/>
    <n v="0"/>
    <m/>
    <n v="0"/>
    <n v="0"/>
    <n v="0"/>
    <n v="0"/>
    <n v="0"/>
    <n v="0"/>
    <n v="0"/>
    <n v="0"/>
  </r>
  <r>
    <x v="6"/>
    <x v="6"/>
    <x v="14"/>
    <x v="5"/>
    <x v="46"/>
    <x v="30"/>
    <x v="104"/>
    <x v="110"/>
    <s v="1118"/>
    <s v="In Meters"/>
    <m/>
    <s v="Inlcuded  with Piping"/>
    <s v="Piping - Heat Tracing"/>
    <s v="Bulks"/>
    <s v="Piping - Heat Tracing"/>
    <m/>
    <s v="Raw Water Supply Pipe - Heat Trace Installation - Pumphouse to Water Building"/>
    <s v="4712.2-E"/>
    <n v="4712"/>
    <s v="m"/>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34"/>
    <x v="10"/>
    <x v="66"/>
    <x v="110"/>
    <m/>
    <m/>
    <s v="A3"/>
    <s v="Grade &amp; Re-Contour"/>
    <s v="A2"/>
    <s v="Site Works"/>
    <s v="Grade and Re-Contour"/>
    <s v="Grade and Contour"/>
    <s v="Informal Construction Laydown at Mary River"/>
    <m/>
    <m/>
    <s v="m2"/>
    <n v="1.2689880937499998E-2"/>
    <n v="0.14624999999999999"/>
    <n v="1.2689880937499998"/>
    <n v="0.39654534577546297"/>
    <n v="1.8102953457754629"/>
    <n v="0"/>
    <n v="0"/>
    <n v="0"/>
    <n v="0"/>
    <n v="0"/>
    <n v="0"/>
    <n v="0"/>
    <n v="1"/>
    <n v="0"/>
    <n v="0"/>
    <n v="1"/>
    <n v="0"/>
    <n v="0"/>
    <n v="0"/>
    <n v="0"/>
    <s v="Type A  _x000a_2AM-MRY1325"/>
    <m/>
    <n v="2014"/>
    <s v="Direct "/>
    <m/>
    <m/>
    <n v="0.33333333333333331"/>
    <n v="0.33333333333333331"/>
    <n v="0.33333333333333331"/>
    <m/>
    <m/>
    <m/>
    <m/>
    <m/>
    <n v="0"/>
    <m/>
    <n v="0"/>
    <n v="0"/>
    <n v="0"/>
    <n v="0"/>
    <n v="0"/>
    <n v="0"/>
    <n v="0"/>
    <n v="0"/>
  </r>
  <r>
    <x v="6"/>
    <x v="6"/>
    <x v="12"/>
    <x v="8"/>
    <x v="34"/>
    <x v="10"/>
    <x v="146"/>
    <x v="131"/>
    <m/>
    <s v=""/>
    <m/>
    <m/>
    <m/>
    <m/>
    <m/>
    <m/>
    <m/>
    <m/>
    <m/>
    <m/>
    <s v="0"/>
    <s v="0"/>
    <s v="0"/>
    <s v="0"/>
    <s v="0"/>
    <n v="0"/>
    <n v="0"/>
    <n v="0"/>
    <n v="0"/>
    <n v="0"/>
    <n v="0"/>
    <n v="0"/>
    <n v="1"/>
    <n v="0"/>
    <m/>
    <m/>
    <n v="0"/>
    <n v="0"/>
    <m/>
    <m/>
    <s v="Type A  _x000a_2AM-MRY1325"/>
    <m/>
    <n v="2014"/>
    <s v="Direct "/>
    <m/>
    <m/>
    <m/>
    <m/>
    <m/>
    <m/>
    <m/>
    <m/>
    <m/>
    <m/>
    <n v="0"/>
    <m/>
    <n v="0"/>
    <n v="0"/>
    <n v="0"/>
    <n v="0"/>
    <n v="0"/>
    <n v="0"/>
    <n v="0"/>
    <n v="0"/>
  </r>
  <r>
    <x v="6"/>
    <x v="6"/>
    <x v="12"/>
    <x v="8"/>
    <x v="21"/>
    <x v="16"/>
    <x v="34"/>
    <x v="30"/>
    <s v="599"/>
    <s v="MO-"/>
    <s v="O3"/>
    <s v="Heavy Mobile Equipment"/>
    <s v="O3"/>
    <s v="Mobile Equipment"/>
    <s v="Heavy Mobile Equipment"/>
    <s v=" CAT 988H"/>
    <s v="MOBILE EQUIPMENT  - MOBILE CRUSHER FRONT-END LOADER - CAT 988H  _x000a_L: 10390, W: 3600, H: 4115, 43400 kg"/>
    <s v="4141-MO-005"/>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0"/>
    <s v="MO-"/>
    <s v="O3"/>
    <s v="Heavy Mobile Equipment"/>
    <s v="O3"/>
    <s v="Mobile Equipment"/>
    <s v="Heavy Mobile Equipment"/>
    <s v=" CAT 988H"/>
    <s v="MOBILE EQUIPMENT  - MOBILE CRUSHER FRONT-END LOADER - CAT 988H  _x000a_L: 10390, W: 3600, H: 4115, 43400 kg"/>
    <s v="4141-MO-006"/>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1"/>
    <s v="MO-"/>
    <s v="O3"/>
    <s v="Heavy Mobile Equipment"/>
    <s v="O3"/>
    <s v="Mobile Equipment"/>
    <s v="Heavy Mobile Equipment"/>
    <s v="Haul Truck"/>
    <s v="MOBILE EQUIPMENT  - MINE HAUL TRUCK - CAT 777G  _x000a_L: 10445, W: 6706, H: 5840, 75200 kg"/>
    <s v="4141-MO-007"/>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2"/>
    <s v="MO-"/>
    <s v="O3"/>
    <s v="Heavy Mobile Equipment"/>
    <s v="O3"/>
    <s v="Mobile Equipment"/>
    <s v="Heavy Mobile Equipment"/>
    <s v="Haul Truck"/>
    <s v="MOBILE EQUIPMENT  - MINE HAUL TRUCK - CAT 777G  _x000a_L: 10445, W: 6706, H: 5840, 75200 kg"/>
    <s v="4141-MO-008"/>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3"/>
    <s v="MO-"/>
    <s v="O3"/>
    <s v="Heavy Mobile Equipment"/>
    <s v="O3"/>
    <s v="Mobile Equipment"/>
    <s v="Heavy Mobile Equipment"/>
    <s v="Haul Truck"/>
    <s v="MOBILE EQUIPMENT  - MINE HAUL TRUCK - CAT 777G  _x000a_L: 10445, W: 6706, H: 5840, 75200 kg"/>
    <s v="4141-MO-009"/>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4"/>
    <s v="MO-"/>
    <s v="O3"/>
    <s v="Heavy Mobile Equipment"/>
    <s v="O3"/>
    <s v="Mobile Equipment"/>
    <s v="Heavy Mobile Equipment"/>
    <s v="Haul Truck"/>
    <s v="MOBILE EQUIPMENT  - MINE HAUL TRUCK - CAT 777G  _x000a_L: 10445, W: 6706, H: 5840, 75200 kg"/>
    <s v="4141-MO-010"/>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5"/>
    <s v="MO-"/>
    <s v="O3"/>
    <s v="Heavy Mobile Equipment"/>
    <s v="O3"/>
    <s v="Mobile Equipment"/>
    <s v="Heavy Mobile Equipment"/>
    <s v="FEL"/>
    <s v="MOBILE EQUIPMENT  - MINE SITE LARGE EXCAVATOR - CAT 390DL  _x000a_L: 13470, W: 3500, H: 4782, 85000 kg"/>
    <s v="4141-MO-024"/>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6"/>
    <s v="MO-"/>
    <s v="O1"/>
    <s v="Light Mobile Equipment"/>
    <s v="O1"/>
    <s v="Mobile Equipment"/>
    <s v="Light Mobile Equipment"/>
    <s v="Pick up"/>
    <s v="MOBILE EQUIPMENT  - PICKUP TRUCK  - FORD F350  _x000a_L: 6274, W: 2665, H: 2032, 6350 kg"/>
    <s v="4141-MO-025"/>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7"/>
    <s v="MO-"/>
    <s v="O1"/>
    <s v="Light Mobile Equipment"/>
    <s v="O1"/>
    <s v="Mobile Equipment"/>
    <s v="Light Mobile Equipment"/>
    <s v="Pick up"/>
    <s v="MOBILE EQUIPMENT  - PICKUP TRUCK  - FORD F350  _x000a_L: 6274, W: 2665, H: 2032, 6350 kg"/>
    <s v="4141-MO-02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8"/>
    <s v="MO-"/>
    <s v="O1"/>
    <s v="Light Mobile Equipment"/>
    <s v="O1"/>
    <s v="Mobile Equipment"/>
    <s v="Light Mobile Equipment"/>
    <s v="Pick up"/>
    <s v="MOBILE EQUIPMENT  - PICKUP TRUCK  - FORD F350  _x000a_L: 6274, W: 2665, H: 2032, 6350 kg"/>
    <s v="4141-MO-02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09"/>
    <s v="MO-"/>
    <s v="O1"/>
    <s v="Light Mobile Equipment"/>
    <s v="O1"/>
    <s v="Mobile Equipment"/>
    <s v="Light Mobile Equipment"/>
    <s v="Pick up"/>
    <s v="MOBILE EQUIPMENT  - PICKUP TRUCK  - FORD F350  _x000a_L: 6274, W: 2665, H: 2032, 6350 kg"/>
    <s v="4141-MO-028"/>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10"/>
    <s v="MO-"/>
    <s v="O1"/>
    <s v="Light Mobile Equipment"/>
    <s v="O1"/>
    <s v="Mobile Equipment"/>
    <s v="Light Mobile Equipment"/>
    <s v="Pick up"/>
    <s v="MOBILE EQUIPMENT  - PICKUP TRUCK  - FORD F350  _x000a_L: 6274, W: 2665, H: 2032, 6350 kg"/>
    <s v="4141-MO-029"/>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11"/>
    <s v="MO-"/>
    <s v="O3"/>
    <s v="Heavy Mobile Equipment"/>
    <s v="O3"/>
    <s v="Mobile Equipment"/>
    <s v="Heavy Mobile Equipment"/>
    <s v="Drill"/>
    <s v="MOBILE EQUIPMENT  - SINGLE PASS PRODUCTION DRILL - CAT MD6290  56800 kg"/>
    <s v="4141-MO-030"/>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12"/>
    <s v="MO-"/>
    <s v="O3"/>
    <s v="Heavy Mobile Equipment"/>
    <s v="O3"/>
    <s v="Mobile Equipment"/>
    <s v="Heavy Mobile Equipment"/>
    <s v="Drill"/>
    <s v="MOBILE EQUIPMENT  - SINGLE PASS PRODUCTION DRILL - CAT MD6290  _x000a_L: 14280, W: 4010, H: 4590, 56800 kg"/>
    <s v="4141-MO-031"/>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13"/>
    <s v="MO-"/>
    <s v="O2"/>
    <s v="Medium Mobile Equipment"/>
    <s v="O2"/>
    <s v="Mobile Equipment"/>
    <s v="Medium Mobile Equipment"/>
    <s v="FEL size"/>
    <s v="MOBILE EQUIPMENT  - SECONDARY DRILL  - TAMROCK 800  "/>
    <s v="4141-MO-033"/>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34"/>
    <x v="30"/>
    <s v="614"/>
    <s v="MO-"/>
    <s v="O2"/>
    <s v="Medium Mobile Equipment"/>
    <s v="O2"/>
    <s v="Mobile Equipment"/>
    <s v="Medium Mobile Equipment"/>
    <s v="Kenworth Truck"/>
    <s v="MOBILE EQUIPMENT  - DRILL DUST SUPPRESSION WATER/METHANOL TRUCK -  KENWORTH T800H "/>
    <s v="4141-MO-035"/>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39"/>
    <x v="30"/>
    <m/>
    <s v="MO-"/>
    <s v="O3"/>
    <s v="Heavy Mobile Equipment"/>
    <s v="O3"/>
    <s v="Mobile Equipment"/>
    <s v="Heavy Mobile Equipment"/>
    <s v="Haul Truck"/>
    <s v="MOBILE EQUIPMENT  - CAT 777 DUMP BOX"/>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2"/>
    <s v="Medium Mobile Equipment"/>
    <s v="O2"/>
    <s v="Mobile Equipment"/>
    <s v="Medium Mobile Equipment"/>
    <s v="COMPACTOR"/>
    <s v="MOBILE EQUIPMENT  - COMPACTOR  - CAT CP563E  _x000a_"/>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3"/>
    <s v="Heavy Mobile Equipment"/>
    <s v="O3"/>
    <s v="Mobile Equipment"/>
    <s v="Heavy Mobile Equipment"/>
    <s v="Haul Truck"/>
    <s v="MOBILE EQUIPMENT  - MINE HAUL TRUCK - CAT 777G  _x000a_L: 10445, W: 6706, H: 5840, 752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3"/>
    <s v="Heavy Mobile Equipment"/>
    <s v="O3"/>
    <s v="Mobile Equipment"/>
    <s v="Heavy Mobile Equipment"/>
    <s v="Grader"/>
    <s v="MOBILE EQUIPMENT  - MINE SITE GRADER  - CAT 16M  _x000a_L: 9994, W: 3077, H: 3524, 244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1"/>
    <s v="Light Mobile Equipment"/>
    <s v="O1"/>
    <s v="Mobile Equipment"/>
    <s v="Light Mobile Equipment"/>
    <s v="Pick up"/>
    <s v="MOBILE EQUIPMENT  - PICKUP TRUCK  - FORD F350  _x000a_L: 6274, W: 2665, H: 2032, 6350 kg"/>
    <m/>
    <m/>
    <s v="ea"/>
    <n v="6.666666666666667"/>
    <n v="25"/>
    <n v="666.08920634920639"/>
    <n v="250"/>
    <n v="941.08920634920639"/>
    <n v="0"/>
    <n v="0"/>
    <n v="0"/>
    <n v="0"/>
    <n v="0"/>
    <n v="4"/>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2"/>
    <s v="Medium Mobile Equipment"/>
    <s v="O2"/>
    <s v="Mobile Equipment"/>
    <s v="Medium Mobile Equipment"/>
    <s v="Dozer"/>
    <s v="MOBILE EQUIPMENT  - MINE SITE TRACK DOZER - CAT D9T  _x000a_L: 6630, W: 4310, H: 3815, 78000 kg"/>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2"/>
    <s v="Medium Mobile Equipment"/>
    <s v="O2"/>
    <s v="Mobile Equipment"/>
    <s v="Medium Mobile Equipment"/>
    <s v="Sandvik Drill"/>
    <s v="MOBILE EQUIPMENT  - PIONEER DRILL - SANDVIK DX780 "/>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2"/>
    <s v="Medium Mobile Equipment"/>
    <s v="O2"/>
    <s v="Mobile Equipment"/>
    <s v="Medium Mobile Equipment"/>
    <s v="Sandvik Drill"/>
    <s v="MOBILE EQUIPMENT  - PIONEER DRILL - SANDVIK SDX800"/>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3"/>
    <s v="Heavy Mobile Equipment"/>
    <s v="O3"/>
    <s v="Mobile Equipment"/>
    <s v="Heavy Mobile Equipment"/>
    <s v="FEL"/>
    <s v="MOBILE EQUIPMENT  - PRODUCTION FRONT END LOADER - CAT 992K  _x000a_L: 16877, W: 6000, H: 7000, 1000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39"/>
    <x v="30"/>
    <m/>
    <s v="MO-"/>
    <s v="O3"/>
    <s v="Heavy Mobile Equipment"/>
    <s v="O3"/>
    <s v="Mobile Equipment"/>
    <s v="Heavy Mobile Equipment"/>
    <s v="Drill"/>
    <s v="MOBILE EQUIPMENT  - SINGLE PASS PRODUCTION DRILL - CAT MD6290  _x000a_L: 14280, W: 4010, H: 4590, 568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47"/>
    <x v="63"/>
    <s v="616"/>
    <s v="MO-"/>
    <s v="O2"/>
    <s v="Medium Mobile Equipment"/>
    <s v="O2"/>
    <s v="Mobile Equipment"/>
    <s v="Medium Mobile Equipment"/>
    <s v="Hwy Truck"/>
    <s v="MOBILE EQUIPMENT  - TOTE ROAD ORE HAUL TRUCK - TRACTOR - WESTERN STAR 6900XD  _x000a_L: 10080, W: 3060, H: 3900, 11400 kg"/>
    <s v="4142-MO-001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17"/>
    <s v="MO-"/>
    <s v="O3"/>
    <s v="Heavy Mobile Equipment"/>
    <s v="O3"/>
    <s v="Mobile Equipment"/>
    <s v="Heavy Mobile Equipment"/>
    <s v="Haul Truck trailer"/>
    <s v="MOBILE EQUIPMENT  - TOTE ROAD ORE HAUL TRUCK - LEAD TRAILER - SMITHCO S4 (75T)  _x000a_L: 10240, W: 3060, H: 4210, 34500 kg"/>
    <s v="4142-MO-001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18"/>
    <s v="MO-"/>
    <s v="O3"/>
    <s v="Heavy Mobile Equipment"/>
    <s v="O3"/>
    <s v="Mobile Equipment"/>
    <s v="Heavy Mobile Equipment"/>
    <s v="Haul Truck trailer"/>
    <s v="MOBILE EQUIPMENT  - TOTE ROAD ORE HAUL TRUCK - PUP TRAILER - SMITHCO S4 (75T)  _x000a_L: 10240, W: 3060, H: 4210, 34500 kg"/>
    <s v="4142-MO-001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19"/>
    <s v="MO-"/>
    <s v="O2"/>
    <s v="Medium Mobile Equipment"/>
    <s v="O2"/>
    <s v="Mobile Equipment"/>
    <s v="Medium Mobile Equipment"/>
    <s v="Hwy Truck"/>
    <s v="MOBILE EQUIPMENT  - TOTE ROAD ORE HAUL TRUCK - TRACTOR - WESTERN STAR 6900XD  _x000a_L: 10080, W: 3060, H: 3900, 11400 kg"/>
    <s v="4142-MO-002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0"/>
    <s v="MO-"/>
    <s v="O3"/>
    <s v="Heavy Mobile Equipment"/>
    <s v="O3"/>
    <s v="Mobile Equipment"/>
    <s v="Heavy Mobile Equipment"/>
    <s v="Haul Truck trailer"/>
    <s v="MOBILE EQUIPMENT  - TOTE ROAD ORE HAUL TRUCK - LEAD TRAILER - SMITHCO S4 (75T)  _x000a_L: 10240, W: 3060, H: 4210, 34500 kg"/>
    <s v="4142-MO-002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1"/>
    <s v="MO-"/>
    <s v="O3"/>
    <s v="Heavy Mobile Equipment"/>
    <s v="O3"/>
    <s v="Mobile Equipment"/>
    <s v="Heavy Mobile Equipment"/>
    <s v="Haul Truck trailer"/>
    <s v="MOBILE EQUIPMENT  - TOTE ROAD ORE HAUL TRUCK - PUP TRAILER - SMITHCO S4 (75T)  _x000a_L: 10240, W: 3060, H: 4210, 34500 kg"/>
    <s v="4142-MO-002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2"/>
    <s v="MO-"/>
    <s v="O2"/>
    <s v="Medium Mobile Equipment"/>
    <s v="O2"/>
    <s v="Mobile Equipment"/>
    <s v="Medium Mobile Equipment"/>
    <s v="Hwy Truck"/>
    <s v="MOBILE EQUIPMENT  - TOTE ROAD ORE HAUL TRUCK - TRACTOR - WESTERN STAR 6900XD  _x000a_L: 10080, W: 3060, H: 3900, 11400 kg"/>
    <s v="4142-MO-003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3"/>
    <s v="MO-"/>
    <s v="O3"/>
    <s v="Heavy Mobile Equipment"/>
    <s v="O3"/>
    <s v="Mobile Equipment"/>
    <s v="Heavy Mobile Equipment"/>
    <s v="Haul Truck trailer"/>
    <s v="MOBILE EQUIPMENT  - TOTE ROAD ORE HAUL TRUCK - LEAD TRAILER - SMITHCO S4 (75T) _x000a_L: 10240, W: 3060, H: 4210, 34500 kg"/>
    <s v="4142-MO-003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4"/>
    <s v="MO-"/>
    <s v="O3"/>
    <s v="Heavy Mobile Equipment"/>
    <s v="O3"/>
    <s v="Mobile Equipment"/>
    <s v="Heavy Mobile Equipment"/>
    <s v="Haul Truck trailer"/>
    <s v="MOBILE EQUIPMENT  - TOTE ROAD ORE HAUL TRUCK - LEAD TRAILER - SMITHCO S4 (75T) _x000a_L: 10240, W: 3060, H: 4210, 34500 kg"/>
    <s v="4142-MO-003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5"/>
    <s v="MO-"/>
    <s v="O2"/>
    <s v="Medium Mobile Equipment"/>
    <s v="O2"/>
    <s v="Mobile Equipment"/>
    <s v="Medium Mobile Equipment"/>
    <s v="Hwy Truck"/>
    <s v="MOBILE EQUIPMENT  - TOTE ROAD ORE HAUL TRUCK - TRACTOR - WESTERN STAR 6900XD  _x000a_L: 10080, W: 3060, H: 3900, 11400 kg"/>
    <s v="4142-MO-004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6"/>
    <s v="MO-"/>
    <s v="O3"/>
    <s v="Heavy Mobile Equipment"/>
    <s v="O3"/>
    <s v="Mobile Equipment"/>
    <s v="Heavy Mobile Equipment"/>
    <s v="Haul Truck trailer"/>
    <s v="MOBILE EQUIPMENT  - TOTE ROAD ORE HAUL TRUCK - LEAD TRAILER - SMITHCO S4 (75T) _x000a_L: 10240, W: 3060, H: 4210, 34500 kg"/>
    <s v="4142-MO-004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7"/>
    <s v="MO-"/>
    <s v="O3"/>
    <s v="Heavy Mobile Equipment"/>
    <s v="O3"/>
    <s v="Mobile Equipment"/>
    <s v="Heavy Mobile Equipment"/>
    <s v="Haul Truck trailer"/>
    <s v="MOBILE EQUIPMENT  - TOTE ROAD ORE HAUL TRUCK - LEAD TRAILER - SMITHCO S4 (75T) _x000a_L: 10240, W: 3060, H: 4210, 34500 kg"/>
    <s v="4142-MO-004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8"/>
    <s v="MO-"/>
    <s v="O2"/>
    <s v="Medium Mobile Equipment"/>
    <s v="O2"/>
    <s v="Mobile Equipment"/>
    <s v="Medium Mobile Equipment"/>
    <s v="Hwy Truck"/>
    <s v="MOBILE EQUIPMENT  - TOTE ROAD ORE HAUL TRUCK - TRACTOR - WESTERN STAR 6900XD   L: 10080, W: 3060, H: 3900, 11400 kg"/>
    <s v="4142-MO-005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29"/>
    <s v="MO-"/>
    <s v="O3"/>
    <s v="Heavy Mobile Equipment"/>
    <s v="O3"/>
    <s v="Mobile Equipment"/>
    <s v="Heavy Mobile Equipment"/>
    <s v="Haul Truck trailer"/>
    <s v="MOBILE EQUIPMENT  - TOTE ROAD ORE HAUL TRUCK - LEAD TRAILER - SMITHCO S4 (75T) _x000a_L: 10240, W: 3060, H: 4210, 34500 kg"/>
    <s v="4142-MO-005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0"/>
    <s v="MO-"/>
    <s v="O3"/>
    <s v="Heavy Mobile Equipment"/>
    <s v="O3"/>
    <s v="Mobile Equipment"/>
    <s v="Heavy Mobile Equipment"/>
    <s v="Haul Truck trailer"/>
    <s v="MOBILE EQUIPMENT  - TOTE ROAD ORE HAUL TRUCK - LEAD TRAILER - SMITHCO S4 (75T) _x000a_L: 10240, W: 3060, H: 4210, 34500 kg"/>
    <s v="4142-MO-005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1"/>
    <s v="MO-"/>
    <s v="O2"/>
    <s v="Medium Mobile Equipment"/>
    <s v="O2"/>
    <s v="Mobile Equipment"/>
    <s v="Medium Mobile Equipment"/>
    <s v="Hwy Truck"/>
    <s v="MOBILE EQUIPMENT  - TOTE ROAD ORE HAUL TRUCK - TRACTOR - WESTERN STAR 6900XD  L: 10080, W: 3060, H: 3900, 11400 kg"/>
    <s v="4142-MO-006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2"/>
    <s v="MO-"/>
    <s v="O3"/>
    <s v="Heavy Mobile Equipment"/>
    <s v="O3"/>
    <s v="Mobile Equipment"/>
    <s v="Heavy Mobile Equipment"/>
    <s v="Haul Truck trailer"/>
    <s v="MOBILE EQUIPMENT  - TOTE ROAD ORE HAUL TRUCK - LEAD TRAILER - SMITHCO S4 (75T) _x000a_L: 10240, W: 3060, H: 4210, 34500 kg"/>
    <s v="4142-MO-006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3"/>
    <s v="MO-"/>
    <s v="O3"/>
    <s v="Heavy Mobile Equipment"/>
    <s v="O3"/>
    <s v="Mobile Equipment"/>
    <s v="Heavy Mobile Equipment"/>
    <s v="Haul Truck trailer"/>
    <s v="MOBILE EQUIPMENT  - TOTE ROAD ORE HAUL TRUCK - LEAD TRAILER - SMITHCO S4 (75T) _x000a_L: 10240, W: 3060, H: 4210, 34500 kg"/>
    <s v="4142-MO-006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4"/>
    <s v="MO-"/>
    <s v="O2"/>
    <s v="Medium Mobile Equipment"/>
    <s v="O2"/>
    <s v="Mobile Equipment"/>
    <s v="Medium Mobile Equipment"/>
    <s v="Hwy Truck"/>
    <s v="MOBILE EQUIPMENT  - TOTE ROAD ORE HAUL TRUCK - TRACTOR - WESTERN STAR 6900XD  _x000a_L: 10080, W: 3060, H: 3900, 11400 kg"/>
    <s v="4142-MO-007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5"/>
    <s v="MO-"/>
    <s v="O3"/>
    <s v="Heavy Mobile Equipment"/>
    <s v="O3"/>
    <s v="Mobile Equipment"/>
    <s v="Heavy Mobile Equipment"/>
    <s v="Haul Truck trailer"/>
    <s v="MOBILE EQUIPMENT  - TOTE ROAD ORE HAUL TRUCK - LEAD TRAILER - SMITHCO S4 (75T) _x000a_L: 10240, W: 3060, H: 4210, 34500 kg"/>
    <s v="4142-MO-007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6"/>
    <s v="MO-"/>
    <s v="O3"/>
    <s v="Heavy Mobile Equipment"/>
    <s v="O3"/>
    <s v="Mobile Equipment"/>
    <s v="Heavy Mobile Equipment"/>
    <s v="Haul Truck trailer"/>
    <s v="MOBILE EQUIPMENT  - TOTE ROAD ORE HAUL TRUCK - LEAD TRAILER - SMITHCO S4 (75T) _x000a_L: 10240, W: 3060, H: 4210, 34500 kg"/>
    <s v="4142-MO-007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7"/>
    <s v="MO-"/>
    <s v="O2"/>
    <s v="Medium Mobile Equipment"/>
    <s v="O2"/>
    <s v="Mobile Equipment"/>
    <s v="Medium Mobile Equipment"/>
    <s v="Hwy Truck"/>
    <s v="MOBILE EQUIPMENT  - TOTE ROAD ORE HAUL TRUCK - TRACTOR - WESTERN STAR 6900XD  _x000a_L: 10080, W: 3060, H: 3900, 11400 kg"/>
    <s v="4142-MO-008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8"/>
    <s v="MO-"/>
    <s v="O3"/>
    <s v="Heavy Mobile Equipment"/>
    <s v="O3"/>
    <s v="Mobile Equipment"/>
    <s v="Heavy Mobile Equipment"/>
    <s v="Haul Truck trailer"/>
    <s v="MOBILE EQUIPMENT  - TOTE ROAD ORE HAUL TRUCK - LEAD TRAILER - SMITHCO S4 (75T) _x000a_L: 10240, W: 3060, H: 4210, 34500 kg"/>
    <s v="4142-MO-008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39"/>
    <s v="MO-"/>
    <s v="O3"/>
    <s v="Heavy Mobile Equipment"/>
    <s v="O3"/>
    <s v="Mobile Equipment"/>
    <s v="Heavy Mobile Equipment"/>
    <s v="Haul Truck trailer"/>
    <s v="MOBILE EQUIPMENT  - TOTE ROAD ORE HAUL TRUCK - LEAD TRAILER - SMITHCO S4 (75T) _x000a_L: 10240, W: 3060, H: 4210, 34500 kg"/>
    <s v="4142-MO-008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0"/>
    <s v="MO-"/>
    <s v="O2"/>
    <s v="Medium Mobile Equipment"/>
    <s v="O2"/>
    <s v="Mobile Equipment"/>
    <s v="Medium Mobile Equipment"/>
    <s v="Hwy Truck"/>
    <s v="MOBILE EQUIPMENT  - TOTE ROAD ORE HAUL TRUCK - TRACTOR - WESTERN STAR 6900XD  _x000a_L: 10080, W: 3060, H: 3900, 11400 kg"/>
    <s v="4142-MO-009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1"/>
    <s v="MO-"/>
    <s v="O3"/>
    <s v="Heavy Mobile Equipment"/>
    <s v="O3"/>
    <s v="Mobile Equipment"/>
    <s v="Heavy Mobile Equipment"/>
    <s v="Haul Truck trailer"/>
    <s v="MOBILE EQUIPMENT  - TOTE ROAD ORE HAUL TRUCK - LEAD TRAILER - SMITHCO S4 (75T) _x000a_L: 10240, W: 3060, H: 4210, 34500 kg"/>
    <s v="4142-MO-009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2"/>
    <s v="MO-"/>
    <s v="O3"/>
    <s v="Heavy Mobile Equipment"/>
    <s v="O3"/>
    <s v="Mobile Equipment"/>
    <s v="Heavy Mobile Equipment"/>
    <s v="Haul Truck trailer"/>
    <s v="MOBILE EQUIPMENT  - TOTE ROAD ORE HAUL TRUCK - LEAD TRAILER - SMITHCO S4 (75T) _x000a_L: 10240, W: 3060, H: 4210, 34500 kg"/>
    <s v="4142-MO-009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3"/>
    <s v="MO-"/>
    <s v="O2"/>
    <s v="Medium Mobile Equipment"/>
    <s v="O2"/>
    <s v="Mobile Equipment"/>
    <s v="Medium Mobile Equipment"/>
    <s v="Hwy Truck"/>
    <s v="MOBILE EQUIPMENT  - TOTE ROAD ORE HAUL TRUCK - TRACTOR - WESTERN STAR 6900XD  _x000a_L: 10080, W: 3060, H: 3900, 11400 kg"/>
    <s v="4142-MO-010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4"/>
    <s v="MO-"/>
    <s v="O3"/>
    <s v="Heavy Mobile Equipment"/>
    <s v="O3"/>
    <s v="Mobile Equipment"/>
    <s v="Heavy Mobile Equipment"/>
    <s v="Haul Truck trailer"/>
    <s v="MOBILE EQUIPMENT  - TOTE ROAD ORE HAUL TRUCK - LEAD TRAILER - SMITHCO S4 (75T) _x000a_L: 10240, W: 3060, H: 4210, 34500 kg"/>
    <s v="4142-MO-010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5"/>
    <s v="MO-"/>
    <s v="O3"/>
    <s v="Heavy Mobile Equipment"/>
    <s v="O3"/>
    <s v="Mobile Equipment"/>
    <s v="Heavy Mobile Equipment"/>
    <s v="Haul Truck trailer"/>
    <s v="MOBILE EQUIPMENT  - TOTE ROAD ORE HAUL TRUCK - LEAD TRAILER - SMITHCO S4 (75T) _x000a_L: 10240, W: 3060, H: 4210, 34500 kg"/>
    <s v="4142-MO-010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6"/>
    <s v="MO-"/>
    <s v="O2"/>
    <s v="Medium Mobile Equipment"/>
    <s v="O2"/>
    <s v="Mobile Equipment"/>
    <s v="Medium Mobile Equipment"/>
    <s v="Hwy Truck"/>
    <s v="MOBILE EQUIPMENT  - TOTE ROAD ORE HAUL TRUCK - TRACTOR - WESTERN STAR 6900XD  _x000a_L: 10080, W: 3060, H: 3900, 11400 kg"/>
    <s v="4142-MO-011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7"/>
    <s v="MO-"/>
    <s v="O3"/>
    <s v="Heavy Mobile Equipment"/>
    <s v="O3"/>
    <s v="Mobile Equipment"/>
    <s v="Heavy Mobile Equipment"/>
    <s v="Haul Truck trailer"/>
    <s v="MOBILE EQUIPMENT  - TOTE ROAD ORE HAUL TRUCK - LEAD TRAILER - SMITHCO S4 (75T) _x000a_L: 10240, W: 3060, H: 4210, 34500 kg"/>
    <s v="4142-MO-011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8"/>
    <s v="MO-"/>
    <s v="O3"/>
    <s v="Heavy Mobile Equipment"/>
    <s v="O3"/>
    <s v="Mobile Equipment"/>
    <s v="Heavy Mobile Equipment"/>
    <s v="Haul Truck trailer"/>
    <s v="MOBILE EQUIPMENT  - TOTE ROAD ORE HAUL TRUCK - LEAD TRAILER - SMITHCO S4 (75T) _x000a_L: 10240, W: 3060, H: 4210, 34500 kg"/>
    <s v="4142-MO-011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49"/>
    <s v="MO-"/>
    <s v="O2"/>
    <s v="Medium Mobile Equipment"/>
    <s v="O2"/>
    <s v="Mobile Equipment"/>
    <s v="Medium Mobile Equipment"/>
    <s v="Hwy Truck"/>
    <s v="MOBILE EQUIPMENT  - TOTE ROAD ORE HAUL TRUCK - TRACTOR - WESTERN STAR 6900XD  _x000a_L: 10080, W: 3060, H: 3900, 11400 kg"/>
    <s v="4142-MO-012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0"/>
    <s v="MO-"/>
    <s v="O3"/>
    <s v="Heavy Mobile Equipment"/>
    <s v="O3"/>
    <s v="Mobile Equipment"/>
    <s v="Heavy Mobile Equipment"/>
    <s v="Haul Truck trailer"/>
    <s v="MOBILE EQUIPMENT  - TOTE ROAD ORE HAUL TRUCK - LEAD TRAILER - SMITHCO S4 (75T) _x000a_L: 10240, W: 3060, H: 4210, 34500 kg"/>
    <s v="4142-MO-012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1"/>
    <s v="MO-"/>
    <s v="O3"/>
    <s v="Heavy Mobile Equipment"/>
    <s v="O3"/>
    <s v="Mobile Equipment"/>
    <s v="Heavy Mobile Equipment"/>
    <s v="Haul Truck trailer"/>
    <s v="MOBILE EQUIPMENT  - TOTE ROAD ORE HAUL TRUCK - LEAD TRAILER - SMITHCO S4 (75T) _x000a_L: 10240, W: 3060, H: 4210, 34500 kg"/>
    <s v="4142-MO-012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2"/>
    <s v="MO-"/>
    <s v="O2"/>
    <s v="Medium Mobile Equipment"/>
    <s v="O2"/>
    <s v="Mobile Equipment"/>
    <s v="Medium Mobile Equipment"/>
    <s v="Hwy Truck"/>
    <s v="MOBILE EQUIPMENT  - TOTE ROAD ORE HAUL TRUCK - TRACTOR - WESTERN STAR 6900XD  _x000a_L: 10080, W: 3060, H: 3900, 11400 kg"/>
    <s v="4142-MO-013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3"/>
    <s v="MO-"/>
    <s v="O3"/>
    <s v="Heavy Mobile Equipment"/>
    <s v="O3"/>
    <s v="Mobile Equipment"/>
    <s v="Heavy Mobile Equipment"/>
    <s v="Haul Truck trailer"/>
    <s v="MOBILE EQUIPMENT  - TOTE ROAD ORE HAUL TRUCK - LEAD TRAILER - SMITHCO S4 (75T) _x000a_L: 10240, W: 3060, H: 4210, 34500 kg"/>
    <s v="4142-MO-013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4"/>
    <s v="MO-"/>
    <s v="O3"/>
    <s v="Heavy Mobile Equipment"/>
    <s v="O3"/>
    <s v="Mobile Equipment"/>
    <s v="Heavy Mobile Equipment"/>
    <s v="Haul Truck trailer"/>
    <s v="MOBILE EQUIPMENT  - TOTE ROAD ORE HAUL TRUCK - LEAD TRAILER - SMITHCO S4 (75T) _x000a_L: 10240, W: 3060, H: 4210, 34500 kg"/>
    <s v="4142-MO-013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5"/>
    <s v="MO-"/>
    <s v="O2"/>
    <s v="Medium Mobile Equipment"/>
    <s v="O2"/>
    <s v="Mobile Equipment"/>
    <s v="Medium Mobile Equipment"/>
    <s v="Hwy Truck"/>
    <s v="MOBILE EQUIPMENT  - TOTE ROAD ORE HAUL TRUCK - TRACTOR - WESTERN STAR 6900XD  _x000a_L: 10080, W: 3060, H: 3900, 11400 kg"/>
    <s v="4142-MO-014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6"/>
    <s v="MO-"/>
    <s v="O3"/>
    <s v="Heavy Mobile Equipment"/>
    <s v="O3"/>
    <s v="Mobile Equipment"/>
    <s v="Heavy Mobile Equipment"/>
    <s v="Haul Truck trailer"/>
    <s v="MOBILE EQUIPMENT  - TOTE ROAD ORE HAUL TRUCK - LEAD TRAILER - SMITHCO S4 (75T) _x000a_L: 10240, W: 3060, H: 4210, 34500 kg"/>
    <s v="4142-MO-014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7"/>
    <s v="MO-"/>
    <s v="O3"/>
    <s v="Heavy Mobile Equipment"/>
    <s v="O3"/>
    <s v="Mobile Equipment"/>
    <s v="Heavy Mobile Equipment"/>
    <s v="Haul Truck trailer"/>
    <s v="MOBILE EQUIPMENT  - TOTE ROAD ORE HAUL TRUCK - LEAD TRAILER - SMITHCO S4 (75T) _x000a_L: 10240, W: 3060, H: 4210, 34500 kg"/>
    <s v="4142-MO-014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8"/>
    <s v="MO-"/>
    <s v="O2"/>
    <s v="Medium Mobile Equipment"/>
    <s v="O2"/>
    <s v="Mobile Equipment"/>
    <s v="Medium Mobile Equipment"/>
    <s v="Hwy Truck"/>
    <s v="MOBILE EQUIPMENT  - TOTE ROAD ORE HAUL TRUCK - TRACTOR - WESTERN STAR 6900XD  _x000a_L: 10080, W: 3060, H: 3900, 11400 kg"/>
    <s v="4142-MO-015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59"/>
    <s v="MO-"/>
    <s v="O3"/>
    <s v="Heavy Mobile Equipment"/>
    <s v="O3"/>
    <s v="Mobile Equipment"/>
    <s v="Heavy Mobile Equipment"/>
    <s v="Haul Truck trailer"/>
    <s v="MOBILE EQUIPMENT  - TOTE ROAD ORE HAUL TRUCK - LEAD TRAILER - SMITHCO S4 (75T) _x000a_L: 10240, W: 3060, H: 4210, 34500 kg"/>
    <s v="4142-MO-015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0"/>
    <s v="MO-"/>
    <s v="O3"/>
    <s v="Heavy Mobile Equipment"/>
    <s v="O3"/>
    <s v="Mobile Equipment"/>
    <s v="Heavy Mobile Equipment"/>
    <s v="Haul Truck trailer"/>
    <s v="MOBILE EQUIPMENT  - TOTE ROAD ORE HAUL TRUCK - LEAD TRAILER - SMITHCO S4 (75T) _x000a_L: 10240, W: 3060, H: 4210, 34500 kg"/>
    <s v="4142-MO-015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1"/>
    <s v="MO-"/>
    <s v="O2"/>
    <s v="Medium Mobile Equipment"/>
    <s v="O2"/>
    <s v="Mobile Equipment"/>
    <s v="Medium Mobile Equipment"/>
    <s v="Hwy Truck"/>
    <s v="MOBILE EQUIPMENT  - TOTE ROAD ORE HAUL TRUCK - TRACTOR - WESTERN STAR 6900XD  _x000a_L: 10080, W: 3060, H: 3900, 11400 kg"/>
    <s v="4142-MO-016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2"/>
    <s v="MO-"/>
    <s v="O3"/>
    <s v="Heavy Mobile Equipment"/>
    <s v="O3"/>
    <s v="Mobile Equipment"/>
    <s v="Heavy Mobile Equipment"/>
    <s v="Haul Truck trailer"/>
    <s v="MOBILE EQUIPMENT  - TOTE ROAD ORE HAUL TRUCK - LEAD TRAILER - SMITHCO S4 (75T) _x000a_L: 10240, W: 3060, H: 4210, 34500 kg"/>
    <s v="4142-MO-016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3"/>
    <s v="MO-"/>
    <s v="O3"/>
    <s v="Heavy Mobile Equipment"/>
    <s v="O3"/>
    <s v="Mobile Equipment"/>
    <s v="Heavy Mobile Equipment"/>
    <s v="Haul Truck trailer"/>
    <s v="MOBILE EQUIPMENT  - TOTE ROAD ORE HAUL TRUCK - LEAD TRAILER - SMITHCO S4 (75T) _x000a_L: 10240, W: 3060, H: 4210, 34500 kg"/>
    <s v="4142-MO-016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4"/>
    <s v="MO-"/>
    <s v="O2"/>
    <s v="Medium Mobile Equipment"/>
    <s v="O2"/>
    <s v="Mobile Equipment"/>
    <s v="Medium Mobile Equipment"/>
    <s v="Hwy Truck"/>
    <s v="MOBILE EQUIPMENT  - TOTE ROAD ORE HAUL TRUCK - TRACTOR - WESTERN STAR 6900XD  _x000a_L: 10080, W: 3060, H: 3900, 11400 kg"/>
    <s v="4142-MO-017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5"/>
    <s v="MO-"/>
    <s v="O3"/>
    <s v="Heavy Mobile Equipment"/>
    <s v="O3"/>
    <s v="Mobile Equipment"/>
    <s v="Heavy Mobile Equipment"/>
    <s v="Haul Truck trailer"/>
    <s v="MOBILE EQUIPMENT  - TOTE ROAD ORE HAUL TRUCK - LEAD TRAILER - SMITHCO S4 (75T) _x000a_L: 10240, W: 3060, H: 4210, 34500 kg"/>
    <s v="4142-MO-017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6"/>
    <s v="MO-"/>
    <s v="O3"/>
    <s v="Heavy Mobile Equipment"/>
    <s v="O3"/>
    <s v="Mobile Equipment"/>
    <s v="Heavy Mobile Equipment"/>
    <s v="Haul Truck trailer"/>
    <s v="MOBILE EQUIPMENT  - TOTE ROAD ORE HAUL TRUCK - LEAD TRAILER - SMITHCO S4 (75T) _x000a_L: 10240, W: 3060, H: 4210, 34500 kg"/>
    <s v="4142-MO-017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7"/>
    <s v="MO-"/>
    <s v="O2"/>
    <s v="Medium Mobile Equipment"/>
    <s v="O2"/>
    <s v="Mobile Equipment"/>
    <s v="Medium Mobile Equipment"/>
    <s v="Hwy Truck"/>
    <s v="MOBILE EQUIPMENT  - TOTE ROAD ORE HAUL TRUCK - TRACTOR - WESTERN STAR 6900XD  _x000a_L: 10080, W: 3060, H: 3900, 11400 kg"/>
    <s v="4142-MO-018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8"/>
    <s v="MO-"/>
    <s v="O3"/>
    <s v="Heavy Mobile Equipment"/>
    <s v="O3"/>
    <s v="Mobile Equipment"/>
    <s v="Heavy Mobile Equipment"/>
    <s v="Haul Truck trailer"/>
    <s v="MOBILE EQUIPMENT  - TOTE ROAD ORE HAUL TRUCK - LEAD TRAILER - SMITHCO S4 (75T) _x000a_L: 10240, W: 3060, H: 4210, 34500 kg"/>
    <s v="4142-MO-018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69"/>
    <s v="MO-"/>
    <s v="O3"/>
    <s v="Heavy Mobile Equipment"/>
    <s v="O3"/>
    <s v="Mobile Equipment"/>
    <s v="Heavy Mobile Equipment"/>
    <s v="Haul Truck trailer"/>
    <s v="MOBILE EQUIPMENT  - TOTE ROAD ORE HAUL TRUCK - LEAD TRAILER - SMITHCO S4 (75T) _x000a_L: 10240, W: 3060, H: 4210, 34500 kg"/>
    <s v="4142-MO-018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0"/>
    <s v="MO-"/>
    <s v="O2"/>
    <s v="Medium Mobile Equipment"/>
    <s v="O2"/>
    <s v="Mobile Equipment"/>
    <s v="Medium Mobile Equipment"/>
    <s v="Hwy Truck"/>
    <s v="MOBILE EQUIPMENT  - TOTE ROAD ORE HAUL TRUCK - TRACTOR - WESTERN STAR 6900XD  _x000a_L: 10080, W: 3060, H: 3900, 11400 kg"/>
    <s v="4142-MO-019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1"/>
    <s v="MO-"/>
    <s v="O3"/>
    <s v="Heavy Mobile Equipment"/>
    <s v="O3"/>
    <s v="Mobile Equipment"/>
    <s v="Heavy Mobile Equipment"/>
    <s v="Haul Truck trailer"/>
    <s v="MOBILE EQUIPMENT  - TOTE ROAD ORE HAUL TRUCK - LEAD TRAILER - SMITHCO S4 (75T) _x000a_L: 10240, W: 3060, H: 4210, 34500 kg"/>
    <s v="4142-MO-019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2"/>
    <s v="MO-"/>
    <s v="O3"/>
    <s v="Heavy Mobile Equipment"/>
    <s v="O3"/>
    <s v="Mobile Equipment"/>
    <s v="Heavy Mobile Equipment"/>
    <s v="Haul Truck trailer"/>
    <s v="MOBILE EQUIPMENT  - TOTE ROAD ORE HAUL TRUCK - LEAD TRAILER - SMITHCO S4 (75T) _x000a_L: 10240, W: 3060, H: 4210, 34500 kg"/>
    <s v="4142-MO-019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3"/>
    <s v="MO-"/>
    <s v="O2"/>
    <s v="Medium Mobile Equipment"/>
    <s v="O2"/>
    <s v="Mobile Equipment"/>
    <s v="Medium Mobile Equipment"/>
    <s v="Hwy Truck"/>
    <s v="MOBILE EQUIPMENT  - TOTE ROAD ORE HAUL TRUCK - TRACTOR - WESTERN STAR 6900XD  _x000a_L: 10080, W: 3060, H: 3900, 11400 kg"/>
    <s v="4142-MO-020A"/>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4"/>
    <s v="MO-"/>
    <s v="O3"/>
    <s v="Heavy Mobile Equipment"/>
    <s v="O3"/>
    <s v="Mobile Equipment"/>
    <s v="Heavy Mobile Equipment"/>
    <s v="Haul Truck trailer"/>
    <s v="MOBILE EQUIPMENT  - TOTE ROAD ORE HAUL TRUCK - LEAD TRAILER - SMITHCO S4 (75T) _x000a_L: 10240, W: 3060, H: 4210, 34500 kg"/>
    <s v="4142-MO-020B"/>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5"/>
    <s v="MO-"/>
    <s v="O3"/>
    <s v="Heavy Mobile Equipment"/>
    <s v="O3"/>
    <s v="Mobile Equipment"/>
    <s v="Heavy Mobile Equipment"/>
    <s v="Haul Truck trailer"/>
    <s v="MOBILE EQUIPMENT  - TOTE ROAD ORE HAUL TRUCK - LEAD TRAILER - SMITHCO S4 (75T) _x000a_L: 10240, W: 3060, H: 4210, 34500 kg"/>
    <s v="4142-MO-020C"/>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6"/>
    <s v="MO-"/>
    <s v="O2"/>
    <s v="Medium Mobile Equipment"/>
    <s v="O2"/>
    <s v="Mobile Equipment"/>
    <s v="Medium Mobile Equipment"/>
    <s v="Dozer"/>
    <s v="MOBILE EQUIPMENT  - MINE SITE TRACK DOZER - CAT D9T  _x000a_L: 6630, W: 4310, H: 3815, 42700 kg"/>
    <s v="4142-MO-021"/>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7"/>
    <s v="MO-"/>
    <s v="O2"/>
    <s v="Medium Mobile Equipment"/>
    <s v="O2"/>
    <s v="Mobile Equipment"/>
    <s v="Medium Mobile Equipment"/>
    <s v="Dozer"/>
    <s v="MOBILE EQUIPMENT  - MINE SITE TRACK DOZER - CAT D9T  _x000a_L: 6630, W: 4310, H: 3815, 78000 kg"/>
    <s v="4142-MO-022"/>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8"/>
    <s v="MO-"/>
    <s v="O3"/>
    <s v="Heavy Mobile Equipment"/>
    <s v="O3"/>
    <s v="Mobile Equipment"/>
    <s v="Heavy Mobile Equipment"/>
    <s v="Dozer"/>
    <s v="MOBILE EQUIPMENT  - MINE SITE WHEEL DOZER - CAT 824H  _x000a_L: 8716, W: 3556, H: 4102, 46300 kg"/>
    <s v="4142-MO-023"/>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79"/>
    <s v="MO-"/>
    <s v="O3"/>
    <s v="Heavy Mobile Equipment"/>
    <s v="O3"/>
    <s v="Mobile Equipment"/>
    <s v="Heavy Mobile Equipment"/>
    <s v="Grader"/>
    <s v="MOBILE EQUIPMENT  - GRADER  - CAT 16H  _x000a_L: 9963, W: 3096, H: 3718, 30400 kg"/>
    <s v="4142-MO-024"/>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0"/>
    <s v="MO-"/>
    <s v="O3"/>
    <s v="Heavy Mobile Equipment"/>
    <s v="O3"/>
    <s v="Mobile Equipment"/>
    <s v="Heavy Mobile Equipment"/>
    <s v="FEL"/>
    <s v="MOBILE EQUIPMENT  - PRODUCTION FRONT END LOADER - CAT 992K  _x000a_L: 16877, W: 6000, H: 7000, 100000 kg"/>
    <s v="4142-MO-026"/>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1"/>
    <s v="MO-"/>
    <s v="O3"/>
    <s v="Heavy Mobile Equipment"/>
    <s v="O3"/>
    <s v="Mobile Equipment"/>
    <s v="Heavy Mobile Equipment"/>
    <s v="FEL"/>
    <s v="MOBILE EQUIPMENT  - PRODUCTION LARGE EXCAVATOR - CAT 390DL  L: 13470, W: 3500, H: 4782, 85000 kg"/>
    <s v="4142-MO-027"/>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2"/>
    <s v="MO-"/>
    <s v="O1"/>
    <s v="Light Mobile Equipment"/>
    <s v="O1"/>
    <s v="Mobile Equipment"/>
    <s v="Light Mobile Equipment"/>
    <s v="Lights"/>
    <s v="MOBILE EQUIPMENT  - NIGHT WORK AREA LIGHT PLANTS - TEREX AL4  _x000a_L: 4623, W: 2007, H: 9000, 925 kg"/>
    <s v="4142-MO-028"/>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3"/>
    <s v="MO-"/>
    <s v="O1"/>
    <s v="Light Mobile Equipment"/>
    <s v="O1"/>
    <s v="Mobile Equipment"/>
    <s v="Light Mobile Equipment"/>
    <s v="Lights"/>
    <s v="MOBILE EQUIPMENT  - NIGHT WORK AREA LIGHT PLANTS - TEREX AL4  _x000a_L: 4623, W: 2007, H: 9000, 925 kg"/>
    <s v="4142-MO-029"/>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4"/>
    <s v="MO-"/>
    <s v="O1"/>
    <s v="Light Mobile Equipment"/>
    <s v="O1"/>
    <s v="Mobile Equipment"/>
    <s v="Light Mobile Equipment"/>
    <s v="Lights"/>
    <s v="MOBILE EQUIPMENT  - NIGHT WORK AREA LIGHT PLANTS - TEREX AL4  _x000a_L: 4623, W: 2007, H: 9000, 925 kg"/>
    <s v="4142-MO-030"/>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5"/>
    <s v="MO-"/>
    <s v="O1"/>
    <s v="Light Mobile Equipment"/>
    <s v="O1"/>
    <s v="Mobile Equipment"/>
    <s v="Light Mobile Equipment"/>
    <s v="Lights"/>
    <s v="MOBILE EQUIPMENT  - NIGHT WORK AREA LIGHT PLANTS - TEREX AL4  _x000a_L: 4623, W: 2007, H: 9000, 925 kg"/>
    <s v="4142-MO-03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6"/>
    <s v="MO-"/>
    <s v="O1"/>
    <s v="Light Mobile Equipment"/>
    <s v="O1"/>
    <s v="Mobile Equipment"/>
    <s v="Light Mobile Equipment"/>
    <s v="Lights"/>
    <s v="MOBILE EQUIPMENT  - NIGHT WORK AREA LIGHT PLANTS - TEREX AL4  _x000a_L: 4623, W: 2007, H: 9000, 925 kg"/>
    <s v="4142-MO-032"/>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7"/>
    <s v="MO-"/>
    <s v="O1"/>
    <s v="Light Mobile Equipment"/>
    <s v="O1"/>
    <s v="Mobile Equipment"/>
    <s v="Light Mobile Equipment"/>
    <s v="Lights"/>
    <s v="MOBILE EQUIPMENT  - NIGHT WORK AREA LIGHT PLANTS - TEREX AL4  _x000a_L: 4623, W: 2007, H: 9000, 925 kg"/>
    <s v="4142-MO-03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8"/>
    <s v="MO-"/>
    <s v="O1"/>
    <s v="Light Mobile Equipment"/>
    <s v="O1"/>
    <s v="Mobile Equipment"/>
    <s v="Light Mobile Equipment"/>
    <s v="Lights"/>
    <s v="MOBILE EQUIPMENT  - NIGHT WORK AREA LIGHT PLANTS - TEREX AL4  _x000a_L: 4623, W: 2007, H: 9000, 925 kg"/>
    <s v="4142-MO-034"/>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89"/>
    <s v="MO-"/>
    <s v="O1"/>
    <s v="Light Mobile Equipment"/>
    <s v="O1"/>
    <s v="Mobile Equipment"/>
    <s v="Light Mobile Equipment"/>
    <s v="Lights"/>
    <s v="MOBILE EQUIPMENT  - NIGHT WORK AREA LIGHT PLANTS - TEREX AL4  _x000a_L: 4623, W: 2007, H: 9000, 925 kg"/>
    <s v="4142-MO-035"/>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90"/>
    <s v="MO-"/>
    <s v="O1"/>
    <s v="Light Mobile Equipment"/>
    <s v="O1"/>
    <s v="Mobile Equipment"/>
    <s v="Light Mobile Equipment"/>
    <s v="Lights"/>
    <s v="MOBILE EQUIPMENT  - NIGHT WORK AREA LIGHT PLANTS - TEREX AL4  _x000a_L: 4623, W: 2007, H: 9000, 925 kg"/>
    <s v="4142-MO-03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7"/>
    <x v="63"/>
    <s v="691"/>
    <s v="MO-"/>
    <s v="O1"/>
    <s v="Light Mobile Equipment"/>
    <s v="O1"/>
    <s v="Mobile Equipment"/>
    <s v="Light Mobile Equipment"/>
    <s v="Lights"/>
    <s v="MOBILE EQUIPMENT  - NIGHT WORK AREA LIGHT PLANTS - TEREX AL4  _x000a_L: 4623, W: 2007, H: 9000, 925 kg"/>
    <s v="4142-MO-03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8"/>
    <x v="63"/>
    <m/>
    <s v="MO-"/>
    <s v="O3"/>
    <s v="Heavy Mobile Equipment"/>
    <s v="O3"/>
    <s v="Mobile Equipment"/>
    <s v="Heavy Mobile Equipment"/>
    <s v="45 MT"/>
    <s v="MOBILE EQUIPMENT  - SITE MAINTENANCE MID SIZE EXCAVATOR - CAT 345DL  _x000a_L: 11910, W: 3490, H: 3770, 450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48"/>
    <x v="63"/>
    <m/>
    <s v="MO-"/>
    <s v="O3"/>
    <s v="Heavy Mobile Equipment"/>
    <s v="O3"/>
    <s v="Mobile Equipment"/>
    <s v="Heavy Mobile Equipment"/>
    <s v="Grader"/>
    <s v="MOBILE EQUIPMENT  - GRADER  - CAT 16M  _x000a_L: 9994, W: 3077, H: 3524, 244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48"/>
    <x v="63"/>
    <m/>
    <s v="MO-"/>
    <s v="O3"/>
    <s v="Heavy Mobile Equipment"/>
    <s v="O3"/>
    <s v="Mobile Equipment"/>
    <s v="Heavy Mobile Equipment"/>
    <s v=" CAT 988H"/>
    <s v="MOBILE EQUIPMENT  - MOBILE CRUSHING FRONT END LOADER  - CAT 988H, L: 10390, W: 3600, H: 4115, 434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48"/>
    <x v="63"/>
    <m/>
    <s v="MO-"/>
    <s v="O3"/>
    <s v="Heavy Mobile Equipment"/>
    <s v="O3"/>
    <s v="Mobile Equipment"/>
    <s v="Heavy Mobile Equipment"/>
    <s v="CAT 988H"/>
    <s v="MOBILE EQUIPMENT  - ORE HAUL TRUCK FRONT END LOADER - CAT 988H   _x000a_L: 3277, W: 1676, H: 3810, 3175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48"/>
    <x v="63"/>
    <m/>
    <s v="MO-"/>
    <s v="O3"/>
    <s v="Heavy Mobile Equipment"/>
    <s v="O3"/>
    <s v="Mobile Equipment"/>
    <s v="Heavy Mobile Equipment"/>
    <s v="Haul Truck trailer"/>
    <s v="MOBILE EQUIPMENT  -TOTE ROAD ORE HAUL TRUCK - LEAD TRAILER - SMITHCO S4 (75T)  _x000a_L: 10240, W: 3060, H: 4210"/>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48"/>
    <x v="63"/>
    <m/>
    <s v="MO-"/>
    <s v="O3"/>
    <s v="Heavy Mobile Equipment"/>
    <s v="O3"/>
    <s v="Mobile Equipment"/>
    <s v="Heavy Mobile Equipment"/>
    <s v="Haul Truck trailer"/>
    <s v="MOBILE EQUIPMENT  - TOTE ROAD ORE HAUL TRUCK - PUP TRAILER - SMITHCO S4 (75T)  _x000a_L: 10240, W: 3060, H: 4210"/>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48"/>
    <x v="65"/>
    <m/>
    <s v="MO-"/>
    <s v="O3"/>
    <s v="Heavy Mobile Equipment"/>
    <s v="O3"/>
    <s v="Mobile Equipment"/>
    <s v="Heavy Mobile Equipment"/>
    <s v="Hwy Truck"/>
    <s v="MOBILE EQUIPMENT  - TOTE ROAD ORE HAUL TRUCK - TRACTOR - WESTERN STAR 6900XD  "/>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49"/>
    <x v="64"/>
    <s v="693"/>
    <s v="MO-"/>
    <s v="O1"/>
    <s v="Light Mobile Equipment"/>
    <s v="O1"/>
    <s v="Mobile Equipment"/>
    <s v="Light Mobile Equipment"/>
    <s v="Pick up"/>
    <s v="MOBILE EQUIPMENT  - MAINTENANCE SERVICE TRUCK - FORD F550  "/>
    <s v="4143-MO-00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694"/>
    <s v="MO-"/>
    <s v="O2"/>
    <s v="Medium Mobile Equipment"/>
    <s v="O2"/>
    <s v="Mobile Equipment"/>
    <s v="Medium Mobile Equipment"/>
    <s v="Dump Truck"/>
    <s v="MOBILE EQUIPMENT  - MAINTENANCE SERVICE TRUCK - PETERBILT 348  "/>
    <s v="4143-MO-002"/>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695"/>
    <s v="MO-"/>
    <s v="O2"/>
    <s v="Medium Mobile Equipment"/>
    <s v="O2"/>
    <s v="Mobile Equipment"/>
    <s v="Medium Mobile Equipment"/>
    <s v="Kenworth Truck"/>
    <s v="MOBILE EQUIPMENT  - MAINTENANCE FUEL/LUBE TRUCK - KENWORTH T800  "/>
    <s v="4143-MO-003"/>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696"/>
    <s v="MO-"/>
    <s v="O2"/>
    <s v="Medium Mobile Equipment"/>
    <s v="O2"/>
    <s v="Mobile Equipment"/>
    <s v="Medium Mobile Equipment"/>
    <s v="Hwy Truck"/>
    <s v="MOBILE EQUIPMENT  - LOWBED TRACTOR - PETERBILT 367  "/>
    <s v="4143-MO-004"/>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697"/>
    <s v="MO-"/>
    <s v="O2"/>
    <s v="Medium Mobile Equipment"/>
    <s v="O2"/>
    <s v="Mobile Equipment"/>
    <s v="Medium Mobile Equipment"/>
    <s v="Hwy Truck"/>
    <s v="MOBILE EQUIPMENT  - LOWBED TRACTOR - PETERBILT 367  "/>
    <s v="4143-MO-005"/>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698"/>
    <s v="MO-"/>
    <s v="O1"/>
    <s v="Light Mobile Equipment"/>
    <s v="O1"/>
    <s v="Mobile Equipment"/>
    <s v="Light Mobile Equipment"/>
    <s v="Tire Handler"/>
    <s v="MOBILE EQUIPMENT  - TIRE HANDLER  - WBM T20P-S  5900 kg"/>
    <s v="4143-MO-00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699"/>
    <s v="MO-"/>
    <s v="O2"/>
    <s v="Medium Mobile Equipment"/>
    <s v="O2"/>
    <s v="Mobile Equipment"/>
    <s v="Medium Mobile Equipment"/>
    <s v="FEL"/>
    <s v="MOBILE EQUIPMENT  - FREIGHT HANDLING FRONT END LOADER - CAT 930K  _x000a_L: 6050, W: 2390, H: 3150, 9600 kg"/>
    <s v="4143-MO-008"/>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0"/>
    <s v="MO-"/>
    <s v="O3"/>
    <s v="Heavy Mobile Equipment"/>
    <s v="O3"/>
    <s v="Mobile Equipment"/>
    <s v="Heavy Mobile Equipment"/>
    <s v="45 MT"/>
    <s v="MOBILE EQUIPMENT  - YARD WORK EXCAVATOR - CAT 345DL  _x000a_L: 11910, W: 3490, H: 3770, 45000 kg"/>
    <s v="4143-MO-009"/>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1"/>
    <s v="MO-"/>
    <s v="O1"/>
    <s v="Light Mobile Equipment"/>
    <s v="O1"/>
    <s v="Mobile Equipment"/>
    <s v="Light Mobile Equipment"/>
    <s v="bobcat size"/>
    <s v="MOBILE EQUIPMENT  - CLEANUP/SNOW REMOVAL ALL TERRAIN FRONT END LOADER - CAT 247B  _x000a_L: 3277, W: 1676, H: 3810, 3175 kg"/>
    <s v="4143-MO-010"/>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2"/>
    <s v="MO-"/>
    <s v="O1"/>
    <s v="Light Mobile Equipment"/>
    <s v="O1"/>
    <s v="Mobile Equipment"/>
    <s v="Light Mobile Equipment"/>
    <s v="bobcat size"/>
    <s v="MOBILE EQUIPMENT  - CLEANUP/SNOW REMOVAL ALL TERRAIN FRONT END LOADER - CAT 247B  _x000a_L: 3277, W: 1676, H: 3810, 3175 kg"/>
    <s v="4143-MO-01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3"/>
    <s v="MO-"/>
    <s v="O2"/>
    <s v="Medium Mobile Equipment"/>
    <s v="O2"/>
    <s v="Mobile Equipment"/>
    <s v="Medium Mobile Equipment"/>
    <s v="Kenworth Truck"/>
    <s v="MOBILE EQUIPMENT  - CRUSHER MAINTENANCE KNUCKLE CRANE - KENWORTH T800  "/>
    <s v="4143-MO-013"/>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4"/>
    <s v="MO-"/>
    <s v="O3"/>
    <s v="Heavy Mobile Equipment"/>
    <s v="O3"/>
    <s v="Mobile Equipment"/>
    <s v="Heavy Mobile Equipment"/>
    <s v="Large Crane"/>
    <s v="MOBILE EQUIPMENT  - MAINTENANCE CRANE - TEREX RT780  _x000a_L: 14630, W: 7920, H: 3990, 42000 kg"/>
    <s v="4143-MO-014"/>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5"/>
    <s v="MO-"/>
    <s v="O3"/>
    <s v="Heavy Mobile Equipment"/>
    <s v="O3"/>
    <s v="Mobile Equipment"/>
    <s v="Heavy Mobile Equipment"/>
    <s v="Crane"/>
    <s v="MOBILE EQUIPMENT  - MAINTENANCE CRANE - TEREX RT130  _x000a_L: 15240, W: 7920, H: 3970, 60500 kg"/>
    <s v="4143-MO-015"/>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6"/>
    <s v="MO-"/>
    <s v="O1"/>
    <s v="Light Mobile Equipment"/>
    <s v="O1"/>
    <s v="Mobile Equipment"/>
    <s v="Light Mobile Equipment"/>
    <s v="Forklift"/>
    <s v="MOBILE EQUIPMENT  - WAREHOUSE FORK LIFT - CAT P7000-D  _x000a_L: 2790, W: 1290, H: 2500, 4763 kg"/>
    <s v="4143-MO-01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7"/>
    <s v="MO-"/>
    <s v="O1"/>
    <s v="Light Mobile Equipment"/>
    <s v="O1"/>
    <s v="Mobile Equipment"/>
    <s v="Light Mobile Equipment"/>
    <s v="Forklift"/>
    <s v="MOBILE EQUIPMENT  - MAINTENANCE FORK LIFT - CAT P20000  _x000a_L: 4240, W: 2390, H: 2845, 14320 kg"/>
    <s v="4143-MO-01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8"/>
    <s v="MO-"/>
    <s v="O2"/>
    <s v="Medium Mobile Equipment"/>
    <s v="O2"/>
    <s v="Mobile Equipment"/>
    <s v="Medium Mobile Equipment"/>
    <s v="Telehandler"/>
    <s v="MOBILE EQUIPMENT  - FREIGHT TELEHANDLER - CAT TH514  L: 6100, W: 2570, H: 2570, 15800 kg"/>
    <s v="4143-MO-018"/>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09"/>
    <s v="MO-"/>
    <s v="O1"/>
    <s v="Light Mobile Equipment"/>
    <s v="O1"/>
    <s v="Mobile Equipment"/>
    <s v="Light Mobile Equipment"/>
    <s v="Pump"/>
    <s v="MOBILE EQUIPMENT  - RUN-OFF CONTROL DEWATERING PUMP - GORMAN RUPP T6A60S-C4.4T  "/>
    <s v="4143-MO-019"/>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0"/>
    <s v="MO-"/>
    <s v="O1"/>
    <s v="Light Mobile Equipment"/>
    <s v="O1"/>
    <s v="Mobile Equipment"/>
    <s v="Light Mobile Equipment"/>
    <s v="Pump"/>
    <s v="MOBILE EQUIPMENT  - RUN-OFF CONTROL DEWATERING PUMP - GORMAN RUPP T6A60S-C4.4T  "/>
    <s v="4143-MO-020"/>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1"/>
    <s v="MO-"/>
    <s v="O1"/>
    <s v="Light Mobile Equipment"/>
    <s v="O1"/>
    <s v="Mobile Equipment"/>
    <s v="Light Mobile Equipment"/>
    <s v="Light sized"/>
    <s v="MOBILE EQUIPMENT  - MAINTENANCE HOT BOX - ECOBLAZE CUBE 1100  _x000a_L: 4877, W: 2235, H: 1829, 1850 kg"/>
    <s v="4143-MO-02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2"/>
    <s v="MO-"/>
    <s v="O1"/>
    <s v="Light Mobile Equipment"/>
    <s v="O1"/>
    <s v="Mobile Equipment"/>
    <s v="Light Mobile Equipment"/>
    <s v="Light sized"/>
    <s v="MOBILE EQUIPMENT  - MAINTENANCE HOT BOX - ECOBLAZE CUBE 1100  _x000a_L: 4877, W: 2235, H: 1829, 1850 kg"/>
    <s v="4143-MO-022"/>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3"/>
    <s v="MO-"/>
    <s v="O1"/>
    <s v="Light Mobile Equipment"/>
    <s v="O1"/>
    <s v="Mobile Equipment"/>
    <s v="Light Mobile Equipment"/>
    <s v="Light sized"/>
    <s v="MOBILE EQUIPMENT  - MAINTENANCE HOT BOX - ECOBLAZE CUBE 1100  _x000a_L: 4877, W: 2235, H: 1829, 1850 kg"/>
    <s v="4143-MO-02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4"/>
    <s v="MO-"/>
    <s v="O2"/>
    <s v="Medium Mobile Equipment"/>
    <s v="O2"/>
    <s v="Mobile Equipment"/>
    <s v="Medium Mobile Equipment"/>
    <s v="Dump Truck"/>
    <s v="MOBILE EQUIPMENT  - YARD MAINTENANCE PLOW/SAND TRUCK - INTERNATIONAL 7600  "/>
    <s v="4143-MO-024"/>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5"/>
    <s v="MO-"/>
    <s v="O3"/>
    <s v="Heavy Mobile Equipment"/>
    <s v="O3"/>
    <s v="Mobile Equipment"/>
    <s v="Heavy Mobile Equipment"/>
    <s v="Grader"/>
    <s v="MOBILE EQUIPMENT  - GRADER  - CAT 16M  _x000a_L: 9994, W: 3077, H: 3524, 24400 kg"/>
    <s v="4143-MO-025"/>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6"/>
    <s v="MO-"/>
    <s v="O2"/>
    <s v="Medium Mobile Equipment"/>
    <s v="O2"/>
    <s v="Mobile Equipment"/>
    <s v="Medium Mobile Equipment"/>
    <s v="Dozer"/>
    <s v="MOBILE EQUIPMENT  - YARD/TOTE ROAD MAINTENANCE TRACK DOZER - CAT D6T XW  _x000a_L: 4064, W: 2464, H: 2439, 21600 kg"/>
    <s v="4143-MO-026"/>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7"/>
    <s v="MO-"/>
    <s v="O1"/>
    <s v="Light Mobile Equipment"/>
    <s v="O1"/>
    <s v="Mobile Equipment"/>
    <s v="Light Mobile Equipment"/>
    <s v="welder"/>
    <s v="MOBILE EQUIPMENT  - MAINTENANCE TRAILER WELDER "/>
    <s v="4143-MO-02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8"/>
    <s v="MO-"/>
    <s v="O1"/>
    <s v="Light Mobile Equipment"/>
    <s v="O1"/>
    <s v="Mobile Equipment"/>
    <s v="Light Mobile Equipment"/>
    <s v="Man Lift"/>
    <s v="MOBILE EQUIPMENT  - MAN LIFT  - JLG450AJ  _x000a_L: 2500, W: 1170, H: 1970, 6010 kg"/>
    <s v="4143-MO-029"/>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19"/>
    <s v="MO-"/>
    <s v="O1"/>
    <s v="Light Mobile Equipment"/>
    <s v="O1"/>
    <s v="Mobile Equipment"/>
    <s v="Light Mobile Equipment"/>
    <s v="Man Lift"/>
    <s v="MOBILE EQUIPMENT  - SCISSOR LIFT  - SKYJACK 8841  _x000a_L: 3500, _x000a_W: 2200, H: 2900 4917 kg"/>
    <s v="4143-MO-030"/>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0"/>
    <s v="MO-"/>
    <s v="O2"/>
    <s v="Medium Mobile Equipment"/>
    <s v="O2"/>
    <s v="Mobile Equipment"/>
    <s v="Medium Mobile Equipment"/>
    <s v="Kenworth Truck"/>
    <s v="MOBILE EQUIPMENT  - ORE HAUL TRUCK RECOVERY TOW TRUCK - KENWORTH T800  "/>
    <s v="4143-MO-031"/>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1"/>
    <s v="MO-"/>
    <s v="O2"/>
    <s v="Medium Mobile Equipment"/>
    <s v="O2"/>
    <s v="Mobile Equipment"/>
    <s v="Medium Mobile Equipment"/>
    <s v="Hwy Truck"/>
    <s v="MOBILE EQUIPMENT  - TOTE ROAD CULVERT MAINTENANCE STEAM TRUCK - PETERBILT T/A STEAM TRUCK  "/>
    <s v="4143-MO-032"/>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2"/>
    <s v="MO-"/>
    <s v="O1"/>
    <s v="Light Mobile Equipment"/>
    <s v="O1"/>
    <s v="Mobile Equipment"/>
    <s v="Light Mobile Equipment"/>
    <s v="Pick up"/>
    <s v="MOBILE EQUIPMENT  - PICKUP TRUCK  - FORD F350  _x000a_L: 6274, W: 2665, H: 2032, 6350 kg"/>
    <s v="4143-MO-03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3"/>
    <s v="MO-"/>
    <s v="O1"/>
    <s v="Light Mobile Equipment"/>
    <s v="O1"/>
    <s v="Mobile Equipment"/>
    <s v="Light Mobile Equipment"/>
    <s v="Pick up"/>
    <s v="MOBILE EQUIPMENT  - PICKUP TRUCK  - FORD F350  _x000a_L: 6274, W: 2665, H: 2032, 6350 kg"/>
    <s v="4143-MO-034"/>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4"/>
    <s v="MO-"/>
    <s v="O1"/>
    <s v="Light Mobile Equipment"/>
    <s v="O1"/>
    <s v="Mobile Equipment"/>
    <s v="Light Mobile Equipment"/>
    <s v="Pick up"/>
    <s v="MOBILE EQUIPMENT  - PICKUP TRUCK  - FORD F350  _x000a_L: 6274, W: 2665, H: 2032, 6350 kg"/>
    <s v="4143-MO-035"/>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5"/>
    <s v="MO-"/>
    <s v="O1"/>
    <s v="Light Mobile Equipment"/>
    <s v="O1"/>
    <s v="Mobile Equipment"/>
    <s v="Light Mobile Equipment"/>
    <s v="Pick up"/>
    <s v="MOBILE EQUIPMENT  - PICKUP TRUCK  - FORD F350  _x000a_L: 6274, W: 2665, H: 2032, 6350 kg"/>
    <s v="4143-MO-03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6"/>
    <s v="MO-"/>
    <s v="O1"/>
    <s v="Light Mobile Equipment"/>
    <s v="O1"/>
    <s v="Mobile Equipment"/>
    <s v="Light Mobile Equipment"/>
    <s v="Pick up"/>
    <s v="MOBILE EQUIPMENT  - PICKUP TRUCK  - FORD F350  _x000a_L: 6274, W: 2665, H: 2032, 6350 kg"/>
    <s v="4143-MO-03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7"/>
    <s v="MO-"/>
    <s v="O1"/>
    <s v="Light Mobile Equipment"/>
    <s v="O1"/>
    <s v="Mobile Equipment"/>
    <s v="Light Mobile Equipment"/>
    <s v="Forklift"/>
    <s v="MOBILE EQUIPMENT  - FORKLIFT  - MITSUBISHI FB20PNT  _x000a_L: 3050, W: 1090, H: 2050, 3500 kg"/>
    <s v="4143-MO-038"/>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8"/>
    <s v="MO-"/>
    <s v="O3"/>
    <s v="Heavy Mobile Equipment"/>
    <s v="O3"/>
    <s v="Mobile Equipment"/>
    <s v="Heavy Mobile Equipment"/>
    <s v="Crane"/>
    <s v="MOBILE EQUIPMENT  - MINI CRAWLER CRANE  - SPYDER CRANE URW706  "/>
    <s v="4143-MO-039"/>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49"/>
    <x v="64"/>
    <s v="729"/>
    <s v="MO-"/>
    <s v="O2"/>
    <s v="Medium Mobile Equipment"/>
    <s v="O2"/>
    <s v="Mobile Equipment"/>
    <s v="Medium Mobile Equipment"/>
    <s v="Sterling Trucks"/>
    <s v="MOBILE EQUIPMENT  - SPILL RESPONSE TRUCK  - STERLING M8500  "/>
    <s v="4143-MO-040"/>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0"/>
    <x v="64"/>
    <m/>
    <s v="MO-"/>
    <s v="O1"/>
    <s v="Light Mobile Equipment"/>
    <s v="O1"/>
    <s v="Mobile Equipment"/>
    <s v="Light Mobile Equipment"/>
    <s v="Pick up"/>
    <s v="MOBILE EQUIPMENT  - FLAT DECK TRUCK - FORD F550  _x000a_L: 7264, W: 2418, H: 2022, 3311 kg"/>
    <m/>
    <m/>
    <s v="ea"/>
    <n v="6.666666666666667"/>
    <n v="25"/>
    <n v="666.08920634920639"/>
    <n v="250"/>
    <n v="941.08920634920639"/>
    <n v="0"/>
    <n v="0"/>
    <n v="0"/>
    <n v="0"/>
    <n v="0"/>
    <n v="4"/>
    <n v="0"/>
    <n v="1"/>
    <n v="0"/>
    <n v="0"/>
    <n v="1"/>
    <n v="0"/>
    <n v="0"/>
    <n v="0"/>
    <n v="0"/>
    <s v="Type A  _x000a_2AM-MRY1325"/>
    <s v="Removed"/>
    <s v="2015 A"/>
    <s v="Direct "/>
    <m/>
    <m/>
    <n v="0.33333333333333331"/>
    <m/>
    <n v="0.33333333333333331"/>
    <m/>
    <m/>
    <m/>
    <m/>
    <n v="0.33333333333333331"/>
    <n v="0"/>
    <m/>
    <n v="0"/>
    <n v="0"/>
    <n v="0"/>
    <n v="0"/>
    <n v="0"/>
    <n v="0"/>
    <n v="0"/>
    <n v="0"/>
  </r>
  <r>
    <x v="6"/>
    <x v="6"/>
    <x v="12"/>
    <x v="8"/>
    <x v="21"/>
    <x v="16"/>
    <x v="150"/>
    <x v="64"/>
    <m/>
    <s v="MO-"/>
    <s v="O2"/>
    <s v="Medium Mobile Equipment"/>
    <s v="O2"/>
    <s v="Mobile Equipment"/>
    <s v="Medium Mobile Equipment"/>
    <s v="telehandler"/>
    <s v="MOBILE EQUIPMENT  - INTEGRATED TOOL CARRIER CAT IT38"/>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150"/>
    <x v="64"/>
    <m/>
    <s v="MO-"/>
    <s v="O1"/>
    <s v="Light Mobile Equipment"/>
    <s v="O1"/>
    <s v="Mobile Equipment"/>
    <s v="Light Mobile Equipment"/>
    <s v="Lights"/>
    <s v="MOBILE EQUIPMENT  - LARGE MOBILE LIGHT PLANT - TEREX_x000a_L: 4623, W: 2007, H: 9000, 925 kg"/>
    <m/>
    <m/>
    <s v="ea"/>
    <n v="6.666666666666667"/>
    <n v="25"/>
    <n v="666.08920634920639"/>
    <n v="250"/>
    <n v="941.08920634920639"/>
    <n v="0"/>
    <n v="0"/>
    <n v="0"/>
    <n v="0"/>
    <n v="0"/>
    <n v="4"/>
    <n v="0"/>
    <n v="1"/>
    <n v="0"/>
    <n v="0"/>
    <n v="1"/>
    <n v="0"/>
    <n v="0"/>
    <n v="0"/>
    <n v="0"/>
    <s v="Type A  _x000a_2AM-MRY1325"/>
    <s v="Removed"/>
    <s v="2015 A"/>
    <s v="Direct "/>
    <m/>
    <m/>
    <n v="0.33333333333333331"/>
    <m/>
    <n v="0.33333333333333331"/>
    <m/>
    <m/>
    <m/>
    <m/>
    <n v="0.33333333333333331"/>
    <n v="0"/>
    <m/>
    <n v="0"/>
    <n v="0"/>
    <n v="0"/>
    <n v="0"/>
    <n v="0"/>
    <n v="0"/>
    <n v="0"/>
    <n v="0"/>
  </r>
  <r>
    <x v="6"/>
    <x v="6"/>
    <x v="12"/>
    <x v="8"/>
    <x v="21"/>
    <x v="16"/>
    <x v="150"/>
    <x v="64"/>
    <m/>
    <s v="MO-"/>
    <s v="O2"/>
    <s v="Medium Mobile Equipment"/>
    <s v="O2"/>
    <s v="Mobile Equipment"/>
    <s v="Medium Mobile Equipment"/>
    <s v="Hwy Truck"/>
    <s v="MOBILE EQUIPMENT  - SERVICE TRUCK - PETERBILT  "/>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151"/>
    <x v="65"/>
    <s v="731"/>
    <s v="MO-"/>
    <s v="O2"/>
    <s v="Medium Mobile Equipment"/>
    <s v="O2"/>
    <s v="Mobile Equipment"/>
    <s v="Medium Mobile Equipment"/>
    <s v="Hwy Truck"/>
    <s v="MOBILE EQUIPMENT  - WATER TRUCK  - PETERBILT 348 AUTO S/S 100 BBL  "/>
    <s v="4144-MO-001"/>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32"/>
    <s v="MO-"/>
    <s v="O3"/>
    <s v="Heavy Mobile Equipment"/>
    <s v="O3"/>
    <s v="Mobile Equipment"/>
    <s v="Heavy Mobile Equipment"/>
    <s v="Container Handler"/>
    <s v="MOBILE EQUIPMENT  - CONTAINER HANDLER - KALMAR DRF 450-6555  _x000a_L: 11684, W: 3454, H: 2146, 72000 kg"/>
    <s v="4144-MO-002"/>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33"/>
    <s v="MO-"/>
    <s v="O2"/>
    <s v="Medium Mobile Equipment"/>
    <s v="O2"/>
    <s v="Mobile Equipment"/>
    <s v="Medium Mobile Equipment"/>
    <s v="school bus"/>
    <s v="MOBILE EQUIPMENT  - PASSENGER TRANSFER BUS - BLUE BIRD BBCV DIESEL 3507A  _x000a_L: 12192, W: 2440, H: 2900, 14000 kg"/>
    <s v="4144-MO-003"/>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34"/>
    <s v="MO-"/>
    <s v="O2"/>
    <s v="Medium Mobile Equipment"/>
    <s v="O2"/>
    <s v="Mobile Equipment"/>
    <s v="Medium Mobile Equipment"/>
    <s v="school bus"/>
    <s v="MOBILE EQUIPMENT  - PASSENGER TRANSFER BUS - BLUE BIRD BBCV DIESEL 3507A  _x000a_L: 12192, W: 2440, H: 2900, 14000 kg"/>
    <s v="4144-MO-004"/>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35"/>
    <s v="MO-"/>
    <s v="O2"/>
    <s v="Medium Mobile Equipment"/>
    <s v="O2"/>
    <s v="Mobile Equipment"/>
    <s v="Medium Mobile Equipment"/>
    <s v="school bus"/>
    <s v="MOBILE EQUIPMENT  - WORKER TRANSFER MINI BUS - BLUE BIRD BBCV DIESEL 1910 A  L: 7470, W: 2440, H: 1930, 7080 kg"/>
    <s v="4144-MO-005"/>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36"/>
    <s v="MO-"/>
    <s v="O1"/>
    <s v="Light Mobile Equipment"/>
    <s v="O1"/>
    <s v="Mobile Equipment"/>
    <s v="Light Mobile Equipment"/>
    <s v="sewage tank and vacuum"/>
    <s v="MOBILE EQUIPMENT  - SEWAGE HOLDING TANK SKID MOUNTED VACUUM UNIT - TEXLA "/>
    <s v="4144-MO-006"/>
    <m/>
    <s v="ea"/>
    <n v="6.666666666666667"/>
    <n v="25"/>
    <n v="666.08920634920639"/>
    <n v="250"/>
    <n v="941.08920634920639"/>
    <n v="0"/>
    <n v="0"/>
    <n v="0"/>
    <n v="0"/>
    <n v="0"/>
    <n v="4"/>
    <n v="0"/>
    <n v="1"/>
    <n v="0"/>
    <n v="0"/>
    <n v="1"/>
    <n v="0"/>
    <n v="0"/>
    <n v="0"/>
    <n v="0"/>
    <s v="Type A  _x000a_2AM-MRY1325"/>
    <s v="Removed"/>
    <n v="2014"/>
    <s v="Direct "/>
    <m/>
    <m/>
    <n v="0.5"/>
    <n v="0.5"/>
    <m/>
    <m/>
    <m/>
    <m/>
    <m/>
    <m/>
    <n v="0"/>
    <m/>
    <n v="0"/>
    <n v="0"/>
    <n v="0"/>
    <n v="0"/>
    <n v="0"/>
    <n v="0"/>
    <n v="0"/>
    <n v="0"/>
  </r>
  <r>
    <x v="6"/>
    <x v="6"/>
    <x v="12"/>
    <x v="8"/>
    <x v="21"/>
    <x v="16"/>
    <x v="151"/>
    <x v="65"/>
    <s v="737"/>
    <s v="MO-"/>
    <s v="O1"/>
    <s v="Light Mobile Equipment"/>
    <s v="O1"/>
    <s v="Mobile Equipment"/>
    <s v="Light Mobile Equipment"/>
    <s v="Trailer"/>
    <s v="MOBILE EQUIPMENT  - FREIGHT DELIVERY HIBOY TRAILER L: 14630 _x000a_W: 2438 "/>
    <s v="4144-MO-00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38"/>
    <s v="MO-"/>
    <s v="O3"/>
    <s v="Heavy Mobile Equipment"/>
    <s v="O3"/>
    <s v="Mobile Equipment"/>
    <s v="Heavy Mobile Equipment"/>
    <s v="Hwy Truck"/>
    <s v="MOBILE EQUIPMENT  - DIESEL FUEL TRAILER TRACTOR - WESTERN STAR 4900FA  "/>
    <s v="4144-MO-008"/>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39"/>
    <s v="MO-"/>
    <s v="O2"/>
    <s v="Medium Mobile Equipment"/>
    <s v="O2"/>
    <s v="Mobile Equipment"/>
    <s v="Medium Mobile Equipment"/>
    <s v="Dump Truck"/>
    <s v="MOBILE EQUIPMENT  - JET-A1 FUEL DELIVERY TRUCK - MACK/INNOCAR GU813  _x000a_L: 8052, W: 2960, H: 3589"/>
    <s v="4144-MO-009"/>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0"/>
    <s v="MO-"/>
    <s v="O3"/>
    <s v="Heavy Mobile Equipment"/>
    <s v="O3"/>
    <s v="Mobile Equipment"/>
    <s v="Heavy Mobile Equipment"/>
    <s v="trailer (Fuel)"/>
    <s v="MOBILE EQUIPMENT  - DIESEL FUEL DELIVERY TRAILER - TREMCAR TC406 SUPER B-TRAIN  L: 24384, W: 2590, H: 4013, 33500 kg"/>
    <s v="4144-MO-010"/>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1"/>
    <s v="MO-"/>
    <s v="O2"/>
    <s v="Medium Mobile Equipment"/>
    <s v="O2"/>
    <s v="Mobile Equipment"/>
    <s v="Medium Mobile Equipment"/>
    <s v="Large Trailer"/>
    <s v="MOBILE EQUIPMENT  - MOBILE EQUIPMENT LOWBOY TRAILER - SHELTEMA  _x000a_L: 7620, W: 4572 _x000a_"/>
    <s v="4144-MO-011"/>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2"/>
    <s v="MO-"/>
    <s v="O2"/>
    <s v="Medium Mobile Equipment"/>
    <s v="O2"/>
    <s v="Mobile Equipment"/>
    <s v="Medium Mobile Equipment"/>
    <s v="Hwy Truck"/>
    <s v="MOBILE EQUIPMENT  - GARBAGE TRUCK  - PETERBILT 365  "/>
    <s v="4144-MO-012"/>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3"/>
    <s v="MO-"/>
    <s v="O2"/>
    <s v="Medium Mobile Equipment"/>
    <s v="O2"/>
    <s v="Mobile Equipment"/>
    <s v="Medium Mobile Equipment"/>
    <s v="Garbage Bin (Large)"/>
    <s v="MOBILE EQUIPMENT  - GARBAGE BIN - LARGE  "/>
    <s v="4144-MO-013"/>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4"/>
    <s v="MO-"/>
    <s v="O2"/>
    <s v="Medium Mobile Equipment"/>
    <s v="O2"/>
    <s v="Mobile Equipment"/>
    <s v="Medium Mobile Equipment"/>
    <s v="Garbage Bin (Large)"/>
    <s v="MOBILE EQUIPMENT  - GARBAGE BIN - LARGE  "/>
    <s v="4144-MO-014"/>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5"/>
    <s v="MO-"/>
    <s v="O2"/>
    <s v="Medium Mobile Equipment"/>
    <s v="O2"/>
    <s v="Mobile Equipment"/>
    <s v="Medium Mobile Equipment"/>
    <s v="Garbage Bin (Large)"/>
    <s v="MOBILE EQUIPMENT  - GARBAGE BIN - LARGE  "/>
    <s v="4144-MO-015"/>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6"/>
    <s v="MO-"/>
    <s v="O2"/>
    <s v="Medium Mobile Equipment"/>
    <s v="O2"/>
    <s v="Mobile Equipment"/>
    <s v="Medium Mobile Equipment"/>
    <s v="Garbage Bin (Large)"/>
    <s v="MOBILE EQUIPMENT  - GARBAGE BIN - LARGE  "/>
    <s v="4144-MO-016"/>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7"/>
    <s v="MO-"/>
    <s v="O1"/>
    <s v="Light Mobile Equipment"/>
    <s v="O1"/>
    <s v="Mobile Equipment"/>
    <s v="Light Mobile Equipment"/>
    <s v="Small Garbage bin"/>
    <s v="MOBILE EQUIPMENT  - GARBAGE BIN - SMALL  "/>
    <s v="4144-MO-01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8"/>
    <s v="MO-"/>
    <s v="O1"/>
    <s v="Light Mobile Equipment"/>
    <s v="O1"/>
    <s v="Mobile Equipment"/>
    <s v="Light Mobile Equipment"/>
    <s v="Small Garbage bin"/>
    <s v="MOBILE EQUIPMENT  - GARBAGE BIN - SMALL  "/>
    <s v="4144-MO-018"/>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49"/>
    <s v="MO-"/>
    <s v="O3"/>
    <s v="Heavy Mobile Equipment"/>
    <s v="O3"/>
    <s v="Mobile Equipment"/>
    <s v="Heavy Mobile Equipment"/>
    <s v="Cat 740"/>
    <s v="MOBILE EQUIPMENT  - ARTICULATED WATER/SAND TRUCK - CAT 740  "/>
    <s v="4144-MO-024"/>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0"/>
    <s v="MO-"/>
    <s v="O2"/>
    <s v="Medium Mobile Equipment"/>
    <s v="O2"/>
    <s v="Mobile Equipment"/>
    <s v="Medium Mobile Equipment"/>
    <s v="trailer (Fuel)"/>
    <s v="MOBILE EQUIPMENT  - DIESEL FUEL DELIVERY TRAILER - ADVANCE  "/>
    <s v="4144-MO-025"/>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1"/>
    <s v="MO-"/>
    <s v="O1"/>
    <s v="Light Mobile Equipment"/>
    <s v="O1"/>
    <s v="Mobile Equipment"/>
    <s v="Light Mobile Equipment"/>
    <s v="sewage tank and vacuum"/>
    <s v="MOBILE EQUIPMENT  - SEWAGE HOLDING TANK SKID MOUNTED VACUUM UNIT - TEXLA "/>
    <s v="4144-MO-026"/>
    <m/>
    <s v="ea"/>
    <n v="6.666666666666667"/>
    <n v="25"/>
    <n v="666.08920634920639"/>
    <n v="250"/>
    <n v="941.08920634920639"/>
    <n v="0"/>
    <n v="0"/>
    <n v="0"/>
    <n v="0"/>
    <n v="0"/>
    <n v="4"/>
    <n v="0"/>
    <n v="1"/>
    <n v="0"/>
    <n v="0"/>
    <n v="1"/>
    <n v="0"/>
    <n v="0"/>
    <n v="0"/>
    <n v="0"/>
    <s v="Type A  _x000a_2AM-MRY1325"/>
    <s v="Removed"/>
    <n v="2014"/>
    <s v="Direct "/>
    <m/>
    <m/>
    <n v="0.5"/>
    <n v="0.5"/>
    <m/>
    <m/>
    <m/>
    <m/>
    <m/>
    <m/>
    <n v="0"/>
    <m/>
    <n v="0"/>
    <n v="0"/>
    <n v="0"/>
    <n v="0"/>
    <n v="0"/>
    <n v="0"/>
    <n v="0"/>
    <n v="0"/>
  </r>
  <r>
    <x v="6"/>
    <x v="6"/>
    <x v="12"/>
    <x v="8"/>
    <x v="21"/>
    <x v="16"/>
    <x v="151"/>
    <x v="65"/>
    <s v="752"/>
    <s v="MO-"/>
    <s v="O1"/>
    <s v="Light Mobile Equipment"/>
    <s v="O1"/>
    <s v="Mobile Equipment"/>
    <s v="Light Mobile Equipment"/>
    <s v="Sea Container"/>
    <s v="MOBILE EQUIPMENT  - HEATED/REFRIGERATED SEA CONTAINER  _x000a_L: 6096, W: 2440, H: 2440 "/>
    <s v="4144-MO-030"/>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3"/>
    <s v="MO-"/>
    <s v="O1"/>
    <s v="Light Mobile Equipment"/>
    <s v="O1"/>
    <s v="Mobile Equipment"/>
    <s v="Light Mobile Equipment"/>
    <s v="Sea Container"/>
    <s v="MOBILE EQUIPMENT  - HEATED/REFRIGERATED SEA CONTAINER  _x000a_L: 6096, W: 2440, H: 2440 "/>
    <s v="4144-MO-03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4"/>
    <s v="MO-"/>
    <s v="O1"/>
    <s v="Light Mobile Equipment"/>
    <s v="O1"/>
    <s v="Mobile Equipment"/>
    <s v="Light Mobile Equipment"/>
    <s v="Sea Container"/>
    <s v="MOBILE EQUIPMENT  - REFRIGERATED SEA CONTAINER _x000a_L: 6096, W: 2440, H: 2440 "/>
    <s v="4144-MO-032"/>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5"/>
    <s v="MO-"/>
    <s v="O1"/>
    <s v="Light Mobile Equipment"/>
    <s v="O1"/>
    <s v="Mobile Equipment"/>
    <s v="Light Mobile Equipment"/>
    <s v="Sea Container"/>
    <s v="MOBILE EQUIPMENT  - REFRIGERATED SEA CONTAINER _x000a_L: 6096, W: 2440, H: 2440 "/>
    <s v="4144-MO-03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6"/>
    <s v="MO-"/>
    <s v="O1"/>
    <s v="Light Mobile Equipment"/>
    <s v="O1"/>
    <s v="Mobile Equipment"/>
    <s v="Light Mobile Equipment"/>
    <s v="Sea Container"/>
    <s v="MOBILE EQUIPMENT  - REFRIGERATED SEA CONTAINER _x000a_L: 6096, W: 2440, H: 2440 "/>
    <s v="4144-MO-034"/>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7"/>
    <s v="MO-"/>
    <s v="O1"/>
    <s v="Light Mobile Equipment"/>
    <s v="O1"/>
    <s v="Mobile Equipment"/>
    <s v="Light Mobile Equipment"/>
    <s v="Sea Container"/>
    <s v="MOBILE EQUIPMENT  - REFRIGERATED SEA CONTAINER _x000a_L: 6096, W: 2440, H: 2440 "/>
    <s v="4144-MO-035"/>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8"/>
    <s v="MO-"/>
    <s v="O1"/>
    <s v="Light Mobile Equipment"/>
    <s v="O1"/>
    <s v="Mobile Equipment"/>
    <s v="Light Mobile Equipment"/>
    <s v="Sea Container"/>
    <s v="MOBILE EQUIPMENT  - REFRIGERATED SEA CONTAINER _x000a_L: 6096, W: 2440, H: 2440 "/>
    <s v="4144-MO-03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59"/>
    <s v="MO-"/>
    <s v="O1"/>
    <s v="Light Mobile Equipment"/>
    <s v="O1"/>
    <s v="Mobile Equipment"/>
    <s v="Light Mobile Equipment"/>
    <s v="Sea Container"/>
    <s v="MOBILE EQUIPMENT  - REFRIGERATED SEA CONTAINER _x000a_L: 6096, W: 2440, H: 2440 "/>
    <s v="4144-MO-03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60"/>
    <s v="MO-"/>
    <s v="O1"/>
    <s v="Light Mobile Equipment"/>
    <s v="O1"/>
    <s v="Mobile Equipment"/>
    <s v="Light Mobile Equipment"/>
    <s v="Small Garbage bin"/>
    <s v="MOBILE EQUIPMENT  - WILDLIFE DETERGENT GARBAGE BIN "/>
    <s v="4144-MO-040"/>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61"/>
    <s v="MO-"/>
    <s v="O1"/>
    <s v="Light Mobile Equipment"/>
    <s v="O1"/>
    <s v="Mobile Equipment"/>
    <s v="Light Mobile Equipment"/>
    <s v="Small Garbage bin"/>
    <s v="MOBILE EQUIPMENT  - WILDLIFE DETERGENT GARBAGE BIN "/>
    <s v="4144-MO-04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62"/>
    <s v="MO-"/>
    <s v="O1"/>
    <s v="Light Mobile Equipment"/>
    <s v="O1"/>
    <s v="Mobile Equipment"/>
    <s v="Light Mobile Equipment"/>
    <s v="Small Garbage bin"/>
    <s v="MOBILE EQUIPMENT  - WILDLIFE DETERGENT GARBAGE BIN "/>
    <s v="4144-MO-042"/>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63"/>
    <s v="MO-"/>
    <s v="O1"/>
    <s v="Light Mobile Equipment"/>
    <s v="O1"/>
    <s v="Mobile Equipment"/>
    <s v="Light Mobile Equipment"/>
    <s v="Small Garbage bin"/>
    <s v="MOBILE EQUIPMENT  - WILDLIFE DETERGENT GARBAGE BIN "/>
    <s v="4144-MO-04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64"/>
    <s v="MO-"/>
    <s v="O1"/>
    <s v="Light Mobile Equipment"/>
    <s v="O1"/>
    <s v="Mobile Equipment"/>
    <s v="Light Mobile Equipment"/>
    <s v="Small Garbage bin"/>
    <s v="MOBILE EQUIPMENT  - WILDLIFE DETERGENT GARBAGE BIN "/>
    <s v="4144-MO-044"/>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1"/>
    <x v="65"/>
    <s v="765"/>
    <s v="MO-"/>
    <s v="O1"/>
    <s v="Light Mobile Equipment"/>
    <s v="O1"/>
    <s v="Mobile Equipment"/>
    <s v="Light Mobile Equipment"/>
    <s v="Small Garbage bin"/>
    <s v="MOBILE EQUIPMENT  - WILDLIFE DETERGENT GARBAGE BIN "/>
    <s v="4144-MO-045"/>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2"/>
    <x v="8"/>
    <x v="21"/>
    <x v="16"/>
    <x v="152"/>
    <x v="65"/>
    <m/>
    <s v="MO-"/>
    <s v="O2"/>
    <s v="Medium Mobile Equipment"/>
    <s v="O2"/>
    <s v="Mobile Equipment"/>
    <s v="Medium Mobile Equipment"/>
    <s v="school bus"/>
    <s v="MOBILE EQUIPMENT  - COACH PASSENGER TRANSFER BUS"/>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152"/>
    <x v="65"/>
    <m/>
    <s v="MO-"/>
    <s v="O3"/>
    <s v="Heavy Mobile Equipment"/>
    <s v="O3"/>
    <s v="Mobile Equipment"/>
    <s v="Heavy Mobile Equipment"/>
    <s v="Container Handler"/>
    <s v="MOBILE EQUIPMENT  - CONTAINER HANDLER - KALMAR DRF 450-6555  _x000a_L: 11684, W: 3454, H: 2146, 72000 kg"/>
    <m/>
    <m/>
    <s v="ea"/>
    <n v="13"/>
    <n v="120"/>
    <n v="1298.8739523809525"/>
    <n v="1200"/>
    <n v="2618.8739523809527"/>
    <n v="0"/>
    <n v="0"/>
    <n v="0"/>
    <n v="0"/>
    <n v="0"/>
    <n v="96"/>
    <n v="0"/>
    <n v="1"/>
    <n v="0"/>
    <n v="0"/>
    <n v="1"/>
    <n v="0"/>
    <n v="0"/>
    <n v="0"/>
    <n v="0"/>
    <s v="Type A  _x000a_2AM-MRY1325"/>
    <s v="Removed"/>
    <s v="2015 A"/>
    <s v="Direct "/>
    <m/>
    <m/>
    <n v="0.33333333333333331"/>
    <m/>
    <n v="0.33333333333333331"/>
    <m/>
    <m/>
    <m/>
    <m/>
    <n v="0.33333333333333331"/>
    <n v="0"/>
    <m/>
    <n v="0"/>
    <n v="0"/>
    <n v="0"/>
    <n v="0"/>
    <n v="0"/>
    <n v="0"/>
    <n v="0"/>
    <n v="0"/>
  </r>
  <r>
    <x v="6"/>
    <x v="6"/>
    <x v="12"/>
    <x v="8"/>
    <x v="21"/>
    <x v="16"/>
    <x v="152"/>
    <x v="65"/>
    <m/>
    <s v="MO-"/>
    <s v="O2"/>
    <s v="Medium Mobile Equipment"/>
    <s v="O2"/>
    <s v="Mobile Equipment"/>
    <s v="Medium Mobile Equipment"/>
    <s v="Dump Truck"/>
    <s v="MOBILE EQUIPMENT  - FUEL DELIVERY TRUCK - FREIGHTLINER"/>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152"/>
    <x v="65"/>
    <m/>
    <s v="MO-"/>
    <s v="O2"/>
    <s v="Medium Mobile Equipment"/>
    <s v="O2"/>
    <s v="Mobile Equipment"/>
    <s v="Medium Mobile Equipment"/>
    <s v="Dump Truck"/>
    <s v="MOBILE EQUIPMENT  - FUEL DELIVERY TRUCK - INTERNATIONAL"/>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152"/>
    <x v="65"/>
    <m/>
    <s v="MO-"/>
    <s v="O2"/>
    <s v="Medium Mobile Equipment"/>
    <s v="O2"/>
    <s v="Mobile Equipment"/>
    <s v="Medium Mobile Equipment"/>
    <s v="Trailer"/>
    <s v="MOBILE EQUIPMENT  - Live Bottom Trailer"/>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152"/>
    <x v="65"/>
    <m/>
    <s v="MO-"/>
    <s v="O2"/>
    <s v="Medium Mobile Equipment"/>
    <s v="O2"/>
    <s v="Mobile Equipment"/>
    <s v="Medium Mobile Equipment"/>
    <s v="Peterbilt  Truck"/>
    <s v="MOBILE EQUIPMENT  - MAINTENANCE FUEL/LUBE TRUCK  - PETERBILT"/>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152"/>
    <x v="65"/>
    <m/>
    <s v="MO-"/>
    <s v="O2"/>
    <s v="Medium Mobile Equipment"/>
    <s v="O2"/>
    <s v="Mobile Equipment"/>
    <s v="Medium Mobile Equipment"/>
    <s v="Ford  Truck"/>
    <s v="MOBILE EQUIPMENT  - MAINTENANCE LUBE TRUCK   - Ford"/>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2"/>
    <x v="8"/>
    <x v="21"/>
    <x v="16"/>
    <x v="152"/>
    <x v="65"/>
    <m/>
    <s v="MO-"/>
    <s v="O1"/>
    <s v="Light Mobile Equipment"/>
    <s v="O1"/>
    <s v="Mobile Equipment"/>
    <s v="Light Mobile Equipment"/>
    <s v="sewage vacuum truck"/>
    <s v="MOBILE EQUIPMENT  - SEWAGE VACUUM TRUCK - FREIGHTLINER"/>
    <m/>
    <m/>
    <s v="ea"/>
    <n v="6.666666666666667"/>
    <n v="25"/>
    <n v="666.08920634920639"/>
    <n v="250"/>
    <n v="941.08920634920639"/>
    <n v="0"/>
    <n v="0"/>
    <n v="0"/>
    <n v="0"/>
    <n v="0"/>
    <n v="4"/>
    <n v="0"/>
    <n v="1"/>
    <n v="0"/>
    <n v="0"/>
    <n v="1"/>
    <n v="0"/>
    <n v="0"/>
    <n v="0"/>
    <n v="0"/>
    <s v="Type A  _x000a_2AM-MRY1325"/>
    <s v="Removed"/>
    <s v="2015 A"/>
    <s v="Direct "/>
    <m/>
    <m/>
    <n v="0.5"/>
    <n v="0.5"/>
    <m/>
    <m/>
    <m/>
    <m/>
    <m/>
    <m/>
    <n v="0"/>
    <m/>
    <n v="0"/>
    <n v="0"/>
    <n v="0"/>
    <n v="0"/>
    <n v="0"/>
    <n v="0"/>
    <n v="0"/>
    <n v="0"/>
  </r>
  <r>
    <x v="6"/>
    <x v="6"/>
    <x v="12"/>
    <x v="8"/>
    <x v="21"/>
    <x v="16"/>
    <x v="152"/>
    <x v="65"/>
    <m/>
    <s v="MO-"/>
    <s v="O2"/>
    <s v="Medium Mobile Equipment"/>
    <s v="O2"/>
    <s v="Mobile Equipment"/>
    <s v="Medium Mobile Equipment"/>
    <m/>
    <s v="MOBILE EQUIPMENT  - WATER TRUCK  - PETERBILT (5400 GAL)  "/>
    <m/>
    <m/>
    <s v="ea"/>
    <n v="10"/>
    <n v="45"/>
    <n v="999.13380952380965"/>
    <n v="450"/>
    <n v="1494.1338095238098"/>
    <n v="0"/>
    <n v="0"/>
    <n v="0"/>
    <n v="0"/>
    <n v="0"/>
    <n v="24"/>
    <n v="0"/>
    <n v="1"/>
    <n v="0"/>
    <n v="0"/>
    <n v="1"/>
    <n v="0"/>
    <n v="0"/>
    <n v="0"/>
    <n v="0"/>
    <s v="Type A  _x000a_2AM-MRY1325"/>
    <s v="Removed"/>
    <s v="2015 A"/>
    <s v="Direct "/>
    <m/>
    <m/>
    <n v="0.33333333333333331"/>
    <m/>
    <n v="0.33333333333333331"/>
    <m/>
    <m/>
    <m/>
    <m/>
    <n v="0.33333333333333331"/>
    <n v="0"/>
    <m/>
    <n v="0"/>
    <n v="0"/>
    <n v="0"/>
    <n v="0"/>
    <n v="0"/>
    <n v="0"/>
    <n v="0"/>
    <n v="0"/>
  </r>
  <r>
    <x v="6"/>
    <x v="6"/>
    <x v="18"/>
    <x v="11"/>
    <x v="56"/>
    <x v="36"/>
    <x v="153"/>
    <x v="132"/>
    <m/>
    <s v=""/>
    <m/>
    <m/>
    <m/>
    <m/>
    <m/>
    <m/>
    <m/>
    <m/>
    <m/>
    <m/>
    <s v="0"/>
    <s v="0"/>
    <s v="0"/>
    <s v="0"/>
    <s v="0"/>
    <n v="0"/>
    <n v="0"/>
    <n v="0"/>
    <n v="0"/>
    <n v="0"/>
    <n v="0"/>
    <n v="0"/>
    <n v="1"/>
    <n v="0"/>
    <m/>
    <m/>
    <n v="0"/>
    <n v="0"/>
    <n v="0"/>
    <n v="0"/>
    <s v="Type A  _x000a_2AM-MRY1325"/>
    <m/>
    <n v="2014"/>
    <s v="Direct "/>
    <m/>
    <m/>
    <m/>
    <m/>
    <m/>
    <m/>
    <m/>
    <m/>
    <m/>
    <m/>
    <n v="0"/>
    <m/>
    <n v="0"/>
    <n v="0"/>
    <n v="0"/>
    <n v="0"/>
    <n v="0"/>
    <n v="0"/>
    <n v="0"/>
    <n v="0"/>
  </r>
  <r>
    <x v="6"/>
    <x v="6"/>
    <x v="18"/>
    <x v="11"/>
    <x v="47"/>
    <x v="31"/>
    <x v="106"/>
    <x v="111"/>
    <m/>
    <s v=""/>
    <s v="A3l"/>
    <s v="Grade &amp; Re-Contour with Liner"/>
    <s v="A3l"/>
    <s v="Site Works"/>
    <s v="Grade and Re-Contour With Liner"/>
    <m/>
    <s v="2008 bulk sample PWSP "/>
    <m/>
    <m/>
    <s v="m2"/>
    <n v="4.4489880937500004E-2"/>
    <n v="0.17804999999999999"/>
    <n v="4.4489880937499997"/>
    <n v="0.71454534577546303"/>
    <n v="5.3082953457754627"/>
    <n v="0"/>
    <n v="0"/>
    <n v="0"/>
    <n v="0"/>
    <n v="0"/>
    <n v="0"/>
    <n v="0"/>
    <n v="1"/>
    <n v="0"/>
    <n v="0"/>
    <n v="1"/>
    <n v="0"/>
    <n v="0"/>
    <n v="0"/>
    <n v="0"/>
    <s v="Type B Construction_x000a_2BC-MRY1416"/>
    <s v="Removed "/>
    <n v="2014"/>
    <s v="Direct "/>
    <m/>
    <m/>
    <m/>
    <n v="1"/>
    <m/>
    <m/>
    <m/>
    <m/>
    <m/>
    <m/>
    <n v="0"/>
    <m/>
    <n v="0"/>
    <n v="0"/>
    <n v="0"/>
    <n v="0"/>
    <n v="0"/>
    <n v="0"/>
    <n v="0"/>
    <n v="0"/>
  </r>
  <r>
    <x v="6"/>
    <x v="6"/>
    <x v="13"/>
    <x v="2"/>
    <x v="25"/>
    <x v="19"/>
    <x v="138"/>
    <x v="37"/>
    <s v="807"/>
    <s v="CV-"/>
    <s v="O3"/>
    <s v="Heavy Mobile Equipment"/>
    <s v="O3"/>
    <s v="Mobile Equipment"/>
    <s v="Heavy Mobile Equipment"/>
    <m/>
    <s v="CONVEYING  - LINK CONVEYOR  - MASABA MINING EQUIPMENT  "/>
    <s v="4381-CV-011"/>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08"/>
    <s v="CV-"/>
    <s v="O3"/>
    <s v="Heavy Mobile Equipment"/>
    <s v="O3"/>
    <s v="Mobile Equipment"/>
    <s v="Heavy Mobile Equipment"/>
    <m/>
    <s v="CONVEYING  - LINK CONVEYOR  - MASABA MINING EQUIPMENT  "/>
    <s v="4381-CV-012"/>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09"/>
    <s v="CV-"/>
    <s v="O3"/>
    <s v="Heavy Mobile Equipment"/>
    <s v="O3"/>
    <s v="Mobile Equipment"/>
    <s v="Heavy Mobile Equipment"/>
    <m/>
    <s v="CONVEYING  - LINK CONVEYOR  - MASABA MINING EQUIPMENT  "/>
    <s v="4381-CV-013"/>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0"/>
    <s v="CV-"/>
    <s v="O3"/>
    <s v="Heavy Mobile Equipment"/>
    <s v="O3"/>
    <s v="Mobile Equipment"/>
    <s v="Heavy Mobile Equipment"/>
    <m/>
    <s v="CONVEYING  - LINK CONVEYOR  - MASABA MINING EQUIPMENT  "/>
    <s v="4381-CV-014"/>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1"/>
    <s v="CV-"/>
    <s v="O3"/>
    <s v="Heavy Mobile Equipment"/>
    <s v="O3"/>
    <s v="Mobile Equipment"/>
    <s v="Heavy Mobile Equipment"/>
    <m/>
    <s v="CONVEYING  - LINK CONVEYOR  - MASABA MINING EQUIPMENT  "/>
    <s v="4381-CV-015"/>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2"/>
    <s v="CV-"/>
    <s v="O3"/>
    <s v="Heavy Mobile Equipment"/>
    <s v="O3"/>
    <s v="Mobile Equipment"/>
    <s v="Heavy Mobile Equipment"/>
    <m/>
    <s v="CONVEYING  - LINK CONVEYOR  - MASABA MINING EQUIPMENT  "/>
    <s v="4381-CV-016"/>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3"/>
    <s v="CV-"/>
    <s v="O3"/>
    <s v="Heavy Mobile Equipment"/>
    <s v="O3"/>
    <s v="Mobile Equipment"/>
    <s v="Heavy Mobile Equipment"/>
    <m/>
    <s v="CONVEYING  - LINK CONVEYOR  - MASABA MINING EQUIPMENT  "/>
    <s v="4381-CV-017"/>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3"/>
    <x v="2"/>
    <x v="25"/>
    <x v="19"/>
    <x v="138"/>
    <x v="37"/>
    <s v="814"/>
    <s v="CV-"/>
    <s v="O3"/>
    <s v="Heavy Mobile Equipment"/>
    <s v="O3"/>
    <s v="Mobile Equipment"/>
    <s v="Heavy Mobile Equipment"/>
    <m/>
    <s v="CONVEYING  - LINK CONVEYOR  - MASABA MINING EQUIPMENT  "/>
    <s v="4381-CV-018"/>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20"/>
    <x v="12"/>
    <x v="64"/>
    <x v="37"/>
    <x v="154"/>
    <x v="133"/>
    <m/>
    <s v=""/>
    <m/>
    <m/>
    <m/>
    <m/>
    <m/>
    <m/>
    <m/>
    <m/>
    <m/>
    <m/>
    <s v="0"/>
    <s v="0"/>
    <s v="0"/>
    <s v="0"/>
    <s v="0"/>
    <n v="0"/>
    <n v="0"/>
    <n v="0"/>
    <n v="0"/>
    <n v="0"/>
    <n v="0"/>
    <n v="0"/>
    <n v="1"/>
    <n v="0"/>
    <m/>
    <m/>
    <n v="0"/>
    <n v="0"/>
    <n v="0"/>
    <n v="0"/>
    <s v="Type A  _x000a_2AM-MRY1325"/>
    <m/>
    <n v="2014"/>
    <s v="Direct "/>
    <m/>
    <m/>
    <m/>
    <m/>
    <m/>
    <m/>
    <m/>
    <m/>
    <m/>
    <m/>
    <n v="0"/>
    <m/>
    <n v="0"/>
    <n v="0"/>
    <n v="0"/>
    <n v="0"/>
    <n v="0"/>
    <n v="0"/>
    <n v="0"/>
    <n v="0"/>
  </r>
  <r>
    <x v="6"/>
    <x v="6"/>
    <x v="20"/>
    <x v="12"/>
    <x v="60"/>
    <x v="28"/>
    <x v="155"/>
    <x v="134"/>
    <m/>
    <s v=""/>
    <m/>
    <m/>
    <m/>
    <m/>
    <m/>
    <m/>
    <m/>
    <m/>
    <m/>
    <m/>
    <s v="0"/>
    <s v="0"/>
    <s v="0"/>
    <s v="0"/>
    <s v="0"/>
    <n v="0"/>
    <n v="0"/>
    <n v="0"/>
    <n v="0"/>
    <n v="0"/>
    <n v="0"/>
    <n v="0"/>
    <n v="1"/>
    <n v="0"/>
    <m/>
    <m/>
    <n v="0"/>
    <n v="0"/>
    <n v="0"/>
    <n v="0"/>
    <s v="Type A  _x000a_2AM-MRY1325"/>
    <m/>
    <n v="2014"/>
    <s v="Direct "/>
    <m/>
    <m/>
    <m/>
    <m/>
    <m/>
    <m/>
    <m/>
    <m/>
    <m/>
    <m/>
    <n v="0"/>
    <m/>
    <n v="0"/>
    <n v="0"/>
    <n v="0"/>
    <n v="0"/>
    <n v="0"/>
    <n v="0"/>
    <n v="0"/>
    <n v="0"/>
  </r>
  <r>
    <x v="6"/>
    <x v="6"/>
    <x v="20"/>
    <x v="12"/>
    <x v="60"/>
    <x v="28"/>
    <x v="156"/>
    <x v="35"/>
    <m/>
    <s v=""/>
    <m/>
    <m/>
    <m/>
    <m/>
    <m/>
    <m/>
    <m/>
    <m/>
    <m/>
    <m/>
    <s v="0"/>
    <s v="0"/>
    <s v="0"/>
    <s v="0"/>
    <s v="0"/>
    <n v="0"/>
    <n v="0"/>
    <n v="0"/>
    <n v="0"/>
    <n v="0"/>
    <n v="0"/>
    <n v="0"/>
    <n v="1"/>
    <n v="0"/>
    <m/>
    <m/>
    <n v="0"/>
    <n v="0"/>
    <n v="0"/>
    <n v="0"/>
    <s v="Type A  _x000a_2AM-MRY1325"/>
    <m/>
    <n v="2014"/>
    <s v="Direct "/>
    <m/>
    <m/>
    <m/>
    <m/>
    <m/>
    <m/>
    <m/>
    <m/>
    <m/>
    <m/>
    <n v="0"/>
    <m/>
    <n v="0"/>
    <n v="0"/>
    <n v="0"/>
    <n v="0"/>
    <n v="0"/>
    <n v="0"/>
    <n v="0"/>
    <n v="0"/>
  </r>
  <r>
    <x v="6"/>
    <x v="6"/>
    <x v="20"/>
    <x v="12"/>
    <x v="51"/>
    <x v="28"/>
    <x v="157"/>
    <x v="126"/>
    <s v="848"/>
    <s v="MO-"/>
    <s v="O2"/>
    <s v="Medium Mobile Equipment"/>
    <s v="O2"/>
    <s v="Mobile Equipment"/>
    <s v="Medium Mobile Equipment"/>
    <s v="Bus sized"/>
    <s v="MOBILE EQUIPMENT  - AIRPORT MAINTENANCE DE-ICING TRUCK - FORD SUPERIOR  "/>
    <s v="4434-MO-002"/>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6"/>
    <x v="6"/>
    <x v="12"/>
    <x v="8"/>
    <x v="34"/>
    <x v="10"/>
    <x v="94"/>
    <x v="62"/>
    <m/>
    <s v=""/>
    <s v="A3"/>
    <s v="Grade &amp; Re-Contour"/>
    <s v="A2"/>
    <s v="Site Works"/>
    <s v="Grade and Re-Contour"/>
    <s v="Grade and Contour"/>
    <m/>
    <m/>
    <m/>
    <s v="m2"/>
    <n v="1.2689880937499998E-2"/>
    <n v="0.14624999999999999"/>
    <n v="1.2689880937499998"/>
    <n v="0.39654534577546297"/>
    <n v="1.8102953457754629"/>
    <n v="0"/>
    <n v="0"/>
    <n v="0"/>
    <n v="0"/>
    <n v="0"/>
    <n v="0"/>
    <n v="0"/>
    <n v="1"/>
    <n v="0"/>
    <n v="0"/>
    <n v="1"/>
    <n v="0"/>
    <n v="0"/>
    <n v="0"/>
    <n v="0"/>
    <s v="Type A  _x000a_2AM-MRY1325"/>
    <s v="Added"/>
    <s v="2017-A"/>
    <s v="Direct "/>
    <m/>
    <m/>
    <n v="0.5"/>
    <n v="0.5"/>
    <m/>
    <m/>
    <m/>
    <m/>
    <m/>
    <m/>
    <n v="0"/>
    <m/>
    <n v="0"/>
    <n v="0"/>
    <n v="0"/>
    <n v="0"/>
    <n v="0"/>
    <n v="0"/>
    <n v="0"/>
    <n v="0"/>
  </r>
  <r>
    <x v="6"/>
    <x v="6"/>
    <x v="11"/>
    <x v="3"/>
    <x v="45"/>
    <x v="3"/>
    <x v="124"/>
    <x v="34"/>
    <s v="927"/>
    <s v="MO-"/>
    <s v="O1"/>
    <s v="Light Mobile Equipment"/>
    <s v="O1"/>
    <s v="Mobile Equipment"/>
    <s v="Light Mobile Equipment"/>
    <s v="Pick up"/>
    <s v="MOBILE EQUIPMENT  - AMBULANCE  - FORD F450  _x000a_L: 6680, W: 2438, H: 2024, 6350 kg"/>
    <s v="4513-MO-00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1"/>
    <x v="3"/>
    <x v="45"/>
    <x v="3"/>
    <x v="124"/>
    <x v="34"/>
    <s v="928"/>
    <s v="MO-"/>
    <s v="O3"/>
    <s v="Heavy Mobile Equipment"/>
    <s v="O3"/>
    <s v="Mobile Equipment"/>
    <s v="Heavy Mobile Equipment"/>
    <s v="large fire truck"/>
    <s v="MOBILE EQUIPMENT  - FIRE TRUCK  - OSHKOSH TI3000  _x000a_L: 10922 _x000a_W: 2921, H: 3607, 39000 kg"/>
    <s v="4513-MO-002"/>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6"/>
    <x v="6"/>
    <x v="11"/>
    <x v="3"/>
    <x v="45"/>
    <x v="3"/>
    <x v="124"/>
    <x v="34"/>
    <s v="929"/>
    <s v="MO-"/>
    <s v="O1"/>
    <s v="Light Mobile Equipment"/>
    <s v="O1"/>
    <s v="Mobile Equipment"/>
    <s v="Light Mobile Equipment"/>
    <s v="small tank"/>
    <s v="MOBILE EQUIPMENT  - SNOW RESCUE VEHICLE  - HAGGLUND BV206  L: 6900, W: 1870, H: 2400, 6580 kg"/>
    <s v="4513-MO-00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6"/>
    <x v="6"/>
    <x v="14"/>
    <x v="5"/>
    <x v="46"/>
    <x v="30"/>
    <x v="158"/>
    <x v="135"/>
    <m/>
    <s v=""/>
    <m/>
    <m/>
    <m/>
    <m/>
    <m/>
    <m/>
    <m/>
    <m/>
    <m/>
    <m/>
    <s v="0"/>
    <s v="0"/>
    <s v="0"/>
    <s v="0"/>
    <s v="0"/>
    <n v="0"/>
    <n v="0"/>
    <n v="0"/>
    <n v="0"/>
    <n v="0"/>
    <n v="0"/>
    <n v="0"/>
    <n v="1"/>
    <n v="0"/>
    <m/>
    <m/>
    <n v="0"/>
    <n v="0"/>
    <n v="0"/>
    <n v="0"/>
    <s v="Type A  _x000a_2AM-MRY1325"/>
    <m/>
    <n v="2014"/>
    <s v="Direct "/>
    <m/>
    <m/>
    <m/>
    <m/>
    <m/>
    <m/>
    <m/>
    <m/>
    <m/>
    <m/>
    <n v="0"/>
    <m/>
    <n v="0"/>
    <n v="0"/>
    <n v="0"/>
    <n v="0"/>
    <n v="0"/>
    <n v="0"/>
    <n v="0"/>
    <n v="0"/>
  </r>
  <r>
    <x v="6"/>
    <x v="6"/>
    <x v="14"/>
    <x v="5"/>
    <x v="46"/>
    <x v="30"/>
    <x v="104"/>
    <x v="110"/>
    <m/>
    <s v=""/>
    <s v="piping"/>
    <s v="Piping"/>
    <s v="Piping"/>
    <s v="Bulks"/>
    <s v="Piping"/>
    <m/>
    <s v="Raw Water Intake Pipeline"/>
    <m/>
    <m/>
    <s v="m"/>
    <n v="0.25"/>
    <n v="3.75"/>
    <n v="24.97834523809524"/>
    <n v="37.5"/>
    <n v="66.228345238095244"/>
    <n v="0"/>
    <n v="0"/>
    <n v="0"/>
    <n v="0"/>
    <n v="0"/>
    <n v="1.0000000000000002E-2"/>
    <n v="0"/>
    <n v="1"/>
    <n v="0"/>
    <n v="1"/>
    <n v="0"/>
    <n v="0"/>
    <n v="0"/>
    <n v="0"/>
    <n v="0"/>
    <s v="Type A  _x000a_2AM-MRY1325"/>
    <m/>
    <n v="2014"/>
    <s v="Direct "/>
    <m/>
    <m/>
    <m/>
    <m/>
    <m/>
    <m/>
    <m/>
    <m/>
    <m/>
    <m/>
    <n v="0"/>
    <m/>
    <n v="0"/>
    <n v="0"/>
    <n v="0"/>
    <n v="0"/>
    <n v="0"/>
    <n v="0"/>
    <n v="0"/>
    <n v="0"/>
  </r>
  <r>
    <x v="1"/>
    <x v="1"/>
    <x v="8"/>
    <x v="8"/>
    <x v="23"/>
    <x v="16"/>
    <x v="37"/>
    <x v="33"/>
    <m/>
    <s v="MO-"/>
    <s v="O3"/>
    <s v="Heavy Mobile Equipment"/>
    <s v="O3"/>
    <s v="Mobile Equipment"/>
    <s v="Heavy Mobile Equipment"/>
    <m/>
    <s v="Telehandler"/>
    <m/>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2"/>
    <x v="8"/>
    <x v="1"/>
    <x v="1"/>
    <x v="1"/>
    <x v="1"/>
    <m/>
    <m/>
    <m/>
    <m/>
    <m/>
    <m/>
    <m/>
    <m/>
    <m/>
    <m/>
    <m/>
    <m/>
    <m/>
    <m/>
    <m/>
    <m/>
    <m/>
    <m/>
    <m/>
    <m/>
    <m/>
    <m/>
    <m/>
    <m/>
    <m/>
    <m/>
    <m/>
    <m/>
    <m/>
    <m/>
    <m/>
    <m/>
    <m/>
    <m/>
    <m/>
    <m/>
    <m/>
    <m/>
    <m/>
    <m/>
    <m/>
    <m/>
    <m/>
    <m/>
    <m/>
    <m/>
    <m/>
    <m/>
    <m/>
    <m/>
    <m/>
    <m/>
    <m/>
    <m/>
    <m/>
    <m/>
  </r>
  <r>
    <x v="6"/>
    <x v="6"/>
    <x v="18"/>
    <x v="11"/>
    <x v="1"/>
    <x v="1"/>
    <x v="1"/>
    <x v="1"/>
    <m/>
    <s v=""/>
    <m/>
    <m/>
    <m/>
    <m/>
    <m/>
    <m/>
    <m/>
    <m/>
    <m/>
    <m/>
    <m/>
    <m/>
    <m/>
    <m/>
    <m/>
    <m/>
    <m/>
    <m/>
    <m/>
    <m/>
    <m/>
    <m/>
    <m/>
    <m/>
    <m/>
    <m/>
    <m/>
    <m/>
    <m/>
    <m/>
    <m/>
    <m/>
    <m/>
    <m/>
    <m/>
    <m/>
    <m/>
    <m/>
    <m/>
    <m/>
    <m/>
    <m/>
    <m/>
    <m/>
    <m/>
    <m/>
    <m/>
    <m/>
    <m/>
    <m/>
    <m/>
    <m/>
    <m/>
    <m/>
  </r>
  <r>
    <x v="6"/>
    <x v="6"/>
    <x v="13"/>
    <x v="2"/>
    <x v="1"/>
    <x v="1"/>
    <x v="1"/>
    <x v="1"/>
    <m/>
    <s v=""/>
    <m/>
    <m/>
    <m/>
    <m/>
    <m/>
    <m/>
    <m/>
    <m/>
    <m/>
    <m/>
    <m/>
    <m/>
    <m/>
    <m/>
    <m/>
    <m/>
    <m/>
    <m/>
    <m/>
    <m/>
    <m/>
    <m/>
    <m/>
    <m/>
    <m/>
    <m/>
    <m/>
    <m/>
    <m/>
    <m/>
    <m/>
    <m/>
    <m/>
    <m/>
    <m/>
    <m/>
    <m/>
    <m/>
    <m/>
    <m/>
    <m/>
    <m/>
    <m/>
    <m/>
    <m/>
    <m/>
    <m/>
    <m/>
    <m/>
    <m/>
    <m/>
    <m/>
    <m/>
    <m/>
  </r>
  <r>
    <x v="6"/>
    <x v="6"/>
    <x v="20"/>
    <x v="12"/>
    <x v="1"/>
    <x v="1"/>
    <x v="1"/>
    <x v="1"/>
    <m/>
    <s v=""/>
    <m/>
    <m/>
    <m/>
    <m/>
    <m/>
    <m/>
    <m/>
    <m/>
    <m/>
    <m/>
    <m/>
    <m/>
    <m/>
    <m/>
    <m/>
    <m/>
    <m/>
    <m/>
    <m/>
    <m/>
    <m/>
    <m/>
    <m/>
    <m/>
    <m/>
    <m/>
    <m/>
    <m/>
    <m/>
    <m/>
    <m/>
    <m/>
    <m/>
    <m/>
    <m/>
    <m/>
    <m/>
    <m/>
    <m/>
    <m/>
    <m/>
    <m/>
    <m/>
    <m/>
    <m/>
    <m/>
    <m/>
    <m/>
    <m/>
    <m/>
    <m/>
    <m/>
    <m/>
    <m/>
  </r>
  <r>
    <x v="6"/>
    <x v="6"/>
    <x v="11"/>
    <x v="3"/>
    <x v="1"/>
    <x v="1"/>
    <x v="1"/>
    <x v="1"/>
    <m/>
    <s v=""/>
    <m/>
    <m/>
    <m/>
    <m/>
    <m/>
    <m/>
    <m/>
    <m/>
    <m/>
    <m/>
    <m/>
    <m/>
    <m/>
    <m/>
    <m/>
    <m/>
    <m/>
    <m/>
    <m/>
    <m/>
    <m/>
    <m/>
    <m/>
    <m/>
    <m/>
    <m/>
    <m/>
    <m/>
    <m/>
    <m/>
    <m/>
    <m/>
    <m/>
    <m/>
    <m/>
    <m/>
    <m/>
    <m/>
    <m/>
    <m/>
    <m/>
    <m/>
    <m/>
    <m/>
    <m/>
    <m/>
    <m/>
    <m/>
    <m/>
    <m/>
    <m/>
    <m/>
    <m/>
    <m/>
  </r>
  <r>
    <x v="6"/>
    <x v="6"/>
    <x v="21"/>
    <x v="6"/>
    <x v="1"/>
    <x v="1"/>
    <x v="1"/>
    <x v="1"/>
    <m/>
    <s v=""/>
    <m/>
    <m/>
    <m/>
    <m/>
    <m/>
    <m/>
    <m/>
    <m/>
    <m/>
    <m/>
    <m/>
    <m/>
    <m/>
    <m/>
    <m/>
    <m/>
    <m/>
    <m/>
    <m/>
    <m/>
    <m/>
    <m/>
    <m/>
    <m/>
    <m/>
    <m/>
    <m/>
    <m/>
    <m/>
    <m/>
    <m/>
    <m/>
    <m/>
    <m/>
    <m/>
    <m/>
    <m/>
    <m/>
    <m/>
    <m/>
    <m/>
    <m/>
    <m/>
    <m/>
    <m/>
    <m/>
    <m/>
    <m/>
    <m/>
    <m/>
    <m/>
    <m/>
    <m/>
    <m/>
  </r>
  <r>
    <x v="6"/>
    <x v="6"/>
    <x v="14"/>
    <x v="5"/>
    <x v="1"/>
    <x v="1"/>
    <x v="1"/>
    <x v="1"/>
    <m/>
    <s v=""/>
    <m/>
    <m/>
    <m/>
    <m/>
    <m/>
    <m/>
    <m/>
    <m/>
    <m/>
    <m/>
    <m/>
    <m/>
    <m/>
    <m/>
    <m/>
    <m/>
    <m/>
    <m/>
    <m/>
    <m/>
    <m/>
    <m/>
    <m/>
    <m/>
    <m/>
    <m/>
    <m/>
    <m/>
    <m/>
    <m/>
    <m/>
    <m/>
    <m/>
    <m/>
    <m/>
    <m/>
    <m/>
    <m/>
    <m/>
    <m/>
    <m/>
    <m/>
    <m/>
    <m/>
    <m/>
    <m/>
    <m/>
    <m/>
    <m/>
    <m/>
    <m/>
    <m/>
    <m/>
    <m/>
  </r>
  <r>
    <x v="6"/>
    <x v="6"/>
    <x v="1"/>
    <x v="1"/>
    <x v="1"/>
    <x v="1"/>
    <x v="1"/>
    <x v="1"/>
    <m/>
    <s v=""/>
    <m/>
    <m/>
    <m/>
    <m/>
    <m/>
    <m/>
    <m/>
    <m/>
    <m/>
    <m/>
    <m/>
    <m/>
    <m/>
    <m/>
    <m/>
    <m/>
    <m/>
    <m/>
    <m/>
    <m/>
    <m/>
    <m/>
    <m/>
    <m/>
    <m/>
    <m/>
    <m/>
    <m/>
    <m/>
    <m/>
    <m/>
    <m/>
    <m/>
    <m/>
    <m/>
    <m/>
    <m/>
    <m/>
    <m/>
    <m/>
    <m/>
    <m/>
    <m/>
    <m/>
    <m/>
    <m/>
    <m/>
    <m/>
    <m/>
    <m/>
    <m/>
    <m/>
    <m/>
    <m/>
  </r>
  <r>
    <x v="3"/>
    <x v="3"/>
    <x v="22"/>
    <x v="13"/>
    <x v="65"/>
    <x v="20"/>
    <x v="159"/>
    <x v="136"/>
    <m/>
    <s v="BLD"/>
    <s v="CS"/>
    <s v="Slab on Grade - ASSUME 300mm thick"/>
    <s v="CS"/>
    <s v="Flooring / Foundations"/>
    <s v="Slab on Grade"/>
    <m/>
    <s v="Exploration Tent Camp Pad"/>
    <m/>
    <n v="9432.14"/>
    <s v="m2"/>
    <n v="0.125"/>
    <n v="1.875"/>
    <n v="12.48917261904762"/>
    <n v="18.75"/>
    <n v="33.114172619047622"/>
    <n v="1179.0174999999999"/>
    <n v="17685.262499999997"/>
    <n v="117799.62462702382"/>
    <n v="176852.625"/>
    <n v="312337.51212702383"/>
    <n v="0"/>
    <n v="0"/>
    <n v="1"/>
    <n v="0"/>
    <n v="0"/>
    <n v="1"/>
    <n v="312337.51212702383"/>
    <n v="0"/>
    <n v="0"/>
    <n v="312337.51212702383"/>
    <s v="Type A  _x000a_2AM-MRY1325"/>
    <m/>
    <n v="2014"/>
    <s v="Direct "/>
    <m/>
    <m/>
    <m/>
    <n v="1"/>
    <m/>
    <m/>
    <m/>
    <m/>
    <m/>
    <m/>
    <n v="0"/>
    <m/>
    <n v="0"/>
    <n v="312337.51212702383"/>
    <n v="0"/>
    <n v="0"/>
    <n v="0"/>
    <n v="0"/>
    <n v="0"/>
    <n v="0"/>
  </r>
  <r>
    <x v="3"/>
    <x v="3"/>
    <x v="7"/>
    <x v="7"/>
    <x v="9"/>
    <x v="8"/>
    <x v="10"/>
    <x v="9"/>
    <m/>
    <s v="BLD"/>
    <s v="FF3-c"/>
    <s v="Modular Building Contaminated (480 ft2)"/>
    <s v="FF3-c"/>
    <s v="Buildings (Contaminated)"/>
    <s v="Soft walled Building (tent)"/>
    <m/>
    <s v="Soft Wall Maintenance Garage x 6 (assume same size as existing on Tote Road)"/>
    <m/>
    <n v="2046"/>
    <s v="m2"/>
    <n v="0.58283333333333331"/>
    <n v="2.69"/>
    <n v="58.232848865079369"/>
    <n v="87.424999999999997"/>
    <n v="148.34784886507936"/>
    <n v="1192.4769999999999"/>
    <n v="5503.74"/>
    <n v="119144.40877795238"/>
    <n v="178871.55"/>
    <n v="303519.69877795235"/>
    <n v="0.5"/>
    <n v="1023"/>
    <n v="1"/>
    <n v="0"/>
    <n v="0"/>
    <n v="1"/>
    <n v="303519.69877795235"/>
    <n v="0"/>
    <n v="0"/>
    <n v="303519.69877795235"/>
    <s v="Type B Construction_x000a_2BC-MRY1416"/>
    <s v="Added"/>
    <s v="2017-A"/>
    <s v="Direct "/>
    <m/>
    <m/>
    <n v="0.33333333333333331"/>
    <n v="0.33333333333333331"/>
    <n v="0.33333333333333331"/>
    <m/>
    <m/>
    <m/>
    <m/>
    <m/>
    <n v="0"/>
    <m/>
    <n v="101173.23292598411"/>
    <n v="101173.23292598411"/>
    <n v="101173.23292598411"/>
    <n v="0"/>
    <n v="0"/>
    <n v="0"/>
    <n v="0"/>
    <n v="0"/>
  </r>
  <r>
    <x v="6"/>
    <x v="6"/>
    <x v="12"/>
    <x v="8"/>
    <x v="21"/>
    <x v="16"/>
    <x v="39"/>
    <x v="30"/>
    <m/>
    <s v="MO-"/>
    <s v="O3"/>
    <s v="Heavy Mobile Equipment"/>
    <s v="O3"/>
    <s v="Mobile Equipment"/>
    <s v="Heavy Mobile Equipment"/>
    <m/>
    <s v="994 Loader"/>
    <m/>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988 Loader"/>
    <m/>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D10 Dozer"/>
    <m/>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793 Haul Truck"/>
    <m/>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6"/>
    <x v="6"/>
    <x v="12"/>
    <x v="8"/>
    <x v="21"/>
    <x v="16"/>
    <x v="39"/>
    <x v="30"/>
    <m/>
    <s v="MO-"/>
    <s v="O3"/>
    <s v="Heavy Mobile Equipment"/>
    <s v="O3"/>
    <s v="Mobile Equipment"/>
    <s v="Heavy Mobile Equipment"/>
    <m/>
    <s v="Mobile Primary Crusher Unit"/>
    <m/>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3"/>
    <x v="3"/>
    <x v="22"/>
    <x v="13"/>
    <x v="63"/>
    <x v="8"/>
    <x v="160"/>
    <x v="9"/>
    <m/>
    <s v="BLD"/>
    <s v="FF3-c"/>
    <s v="Modular Building Contaminated (480 ft2)"/>
    <s v="FF3-c"/>
    <s v="Buildings (Contaminated)"/>
    <s v="Soft walled Building (tent)"/>
    <m/>
    <s v="Soft Wall Maintenance Garage x 6 (assume same size as existing on Tote Road)"/>
    <m/>
    <n v="2046"/>
    <s v="m2"/>
    <n v="0.58283333333333331"/>
    <n v="2.69"/>
    <n v="58.232848865079369"/>
    <n v="87.424999999999997"/>
    <n v="148.34784886507936"/>
    <n v="1192.4769999999999"/>
    <n v="5503.74"/>
    <n v="119144.40877795238"/>
    <n v="178871.55"/>
    <n v="303519.69877795235"/>
    <n v="0.5"/>
    <n v="1023"/>
    <n v="1"/>
    <n v="0"/>
    <n v="0"/>
    <n v="1"/>
    <n v="303519.69877795235"/>
    <n v="0"/>
    <n v="0"/>
    <n v="303519.69877795235"/>
    <s v="Type B Construction_x000a_2BC-MRY1416"/>
    <s v="Added"/>
    <s v="2017-A"/>
    <s v="Direct "/>
    <m/>
    <m/>
    <n v="0.33333333333333331"/>
    <n v="0.33333333333333331"/>
    <n v="0.33333333333333331"/>
    <m/>
    <m/>
    <m/>
    <m/>
    <m/>
    <n v="0"/>
    <m/>
    <n v="101173.23292598411"/>
    <n v="101173.23292598411"/>
    <n v="101173.23292598411"/>
    <n v="0"/>
    <n v="0"/>
    <n v="0"/>
    <n v="0"/>
    <n v="0"/>
  </r>
  <r>
    <x v="3"/>
    <x v="3"/>
    <x v="22"/>
    <x v="13"/>
    <x v="65"/>
    <x v="20"/>
    <x v="159"/>
    <x v="136"/>
    <m/>
    <s v="BLD"/>
    <s v="FF3"/>
    <s v="Modular Building Not Contaminated (480 ft2)"/>
    <s v="FF3"/>
    <s v="Buildings (Not Contaminated)"/>
    <s v="Soft walled Building (tent)"/>
    <m/>
    <s v="Exploration Soft-Wall Camp (Weatherhaven)"/>
    <m/>
    <n v="6017.14"/>
    <s v="m2"/>
    <n v="0.17933333333333332"/>
    <n v="2.69"/>
    <n v="17.917799650793654"/>
    <n v="26.9"/>
    <n v="47.50779965079365"/>
    <n v="1079.0737733333333"/>
    <n v="16186.106600000001"/>
    <n v="107813.90899077653"/>
    <n v="161861.06599999999"/>
    <n v="285861.08159077651"/>
    <n v="0.5"/>
    <n v="3008.57"/>
    <n v="1"/>
    <n v="0"/>
    <n v="0"/>
    <n v="1"/>
    <n v="285861.08159077651"/>
    <n v="0"/>
    <n v="0"/>
    <n v="285861.08159077651"/>
    <s v="Type A  _x000a_2AM-MRY1325"/>
    <m/>
    <n v="2014"/>
    <s v="Direct "/>
    <m/>
    <m/>
    <m/>
    <n v="1"/>
    <m/>
    <m/>
    <m/>
    <m/>
    <m/>
    <m/>
    <n v="0"/>
    <m/>
    <n v="0"/>
    <n v="285861.08159077651"/>
    <n v="0"/>
    <n v="0"/>
    <n v="0"/>
    <n v="0"/>
    <n v="0"/>
    <n v="0"/>
  </r>
  <r>
    <x v="3"/>
    <x v="3"/>
    <x v="7"/>
    <x v="7"/>
    <x v="66"/>
    <x v="20"/>
    <x v="161"/>
    <x v="136"/>
    <m/>
    <s v="BLD"/>
    <s v="FF3"/>
    <s v="Modular Building Not Contaminated (480 ft2)"/>
    <s v="FF3"/>
    <s v="Buildings (Not Contaminated)"/>
    <s v="Soft walled Building (tent)"/>
    <m/>
    <s v="Matrix Camp"/>
    <m/>
    <n v="5392.34"/>
    <s v="m2"/>
    <n v="0.17933333333333332"/>
    <n v="2.69"/>
    <n v="17.917799650793654"/>
    <n v="26.9"/>
    <n v="47.50779965079365"/>
    <n v="967.02630666666664"/>
    <n v="14505.3946"/>
    <n v="96618.867768960656"/>
    <n v="145053.946"/>
    <n v="256178.20836896065"/>
    <n v="0.5"/>
    <n v="2696.17"/>
    <n v="1"/>
    <n v="0"/>
    <n v="0"/>
    <n v="1"/>
    <n v="256178.20836896065"/>
    <n v="0"/>
    <n v="0"/>
    <n v="256178.20836896065"/>
    <s v="Type B Construction_x000a_2BC-MRY1416"/>
    <m/>
    <n v="2014"/>
    <s v="Direct "/>
    <m/>
    <m/>
    <n v="0.33333333333333331"/>
    <n v="0.33333333333333331"/>
    <n v="0.33333333333333331"/>
    <m/>
    <m/>
    <m/>
    <m/>
    <m/>
    <n v="0"/>
    <m/>
    <n v="85392.736122986884"/>
    <n v="85392.736122986884"/>
    <n v="85392.736122986884"/>
    <n v="0"/>
    <n v="0"/>
    <n v="0"/>
    <n v="0"/>
    <n v="0"/>
  </r>
  <r>
    <x v="3"/>
    <x v="3"/>
    <x v="22"/>
    <x v="13"/>
    <x v="65"/>
    <x v="20"/>
    <x v="159"/>
    <x v="136"/>
    <m/>
    <s v="BLD"/>
    <s v="FF3"/>
    <s v="Modular Building Not Contaminated (480 ft2)"/>
    <s v="FF3"/>
    <s v="Buildings (Not Contaminated)"/>
    <s v="Soft walled Building (tent)"/>
    <m/>
    <s v="Exploration Tent Camp Tents"/>
    <m/>
    <n v="2400"/>
    <s v="m2"/>
    <n v="0.17933333333333332"/>
    <n v="2.69"/>
    <n v="17.917799650793654"/>
    <n v="26.9"/>
    <n v="47.50779965079365"/>
    <n v="430.4"/>
    <n v="6456"/>
    <n v="43002.719161904766"/>
    <n v="64560"/>
    <n v="114018.71916190477"/>
    <n v="0.5"/>
    <n v="1200"/>
    <n v="1"/>
    <n v="0"/>
    <n v="0"/>
    <n v="1"/>
    <n v="114018.71916190477"/>
    <n v="0"/>
    <n v="0"/>
    <n v="114018.71916190477"/>
    <s v="Type A  _x000a_2AM-MRY1325"/>
    <m/>
    <n v="2014"/>
    <s v="Direct "/>
    <m/>
    <m/>
    <m/>
    <n v="1"/>
    <m/>
    <m/>
    <m/>
    <m/>
    <m/>
    <m/>
    <n v="0"/>
    <m/>
    <n v="0"/>
    <n v="114018.71916190477"/>
    <n v="0"/>
    <n v="0"/>
    <n v="0"/>
    <n v="0"/>
    <n v="0"/>
    <n v="0"/>
  </r>
  <r>
    <x v="3"/>
    <x v="3"/>
    <x v="7"/>
    <x v="7"/>
    <x v="67"/>
    <x v="38"/>
    <x v="162"/>
    <x v="137"/>
    <s v="1372"/>
    <s v="BLD"/>
    <s v="FF2-c"/>
    <s v="Fold Away Building Contaminated (480 ft2)"/>
    <s v="FFL-c"/>
    <s v="Buildings (Contaminated)"/>
    <s v="Fold Away Building"/>
    <m/>
    <s v="Concrete Batch Plant Building - Demolish and Decontaminate Building - Fold-away Building (Steel)"/>
    <s v="7251-BLD-001"/>
    <n v="669.14498141263937"/>
    <s v="m2"/>
    <n v="0.56041666666666667"/>
    <n v="2.3537499999999998"/>
    <n v="55.993123908730162"/>
    <n v="84.0625"/>
    <n v="142.40937390873017"/>
    <n v="375"/>
    <n v="1574.9999999999998"/>
    <n v="37467.517857142855"/>
    <n v="56250"/>
    <n v="95292.517857142855"/>
    <n v="1"/>
    <n v="669.14498141263937"/>
    <n v="1"/>
    <n v="0"/>
    <n v="0"/>
    <n v="1"/>
    <n v="95292.517857142855"/>
    <n v="0"/>
    <n v="0"/>
    <n v="95292.517857142855"/>
    <s v="Type B Construction_x000a_2BC-MRY1416"/>
    <m/>
    <n v="2014"/>
    <s v="Direct "/>
    <m/>
    <m/>
    <n v="0.33333333333333331"/>
    <n v="0.33333333333333331"/>
    <n v="0.33333333333333331"/>
    <m/>
    <m/>
    <m/>
    <m/>
    <m/>
    <n v="0"/>
    <m/>
    <n v="31764.172619047618"/>
    <n v="31764.172619047618"/>
    <n v="31764.172619047618"/>
    <n v="0"/>
    <n v="0"/>
    <n v="0"/>
    <n v="0"/>
    <n v="0"/>
  </r>
  <r>
    <x v="3"/>
    <x v="3"/>
    <x v="7"/>
    <x v="7"/>
    <x v="67"/>
    <x v="38"/>
    <x v="162"/>
    <x v="137"/>
    <s v="1373"/>
    <s v="BLD"/>
    <s v="FF2-c"/>
    <s v="Fold Away Building Contaminated (480 ft2)"/>
    <s v="FFL-c"/>
    <s v="Buildings (Contaminated)"/>
    <s v="Fold Away Building"/>
    <m/>
    <s v="Concrete Batch Plant Building - Demolish and foundations - Precast Footing (Perimeter Beam)"/>
    <s v="7251-BLD-001"/>
    <n v="669.14498141263937"/>
    <s v="m2"/>
    <n v="0.56041666666666667"/>
    <n v="2.3537499999999998"/>
    <n v="55.993123908730162"/>
    <n v="84.0625"/>
    <n v="142.40937390873017"/>
    <n v="375"/>
    <n v="1574.9999999999998"/>
    <n v="37467.517857142855"/>
    <n v="56250"/>
    <n v="95292.517857142855"/>
    <n v="1"/>
    <n v="669.14498141263937"/>
    <n v="1"/>
    <n v="0"/>
    <n v="0"/>
    <n v="1"/>
    <n v="95292.517857142855"/>
    <n v="0"/>
    <n v="0"/>
    <n v="95292.517857142855"/>
    <s v="Type B Construction_x000a_2BC-MRY1416"/>
    <m/>
    <n v="2014"/>
    <s v="Direct "/>
    <m/>
    <m/>
    <n v="0.33333333333333331"/>
    <n v="0.33333333333333331"/>
    <n v="0.33333333333333331"/>
    <m/>
    <m/>
    <m/>
    <m/>
    <m/>
    <n v="0"/>
    <m/>
    <n v="31764.172619047618"/>
    <n v="31764.172619047618"/>
    <n v="31764.172619047618"/>
    <n v="0"/>
    <n v="0"/>
    <n v="0"/>
    <n v="0"/>
    <n v="0"/>
  </r>
  <r>
    <x v="3"/>
    <x v="3"/>
    <x v="22"/>
    <x v="13"/>
    <x v="68"/>
    <x v="38"/>
    <x v="163"/>
    <x v="137"/>
    <s v="1513"/>
    <s v="BLD"/>
    <s v="FF2-c"/>
    <s v="Fold Away Building Contaminated (480 ft2)"/>
    <s v="FFL-c"/>
    <s v="Buildings (Contaminated)"/>
    <s v="Fold Away Building"/>
    <m/>
    <s v="Concrete Batch Plant Building - Demolish and Decontaminate Building - Fold-away Building (Steel)"/>
    <s v="7451-BLD-001"/>
    <n v="669.14498141263937"/>
    <s v="m2"/>
    <n v="0.56041666666666667"/>
    <n v="2.3537499999999998"/>
    <n v="55.993123908730162"/>
    <n v="84.0625"/>
    <n v="142.40937390873017"/>
    <n v="375"/>
    <n v="1574.9999999999998"/>
    <n v="37467.517857142855"/>
    <n v="56250"/>
    <n v="95292.517857142855"/>
    <n v="1"/>
    <n v="669.14498141263937"/>
    <n v="1"/>
    <n v="0"/>
    <n v="0"/>
    <n v="1"/>
    <n v="95292.517857142855"/>
    <n v="0"/>
    <n v="0"/>
    <n v="95292.517857142855"/>
    <s v="Type A  _x000a_2AM-MRY1325"/>
    <m/>
    <n v="2014"/>
    <s v="Direct "/>
    <m/>
    <m/>
    <n v="0.33333333333333331"/>
    <n v="0.33333333333333331"/>
    <n v="0.33333333333333331"/>
    <m/>
    <m/>
    <m/>
    <m/>
    <m/>
    <n v="0"/>
    <m/>
    <n v="31764.172619047618"/>
    <n v="31764.172619047618"/>
    <n v="31764.172619047618"/>
    <n v="0"/>
    <n v="0"/>
    <n v="0"/>
    <n v="0"/>
    <n v="0"/>
  </r>
  <r>
    <x v="3"/>
    <x v="3"/>
    <x v="22"/>
    <x v="13"/>
    <x v="68"/>
    <x v="38"/>
    <x v="163"/>
    <x v="137"/>
    <s v="1514"/>
    <s v="BLD"/>
    <s v="FF2-c"/>
    <s v="Fold Away Building Contaminated (480 ft2)"/>
    <s v="FFL-c"/>
    <s v="Buildings (Contaminated)"/>
    <s v="Fold Away Building"/>
    <m/>
    <s v="Concrete Batch Plant Building - Demolish and foundations - Precast Footing (Perimeter Beam)"/>
    <s v="7451-BLD-001"/>
    <n v="669.14498141263937"/>
    <s v="m2"/>
    <n v="0.56041666666666667"/>
    <n v="2.3537499999999998"/>
    <n v="55.993123908730162"/>
    <n v="84.0625"/>
    <n v="142.40937390873017"/>
    <n v="375"/>
    <n v="1574.9999999999998"/>
    <n v="37467.517857142855"/>
    <n v="56250"/>
    <n v="95292.517857142855"/>
    <n v="1"/>
    <n v="669.14498141263937"/>
    <n v="1"/>
    <n v="0"/>
    <n v="0"/>
    <n v="1"/>
    <n v="95292.517857142855"/>
    <n v="0"/>
    <n v="0"/>
    <n v="95292.517857142855"/>
    <s v="Type A  _x000a_2AM-MRY1325"/>
    <m/>
    <n v="2014"/>
    <s v="Direct "/>
    <m/>
    <m/>
    <n v="0.33333333333333331"/>
    <n v="0.33333333333333331"/>
    <n v="0.33333333333333331"/>
    <m/>
    <m/>
    <m/>
    <m/>
    <m/>
    <n v="0"/>
    <m/>
    <n v="31764.172619047618"/>
    <n v="31764.172619047618"/>
    <n v="31764.172619047618"/>
    <n v="0"/>
    <n v="0"/>
    <n v="0"/>
    <n v="0"/>
    <n v="0"/>
  </r>
  <r>
    <x v="3"/>
    <x v="3"/>
    <x v="7"/>
    <x v="7"/>
    <x v="9"/>
    <x v="8"/>
    <x v="10"/>
    <x v="9"/>
    <m/>
    <s v="BLD"/>
    <s v="CS"/>
    <s v="Slab on Grade - ASSUME 300mm thick"/>
    <s v="CS"/>
    <s v="Flooring / Foundations"/>
    <s v="Slab on Grade"/>
    <m/>
    <s v="Soft Wall Maintenance Garage x 6 (assume same size as existing on Tote Road)"/>
    <m/>
    <n v="2046"/>
    <s v="m2"/>
    <n v="0.125"/>
    <n v="1.875"/>
    <n v="12.48917261904762"/>
    <n v="18.75"/>
    <n v="33.114172619047622"/>
    <n v="255.75"/>
    <n v="3836.25"/>
    <n v="25552.847178571432"/>
    <n v="38362.5"/>
    <n v="67751.597178571436"/>
    <n v="0"/>
    <n v="0"/>
    <n v="1"/>
    <n v="0"/>
    <n v="0"/>
    <n v="1"/>
    <n v="67751.597178571436"/>
    <n v="0"/>
    <n v="0"/>
    <n v="67751.597178571436"/>
    <s v="Type A  _x000a_2AM-MRY1325"/>
    <s v="Added"/>
    <s v="2017-A"/>
    <s v="Direct "/>
    <m/>
    <m/>
    <m/>
    <n v="1"/>
    <m/>
    <m/>
    <m/>
    <m/>
    <m/>
    <m/>
    <n v="0"/>
    <m/>
    <n v="0"/>
    <n v="67751.597178571436"/>
    <n v="0"/>
    <n v="0"/>
    <n v="0"/>
    <n v="0"/>
    <n v="0"/>
    <n v="0"/>
  </r>
  <r>
    <x v="3"/>
    <x v="3"/>
    <x v="22"/>
    <x v="13"/>
    <x v="63"/>
    <x v="8"/>
    <x v="160"/>
    <x v="9"/>
    <m/>
    <s v="BLD"/>
    <s v="CS"/>
    <s v="Slab on Grade - ASSUME 300mm thick"/>
    <s v="CS"/>
    <s v="Flooring / Foundations"/>
    <s v="Slab on Grade"/>
    <m/>
    <s v="Soft Wall Maintenance Garage x 6 (assume same size as existing on Tote Road)"/>
    <m/>
    <n v="2046"/>
    <s v="m2"/>
    <n v="0.125"/>
    <n v="1.875"/>
    <n v="12.48917261904762"/>
    <n v="18.75"/>
    <n v="33.114172619047622"/>
    <n v="255.75"/>
    <n v="3836.25"/>
    <n v="25552.847178571432"/>
    <n v="38362.5"/>
    <n v="67751.597178571436"/>
    <n v="0"/>
    <n v="0"/>
    <n v="1"/>
    <n v="0"/>
    <n v="0"/>
    <n v="1"/>
    <n v="67751.597178571436"/>
    <n v="0"/>
    <n v="0"/>
    <n v="67751.597178571436"/>
    <s v="Type A  _x000a_2AM-MRY1325"/>
    <s v="Added"/>
    <s v="2017-A"/>
    <s v="Direct "/>
    <m/>
    <m/>
    <m/>
    <n v="1"/>
    <m/>
    <m/>
    <m/>
    <m/>
    <m/>
    <m/>
    <n v="0"/>
    <m/>
    <n v="0"/>
    <n v="67751.597178571436"/>
    <n v="0"/>
    <n v="0"/>
    <n v="0"/>
    <n v="0"/>
    <n v="0"/>
    <n v="0"/>
  </r>
  <r>
    <x v="3"/>
    <x v="3"/>
    <x v="7"/>
    <x v="7"/>
    <x v="66"/>
    <x v="20"/>
    <x v="164"/>
    <x v="40"/>
    <m/>
    <s v="BLD"/>
    <s v="FF1"/>
    <s v="Modular Building Not Contaminated (480 ft2)"/>
    <s v="FTR2"/>
    <s v="Buildings (Not Contaminated)"/>
    <s v="Double Trailer (2 or more)"/>
    <m/>
    <s v="49-person Hard Wall Trailer Camp (previously at Steensby)"/>
    <m/>
    <n v="950"/>
    <s v="m2"/>
    <n v="0.22416666666666665"/>
    <n v="3.3624999999999998"/>
    <n v="22.397249563492064"/>
    <n v="33.625"/>
    <n v="59.384749563492065"/>
    <n v="212.95833333333331"/>
    <n v="3194.375"/>
    <n v="21277.387085317459"/>
    <n v="31943.75"/>
    <n v="56415.512085317459"/>
    <n v="1"/>
    <n v="950"/>
    <n v="1"/>
    <n v="0"/>
    <n v="0"/>
    <n v="1"/>
    <n v="56415.512085317459"/>
    <n v="0"/>
    <n v="0"/>
    <n v="56415.512085317459"/>
    <s v="Type A  _x000a_2AM-MRY1325"/>
    <s v="Modified (2017A)"/>
    <n v="2017"/>
    <s v="Direct "/>
    <m/>
    <m/>
    <m/>
    <n v="1"/>
    <m/>
    <m/>
    <m/>
    <m/>
    <m/>
    <m/>
    <n v="0"/>
    <m/>
    <n v="0"/>
    <n v="56415.512085317459"/>
    <n v="0"/>
    <n v="0"/>
    <n v="0"/>
    <n v="0"/>
    <n v="0"/>
    <n v="0"/>
  </r>
  <r>
    <x v="6"/>
    <x v="6"/>
    <x v="12"/>
    <x v="8"/>
    <x v="21"/>
    <x v="16"/>
    <x v="39"/>
    <x v="30"/>
    <m/>
    <s v="MO-"/>
    <s v="O3"/>
    <s v="Heavy Mobile Equipment"/>
    <s v="O3"/>
    <s v="Mobile Equipment"/>
    <s v="Heavy Mobile Equipment"/>
    <m/>
    <s v="Fuel/Lube Truck"/>
    <m/>
    <n v="1"/>
    <s v="ea"/>
    <n v="13"/>
    <n v="120"/>
    <n v="1298.8739523809525"/>
    <n v="1200"/>
    <n v="2618.8739523809527"/>
    <n v="13"/>
    <n v="120"/>
    <n v="1298.8739523809525"/>
    <n v="1200"/>
    <n v="2618.8739523809527"/>
    <n v="96"/>
    <n v="96"/>
    <n v="1"/>
    <n v="0"/>
    <n v="0"/>
    <n v="1"/>
    <n v="2618.8739523809527"/>
    <n v="0"/>
    <n v="0"/>
    <n v="2618.8739523809527"/>
    <s v="Type A  _x000a_2AM-MRY1325"/>
    <s v="Added"/>
    <n v="2018"/>
    <s v="Direct "/>
    <m/>
    <m/>
    <n v="0.33333333333333331"/>
    <m/>
    <n v="0.33333333333333331"/>
    <m/>
    <m/>
    <m/>
    <m/>
    <n v="0.33333333333333331"/>
    <n v="0"/>
    <m/>
    <n v="872.95798412698423"/>
    <n v="0"/>
    <n v="872.95798412698423"/>
    <n v="0"/>
    <n v="0"/>
    <n v="0"/>
    <n v="0"/>
    <n v="872.95798412698423"/>
  </r>
  <r>
    <x v="3"/>
    <x v="3"/>
    <x v="7"/>
    <x v="7"/>
    <x v="9"/>
    <x v="8"/>
    <x v="10"/>
    <x v="9"/>
    <m/>
    <s v="BLD"/>
    <s v="FF3-c"/>
    <s v="Modular Building Contaminated (480 ft2)"/>
    <s v="FF3-c"/>
    <s v="Buildings (Contaminated)"/>
    <s v="Soft walled Building (tent)"/>
    <m/>
    <s v="Toromont Maintenance Workshops soft (Contaminated)"/>
    <m/>
    <n v="1252.3630000000001"/>
    <s v="m2"/>
    <n v="0.58283333333333331"/>
    <n v="2.69"/>
    <n v="58.232848865079369"/>
    <n v="87.424999999999997"/>
    <n v="148.34784886507936"/>
    <n v="729.91890183333339"/>
    <n v="3368.8564700000002"/>
    <n v="72928.665303217393"/>
    <n v="109487.835275"/>
    <n v="185785.35704821738"/>
    <n v="0.5"/>
    <n v="626.18150000000003"/>
    <n v="1"/>
    <n v="0"/>
    <n v="0"/>
    <n v="1"/>
    <n v="185785.35704821738"/>
    <n v="0"/>
    <n v="0"/>
    <n v="185785.35704821738"/>
    <s v="Type B Construction_x000a_2BC-MRY1416"/>
    <m/>
    <n v="2014"/>
    <s v="Direct "/>
    <m/>
    <m/>
    <n v="0.33333333333333331"/>
    <n v="0.33333333333333331"/>
    <n v="0.33333333333333331"/>
    <m/>
    <m/>
    <m/>
    <m/>
    <m/>
    <n v="0"/>
    <m/>
    <n v="61928.452349405794"/>
    <n v="61928.452349405794"/>
    <n v="61928.452349405794"/>
    <n v="0"/>
    <n v="0"/>
    <n v="0"/>
    <n v="0"/>
    <n v="0"/>
  </r>
  <r>
    <x v="3"/>
    <x v="3"/>
    <x v="7"/>
    <x v="7"/>
    <x v="9"/>
    <x v="8"/>
    <x v="10"/>
    <x v="9"/>
    <m/>
    <s v="BLD"/>
    <s v="FF3-c"/>
    <s v="Modular Building Contaminated (480 ft2)"/>
    <s v="FF3-c"/>
    <s v="Buildings (Contaminated)"/>
    <s v="Soft walled Building (tent)"/>
    <m/>
    <s v="Toromont Maintenance Workshops soft (Contaminated)"/>
    <m/>
    <n v="878.16179999999997"/>
    <s v="m2"/>
    <n v="0.58283333333333331"/>
    <n v="2.69"/>
    <n v="58.232848865079369"/>
    <n v="87.424999999999997"/>
    <n v="148.34784886507936"/>
    <n v="511.82196909999999"/>
    <n v="2362.2552419999997"/>
    <n v="51137.86337848605"/>
    <n v="76773.295364999998"/>
    <n v="130273.41398548606"/>
    <n v="0.5"/>
    <n v="439.08089999999999"/>
    <n v="1"/>
    <n v="0"/>
    <n v="0"/>
    <n v="1"/>
    <n v="130273.41398548606"/>
    <n v="0"/>
    <n v="0"/>
    <n v="130273.41398548606"/>
    <s v="Type B Construction_x000a_2BC-MRY1416"/>
    <m/>
    <n v="2014"/>
    <s v="Direct "/>
    <m/>
    <m/>
    <n v="0.33333333333333331"/>
    <n v="0.33333333333333331"/>
    <n v="0.33333333333333331"/>
    <m/>
    <m/>
    <m/>
    <m/>
    <m/>
    <n v="0"/>
    <m/>
    <n v="43424.471328495347"/>
    <n v="43424.471328495347"/>
    <n v="43424.471328495347"/>
    <n v="0"/>
    <n v="0"/>
    <n v="0"/>
    <n v="0"/>
    <n v="0"/>
  </r>
  <r>
    <x v="3"/>
    <x v="3"/>
    <x v="7"/>
    <x v="7"/>
    <x v="9"/>
    <x v="8"/>
    <x v="10"/>
    <x v="9"/>
    <m/>
    <s v="BLD"/>
    <s v="FF2-c"/>
    <s v="Fold Away Building Contaminated (480 ft2)"/>
    <s v="FFL-c"/>
    <s v="Buildings (Contaminated)"/>
    <s v="Fold Away Building"/>
    <m/>
    <s v="Exploration Workshops"/>
    <m/>
    <n v="250.24000000000004"/>
    <s v="m2"/>
    <n v="0.56041666666666667"/>
    <n v="2.3537499999999998"/>
    <n v="55.993123908730162"/>
    <n v="84.0625"/>
    <n v="142.40937390873017"/>
    <n v="140.23866666666669"/>
    <n v="589.00240000000008"/>
    <n v="14011.719326920638"/>
    <n v="21035.800000000003"/>
    <n v="35636.521726920641"/>
    <n v="1"/>
    <n v="250.24000000000004"/>
    <n v="1"/>
    <n v="0"/>
    <n v="0"/>
    <n v="1"/>
    <n v="35636.521726920641"/>
    <n v="0"/>
    <n v="0"/>
    <n v="35636.521726920641"/>
    <s v="Type B Construction_x000a_2BC-MRY1416"/>
    <m/>
    <n v="2014"/>
    <s v="Direct "/>
    <m/>
    <m/>
    <m/>
    <n v="1"/>
    <m/>
    <m/>
    <m/>
    <m/>
    <m/>
    <m/>
    <n v="0"/>
    <m/>
    <n v="0"/>
    <n v="35636.521726920641"/>
    <n v="0"/>
    <n v="0"/>
    <n v="0"/>
    <n v="0"/>
    <n v="0"/>
    <n v="0"/>
  </r>
  <r>
    <x v="3"/>
    <x v="3"/>
    <x v="22"/>
    <x v="13"/>
    <x v="69"/>
    <x v="39"/>
    <x v="165"/>
    <x v="138"/>
    <m/>
    <m/>
    <s v="A3l"/>
    <s v="Grade &amp; Re-Contour with Liner"/>
    <s v="A3l"/>
    <s v="Site Works"/>
    <s v="Grade and Re-Contour With Liner"/>
    <m/>
    <s v="Bulk Fuel Storage Facility (Bladder Farm)"/>
    <m/>
    <n v="5787.68"/>
    <s v="m2"/>
    <n v="4.4489880937500004E-2"/>
    <n v="0.17804999999999999"/>
    <n v="4.4489880937499997"/>
    <n v="0.71454534577546303"/>
    <n v="5.3082953457754627"/>
    <n v="257.49319410435004"/>
    <n v="1030.4964239999999"/>
    <n v="25749.319410435"/>
    <n v="4135.5598068377321"/>
    <n v="30915.375641272734"/>
    <n v="0"/>
    <n v="0"/>
    <n v="1"/>
    <n v="0"/>
    <n v="0"/>
    <n v="1"/>
    <n v="30915.375641272734"/>
    <n v="0"/>
    <n v="0"/>
    <n v="30915.375641272734"/>
    <s v="Type A  _x000a_2AM-MRY1325"/>
    <m/>
    <n v="2014"/>
    <s v="Direct "/>
    <m/>
    <m/>
    <n v="0.5"/>
    <n v="0.5"/>
    <m/>
    <m/>
    <m/>
    <m/>
    <m/>
    <m/>
    <n v="0"/>
    <m/>
    <n v="15457.687820636367"/>
    <n v="15457.687820636367"/>
    <n v="0"/>
    <n v="0"/>
    <n v="0"/>
    <n v="0"/>
    <n v="0"/>
    <n v="0"/>
  </r>
  <r>
    <x v="3"/>
    <x v="3"/>
    <x v="22"/>
    <x v="13"/>
    <x v="69"/>
    <x v="39"/>
    <x v="165"/>
    <x v="138"/>
    <m/>
    <m/>
    <s v="A3l"/>
    <s v="Grade &amp; Re-Contour with Liner"/>
    <s v="A3l"/>
    <s v="Site Works"/>
    <s v="Grade and Re-Contour With Liner"/>
    <m/>
    <s v="Barreled Fuel Line Containment"/>
    <m/>
    <n v="5411.65"/>
    <s v="m2"/>
    <n v="4.4489880937500004E-2"/>
    <n v="0.17804999999999999"/>
    <n v="4.4489880937499997"/>
    <n v="0.71454534577546303"/>
    <n v="5.3082953457754627"/>
    <n v="240.76366417542187"/>
    <n v="963.54428249999989"/>
    <n v="24076.366417542184"/>
    <n v="3866.8693204657843"/>
    <n v="28906.780020507966"/>
    <n v="0"/>
    <n v="0"/>
    <n v="1"/>
    <n v="0"/>
    <n v="0"/>
    <n v="1"/>
    <n v="28906.780020507966"/>
    <n v="0"/>
    <n v="0"/>
    <n v="28906.780020507966"/>
    <s v="Type A  _x000a_2AM-MRY1325"/>
    <m/>
    <n v="2014"/>
    <s v="Direct "/>
    <m/>
    <m/>
    <n v="0.5"/>
    <n v="0.5"/>
    <m/>
    <m/>
    <m/>
    <m/>
    <m/>
    <m/>
    <n v="0"/>
    <m/>
    <n v="14453.390010253983"/>
    <n v="14453.390010253983"/>
    <n v="0"/>
    <n v="0"/>
    <n v="0"/>
    <n v="0"/>
    <n v="0"/>
    <n v="0"/>
  </r>
  <r>
    <x v="3"/>
    <x v="3"/>
    <x v="22"/>
    <x v="13"/>
    <x v="63"/>
    <x v="8"/>
    <x v="160"/>
    <x v="9"/>
    <m/>
    <s v="BLD"/>
    <s v="FF2-c"/>
    <s v="Fold Away Building Contaminated (480 ft2)"/>
    <s v="FFL-c"/>
    <s v="Buildings (Contaminated)"/>
    <s v="Fold Away Building"/>
    <m/>
    <s v="Exploration Workshops"/>
    <m/>
    <n v="182.2"/>
    <s v="m2"/>
    <n v="0.56041666666666667"/>
    <n v="2.3537499999999998"/>
    <n v="55.993123908730162"/>
    <n v="84.0625"/>
    <n v="142.40937390873017"/>
    <n v="102.10791666666667"/>
    <n v="428.85324999999995"/>
    <n v="10201.947176170635"/>
    <n v="15316.187499999998"/>
    <n v="25946.987926170634"/>
    <n v="1"/>
    <n v="182.2"/>
    <n v="1"/>
    <n v="0"/>
    <n v="0"/>
    <n v="1"/>
    <n v="25946.987926170634"/>
    <n v="0"/>
    <n v="0"/>
    <n v="25946.987926170634"/>
    <s v="Type A  _x000a_2AM-MRY1325"/>
    <m/>
    <n v="2014"/>
    <s v="Direct "/>
    <m/>
    <m/>
    <m/>
    <n v="1"/>
    <m/>
    <m/>
    <m/>
    <m/>
    <m/>
    <m/>
    <n v="0"/>
    <m/>
    <n v="0"/>
    <n v="25946.987926170634"/>
    <n v="0"/>
    <n v="0"/>
    <n v="0"/>
    <n v="0"/>
    <n v="0"/>
    <n v="0"/>
  </r>
  <r>
    <x v="3"/>
    <x v="3"/>
    <x v="7"/>
    <x v="7"/>
    <x v="9"/>
    <x v="8"/>
    <x v="166"/>
    <x v="139"/>
    <m/>
    <m/>
    <s v="25ka"/>
    <s v="Allowance - For Temporary construction warehouses and offices"/>
    <s v="25ka"/>
    <s v="Buildings (Contaminated)"/>
    <s v="Temporary construction warehouses and offices Allowance"/>
    <m/>
    <s v="Temporary construction warehouses and offices"/>
    <m/>
    <n v="1"/>
    <s v="Lot"/>
    <n v="94.339622641509436"/>
    <n v="1415.0943396226417"/>
    <n v="9433.9622641509432"/>
    <n v="14150.943396226416"/>
    <n v="25000"/>
    <n v="94.339622641509436"/>
    <n v="1415.0943396226417"/>
    <n v="9433.9622641509432"/>
    <n v="14150.943396226416"/>
    <n v="25000"/>
    <n v="0"/>
    <n v="0"/>
    <n v="1"/>
    <n v="0"/>
    <n v="0"/>
    <n v="1"/>
    <n v="25000"/>
    <n v="0"/>
    <n v="0"/>
    <n v="25000"/>
    <s v="Type B Construction_x000a_2BC-MRY1416"/>
    <m/>
    <n v="2014"/>
    <s v="Direct "/>
    <m/>
    <m/>
    <n v="0.33333333333333331"/>
    <n v="0.33333333333333331"/>
    <n v="0.33333333333333331"/>
    <m/>
    <m/>
    <m/>
    <m/>
    <m/>
    <n v="0"/>
    <m/>
    <n v="8333.3333333333321"/>
    <n v="8333.3333333333321"/>
    <n v="8333.3333333333321"/>
    <n v="0"/>
    <n v="0"/>
    <n v="0"/>
    <n v="0"/>
    <n v="0"/>
  </r>
  <r>
    <x v="3"/>
    <x v="3"/>
    <x v="22"/>
    <x v="13"/>
    <x v="63"/>
    <x v="8"/>
    <x v="167"/>
    <x v="139"/>
    <m/>
    <m/>
    <s v="25ka"/>
    <s v="Allowance - For Temporary construction warehouses and offices"/>
    <s v="25ka"/>
    <s v="Buildings (Contaminated)"/>
    <s v="Temporary construction warehouses and offices Allowance"/>
    <m/>
    <s v="Temporary construction warehouses and offices"/>
    <m/>
    <n v="1"/>
    <s v="Lot"/>
    <n v="94.339622641509436"/>
    <n v="1415.0943396226417"/>
    <n v="9433.9622641509432"/>
    <n v="14150.943396226416"/>
    <n v="25000"/>
    <n v="94.339622641509436"/>
    <n v="1415.0943396226417"/>
    <n v="9433.9622641509432"/>
    <n v="14150.943396226416"/>
    <n v="25000"/>
    <n v="0"/>
    <n v="0"/>
    <n v="1"/>
    <n v="0"/>
    <n v="0"/>
    <n v="1"/>
    <n v="25000"/>
    <n v="0"/>
    <n v="0"/>
    <n v="25000"/>
    <s v="Type A  _x000a_2AM-MRY1325"/>
    <m/>
    <n v="2014"/>
    <s v="Direct "/>
    <m/>
    <m/>
    <n v="0.33333333333333331"/>
    <n v="0.33333333333333331"/>
    <n v="0.33333333333333331"/>
    <m/>
    <m/>
    <m/>
    <m/>
    <m/>
    <n v="0"/>
    <m/>
    <n v="8333.3333333333321"/>
    <n v="8333.3333333333321"/>
    <n v="8333.3333333333321"/>
    <n v="0"/>
    <n v="0"/>
    <n v="0"/>
    <n v="0"/>
    <n v="0"/>
  </r>
  <r>
    <x v="3"/>
    <x v="3"/>
    <x v="7"/>
    <x v="7"/>
    <x v="9"/>
    <x v="8"/>
    <x v="168"/>
    <x v="140"/>
    <s v="1222"/>
    <s v="BLD"/>
    <s v="FF1"/>
    <s v="Modular Building Not Contaminated (480 ft2)"/>
    <s v="FTR2"/>
    <s v="Buildings (Not Contaminated)"/>
    <s v="Double Trailer (2 or more)"/>
    <m/>
    <s v="Construction Office - Demolish and Decontaminate Building - Trailer - Modular (2 or more modules)"/>
    <s v="7231-BLD-001"/>
    <n v="267.65799256505579"/>
    <s v="m2"/>
    <n v="0.22416666666666665"/>
    <n v="3.3624999999999998"/>
    <n v="22.397249563492064"/>
    <n v="33.625"/>
    <n v="59.384749563492065"/>
    <n v="60"/>
    <n v="900"/>
    <n v="5994.8028571428576"/>
    <n v="9000.0000000000018"/>
    <n v="15894.802857142859"/>
    <n v="1"/>
    <n v="267.65799256505579"/>
    <n v="1"/>
    <n v="0"/>
    <n v="0"/>
    <n v="1"/>
    <n v="15894.802857142859"/>
    <n v="0"/>
    <n v="0"/>
    <n v="15894.802857142859"/>
    <s v="Type B Construction_x000a_2BC-MRY1416"/>
    <m/>
    <n v="2014"/>
    <s v="Direct "/>
    <m/>
    <m/>
    <n v="0.33333333333333331"/>
    <n v="0.33333333333333331"/>
    <n v="0.33333333333333331"/>
    <m/>
    <m/>
    <m/>
    <m/>
    <m/>
    <n v="0"/>
    <m/>
    <n v="5298.2676190476195"/>
    <n v="5298.2676190476195"/>
    <n v="5298.2676190476195"/>
    <n v="0"/>
    <n v="0"/>
    <n v="0"/>
    <n v="0"/>
    <n v="0"/>
  </r>
  <r>
    <x v="3"/>
    <x v="3"/>
    <x v="7"/>
    <x v="7"/>
    <x v="9"/>
    <x v="8"/>
    <x v="166"/>
    <x v="139"/>
    <s v="1286"/>
    <s v="BLD"/>
    <s v="FF2"/>
    <s v="Fold Away Building Not Contaminated (480 ft2)"/>
    <s v="FFL"/>
    <s v="Buildings (Not Contaminated)"/>
    <s v="Fold Away Building"/>
    <m/>
    <s v="Site Services Heated Warehouse - Demolish and Decontaminate Building - Fold-away Building (Steel)"/>
    <s v="7235-BLD-002"/>
    <n v="371.74721189591077"/>
    <s v="m2"/>
    <n v="0.15691666666666668"/>
    <n v="2.3537499999999998"/>
    <n v="15.678074694444444"/>
    <n v="23.537499999999998"/>
    <n v="41.569324694444447"/>
    <n v="58.333333333333336"/>
    <n v="874.99999999999989"/>
    <n v="5828.2805555555551"/>
    <n v="8749.9999999999982"/>
    <n v="15453.280555555553"/>
    <n v="1"/>
    <n v="371.74721189591077"/>
    <n v="1"/>
    <n v="0"/>
    <n v="0"/>
    <n v="1"/>
    <n v="15453.280555555553"/>
    <n v="0"/>
    <n v="0"/>
    <n v="15453.280555555553"/>
    <s v="Type B Construction_x000a_2BC-MRY1416"/>
    <m/>
    <n v="2014"/>
    <s v="Direct "/>
    <m/>
    <m/>
    <n v="0.33333333333333331"/>
    <n v="0.33333333333333331"/>
    <n v="0.33333333333333331"/>
    <m/>
    <m/>
    <m/>
    <m/>
    <m/>
    <n v="0"/>
    <m/>
    <n v="5151.0935185185172"/>
    <n v="5151.0935185185172"/>
    <n v="5151.0935185185172"/>
    <n v="0"/>
    <n v="0"/>
    <n v="0"/>
    <n v="0"/>
    <n v="0"/>
  </r>
  <r>
    <x v="3"/>
    <x v="3"/>
    <x v="7"/>
    <x v="7"/>
    <x v="9"/>
    <x v="8"/>
    <x v="166"/>
    <x v="139"/>
    <s v="1289"/>
    <s v="BLD"/>
    <s v="FF2"/>
    <s v="Fold Away Building Not Contaminated (480 ft2)"/>
    <s v="FFL"/>
    <s v="Buildings (Not Contaminated)"/>
    <s v="Fold Away Building"/>
    <m/>
    <s v="Site Services Unheated Warehouse - Demolish and Decontaminate Building - Fold-away Building (Steel)"/>
    <s v="7235-BLD-003"/>
    <n v="371.74721189591077"/>
    <s v="m2"/>
    <n v="0.15691666666666668"/>
    <n v="2.3537499999999998"/>
    <n v="15.678074694444444"/>
    <n v="23.537499999999998"/>
    <n v="41.569324694444447"/>
    <n v="58.333333333333336"/>
    <n v="874.99999999999989"/>
    <n v="5828.2805555555551"/>
    <n v="8749.9999999999982"/>
    <n v="15453.280555555553"/>
    <n v="1"/>
    <n v="371.74721189591077"/>
    <n v="1"/>
    <n v="0"/>
    <n v="0"/>
    <n v="1"/>
    <n v="15453.280555555553"/>
    <n v="0"/>
    <n v="0"/>
    <n v="15453.280555555553"/>
    <s v="Type B Construction_x000a_2BC-MRY1416"/>
    <m/>
    <n v="2014"/>
    <s v="Direct "/>
    <m/>
    <m/>
    <n v="0.33333333333333331"/>
    <n v="0.33333333333333331"/>
    <n v="0.33333333333333331"/>
    <m/>
    <m/>
    <m/>
    <m/>
    <m/>
    <n v="0"/>
    <m/>
    <n v="5151.0935185185172"/>
    <n v="5151.0935185185172"/>
    <n v="5151.0935185185172"/>
    <n v="0"/>
    <n v="0"/>
    <n v="0"/>
    <n v="0"/>
    <n v="0"/>
  </r>
  <r>
    <x v="3"/>
    <x v="3"/>
    <x v="7"/>
    <x v="7"/>
    <x v="9"/>
    <x v="8"/>
    <x v="166"/>
    <x v="139"/>
    <s v="1287"/>
    <s v="BLD"/>
    <s v="CP"/>
    <s v="Precast Concrete Foundations - (480 ft2)"/>
    <s v="CP"/>
    <s v="Flooring / Foundations"/>
    <s v="Precast Foundations"/>
    <m/>
    <s v="Site Services Heated Warehouse - Demolish and foundations - Precast Footing (Perimeter Beam)"/>
    <s v="7235-BLD-002"/>
    <n v="371.74721189591077"/>
    <s v="m2"/>
    <n v="0.14520631503408685"/>
    <n v="2.1780947255113023"/>
    <n v="14.50805387069216"/>
    <n v="21.780947255113027"/>
    <n v="38.467095851316493"/>
    <n v="53.980042763601055"/>
    <n v="809.70064145401568"/>
    <n v="5393.3285764654865"/>
    <n v="8097.0064145401584"/>
    <n v="14300.035632459661"/>
    <n v="0.75"/>
    <n v="278.81040892193306"/>
    <n v="1"/>
    <n v="0"/>
    <n v="0"/>
    <n v="1"/>
    <n v="14300.035632459661"/>
    <n v="0"/>
    <n v="0"/>
    <n v="14300.035632459661"/>
    <s v="Type B Construction_x000a_2BC-MRY1416"/>
    <m/>
    <n v="2014"/>
    <s v="Direct "/>
    <m/>
    <m/>
    <n v="0.33333333333333331"/>
    <n v="0.33333333333333331"/>
    <n v="0.33333333333333331"/>
    <m/>
    <m/>
    <m/>
    <m/>
    <m/>
    <n v="0"/>
    <m/>
    <n v="4766.6785441532202"/>
    <n v="4766.6785441532202"/>
    <n v="4766.6785441532202"/>
    <n v="0"/>
    <n v="0"/>
    <n v="0"/>
    <n v="0"/>
    <n v="0"/>
  </r>
  <r>
    <x v="3"/>
    <x v="3"/>
    <x v="7"/>
    <x v="7"/>
    <x v="9"/>
    <x v="8"/>
    <x v="166"/>
    <x v="139"/>
    <s v="1290"/>
    <s v="BLD"/>
    <s v="CP"/>
    <s v="Precast Concrete Foundations - (480 ft2)"/>
    <s v="CP"/>
    <s v="Flooring / Foundations"/>
    <s v="Precast Foundations"/>
    <m/>
    <s v="Site Services Unheated Warehouse - Demolish and foundations - Precast Footing (Perimeter Beam)"/>
    <s v="7235-BLD-003"/>
    <n v="371.74721189591077"/>
    <s v="m2"/>
    <n v="0.14520631503408685"/>
    <n v="2.1780947255113023"/>
    <n v="14.50805387069216"/>
    <n v="21.780947255113027"/>
    <n v="38.467095851316493"/>
    <n v="53.980042763601055"/>
    <n v="809.70064145401568"/>
    <n v="5393.3285764654865"/>
    <n v="8097.0064145401584"/>
    <n v="14300.035632459661"/>
    <n v="0.75"/>
    <n v="278.81040892193306"/>
    <n v="1"/>
    <n v="0"/>
    <n v="0"/>
    <n v="1"/>
    <n v="14300.035632459661"/>
    <n v="0"/>
    <n v="0"/>
    <n v="14300.035632459661"/>
    <s v="Type B Construction_x000a_2BC-MRY1416"/>
    <m/>
    <n v="2014"/>
    <s v="Direct "/>
    <m/>
    <m/>
    <n v="0.33333333333333331"/>
    <n v="0.33333333333333331"/>
    <n v="0.33333333333333331"/>
    <m/>
    <m/>
    <m/>
    <m/>
    <m/>
    <n v="0"/>
    <m/>
    <n v="4766.6785441532202"/>
    <n v="4766.6785441532202"/>
    <n v="4766.6785441532202"/>
    <n v="0"/>
    <n v="0"/>
    <n v="0"/>
    <n v="0"/>
    <n v="0"/>
  </r>
  <r>
    <x v="3"/>
    <x v="3"/>
    <x v="7"/>
    <x v="7"/>
    <x v="67"/>
    <x v="38"/>
    <x v="162"/>
    <x v="137"/>
    <m/>
    <m/>
    <s v="A3"/>
    <s v="Grade &amp; Re-Contour"/>
    <s v="A2"/>
    <s v="Site Works"/>
    <s v="Grade and Re-Contour"/>
    <s v="Grade and Contour"/>
    <s v="Batch Plant Stockpile"/>
    <m/>
    <n v="5180.4399999999996"/>
    <s v="m2"/>
    <n v="1.2689880937499998E-2"/>
    <n v="0.14624999999999999"/>
    <n v="1.2689880937499998"/>
    <n v="0.39654534577546297"/>
    <n v="1.8102953457754629"/>
    <n v="65.739166803862489"/>
    <n v="757.63934999999992"/>
    <n v="6573.9166803862481"/>
    <n v="2054.2793710690394"/>
    <n v="9385.835401455286"/>
    <n v="0"/>
    <n v="0"/>
    <n v="1"/>
    <n v="0"/>
    <n v="0"/>
    <n v="1"/>
    <n v="9385.835401455286"/>
    <n v="0"/>
    <n v="0"/>
    <n v="9385.835401455286"/>
    <s v="Type B Construction_x000a_2BC-MRY1416"/>
    <m/>
    <n v="2014"/>
    <s v="Direct "/>
    <m/>
    <m/>
    <n v="0.33333333333333331"/>
    <n v="0.33333333333333331"/>
    <n v="0.33333333333333331"/>
    <m/>
    <m/>
    <m/>
    <m/>
    <m/>
    <n v="0"/>
    <m/>
    <n v="3128.611800485095"/>
    <n v="3128.611800485095"/>
    <n v="3128.611800485095"/>
    <n v="0"/>
    <n v="0"/>
    <n v="0"/>
    <n v="0"/>
    <n v="0"/>
  </r>
  <r>
    <x v="3"/>
    <x v="3"/>
    <x v="7"/>
    <x v="7"/>
    <x v="9"/>
    <x v="8"/>
    <x v="166"/>
    <x v="139"/>
    <s v="1283"/>
    <s v="BLD"/>
    <s v="CP"/>
    <s v="Precast Concrete Foundations - (480 ft2)"/>
    <s v="CP"/>
    <s v="Flooring / Foundations"/>
    <s v="Precast Foundations"/>
    <m/>
    <s v="Construction Equipment Building - Demolish and Decontaminate Building - Fabric w/ Sea Can Walls"/>
    <s v="7235-BLD-001"/>
    <n v="223.04832713754647"/>
    <s v="m2"/>
    <n v="0.14520631503408685"/>
    <n v="2.1780947255113023"/>
    <n v="14.50805387069216"/>
    <n v="21.780947255113027"/>
    <n v="38.467095851316493"/>
    <n v="32.388025658160636"/>
    <n v="485.82038487240942"/>
    <n v="3235.9971458792925"/>
    <n v="4858.2038487240952"/>
    <n v="8580.0213794757965"/>
    <n v="0.75"/>
    <n v="167.28624535315984"/>
    <n v="1"/>
    <n v="0"/>
    <n v="0"/>
    <n v="1"/>
    <n v="8580.0213794757965"/>
    <n v="0"/>
    <n v="0"/>
    <n v="8580.0213794757965"/>
    <s v="Type B Construction_x000a_2BC-MRY1416"/>
    <s v="Hold/ _x000a_Remove"/>
    <n v="2014"/>
    <s v="Direct "/>
    <m/>
    <m/>
    <n v="0.33333333333333331"/>
    <n v="0.33333333333333331"/>
    <n v="0.33333333333333331"/>
    <m/>
    <m/>
    <m/>
    <m/>
    <m/>
    <n v="0"/>
    <m/>
    <n v="2860.007126491932"/>
    <n v="2860.007126491932"/>
    <n v="2860.007126491932"/>
    <n v="0"/>
    <n v="0"/>
    <n v="0"/>
    <n v="0"/>
    <n v="0"/>
  </r>
  <r>
    <x v="3"/>
    <x v="3"/>
    <x v="7"/>
    <x v="7"/>
    <x v="9"/>
    <x v="8"/>
    <x v="166"/>
    <x v="139"/>
    <s v="1284"/>
    <s v="BLD"/>
    <s v="CP"/>
    <s v="Precast Concrete Foundations - (480 ft2)"/>
    <s v="CP"/>
    <s v="Flooring / Foundations"/>
    <s v="Precast Foundations"/>
    <m/>
    <s v="Construction Equipment Building - Demolish and foundations - Precast Footing (Perimeter Beam)"/>
    <s v="7235-BLD-001"/>
    <n v="223.04832713754647"/>
    <s v="m2"/>
    <n v="0.14520631503408685"/>
    <n v="2.1780947255113023"/>
    <n v="14.50805387069216"/>
    <n v="21.780947255113027"/>
    <n v="38.467095851316493"/>
    <n v="32.388025658160636"/>
    <n v="485.82038487240942"/>
    <n v="3235.9971458792925"/>
    <n v="4858.2038487240952"/>
    <n v="8580.0213794757965"/>
    <n v="0.75"/>
    <n v="167.28624535315984"/>
    <n v="1"/>
    <n v="0"/>
    <n v="0"/>
    <n v="1"/>
    <n v="8580.0213794757965"/>
    <n v="0"/>
    <n v="0"/>
    <n v="8580.0213794757965"/>
    <s v="Type B Construction_x000a_2BC-MRY1416"/>
    <s v="Hold/ _x000a_Remove"/>
    <n v="2014"/>
    <s v="Direct "/>
    <m/>
    <m/>
    <n v="0.33333333333333331"/>
    <n v="0.33333333333333331"/>
    <n v="0.33333333333333331"/>
    <m/>
    <m/>
    <m/>
    <m/>
    <m/>
    <n v="0"/>
    <m/>
    <n v="2860.007126491932"/>
    <n v="2860.007126491932"/>
    <n v="2860.007126491932"/>
    <n v="0"/>
    <n v="0"/>
    <n v="0"/>
    <n v="0"/>
    <n v="0"/>
  </r>
  <r>
    <x v="3"/>
    <x v="3"/>
    <x v="7"/>
    <x v="7"/>
    <x v="9"/>
    <x v="8"/>
    <x v="168"/>
    <x v="140"/>
    <s v="1230"/>
    <s v="TK-"/>
    <s v="MT2"/>
    <s v="Medium Tanks"/>
    <s v="MT2"/>
    <s v="Mechanical Equipment"/>
    <s v="Medium Tanks"/>
    <m/>
    <s v="TANK  - AERODROME OFFICE SEWAGE COLLECTION TANK - LAGRANGE MECHANICAL SERVICES  L: 3791 _x000a_W: 1829 _x000a_H: 610 "/>
    <s v="7231-TK-001"/>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5"/>
    <n v="0.5"/>
    <m/>
    <m/>
    <m/>
    <m/>
    <m/>
    <m/>
    <n v="0"/>
    <m/>
    <n v="3693.6574047619051"/>
    <n v="3693.6574047619051"/>
    <n v="0"/>
    <n v="0"/>
    <n v="0"/>
    <n v="0"/>
    <n v="0"/>
    <n v="0"/>
  </r>
  <r>
    <x v="3"/>
    <x v="3"/>
    <x v="7"/>
    <x v="7"/>
    <x v="9"/>
    <x v="8"/>
    <x v="141"/>
    <x v="127"/>
    <s v="1269"/>
    <s v="TK-"/>
    <s v="MT2"/>
    <s v="Medium Tanks"/>
    <s v="MT2"/>
    <s v="Mechanical Equipment"/>
    <s v="Medium Tanks"/>
    <m/>
    <s v="TANK  - BATCH PLANT OFFICE-LUNCHROOM-WC SEWAGE COLLECTION TANK - LAGRANGE MECHANICAL SERVICES  L: 3791 _x000a_W: 1829 H: 610 "/>
    <s v="7232-TK-001"/>
    <n v="1"/>
    <s v="ea"/>
    <n v="31"/>
    <n v="390"/>
    <n v="3097.3148095238098"/>
    <n v="3900"/>
    <n v="7387.3148095238103"/>
    <n v="31"/>
    <n v="390"/>
    <n v="3097.3148095238098"/>
    <n v="3900"/>
    <n v="7387.3148095238103"/>
    <n v="2"/>
    <n v="2"/>
    <n v="1"/>
    <n v="0"/>
    <n v="0"/>
    <n v="1"/>
    <n v="7387.3148095238103"/>
    <n v="0"/>
    <n v="0"/>
    <n v="7387.3148095238103"/>
    <s v="Type B Construction_x000a_2BC-MRY1416"/>
    <m/>
    <n v="2014"/>
    <s v="Direct "/>
    <m/>
    <m/>
    <n v="0.5"/>
    <n v="0.5"/>
    <m/>
    <m/>
    <m/>
    <m/>
    <m/>
    <m/>
    <n v="0"/>
    <m/>
    <n v="3693.6574047619051"/>
    <n v="3693.6574047619051"/>
    <n v="0"/>
    <n v="0"/>
    <n v="0"/>
    <n v="0"/>
    <n v="0"/>
    <n v="0"/>
  </r>
  <r>
    <x v="3"/>
    <x v="3"/>
    <x v="7"/>
    <x v="7"/>
    <x v="9"/>
    <x v="8"/>
    <x v="141"/>
    <x v="127"/>
    <s v="1273"/>
    <s v="TK-"/>
    <s v="MT1"/>
    <s v="Light Tanks"/>
    <s v="MT1"/>
    <s v="Mechanical Equipment"/>
    <s v="Light Tanks"/>
    <m/>
    <s v="TANK  - SITE SERVICES WASHCAR #2 SEWAGE COLLECTION TANK - LAGRANGE MECHANICAL SERVICES  L: 3791  W: 1829  H: 610 "/>
    <s v="7232-TK-007"/>
    <n v="1"/>
    <s v="ea"/>
    <n v="9.6666666666666661"/>
    <n v="107.5"/>
    <n v="965.82934920634932"/>
    <n v="1075"/>
    <n v="2148.3293492063494"/>
    <n v="9.6666666666666661"/>
    <n v="107.5"/>
    <n v="965.82934920634932"/>
    <n v="1075"/>
    <n v="2148.3293492063494"/>
    <n v="1"/>
    <n v="1"/>
    <n v="1"/>
    <n v="0"/>
    <n v="0"/>
    <n v="1"/>
    <n v="2148.3293492063494"/>
    <n v="0"/>
    <n v="0"/>
    <n v="2148.3293492063494"/>
    <s v="Type B Construction_x000a_2BC-MRY1416"/>
    <m/>
    <n v="2014"/>
    <s v="Direct "/>
    <m/>
    <m/>
    <n v="0.5"/>
    <n v="0.5"/>
    <m/>
    <m/>
    <m/>
    <m/>
    <m/>
    <m/>
    <n v="0"/>
    <m/>
    <n v="1074.1646746031747"/>
    <n v="1074.1646746031747"/>
    <n v="0"/>
    <n v="0"/>
    <n v="0"/>
    <n v="0"/>
    <n v="0"/>
    <n v="0"/>
  </r>
  <r>
    <x v="3"/>
    <x v="3"/>
    <x v="22"/>
    <x v="13"/>
    <x v="63"/>
    <x v="8"/>
    <x v="142"/>
    <x v="127"/>
    <s v="1433"/>
    <s v="TK-"/>
    <s v="MT2"/>
    <s v="Medium Tanks"/>
    <s v="MT2"/>
    <s v="Mechanical Equipment"/>
    <s v="Medium Tanks"/>
    <m/>
    <s v="TANK  - BATCH PLANT OFFICE-LUNCHROOM-WC SEWAGE COLLECTION TANK - LAGRANGE MECHANICAL SERVICES  L: 3791 _x000a_W: 1829  H: 610 "/>
    <s v="7432-TK-001"/>
    <n v="1"/>
    <s v="ea"/>
    <n v="31"/>
    <n v="390"/>
    <n v="3097.3148095238098"/>
    <n v="3900"/>
    <n v="7387.3148095238103"/>
    <n v="31"/>
    <n v="390"/>
    <n v="3097.3148095238098"/>
    <n v="3900"/>
    <n v="7387.3148095238103"/>
    <n v="2"/>
    <n v="2"/>
    <n v="1"/>
    <n v="0"/>
    <n v="0"/>
    <n v="1"/>
    <n v="7387.3148095238103"/>
    <n v="0"/>
    <n v="0"/>
    <n v="7387.3148095238103"/>
    <s v="Type A  _x000a_2AM-MRY1325"/>
    <m/>
    <n v="2014"/>
    <s v="Direct "/>
    <m/>
    <m/>
    <n v="0.5"/>
    <n v="0.5"/>
    <m/>
    <m/>
    <m/>
    <m/>
    <m/>
    <m/>
    <n v="0"/>
    <m/>
    <n v="3693.6574047619051"/>
    <n v="3693.6574047619051"/>
    <n v="0"/>
    <n v="0"/>
    <n v="0"/>
    <n v="0"/>
    <n v="0"/>
    <n v="0"/>
  </r>
  <r>
    <x v="3"/>
    <x v="3"/>
    <x v="7"/>
    <x v="7"/>
    <x v="9"/>
    <x v="8"/>
    <x v="141"/>
    <x v="127"/>
    <s v="1274"/>
    <s v="TK-"/>
    <s v="MT1"/>
    <s v="Light Tanks"/>
    <s v="MT1"/>
    <s v="Mechanical Equipment"/>
    <s v="Light Tanks"/>
    <m/>
    <s v="TANK  - SITE SERVICES WASHCAR #2 RAW WATER TANK - PLASTIC-MART 866-310-2556  L: 1803 _x000a_W: 1245 _x000a_H: 1346 "/>
    <s v="7232-TK-008"/>
    <n v="1"/>
    <s v="ea"/>
    <n v="9.6666666666666661"/>
    <n v="107.5"/>
    <n v="965.82934920634932"/>
    <n v="1075"/>
    <n v="2148.3293492063494"/>
    <n v="9.6666666666666661"/>
    <n v="107.5"/>
    <n v="965.82934920634932"/>
    <n v="1075"/>
    <n v="2148.3293492063494"/>
    <n v="1"/>
    <n v="1"/>
    <n v="1"/>
    <n v="0"/>
    <n v="0"/>
    <n v="1"/>
    <n v="2148.3293492063494"/>
    <n v="0"/>
    <n v="0"/>
    <n v="2148.3293492063494"/>
    <s v="Type B Construction_x000a_2BC-MRY1416"/>
    <m/>
    <n v="2014"/>
    <s v="Direct "/>
    <m/>
    <m/>
    <n v="0.33333333333333331"/>
    <n v="0.33333333333333331"/>
    <n v="0.33333333333333331"/>
    <m/>
    <m/>
    <m/>
    <m/>
    <m/>
    <n v="0"/>
    <m/>
    <n v="716.10978306878314"/>
    <n v="716.10978306878314"/>
    <n v="716.10978306878314"/>
    <n v="0"/>
    <n v="0"/>
    <n v="0"/>
    <n v="0"/>
    <n v="0"/>
  </r>
  <r>
    <x v="3"/>
    <x v="3"/>
    <x v="22"/>
    <x v="13"/>
    <x v="63"/>
    <x v="8"/>
    <x v="142"/>
    <x v="127"/>
    <s v="1436"/>
    <s v="TK-"/>
    <s v="MT1"/>
    <s v="Light Tanks"/>
    <s v="MT1"/>
    <s v="Mechanical Equipment"/>
    <s v="Light Tanks"/>
    <m/>
    <s v="TANK  - FUEL SYSTEMS WASHCAR RAW WATER TANK - PLASTIC-MART 866-310-2556  L: 1803  W: 1245 _x000a_H: 1346 "/>
    <s v="7432-TK-005"/>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m/>
    <n v="2014"/>
    <s v="Direct "/>
    <m/>
    <m/>
    <n v="0.5"/>
    <n v="0.5"/>
    <m/>
    <m/>
    <m/>
    <m/>
    <m/>
    <m/>
    <n v="0"/>
    <m/>
    <n v="1074.1646746031747"/>
    <n v="1074.1646746031747"/>
    <n v="0"/>
    <n v="0"/>
    <n v="0"/>
    <n v="0"/>
    <n v="0"/>
    <n v="0"/>
  </r>
  <r>
    <x v="3"/>
    <x v="3"/>
    <x v="22"/>
    <x v="13"/>
    <x v="63"/>
    <x v="8"/>
    <x v="142"/>
    <x v="127"/>
    <s v="1438"/>
    <s v="TK-"/>
    <s v="MT1"/>
    <s v="Light Tanks"/>
    <s v="MT1"/>
    <s v="Mechanical Equipment"/>
    <s v="Light Tanks"/>
    <m/>
    <s v="TANK  - SITE SERVICES WASHCAR #1 RAW WATER TANK - PLASTIC-MART 866-310-2556  L: 1803 _x000a_W: 1245  H: 1346 "/>
    <s v="7432-TK-008"/>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m/>
    <n v="2014"/>
    <s v="Direct "/>
    <m/>
    <m/>
    <n v="0.33333333333333331"/>
    <n v="0.33333333333333331"/>
    <n v="0.33333333333333331"/>
    <m/>
    <m/>
    <m/>
    <m/>
    <m/>
    <n v="0"/>
    <m/>
    <n v="716.10978306878314"/>
    <n v="716.10978306878314"/>
    <n v="716.10978306878314"/>
    <n v="0"/>
    <n v="0"/>
    <n v="0"/>
    <n v="0"/>
    <n v="0"/>
  </r>
  <r>
    <x v="3"/>
    <x v="3"/>
    <x v="7"/>
    <x v="7"/>
    <x v="70"/>
    <x v="39"/>
    <x v="169"/>
    <x v="138"/>
    <m/>
    <s v=""/>
    <s v="A3l"/>
    <s v="Grade &amp; Re-Contour with Liner"/>
    <s v="A3l"/>
    <s v="Site Works"/>
    <s v="Grade and Re-Contour With Liner"/>
    <m/>
    <s v="Existing Lined Storage Area"/>
    <m/>
    <n v="985.34"/>
    <s v="m2"/>
    <n v="4.4489880937500004E-2"/>
    <n v="0.17804999999999999"/>
    <n v="4.4489880937499997"/>
    <n v="0.71454534577546303"/>
    <n v="5.3082953457754627"/>
    <n v="43.837659282956253"/>
    <n v="175.439787"/>
    <n v="4383.7659282956247"/>
    <n v="704.07011100639477"/>
    <n v="5263.2758263020196"/>
    <n v="0"/>
    <n v="0"/>
    <n v="1"/>
    <n v="0"/>
    <n v="0"/>
    <n v="1"/>
    <n v="5263.2758263020196"/>
    <n v="0"/>
    <n v="0"/>
    <n v="5263.2758263020196"/>
    <s v="Type B Construction_x000a_2BC-MRY1416"/>
    <s v="Check"/>
    <n v="2014"/>
    <s v="Direct "/>
    <m/>
    <m/>
    <n v="0.33333333333333331"/>
    <n v="0.33333333333333331"/>
    <n v="0.33333333333333331"/>
    <m/>
    <m/>
    <m/>
    <m/>
    <m/>
    <n v="0"/>
    <m/>
    <n v="1754.4252754340064"/>
    <n v="1754.4252754340064"/>
    <n v="1754.4252754340064"/>
    <n v="0"/>
    <n v="0"/>
    <n v="0"/>
    <n v="0"/>
    <n v="0"/>
  </r>
  <r>
    <x v="3"/>
    <x v="3"/>
    <x v="7"/>
    <x v="7"/>
    <x v="70"/>
    <x v="39"/>
    <x v="169"/>
    <x v="138"/>
    <m/>
    <s v=""/>
    <s v="A3l"/>
    <s v="Grade &amp; Re-Contour with Liner"/>
    <s v="A3l"/>
    <s v="Site Works"/>
    <s v="Grade and Re-Contour With Liner"/>
    <m/>
    <s v="Existing Lined Storage Area"/>
    <m/>
    <n v="985.34"/>
    <s v="m2"/>
    <n v="4.4489880937500004E-2"/>
    <n v="0.17804999999999999"/>
    <n v="4.4489880937499997"/>
    <n v="0.71454534577546303"/>
    <n v="5.3082953457754627"/>
    <n v="43.837659282956253"/>
    <n v="175.439787"/>
    <n v="4383.7659282956247"/>
    <n v="704.07011100639477"/>
    <n v="5263.2758263020196"/>
    <n v="0"/>
    <n v="0"/>
    <n v="1"/>
    <n v="0"/>
    <n v="0"/>
    <n v="1"/>
    <n v="5263.2758263020196"/>
    <n v="0"/>
    <n v="0"/>
    <n v="5263.2758263020196"/>
    <s v="Type B Construction_x000a_2BC-MRY1416"/>
    <s v="Check"/>
    <n v="2014"/>
    <s v="Direct "/>
    <m/>
    <m/>
    <n v="0.33333333333333331"/>
    <n v="0.33333333333333331"/>
    <n v="0.33333333333333331"/>
    <m/>
    <m/>
    <m/>
    <m/>
    <m/>
    <n v="0"/>
    <m/>
    <n v="1754.4252754340064"/>
    <n v="1754.4252754340064"/>
    <n v="1754.4252754340064"/>
    <n v="0"/>
    <n v="0"/>
    <n v="0"/>
    <n v="0"/>
    <n v="0"/>
  </r>
  <r>
    <x v="3"/>
    <x v="3"/>
    <x v="22"/>
    <x v="13"/>
    <x v="63"/>
    <x v="8"/>
    <x v="142"/>
    <x v="127"/>
    <s v="1440"/>
    <s v="TK-"/>
    <s v="MT1"/>
    <s v="Light Tanks"/>
    <s v="MT1"/>
    <s v="Mechanical Equipment"/>
    <s v="Light Tanks"/>
    <m/>
    <s v="TANK  - SITE SERVICES WASHCAR #2 RAW WATER TANK - PLASTIC-MART 866-310-2556  L: 1803 _x000a_W: 1245   H: 1346 "/>
    <s v="7432-TK-011"/>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m/>
    <n v="2014"/>
    <s v="Direct "/>
    <m/>
    <m/>
    <n v="0.33333333333333331"/>
    <n v="0.33333333333333331"/>
    <n v="0.33333333333333331"/>
    <m/>
    <m/>
    <m/>
    <m/>
    <m/>
    <n v="0"/>
    <m/>
    <n v="716.10978306878314"/>
    <n v="716.10978306878314"/>
    <n v="716.10978306878314"/>
    <n v="0"/>
    <n v="0"/>
    <n v="0"/>
    <n v="0"/>
    <n v="0"/>
  </r>
  <r>
    <x v="3"/>
    <x v="3"/>
    <x v="7"/>
    <x v="7"/>
    <x v="9"/>
    <x v="8"/>
    <x v="141"/>
    <x v="127"/>
    <s v="1255"/>
    <s v="BLD"/>
    <s v="FW"/>
    <s v="Timber Cribbing (480 ft2)"/>
    <s v="FT"/>
    <s v="Flooring / Foundations"/>
    <s v="Timber Cribbing"/>
    <m/>
    <s v="Site Services Washcar #1 - Demolish and foundations - Timber Cribbing to Elevate Building"/>
    <s v="7232-BLD-009"/>
    <n v="35.687732342007436"/>
    <s v="m2"/>
    <n v="0.12329166666666667"/>
    <n v="1.1768750000000001"/>
    <n v="7.8390373472222228"/>
    <n v="11.768750000000001"/>
    <n v="20.784662347222223"/>
    <n v="4.4000000000000004"/>
    <n v="42.000000000000007"/>
    <n v="279.75746666666669"/>
    <n v="420.00000000000006"/>
    <n v="741.75746666666669"/>
    <n v="0.3"/>
    <n v="10.706319702602231"/>
    <n v="1"/>
    <n v="0"/>
    <n v="0"/>
    <n v="1"/>
    <n v="741.75746666666669"/>
    <n v="0"/>
    <n v="0"/>
    <n v="741.75746666666669"/>
    <s v="Type B Construction_x000a_2BC-MRY1416"/>
    <m/>
    <n v="2014"/>
    <s v="Direct "/>
    <m/>
    <m/>
    <n v="0.33333333333333331"/>
    <n v="0.33333333333333331"/>
    <n v="0.33333333333333331"/>
    <m/>
    <m/>
    <m/>
    <m/>
    <m/>
    <n v="0"/>
    <m/>
    <n v="247.25248888888888"/>
    <n v="247.25248888888888"/>
    <n v="247.25248888888888"/>
    <n v="0"/>
    <n v="0"/>
    <n v="0"/>
    <n v="0"/>
    <n v="0"/>
  </r>
  <r>
    <x v="3"/>
    <x v="3"/>
    <x v="7"/>
    <x v="7"/>
    <x v="9"/>
    <x v="8"/>
    <x v="141"/>
    <x v="127"/>
    <s v="1258"/>
    <s v="BLD"/>
    <s v="FW"/>
    <s v="Timber Cribbing (480 ft2)"/>
    <s v="FT"/>
    <s v="Flooring / Foundations"/>
    <s v="Timber Cribbing"/>
    <m/>
    <s v="Site Services Washcar #2 - Demolish and foundations - Timber Cribbing to Elevate Building"/>
    <s v="7232-BLD-010"/>
    <n v="35.687732342007436"/>
    <s v="m2"/>
    <n v="0.12329166666666667"/>
    <n v="1.1768750000000001"/>
    <n v="7.8390373472222228"/>
    <n v="11.768750000000001"/>
    <n v="20.784662347222223"/>
    <n v="4.4000000000000004"/>
    <n v="42.000000000000007"/>
    <n v="279.75746666666669"/>
    <n v="420.00000000000006"/>
    <n v="741.75746666666669"/>
    <n v="0.3"/>
    <n v="10.706319702602231"/>
    <n v="1"/>
    <n v="0"/>
    <n v="0"/>
    <n v="1"/>
    <n v="741.75746666666669"/>
    <n v="0"/>
    <n v="0"/>
    <n v="741.75746666666669"/>
    <s v="Type B Construction_x000a_2BC-MRY1416"/>
    <m/>
    <n v="2014"/>
    <s v="Direct "/>
    <m/>
    <m/>
    <n v="0.33333333333333331"/>
    <n v="0.33333333333333331"/>
    <n v="0.33333333333333331"/>
    <m/>
    <m/>
    <m/>
    <m/>
    <m/>
    <n v="0"/>
    <m/>
    <n v="247.25248888888888"/>
    <n v="247.25248888888888"/>
    <n v="247.25248888888888"/>
    <n v="0"/>
    <n v="0"/>
    <n v="0"/>
    <n v="0"/>
    <n v="0"/>
  </r>
  <r>
    <x v="3"/>
    <x v="3"/>
    <x v="22"/>
    <x v="13"/>
    <x v="63"/>
    <x v="8"/>
    <x v="142"/>
    <x v="127"/>
    <s v="1408"/>
    <s v="BLD"/>
    <s v="FW"/>
    <s v="Timber Cribbing (480 ft2)"/>
    <s v="FT"/>
    <s v="Flooring / Foundations"/>
    <s v="Timber Cribbing"/>
    <m/>
    <s v="Fuel Systems Washcar - Demolish and foundations - Timber Cribbing to Elevate Building"/>
    <s v="7432-BLD-004"/>
    <n v="35.687732342007436"/>
    <s v="m2"/>
    <n v="0.12329166666666667"/>
    <n v="1.1768750000000001"/>
    <n v="7.8390373472222228"/>
    <n v="11.768750000000001"/>
    <n v="20.784662347222223"/>
    <n v="4.4000000000000004"/>
    <n v="42.000000000000007"/>
    <n v="279.75746666666669"/>
    <n v="420.00000000000006"/>
    <n v="741.75746666666669"/>
    <n v="0.3"/>
    <n v="10.706319702602231"/>
    <n v="1"/>
    <n v="0"/>
    <n v="0"/>
    <n v="1"/>
    <n v="741.75746666666669"/>
    <n v="0"/>
    <n v="0"/>
    <n v="741.75746666666669"/>
    <s v="Type A  _x000a_2AM-MRY1325"/>
    <m/>
    <n v="2014"/>
    <s v="Direct "/>
    <m/>
    <m/>
    <n v="0.5"/>
    <n v="0.5"/>
    <m/>
    <m/>
    <m/>
    <m/>
    <m/>
    <m/>
    <n v="0"/>
    <m/>
    <n v="370.87873333333334"/>
    <n v="370.87873333333334"/>
    <n v="0"/>
    <n v="0"/>
    <n v="0"/>
    <n v="0"/>
    <n v="0"/>
    <n v="0"/>
  </r>
  <r>
    <x v="3"/>
    <x v="3"/>
    <x v="22"/>
    <x v="13"/>
    <x v="63"/>
    <x v="8"/>
    <x v="142"/>
    <x v="127"/>
    <s v="1417"/>
    <s v="BLD"/>
    <s v="FW"/>
    <s v="Timber Cribbing (480 ft2)"/>
    <s v="FT"/>
    <s v="Flooring / Foundations"/>
    <s v="Timber Cribbing"/>
    <m/>
    <s v="Site Services Washcar #1 - Demolish and foundations - Timber Cribbing to Elevate Building"/>
    <s v="7432-BLD-007"/>
    <n v="35.687732342007436"/>
    <s v="m2"/>
    <n v="0.12329166666666667"/>
    <n v="1.1768750000000001"/>
    <n v="7.8390373472222228"/>
    <n v="11.768750000000001"/>
    <n v="20.784662347222223"/>
    <n v="4.4000000000000004"/>
    <n v="42.000000000000007"/>
    <n v="279.75746666666669"/>
    <n v="420.00000000000006"/>
    <n v="741.75746666666669"/>
    <n v="0.3"/>
    <n v="10.706319702602231"/>
    <n v="1"/>
    <n v="0"/>
    <n v="0"/>
    <n v="1"/>
    <n v="741.75746666666669"/>
    <n v="0"/>
    <n v="0"/>
    <n v="741.75746666666669"/>
    <s v="Type A  _x000a_2AM-MRY1325"/>
    <m/>
    <n v="2014"/>
    <s v="Direct "/>
    <m/>
    <m/>
    <n v="0.33333333333333331"/>
    <n v="0.33333333333333331"/>
    <n v="0.33333333333333331"/>
    <m/>
    <m/>
    <m/>
    <m/>
    <m/>
    <n v="0"/>
    <m/>
    <n v="247.25248888888888"/>
    <n v="247.25248888888888"/>
    <n v="247.25248888888888"/>
    <n v="0"/>
    <n v="0"/>
    <n v="0"/>
    <n v="0"/>
    <n v="0"/>
  </r>
  <r>
    <x v="3"/>
    <x v="3"/>
    <x v="7"/>
    <x v="7"/>
    <x v="9"/>
    <x v="8"/>
    <x v="168"/>
    <x v="140"/>
    <s v="1225"/>
    <s v="BLD"/>
    <s v="FF1"/>
    <s v="Modular Building Not Contaminated (480 ft2)"/>
    <s v="FTR1"/>
    <s v="Buildings (Not Contaminated)"/>
    <s v="Single Trailers (modular)"/>
    <m/>
    <s v="Aerodrome Office - Demolish and Decontaminate Building - Trailer - Single"/>
    <s v="7231-BLD-002"/>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B Construction_x000a_2BC-MRY1416"/>
    <m/>
    <n v="2014"/>
    <s v="Direct "/>
    <m/>
    <m/>
    <n v="0.33333333333333331"/>
    <n v="0.33333333333333331"/>
    <n v="0.33333333333333331"/>
    <m/>
    <m/>
    <m/>
    <m/>
    <m/>
    <n v="0"/>
    <m/>
    <n v="1324.5669047619049"/>
    <n v="1324.5669047619049"/>
    <n v="1324.5669047619049"/>
    <n v="0"/>
    <n v="0"/>
    <n v="0"/>
    <n v="0"/>
    <n v="0"/>
  </r>
  <r>
    <x v="3"/>
    <x v="3"/>
    <x v="7"/>
    <x v="7"/>
    <x v="9"/>
    <x v="8"/>
    <x v="141"/>
    <x v="127"/>
    <s v="1239"/>
    <s v="BLD"/>
    <s v="FF1"/>
    <s v="Modular Building Not Contaminated (480 ft2)"/>
    <s v="FTR1"/>
    <s v="Buildings (Not Contaminated)"/>
    <s v="Single Trailers (modular)"/>
    <m/>
    <s v="Batch Plant Office-Lunchroom-W/C - Demolish and Decontaminate Building - Trailer - Single"/>
    <s v="7232-BLD-003"/>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B Construction_x000a_2BC-MRY1416"/>
    <m/>
    <n v="2014"/>
    <s v="Direct "/>
    <m/>
    <m/>
    <n v="0.33333333333333331"/>
    <n v="0.33333333333333331"/>
    <n v="0.33333333333333331"/>
    <m/>
    <m/>
    <m/>
    <m/>
    <m/>
    <n v="0"/>
    <m/>
    <n v="1324.5669047619049"/>
    <n v="1324.5669047619049"/>
    <n v="1324.5669047619049"/>
    <n v="0"/>
    <n v="0"/>
    <n v="0"/>
    <n v="0"/>
    <n v="0"/>
  </r>
  <r>
    <x v="3"/>
    <x v="3"/>
    <x v="7"/>
    <x v="7"/>
    <x v="9"/>
    <x v="8"/>
    <x v="141"/>
    <x v="127"/>
    <s v="1248"/>
    <s v="BLD"/>
    <s v="FF1"/>
    <s v="Modular Building Not Contaminated (480 ft2)"/>
    <s v="FTR1"/>
    <s v="Buildings (Not Contaminated)"/>
    <s v="Single Trailers (modular)"/>
    <m/>
    <s v="Site Services Lunchroom #1 - Demolish and Decontaminate Building - Trailer - Single"/>
    <s v="7232-BLD-007"/>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B Construction_x000a_2BC-MRY1416"/>
    <m/>
    <n v="2014"/>
    <s v="Direct "/>
    <m/>
    <m/>
    <n v="0.33333333333333331"/>
    <n v="0.33333333333333331"/>
    <n v="0.33333333333333331"/>
    <m/>
    <m/>
    <m/>
    <m/>
    <m/>
    <n v="0"/>
    <m/>
    <n v="1324.5669047619049"/>
    <n v="1324.5669047619049"/>
    <n v="1324.5669047619049"/>
    <n v="0"/>
    <n v="0"/>
    <n v="0"/>
    <n v="0"/>
    <n v="0"/>
  </r>
  <r>
    <x v="3"/>
    <x v="3"/>
    <x v="7"/>
    <x v="7"/>
    <x v="9"/>
    <x v="8"/>
    <x v="141"/>
    <x v="127"/>
    <s v="1251"/>
    <s v="BLD"/>
    <s v="FF1"/>
    <s v="Modular Building Not Contaminated (480 ft2)"/>
    <s v="FTR1"/>
    <s v="Buildings (Not Contaminated)"/>
    <s v="Single Trailers (modular)"/>
    <m/>
    <s v="Site Services Lunchroom #2 - Demolish and Decontaminate Building - Trailer - Single"/>
    <s v="7232-BLD-008"/>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B Construction_x000a_2BC-MRY1416"/>
    <m/>
    <n v="2014"/>
    <s v="Direct "/>
    <m/>
    <m/>
    <n v="0.33333333333333331"/>
    <n v="0.33333333333333331"/>
    <n v="0.33333333333333331"/>
    <m/>
    <m/>
    <m/>
    <m/>
    <m/>
    <n v="0"/>
    <m/>
    <n v="1324.5669047619049"/>
    <n v="1324.5669047619049"/>
    <n v="1324.5669047619049"/>
    <n v="0"/>
    <n v="0"/>
    <n v="0"/>
    <n v="0"/>
    <n v="0"/>
  </r>
  <r>
    <x v="3"/>
    <x v="3"/>
    <x v="22"/>
    <x v="13"/>
    <x v="63"/>
    <x v="8"/>
    <x v="142"/>
    <x v="127"/>
    <s v="1401"/>
    <s v="BLD"/>
    <s v="FF1"/>
    <s v="Modular Building Not Contaminated (480 ft2)"/>
    <s v="FTR1"/>
    <s v="Buildings (Not Contaminated)"/>
    <s v="Single Trailers (modular)"/>
    <m/>
    <s v="Batch Plant Office-Lunchroom-W/C - Demolish and Decontaminate Building - Trailer - Single"/>
    <s v="7432-BLD-001"/>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A  _x000a_2AM-MRY1325"/>
    <m/>
    <n v="2014"/>
    <s v="Direct "/>
    <m/>
    <m/>
    <n v="0.33333333333333331"/>
    <n v="0.33333333333333331"/>
    <n v="0.33333333333333331"/>
    <m/>
    <m/>
    <m/>
    <m/>
    <m/>
    <n v="0"/>
    <m/>
    <n v="1324.5669047619049"/>
    <n v="1324.5669047619049"/>
    <n v="1324.5669047619049"/>
    <n v="0"/>
    <n v="0"/>
    <n v="0"/>
    <n v="0"/>
    <n v="0"/>
  </r>
  <r>
    <x v="3"/>
    <x v="3"/>
    <x v="22"/>
    <x v="13"/>
    <x v="63"/>
    <x v="8"/>
    <x v="142"/>
    <x v="127"/>
    <s v="1404"/>
    <s v="BLD"/>
    <s v="FF1"/>
    <s v="Modular Building Not Contaminated (480 ft2)"/>
    <s v="FTR1"/>
    <s v="Buildings (Not Contaminated)"/>
    <s v="Single Trailers (modular)"/>
    <m/>
    <s v="Fuel Systems Lunchroom - Demolish and Decontaminate Building - Trailer - Single"/>
    <s v="7432-BLD-003"/>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A  _x000a_2AM-MRY1325"/>
    <m/>
    <n v="2014"/>
    <s v="Direct "/>
    <m/>
    <m/>
    <n v="0.5"/>
    <n v="0.5"/>
    <m/>
    <m/>
    <m/>
    <m/>
    <m/>
    <m/>
    <n v="0"/>
    <m/>
    <n v="1986.8503571428573"/>
    <n v="1986.8503571428573"/>
    <n v="0"/>
    <n v="0"/>
    <n v="0"/>
    <n v="0"/>
    <n v="0"/>
    <n v="0"/>
  </r>
  <r>
    <x v="3"/>
    <x v="3"/>
    <x v="22"/>
    <x v="13"/>
    <x v="63"/>
    <x v="8"/>
    <x v="142"/>
    <x v="127"/>
    <s v="1410"/>
    <s v="BLD"/>
    <s v="FF1"/>
    <s v="Modular Building Not Contaminated (480 ft2)"/>
    <s v="FTR1"/>
    <s v="Buildings (Not Contaminated)"/>
    <s v="Single Trailers (modular)"/>
    <m/>
    <s v="Site Services Lunchroom #1 - Demolish and Decontaminate Building - Trailer - Single"/>
    <s v="7432-BLD-005"/>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A  _x000a_2AM-MRY1325"/>
    <m/>
    <n v="2014"/>
    <s v="Direct "/>
    <m/>
    <m/>
    <n v="0.33333333333333331"/>
    <n v="0.33333333333333331"/>
    <n v="0.33333333333333331"/>
    <m/>
    <m/>
    <m/>
    <m/>
    <m/>
    <n v="0"/>
    <m/>
    <n v="1324.5669047619049"/>
    <n v="1324.5669047619049"/>
    <n v="1324.5669047619049"/>
    <n v="0"/>
    <n v="0"/>
    <n v="0"/>
    <n v="0"/>
    <n v="0"/>
  </r>
  <r>
    <x v="3"/>
    <x v="3"/>
    <x v="22"/>
    <x v="13"/>
    <x v="63"/>
    <x v="8"/>
    <x v="142"/>
    <x v="127"/>
    <s v="1413"/>
    <s v="BLD"/>
    <s v="FF1"/>
    <s v="Modular Building Not Contaminated (480 ft2)"/>
    <s v="FTR1"/>
    <s v="Buildings (Not Contaminated)"/>
    <s v="Single Trailers (modular)"/>
    <m/>
    <s v="Site Services Lunchroom #2 - Demolish and Decontaminate Building - Trailer - Single"/>
    <s v="7432-BLD-006"/>
    <n v="66.914498141263948"/>
    <s v="m2"/>
    <n v="0.22416666666666665"/>
    <n v="3.3624999999999998"/>
    <n v="22.397249563492064"/>
    <n v="33.625"/>
    <n v="59.384749563492065"/>
    <n v="15"/>
    <n v="225"/>
    <n v="1498.7007142857144"/>
    <n v="2250.0000000000005"/>
    <n v="3973.7007142857146"/>
    <n v="1"/>
    <n v="66.914498141263948"/>
    <n v="1"/>
    <n v="0"/>
    <n v="0"/>
    <n v="1"/>
    <n v="3973.7007142857146"/>
    <n v="0"/>
    <n v="0"/>
    <n v="3973.7007142857146"/>
    <s v="Type A  _x000a_2AM-MRY1325"/>
    <m/>
    <n v="2014"/>
    <s v="Direct "/>
    <m/>
    <m/>
    <n v="0.33333333333333331"/>
    <n v="0.33333333333333331"/>
    <n v="0.33333333333333331"/>
    <m/>
    <m/>
    <m/>
    <m/>
    <m/>
    <n v="0"/>
    <m/>
    <n v="1324.5669047619049"/>
    <n v="1324.5669047619049"/>
    <n v="1324.5669047619049"/>
    <n v="0"/>
    <n v="0"/>
    <n v="0"/>
    <n v="0"/>
    <n v="0"/>
  </r>
  <r>
    <x v="3"/>
    <x v="3"/>
    <x v="7"/>
    <x v="7"/>
    <x v="9"/>
    <x v="8"/>
    <x v="141"/>
    <x v="127"/>
    <s v="1242"/>
    <s v="BLD"/>
    <s v="FF1"/>
    <s v="Modular Building Not Contaminated (480 ft2)"/>
    <s v="FTR1"/>
    <s v="Buildings (Not Contaminated)"/>
    <s v="Single Trailers (modular)"/>
    <m/>
    <s v="Fuel Systems Office - Demolish and Decontaminate Building - Trailer - Single"/>
    <s v="7232-BLD-005"/>
    <n v="44.609665427509292"/>
    <s v="m2"/>
    <n v="0.22416666666666665"/>
    <n v="3.3624999999999998"/>
    <n v="22.397249563492064"/>
    <n v="33.625"/>
    <n v="59.384749563492065"/>
    <n v="9.9999999999999982"/>
    <n v="149.99999999999997"/>
    <n v="999.13380952380953"/>
    <n v="1500"/>
    <n v="2649.1338095238098"/>
    <n v="1"/>
    <n v="44.609665427509292"/>
    <n v="1"/>
    <n v="0"/>
    <n v="0"/>
    <n v="1"/>
    <n v="2649.1338095238098"/>
    <n v="0"/>
    <n v="0"/>
    <n v="2649.1338095238098"/>
    <s v="Type B Construction_x000a_2BC-MRY1416"/>
    <m/>
    <n v="2014"/>
    <s v="Direct "/>
    <m/>
    <m/>
    <n v="0.5"/>
    <n v="0.5"/>
    <m/>
    <m/>
    <m/>
    <m/>
    <m/>
    <m/>
    <n v="0"/>
    <m/>
    <n v="1324.5669047619049"/>
    <n v="1324.5669047619049"/>
    <n v="0"/>
    <n v="0"/>
    <n v="0"/>
    <n v="0"/>
    <n v="0"/>
    <n v="0"/>
  </r>
  <r>
    <x v="3"/>
    <x v="3"/>
    <x v="7"/>
    <x v="7"/>
    <x v="9"/>
    <x v="8"/>
    <x v="141"/>
    <x v="127"/>
    <s v="1245"/>
    <s v="BLD"/>
    <s v="FF1"/>
    <s v="Modular Building Not Contaminated (480 ft2)"/>
    <s v="FTR1"/>
    <s v="Buildings (Not Contaminated)"/>
    <s v="Single Trailers (modular)"/>
    <m/>
    <s v="Fuel Systems Lunchroom - Demolish and Decontaminate Building - Trailer - Single"/>
    <s v="7232-BLD-006"/>
    <n v="44.609665427509292"/>
    <s v="m2"/>
    <n v="0.22416666666666665"/>
    <n v="3.3624999999999998"/>
    <n v="22.397249563492064"/>
    <n v="33.625"/>
    <n v="59.384749563492065"/>
    <n v="9.9999999999999982"/>
    <n v="149.99999999999997"/>
    <n v="999.13380952380953"/>
    <n v="1500"/>
    <n v="2649.1338095238098"/>
    <n v="1"/>
    <n v="44.609665427509292"/>
    <n v="1"/>
    <n v="0"/>
    <n v="0"/>
    <n v="1"/>
    <n v="2649.1338095238098"/>
    <n v="0"/>
    <n v="0"/>
    <n v="2649.1338095238098"/>
    <s v="Type B Construction_x000a_2BC-MRY1416"/>
    <m/>
    <n v="2014"/>
    <s v="Direct "/>
    <m/>
    <m/>
    <n v="0.5"/>
    <n v="0.5"/>
    <m/>
    <m/>
    <m/>
    <m/>
    <m/>
    <m/>
    <n v="0"/>
    <m/>
    <n v="1324.5669047619049"/>
    <n v="1324.5669047619049"/>
    <n v="0"/>
    <n v="0"/>
    <n v="0"/>
    <n v="0"/>
    <n v="0"/>
    <n v="0"/>
  </r>
  <r>
    <x v="3"/>
    <x v="3"/>
    <x v="7"/>
    <x v="7"/>
    <x v="9"/>
    <x v="8"/>
    <x v="168"/>
    <x v="140"/>
    <s v="1231"/>
    <s v="TK-"/>
    <s v="MT1"/>
    <s v="Light Tanks"/>
    <s v="MT1"/>
    <s v="Mechanical Equipment"/>
    <s v="Light Tanks"/>
    <m/>
    <s v="TANK  - AERODROME OFFICE RAW WATER TANK - NORWESCO  L: 1613 _x000a_W: 737 _x000a_H: 1676 "/>
    <s v="7231-TK-002"/>
    <n v="1"/>
    <s v="ea"/>
    <n v="9.6666666666666661"/>
    <n v="107.5"/>
    <n v="965.82934920634932"/>
    <n v="1075"/>
    <n v="2148.3293492063494"/>
    <n v="9.6666666666666661"/>
    <n v="107.5"/>
    <n v="965.82934920634932"/>
    <n v="1075"/>
    <n v="2148.3293492063494"/>
    <n v="1"/>
    <n v="1"/>
    <n v="1"/>
    <n v="0"/>
    <n v="0"/>
    <n v="1"/>
    <n v="2148.3293492063494"/>
    <n v="0"/>
    <n v="0"/>
    <n v="2148.3293492063494"/>
    <s v="Type B Construction_x000a_2BC-MRY1416"/>
    <m/>
    <n v="2014"/>
    <s v="Direct "/>
    <m/>
    <m/>
    <n v="0.33333333333333331"/>
    <n v="0.33333333333333331"/>
    <n v="0.33333333333333331"/>
    <m/>
    <m/>
    <m/>
    <m/>
    <m/>
    <n v="0"/>
    <m/>
    <n v="716.10978306878314"/>
    <n v="716.10978306878314"/>
    <n v="716.10978306878314"/>
    <n v="0"/>
    <n v="0"/>
    <n v="0"/>
    <n v="0"/>
    <n v="0"/>
  </r>
  <r>
    <x v="3"/>
    <x v="3"/>
    <x v="7"/>
    <x v="7"/>
    <x v="9"/>
    <x v="8"/>
    <x v="141"/>
    <x v="127"/>
    <s v="1270"/>
    <s v="TK-"/>
    <s v="MT1"/>
    <s v="Light Tanks"/>
    <s v="MT1"/>
    <s v="Mechanical Equipment"/>
    <s v="Light Tanks"/>
    <m/>
    <s v="TANK  - BATCH PLANT OFFICE-LUNCHROOM-WC RAW WATER TANK - PLASTIC-MART 866-310-2556  L: 1613 W: 737  H: 1676 "/>
    <s v="7232-TK-002"/>
    <n v="1"/>
    <s v="ea"/>
    <n v="9.6666666666666661"/>
    <n v="107.5"/>
    <n v="965.82934920634932"/>
    <n v="1075"/>
    <n v="2148.3293492063494"/>
    <n v="9.6666666666666661"/>
    <n v="107.5"/>
    <n v="965.82934920634932"/>
    <n v="1075"/>
    <n v="2148.3293492063494"/>
    <n v="1"/>
    <n v="1"/>
    <n v="1"/>
    <n v="0"/>
    <n v="0"/>
    <n v="1"/>
    <n v="2148.3293492063494"/>
    <n v="0"/>
    <n v="0"/>
    <n v="2148.3293492063494"/>
    <s v="Type B Construction_x000a_2BC-MRY1416"/>
    <m/>
    <n v="2014"/>
    <s v="Direct "/>
    <m/>
    <m/>
    <n v="0.33333333333333331"/>
    <n v="0.33333333333333331"/>
    <n v="0.33333333333333331"/>
    <m/>
    <m/>
    <m/>
    <m/>
    <m/>
    <n v="0"/>
    <m/>
    <n v="716.10978306878314"/>
    <n v="716.10978306878314"/>
    <n v="716.10978306878314"/>
    <n v="0"/>
    <n v="0"/>
    <n v="0"/>
    <n v="0"/>
    <n v="0"/>
  </r>
  <r>
    <x v="3"/>
    <x v="3"/>
    <x v="22"/>
    <x v="13"/>
    <x v="63"/>
    <x v="8"/>
    <x v="142"/>
    <x v="127"/>
    <s v="1420"/>
    <s v="BLD"/>
    <s v="FW"/>
    <s v="Timber Cribbing (480 ft2)"/>
    <s v="FT"/>
    <s v="Flooring / Foundations"/>
    <s v="Timber Cribbing"/>
    <m/>
    <s v="Site Services Washcar #2 - Demolish and foundations - Timber Cribbing to Elevate Building"/>
    <s v="7432-BLD-008"/>
    <n v="35.687732342007436"/>
    <s v="m2"/>
    <n v="0.12329166666666667"/>
    <n v="1.1768750000000001"/>
    <n v="7.8390373472222228"/>
    <n v="11.768750000000001"/>
    <n v="20.784662347222223"/>
    <n v="4.4000000000000004"/>
    <n v="42.000000000000007"/>
    <n v="279.75746666666669"/>
    <n v="420.00000000000006"/>
    <n v="741.75746666666669"/>
    <n v="0.3"/>
    <n v="10.706319702602231"/>
    <n v="1"/>
    <n v="0"/>
    <n v="0"/>
    <n v="1"/>
    <n v="741.75746666666669"/>
    <n v="0"/>
    <n v="0"/>
    <n v="741.75746666666669"/>
    <s v="Type A  _x000a_2AM-MRY1325"/>
    <m/>
    <n v="2014"/>
    <s v="Direct "/>
    <m/>
    <m/>
    <n v="0.33333333333333331"/>
    <n v="0.33333333333333331"/>
    <n v="0.33333333333333331"/>
    <m/>
    <m/>
    <m/>
    <m/>
    <m/>
    <n v="0"/>
    <m/>
    <n v="247.25248888888888"/>
    <n v="247.25248888888888"/>
    <n v="247.25248888888888"/>
    <n v="0"/>
    <n v="0"/>
    <n v="0"/>
    <n v="0"/>
    <n v="0"/>
  </r>
  <r>
    <x v="3"/>
    <x v="3"/>
    <x v="7"/>
    <x v="7"/>
    <x v="9"/>
    <x v="8"/>
    <x v="141"/>
    <x v="127"/>
    <m/>
    <s v="BLD"/>
    <s v="FF1"/>
    <s v="Modular Building Not Contaminated (480 ft2)"/>
    <s v="FTR1"/>
    <s v="Buildings (Not Contaminated)"/>
    <s v="Single Trailers (modular)"/>
    <m/>
    <s v="Quarry Washcar - Demolish and Decontaminate Building - Trailer - Single"/>
    <s v="7232-BLD-002"/>
    <n v="0"/>
    <s v="m2"/>
    <n v="0.22416666666666665"/>
    <n v="3.3624999999999998"/>
    <n v="22.397249563492064"/>
    <n v="33.625"/>
    <n v="59.384749563492065"/>
    <n v="0"/>
    <n v="0"/>
    <n v="0"/>
    <n v="0"/>
    <n v="0"/>
    <n v="1"/>
    <n v="0"/>
    <n v="1"/>
    <n v="0"/>
    <n v="0"/>
    <n v="1"/>
    <n v="0"/>
    <n v="0"/>
    <n v="0"/>
    <n v="0"/>
    <s v="Type B Construction_x000a_2BC-MRY1416"/>
    <m/>
    <n v="2014"/>
    <s v="Direct "/>
    <m/>
    <m/>
    <n v="0.5"/>
    <n v="0.5"/>
    <m/>
    <m/>
    <m/>
    <m/>
    <m/>
    <m/>
    <n v="0"/>
    <m/>
    <n v="0"/>
    <n v="0"/>
    <n v="0"/>
    <n v="0"/>
    <n v="0"/>
    <n v="0"/>
    <n v="0"/>
    <n v="0"/>
  </r>
  <r>
    <x v="3"/>
    <x v="3"/>
    <x v="7"/>
    <x v="7"/>
    <x v="9"/>
    <x v="8"/>
    <x v="141"/>
    <x v="127"/>
    <m/>
    <s v="BLD"/>
    <s v="EG"/>
    <s v="Gravel Base Removal"/>
    <s v="EG"/>
    <s v="Flooring / Foundations"/>
    <s v="Gravel Base"/>
    <m/>
    <s v="Quarry Washcar - Demolish and foundations - Gravel Base - Skidded Building"/>
    <s v="7232-BLD-002"/>
    <n v="0"/>
    <s v="m2"/>
    <n v="0"/>
    <n v="0"/>
    <n v="0"/>
    <n v="0"/>
    <n v="0"/>
    <n v="0"/>
    <n v="0"/>
    <n v="0"/>
    <n v="0"/>
    <n v="0"/>
    <n v="0"/>
    <n v="0"/>
    <n v="1"/>
    <n v="0"/>
    <n v="0"/>
    <n v="1"/>
    <n v="0"/>
    <n v="0"/>
    <n v="0"/>
    <n v="0"/>
    <s v="Type B Construction_x000a_2BC-MRY1416"/>
    <m/>
    <n v="2014"/>
    <s v="Direct "/>
    <m/>
    <m/>
    <n v="0.5"/>
    <n v="0.5"/>
    <m/>
    <m/>
    <m/>
    <m/>
    <m/>
    <m/>
    <n v="0"/>
    <m/>
    <n v="0"/>
    <n v="0"/>
    <n v="0"/>
    <n v="0"/>
    <n v="0"/>
    <n v="0"/>
    <n v="0"/>
    <n v="0"/>
  </r>
  <r>
    <x v="3"/>
    <x v="3"/>
    <x v="22"/>
    <x v="13"/>
    <x v="63"/>
    <x v="8"/>
    <x v="142"/>
    <x v="127"/>
    <s v="1434"/>
    <s v="TK-"/>
    <s v="MT1"/>
    <s v="Light Tanks"/>
    <s v="MT1"/>
    <s v="Mechanical Equipment"/>
    <s v="Light Tanks"/>
    <m/>
    <s v="TANK  - BATCH PLANT OFFICE-LUNCHROOM-WC RAW WATER TANK - PLASTIC-MART 866-310-2556  L: 1613  W: 737  H: 1676 "/>
    <s v="7432-TK-002"/>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m/>
    <n v="2014"/>
    <s v="Direct "/>
    <m/>
    <m/>
    <n v="0.33333333333333331"/>
    <n v="0.33333333333333331"/>
    <n v="0.33333333333333331"/>
    <m/>
    <m/>
    <m/>
    <m/>
    <m/>
    <n v="0"/>
    <m/>
    <n v="716.10978306878314"/>
    <n v="716.10978306878314"/>
    <n v="716.10978306878314"/>
    <n v="0"/>
    <n v="0"/>
    <n v="0"/>
    <n v="0"/>
    <n v="0"/>
  </r>
  <r>
    <x v="3"/>
    <x v="3"/>
    <x v="7"/>
    <x v="7"/>
    <x v="9"/>
    <x v="8"/>
    <x v="141"/>
    <x v="127"/>
    <m/>
    <s v="BLD"/>
    <m/>
    <e v="#N/A"/>
    <s v="FW"/>
    <s v="Flooring / Foundations"/>
    <s v="Wood Floor"/>
    <m/>
    <s v="Quarry Washcar - Demolish floor finish - Raised Steel or Wooden Floor"/>
    <s v="7232-BLD-002"/>
    <n v="0"/>
    <s v="m2"/>
    <s v="0"/>
    <s v="0"/>
    <s v="0"/>
    <s v="0"/>
    <s v="0"/>
    <n v="0"/>
    <n v="0"/>
    <n v="0"/>
    <n v="0"/>
    <n v="0"/>
    <n v="0"/>
    <n v="0"/>
    <n v="1"/>
    <n v="0"/>
    <n v="0"/>
    <n v="1"/>
    <n v="0"/>
    <n v="0"/>
    <n v="0"/>
    <n v="0"/>
    <s v="Type B Construction_x000a_2BC-MRY1416"/>
    <m/>
    <n v="2014"/>
    <s v="Direct "/>
    <m/>
    <m/>
    <n v="0.5"/>
    <n v="0.5"/>
    <m/>
    <m/>
    <m/>
    <m/>
    <m/>
    <m/>
    <n v="0"/>
    <m/>
    <n v="0"/>
    <n v="0"/>
    <n v="0"/>
    <n v="0"/>
    <n v="0"/>
    <n v="0"/>
    <n v="0"/>
    <n v="0"/>
  </r>
  <r>
    <x v="3"/>
    <x v="3"/>
    <x v="7"/>
    <x v="7"/>
    <x v="9"/>
    <x v="8"/>
    <x v="141"/>
    <x v="127"/>
    <s v="1265"/>
    <s v="PP-"/>
    <s v="MM1"/>
    <s v="Light Equimpent"/>
    <s v="MM1"/>
    <s v="Mechanical Equipment"/>
    <s v="Light Equipment"/>
    <s v="Pump"/>
    <s v="PUMP  - SITE SERVICES WASHCAR #1 RAW WATER PUMP - SIMER JET PUMPS 2205C  _x000a_L: 483, W: 275, H: 267 "/>
    <s v="7232-PP-006"/>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3"/>
    <x v="3"/>
    <x v="7"/>
    <x v="7"/>
    <x v="9"/>
    <x v="8"/>
    <x v="141"/>
    <x v="127"/>
    <s v="1267"/>
    <s v="PP-"/>
    <s v="MM1"/>
    <s v="Light Equimpent"/>
    <s v="MM1"/>
    <s v="Mechanical Equipment"/>
    <s v="Light Equipment"/>
    <s v="Pump"/>
    <s v="PUMP  - SITE SERVICES WASHCAR #2 RAW WATER PUMP - SIMER JET PUMPS 2205C  _x000a_L: 483, W: 275, H: 267 "/>
    <s v="7232-PP-009"/>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3"/>
    <x v="3"/>
    <x v="7"/>
    <x v="7"/>
    <x v="9"/>
    <x v="8"/>
    <x v="141"/>
    <x v="127"/>
    <s v="1260"/>
    <s v="BLD"/>
    <s v="FF1-c"/>
    <s v="Modular Building Contaminated (480 ft2) "/>
    <s v="FC-c"/>
    <s v="Buildings (Contaminated)"/>
    <s v="ISO Shipping Containers"/>
    <m/>
    <s v="Smoke Shack - Demolish and Decontaminate Building - ISO Shipping Container"/>
    <s v="7232-BLD-011"/>
    <n v="14.869888475836431"/>
    <s v="m2"/>
    <n v="0.56041666666666667"/>
    <n v="3.3624999999999998"/>
    <n v="55.993123908730162"/>
    <n v="84.0625"/>
    <n v="143.41812390873017"/>
    <n v="8.3333333333333339"/>
    <n v="50"/>
    <n v="832.61150793650802"/>
    <n v="1250"/>
    <n v="2132.6115079365081"/>
    <n v="1"/>
    <n v="14.869888475836431"/>
    <n v="1"/>
    <n v="0"/>
    <n v="0"/>
    <n v="1"/>
    <n v="2132.6115079365081"/>
    <n v="0"/>
    <n v="0"/>
    <n v="2132.6115079365081"/>
    <s v="Type B Construction_x000a_2BC-MRY1416"/>
    <m/>
    <n v="2014"/>
    <s v="Direct "/>
    <m/>
    <m/>
    <n v="0.33333333333333331"/>
    <n v="0.33333333333333331"/>
    <n v="0.33333333333333331"/>
    <m/>
    <m/>
    <m/>
    <m/>
    <m/>
    <n v="0"/>
    <m/>
    <n v="710.87050264550271"/>
    <n v="710.87050264550271"/>
    <n v="710.87050264550271"/>
    <n v="0"/>
    <n v="0"/>
    <n v="0"/>
    <n v="0"/>
    <n v="0"/>
  </r>
  <r>
    <x v="3"/>
    <x v="3"/>
    <x v="22"/>
    <x v="13"/>
    <x v="63"/>
    <x v="8"/>
    <x v="142"/>
    <x v="127"/>
    <s v="1422"/>
    <s v="BLD"/>
    <s v="FF1-c"/>
    <s v="Modular Building Contaminated (480 ft2) "/>
    <s v="FC-c"/>
    <s v="Buildings (Contaminated)"/>
    <s v="ISO Shipping Containers"/>
    <m/>
    <s v="Smoke Shack - Demolish and Decontaminate Building - ISO Shipping Container"/>
    <s v="7432-BLD-009"/>
    <n v="14.869888475836431"/>
    <s v="m2"/>
    <n v="0.56041666666666667"/>
    <n v="3.3624999999999998"/>
    <n v="55.993123908730162"/>
    <n v="84.0625"/>
    <n v="143.41812390873017"/>
    <n v="8.3333333333333339"/>
    <n v="50"/>
    <n v="832.61150793650802"/>
    <n v="1250"/>
    <n v="2132.6115079365081"/>
    <n v="1"/>
    <n v="14.869888475836431"/>
    <n v="1"/>
    <n v="0"/>
    <n v="0"/>
    <n v="1"/>
    <n v="2132.6115079365081"/>
    <n v="0"/>
    <n v="0"/>
    <n v="2132.6115079365081"/>
    <s v="Type A  _x000a_2AM-MRY1325"/>
    <m/>
    <n v="2014"/>
    <s v="Direct "/>
    <m/>
    <m/>
    <n v="0.33333333333333331"/>
    <n v="0.33333333333333331"/>
    <n v="0.33333333333333331"/>
    <m/>
    <m/>
    <m/>
    <m/>
    <m/>
    <n v="0"/>
    <m/>
    <n v="710.87050264550271"/>
    <n v="710.87050264550271"/>
    <n v="710.87050264550271"/>
    <n v="0"/>
    <n v="0"/>
    <n v="0"/>
    <n v="0"/>
    <n v="0"/>
  </r>
  <r>
    <x v="3"/>
    <x v="3"/>
    <x v="7"/>
    <x v="7"/>
    <x v="9"/>
    <x v="8"/>
    <x v="168"/>
    <x v="140"/>
    <s v="1226"/>
    <s v="BLD"/>
    <s v="FW"/>
    <s v="Timber Cribbing (480 ft2)"/>
    <s v="FT"/>
    <s v="Flooring / Foundations"/>
    <s v="Timber Cribbing"/>
    <m/>
    <s v="Aerodrome Office - Demolish and foundations - Timber Cribbing to Elevate Building"/>
    <s v="7231-BLD-002"/>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B Construction_x000a_2BC-MRY1416"/>
    <m/>
    <n v="2014"/>
    <s v="Direct "/>
    <m/>
    <m/>
    <n v="0.33333333333333331"/>
    <n v="0.33333333333333331"/>
    <n v="0.33333333333333331"/>
    <m/>
    <m/>
    <m/>
    <m/>
    <m/>
    <n v="0"/>
    <m/>
    <n v="463.59841666666671"/>
    <n v="463.59841666666671"/>
    <n v="463.59841666666671"/>
    <n v="0"/>
    <n v="0"/>
    <n v="0"/>
    <n v="0"/>
    <n v="0"/>
  </r>
  <r>
    <x v="3"/>
    <x v="3"/>
    <x v="7"/>
    <x v="7"/>
    <x v="9"/>
    <x v="8"/>
    <x v="141"/>
    <x v="127"/>
    <s v="1240"/>
    <s v="BLD"/>
    <s v="FW"/>
    <s v="Timber Cribbing (480 ft2)"/>
    <s v="FT"/>
    <s v="Flooring / Foundations"/>
    <s v="Timber Cribbing"/>
    <m/>
    <s v="Batch Plant Office-Lunchroom-W/C - Demolish and foundations - Timber Cribbing to Elevate Building"/>
    <s v="7232-BLD-003"/>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B Construction_x000a_2BC-MRY1416"/>
    <m/>
    <n v="2014"/>
    <s v="Direct "/>
    <m/>
    <m/>
    <n v="0.33333333333333331"/>
    <n v="0.33333333333333331"/>
    <n v="0.33333333333333331"/>
    <m/>
    <m/>
    <m/>
    <m/>
    <m/>
    <n v="0"/>
    <m/>
    <n v="463.59841666666671"/>
    <n v="463.59841666666671"/>
    <n v="463.59841666666671"/>
    <n v="0"/>
    <n v="0"/>
    <n v="0"/>
    <n v="0"/>
    <n v="0"/>
  </r>
  <r>
    <x v="3"/>
    <x v="3"/>
    <x v="7"/>
    <x v="7"/>
    <x v="9"/>
    <x v="8"/>
    <x v="141"/>
    <x v="127"/>
    <s v="1249"/>
    <s v="BLD"/>
    <s v="FW"/>
    <s v="Timber Cribbing (480 ft2)"/>
    <s v="FT"/>
    <s v="Flooring / Foundations"/>
    <s v="Timber Cribbing"/>
    <m/>
    <s v="Site Services Lunchroom #1 - Demolish and foundations - Timber Cribbing to Elevate Building"/>
    <s v="7232-BLD-007"/>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B Construction_x000a_2BC-MRY1416"/>
    <m/>
    <n v="2014"/>
    <s v="Direct "/>
    <m/>
    <m/>
    <n v="0.33333333333333331"/>
    <n v="0.33333333333333331"/>
    <n v="0.33333333333333331"/>
    <m/>
    <m/>
    <m/>
    <m/>
    <m/>
    <n v="0"/>
    <m/>
    <n v="463.59841666666671"/>
    <n v="463.59841666666671"/>
    <n v="463.59841666666671"/>
    <n v="0"/>
    <n v="0"/>
    <n v="0"/>
    <n v="0"/>
    <n v="0"/>
  </r>
  <r>
    <x v="3"/>
    <x v="3"/>
    <x v="7"/>
    <x v="7"/>
    <x v="9"/>
    <x v="8"/>
    <x v="141"/>
    <x v="127"/>
    <s v="1252"/>
    <s v="BLD"/>
    <s v="FW"/>
    <s v="Timber Cribbing (480 ft2)"/>
    <s v="FT"/>
    <s v="Flooring / Foundations"/>
    <s v="Timber Cribbing"/>
    <m/>
    <s v="Site Services Lunchroom #2 - Demolish and foundations - Timber Cribbing to Elevate Building"/>
    <s v="7232-BLD-008"/>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B Construction_x000a_2BC-MRY1416"/>
    <m/>
    <n v="2014"/>
    <s v="Direct "/>
    <m/>
    <m/>
    <n v="0.33333333333333331"/>
    <n v="0.33333333333333331"/>
    <n v="0.33333333333333331"/>
    <m/>
    <m/>
    <m/>
    <m/>
    <m/>
    <n v="0"/>
    <m/>
    <n v="463.59841666666671"/>
    <n v="463.59841666666671"/>
    <n v="463.59841666666671"/>
    <n v="0"/>
    <n v="0"/>
    <n v="0"/>
    <n v="0"/>
    <n v="0"/>
  </r>
  <r>
    <x v="3"/>
    <x v="3"/>
    <x v="22"/>
    <x v="13"/>
    <x v="63"/>
    <x v="8"/>
    <x v="142"/>
    <x v="127"/>
    <s v="1402"/>
    <s v="BLD"/>
    <s v="FW"/>
    <s v="Timber Cribbing (480 ft2)"/>
    <s v="FT"/>
    <s v="Flooring / Foundations"/>
    <s v="Timber Cribbing"/>
    <m/>
    <s v="Batch Plant Office-Lunchroom-W/C - Demolish and foundations - Timber Cribbing to Elevate Building"/>
    <s v="7432-BLD-001"/>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A  _x000a_2AM-MRY1325"/>
    <m/>
    <n v="2014"/>
    <s v="Direct "/>
    <m/>
    <m/>
    <n v="0.33333333333333331"/>
    <n v="0.33333333333333331"/>
    <n v="0.33333333333333331"/>
    <m/>
    <m/>
    <m/>
    <m/>
    <m/>
    <n v="0"/>
    <m/>
    <n v="463.59841666666671"/>
    <n v="463.59841666666671"/>
    <n v="463.59841666666671"/>
    <n v="0"/>
    <n v="0"/>
    <n v="0"/>
    <n v="0"/>
    <n v="0"/>
  </r>
  <r>
    <x v="3"/>
    <x v="3"/>
    <x v="22"/>
    <x v="13"/>
    <x v="63"/>
    <x v="8"/>
    <x v="142"/>
    <x v="127"/>
    <s v="1405"/>
    <s v="BLD"/>
    <s v="FW"/>
    <s v="Timber Cribbing (480 ft2)"/>
    <s v="FT"/>
    <s v="Flooring / Foundations"/>
    <s v="Timber Cribbing"/>
    <m/>
    <s v="Fuel Systems Lunchroom - Demolish and foundations - Timber Cribbing to Elevate Building"/>
    <s v="7432-BLD-003"/>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A  _x000a_2AM-MRY1325"/>
    <m/>
    <n v="2014"/>
    <s v="Direct "/>
    <m/>
    <m/>
    <n v="0.5"/>
    <n v="0.5"/>
    <m/>
    <m/>
    <m/>
    <m/>
    <m/>
    <m/>
    <n v="0"/>
    <m/>
    <n v="695.39762500000006"/>
    <n v="695.39762500000006"/>
    <n v="0"/>
    <n v="0"/>
    <n v="0"/>
    <n v="0"/>
    <n v="0"/>
    <n v="0"/>
  </r>
  <r>
    <x v="3"/>
    <x v="3"/>
    <x v="22"/>
    <x v="13"/>
    <x v="63"/>
    <x v="8"/>
    <x v="142"/>
    <x v="127"/>
    <s v="1411"/>
    <s v="BLD"/>
    <s v="FW"/>
    <s v="Timber Cribbing (480 ft2)"/>
    <s v="FT"/>
    <s v="Flooring / Foundations"/>
    <s v="Timber Cribbing"/>
    <m/>
    <s v="Site Services Lunchroom #1 - Demolish and foundations - Timber Cribbing to Elevate Building"/>
    <s v="7432-BLD-005"/>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A  _x000a_2AM-MRY1325"/>
    <m/>
    <n v="2014"/>
    <s v="Direct "/>
    <m/>
    <m/>
    <n v="0.33333333333333331"/>
    <n v="0.33333333333333331"/>
    <n v="0.33333333333333331"/>
    <m/>
    <m/>
    <m/>
    <m/>
    <m/>
    <n v="0"/>
    <m/>
    <n v="463.59841666666671"/>
    <n v="463.59841666666671"/>
    <n v="463.59841666666671"/>
    <n v="0"/>
    <n v="0"/>
    <n v="0"/>
    <n v="0"/>
    <n v="0"/>
  </r>
  <r>
    <x v="3"/>
    <x v="3"/>
    <x v="22"/>
    <x v="13"/>
    <x v="63"/>
    <x v="8"/>
    <x v="142"/>
    <x v="127"/>
    <s v="1414"/>
    <s v="BLD"/>
    <s v="FW"/>
    <s v="Timber Cribbing (480 ft2)"/>
    <s v="FT"/>
    <s v="Flooring / Foundations"/>
    <s v="Timber Cribbing"/>
    <m/>
    <s v="Site Services Lunchroom #2 - Demolish and foundations - Timber Cribbing to Elevate Building"/>
    <s v="7432-BLD-006"/>
    <n v="66.914498141263948"/>
    <s v="m2"/>
    <n v="0.12329166666666667"/>
    <n v="1.1768750000000001"/>
    <n v="7.8390373472222228"/>
    <n v="11.768750000000001"/>
    <n v="20.784662347222223"/>
    <n v="8.2500000000000018"/>
    <n v="78.750000000000014"/>
    <n v="524.54525000000012"/>
    <n v="787.50000000000011"/>
    <n v="1390.7952500000001"/>
    <n v="0.3"/>
    <n v="20.074349442379184"/>
    <n v="1"/>
    <n v="0"/>
    <n v="0"/>
    <n v="1"/>
    <n v="1390.7952500000001"/>
    <n v="0"/>
    <n v="0"/>
    <n v="1390.7952500000001"/>
    <s v="Type A  _x000a_2AM-MRY1325"/>
    <m/>
    <n v="2014"/>
    <s v="Direct "/>
    <m/>
    <m/>
    <n v="0.33333333333333331"/>
    <n v="0.33333333333333331"/>
    <n v="0.33333333333333331"/>
    <m/>
    <m/>
    <m/>
    <m/>
    <m/>
    <n v="0"/>
    <m/>
    <n v="463.59841666666671"/>
    <n v="463.59841666666671"/>
    <n v="463.59841666666671"/>
    <n v="0"/>
    <n v="0"/>
    <n v="0"/>
    <n v="0"/>
    <n v="0"/>
  </r>
  <r>
    <x v="3"/>
    <x v="3"/>
    <x v="7"/>
    <x v="7"/>
    <x v="71"/>
    <x v="40"/>
    <x v="170"/>
    <x v="141"/>
    <s v="1355"/>
    <s v="GE-"/>
    <s v="MM2"/>
    <s v="Medium Equipment"/>
    <s v="MM2"/>
    <s v="Mechanical Equipment"/>
    <s v="Medium Equipment"/>
    <s v="Generator"/>
    <s v="GENERATOR  - SITE SERVICES LUNCHROOM/WASHCAR GENERATOR - CUMMINS DSFAA  _x000a_L: 2110, W: 1020, H: 2315, 3776 kg"/>
    <s v="7244-GE-006"/>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22"/>
    <x v="13"/>
    <x v="63"/>
    <x v="8"/>
    <x v="142"/>
    <x v="127"/>
    <s v="1427"/>
    <s v="PP-"/>
    <s v="MM1"/>
    <s v="Light Equimpent"/>
    <s v="MM1"/>
    <s v="Mechanical Equipment"/>
    <s v="Light Equipment"/>
    <s v="Pump"/>
    <s v="PUMP  - FUEL SYSTEMS WASHCAR RAW WATER PUMP - SIMER JET PUMPS 2205C  _x000a_L: 483, W: 275, H: 267 "/>
    <s v="7432-PP-006"/>
    <n v="0"/>
    <s v="ea"/>
    <n v="8.1"/>
    <n v="106.5"/>
    <n v="809.29838571428581"/>
    <n v="1065"/>
    <n v="1980.7983857142858"/>
    <n v="0"/>
    <n v="0"/>
    <n v="0"/>
    <n v="0"/>
    <n v="0"/>
    <n v="0.5"/>
    <n v="0"/>
    <n v="1"/>
    <n v="0"/>
    <n v="0"/>
    <n v="1"/>
    <n v="0"/>
    <n v="0"/>
    <n v="0"/>
    <n v="0"/>
    <s v="Type A  _x000a_2AM-MRY1325"/>
    <s v="Removed"/>
    <n v="2014"/>
    <s v="Direct "/>
    <m/>
    <m/>
    <n v="0.5"/>
    <n v="0.5"/>
    <m/>
    <m/>
    <m/>
    <m/>
    <m/>
    <m/>
    <n v="0"/>
    <m/>
    <n v="0"/>
    <n v="0"/>
    <n v="0"/>
    <n v="0"/>
    <n v="0"/>
    <n v="0"/>
    <n v="0"/>
    <n v="0"/>
  </r>
  <r>
    <x v="3"/>
    <x v="3"/>
    <x v="22"/>
    <x v="13"/>
    <x v="63"/>
    <x v="8"/>
    <x v="142"/>
    <x v="127"/>
    <s v="1429"/>
    <s v="PP-"/>
    <s v="MM1"/>
    <s v="Light Equimpent"/>
    <s v="MM1"/>
    <s v="Mechanical Equipment"/>
    <s v="Light Equipment"/>
    <s v="Pump"/>
    <s v="PUMP  - SITE SERVICES WASHCAR #1 RAW WATER PUMP - SIMER JET PUMPS 2205C  _x000a_L: 483, W: 275, H: 267 "/>
    <s v="7432-PP-009"/>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3"/>
    <x v="3"/>
    <x v="22"/>
    <x v="13"/>
    <x v="63"/>
    <x v="8"/>
    <x v="142"/>
    <x v="127"/>
    <s v="1431"/>
    <s v="PP-"/>
    <s v="MM1"/>
    <s v="Light Equimpent"/>
    <s v="MM1"/>
    <s v="Mechanical Equipment"/>
    <s v="Light Equipment"/>
    <s v="Pump"/>
    <s v="PUMP  - SITE SERVICES WASHCAR #2 RAW WATER PUMP - SIMER JET PUMPS 2205C  _x000a_L: 483, W: 275, H: 267 "/>
    <s v="7432-PP-01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7"/>
    <s v="GE-"/>
    <s v="MM2"/>
    <s v="Medium Equipment"/>
    <s v="MM2"/>
    <s v="Mechanical Equipment"/>
    <s v="Medium Equipment"/>
    <s v="Generator"/>
    <s v="GENERATOR  - SITE SERVICES LUNCHROOM/WASHCAR GENERATOR - CUMMINS DSFAA  _x000a_L: 2110, W: 1020, H: 2315, 4760 kg"/>
    <s v="7444-GE-009"/>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7"/>
    <x v="7"/>
    <x v="66"/>
    <x v="20"/>
    <x v="161"/>
    <x v="136"/>
    <m/>
    <s v="BLD"/>
    <s v="FF3"/>
    <s v="Modular Building Not Contaminated (480 ft2)"/>
    <s v="FF3"/>
    <s v="Buildings (Not Contaminated)"/>
    <s v="Soft walled Building (tent)"/>
    <m/>
    <s v="Exploration Tents"/>
    <m/>
    <n v="0"/>
    <s v="m2"/>
    <n v="0.17933333333333332"/>
    <n v="2.69"/>
    <n v="17.917799650793654"/>
    <n v="26.9"/>
    <n v="47.50779965079365"/>
    <n v="0"/>
    <n v="0"/>
    <n v="0"/>
    <n v="0"/>
    <n v="0"/>
    <n v="0.5"/>
    <n v="0"/>
    <n v="1"/>
    <n v="0"/>
    <n v="0"/>
    <n v="1"/>
    <n v="0"/>
    <n v="0"/>
    <n v="0"/>
    <n v="0"/>
    <s v="Type B Construction_x000a_2BC-MRY1416"/>
    <m/>
    <n v="2014"/>
    <s v="Direct "/>
    <m/>
    <m/>
    <m/>
    <n v="1"/>
    <m/>
    <m/>
    <m/>
    <m/>
    <m/>
    <m/>
    <n v="0"/>
    <m/>
    <n v="0"/>
    <n v="0"/>
    <n v="0"/>
    <n v="0"/>
    <n v="0"/>
    <n v="0"/>
    <n v="0"/>
    <n v="0"/>
  </r>
  <r>
    <x v="3"/>
    <x v="3"/>
    <x v="7"/>
    <x v="7"/>
    <x v="66"/>
    <x v="20"/>
    <x v="164"/>
    <x v="40"/>
    <m/>
    <s v="BLD"/>
    <s v="FF1"/>
    <s v="Modular Building Not Contaminated (480 ft2)"/>
    <s v="FTR2"/>
    <s v="Buildings (Not Contaminated)"/>
    <s v="Double Trailer (2 or more)"/>
    <m/>
    <s v="Existing Trailer Camp (Shanco)"/>
    <m/>
    <n v="0"/>
    <s v="m2"/>
    <n v="0.22416666666666665"/>
    <n v="3.3624999999999998"/>
    <n v="22.397249563492064"/>
    <n v="33.625"/>
    <n v="59.384749563492065"/>
    <n v="0"/>
    <n v="0"/>
    <n v="0"/>
    <n v="0"/>
    <n v="0"/>
    <n v="1"/>
    <n v="0"/>
    <n v="1"/>
    <n v="0"/>
    <n v="0"/>
    <n v="1"/>
    <n v="0"/>
    <n v="0"/>
    <n v="0"/>
    <n v="0"/>
    <s v="Type B Construction_x000a_2BC-MRY1416"/>
    <s v="Removed "/>
    <n v="2014"/>
    <s v="Direct "/>
    <m/>
    <m/>
    <n v="0.33333333333333331"/>
    <n v="0.33333333333333331"/>
    <n v="0.33333333333333331"/>
    <m/>
    <m/>
    <m/>
    <m/>
    <m/>
    <n v="0"/>
    <m/>
    <n v="0"/>
    <n v="0"/>
    <n v="0"/>
    <n v="0"/>
    <n v="0"/>
    <n v="0"/>
    <n v="0"/>
    <n v="0"/>
  </r>
  <r>
    <x v="3"/>
    <x v="3"/>
    <x v="7"/>
    <x v="7"/>
    <x v="66"/>
    <x v="20"/>
    <x v="172"/>
    <x v="142"/>
    <m/>
    <s v=""/>
    <s v="MM2"/>
    <s v="Medium Equipment"/>
    <s v="MM2"/>
    <s v="Mechanical Equipment"/>
    <s v="Medium Equipment"/>
    <m/>
    <s v="Legacy Equipment "/>
    <m/>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7"/>
    <x v="7"/>
    <x v="9"/>
    <x v="8"/>
    <x v="168"/>
    <x v="140"/>
    <s v="1228"/>
    <s v="PP-"/>
    <s v="MM1"/>
    <s v="Light Equimpent"/>
    <s v="MM1"/>
    <s v="Mechanical Equipment"/>
    <s v="Light Equipment"/>
    <s v="Pump"/>
    <s v="PUMP  - AERODROME OFFICE RAW WATER PUMP - SIMER JET PUMPS 2205C  _x000a_L: 483, W: 275, H: 267 "/>
    <s v="7231-PP-003"/>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3"/>
    <x v="3"/>
    <x v="7"/>
    <x v="7"/>
    <x v="9"/>
    <x v="8"/>
    <x v="168"/>
    <x v="140"/>
    <s v="1229"/>
    <s v="MT-"/>
    <s v="MM1"/>
    <s v="Light Equimpent"/>
    <s v="MM1"/>
    <s v="Mechanical Equipment"/>
    <s v="Light Equipment"/>
    <s v="Pump"/>
    <s v="   RAW WATER TANK PUMP  "/>
    <s v="7231-MT-003"/>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3"/>
    <x v="3"/>
    <x v="7"/>
    <x v="7"/>
    <x v="9"/>
    <x v="8"/>
    <x v="141"/>
    <x v="127"/>
    <m/>
    <s v="BLD"/>
    <s v="FF1"/>
    <s v="Modular Building Not Contaminated (480 ft2)"/>
    <s v="FTR1"/>
    <s v="Buildings (Not Contaminated)"/>
    <s v="Single Trailers (modular)"/>
    <m/>
    <s v="Quarry Lunchroom - Demolish and Decontaminate Building - Trailer - Single"/>
    <s v="7232-BLD-001"/>
    <n v="0"/>
    <s v="m2"/>
    <n v="0.22416666666666665"/>
    <n v="3.3624999999999998"/>
    <n v="22.397249563492064"/>
    <n v="33.625"/>
    <n v="59.384749563492065"/>
    <n v="0"/>
    <n v="0"/>
    <n v="0"/>
    <n v="0"/>
    <n v="0"/>
    <n v="1"/>
    <n v="0"/>
    <n v="1"/>
    <n v="0"/>
    <n v="0"/>
    <n v="1"/>
    <n v="0"/>
    <n v="0"/>
    <n v="0"/>
    <n v="0"/>
    <s v="Type B Construction_x000a_2BC-MRY1416"/>
    <m/>
    <n v="2014"/>
    <s v="Direct "/>
    <m/>
    <m/>
    <n v="0.5"/>
    <n v="0.5"/>
    <m/>
    <m/>
    <m/>
    <m/>
    <m/>
    <m/>
    <n v="0"/>
    <m/>
    <n v="0"/>
    <n v="0"/>
    <n v="0"/>
    <n v="0"/>
    <n v="0"/>
    <n v="0"/>
    <n v="0"/>
    <n v="0"/>
  </r>
  <r>
    <x v="3"/>
    <x v="3"/>
    <x v="7"/>
    <x v="7"/>
    <x v="9"/>
    <x v="8"/>
    <x v="141"/>
    <x v="127"/>
    <m/>
    <s v="BLD"/>
    <s v="EG"/>
    <s v="Gravel Base Removal"/>
    <s v="EG"/>
    <s v="Flooring / Foundations"/>
    <s v="Gravel Base"/>
    <m/>
    <s v="Quarry Lunchroom - Demolish and foundations - Gravel Base - Skidded Building"/>
    <s v="7232-BLD-001"/>
    <n v="0"/>
    <s v="m2"/>
    <n v="0"/>
    <n v="0"/>
    <n v="0"/>
    <n v="0"/>
    <n v="0"/>
    <n v="0"/>
    <n v="0"/>
    <n v="0"/>
    <n v="0"/>
    <n v="0"/>
    <n v="0"/>
    <n v="0"/>
    <n v="1"/>
    <n v="0"/>
    <n v="0"/>
    <n v="1"/>
    <n v="0"/>
    <n v="0"/>
    <n v="0"/>
    <n v="0"/>
    <s v="Type B Construction_x000a_2BC-MRY1416"/>
    <m/>
    <n v="2014"/>
    <s v="Direct "/>
    <m/>
    <m/>
    <n v="0.5"/>
    <n v="0.5"/>
    <m/>
    <m/>
    <m/>
    <m/>
    <m/>
    <m/>
    <n v="0"/>
    <m/>
    <n v="0"/>
    <n v="0"/>
    <n v="0"/>
    <n v="0"/>
    <n v="0"/>
    <n v="0"/>
    <n v="0"/>
    <n v="0"/>
  </r>
  <r>
    <x v="3"/>
    <x v="3"/>
    <x v="7"/>
    <x v="7"/>
    <x v="9"/>
    <x v="8"/>
    <x v="141"/>
    <x v="127"/>
    <m/>
    <s v="BLD"/>
    <m/>
    <e v="#N/A"/>
    <s v="FW"/>
    <s v="Flooring / Foundations"/>
    <s v="Wood Floor"/>
    <m/>
    <s v="Quarry Lunchroom - Demolish floor finish - Raised Steel or Wooden Floor"/>
    <s v="7232-BLD-001"/>
    <n v="0"/>
    <s v="m2"/>
    <s v="0"/>
    <s v="0"/>
    <s v="0"/>
    <s v="0"/>
    <s v="0"/>
    <n v="0"/>
    <n v="0"/>
    <n v="0"/>
    <n v="0"/>
    <n v="0"/>
    <n v="0"/>
    <n v="0"/>
    <n v="1"/>
    <n v="0"/>
    <n v="0"/>
    <n v="1"/>
    <n v="0"/>
    <n v="0"/>
    <n v="0"/>
    <n v="0"/>
    <s v="Type B Construction_x000a_2BC-MRY1416"/>
    <m/>
    <n v="2014"/>
    <s v="Direct "/>
    <m/>
    <m/>
    <n v="0.5"/>
    <n v="0.5"/>
    <m/>
    <m/>
    <m/>
    <m/>
    <m/>
    <m/>
    <n v="0"/>
    <m/>
    <n v="0"/>
    <n v="0"/>
    <n v="0"/>
    <n v="0"/>
    <n v="0"/>
    <n v="0"/>
    <n v="0"/>
    <n v="0"/>
  </r>
  <r>
    <x v="3"/>
    <x v="3"/>
    <x v="22"/>
    <x v="13"/>
    <x v="72"/>
    <x v="40"/>
    <x v="171"/>
    <x v="141"/>
    <s v="1498"/>
    <s v="GE-"/>
    <s v="MM2"/>
    <s v="Medium Equipment"/>
    <s v="MM2"/>
    <s v="Mechanical Equipment"/>
    <s v="Medium Equipment"/>
    <s v="Generator"/>
    <s v="GENERATOR  - SITE SERVICES LUNCHROOM/WASHCAR GENERATOR - CUMMINS DSFAA  _x000a_L: 2110, W: 1020, H: 2315, 4760 kg"/>
    <s v="7444-GE-010"/>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9"/>
    <s v="GE-"/>
    <s v="MM2"/>
    <s v="Medium Equipment"/>
    <s v="MM2"/>
    <s v="Mechanical Equipment"/>
    <s v="Medium Equipment"/>
    <s v="Generator"/>
    <s v="GENERATOR  - SITE SERVICES LUNCHROOM/WASHCAR GENERATOR - CUMMINS DSFAA  _x000a_L: 2110, W: 1020, H: 2315, 4760 kg"/>
    <s v="7444-GE-01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7"/>
    <x v="7"/>
    <x v="9"/>
    <x v="8"/>
    <x v="141"/>
    <x v="127"/>
    <s v="1256"/>
    <s v="BLD"/>
    <m/>
    <e v="#N/A"/>
    <s v="FW"/>
    <s v="Flooring / Foundations"/>
    <s v="Wood Floor"/>
    <m/>
    <s v="Site Services Washcar #1 - Demolish floor finish - Raised Steel or Wooden Floor"/>
    <s v="7232-BLD-009"/>
    <n v="35.687732342007436"/>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41"/>
    <x v="127"/>
    <s v="1263"/>
    <s v="PP-"/>
    <s v="MM1"/>
    <s v="Light Equimpent"/>
    <s v="MM1"/>
    <s v="Mechanical Equipment"/>
    <s v="Light Equipment"/>
    <s v="Pump"/>
    <s v="PUMP  - BATCH PLANT OFFICE-LUNCHROOM-WC RAW WATER PUMP - SIMER JET PUMPS 2205C  _x000a_L: 483, W: 275, H: 267 "/>
    <s v="7232-PP-003"/>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3"/>
    <x v="3"/>
    <x v="7"/>
    <x v="7"/>
    <x v="9"/>
    <x v="8"/>
    <x v="141"/>
    <x v="127"/>
    <s v="1264"/>
    <s v="MT-"/>
    <s v="MM1"/>
    <s v="Light Equimpent"/>
    <s v="MM1"/>
    <s v="Mechanical Equipment"/>
    <s v="Light Equipment"/>
    <s v="Pump"/>
    <s v="   RAW WATER TANK PUMP  "/>
    <s v="7232-MT-003"/>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3"/>
    <x v="3"/>
    <x v="7"/>
    <x v="7"/>
    <x v="9"/>
    <x v="8"/>
    <x v="141"/>
    <x v="127"/>
    <s v="1259"/>
    <s v="BLD"/>
    <m/>
    <e v="#N/A"/>
    <s v="FW"/>
    <s v="Flooring / Foundations"/>
    <s v="Wood Floor"/>
    <m/>
    <s v="Site Services Washcar #2 - Demolish floor finish - Raised Steel or Wooden Floor"/>
    <s v="7232-BLD-010"/>
    <n v="35.687732342007436"/>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41"/>
    <x v="127"/>
    <s v="1266"/>
    <s v="MT-"/>
    <s v="MM1"/>
    <s v="Light Equimpent"/>
    <s v="MM1"/>
    <s v="Mechanical Equipment"/>
    <s v="Light Equipment"/>
    <s v="Pump"/>
    <s v="   RAW WATER TANK PUMP  "/>
    <s v="7232-MT-006"/>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3"/>
    <x v="3"/>
    <x v="22"/>
    <x v="13"/>
    <x v="63"/>
    <x v="8"/>
    <x v="142"/>
    <x v="127"/>
    <s v="1409"/>
    <s v="BLD"/>
    <m/>
    <e v="#N/A"/>
    <s v="FW"/>
    <s v="Flooring / Foundations"/>
    <s v="Wood Floor"/>
    <m/>
    <s v="Fuel Systems Washcar - Demolish floor finish - Raised Steel or Wooden Floor"/>
    <s v="7432-BLD-004"/>
    <n v="35.687732342007436"/>
    <s v="m2"/>
    <s v="0"/>
    <s v="0"/>
    <s v="0"/>
    <s v="0"/>
    <s v="0"/>
    <n v="0"/>
    <n v="0"/>
    <n v="0"/>
    <n v="0"/>
    <n v="0"/>
    <n v="0"/>
    <n v="0"/>
    <n v="1"/>
    <n v="0"/>
    <n v="0"/>
    <n v="1"/>
    <n v="0"/>
    <n v="0"/>
    <n v="0"/>
    <n v="0"/>
    <s v="Type A  _x000a_2AM-MRY1325"/>
    <m/>
    <n v="2014"/>
    <s v="Direct "/>
    <m/>
    <m/>
    <n v="0.5"/>
    <n v="0.5"/>
    <m/>
    <m/>
    <m/>
    <m/>
    <m/>
    <m/>
    <n v="0"/>
    <m/>
    <n v="0"/>
    <n v="0"/>
    <n v="0"/>
    <n v="0"/>
    <n v="0"/>
    <n v="0"/>
    <n v="0"/>
    <n v="0"/>
  </r>
  <r>
    <x v="3"/>
    <x v="3"/>
    <x v="7"/>
    <x v="7"/>
    <x v="9"/>
    <x v="8"/>
    <x v="141"/>
    <x v="127"/>
    <s v="1268"/>
    <s v="MT-"/>
    <s v="MM1"/>
    <s v="Light Equimpent"/>
    <s v="MM1"/>
    <s v="Mechanical Equipment"/>
    <s v="Light Equipment"/>
    <s v="Pump"/>
    <s v="   RAW WATER TANK PUMP  "/>
    <s v="7232-MT-009"/>
    <n v="0"/>
    <s v="ea"/>
    <n v="8.1"/>
    <n v="106.5"/>
    <n v="809.29838571428581"/>
    <n v="1065"/>
    <n v="1980.7983857142858"/>
    <n v="0"/>
    <n v="0"/>
    <n v="0"/>
    <n v="0"/>
    <n v="0"/>
    <n v="0.5"/>
    <n v="0"/>
    <n v="1"/>
    <n v="0"/>
    <n v="0"/>
    <n v="1"/>
    <n v="0"/>
    <n v="0"/>
    <n v="0"/>
    <n v="0"/>
    <s v="Type B Construction_x000a_2BC-MRY1416"/>
    <s v="Removed"/>
    <n v="2014"/>
    <s v="Direct "/>
    <m/>
    <m/>
    <n v="0.33333333333333331"/>
    <m/>
    <n v="0.33333333333333331"/>
    <m/>
    <m/>
    <m/>
    <m/>
    <n v="0.33333333333333331"/>
    <n v="0"/>
    <m/>
    <n v="0"/>
    <n v="0"/>
    <n v="0"/>
    <n v="0"/>
    <n v="0"/>
    <n v="0"/>
    <n v="0"/>
    <n v="0"/>
  </r>
  <r>
    <x v="3"/>
    <x v="3"/>
    <x v="7"/>
    <x v="7"/>
    <x v="9"/>
    <x v="8"/>
    <x v="10"/>
    <x v="9"/>
    <m/>
    <s v="BLD"/>
    <m/>
    <m/>
    <m/>
    <m/>
    <m/>
    <m/>
    <s v="Toromont Britespan Workshop - Demolish and Decontaminate Building - Fabric w/ Sea Can Walls"/>
    <s v="7234-BLD-001"/>
    <n v="0"/>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0"/>
    <x v="9"/>
    <m/>
    <s v="BLD"/>
    <s v="EG"/>
    <s v="Gravel Base Removal"/>
    <s v="EG"/>
    <s v="Flooring / Foundations"/>
    <s v="Gravel Base"/>
    <m/>
    <s v="Toromont Britespan Workshop - Demolish and foundations - Gravel Base - Skidded Building"/>
    <s v="7234-BLD-001"/>
    <n v="0"/>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0"/>
    <x v="9"/>
    <m/>
    <s v="BLD"/>
    <s v="EG"/>
    <s v="Gravel Base Removal"/>
    <s v="EG"/>
    <s v="Flooring / Foundations"/>
    <s v="Gravel Base"/>
    <m/>
    <s v="Toromont Britespan Workshop - Demolish floor finish - Gravel"/>
    <s v="7234-BLD-001"/>
    <n v="0"/>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0"/>
    <x v="9"/>
    <m/>
    <s v="BLD"/>
    <m/>
    <m/>
    <m/>
    <m/>
    <m/>
    <m/>
    <s v="Construction Workshop - Demolish and Decontaminate Building - Fabric w/ Sea Can Walls"/>
    <s v="7234-BLD-002"/>
    <n v="0"/>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0"/>
    <x v="9"/>
    <m/>
    <s v="BLD"/>
    <s v="EG"/>
    <s v="Gravel Base Removal"/>
    <s v="EG"/>
    <s v="Flooring / Foundations"/>
    <s v="Gravel Base"/>
    <m/>
    <s v="Construction Workshop - Demolish and foundations - Gravel Base - Skidded Building"/>
    <s v="7234-BLD-002"/>
    <n v="0"/>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0"/>
    <x v="9"/>
    <m/>
    <s v="BLD"/>
    <s v="EG"/>
    <s v="Gravel Base Removal"/>
    <s v="EG"/>
    <s v="Flooring / Foundations"/>
    <s v="Gravel Base"/>
    <m/>
    <s v="Construction Workshop - Demolish floor finish - Gravel"/>
    <s v="7234-BLD-002"/>
    <n v="0"/>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66"/>
    <x v="139"/>
    <s v="004"/>
    <s v="BLD"/>
    <s v="FF1"/>
    <s v="Modular Building Not Contaminated (480 ft2)"/>
    <s v="FFL"/>
    <s v="Buildings (Not Contaminated)"/>
    <s v="Fold Away Building"/>
    <m/>
    <s v="Site Services Unheated Warehouse - Demolish and Decontaminate Building - Fold-away Building (Steel)"/>
    <s v="7235-BLD-004"/>
    <n v="0"/>
    <s v="m2"/>
    <n v="0.22416666666666665"/>
    <n v="3.3624999999999998"/>
    <n v="22.397249563492064"/>
    <n v="33.625"/>
    <n v="59.384749563492065"/>
    <n v="0"/>
    <n v="0"/>
    <n v="0"/>
    <n v="0"/>
    <n v="0"/>
    <n v="1"/>
    <n v="0"/>
    <n v="1"/>
    <n v="0"/>
    <n v="0"/>
    <n v="1"/>
    <n v="0"/>
    <n v="0"/>
    <n v="0"/>
    <n v="0"/>
    <s v="Type A  _x000a_2AM-MRY1325"/>
    <s v="Removed"/>
    <s v="2015 A"/>
    <s v="Direct "/>
    <m/>
    <m/>
    <n v="0.33333333333333331"/>
    <n v="0.33333333333333331"/>
    <n v="0.33333333333333331"/>
    <m/>
    <m/>
    <m/>
    <m/>
    <m/>
    <n v="0"/>
    <m/>
    <n v="0"/>
    <n v="0"/>
    <n v="0"/>
    <n v="0"/>
    <n v="0"/>
    <n v="0"/>
    <n v="0"/>
    <n v="0"/>
  </r>
  <r>
    <x v="3"/>
    <x v="3"/>
    <x v="7"/>
    <x v="7"/>
    <x v="9"/>
    <x v="8"/>
    <x v="166"/>
    <x v="139"/>
    <s v="004"/>
    <s v="BLD"/>
    <s v="CP"/>
    <s v="Precast Concrete Foundations - (480 ft2)"/>
    <s v="CP"/>
    <s v="Flooring / Foundations"/>
    <s v="Precast Foundations"/>
    <m/>
    <s v="Site Services Unheated Warehouse - Demolish and foundations - Precast Footing (Perimeter Beam)"/>
    <s v="7235-BLD-004"/>
    <n v="0"/>
    <s v="m2"/>
    <n v="0.14520631503408685"/>
    <n v="2.1780947255113023"/>
    <n v="14.50805387069216"/>
    <n v="21.780947255113027"/>
    <n v="38.467095851316493"/>
    <n v="0"/>
    <n v="0"/>
    <n v="0"/>
    <n v="0"/>
    <n v="0"/>
    <n v="0.75"/>
    <n v="0"/>
    <n v="1"/>
    <n v="0"/>
    <n v="0"/>
    <n v="1"/>
    <n v="0"/>
    <n v="0"/>
    <n v="0"/>
    <n v="0"/>
    <s v="Type A  _x000a_2AM-MRY1325"/>
    <s v="Removed"/>
    <s v="2015 A"/>
    <s v="Direct "/>
    <m/>
    <m/>
    <n v="0.33333333333333331"/>
    <n v="0.33333333333333331"/>
    <n v="0.33333333333333331"/>
    <m/>
    <m/>
    <m/>
    <m/>
    <m/>
    <n v="0"/>
    <m/>
    <n v="0"/>
    <n v="0"/>
    <n v="0"/>
    <n v="0"/>
    <n v="0"/>
    <n v="0"/>
    <n v="0"/>
    <n v="0"/>
  </r>
  <r>
    <x v="3"/>
    <x v="3"/>
    <x v="7"/>
    <x v="7"/>
    <x v="9"/>
    <x v="8"/>
    <x v="166"/>
    <x v="139"/>
    <s v="004"/>
    <s v="BLD"/>
    <s v="EG"/>
    <s v="Gravel Base Removal"/>
    <s v="EG"/>
    <s v="Flooring / Foundations"/>
    <s v="Gravel Base"/>
    <m/>
    <s v="Site Services Unheated Warehouse - Demolish floor finish - Gravel"/>
    <s v="7235-BLD-004"/>
    <n v="0"/>
    <s v="m2"/>
    <n v="0"/>
    <n v="0"/>
    <n v="0"/>
    <n v="0"/>
    <n v="0"/>
    <n v="0"/>
    <n v="0"/>
    <n v="0"/>
    <n v="0"/>
    <n v="0"/>
    <n v="0"/>
    <n v="0"/>
    <n v="1"/>
    <n v="0"/>
    <n v="0"/>
    <n v="1"/>
    <n v="0"/>
    <n v="0"/>
    <n v="0"/>
    <n v="0"/>
    <s v="Type A  _x000a_2AM-MRY1325"/>
    <s v="Removed"/>
    <s v="2015 A"/>
    <s v="Direct "/>
    <m/>
    <m/>
    <n v="0.33333333333333331"/>
    <n v="0.33333333333333331"/>
    <n v="0.33333333333333331"/>
    <m/>
    <m/>
    <m/>
    <m/>
    <m/>
    <n v="0"/>
    <m/>
    <n v="0"/>
    <n v="0"/>
    <n v="0"/>
    <n v="0"/>
    <n v="0"/>
    <n v="0"/>
    <n v="0"/>
    <n v="0"/>
  </r>
  <r>
    <x v="3"/>
    <x v="3"/>
    <x v="7"/>
    <x v="7"/>
    <x v="71"/>
    <x v="40"/>
    <x v="170"/>
    <x v="141"/>
    <s v="1350"/>
    <s v="GE-"/>
    <s v="MM3"/>
    <s v="Heavy Equipment"/>
    <s v="MM3"/>
    <s v="Mechanical Equipment"/>
    <s v="Heavy Equipment"/>
    <s v="Generator"/>
    <s v="GENERATOR  - ACOMMODATIONS AREA GENERATOR - CUMMINS C1600D6R  _x000a_L: 14630, W: 2440, H: 4062, 68320 kg"/>
    <s v="7244-GE-001"/>
    <n v="0"/>
    <s v="ea"/>
    <n v="168"/>
    <n v="2220"/>
    <n v="16785.448"/>
    <n v="22200"/>
    <n v="41205.448000000004"/>
    <n v="0"/>
    <n v="0"/>
    <n v="0"/>
    <n v="0"/>
    <n v="0"/>
    <n v="5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70"/>
    <x v="141"/>
    <s v="1351"/>
    <s v="GE-"/>
    <s v="MM2"/>
    <s v="Medium Equipment"/>
    <s v="MM2"/>
    <s v="Mechanical Equipment"/>
    <s v="Medium Equipment"/>
    <s v="Generator"/>
    <s v="GENERATOR  - CONCRETE BATCH PLANT GENERATOR - CUMMINS C150D6R _x000a_L: 4674, W: 1730, H: 2085, 8800 kg"/>
    <s v="7244-GE-002"/>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70"/>
    <x v="141"/>
    <s v="1352"/>
    <s v="GE-"/>
    <s v="MM2"/>
    <s v="Medium Equipment"/>
    <s v="MM2"/>
    <s v="Mechanical Equipment"/>
    <s v="Medium Equipment"/>
    <s v="Generator"/>
    <s v="GENERATOR  - CONCRETE BATCH PLANT GENERATOR - CUMMINS C150D6R _x000a_L: 4674, W: 1730, H: 2085, 8800 kg"/>
    <s v="7244-GE-003"/>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70"/>
    <x v="141"/>
    <s v="1353"/>
    <s v="GE-"/>
    <s v="MM2"/>
    <s v="Medium Equipment"/>
    <s v="MM2"/>
    <s v="Mechanical Equipment"/>
    <s v="Medium Equipment"/>
    <s v="Generator"/>
    <s v="GENERATOR  - GENERAL GENERATOR - CUMMINS C80D6R _x000a_L: 4500, W: 1905, H: 2085, 5322 kg"/>
    <s v="7244-GE-004"/>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70"/>
    <x v="141"/>
    <s v="1354"/>
    <s v="GE-"/>
    <s v="MM2"/>
    <s v="Medium Equipment"/>
    <s v="MM2"/>
    <s v="Mechanical Equipment"/>
    <s v="Medium Equipment"/>
    <s v="Generator"/>
    <s v="GENERATOR  - GENERAL GENERATOR - CUMMINS C80D6R _x000a_L: 4500, W: 1905, H: 2085, 5322 kg"/>
    <s v="7244-GE-005"/>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22"/>
    <x v="13"/>
    <x v="63"/>
    <x v="8"/>
    <x v="142"/>
    <x v="127"/>
    <s v="1418"/>
    <s v="BLD"/>
    <m/>
    <e v="#N/A"/>
    <s v="FW"/>
    <s v="Flooring / Foundations"/>
    <s v="Wood Floor"/>
    <m/>
    <s v="Site Services Washcar #1 - Demolish floor finish - Raised Steel or Wooden Floor"/>
    <s v="7432-BLD-007"/>
    <n v="35.68773234200743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3"/>
    <x v="3"/>
    <x v="7"/>
    <x v="7"/>
    <x v="71"/>
    <x v="40"/>
    <x v="170"/>
    <x v="141"/>
    <s v="1356"/>
    <s v="GE-"/>
    <s v="MM2"/>
    <s v="Medium Equipment"/>
    <s v="MM2"/>
    <s v="Mechanical Equipment"/>
    <s v="Medium Equipment"/>
    <s v="Generator"/>
    <s v="GENERATOR  - LOGISTICS TRAILER GENERATOR - CUMMINS DSFAA  L: 2110, W: 1020, H: 2315m 3776 kg"/>
    <s v="7244-GE-007"/>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70"/>
    <x v="141"/>
    <s v="1357"/>
    <s v="GE-"/>
    <s v="MM2"/>
    <s v="Medium Equipment"/>
    <s v="MM2"/>
    <s v="Mechanical Equipment"/>
    <s v="Medium Equipment"/>
    <s v="Generator"/>
    <s v="GENERATOR  - AERODROME LIGHTING GENERATOR - CUMMINS DSKBA  _x000a_L: 2160, W: 790, H: 1500, 2442 kg"/>
    <s v="7244-GE-008"/>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70"/>
    <x v="141"/>
    <s v="1358"/>
    <s v="GE-"/>
    <s v="MM2"/>
    <s v="Medium Equipment"/>
    <s v="MM2"/>
    <s v="Mechanical Equipment"/>
    <s v="Medium Equipment"/>
    <s v="Generator"/>
    <s v="GENERATOR  - AERODROME LIGHTING GENERATOR - CUMMINS DSKBA  _x000a_L: 2160, W: 790, H: 1500, 2442 kg"/>
    <s v="7244-GE-009"/>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70"/>
    <x v="141"/>
    <s v="1359"/>
    <s v="GE-"/>
    <s v="MM2"/>
    <s v="Medium Equipment"/>
    <s v="MM2"/>
    <s v="Mechanical Equipment"/>
    <s v="Medium Equipment"/>
    <s v="Generator"/>
    <s v="GENERATOR  - AERODROME LIGHTING GENERATOR - CUMMINS DSKBA  _x000a_L: 2160, W: 790, H: 1500, 2442 kg"/>
    <s v="7244-GE-010"/>
    <n v="0"/>
    <s v="ea"/>
    <n v="19.2"/>
    <n v="213"/>
    <n v="1918.3369142857146"/>
    <n v="2130"/>
    <n v="4261.3369142857146"/>
    <n v="0"/>
    <n v="0"/>
    <n v="0"/>
    <n v="0"/>
    <n v="0"/>
    <n v="1"/>
    <n v="0"/>
    <n v="1"/>
    <n v="0"/>
    <n v="0"/>
    <n v="1"/>
    <n v="0"/>
    <n v="0"/>
    <n v="0"/>
    <n v="0"/>
    <s v="Type B Construction_x000a_2BC-MRY1416"/>
    <s v="Removed"/>
    <n v="2014"/>
    <s v="Direct "/>
    <m/>
    <m/>
    <n v="0.33333333333333331"/>
    <m/>
    <n v="0.33333333333333331"/>
    <m/>
    <m/>
    <m/>
    <m/>
    <n v="0.33333333333333331"/>
    <n v="0"/>
    <m/>
    <n v="0"/>
    <n v="0"/>
    <n v="0"/>
    <n v="0"/>
    <n v="0"/>
    <n v="0"/>
    <n v="0"/>
    <n v="0"/>
  </r>
  <r>
    <x v="3"/>
    <x v="3"/>
    <x v="7"/>
    <x v="7"/>
    <x v="70"/>
    <x v="39"/>
    <x v="169"/>
    <x v="138"/>
    <m/>
    <s v=""/>
    <s v="A3l"/>
    <s v="Grade &amp; Re-Contour with Liner"/>
    <s v="A3l"/>
    <s v="Site Works"/>
    <s v="Grade and Re-Contour With Liner"/>
    <m/>
    <s v="Bladder Farm Decommissioning"/>
    <m/>
    <n v="0"/>
    <s v="m2"/>
    <n v="4.4489880937500004E-2"/>
    <n v="0.17804999999999999"/>
    <n v="4.4489880937499997"/>
    <n v="0.71454534577546303"/>
    <n v="5.3082953457754627"/>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3"/>
    <x v="3"/>
    <x v="7"/>
    <x v="7"/>
    <x v="70"/>
    <x v="39"/>
    <x v="169"/>
    <x v="138"/>
    <m/>
    <m/>
    <s v="A3l"/>
    <s v="Grade &amp; Re-Contour with Liner"/>
    <s v="A3l"/>
    <s v="Site Works"/>
    <s v="Grade and Re-Contour With Liner"/>
    <m/>
    <s v="Existing Hazardous Waste Berm"/>
    <m/>
    <n v="0"/>
    <s v="m2"/>
    <n v="4.4489880937500004E-2"/>
    <n v="0.17804999999999999"/>
    <n v="4.4489880937499997"/>
    <n v="0.71454534577546303"/>
    <n v="5.3082953457754627"/>
    <n v="0"/>
    <n v="0"/>
    <n v="0"/>
    <n v="0"/>
    <n v="0"/>
    <n v="0"/>
    <n v="0"/>
    <n v="1"/>
    <n v="0"/>
    <n v="0"/>
    <n v="1"/>
    <n v="0"/>
    <n v="0"/>
    <n v="0"/>
    <n v="0"/>
    <s v="Type B Construction_x000a_2BC-MRY1416"/>
    <s v="Removed"/>
    <n v="2014"/>
    <s v="Direct "/>
    <m/>
    <m/>
    <n v="0.33333333333333331"/>
    <n v="0.33333333333333331"/>
    <n v="0.33333333333333331"/>
    <m/>
    <m/>
    <m/>
    <m/>
    <m/>
    <n v="0"/>
    <m/>
    <n v="0"/>
    <n v="0"/>
    <n v="0"/>
    <n v="0"/>
    <n v="0"/>
    <n v="0"/>
    <n v="0"/>
    <n v="0"/>
  </r>
  <r>
    <x v="3"/>
    <x v="3"/>
    <x v="7"/>
    <x v="7"/>
    <x v="70"/>
    <x v="39"/>
    <x v="169"/>
    <x v="138"/>
    <m/>
    <s v=""/>
    <m/>
    <e v="#N/A"/>
    <m/>
    <m/>
    <m/>
    <m/>
    <s v="Old STP (RBC)"/>
    <m/>
    <n v="0"/>
    <s v="N/A"/>
    <s v="0"/>
    <s v="0"/>
    <s v="0"/>
    <s v="0"/>
    <s v="0"/>
    <n v="0"/>
    <n v="0"/>
    <n v="0"/>
    <n v="0"/>
    <n v="0"/>
    <n v="0"/>
    <n v="0"/>
    <n v="1"/>
    <n v="0"/>
    <n v="0"/>
    <n v="1"/>
    <n v="0"/>
    <n v="0"/>
    <n v="0"/>
    <n v="0"/>
    <s v="Type B Construction_x000a_2BC-MRY1416"/>
    <s v="Removed "/>
    <n v="2014"/>
    <s v="Direct "/>
    <m/>
    <m/>
    <n v="0.33333333333333331"/>
    <n v="0.33333333333333331"/>
    <n v="0.33333333333333331"/>
    <m/>
    <m/>
    <m/>
    <m/>
    <m/>
    <n v="0"/>
    <m/>
    <n v="0"/>
    <n v="0"/>
    <n v="0"/>
    <n v="0"/>
    <n v="0"/>
    <n v="0"/>
    <n v="0"/>
    <n v="0"/>
  </r>
  <r>
    <x v="3"/>
    <x v="3"/>
    <x v="7"/>
    <x v="7"/>
    <x v="70"/>
    <x v="39"/>
    <x v="169"/>
    <x v="138"/>
    <m/>
    <s v=""/>
    <s v="A3l"/>
    <s v="Grade &amp; Re-Contour with Liner"/>
    <s v="A3l"/>
    <s v="Site Works"/>
    <s v="Grade and Re-Contour With Liner"/>
    <m/>
    <s v="Exploration Phase PWSP"/>
    <m/>
    <n v="0"/>
    <s v="m2"/>
    <n v="4.4489880937500004E-2"/>
    <n v="0.17804999999999999"/>
    <n v="4.4489880937499997"/>
    <n v="0.71454534577546303"/>
    <n v="5.3082953457754627"/>
    <n v="0"/>
    <n v="0"/>
    <n v="0"/>
    <n v="0"/>
    <n v="0"/>
    <n v="0"/>
    <n v="0"/>
    <n v="1"/>
    <n v="0"/>
    <n v="0"/>
    <n v="1"/>
    <n v="0"/>
    <n v="0"/>
    <n v="0"/>
    <n v="0"/>
    <s v="Type B Construction_x000a_2BC-MRY1416"/>
    <s v="Removed "/>
    <n v="2014"/>
    <s v="Direct "/>
    <m/>
    <m/>
    <m/>
    <n v="1"/>
    <m/>
    <m/>
    <m/>
    <m/>
    <m/>
    <m/>
    <n v="0"/>
    <m/>
    <n v="0"/>
    <n v="0"/>
    <n v="0"/>
    <n v="0"/>
    <n v="0"/>
    <n v="0"/>
    <n v="0"/>
    <n v="0"/>
  </r>
  <r>
    <x v="3"/>
    <x v="3"/>
    <x v="7"/>
    <x v="7"/>
    <x v="70"/>
    <x v="39"/>
    <x v="169"/>
    <x v="138"/>
    <m/>
    <s v=""/>
    <s v="A3l"/>
    <s v="Grade &amp; Re-Contour with Liner"/>
    <s v="A3l"/>
    <s v="Site Works"/>
    <s v="Grade and Re-Contour With Liner"/>
    <m/>
    <s v="Exploration Phase PWSP"/>
    <m/>
    <n v="0"/>
    <s v="m2"/>
    <n v="4.4489880937500004E-2"/>
    <n v="0.17804999999999999"/>
    <n v="4.4489880937499997"/>
    <n v="0.71454534577546303"/>
    <n v="5.3082953457754627"/>
    <n v="0"/>
    <n v="0"/>
    <n v="0"/>
    <n v="0"/>
    <n v="0"/>
    <n v="0"/>
    <n v="0"/>
    <n v="1"/>
    <n v="0"/>
    <n v="0"/>
    <n v="1"/>
    <n v="0"/>
    <n v="0"/>
    <n v="0"/>
    <n v="0"/>
    <s v="Type B Construction_x000a_2BC-MRY1416"/>
    <s v="Removed "/>
    <n v="2014"/>
    <s v="Direct "/>
    <m/>
    <m/>
    <m/>
    <n v="1"/>
    <m/>
    <m/>
    <m/>
    <m/>
    <m/>
    <m/>
    <n v="0"/>
    <m/>
    <n v="0"/>
    <n v="0"/>
    <n v="0"/>
    <n v="0"/>
    <n v="0"/>
    <n v="0"/>
    <n v="0"/>
    <n v="0"/>
  </r>
  <r>
    <x v="3"/>
    <x v="3"/>
    <x v="22"/>
    <x v="13"/>
    <x v="65"/>
    <x v="20"/>
    <x v="173"/>
    <x v="142"/>
    <m/>
    <s v=""/>
    <s v="MM2"/>
    <s v="Medium Equipment"/>
    <s v="MM2"/>
    <s v="Mechanical Equipment"/>
    <s v="Medium Equipment"/>
    <m/>
    <s v="Old Incinerator (Medium sized equipment)"/>
    <m/>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65"/>
    <x v="20"/>
    <x v="173"/>
    <x v="142"/>
    <m/>
    <s v=""/>
    <s v="MM2"/>
    <s v="Medium Equipment"/>
    <s v="MM2"/>
    <s v="Mechanical Equipment"/>
    <s v="Medium Equipment"/>
    <m/>
    <s v="Legacy Equipment "/>
    <m/>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63"/>
    <x v="8"/>
    <x v="142"/>
    <x v="127"/>
    <s v="1425"/>
    <s v="PP-"/>
    <s v="MM1"/>
    <s v="Light Equimpent"/>
    <s v="MM1"/>
    <s v="Mechanical Equipment"/>
    <s v="Light Equipment"/>
    <s v="Pump"/>
    <s v="PUMP  - BATCH PLANT OFFICE-LUNCHROOM-WC RAW WATER PUMP - SIMER JET PUMPS 2205C  _x000a_L: 483, W: 275, H: 267 "/>
    <s v="7432-PP-00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3"/>
    <x v="3"/>
    <x v="22"/>
    <x v="13"/>
    <x v="63"/>
    <x v="8"/>
    <x v="142"/>
    <x v="127"/>
    <s v="1426"/>
    <s v="MT-"/>
    <s v="MM1"/>
    <s v="Light Equimpent"/>
    <s v="MM1"/>
    <s v="Mechanical Equipment"/>
    <s v="Light Equipment"/>
    <s v="Pump"/>
    <s v="   RAW WATER TANK PUMP  "/>
    <s v="7432-MT-003"/>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3"/>
    <x v="3"/>
    <x v="22"/>
    <x v="13"/>
    <x v="63"/>
    <x v="8"/>
    <x v="142"/>
    <x v="127"/>
    <s v="1421"/>
    <s v="BLD"/>
    <m/>
    <e v="#N/A"/>
    <s v="FW"/>
    <s v="Flooring / Foundations"/>
    <s v="Wood Floor"/>
    <m/>
    <s v="Site Services Washcar #2 - Demolish floor finish - Raised Steel or Wooden Floor"/>
    <s v="7432-BLD-008"/>
    <n v="35.687732342007436"/>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3"/>
    <x v="8"/>
    <x v="142"/>
    <x v="127"/>
    <s v="1428"/>
    <s v="MT-"/>
    <s v="MM1"/>
    <s v="Light Equimpent"/>
    <s v="MM1"/>
    <s v="Mechanical Equipment"/>
    <s v="Light Equipment"/>
    <s v="Pump"/>
    <s v="   RAW WATER TANK PUMP  "/>
    <s v="7432-MT-006"/>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3"/>
    <x v="12"/>
    <x v="8"/>
    <x v="34"/>
    <x v="10"/>
    <x v="66"/>
    <x v="54"/>
    <m/>
    <m/>
    <s v="A3"/>
    <s v="Grade &amp; Re-Contour"/>
    <s v="A2"/>
    <s v="Site Works"/>
    <s v="Grade and Re-Contour"/>
    <s v="Grade and Contour"/>
    <s v="Mine Site Surface Water Management Diversion Ditches and Berms"/>
    <m/>
    <n v="1300"/>
    <s v="m2"/>
    <n v="1.2689880937499998E-2"/>
    <n v="0.14624999999999999"/>
    <n v="1.2689880937499998"/>
    <n v="0.39654534577546297"/>
    <n v="1.8102953457754629"/>
    <n v="16.496845218749996"/>
    <n v="190.125"/>
    <n v="1649.6845218749997"/>
    <n v="515.50894950810186"/>
    <n v="2353.383949508102"/>
    <n v="0"/>
    <n v="0"/>
    <n v="1"/>
    <n v="0"/>
    <n v="0"/>
    <n v="1"/>
    <n v="2353.383949508102"/>
    <n v="0"/>
    <n v="0"/>
    <n v="2353.383949508102"/>
    <s v="Type A  _x000a_2AM-MRY1325"/>
    <s v="Added"/>
    <n v="2018"/>
    <s v="Direct "/>
    <m/>
    <m/>
    <n v="0.33333333333333331"/>
    <n v="0.33333333333333331"/>
    <n v="0.33333333333333331"/>
    <m/>
    <m/>
    <m/>
    <m/>
    <m/>
    <n v="0"/>
    <m/>
    <n v="784.46131650270058"/>
    <n v="784.46131650270058"/>
    <n v="784.46131650270058"/>
    <n v="0"/>
    <n v="0"/>
    <n v="0"/>
    <n v="0"/>
    <n v="0"/>
  </r>
  <r>
    <x v="3"/>
    <x v="3"/>
    <x v="22"/>
    <x v="13"/>
    <x v="63"/>
    <x v="8"/>
    <x v="142"/>
    <x v="127"/>
    <s v="1430"/>
    <s v="MT-"/>
    <s v="MM1"/>
    <s v="Light Equimpent"/>
    <s v="MM1"/>
    <s v="Mechanical Equipment"/>
    <s v="Light Equipment"/>
    <s v="Pump"/>
    <s v="   RAW WATER TANK PUMP  "/>
    <s v="7432-MT-009"/>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6"/>
    <x v="6"/>
    <x v="11"/>
    <x v="3"/>
    <x v="73"/>
    <x v="4"/>
    <x v="31"/>
    <x v="12"/>
    <s v="009"/>
    <s v="BLD"/>
    <s v="FF1-c"/>
    <s v="Modular Building Contaminated (480 ft2) "/>
    <s v="FTR1-c"/>
    <s v="Buildings (Contaminated)"/>
    <s v="Single Trailers (modular)"/>
    <m/>
    <s v="Workshop Office Washcar - Demolish and Decontaminate Building - Trailer - Single"/>
    <s v="4521-BLD-009"/>
    <n v="0"/>
    <s v="m2"/>
    <n v="0.56041666666666667"/>
    <n v="3.3624999999999998"/>
    <n v="55.993123908730162"/>
    <n v="84.0625"/>
    <n v="143.41812390873017"/>
    <n v="0"/>
    <n v="0"/>
    <n v="0"/>
    <n v="0"/>
    <n v="0"/>
    <n v="1"/>
    <n v="0"/>
    <n v="1"/>
    <n v="0"/>
    <n v="0"/>
    <n v="1"/>
    <n v="0"/>
    <n v="0"/>
    <n v="0"/>
    <n v="0"/>
    <s v="Type A  _x000a_2AM-MRY1325"/>
    <s v="Removed"/>
    <s v="2015 A"/>
    <s v="Direct "/>
    <m/>
    <m/>
    <n v="0.33333333333333331"/>
    <n v="0.33333333333333331"/>
    <n v="0.33333333333333331"/>
    <m/>
    <m/>
    <m/>
    <m/>
    <m/>
    <n v="0"/>
    <m/>
    <n v="0"/>
    <n v="0"/>
    <n v="0"/>
    <n v="0"/>
    <n v="0"/>
    <n v="0"/>
    <n v="0"/>
    <n v="0"/>
  </r>
  <r>
    <x v="3"/>
    <x v="3"/>
    <x v="22"/>
    <x v="13"/>
    <x v="63"/>
    <x v="8"/>
    <x v="142"/>
    <x v="127"/>
    <s v="1432"/>
    <s v="MT-"/>
    <s v="MM1"/>
    <s v="Light Equimpent"/>
    <s v="MM1"/>
    <s v="Mechanical Equipment"/>
    <s v="Light Equipment"/>
    <s v="Pump"/>
    <s v="   RAW WATER TANK PUMP  "/>
    <s v="7432-MT-012"/>
    <n v="0"/>
    <s v="ea"/>
    <n v="8.1"/>
    <n v="106.5"/>
    <n v="809.29838571428581"/>
    <n v="1065"/>
    <n v="1980.7983857142858"/>
    <n v="0"/>
    <n v="0"/>
    <n v="0"/>
    <n v="0"/>
    <n v="0"/>
    <n v="0.5"/>
    <n v="0"/>
    <n v="1"/>
    <n v="0"/>
    <n v="0"/>
    <n v="1"/>
    <n v="0"/>
    <n v="0"/>
    <n v="0"/>
    <n v="0"/>
    <s v="Type A  _x000a_2AM-MRY1325"/>
    <s v="Removed"/>
    <n v="2014"/>
    <s v="Direct "/>
    <m/>
    <m/>
    <n v="0.33333333333333331"/>
    <m/>
    <n v="0.33333333333333331"/>
    <m/>
    <m/>
    <m/>
    <m/>
    <n v="0.33333333333333331"/>
    <n v="0"/>
    <m/>
    <n v="0"/>
    <n v="0"/>
    <n v="0"/>
    <n v="0"/>
    <n v="0"/>
    <n v="0"/>
    <n v="0"/>
    <n v="0"/>
  </r>
  <r>
    <x v="3"/>
    <x v="3"/>
    <x v="22"/>
    <x v="13"/>
    <x v="63"/>
    <x v="8"/>
    <x v="142"/>
    <x v="127"/>
    <m/>
    <s v="BLD"/>
    <m/>
    <m/>
    <m/>
    <m/>
    <m/>
    <m/>
    <s v="Toromont Britespan Workshop - Demolish and Decontaminate Building - Fabric w/ Sea Can Walls"/>
    <s v="7434-BLD-001"/>
    <n v="0"/>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3"/>
    <x v="8"/>
    <x v="142"/>
    <x v="127"/>
    <m/>
    <s v="BLD"/>
    <s v="EG"/>
    <s v="Gravel Base Removal"/>
    <s v="EG"/>
    <s v="Flooring / Foundations"/>
    <s v="Gravel Base"/>
    <m/>
    <s v="Toromont Britespan Workshop - Demolish and foundations - Gravel Base - Skidded Building"/>
    <s v="7434-BLD-001"/>
    <n v="0"/>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3"/>
    <x v="8"/>
    <x v="142"/>
    <x v="127"/>
    <m/>
    <s v="BLD"/>
    <s v="EG"/>
    <s v="Gravel Base Removal"/>
    <s v="EG"/>
    <s v="Flooring / Foundations"/>
    <s v="Gravel Base"/>
    <m/>
    <s v="Toromont Britespan Workshop - Demolish floor finish - Gravel"/>
    <s v="7434-BLD-001"/>
    <n v="0"/>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72"/>
    <x v="40"/>
    <x v="171"/>
    <x v="141"/>
    <s v="1489"/>
    <s v="GE-"/>
    <s v="MM2"/>
    <s v="Medium Equipment"/>
    <s v="MM2"/>
    <s v="Mechanical Equipment"/>
    <s v="Medium Equipment"/>
    <s v="Generator"/>
    <s v="GENERATOR  - ACCOMMODATIONS AREA GENERATOR - CUMMINS C1600D6RG  _x000a_L: 14630, W: 2440, H: 4065, 78220 kg"/>
    <s v="7444-GE-001"/>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0"/>
    <s v="GE-"/>
    <s v="MM2"/>
    <s v="Medium Equipment"/>
    <s v="MM2"/>
    <s v="Mechanical Equipment"/>
    <s v="Medium Equipment"/>
    <s v="Generator"/>
    <s v="GENERATOR  - CONCRETE BATCH PLANT GENERATOR - CUMMINS C150D6R  _x000a_L: 4675, W: 1730, H: 2085, 10466 kg"/>
    <s v="7444-GE-002"/>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1"/>
    <s v="GE-"/>
    <s v="MM2"/>
    <s v="Medium Equipment"/>
    <s v="MM2"/>
    <s v="Mechanical Equipment"/>
    <s v="Medium Equipment"/>
    <s v="Generator"/>
    <s v="GENERATOR  - CONCRETE BATCH PLANT GENERATOR - CUMMINS C150D6R  _x000a_L: 4675, W: 1730, H: 2085, 10466 kg"/>
    <s v="7444-GE-00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2"/>
    <s v="GE-"/>
    <s v="MM2"/>
    <s v="Medium Equipment"/>
    <s v="MM2"/>
    <s v="Mechanical Equipment"/>
    <s v="Medium Equipment"/>
    <s v="Generator"/>
    <s v="GENERATOR  - GENERAL GENERATOR - CUMMINS C80D6R  _x000a_L: 4496, W: 1905, H: 2085, 6458 kg"/>
    <s v="7444-GE-004"/>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3"/>
    <s v="GE-"/>
    <s v="MM2"/>
    <s v="Medium Equipment"/>
    <s v="MM2"/>
    <s v="Mechanical Equipment"/>
    <s v="Medium Equipment"/>
    <s v="Generator"/>
    <s v="GENERATOR  - AERODROME LIGHTING GENERATOR - CUMMINS C60D6R  _x000a_L: 4496, W: 1905, H: 2085, 6365 kg"/>
    <s v="7444-GE-005"/>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4"/>
    <s v="GE-"/>
    <s v="MM2"/>
    <s v="Medium Equipment"/>
    <s v="MM2"/>
    <s v="Mechanical Equipment"/>
    <s v="Medium Equipment"/>
    <s v="Generator"/>
    <s v="GENERATOR  - AERODROME LIGHTING GENERATOR - CUMMINS C60D6R  _x000a_L: 4496, W: 1905, H: 2085, 6365 kg"/>
    <s v="7444-GE-006"/>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5"/>
    <s v="GE-"/>
    <s v="MM2"/>
    <s v="Medium Equipment"/>
    <s v="MM2"/>
    <s v="Mechanical Equipment"/>
    <s v="Medium Equipment"/>
    <s v="Generator"/>
    <s v="GENERATOR  - AERODROME LIGHTING GENERATOR - CUMMINS C60D6R  _x000a_L: 4496, W: 1905, H: 2085, 6365 kg"/>
    <s v="7444-GE-007"/>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496"/>
    <s v="GE-"/>
    <s v="MM2"/>
    <s v="Medium Equipment"/>
    <s v="MM2"/>
    <s v="Mechanical Equipment"/>
    <s v="Medium Equipment"/>
    <s v="Generator"/>
    <s v="GENERATOR  - AERODROME LIGHTING GENERATOR - CUMMINS C60D6R  _x000a_L: 4496, W: 1905, H: 2085, 6365 kg"/>
    <s v="7444-GE-008"/>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6"/>
    <x v="6"/>
    <x v="11"/>
    <x v="3"/>
    <x v="73"/>
    <x v="4"/>
    <x v="31"/>
    <x v="12"/>
    <s v="009"/>
    <s v="BLD"/>
    <s v="FW"/>
    <s v="Timber Cribbing (480 ft2)"/>
    <s v="FT"/>
    <s v="Flooring / Foundations"/>
    <s v="Timber Cribbing"/>
    <m/>
    <s v="Workshop Office Washcar - Demolish and foundations - Timber Cribbing to Elevate Building"/>
    <s v="4521-BLD-009"/>
    <n v="0"/>
    <s v="m2"/>
    <n v="0.12329166666666667"/>
    <n v="1.1768750000000001"/>
    <n v="7.8390373472222228"/>
    <n v="11.768750000000001"/>
    <n v="20.784662347222223"/>
    <n v="0"/>
    <n v="0"/>
    <n v="0"/>
    <n v="0"/>
    <n v="0"/>
    <n v="0.3"/>
    <n v="0"/>
    <n v="1"/>
    <n v="0"/>
    <n v="0"/>
    <n v="1"/>
    <n v="0"/>
    <n v="0"/>
    <n v="0"/>
    <n v="0"/>
    <s v="Type A  _x000a_2AM-MRY1325"/>
    <s v="Removed"/>
    <s v="2015 A"/>
    <s v="Direct "/>
    <m/>
    <m/>
    <n v="0.33333333333333331"/>
    <n v="0.33333333333333331"/>
    <n v="0.33333333333333331"/>
    <m/>
    <m/>
    <m/>
    <m/>
    <m/>
    <n v="0"/>
    <m/>
    <n v="0"/>
    <n v="0"/>
    <n v="0"/>
    <n v="0"/>
    <n v="0"/>
    <n v="0"/>
    <n v="0"/>
    <n v="0"/>
  </r>
  <r>
    <x v="6"/>
    <x v="6"/>
    <x v="11"/>
    <x v="3"/>
    <x v="73"/>
    <x v="4"/>
    <x v="31"/>
    <x v="12"/>
    <s v="009"/>
    <s v="BLD"/>
    <m/>
    <e v="#N/A"/>
    <s v="FW"/>
    <s v="Flooring / Foundations"/>
    <s v="Wood Floor"/>
    <m/>
    <s v="Workshop Office Washcar - Demolish floor finish - Raised Steel or Wooden Floor"/>
    <s v="4521-BLD-009"/>
    <n v="0"/>
    <s v="m2"/>
    <s v="0"/>
    <s v="0"/>
    <s v="0"/>
    <s v="0"/>
    <s v="0"/>
    <n v="0"/>
    <n v="0"/>
    <n v="0"/>
    <n v="0"/>
    <n v="0"/>
    <n v="0"/>
    <n v="0"/>
    <n v="1"/>
    <n v="0"/>
    <n v="0"/>
    <n v="1"/>
    <n v="0"/>
    <n v="0"/>
    <n v="0"/>
    <n v="0"/>
    <s v="Type A  _x000a_2AM-MRY1325"/>
    <s v="Removed"/>
    <s v="2015 A"/>
    <s v="Direct "/>
    <m/>
    <m/>
    <n v="0.33333333333333331"/>
    <n v="0.33333333333333331"/>
    <n v="0.33333333333333331"/>
    <m/>
    <m/>
    <m/>
    <m/>
    <m/>
    <n v="0"/>
    <m/>
    <n v="0"/>
    <n v="0"/>
    <n v="0"/>
    <n v="0"/>
    <n v="0"/>
    <n v="0"/>
    <n v="0"/>
    <n v="0"/>
  </r>
  <r>
    <x v="6"/>
    <x v="6"/>
    <x v="11"/>
    <x v="3"/>
    <x v="19"/>
    <x v="4"/>
    <x v="31"/>
    <x v="12"/>
    <m/>
    <s v="TK-"/>
    <s v="MT1"/>
    <s v="Light Tanks"/>
    <s v="MT1"/>
    <s v="Mechanical Equipment"/>
    <s v="Light Tanks"/>
    <m/>
    <s v="TANK  - ORE HAUL TRUCK WORKSHOP OFFICE WASHCAR RAW WATER TANK - SIMER JET PUMPS 2205C   _x000a_L: 1803, W: 1245, H: 1346 "/>
    <m/>
    <n v="0"/>
    <s v="ea"/>
    <n v="9.6666666666666661"/>
    <n v="107.5"/>
    <n v="965.82934920634932"/>
    <n v="1075"/>
    <n v="2148.3293492063494"/>
    <n v="0"/>
    <n v="0"/>
    <n v="0"/>
    <n v="0"/>
    <n v="0"/>
    <n v="1"/>
    <n v="0"/>
    <n v="1"/>
    <n v="0"/>
    <n v="0"/>
    <n v="1"/>
    <n v="0"/>
    <n v="0"/>
    <n v="0"/>
    <n v="0"/>
    <s v="Type A  _x000a_2AM-MRY1325"/>
    <s v="Removed"/>
    <s v="2015 A"/>
    <s v="Direct "/>
    <m/>
    <m/>
    <n v="0.33333333333333331"/>
    <n v="0.33333333333333331"/>
    <n v="0.33333333333333331"/>
    <m/>
    <m/>
    <m/>
    <m/>
    <m/>
    <n v="0"/>
    <m/>
    <n v="0"/>
    <n v="0"/>
    <n v="0"/>
    <n v="0"/>
    <n v="0"/>
    <n v="0"/>
    <n v="0"/>
    <n v="0"/>
  </r>
  <r>
    <x v="3"/>
    <x v="3"/>
    <x v="22"/>
    <x v="13"/>
    <x v="72"/>
    <x v="40"/>
    <x v="171"/>
    <x v="141"/>
    <s v="1500"/>
    <s v="GE-"/>
    <s v="MM2"/>
    <s v="Medium Equipment"/>
    <s v="MM2"/>
    <s v="Mechanical Equipment"/>
    <s v="Medium Equipment"/>
    <s v="Generator"/>
    <s v="GENERATOR  - WORKFACE TOOLS GENERATOR - CUMMINS DSKBA  L: 2160, W: 790, H: 1500, 3145 kg"/>
    <s v="7444-GE-012"/>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72"/>
    <x v="40"/>
    <x v="171"/>
    <x v="141"/>
    <s v="1501"/>
    <s v="GE-"/>
    <s v="MM2"/>
    <s v="Medium Equipment"/>
    <s v="MM2"/>
    <s v="Mechanical Equipment"/>
    <s v="Medium Equipment"/>
    <s v="Generator"/>
    <s v="GENERATOR  - WORKFACE TOOLS GENERATOR - CUMMINS DSKBA  L: 2160, W: 790, H: 1500, 3145 kg"/>
    <s v="7444-GE-013"/>
    <n v="0"/>
    <s v="ea"/>
    <n v="19.2"/>
    <n v="213"/>
    <n v="1918.3369142857146"/>
    <n v="2130"/>
    <n v="4261.3369142857146"/>
    <n v="0"/>
    <n v="0"/>
    <n v="0"/>
    <n v="0"/>
    <n v="0"/>
    <n v="1"/>
    <n v="0"/>
    <n v="1"/>
    <n v="0"/>
    <n v="0"/>
    <n v="1"/>
    <n v="0"/>
    <n v="0"/>
    <n v="0"/>
    <n v="0"/>
    <s v="Type A  _x000a_2AM-MRY1325"/>
    <s v="Removed"/>
    <n v="2014"/>
    <s v="Direct "/>
    <m/>
    <m/>
    <n v="0.33333333333333331"/>
    <m/>
    <n v="0.33333333333333331"/>
    <m/>
    <m/>
    <m/>
    <m/>
    <n v="0.33333333333333331"/>
    <n v="0"/>
    <m/>
    <n v="0"/>
    <n v="0"/>
    <n v="0"/>
    <n v="0"/>
    <n v="0"/>
    <n v="0"/>
    <n v="0"/>
    <n v="0"/>
  </r>
  <r>
    <x v="3"/>
    <x v="3"/>
    <x v="22"/>
    <x v="13"/>
    <x v="69"/>
    <x v="39"/>
    <x v="174"/>
    <x v="143"/>
    <m/>
    <m/>
    <s v="A3l"/>
    <s v="Grade &amp; Re-Contour with Liner"/>
    <s v="A3l"/>
    <s v="Site Works"/>
    <s v="Grade and Re-Contour With Liner"/>
    <m/>
    <s v="Hazardous Waste Containment Area - Existing"/>
    <m/>
    <n v="0"/>
    <s v="m2"/>
    <n v="4.4489880937500004E-2"/>
    <n v="0.17804999999999999"/>
    <n v="4.4489880937499997"/>
    <n v="0.71454534577546303"/>
    <n v="5.3082953457754627"/>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5"/>
    <x v="20"/>
    <x v="173"/>
    <x v="142"/>
    <m/>
    <s v=""/>
    <m/>
    <e v="#N/A"/>
    <s v="VP7"/>
    <s v="Packaged_x000a_Facilities"/>
    <m/>
    <m/>
    <s v="Exploration STP"/>
    <m/>
    <n v="1"/>
    <s v="ea"/>
    <s v="0"/>
    <s v="0"/>
    <s v="0"/>
    <s v="0"/>
    <s v="0"/>
    <n v="0"/>
    <n v="0"/>
    <n v="0"/>
    <n v="0"/>
    <n v="0"/>
    <n v="0"/>
    <n v="0"/>
    <n v="1"/>
    <n v="0"/>
    <n v="0"/>
    <n v="1"/>
    <n v="0"/>
    <n v="0"/>
    <n v="0"/>
    <n v="0"/>
    <s v="Type A  _x000a_2AM-MRY1325"/>
    <m/>
    <n v="2014"/>
    <s v="Direct "/>
    <m/>
    <m/>
    <m/>
    <n v="1"/>
    <m/>
    <m/>
    <m/>
    <m/>
    <m/>
    <m/>
    <n v="0"/>
    <m/>
    <n v="0"/>
    <n v="0"/>
    <n v="0"/>
    <n v="0"/>
    <n v="0"/>
    <n v="0"/>
    <n v="0"/>
    <n v="0"/>
  </r>
  <r>
    <x v="3"/>
    <x v="3"/>
    <x v="7"/>
    <x v="7"/>
    <x v="9"/>
    <x v="8"/>
    <x v="141"/>
    <x v="127"/>
    <s v="1261"/>
    <s v="BLD"/>
    <s v="EG"/>
    <s v="Gravel Base Removal"/>
    <s v="EG"/>
    <s v="Flooring / Foundations"/>
    <s v="Gravel Base"/>
    <m/>
    <s v="Smoke Shack - Demolish and foundations - Gravel Base - Skidded Building"/>
    <s v="7232-BLD-011"/>
    <n v="14.869888475836431"/>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41"/>
    <x v="127"/>
    <s v="1262"/>
    <s v="BLD"/>
    <m/>
    <e v="#N/A"/>
    <s v="FW"/>
    <s v="Flooring / Foundations"/>
    <s v="Wood Floor"/>
    <m/>
    <s v="Smoke Shack - Demolish floor finish - Raised Steel or Wooden Floor"/>
    <s v="7232-BLD-011"/>
    <n v="14.869888475836431"/>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22"/>
    <x v="13"/>
    <x v="63"/>
    <x v="8"/>
    <x v="142"/>
    <x v="127"/>
    <s v="1423"/>
    <s v="BLD"/>
    <s v="EG"/>
    <s v="Gravel Base Removal"/>
    <s v="EG"/>
    <s v="Flooring / Foundations"/>
    <s v="Gravel Base"/>
    <m/>
    <s v="Smoke Shack - Demolish and foundations - Gravel Base - Skidded Building"/>
    <s v="7432-BLD-009"/>
    <n v="14.869888475836431"/>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3"/>
    <x v="8"/>
    <x v="142"/>
    <x v="127"/>
    <s v="1424"/>
    <s v="BLD"/>
    <m/>
    <e v="#N/A"/>
    <s v="FW"/>
    <s v="Flooring / Foundations"/>
    <s v="Wood Floor"/>
    <m/>
    <s v="Smoke Shack - Demolish floor finish - Raised Steel or Wooden Floor"/>
    <s v="7432-BLD-009"/>
    <n v="14.869888475836431"/>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6"/>
    <x v="6"/>
    <x v="11"/>
    <x v="3"/>
    <x v="19"/>
    <x v="4"/>
    <x v="31"/>
    <x v="12"/>
    <m/>
    <s v="TK-"/>
    <s v="MT1"/>
    <s v="Light Tanks"/>
    <s v="MT1"/>
    <s v="Mechanical Equipment"/>
    <s v="Light Tanks"/>
    <m/>
    <s v="TANK  - ORE HAUL TRUCK WORKSHOP OFFICE WASHCAR SEWAGE COLLECTION TANK"/>
    <m/>
    <n v="0"/>
    <s v="ea"/>
    <n v="9.6666666666666661"/>
    <n v="107.5"/>
    <n v="965.82934920634932"/>
    <n v="1075"/>
    <n v="2148.3293492063494"/>
    <n v="0"/>
    <n v="0"/>
    <n v="0"/>
    <n v="0"/>
    <n v="0"/>
    <n v="1"/>
    <n v="0"/>
    <n v="1"/>
    <n v="0"/>
    <n v="0"/>
    <n v="1"/>
    <n v="0"/>
    <n v="0"/>
    <n v="0"/>
    <n v="0"/>
    <s v="Type A  _x000a_2AM-MRY1325"/>
    <s v="Removed"/>
    <s v="2015 A"/>
    <s v="Direct "/>
    <m/>
    <m/>
    <n v="0.5"/>
    <n v="0.5"/>
    <m/>
    <m/>
    <m/>
    <m/>
    <m/>
    <m/>
    <n v="0"/>
    <m/>
    <n v="0"/>
    <n v="0"/>
    <n v="0"/>
    <n v="0"/>
    <n v="0"/>
    <n v="0"/>
    <n v="0"/>
    <n v="0"/>
  </r>
  <r>
    <x v="6"/>
    <x v="6"/>
    <x v="11"/>
    <x v="3"/>
    <x v="19"/>
    <x v="4"/>
    <x v="31"/>
    <x v="12"/>
    <m/>
    <s v="PP-"/>
    <s v="MM1"/>
    <s v="Light Equimpent"/>
    <s v="MM1"/>
    <s v="Mechanical Equipment"/>
    <s v="Light Equipment"/>
    <s v="Pump"/>
    <s v="PUMP  - ORE HAUL TRUCK WORKSHOP OFFICE WASHCAR RAW WATER PUMP - PLASTIC-MART   _x000a_L: 483, W: 275, H: 267 "/>
    <m/>
    <n v="0"/>
    <s v="ea"/>
    <n v="8.1"/>
    <n v="106.5"/>
    <n v="809.29838571428581"/>
    <n v="1065"/>
    <n v="1980.7983857142858"/>
    <n v="0"/>
    <n v="0"/>
    <n v="0"/>
    <n v="0"/>
    <n v="0"/>
    <n v="0.5"/>
    <n v="0"/>
    <n v="1"/>
    <n v="0"/>
    <n v="0"/>
    <n v="1"/>
    <n v="0"/>
    <n v="0"/>
    <n v="0"/>
    <n v="0"/>
    <s v="Type A  _x000a_2AM-MRY1325"/>
    <s v="Removed"/>
    <s v="2015 A"/>
    <s v="Direct "/>
    <m/>
    <m/>
    <n v="0.33333333333333331"/>
    <m/>
    <n v="0.33333333333333331"/>
    <m/>
    <m/>
    <m/>
    <m/>
    <n v="0.33333333333333331"/>
    <n v="0"/>
    <m/>
    <n v="0"/>
    <n v="0"/>
    <n v="0"/>
    <n v="0"/>
    <n v="0"/>
    <n v="0"/>
    <n v="0"/>
    <n v="0"/>
  </r>
  <r>
    <x v="1"/>
    <x v="1"/>
    <x v="3"/>
    <x v="3"/>
    <x v="3"/>
    <x v="3"/>
    <x v="3"/>
    <x v="3"/>
    <m/>
    <s v="BLD"/>
    <s v="FF1"/>
    <s v="Modular Building Not Contaminated (480 ft2)"/>
    <s v="FS"/>
    <s v="Buildings (Not Contaminated)"/>
    <s v="Prefabricated Special Modular"/>
    <m/>
    <s v="Construction offices, lunchrooms, washcars (assume 6 units @  36 m2 per wash car)"/>
    <m/>
    <n v="216"/>
    <s v="m2"/>
    <n v="0.22416666666666665"/>
    <n v="3.3624999999999998"/>
    <n v="22.397249563492064"/>
    <n v="33.625"/>
    <n v="59.384749563492065"/>
    <n v="48.419999999999995"/>
    <n v="726.3"/>
    <n v="4837.8059057142855"/>
    <n v="7263"/>
    <n v="12827.105905714285"/>
    <n v="1"/>
    <n v="216"/>
    <n v="1"/>
    <n v="0"/>
    <n v="0"/>
    <n v="1"/>
    <n v="12827.105905714285"/>
    <n v="0"/>
    <n v="0"/>
    <n v="12827.105905714285"/>
    <s v="Type B Construction_x000a_2BC-MRY1416"/>
    <s v="Added"/>
    <s v="2017-A"/>
    <s v="Direct "/>
    <m/>
    <m/>
    <n v="0.33333333333333331"/>
    <n v="0.33333333333333331"/>
    <n v="0.33333333333333331"/>
    <m/>
    <m/>
    <m/>
    <m/>
    <m/>
    <n v="0"/>
    <m/>
    <n v="4275.7019685714276"/>
    <n v="4275.7019685714276"/>
    <n v="4275.7019685714276"/>
    <n v="0"/>
    <n v="0"/>
    <n v="0"/>
    <n v="0"/>
    <n v="0"/>
  </r>
  <r>
    <x v="6"/>
    <x v="6"/>
    <x v="11"/>
    <x v="3"/>
    <x v="45"/>
    <x v="3"/>
    <x v="105"/>
    <x v="3"/>
    <m/>
    <s v="BLD"/>
    <s v="FF1"/>
    <s v="Modular Building Not Contaminated (480 ft2)"/>
    <s v="FS"/>
    <s v="Buildings (Not Contaminated)"/>
    <s v="Prefabricated Special Modular"/>
    <m/>
    <s v="Construction offices, lunchrooms, washcars (assume 6 units @  36 m2 per wash car)"/>
    <m/>
    <n v="216"/>
    <s v="m2"/>
    <n v="0.22416666666666665"/>
    <n v="3.3624999999999998"/>
    <n v="22.397249563492064"/>
    <n v="33.625"/>
    <n v="59.384749563492065"/>
    <n v="48.419999999999995"/>
    <n v="726.3"/>
    <n v="4837.8059057142855"/>
    <n v="7263"/>
    <n v="12827.105905714285"/>
    <n v="1"/>
    <n v="216"/>
    <n v="1"/>
    <n v="0"/>
    <n v="0"/>
    <n v="1"/>
    <n v="12827.105905714285"/>
    <n v="0"/>
    <n v="0"/>
    <n v="12827.105905714285"/>
    <s v="Type B Construction_x000a_2BC-MRY1416"/>
    <s v="Added"/>
    <s v="2017-A"/>
    <s v="Direct "/>
    <m/>
    <m/>
    <n v="0.33333333333333331"/>
    <n v="0.33333333333333331"/>
    <n v="0.33333333333333331"/>
    <m/>
    <m/>
    <m/>
    <m/>
    <m/>
    <n v="0"/>
    <m/>
    <n v="4275.7019685714276"/>
    <n v="4275.7019685714276"/>
    <n v="4275.7019685714276"/>
    <n v="0"/>
    <n v="0"/>
    <n v="0"/>
    <n v="0"/>
    <n v="0"/>
  </r>
  <r>
    <x v="1"/>
    <x v="1"/>
    <x v="5"/>
    <x v="5"/>
    <x v="35"/>
    <x v="25"/>
    <x v="71"/>
    <x v="59"/>
    <m/>
    <s v="TK-"/>
    <s v="MT1"/>
    <s v="Light Tanks"/>
    <s v="MT1"/>
    <s v="Mechanical Equipment"/>
    <s v="Light Tanks"/>
    <m/>
    <s v="2017 -Water tanks on Sea Lift"/>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s v="2018-R"/>
    <s v="Direct "/>
    <m/>
    <m/>
    <n v="0.5"/>
    <n v="0.5"/>
    <m/>
    <m/>
    <m/>
    <m/>
    <m/>
    <m/>
    <n v="0"/>
    <m/>
    <n v="1074.1646746031747"/>
    <n v="1074.1646746031747"/>
    <n v="0"/>
    <n v="0"/>
    <n v="0"/>
    <n v="0"/>
    <n v="0"/>
    <n v="0"/>
  </r>
  <r>
    <x v="3"/>
    <x v="3"/>
    <x v="7"/>
    <x v="7"/>
    <x v="9"/>
    <x v="8"/>
    <x v="141"/>
    <x v="127"/>
    <s v="1243"/>
    <s v="BLD"/>
    <s v="EG"/>
    <s v="Gravel Base Removal"/>
    <s v="EG"/>
    <s v="Flooring / Foundations"/>
    <s v="Gravel Base"/>
    <m/>
    <s v="Fuel Systems Office - Demolish and foundations - Gravel Base - Skidded Building"/>
    <s v="7232-BLD-005"/>
    <n v="44.609665427509292"/>
    <s v="m2"/>
    <n v="0"/>
    <n v="0"/>
    <n v="0"/>
    <n v="0"/>
    <n v="0"/>
    <n v="0"/>
    <n v="0"/>
    <n v="0"/>
    <n v="0"/>
    <n v="0"/>
    <n v="0"/>
    <n v="0"/>
    <n v="1"/>
    <n v="0"/>
    <n v="0"/>
    <n v="1"/>
    <n v="0"/>
    <n v="0"/>
    <n v="0"/>
    <n v="0"/>
    <s v="Type B Construction_x000a_2BC-MRY1416"/>
    <m/>
    <n v="2014"/>
    <s v="Direct "/>
    <m/>
    <m/>
    <n v="0.5"/>
    <n v="0.5"/>
    <m/>
    <m/>
    <m/>
    <m/>
    <m/>
    <m/>
    <n v="0"/>
    <m/>
    <n v="0"/>
    <n v="0"/>
    <n v="0"/>
    <n v="0"/>
    <n v="0"/>
    <n v="0"/>
    <n v="0"/>
    <n v="0"/>
  </r>
  <r>
    <x v="3"/>
    <x v="3"/>
    <x v="7"/>
    <x v="7"/>
    <x v="9"/>
    <x v="8"/>
    <x v="141"/>
    <x v="127"/>
    <s v="1244"/>
    <s v="BLD"/>
    <m/>
    <e v="#N/A"/>
    <s v="FW"/>
    <s v="Flooring / Foundations"/>
    <s v="Wood Floor"/>
    <m/>
    <s v="Fuel Systems Office - Demolish floor finish - Raised Steel or Wooden Floor"/>
    <s v="7232-BLD-005"/>
    <n v="44.609665427509292"/>
    <s v="m2"/>
    <s v="0"/>
    <s v="0"/>
    <s v="0"/>
    <s v="0"/>
    <s v="0"/>
    <n v="0"/>
    <n v="0"/>
    <n v="0"/>
    <n v="0"/>
    <n v="0"/>
    <n v="0"/>
    <n v="0"/>
    <n v="1"/>
    <n v="0"/>
    <n v="0"/>
    <n v="1"/>
    <n v="0"/>
    <n v="0"/>
    <n v="0"/>
    <n v="0"/>
    <s v="Type B Construction_x000a_2BC-MRY1416"/>
    <m/>
    <n v="2014"/>
    <s v="Direct "/>
    <m/>
    <m/>
    <n v="0.5"/>
    <n v="0.5"/>
    <m/>
    <m/>
    <m/>
    <m/>
    <m/>
    <m/>
    <n v="0"/>
    <m/>
    <n v="0"/>
    <n v="0"/>
    <n v="0"/>
    <n v="0"/>
    <n v="0"/>
    <n v="0"/>
    <n v="0"/>
    <n v="0"/>
  </r>
  <r>
    <x v="3"/>
    <x v="3"/>
    <x v="7"/>
    <x v="7"/>
    <x v="9"/>
    <x v="8"/>
    <x v="141"/>
    <x v="127"/>
    <s v="1246"/>
    <s v="BLD"/>
    <s v="EG"/>
    <s v="Gravel Base Removal"/>
    <s v="EG"/>
    <s v="Flooring / Foundations"/>
    <s v="Gravel Base"/>
    <m/>
    <s v="Fuel Systems Lunchroom - Demolish and foundations - Gravel Base - Skidded Building"/>
    <s v="7232-BLD-006"/>
    <n v="44.609665427509292"/>
    <s v="m2"/>
    <n v="0"/>
    <n v="0"/>
    <n v="0"/>
    <n v="0"/>
    <n v="0"/>
    <n v="0"/>
    <n v="0"/>
    <n v="0"/>
    <n v="0"/>
    <n v="0"/>
    <n v="0"/>
    <n v="0"/>
    <n v="1"/>
    <n v="0"/>
    <n v="0"/>
    <n v="1"/>
    <n v="0"/>
    <n v="0"/>
    <n v="0"/>
    <n v="0"/>
    <s v="Type B Construction_x000a_2BC-MRY1416"/>
    <m/>
    <n v="2014"/>
    <s v="Direct "/>
    <m/>
    <m/>
    <n v="0.5"/>
    <n v="0.5"/>
    <m/>
    <m/>
    <m/>
    <m/>
    <m/>
    <m/>
    <n v="0"/>
    <m/>
    <n v="0"/>
    <n v="0"/>
    <n v="0"/>
    <n v="0"/>
    <n v="0"/>
    <n v="0"/>
    <n v="0"/>
    <n v="0"/>
  </r>
  <r>
    <x v="3"/>
    <x v="3"/>
    <x v="7"/>
    <x v="7"/>
    <x v="9"/>
    <x v="8"/>
    <x v="141"/>
    <x v="127"/>
    <s v="1247"/>
    <s v="BLD"/>
    <m/>
    <e v="#N/A"/>
    <s v="FW"/>
    <s v="Flooring / Foundations"/>
    <s v="Wood Floor"/>
    <m/>
    <s v="Fuel Systems Lunchroom - Demolish floor finish - Raised Steel or Wooden Floor"/>
    <s v="7232-BLD-006"/>
    <n v="44.609665427509292"/>
    <s v="m2"/>
    <s v="0"/>
    <s v="0"/>
    <s v="0"/>
    <s v="0"/>
    <s v="0"/>
    <n v="0"/>
    <n v="0"/>
    <n v="0"/>
    <n v="0"/>
    <n v="0"/>
    <n v="0"/>
    <n v="0"/>
    <n v="1"/>
    <n v="0"/>
    <n v="0"/>
    <n v="1"/>
    <n v="0"/>
    <n v="0"/>
    <n v="0"/>
    <n v="0"/>
    <s v="Type B Construction_x000a_2BC-MRY1416"/>
    <m/>
    <n v="2014"/>
    <s v="Direct "/>
    <m/>
    <m/>
    <n v="0.5"/>
    <n v="0.5"/>
    <m/>
    <m/>
    <m/>
    <m/>
    <m/>
    <m/>
    <n v="0"/>
    <m/>
    <n v="0"/>
    <n v="0"/>
    <n v="0"/>
    <n v="0"/>
    <n v="0"/>
    <n v="0"/>
    <n v="0"/>
    <n v="0"/>
  </r>
  <r>
    <x v="3"/>
    <x v="3"/>
    <x v="7"/>
    <x v="7"/>
    <x v="9"/>
    <x v="8"/>
    <x v="168"/>
    <x v="140"/>
    <s v="1227"/>
    <s v="BLD"/>
    <m/>
    <e v="#N/A"/>
    <s v="FW"/>
    <s v="Flooring / Foundations"/>
    <s v="Wood Floor"/>
    <m/>
    <s v="Aerodrome Office - Demolish floor finish - Raised Steel or Wooden Floor"/>
    <s v="7231-BLD-002"/>
    <n v="66.914498141263948"/>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41"/>
    <x v="127"/>
    <s v="1241"/>
    <s v="BLD"/>
    <m/>
    <e v="#N/A"/>
    <s v="FW"/>
    <s v="Flooring / Foundations"/>
    <s v="Wood Floor"/>
    <m/>
    <s v="Batch Plant Office-Lunchroom-W/C - Demolish floor finish - Raised Steel or Wooden Floor"/>
    <s v="7232-BLD-003"/>
    <n v="66.914498141263948"/>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41"/>
    <x v="127"/>
    <s v="1250"/>
    <s v="BLD"/>
    <m/>
    <e v="#N/A"/>
    <s v="FW"/>
    <s v="Flooring / Foundations"/>
    <s v="Wood Floor"/>
    <m/>
    <s v="Site Services Lunchroom #1 - Demolish floor finish - Raised Steel or Wooden Floor"/>
    <s v="7232-BLD-007"/>
    <n v="66.914498141263948"/>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41"/>
    <x v="127"/>
    <s v="1253"/>
    <s v="BLD"/>
    <m/>
    <e v="#N/A"/>
    <s v="FW"/>
    <s v="Flooring / Foundations"/>
    <s v="Wood Floor"/>
    <m/>
    <s v="Site Services Lunchroom #2 - Demolish floor finish - Raised Steel or Wooden Floor"/>
    <s v="7232-BLD-008"/>
    <n v="66.914498141263948"/>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22"/>
    <x v="13"/>
    <x v="63"/>
    <x v="8"/>
    <x v="142"/>
    <x v="127"/>
    <s v="1403"/>
    <s v="BLD"/>
    <m/>
    <e v="#N/A"/>
    <s v="FW"/>
    <s v="Flooring / Foundations"/>
    <s v="Wood Floor"/>
    <m/>
    <s v="Batch Plant Office-Lunchroom-W/C - Demolish floor finish - Raised Steel or Wooden Floor"/>
    <s v="7432-BLD-001"/>
    <n v="66.914498141263948"/>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3"/>
    <x v="8"/>
    <x v="142"/>
    <x v="127"/>
    <s v="1406"/>
    <s v="BLD"/>
    <m/>
    <e v="#N/A"/>
    <s v="FW"/>
    <s v="Flooring / Foundations"/>
    <s v="Wood Floor"/>
    <m/>
    <s v="Fuel Systems Lunchroom - Demolish floor finish - Raised Steel or Wooden Floor"/>
    <s v="7432-BLD-003"/>
    <n v="66.914498141263948"/>
    <s v="m2"/>
    <s v="0"/>
    <s v="0"/>
    <s v="0"/>
    <s v="0"/>
    <s v="0"/>
    <n v="0"/>
    <n v="0"/>
    <n v="0"/>
    <n v="0"/>
    <n v="0"/>
    <n v="0"/>
    <n v="0"/>
    <n v="1"/>
    <n v="0"/>
    <n v="0"/>
    <n v="1"/>
    <n v="0"/>
    <n v="0"/>
    <n v="0"/>
    <n v="0"/>
    <s v="Type A  _x000a_2AM-MRY1325"/>
    <m/>
    <n v="2014"/>
    <s v="Direct "/>
    <m/>
    <m/>
    <n v="0.5"/>
    <n v="0.5"/>
    <m/>
    <m/>
    <m/>
    <m/>
    <m/>
    <m/>
    <n v="0"/>
    <m/>
    <n v="0"/>
    <n v="0"/>
    <n v="0"/>
    <n v="0"/>
    <n v="0"/>
    <n v="0"/>
    <n v="0"/>
    <n v="0"/>
  </r>
  <r>
    <x v="3"/>
    <x v="3"/>
    <x v="22"/>
    <x v="13"/>
    <x v="63"/>
    <x v="8"/>
    <x v="142"/>
    <x v="127"/>
    <s v="1412"/>
    <s v="BLD"/>
    <m/>
    <e v="#N/A"/>
    <s v="FW"/>
    <s v="Flooring / Foundations"/>
    <s v="Wood Floor"/>
    <m/>
    <s v="Site Services Lunchroom #1 - Demolish floor finish - Raised Steel or Wooden Floor"/>
    <s v="7432-BLD-005"/>
    <n v="66.914498141263948"/>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3"/>
    <x v="3"/>
    <x v="22"/>
    <x v="13"/>
    <x v="63"/>
    <x v="8"/>
    <x v="142"/>
    <x v="127"/>
    <s v="1415"/>
    <s v="BLD"/>
    <m/>
    <e v="#N/A"/>
    <s v="FW"/>
    <s v="Flooring / Foundations"/>
    <s v="Wood Floor"/>
    <m/>
    <s v="Site Services Lunchroom #2 - Demolish floor finish - Raised Steel or Wooden Floor"/>
    <s v="7432-BLD-006"/>
    <n v="66.914498141263948"/>
    <s v="m2"/>
    <s v="0"/>
    <s v="0"/>
    <s v="0"/>
    <s v="0"/>
    <s v="0"/>
    <n v="0"/>
    <n v="0"/>
    <n v="0"/>
    <n v="0"/>
    <n v="0"/>
    <n v="0"/>
    <n v="0"/>
    <n v="1"/>
    <n v="0"/>
    <n v="0"/>
    <n v="1"/>
    <n v="0"/>
    <n v="0"/>
    <n v="0"/>
    <n v="0"/>
    <s v="Type A  _x000a_2AM-MRY1325"/>
    <m/>
    <n v="2014"/>
    <s v="Direct "/>
    <m/>
    <m/>
    <n v="0.33333333333333331"/>
    <n v="0.33333333333333331"/>
    <n v="0.33333333333333331"/>
    <m/>
    <m/>
    <m/>
    <m/>
    <m/>
    <n v="0"/>
    <m/>
    <n v="0"/>
    <n v="0"/>
    <n v="0"/>
    <n v="0"/>
    <n v="0"/>
    <n v="0"/>
    <n v="0"/>
    <n v="0"/>
  </r>
  <r>
    <x v="3"/>
    <x v="3"/>
    <x v="7"/>
    <x v="7"/>
    <x v="9"/>
    <x v="8"/>
    <x v="166"/>
    <x v="139"/>
    <s v="1285"/>
    <s v="BLD"/>
    <s v="EG"/>
    <s v="Gravel Base Removal"/>
    <s v="EG"/>
    <s v="Flooring / Foundations"/>
    <s v="Gravel Base"/>
    <m/>
    <s v="Construction Equipment Building - Demolish floor finish - Gravel"/>
    <s v="7235-BLD-001"/>
    <n v="223.04832713754647"/>
    <s v="m2"/>
    <n v="0"/>
    <n v="0"/>
    <n v="0"/>
    <n v="0"/>
    <n v="0"/>
    <n v="0"/>
    <n v="0"/>
    <n v="0"/>
    <n v="0"/>
    <n v="0"/>
    <n v="0"/>
    <n v="0"/>
    <n v="1"/>
    <n v="0"/>
    <n v="0"/>
    <n v="1"/>
    <n v="0"/>
    <n v="0"/>
    <n v="0"/>
    <n v="0"/>
    <s v="Type B Construction_x000a_2BC-MRY1416"/>
    <s v="Hold/ _x000a_Remove"/>
    <n v="2014"/>
    <s v="Direct "/>
    <m/>
    <m/>
    <n v="0.33333333333333331"/>
    <n v="0.33333333333333331"/>
    <n v="0.33333333333333331"/>
    <m/>
    <m/>
    <m/>
    <m/>
    <m/>
    <n v="0"/>
    <m/>
    <n v="0"/>
    <n v="0"/>
    <n v="0"/>
    <n v="0"/>
    <n v="0"/>
    <n v="0"/>
    <n v="0"/>
    <n v="0"/>
  </r>
  <r>
    <x v="3"/>
    <x v="3"/>
    <x v="7"/>
    <x v="7"/>
    <x v="9"/>
    <x v="8"/>
    <x v="168"/>
    <x v="140"/>
    <s v="1223"/>
    <s v="BLD"/>
    <s v="EG"/>
    <s v="Gravel Base Removal"/>
    <s v="EG"/>
    <s v="Flooring / Foundations"/>
    <s v="Gravel Base"/>
    <m/>
    <s v="Construction Office - Demolish and foundations - Gravel Base - Skidded Building"/>
    <s v="7231-BLD-001"/>
    <n v="267.65799256505579"/>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68"/>
    <x v="140"/>
    <s v="1224"/>
    <s v="BLD"/>
    <m/>
    <e v="#N/A"/>
    <s v="FW"/>
    <s v="Flooring / Foundations"/>
    <s v="Wood Floor"/>
    <m/>
    <s v="Construction Office - Demolish floor finish - Raised Steel or Wooden Floor"/>
    <s v="7231-BLD-001"/>
    <n v="267.65799256505579"/>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66"/>
    <x v="139"/>
    <s v="1288"/>
    <s v="BLD"/>
    <s v="EG"/>
    <s v="Gravel Base Removal"/>
    <s v="EG"/>
    <s v="Flooring / Foundations"/>
    <s v="Gravel Base"/>
    <m/>
    <s v="Site Services Heated Warehouse - Demolish floor finish - Gravel"/>
    <s v="7235-BLD-002"/>
    <n v="371.74721189591077"/>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9"/>
    <x v="8"/>
    <x v="166"/>
    <x v="139"/>
    <s v="1291"/>
    <s v="BLD"/>
    <s v="EG"/>
    <s v="Gravel Base Removal"/>
    <s v="EG"/>
    <s v="Flooring / Foundations"/>
    <s v="Gravel Base"/>
    <m/>
    <s v="Site Services Unheated Warehouse - Demolish floor finish - Gravel"/>
    <s v="7235-BLD-003"/>
    <n v="371.74721189591077"/>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7"/>
    <x v="7"/>
    <x v="67"/>
    <x v="38"/>
    <x v="162"/>
    <x v="137"/>
    <s v="1374"/>
    <s v="BLD"/>
    <s v="EG"/>
    <s v="Gravel Base Removal"/>
    <s v="EG"/>
    <s v="Flooring / Foundations"/>
    <s v="Gravel Base"/>
    <m/>
    <s v="Concrete Batch Plant Building - Demolish floor finish - Gravel"/>
    <s v="7251-BLD-001"/>
    <n v="669.14498141263937"/>
    <s v="m2"/>
    <n v="0"/>
    <n v="0"/>
    <n v="0"/>
    <n v="0"/>
    <n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22"/>
    <x v="13"/>
    <x v="68"/>
    <x v="38"/>
    <x v="163"/>
    <x v="137"/>
    <s v="1515"/>
    <s v="BLD"/>
    <s v="EG"/>
    <s v="Gravel Base Removal"/>
    <s v="EG"/>
    <s v="Flooring / Foundations"/>
    <s v="Gravel Base"/>
    <m/>
    <s v="Concrete Batch Plant Building - Demolish floor finish - Gravel"/>
    <s v="7451-BLD-001"/>
    <n v="669.14498141263937"/>
    <s v="m2"/>
    <n v="0"/>
    <n v="0"/>
    <n v="0"/>
    <n v="0"/>
    <n v="0"/>
    <n v="0"/>
    <n v="0"/>
    <n v="0"/>
    <n v="0"/>
    <n v="0"/>
    <n v="0"/>
    <n v="0"/>
    <n v="1"/>
    <n v="0"/>
    <n v="0"/>
    <n v="1"/>
    <n v="0"/>
    <n v="0"/>
    <n v="0"/>
    <n v="0"/>
    <s v="Type A  _x000a_2AM-MRY1325"/>
    <m/>
    <n v="2014"/>
    <s v="Direct "/>
    <m/>
    <m/>
    <n v="0.33333333333333331"/>
    <n v="0.33333333333333331"/>
    <n v="0.33333333333333331"/>
    <m/>
    <m/>
    <m/>
    <m/>
    <m/>
    <n v="0"/>
    <m/>
    <n v="0"/>
    <n v="0"/>
    <n v="0"/>
    <n v="0"/>
    <n v="0"/>
    <n v="0"/>
    <n v="0"/>
    <n v="0"/>
  </r>
  <r>
    <x v="3"/>
    <x v="3"/>
    <x v="7"/>
    <x v="7"/>
    <x v="67"/>
    <x v="38"/>
    <x v="162"/>
    <x v="137"/>
    <m/>
    <m/>
    <m/>
    <e v="#N/A"/>
    <m/>
    <m/>
    <m/>
    <s v="Batch Plant Building"/>
    <s v="Batch Plant Building"/>
    <m/>
    <n v="3281.62"/>
    <s v="m2"/>
    <s v="0"/>
    <s v="0"/>
    <s v="0"/>
    <s v="0"/>
    <s v="0"/>
    <n v="0"/>
    <n v="0"/>
    <n v="0"/>
    <n v="0"/>
    <n v="0"/>
    <n v="0"/>
    <n v="0"/>
    <n v="1"/>
    <n v="0"/>
    <n v="0"/>
    <n v="1"/>
    <n v="0"/>
    <n v="0"/>
    <n v="0"/>
    <n v="0"/>
    <s v="Type B Construction_x000a_2BC-MRY1416"/>
    <m/>
    <n v="2014"/>
    <s v="Direct "/>
    <m/>
    <m/>
    <n v="0.33333333333333331"/>
    <n v="0.33333333333333331"/>
    <n v="0.33333333333333331"/>
    <m/>
    <m/>
    <m/>
    <m/>
    <m/>
    <n v="0"/>
    <m/>
    <n v="0"/>
    <n v="0"/>
    <n v="0"/>
    <n v="0"/>
    <n v="0"/>
    <n v="0"/>
    <n v="0"/>
    <n v="0"/>
  </r>
  <r>
    <x v="3"/>
    <x v="3"/>
    <x v="23"/>
    <x v="14"/>
    <x v="74"/>
    <x v="41"/>
    <x v="175"/>
    <x v="144"/>
    <m/>
    <s v=""/>
    <m/>
    <m/>
    <m/>
    <m/>
    <m/>
    <m/>
    <m/>
    <m/>
    <m/>
    <m/>
    <s v="0"/>
    <s v="0"/>
    <s v="0"/>
    <s v="0"/>
    <s v="0"/>
    <n v="0"/>
    <n v="0"/>
    <n v="0"/>
    <n v="0"/>
    <n v="0"/>
    <n v="0"/>
    <n v="0"/>
    <n v="1"/>
    <n v="0"/>
    <m/>
    <m/>
    <n v="0"/>
    <n v="0"/>
    <m/>
    <m/>
    <s v="Type A  _x000a_2AM-MRY1325"/>
    <m/>
    <n v="2014"/>
    <s v="Direct "/>
    <m/>
    <m/>
    <m/>
    <m/>
    <m/>
    <m/>
    <m/>
    <m/>
    <m/>
    <m/>
    <n v="0"/>
    <m/>
    <n v="0"/>
    <n v="0"/>
    <n v="0"/>
    <n v="0"/>
    <n v="0"/>
    <n v="0"/>
    <n v="0"/>
    <n v="0"/>
  </r>
  <r>
    <x v="3"/>
    <x v="3"/>
    <x v="23"/>
    <x v="14"/>
    <x v="75"/>
    <x v="42"/>
    <x v="176"/>
    <x v="145"/>
    <m/>
    <s v=""/>
    <m/>
    <m/>
    <m/>
    <m/>
    <m/>
    <m/>
    <m/>
    <m/>
    <m/>
    <m/>
    <s v="0"/>
    <s v="0"/>
    <s v="0"/>
    <s v="0"/>
    <s v="0"/>
    <n v="0"/>
    <n v="0"/>
    <n v="0"/>
    <n v="0"/>
    <n v="0"/>
    <n v="0"/>
    <n v="0"/>
    <n v="1"/>
    <n v="0"/>
    <m/>
    <m/>
    <n v="0"/>
    <n v="0"/>
    <m/>
    <m/>
    <s v="Type A  _x000a_2AM-MRY1325"/>
    <m/>
    <n v="2014"/>
    <s v="Direct "/>
    <m/>
    <m/>
    <m/>
    <m/>
    <m/>
    <m/>
    <m/>
    <m/>
    <m/>
    <m/>
    <n v="0"/>
    <m/>
    <n v="0"/>
    <n v="0"/>
    <n v="0"/>
    <n v="0"/>
    <n v="0"/>
    <n v="0"/>
    <n v="0"/>
    <n v="0"/>
  </r>
  <r>
    <x v="3"/>
    <x v="3"/>
    <x v="23"/>
    <x v="14"/>
    <x v="75"/>
    <x v="42"/>
    <x v="177"/>
    <x v="146"/>
    <m/>
    <s v=""/>
    <m/>
    <m/>
    <m/>
    <m/>
    <m/>
    <m/>
    <m/>
    <m/>
    <m/>
    <m/>
    <s v="0"/>
    <s v="0"/>
    <s v="0"/>
    <s v="0"/>
    <s v="0"/>
    <n v="0"/>
    <n v="0"/>
    <n v="0"/>
    <n v="0"/>
    <n v="0"/>
    <n v="0"/>
    <n v="0"/>
    <n v="1"/>
    <n v="0"/>
    <m/>
    <m/>
    <n v="0"/>
    <n v="0"/>
    <m/>
    <m/>
    <s v="Type A  _x000a_2AM-MRY1325"/>
    <m/>
    <n v="2014"/>
    <s v="Direct "/>
    <m/>
    <m/>
    <m/>
    <m/>
    <m/>
    <m/>
    <m/>
    <m/>
    <m/>
    <m/>
    <n v="0"/>
    <m/>
    <n v="0"/>
    <n v="0"/>
    <n v="0"/>
    <n v="0"/>
    <n v="0"/>
    <n v="0"/>
    <n v="0"/>
    <n v="0"/>
  </r>
  <r>
    <x v="3"/>
    <x v="3"/>
    <x v="23"/>
    <x v="14"/>
    <x v="75"/>
    <x v="42"/>
    <x v="178"/>
    <x v="147"/>
    <m/>
    <s v=""/>
    <m/>
    <m/>
    <m/>
    <m/>
    <m/>
    <m/>
    <m/>
    <m/>
    <m/>
    <m/>
    <s v="0"/>
    <s v="0"/>
    <s v="0"/>
    <s v="0"/>
    <s v="0"/>
    <n v="0"/>
    <n v="0"/>
    <n v="0"/>
    <n v="0"/>
    <n v="0"/>
    <n v="0"/>
    <n v="0"/>
    <n v="1"/>
    <n v="0"/>
    <m/>
    <m/>
    <n v="0"/>
    <n v="0"/>
    <m/>
    <m/>
    <s v="Type A  _x000a_2AM-MRY1325"/>
    <m/>
    <n v="2014"/>
    <s v="Direct "/>
    <m/>
    <m/>
    <m/>
    <m/>
    <m/>
    <m/>
    <m/>
    <m/>
    <m/>
    <m/>
    <n v="0"/>
    <m/>
    <n v="0"/>
    <n v="0"/>
    <n v="0"/>
    <n v="0"/>
    <n v="0"/>
    <n v="0"/>
    <n v="0"/>
    <n v="0"/>
  </r>
  <r>
    <x v="3"/>
    <x v="3"/>
    <x v="7"/>
    <x v="7"/>
    <x v="66"/>
    <x v="20"/>
    <x v="179"/>
    <x v="148"/>
    <m/>
    <s v=""/>
    <m/>
    <m/>
    <m/>
    <m/>
    <m/>
    <m/>
    <m/>
    <m/>
    <m/>
    <m/>
    <s v="0"/>
    <s v="0"/>
    <s v="0"/>
    <s v="0"/>
    <s v="0"/>
    <n v="0"/>
    <n v="0"/>
    <n v="0"/>
    <n v="0"/>
    <n v="0"/>
    <n v="0"/>
    <n v="0"/>
    <n v="1"/>
    <n v="0"/>
    <n v="0"/>
    <n v="1"/>
    <n v="0"/>
    <n v="0"/>
    <n v="0"/>
    <n v="0"/>
    <s v="Type B Construction_x000a_2BC-MRY1416"/>
    <m/>
    <n v="2014"/>
    <s v="Direct "/>
    <m/>
    <m/>
    <m/>
    <m/>
    <m/>
    <m/>
    <m/>
    <m/>
    <m/>
    <m/>
    <n v="0"/>
    <m/>
    <n v="0"/>
    <n v="0"/>
    <n v="0"/>
    <n v="0"/>
    <n v="0"/>
    <n v="0"/>
    <n v="0"/>
    <n v="0"/>
  </r>
  <r>
    <x v="3"/>
    <x v="3"/>
    <x v="7"/>
    <x v="7"/>
    <x v="9"/>
    <x v="8"/>
    <x v="180"/>
    <x v="149"/>
    <m/>
    <s v=""/>
    <m/>
    <m/>
    <m/>
    <m/>
    <m/>
    <m/>
    <m/>
    <m/>
    <m/>
    <m/>
    <s v="0"/>
    <s v="0"/>
    <s v="0"/>
    <s v="0"/>
    <s v="0"/>
    <n v="0"/>
    <n v="0"/>
    <n v="0"/>
    <n v="0"/>
    <n v="0"/>
    <n v="0"/>
    <n v="0"/>
    <n v="1"/>
    <n v="0"/>
    <n v="0"/>
    <n v="1"/>
    <n v="0"/>
    <n v="0"/>
    <n v="0"/>
    <n v="0"/>
    <s v="Type B Construction_x000a_2BC-MRY1416"/>
    <m/>
    <n v="2014"/>
    <s v="Direct "/>
    <m/>
    <m/>
    <m/>
    <m/>
    <m/>
    <m/>
    <m/>
    <m/>
    <m/>
    <m/>
    <n v="0"/>
    <m/>
    <n v="0"/>
    <n v="0"/>
    <n v="0"/>
    <n v="0"/>
    <n v="0"/>
    <n v="0"/>
    <n v="0"/>
    <n v="0"/>
  </r>
  <r>
    <x v="3"/>
    <x v="3"/>
    <x v="7"/>
    <x v="7"/>
    <x v="71"/>
    <x v="40"/>
    <x v="181"/>
    <x v="150"/>
    <s v="1295"/>
    <s v="MO-"/>
    <s v="O1"/>
    <s v="Light Mobile Equipment"/>
    <s v="O1"/>
    <s v="Mobile Equipment"/>
    <s v="Light Mobile Equipment"/>
    <s v="Pick up"/>
    <s v="MOBILE EQUIPMENT  - PICKUP TRUCK  - FORD F350  _x000a_L: 6274, W: 2665, H: 2032, 6350 kg"/>
    <s v="7241-MO-00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296"/>
    <s v="MO-"/>
    <s v="O1"/>
    <s v="Light Mobile Equipment"/>
    <s v="O1"/>
    <s v="Mobile Equipment"/>
    <s v="Light Mobile Equipment"/>
    <s v="Pick up"/>
    <s v="MOBILE EQUIPMENT  - PICKUP TRUCK  - FORD F350  _x000a_L: 6274, W: 2665, H: 2032, 6350 kg"/>
    <s v="7241-MO-00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297"/>
    <s v="MO-"/>
    <s v="O1"/>
    <s v="Light Mobile Equipment"/>
    <s v="O1"/>
    <s v="Mobile Equipment"/>
    <s v="Light Mobile Equipment"/>
    <s v="Pick up"/>
    <s v="MOBILE EQUIPMENT  - PICKUP TRUCK  - FORD F350  _x000a_L: 6274, W: 2665, H: 2032, 6350 kg"/>
    <s v="7241-MO-00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298"/>
    <s v="MO-"/>
    <s v="O1"/>
    <s v="Light Mobile Equipment"/>
    <s v="O1"/>
    <s v="Mobile Equipment"/>
    <s v="Light Mobile Equipment"/>
    <s v="Pick up"/>
    <s v="MOBILE EQUIPMENT  - PICKUP TRUCK  - FORD F350  _x000a_L: 6274, W: 2665, H: 2032, 6350 kg"/>
    <s v="7241-MO-00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299"/>
    <s v="MO-"/>
    <s v="O1"/>
    <s v="Light Mobile Equipment"/>
    <s v="O1"/>
    <s v="Mobile Equipment"/>
    <s v="Light Mobile Equipment"/>
    <s v="Pick up"/>
    <s v="MOBILE EQUIPMENT  - PICKUP TRUCK  - FORD F350  _x000a_L: 6274, W: 2665, H: 2032, 6350 kg"/>
    <s v="7241-MO-00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0"/>
    <s v="MO-"/>
    <s v="O1"/>
    <s v="Light Mobile Equipment"/>
    <s v="O1"/>
    <s v="Mobile Equipment"/>
    <s v="Light Mobile Equipment"/>
    <s v="Pick up"/>
    <s v="MOBILE EQUIPMENT  - PICKUP TRUCK  - FORD F350  _x000a_L: 6274, W: 2665, H: 2032, 6350 kg"/>
    <s v="7241-MO-00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1"/>
    <s v="MO-"/>
    <s v="O1"/>
    <s v="Light Mobile Equipment"/>
    <s v="O1"/>
    <s v="Mobile Equipment"/>
    <s v="Light Mobile Equipment"/>
    <s v="Pick up"/>
    <s v="MOBILE EQUIPMENT  - PICKUP TRUCK  - FORD F350  _x000a_L: 6274, W: 2665, H: 2032, 6350 kg"/>
    <s v="7241-MO-007"/>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2"/>
    <s v="MO-"/>
    <s v="O1"/>
    <s v="Light Mobile Equipment"/>
    <s v="O1"/>
    <s v="Mobile Equipment"/>
    <s v="Light Mobile Equipment"/>
    <s v="Pick up"/>
    <s v="MOBILE EQUIPMENT  - PICKUP TRUCK  - FORD F350  _x000a_L: 6274, W: 2665, H: 2032, 6350 kg"/>
    <s v="7241-MO-008"/>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3"/>
    <s v="MO-"/>
    <s v="O1"/>
    <s v="Light Mobile Equipment"/>
    <s v="O1"/>
    <s v="Mobile Equipment"/>
    <s v="Light Mobile Equipment"/>
    <s v="Pick up"/>
    <s v="MOBILE EQUIPMENT  - PICKUP TRUCK  - FORD F350  _x000a_L: 6274, W: 2665, H: 2032, 6350 kg"/>
    <s v="7241-MO-009"/>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4"/>
    <s v="MO-"/>
    <s v="O1"/>
    <s v="Light Mobile Equipment"/>
    <s v="O1"/>
    <s v="Mobile Equipment"/>
    <s v="Light Mobile Equipment"/>
    <s v="Pick up"/>
    <s v="MOBILE EQUIPMENT  - PICKUP TRUCK  - FORD F350  _x000a_L: 6274, W: 2665, H: 2032, 6350 kg"/>
    <s v="7241-MO-010"/>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5"/>
    <s v="MO-"/>
    <s v="O1"/>
    <s v="Light Mobile Equipment"/>
    <s v="O1"/>
    <s v="Mobile Equipment"/>
    <s v="Light Mobile Equipment"/>
    <s v="Pick up"/>
    <s v="MOBILE EQUIPMENT  - PICKUP TRUCK  - FORD F350  _x000a_L: 6274, W: 2665, H: 2032, 6350 kg"/>
    <s v="7241-MO-01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6"/>
    <s v="MO-"/>
    <s v="O1"/>
    <s v="Light Mobile Equipment"/>
    <s v="O1"/>
    <s v="Mobile Equipment"/>
    <s v="Light Mobile Equipment"/>
    <s v="Pick up"/>
    <s v="MOBILE EQUIPMENT  - PICKUP TRUCK  - FORD F350  _x000a_L: 6274, W: 2665, H: 2032, 6350 kg"/>
    <s v="7241-MO-01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7"/>
    <s v="MO-"/>
    <s v="O1"/>
    <s v="Light Mobile Equipment"/>
    <s v="O1"/>
    <s v="Mobile Equipment"/>
    <s v="Light Mobile Equipment"/>
    <s v="Pick up"/>
    <s v="MOBILE EQUIPMENT  - PICKUP TRUCK  - FORD F350  _x000a_L: 6274, W: 2665, H: 2032, 6350 kg"/>
    <s v="7241-MO-01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8"/>
    <s v="MO-"/>
    <s v="O1"/>
    <s v="Light Mobile Equipment"/>
    <s v="O1"/>
    <s v="Mobile Equipment"/>
    <s v="Light Mobile Equipment"/>
    <s v="Pick up"/>
    <s v="MOBILE EQUIPMENT  - PICKUP TRUCK  - FORD F350  _x000a_L: 6274, W: 2665, H: 2032, 6350 kg"/>
    <s v="7241-MO-01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09"/>
    <s v="MO-"/>
    <s v="O1"/>
    <s v="Light Mobile Equipment"/>
    <s v="O1"/>
    <s v="Mobile Equipment"/>
    <s v="Light Mobile Equipment"/>
    <s v="Cube Van"/>
    <s v="MOBILE EQUIPMENT  - CUBE VAN  - FORD F550  "/>
    <s v="7241-MO-02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1"/>
    <x v="150"/>
    <s v="1310"/>
    <s v="MO-"/>
    <s v="O1"/>
    <s v="Light Mobile Equipment"/>
    <s v="O1"/>
    <s v="Mobile Equipment"/>
    <s v="Light Mobile Equipment"/>
    <s v="Pick up"/>
    <s v="MOBILE EQUIPMENT  - PICKUP TRUCK  - FORD F350  _x000a_L: 6274, W: 2665, H: 2032, 6350 kg"/>
    <s v="7241-MO-02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2"/>
    <x v="151"/>
    <m/>
    <s v=""/>
    <m/>
    <m/>
    <m/>
    <m/>
    <m/>
    <m/>
    <m/>
    <m/>
    <m/>
    <m/>
    <s v="0"/>
    <s v="0"/>
    <s v="0"/>
    <s v="0"/>
    <s v="0"/>
    <n v="0"/>
    <n v="0"/>
    <n v="0"/>
    <n v="0"/>
    <n v="0"/>
    <n v="0"/>
    <n v="0"/>
    <n v="1"/>
    <n v="0"/>
    <n v="0"/>
    <n v="1"/>
    <n v="0"/>
    <n v="0"/>
    <n v="0"/>
    <n v="0"/>
    <s v="Type B Construction_x000a_2BC-MRY1416"/>
    <m/>
    <n v="2014"/>
    <s v="Direct "/>
    <m/>
    <m/>
    <m/>
    <m/>
    <m/>
    <m/>
    <m/>
    <m/>
    <m/>
    <m/>
    <n v="0"/>
    <m/>
    <n v="0"/>
    <n v="0"/>
    <n v="0"/>
    <n v="0"/>
    <n v="0"/>
    <n v="0"/>
    <n v="0"/>
    <n v="0"/>
  </r>
  <r>
    <x v="3"/>
    <x v="3"/>
    <x v="7"/>
    <x v="7"/>
    <x v="71"/>
    <x v="40"/>
    <x v="183"/>
    <x v="152"/>
    <s v="1313"/>
    <s v="MO-"/>
    <s v="O3"/>
    <s v="Heavy Mobile Equipment"/>
    <s v="O3"/>
    <s v="Mobile Equipment"/>
    <s v="Heavy Mobile Equipment"/>
    <s v="Haul Truck"/>
    <s v="MOBILE EQUIPMENT  - ARTICULATED HAUL TRUCK  - CAT 740B  _x000a_L: 10889, W: 3430, H: 3745, 34000 kg"/>
    <s v="7243-MO-001"/>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14"/>
    <s v="MO-"/>
    <s v="O3"/>
    <s v="Heavy Mobile Equipment"/>
    <s v="O3"/>
    <s v="Mobile Equipment"/>
    <s v="Heavy Mobile Equipment"/>
    <s v="Haul Truck"/>
    <s v="MOBILE EQUIPMENT  - ARTICULATED HAUL TRUCK  - CAT 740B  L: 10889, W: 3430, H: 3745, 34000 kg"/>
    <s v="7243-MO-002"/>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15"/>
    <s v="MO-"/>
    <s v="O3"/>
    <s v="Heavy Mobile Equipment"/>
    <s v="O3"/>
    <s v="Mobile Equipment"/>
    <s v="Heavy Mobile Equipment"/>
    <s v="Haul Truck"/>
    <s v="MOBILE EQUIPMENT  - ARTICULATED HAUL TRUCK  - CAT 740B  L: 10889, W: 3430, H: 3745, 34000 kg"/>
    <s v="7243-MO-003"/>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16"/>
    <s v="MO-"/>
    <s v="O3"/>
    <s v="Heavy Mobile Equipment"/>
    <s v="O3"/>
    <s v="Mobile Equipment"/>
    <s v="Heavy Mobile Equipment"/>
    <s v="Haul Truck"/>
    <s v="MOBILE EQUIPMENT  - ARTICULATED HAUL TRUCK  - CAT 740B  L: 10889, W: 3430, H: 3745, 34000 kg"/>
    <s v="7243-MO-004"/>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17"/>
    <s v="MO-"/>
    <s v="O3"/>
    <s v="Heavy Mobile Equipment"/>
    <s v="O3"/>
    <s v="Mobile Equipment"/>
    <s v="Heavy Mobile Equipment"/>
    <s v="Haul Truck"/>
    <s v="MOBILE EQUIPMENT  - ARTICULATED HAUL TRUCK  - CAT 740B  L: 10889, W: 3430, H: 3745, 34000 kg"/>
    <s v="7243-MO-005"/>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18"/>
    <s v="MO-"/>
    <s v="O3"/>
    <s v="Heavy Mobile Equipment"/>
    <s v="O3"/>
    <s v="Mobile Equipment"/>
    <s v="Heavy Mobile Equipment"/>
    <s v="Haul Truck"/>
    <s v="MOBILE EQUIPMENT  - ARTICULATED HAUL TRUCK  - CAT 740B  _x000a_L: 10889, W: 3430, H: 3745, 34000 kg"/>
    <s v="7243-MO-006"/>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19"/>
    <s v="MO-"/>
    <s v="O3"/>
    <s v="Heavy Mobile Equipment"/>
    <s v="O3"/>
    <s v="Mobile Equipment"/>
    <s v="Heavy Mobile Equipment"/>
    <s v="Haul Truck"/>
    <s v="MOBILE EQUIPMENT  - ARTICULATED HAUL TRUCK  - CAT 740B  _x000a_L: 10889, W: 3430, H: 3745, 34000 kg"/>
    <s v="7243-MO-007"/>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0"/>
    <s v="MO-"/>
    <s v="O3"/>
    <s v="Heavy Mobile Equipment"/>
    <s v="O3"/>
    <s v="Mobile Equipment"/>
    <s v="Heavy Mobile Equipment"/>
    <s v="Haul Truck"/>
    <s v="MOBILE EQUIPMENT  - ARTICULATED HAUL TRUCK  - CAT 740B  L: 10889, W: 3430, H: 3745, 34000 kg"/>
    <s v="7243-MO-008"/>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1"/>
    <s v="MO-"/>
    <s v="O3"/>
    <s v="Heavy Mobile Equipment"/>
    <s v="O3"/>
    <s v="Mobile Equipment"/>
    <s v="Heavy Mobile Equipment"/>
    <s v="Haul Truck"/>
    <s v="MOBILE EQUIPMENT  - ARTICULATED HAUL TRUCK  - CAT 740B  L: 10889, W: 3430, H: 3745, 34000 kg"/>
    <s v="7243-MO-009"/>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2"/>
    <s v="MO-"/>
    <s v="O3"/>
    <s v="Heavy Mobile Equipment"/>
    <s v="O3"/>
    <s v="Mobile Equipment"/>
    <s v="Heavy Mobile Equipment"/>
    <s v="Haul Truck"/>
    <s v="MOBILE EQUIPMENT  - ARTICULATED HAUL TRUCK  - CAT 740B  L: 10889, W: 3430, H: 3745, 34000 kg"/>
    <s v="7243-MO-010"/>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3"/>
    <s v="MO-"/>
    <s v="O3"/>
    <s v="Heavy Mobile Equipment"/>
    <s v="O3"/>
    <s v="Mobile Equipment"/>
    <s v="Heavy Mobile Equipment"/>
    <s v=" CAT 988H"/>
    <s v="MOBILE EQUIPMENT  - FRONT END LOADER  - CAT 988H  _x000a_L: 10390, W: 3600, H: 4115, 43400 kg"/>
    <s v="7243-MO-011"/>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4"/>
    <s v="MO-"/>
    <s v="O3"/>
    <s v="Heavy Mobile Equipment"/>
    <s v="O3"/>
    <s v="Mobile Equipment"/>
    <s v="Heavy Mobile Equipment"/>
    <s v=" CAT 988H"/>
    <s v="MOBILE EQUIPMENT  - FRONT END LOADER  - CAT 988H    _x000a_L: 10390, W: 3600, H: 4115, 43400 kg"/>
    <s v="7243-MO-012"/>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5"/>
    <s v="MO-"/>
    <s v="O1"/>
    <s v="Light Mobile Equipment"/>
    <s v="O1"/>
    <s v="Mobile Equipment"/>
    <s v="Light Mobile Equipment"/>
    <s v="Compressor"/>
    <s v="MOBILE EQUIPMENT  - MID SIZE AIR COMPRESSOR  - ATLAS COPCO "/>
    <s v="7243-MO-01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6"/>
    <s v="MO-"/>
    <s v="O1"/>
    <s v="Light Mobile Equipment"/>
    <s v="O1"/>
    <s v="Mobile Equipment"/>
    <s v="Light Mobile Equipment"/>
    <s v="Pump"/>
    <s v="MOBILE EQUIPMENT  - TRASH PUMP  - GORMAN-RUPP 13D-L700EE S/G  L: 711.2, W: 533.4, H: 621.7, 54 kg"/>
    <s v="7243-MO-01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7"/>
    <s v="MO-"/>
    <s v="O1"/>
    <s v="Light Mobile Equipment"/>
    <s v="O1"/>
    <s v="Mobile Equipment"/>
    <s v="Light Mobile Equipment"/>
    <s v="Lights"/>
    <s v="MOBILE EQUIPMENT  - MOBILE LIGHT PLANT  - TEREX AL4  _x000a_L: 4623, W: 2007, H: 9000, 925 kg"/>
    <s v="7243-MO-01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8"/>
    <s v="MO-"/>
    <s v="O1"/>
    <s v="Light Mobile Equipment"/>
    <s v="O1"/>
    <s v="Mobile Equipment"/>
    <s v="Light Mobile Equipment"/>
    <s v="Lights"/>
    <s v="MOBILE EQUIPMENT  - MOBILE LIGHT PLANT  - TEREX AL4   _x000a_L: 4623, W: 2007, H: 9000, 925 kg"/>
    <s v="7243-MO-017"/>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29"/>
    <s v="MO-"/>
    <s v="O1"/>
    <s v="Light Mobile Equipment"/>
    <s v="O1"/>
    <s v="Mobile Equipment"/>
    <s v="Light Mobile Equipment"/>
    <s v="Lights"/>
    <s v="MOBILE EQUIPMENT  - MOBILE LIGHT PLANT  - TEREX AL4   _x000a_L: 4623, W: 2007, H: 9000, 925 kg"/>
    <s v="7243-MO-018"/>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0"/>
    <s v="MO-"/>
    <s v="O1"/>
    <s v="Light Mobile Equipment"/>
    <s v="O1"/>
    <s v="Mobile Equipment"/>
    <s v="Light Mobile Equipment"/>
    <s v="Lights"/>
    <s v="MOBILE EQUIPMENT  - MOBILE LIGHT PLANT  - TEREX AL4   _x000a_L: 4623, W: 2007, H: 9000, 925 kg"/>
    <s v="7243-MO-019"/>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1"/>
    <s v="MO-"/>
    <s v="O1"/>
    <s v="Light Mobile Equipment"/>
    <s v="O1"/>
    <s v="Mobile Equipment"/>
    <s v="Light Mobile Equipment"/>
    <s v="Lights"/>
    <s v="MOBILE EQUIPMENT  - MOBILE LIGHT PLANT  - TEREX AL4   _x000a_L: 4623, W: 2007, H: 9000, 925 kg"/>
    <s v="7243-MO-020"/>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2"/>
    <s v="MO-"/>
    <s v="O2"/>
    <s v="Medium Mobile Equipment"/>
    <s v="O2"/>
    <s v="Mobile Equipment"/>
    <s v="Medium Mobile Equipment"/>
    <s v="FEL"/>
    <s v="MOBILE EQUIPMENT  - FRONT END LOADER  - CAT 930K  _x000a_L: 6050, W: 2390, H: 3150, 9600 kg"/>
    <s v="7243-MO-021"/>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3"/>
    <s v="MO-"/>
    <s v="O2"/>
    <s v="Medium Mobile Equipment"/>
    <s v="O2"/>
    <s v="Mobile Equipment"/>
    <s v="Medium Mobile Equipment"/>
    <s v="Telehandler"/>
    <s v="MOBILE EQUIPMENT  - TELEHANDLER  - CAT TH514  _x000a_L: 6100, W: 2570, H: 2570, 15800 kg"/>
    <s v="7243-MO-022"/>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4"/>
    <s v="MO-"/>
    <s v="O1"/>
    <s v="Light Mobile Equipment"/>
    <s v="O1"/>
    <s v="Mobile Equipment"/>
    <s v="Light Mobile Equipment"/>
    <s v="Frost Fighter"/>
    <s v="MOBILE EQUIPMENT  - FROST FIGHTER  - FROSTFIGHTER IDF350-11  "/>
    <s v="7243-MO-02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5"/>
    <s v="MO-"/>
    <s v="O1"/>
    <s v="Light Mobile Equipment"/>
    <s v="O1"/>
    <s v="Mobile Equipment"/>
    <s v="Light Mobile Equipment"/>
    <s v="Frost Fighter"/>
    <s v="MOBILE EQUIPMENT  - FROST FIGHTER  - FROSTFIGHTER IDF350-11  "/>
    <s v="7243-MO-02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6"/>
    <s v="MO-"/>
    <s v="O1"/>
    <s v="Light Mobile Equipment"/>
    <s v="O1"/>
    <s v="Mobile Equipment"/>
    <s v="Light Mobile Equipment"/>
    <s v="Frost Fighter"/>
    <s v="MOBILE EQUIPMENT  - FROST FIGHTER  - FROSTFIGHTER IDF350-11  "/>
    <s v="7243-MO-02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7"/>
    <s v="MO-"/>
    <s v="O1"/>
    <s v="Light Mobile Equipment"/>
    <s v="O1"/>
    <s v="Mobile Equipment"/>
    <s v="Light Mobile Equipment"/>
    <s v="Frost Fighter"/>
    <s v="MOBILE EQUIPMENT  - FROST FIGHTER  - FROSTFIGHTER IDF350-11  "/>
    <s v="7243-MO-02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8"/>
    <s v="MO-"/>
    <s v="O1"/>
    <s v="Light Mobile Equipment"/>
    <s v="O1"/>
    <s v="Mobile Equipment"/>
    <s v="Light Mobile Equipment"/>
    <s v="Frost Fighter"/>
    <s v="MOBILE EQUIPMENT  - FROST FIGHTER  - FROSTFIGHTER IDF350-11  "/>
    <s v="7243-MO-027"/>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39"/>
    <s v="MO-"/>
    <s v="O1"/>
    <s v="Light Mobile Equipment"/>
    <s v="O1"/>
    <s v="Mobile Equipment"/>
    <s v="Light Mobile Equipment"/>
    <s v="Frost Fighter"/>
    <s v="MOBILE EQUIPMENT  - FROST FIGHTER  - FROSTFIGHTER IDF350-11  "/>
    <s v="7243-MO-028"/>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0"/>
    <s v="MO-"/>
    <s v="O1"/>
    <s v="Light Mobile Equipment"/>
    <s v="O1"/>
    <s v="Mobile Equipment"/>
    <s v="Light Mobile Equipment"/>
    <s v="Frost Fighter"/>
    <s v="MOBILE EQUIPMENT  - FROST FIGHTER  - FROSTFIGHTER IDF350-11  "/>
    <s v="7243-MO-029"/>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1"/>
    <s v="MO-"/>
    <s v="O1"/>
    <s v="Light Mobile Equipment"/>
    <s v="O1"/>
    <s v="Mobile Equipment"/>
    <s v="Light Mobile Equipment"/>
    <s v="Frost Fighter"/>
    <s v="MOBILE EQUIPMENT  - FROST FIGHTER  - FROSTFIGHTER IDF350-11  "/>
    <s v="7243-MO-030"/>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2"/>
    <s v="MO-"/>
    <s v="O1"/>
    <s v="Light Mobile Equipment"/>
    <s v="O1"/>
    <s v="Mobile Equipment"/>
    <s v="Light Mobile Equipment"/>
    <s v="Frost Fighter"/>
    <s v="MOBILE EQUIPMENT  - FROST FIGHTER  - FROSTFIGHTER IDF350-11  "/>
    <s v="7243-MO-03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3"/>
    <s v="MO-"/>
    <s v="O1"/>
    <s v="Light Mobile Equipment"/>
    <s v="O1"/>
    <s v="Mobile Equipment"/>
    <s v="Light Mobile Equipment"/>
    <s v="Frost Fighter"/>
    <s v="MOBILE EQUIPMENT  - FROST FIGHTER  - FROSTFIGHTER IDF350-11  "/>
    <s v="7243-MO-03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4"/>
    <s v="MO-"/>
    <s v="O1"/>
    <s v="Light Mobile Equipment"/>
    <s v="O1"/>
    <s v="Mobile Equipment"/>
    <s v="Light Mobile Equipment"/>
    <s v="Frost Fighter"/>
    <s v="MOBILE EQUIPMENT  - FROST FIGHTER  - FROSTFIGHTER IDF350-11  "/>
    <s v="7243-MO-03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5"/>
    <s v="MO-"/>
    <s v="O1"/>
    <s v="Light Mobile Equipment"/>
    <s v="O1"/>
    <s v="Mobile Equipment"/>
    <s v="Light Mobile Equipment"/>
    <s v="Frost Fighter"/>
    <s v="MOBILE EQUIPMENT  - FROST FIGHTER  - FROSTFIGHTER IDF350-11  "/>
    <s v="7243-MO-03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6"/>
    <s v="MO-"/>
    <s v="O1"/>
    <s v="Light Mobile Equipment"/>
    <s v="O1"/>
    <s v="Mobile Equipment"/>
    <s v="Light Mobile Equipment"/>
    <s v="Frost Fighter"/>
    <s v="MOBILE EQUIPMENT  - FROST FIGHTER  - FROSTFIGHTER IDF350-11  "/>
    <s v="7243-MO-03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7"/>
    <s v="MO-"/>
    <s v="O1"/>
    <s v="Light Mobile Equipment"/>
    <s v="O1"/>
    <s v="Mobile Equipment"/>
    <s v="Light Mobile Equipment"/>
    <s v="Frost Fighter"/>
    <s v="MOBILE EQUIPMENT  - FROST FIGHTER  - FROSTFIGHTER IDF350-11  "/>
    <s v="7243-MO-03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8"/>
    <s v="MO-"/>
    <s v="O1"/>
    <s v="Light Mobile Equipment"/>
    <s v="O1"/>
    <s v="Mobile Equipment"/>
    <s v="Light Mobile Equipment"/>
    <s v="Frost Fighter"/>
    <s v="MOBILE EQUIPMENT  - FROST FIGHTER  - FROSTFIGHTER IDF350-11  "/>
    <s v="7243-MO-037"/>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3"/>
    <x v="152"/>
    <s v="1349"/>
    <s v="MO-"/>
    <s v="O1"/>
    <s v="Light Mobile Equipment"/>
    <s v="O1"/>
    <s v="Mobile Equipment"/>
    <s v="Light Mobile Equipment"/>
    <s v="Trailer"/>
    <s v="MOBILE EQUIPMENT  - LOWBOY TRAILER  L: 16050, W: 2438 "/>
    <s v="7243-MO-04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0"/>
    <s v="MO-"/>
    <s v="O1"/>
    <s v="Light Mobile Equipment"/>
    <s v="O1"/>
    <s v="Mobile Equipment"/>
    <s v="Light Mobile Equipment"/>
    <s v="Man Lift"/>
    <s v="MOBILE EQUIPMENT  - MAN LIFT  - JLG 450AJ  "/>
    <s v="7245-MO-00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1"/>
    <s v="MO-"/>
    <s v="O1"/>
    <s v="Light Mobile Equipment"/>
    <s v="O1"/>
    <s v="Mobile Equipment"/>
    <s v="Light Mobile Equipment"/>
    <s v="Man Lift"/>
    <s v="MOBILE EQUIPMENT  - MAN LIFT  - JLG 450AJ  "/>
    <s v="7245-MO-003"/>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2"/>
    <s v="MO-"/>
    <s v="O1"/>
    <s v="Light Mobile Equipment"/>
    <s v="O1"/>
    <s v="Mobile Equipment"/>
    <s v="Light Mobile Equipment"/>
    <s v="Man Lift"/>
    <s v="MOBILE EQUIPMENT  - MAN LIFT  - GENIE Z45/25  "/>
    <s v="7245-MO-004"/>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3"/>
    <s v="MO-"/>
    <s v="O1"/>
    <s v="Light Mobile Equipment"/>
    <s v="O1"/>
    <s v="Mobile Equipment"/>
    <s v="Light Mobile Equipment"/>
    <s v="Man Lift"/>
    <s v="MOBILE EQUIPMENT  - SCISSOR LIFT  - SKYJACK 8841  _x000a_L: 3500, W: 2200, H: 2900 4917 kg"/>
    <s v="7245-MO-005"/>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4"/>
    <s v="MO-"/>
    <s v="O1"/>
    <s v="Light Mobile Equipment"/>
    <s v="O1"/>
    <s v="Mobile Equipment"/>
    <s v="Light Mobile Equipment"/>
    <s v="Man Lift"/>
    <s v="MOBILE EQUIPMENT  - SCISSOR LIFT  - SKYJACK 8841  _x000a_L: 3500, W: 2200, H: 2900 4917 kg"/>
    <s v="7245-MO-006"/>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5"/>
    <s v="MO-"/>
    <s v="O2"/>
    <s v="Medium Mobile Equipment"/>
    <s v="O2"/>
    <s v="Mobile Equipment"/>
    <s v="Medium Mobile Equipment"/>
    <s v="Boom truck"/>
    <s v="MOBILE EQUIPMENT  - BOOM TRUCK  - MAMTEX 26101C  "/>
    <s v="7245-MO-007"/>
    <m/>
    <s v="ea"/>
    <n v="10"/>
    <n v="45"/>
    <n v="999.13380952380965"/>
    <n v="450"/>
    <n v="1494.1338095238098"/>
    <n v="0"/>
    <n v="0"/>
    <n v="0"/>
    <n v="0"/>
    <n v="0"/>
    <n v="2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6"/>
    <s v="MO-"/>
    <s v="O3"/>
    <s v="Heavy Mobile Equipment"/>
    <s v="O3"/>
    <s v="Mobile Equipment"/>
    <s v="Heavy Mobile Equipment"/>
    <s v="Crane"/>
    <s v="MOBILE EQUIPMENT  - MAINTENANCE CRANE  - GROVE RT890E  41400 kg"/>
    <s v="7245-MO-008"/>
    <m/>
    <s v="ea"/>
    <n v="13"/>
    <n v="120"/>
    <n v="1298.8739523809525"/>
    <n v="1200"/>
    <n v="2618.8739523809527"/>
    <n v="0"/>
    <n v="0"/>
    <n v="0"/>
    <n v="0"/>
    <n v="0"/>
    <n v="96"/>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7"/>
    <s v="MO-"/>
    <s v="O1"/>
    <s v="Light Mobile Equipment"/>
    <s v="O1"/>
    <s v="Mobile Equipment"/>
    <s v="Light Mobile Equipment"/>
    <s v="Pick up"/>
    <s v="MOBILE EQUIPMENT  - WAREHOUSE FREIGHT DELIVERY FLAT DECK TRUCKS - FORD F550  L: 7264, W: 2418, H: 2022, 3311 kg"/>
    <s v="7245-MO-010"/>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8"/>
    <s v="MO-"/>
    <s v="O1"/>
    <s v="Light Mobile Equipment"/>
    <s v="O1"/>
    <s v="Mobile Equipment"/>
    <s v="Light Mobile Equipment"/>
    <s v="Pick up"/>
    <s v="MOBILE EQUIPMENT  - WAREHOUSE FREIGHT DELIVERY FLAT DECK TRUCKS - FORD F550  L: 7264, W: 2418, H: 2022, 3311 kg"/>
    <s v="7245-MO-011"/>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71"/>
    <x v="40"/>
    <x v="184"/>
    <x v="153"/>
    <s v="1369"/>
    <s v="MO-"/>
    <s v="O1"/>
    <s v="Light Mobile Equipment"/>
    <s v="O1"/>
    <s v="Mobile Equipment"/>
    <s v="Light Mobile Equipment"/>
    <s v="Pick up"/>
    <s v="MOBILE EQUIPMENT  - WAREHOUSE FREIGHT DELIVERY FLAT DECK TRUCKS - FORD F550  L: 7264, W: 2418, H: 2022, 3311 kg"/>
    <s v="7245-MO-012"/>
    <m/>
    <s v="ea"/>
    <n v="6.666666666666667"/>
    <n v="25"/>
    <n v="666.08920634920639"/>
    <n v="250"/>
    <n v="941.08920634920639"/>
    <n v="0"/>
    <n v="0"/>
    <n v="0"/>
    <n v="0"/>
    <n v="0"/>
    <n v="4"/>
    <n v="0"/>
    <n v="1"/>
    <n v="0"/>
    <n v="0"/>
    <n v="1"/>
    <n v="0"/>
    <n v="0"/>
    <n v="0"/>
    <n v="0"/>
    <s v="Type B Construction_x000a_2BC-MRY1416"/>
    <s v="Removed"/>
    <n v="2014"/>
    <s v="Direct "/>
    <m/>
    <m/>
    <n v="0.33333333333333331"/>
    <m/>
    <n v="0.33333333333333331"/>
    <m/>
    <m/>
    <m/>
    <m/>
    <n v="0.33333333333333331"/>
    <n v="0"/>
    <m/>
    <n v="0"/>
    <n v="0"/>
    <n v="0"/>
    <n v="0"/>
    <n v="0"/>
    <n v="0"/>
    <n v="0"/>
    <n v="0"/>
  </r>
  <r>
    <x v="3"/>
    <x v="3"/>
    <x v="7"/>
    <x v="7"/>
    <x v="67"/>
    <x v="38"/>
    <x v="185"/>
    <x v="154"/>
    <m/>
    <s v=""/>
    <m/>
    <m/>
    <m/>
    <m/>
    <m/>
    <m/>
    <m/>
    <m/>
    <m/>
    <m/>
    <s v="0"/>
    <s v="0"/>
    <s v="0"/>
    <s v="0"/>
    <s v="0"/>
    <n v="0"/>
    <n v="0"/>
    <n v="0"/>
    <n v="0"/>
    <n v="0"/>
    <n v="0"/>
    <n v="0"/>
    <n v="1"/>
    <n v="0"/>
    <n v="0"/>
    <n v="1"/>
    <n v="0"/>
    <n v="0"/>
    <n v="0"/>
    <n v="0"/>
    <s v="Type B Construction_x000a_2BC-MRY1416"/>
    <m/>
    <n v="2014"/>
    <s v="Direct "/>
    <m/>
    <m/>
    <m/>
    <m/>
    <m/>
    <m/>
    <m/>
    <m/>
    <m/>
    <m/>
    <n v="0"/>
    <m/>
    <n v="0"/>
    <n v="0"/>
    <n v="0"/>
    <n v="0"/>
    <n v="0"/>
    <n v="0"/>
    <n v="0"/>
    <n v="0"/>
  </r>
  <r>
    <x v="3"/>
    <x v="3"/>
    <x v="7"/>
    <x v="7"/>
    <x v="70"/>
    <x v="39"/>
    <x v="186"/>
    <x v="155"/>
    <m/>
    <s v=""/>
    <m/>
    <m/>
    <m/>
    <m/>
    <m/>
    <m/>
    <m/>
    <m/>
    <m/>
    <m/>
    <s v="0"/>
    <s v="0"/>
    <s v="0"/>
    <s v="0"/>
    <s v="0"/>
    <n v="0"/>
    <n v="0"/>
    <n v="0"/>
    <n v="0"/>
    <n v="0"/>
    <n v="0"/>
    <n v="0"/>
    <n v="1"/>
    <n v="0"/>
    <n v="0"/>
    <n v="1"/>
    <n v="0"/>
    <n v="0"/>
    <n v="0"/>
    <n v="0"/>
    <s v="Type B Construction_x000a_2BC-MRY1416"/>
    <m/>
    <n v="2014"/>
    <s v="Direct "/>
    <m/>
    <m/>
    <m/>
    <m/>
    <m/>
    <m/>
    <m/>
    <m/>
    <m/>
    <m/>
    <n v="0"/>
    <m/>
    <n v="0"/>
    <n v="0"/>
    <n v="0"/>
    <n v="0"/>
    <n v="0"/>
    <n v="0"/>
    <n v="0"/>
    <n v="0"/>
  </r>
  <r>
    <x v="3"/>
    <x v="3"/>
    <x v="7"/>
    <x v="7"/>
    <x v="70"/>
    <x v="39"/>
    <x v="187"/>
    <x v="156"/>
    <m/>
    <s v=""/>
    <m/>
    <m/>
    <m/>
    <m/>
    <m/>
    <m/>
    <m/>
    <m/>
    <m/>
    <m/>
    <s v="0"/>
    <s v="0"/>
    <s v="0"/>
    <s v="0"/>
    <s v="0"/>
    <n v="0"/>
    <n v="0"/>
    <n v="0"/>
    <n v="0"/>
    <n v="0"/>
    <n v="0"/>
    <n v="0"/>
    <n v="1"/>
    <n v="0"/>
    <n v="0"/>
    <n v="1"/>
    <n v="0"/>
    <n v="0"/>
    <n v="0"/>
    <n v="0"/>
    <s v="Type B Construction_x000a_2BC-MRY1416"/>
    <m/>
    <n v="2014"/>
    <s v="Direct "/>
    <m/>
    <m/>
    <m/>
    <m/>
    <m/>
    <m/>
    <m/>
    <m/>
    <m/>
    <m/>
    <n v="0"/>
    <m/>
    <n v="0"/>
    <n v="0"/>
    <n v="0"/>
    <n v="0"/>
    <n v="0"/>
    <n v="0"/>
    <n v="0"/>
    <n v="0"/>
  </r>
  <r>
    <x v="3"/>
    <x v="3"/>
    <x v="24"/>
    <x v="15"/>
    <x v="76"/>
    <x v="40"/>
    <x v="188"/>
    <x v="157"/>
    <s v="1386"/>
    <s v="MO-"/>
    <s v="O2"/>
    <s v="Medium Mobile Equipment"/>
    <s v="O2"/>
    <s v="Mobile Equipment"/>
    <s v="Medium Mobile Equipment"/>
    <s v="Dozer"/>
    <s v="MOBILE EQUIPMENT  - TRACK DOZER  - CAT D6T XW  _x000a_L: 4674, W: 2000, H: 2900, 9250 kg"/>
    <s v="7340-MO-001"/>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4"/>
    <x v="15"/>
    <x v="76"/>
    <x v="40"/>
    <x v="188"/>
    <x v="157"/>
    <s v="1387"/>
    <s v="MO-"/>
    <s v="O2"/>
    <s v="Medium Mobile Equipment"/>
    <s v="O2"/>
    <s v="Mobile Equipment"/>
    <s v="Medium Mobile Equipment"/>
    <s v="Dozer"/>
    <s v="MOBILE EQUIPMENT  - TRACK DOZER  - CAT D6T XW  _x000a_L: 4674, W: 2000, H: 2900, 9250 kg"/>
    <s v="7340-MO-002"/>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4"/>
    <x v="15"/>
    <x v="76"/>
    <x v="40"/>
    <x v="188"/>
    <x v="157"/>
    <s v="1388"/>
    <s v="MO-"/>
    <s v="O2"/>
    <s v="Medium Mobile Equipment"/>
    <s v="O2"/>
    <s v="Mobile Equipment"/>
    <s v="Medium Mobile Equipment"/>
    <s v="Dozer"/>
    <s v="MOBILE EQUIPMENT  - TRACK DOZER  - CAT D6T XW  _x000a_L: 4674, W: 2000, H: 2900, 9250 kg"/>
    <s v="7340-MO-003"/>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4"/>
    <x v="15"/>
    <x v="76"/>
    <x v="40"/>
    <x v="188"/>
    <x v="157"/>
    <s v="1389"/>
    <s v="MO-"/>
    <s v="O3"/>
    <s v="Heavy Mobile Equipment"/>
    <s v="O3"/>
    <s v="Mobile Equipment"/>
    <s v="Heavy Mobile Equipment"/>
    <s v="45 MT"/>
    <s v="MOBILE EQUIPMENT  - MID SIZE EXCAVATOR  - CAT 345DL HEX  _x000a_L: 11910, W: 3490, H: 3770, 45000 kg"/>
    <s v="7340-MO-004"/>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4"/>
    <x v="15"/>
    <x v="76"/>
    <x v="40"/>
    <x v="188"/>
    <x v="157"/>
    <s v="1390"/>
    <s v="MO-"/>
    <s v="O2"/>
    <s v="Medium Mobile Equipment"/>
    <s v="O2"/>
    <s v="Mobile Equipment"/>
    <s v="Medium Mobile Equipment"/>
    <s v="COMPACTOR"/>
    <s v="MOBILE EQUIPMENT  - COMPACTOR  - CAT CS74  _x000a_L: 5970, W: 2300, H: 3070, 15650 kg"/>
    <s v="7340-MO-014"/>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4"/>
    <x v="15"/>
    <x v="76"/>
    <x v="40"/>
    <x v="188"/>
    <x v="157"/>
    <s v="1391"/>
    <s v="MO-"/>
    <s v="O2"/>
    <s v="Medium Mobile Equipment"/>
    <s v="O2"/>
    <s v="Mobile Equipment"/>
    <s v="Medium Mobile Equipment"/>
    <s v="COMPACTOR"/>
    <s v="MOBILE EQUIPMENT  - COMPACTOR  - CAT CP563E  _x000a_L: 5970, W: 2300, H: 3070, 15650 kg"/>
    <s v="7340-MO-015"/>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4"/>
    <x v="15"/>
    <x v="76"/>
    <x v="40"/>
    <x v="188"/>
    <x v="157"/>
    <s v="1392"/>
    <s v="MO-"/>
    <s v="O3"/>
    <s v="Heavy Mobile Equipment"/>
    <s v="O3"/>
    <s v="Mobile Equipment"/>
    <s v="Heavy Mobile Equipment"/>
    <s v="FEL"/>
    <s v="MOBILE EQUIPMENT  - ROAD SNOW BLOWER  - CAT 950H  _x000a_L: 6170 _x000a_W: 2410, H: 3320, 18338 kg"/>
    <s v="7340-MO-016"/>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4"/>
    <x v="15"/>
    <x v="76"/>
    <x v="40"/>
    <x v="188"/>
    <x v="157"/>
    <s v="1393"/>
    <s v="MO-"/>
    <s v="O3"/>
    <s v="Heavy Mobile Equipment"/>
    <s v="O3"/>
    <s v="Mobile Equipment"/>
    <s v="Heavy Mobile Equipment"/>
    <s v="FEL"/>
    <s v="MOBILE EQUIPMENT  - ROAD SNOW BLOWER  - CAT 950H  _x000a_L: 6170 _x000a_W: 2410, H: 3320, 18338 kg"/>
    <s v="7340-MO-017"/>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63"/>
    <x v="8"/>
    <x v="189"/>
    <x v="140"/>
    <m/>
    <s v=""/>
    <m/>
    <m/>
    <m/>
    <m/>
    <m/>
    <m/>
    <m/>
    <m/>
    <m/>
    <m/>
    <s v="0"/>
    <s v="0"/>
    <s v="0"/>
    <s v="0"/>
    <s v="0"/>
    <n v="0"/>
    <n v="0"/>
    <n v="0"/>
    <n v="0"/>
    <n v="0"/>
    <n v="0"/>
    <n v="0"/>
    <n v="1"/>
    <n v="0"/>
    <m/>
    <m/>
    <n v="0"/>
    <n v="0"/>
    <m/>
    <m/>
    <s v="Type A  _x000a_2AM-MRY1325"/>
    <m/>
    <n v="2014"/>
    <s v="Direct "/>
    <m/>
    <m/>
    <m/>
    <m/>
    <m/>
    <m/>
    <m/>
    <m/>
    <m/>
    <m/>
    <n v="0"/>
    <m/>
    <n v="0"/>
    <n v="0"/>
    <n v="0"/>
    <n v="0"/>
    <n v="0"/>
    <n v="0"/>
    <n v="0"/>
    <n v="0"/>
  </r>
  <r>
    <x v="3"/>
    <x v="3"/>
    <x v="22"/>
    <x v="13"/>
    <x v="63"/>
    <x v="8"/>
    <x v="142"/>
    <x v="127"/>
    <m/>
    <s v=""/>
    <m/>
    <m/>
    <m/>
    <m/>
    <m/>
    <m/>
    <m/>
    <m/>
    <m/>
    <m/>
    <s v="0"/>
    <s v="0"/>
    <s v="0"/>
    <s v="0"/>
    <s v="0"/>
    <n v="0"/>
    <n v="0"/>
    <n v="0"/>
    <n v="0"/>
    <n v="0"/>
    <n v="0"/>
    <n v="0"/>
    <n v="1"/>
    <n v="0"/>
    <m/>
    <m/>
    <n v="0"/>
    <n v="0"/>
    <m/>
    <m/>
    <s v="Type A  _x000a_2AM-MRY1325"/>
    <m/>
    <n v="2014"/>
    <s v="Direct "/>
    <m/>
    <m/>
    <m/>
    <m/>
    <m/>
    <m/>
    <m/>
    <m/>
    <m/>
    <m/>
    <n v="0"/>
    <m/>
    <n v="0"/>
    <n v="0"/>
    <n v="0"/>
    <n v="0"/>
    <n v="0"/>
    <n v="0"/>
    <n v="0"/>
    <n v="0"/>
  </r>
  <r>
    <x v="3"/>
    <x v="3"/>
    <x v="22"/>
    <x v="13"/>
    <x v="72"/>
    <x v="40"/>
    <x v="190"/>
    <x v="150"/>
    <s v="1446"/>
    <s v="MO-"/>
    <s v="O3"/>
    <s v="Heavy Mobile Equipment"/>
    <s v="O3"/>
    <s v="Mobile Equipment"/>
    <s v="Heavy Mobile Equipment"/>
    <s v="Grader size"/>
    <s v="MOBILE EQUIPMENT  - FUEL/LUBE TRUCK - ARTICULATED  - CAT 740 EFLT  "/>
    <s v="7441-MO-008"/>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0"/>
    <x v="150"/>
    <s v="1447"/>
    <s v="MO-"/>
    <s v="O1"/>
    <s v="Light Mobile Equipment"/>
    <s v="O1"/>
    <s v="Mobile Equipment"/>
    <s v="Light Mobile Equipment"/>
    <s v="Cube Van"/>
    <s v="MOBILE EQUIPMENT  - CUBE VAN  - FORD F550  "/>
    <s v="7441-MO-025"/>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48"/>
    <s v="MO-"/>
    <s v="O3"/>
    <s v="Heavy Mobile Equipment"/>
    <s v="O3"/>
    <s v="Mobile Equipment"/>
    <s v="Heavy Mobile Equipment"/>
    <s v="Haul Truck"/>
    <s v="MOBILE EQUIPMENT  - ARTICULATED HAUL TRUCK  - CAT 740B  _x000a_L: 10889, W: 3430, H: 3745, 34000 kg"/>
    <s v="7443-MO-001"/>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49"/>
    <s v="MO-"/>
    <s v="O3"/>
    <s v="Heavy Mobile Equipment"/>
    <s v="O3"/>
    <s v="Mobile Equipment"/>
    <s v="Heavy Mobile Equipment"/>
    <s v="Haul Truck"/>
    <s v="MOBILE EQUIPMENT  - ARTICULATED HAUL TRUCK  - CAT 740B  _x000a_L: 10889, W: 3430, H: 3745, 34000 kg"/>
    <s v="7443-MO-002"/>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0"/>
    <s v="MO-"/>
    <s v="O3"/>
    <s v="Heavy Mobile Equipment"/>
    <s v="O3"/>
    <s v="Mobile Equipment"/>
    <s v="Heavy Mobile Equipment"/>
    <s v="Haul Truck"/>
    <s v="MOBILE EQUIPMENT  - ARTICULATED HAUL TRUCK  - CAT 740B  _x000a_L: 10889, W: 3430, H: 3745, 34000 kg"/>
    <s v="7443-MO-003"/>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1"/>
    <s v="MO-"/>
    <s v="O3"/>
    <s v="Heavy Mobile Equipment"/>
    <s v="O3"/>
    <s v="Mobile Equipment"/>
    <s v="Heavy Mobile Equipment"/>
    <s v="Haul Truck"/>
    <s v="MOBILE EQUIPMENT  - ARTICULATED HAUL TRUCK  - CAT 740B  _x000a_L: 10889, W: 3430, H: 3745, 34000 kg"/>
    <s v="7443-MO-004"/>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2"/>
    <s v="MO-"/>
    <s v="O3"/>
    <s v="Heavy Mobile Equipment"/>
    <s v="O3"/>
    <s v="Mobile Equipment"/>
    <s v="Heavy Mobile Equipment"/>
    <s v="Haul Truck"/>
    <s v="MOBILE EQUIPMENT  - ARTICULATED HAUL TRUCK  - CAT 740B  _x000a_L: 10889, W: 3430, H: 3745, 34000 kg"/>
    <s v="7443-MO-005"/>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3"/>
    <s v="MO-"/>
    <s v="O3"/>
    <s v="Heavy Mobile Equipment"/>
    <s v="O3"/>
    <s v="Mobile Equipment"/>
    <s v="Heavy Mobile Equipment"/>
    <s v="Haul Truck"/>
    <s v="MOBILE EQUIPMENT  - ARTICULATED HAUL TRUCK  - CAT 740B  _x000a_L: 10889, W: 3430, H: 3745, 34000 kg"/>
    <s v="7443-MO-006"/>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4"/>
    <s v="MO-"/>
    <s v="O3"/>
    <s v="Heavy Mobile Equipment"/>
    <s v="O3"/>
    <s v="Mobile Equipment"/>
    <s v="Heavy Mobile Equipment"/>
    <s v="Haul Truck"/>
    <s v="MOBILE EQUIPMENT  - ARTICULATED HAUL TRUCK  - CAT 740B  _x000a_L: 10889, W: 3430, H: 3745, 34000 kg"/>
    <s v="7443-MO-007"/>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5"/>
    <s v="MO-"/>
    <s v="O3"/>
    <s v="Heavy Mobile Equipment"/>
    <s v="O3"/>
    <s v="Mobile Equipment"/>
    <s v="Heavy Mobile Equipment"/>
    <s v="Haul Truck"/>
    <s v="MOBILE EQUIPMENT  - ARTICULATED HAUL TRUCK  - CAT 740B  _x000a_L: 10889, W: 3430, H: 3745, 34000 kg"/>
    <s v="7443-MO-008"/>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6"/>
    <s v="MO-"/>
    <s v="O3"/>
    <s v="Heavy Mobile Equipment"/>
    <s v="O3"/>
    <s v="Mobile Equipment"/>
    <s v="Heavy Mobile Equipment"/>
    <s v="Haul Truck"/>
    <s v="MOBILE EQUIPMENT  - ARTICULATED HAUL TRUCK  - CAT 740B  _x000a_L: 10889, W: 3430, H: 3745, 34000 kg"/>
    <s v="7443-MO-009"/>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7"/>
    <s v="MO-"/>
    <s v="O3"/>
    <s v="Heavy Mobile Equipment"/>
    <s v="O3"/>
    <s v="Mobile Equipment"/>
    <s v="Heavy Mobile Equipment"/>
    <s v="Haul Truck"/>
    <s v="MOBILE EQUIPMENT  - ARTICULATED HAUL TRUCK  - CAT 740B  _x000a_L: 10889, W: 3430, H: 3745, 34000 kg"/>
    <s v="7443-MO-010"/>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8"/>
    <s v="MO-"/>
    <s v="O3"/>
    <s v="Heavy Mobile Equipment"/>
    <s v="O3"/>
    <s v="Mobile Equipment"/>
    <s v="Heavy Mobile Equipment"/>
    <s v=" CAT 988H"/>
    <s v="MOBILE EQUIPMENT  - FRONT END LOADER  - CAT 988H    _x000a_L: 10390, W: 3600, H: 4115, 43400 kg"/>
    <s v="7443-MO-011"/>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59"/>
    <s v="MO-"/>
    <s v="O3"/>
    <s v="Heavy Mobile Equipment"/>
    <s v="O3"/>
    <s v="Mobile Equipment"/>
    <s v="Heavy Mobile Equipment"/>
    <s v=" CAT 988H"/>
    <s v="MOBILE EQUIPMENT  - FRONT END LOADER  - CAT 988H    _x000a_L: 10390, W: 3600, H: 4115, 43400 kg"/>
    <s v="7443-MO-012"/>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0"/>
    <s v="MO-"/>
    <s v="O1"/>
    <s v="Light Mobile Equipment"/>
    <s v="O1"/>
    <s v="Mobile Equipment"/>
    <s v="Light Mobile Equipment"/>
    <s v="Compressor"/>
    <s v="MOBILE EQUIPMENT  - MID SIZE AIR COMPRESSOR  - ATLAS COPCO "/>
    <s v="7443-MO-014"/>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1"/>
    <s v="MO-"/>
    <s v="O2"/>
    <s v="Medium Mobile Equipment"/>
    <s v="O2"/>
    <s v="Mobile Equipment"/>
    <s v="Medium Mobile Equipment"/>
    <s v="Large Compressor"/>
    <s v="MOBILE EQUIPMENT  - LARGE AIR COMPRESSOR  - ATLAS COPCO "/>
    <s v="7443-MO-015"/>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2"/>
    <s v="MO-"/>
    <s v="O1"/>
    <s v="Light Mobile Equipment"/>
    <s v="O1"/>
    <s v="Mobile Equipment"/>
    <s v="Light Mobile Equipment"/>
    <s v="Pump"/>
    <s v="MOBILE EQUIPMENT  - TRASH PUMP  - GORMAN-RUPP 13D-L700EE S/G  L: 711.2, W: 533.4, H: 621.7, 54 kg"/>
    <s v="7443-MO-01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3"/>
    <s v="MO-"/>
    <s v="O1"/>
    <s v="Light Mobile Equipment"/>
    <s v="O1"/>
    <s v="Mobile Equipment"/>
    <s v="Light Mobile Equipment"/>
    <s v="Lights"/>
    <s v="MOBILE EQUIPMENT  - MOBILE LIGHT PLANT  - TEREX AL4   _x000a_L: 4623, W: 2007, H: 9000, 925 kg"/>
    <s v="7443-MO-01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4"/>
    <s v="MO-"/>
    <s v="O1"/>
    <s v="Light Mobile Equipment"/>
    <s v="O1"/>
    <s v="Mobile Equipment"/>
    <s v="Light Mobile Equipment"/>
    <s v="Lights"/>
    <s v="MOBILE EQUIPMENT  - MOBILE LIGHT PLANT  - TEREX AL4   _x000a_L: 4623, W: 2007, H: 9000, 925 kg"/>
    <s v="7443-MO-018"/>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5"/>
    <s v="MO-"/>
    <s v="O1"/>
    <s v="Light Mobile Equipment"/>
    <s v="O1"/>
    <s v="Mobile Equipment"/>
    <s v="Light Mobile Equipment"/>
    <s v="Lights"/>
    <s v="MOBILE EQUIPMENT  - MOBILE LIGHT PLANT  - TEREX AL4   _x000a_L: 4623, W: 2007, H: 9000, 925 kg"/>
    <s v="7443-MO-019"/>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6"/>
    <s v="MO-"/>
    <s v="O1"/>
    <s v="Light Mobile Equipment"/>
    <s v="O1"/>
    <s v="Mobile Equipment"/>
    <s v="Light Mobile Equipment"/>
    <s v="Lights"/>
    <s v="MOBILE EQUIPMENT  - MOBILE LIGHT PLANT  - TEREX AL4   _x000a_L: 4623, W: 2007, H: 9000, 925 kg"/>
    <s v="7443-MO-020"/>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7"/>
    <s v="MO-"/>
    <s v="O1"/>
    <s v="Light Mobile Equipment"/>
    <s v="O1"/>
    <s v="Mobile Equipment"/>
    <s v="Light Mobile Equipment"/>
    <s v="Lights"/>
    <s v="MOBILE EQUIPMENT  - MOBILE LIGHT PLANT  - TEREX AL4   _x000a_L: 4623, W: 2007, H: 9000, 925 kg"/>
    <s v="7443-MO-02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8"/>
    <s v="MO-"/>
    <s v="O2"/>
    <s v="Medium Mobile Equipment"/>
    <s v="O2"/>
    <s v="Mobile Equipment"/>
    <s v="Medium Mobile Equipment"/>
    <s v="FEL"/>
    <s v="MOBILE EQUIPMENT  - FRONT END LOADER  - CAT 930K    _x000a_L: 6050, W: 2390, H: 3150, 9600 kg"/>
    <s v="7443-MO-022"/>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69"/>
    <s v="MO-"/>
    <s v="O2"/>
    <s v="Medium Mobile Equipment"/>
    <s v="O2"/>
    <s v="Mobile Equipment"/>
    <s v="Medium Mobile Equipment"/>
    <s v="Telehandler"/>
    <s v="MOBILE EQUIPMENT  - TELEHANDLER  - CAT TH514  _x000a_L: 6100, W: 2570, H: 2570, 15800 kg"/>
    <s v="7443-MO-023"/>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0"/>
    <s v="MO-"/>
    <s v="O1"/>
    <s v="Light Mobile Equipment"/>
    <s v="O1"/>
    <s v="Mobile Equipment"/>
    <s v="Light Mobile Equipment"/>
    <s v="Frost Fighter"/>
    <s v="MOBILE EQUIPMENT  - FROST FIGHTER  - FROSTFIGHTER IDF350-11  "/>
    <s v="7443-MO-024"/>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1"/>
    <s v="MO-"/>
    <s v="O1"/>
    <s v="Light Mobile Equipment"/>
    <s v="O1"/>
    <s v="Mobile Equipment"/>
    <s v="Light Mobile Equipment"/>
    <s v="Frost Fighter"/>
    <s v="MOBILE EQUIPMENT  - FROST FIGHTER  - FROSTFIGHTER IDF350-11  "/>
    <s v="7443-MO-025"/>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2"/>
    <s v="MO-"/>
    <s v="O1"/>
    <s v="Light Mobile Equipment"/>
    <s v="O1"/>
    <s v="Mobile Equipment"/>
    <s v="Light Mobile Equipment"/>
    <s v="Frost Fighter"/>
    <s v="MOBILE EQUIPMENT  - FROST FIGHTER  - FROSTFIGHTER IDF350-11  "/>
    <s v="7443-MO-02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3"/>
    <s v="MO-"/>
    <s v="O1"/>
    <s v="Light Mobile Equipment"/>
    <s v="O1"/>
    <s v="Mobile Equipment"/>
    <s v="Light Mobile Equipment"/>
    <s v="Frost Fighter"/>
    <s v="MOBILE EQUIPMENT  - FROST FIGHTER  - FROSTFIGHTER IDF350-11  "/>
    <s v="7443-MO-02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4"/>
    <s v="MO-"/>
    <s v="O1"/>
    <s v="Light Mobile Equipment"/>
    <s v="O1"/>
    <s v="Mobile Equipment"/>
    <s v="Light Mobile Equipment"/>
    <s v="Frost Fighter"/>
    <s v="MOBILE EQUIPMENT  - FROST FIGHTER  - FROSTFIGHTER IDF350-11  "/>
    <s v="7443-MO-028"/>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5"/>
    <s v="MO-"/>
    <s v="O1"/>
    <s v="Light Mobile Equipment"/>
    <s v="O1"/>
    <s v="Mobile Equipment"/>
    <s v="Light Mobile Equipment"/>
    <s v="Frost Fighter"/>
    <s v="MOBILE EQUIPMENT  - FROST FIGHTER  - FROSTFIGHTER IDF350-11  "/>
    <s v="7443-MO-029"/>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6"/>
    <s v="MO-"/>
    <s v="O1"/>
    <s v="Light Mobile Equipment"/>
    <s v="O1"/>
    <s v="Mobile Equipment"/>
    <s v="Light Mobile Equipment"/>
    <s v="Frost Fighter"/>
    <s v="MOBILE EQUIPMENT  - FROST FIGHTER  - FROSTFIGHTER IDF350-11  "/>
    <s v="7443-MO-030"/>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7"/>
    <s v="MO-"/>
    <s v="O1"/>
    <s v="Light Mobile Equipment"/>
    <s v="O1"/>
    <s v="Mobile Equipment"/>
    <s v="Light Mobile Equipment"/>
    <s v="Frost Fighter"/>
    <s v="MOBILE EQUIPMENT  - FROST FIGHTER  - FROSTFIGHTER IDF350-11  "/>
    <s v="7443-MO-03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8"/>
    <s v="MO-"/>
    <s v="O1"/>
    <s v="Light Mobile Equipment"/>
    <s v="O1"/>
    <s v="Mobile Equipment"/>
    <s v="Light Mobile Equipment"/>
    <s v="Frost Fighter"/>
    <s v="MOBILE EQUIPMENT  - FROST FIGHTER  - FROSTFIGHTER IDF350-11  "/>
    <s v="7443-MO-032"/>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79"/>
    <s v="MO-"/>
    <s v="O1"/>
    <s v="Light Mobile Equipment"/>
    <s v="O1"/>
    <s v="Mobile Equipment"/>
    <s v="Light Mobile Equipment"/>
    <s v="Frost Fighter"/>
    <s v="MOBILE EQUIPMENT  - FROST FIGHTER  - FROSTFIGHTER IDF350-11  "/>
    <s v="7443-MO-03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0"/>
    <s v="MO-"/>
    <s v="O1"/>
    <s v="Light Mobile Equipment"/>
    <s v="O1"/>
    <s v="Mobile Equipment"/>
    <s v="Light Mobile Equipment"/>
    <s v="Frost Fighter"/>
    <s v="MOBILE EQUIPMENT  - FROST FIGHTER  - FROSTFIGHTER IDF350-11  "/>
    <s v="7443-MO-034"/>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1"/>
    <s v="MO-"/>
    <s v="O1"/>
    <s v="Light Mobile Equipment"/>
    <s v="O1"/>
    <s v="Mobile Equipment"/>
    <s v="Light Mobile Equipment"/>
    <s v="Frost Fighter"/>
    <s v="MOBILE EQUIPMENT  - FROST FIGHTER  - FROSTFIGHTER IDF350-11  "/>
    <s v="7443-MO-035"/>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2"/>
    <s v="MO-"/>
    <s v="O1"/>
    <s v="Light Mobile Equipment"/>
    <s v="O1"/>
    <s v="Mobile Equipment"/>
    <s v="Light Mobile Equipment"/>
    <s v="Frost Fighter"/>
    <s v="MOBILE EQUIPMENT  - FROST FIGHTER  - FROSTFIGHTER IDF350-11  "/>
    <s v="7443-MO-03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3"/>
    <s v="MO-"/>
    <s v="O1"/>
    <s v="Light Mobile Equipment"/>
    <s v="O1"/>
    <s v="Mobile Equipment"/>
    <s v="Light Mobile Equipment"/>
    <s v="Frost Fighter"/>
    <s v="MOBILE EQUIPMENT  - FROST FIGHTER  - FROSTFIGHTER IDF350-11  "/>
    <s v="7443-MO-03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4"/>
    <s v="MO-"/>
    <s v="O1"/>
    <s v="Light Mobile Equipment"/>
    <s v="O1"/>
    <s v="Mobile Equipment"/>
    <s v="Light Mobile Equipment"/>
    <s v="Frost Fighter"/>
    <s v="MOBILE EQUIPMENT  - FROST FIGHTER  - FROSTFIGHTER IDF350-11  "/>
    <s v="7443-MO-038"/>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5"/>
    <s v="MO-"/>
    <s v="O1"/>
    <s v="Light Mobile Equipment"/>
    <s v="O1"/>
    <s v="Mobile Equipment"/>
    <s v="Light Mobile Equipment"/>
    <s v="Trailer"/>
    <s v="MOBILE EQUIPMENT  - LOWBOY TRAILER   L: 16050, W: 2438 "/>
    <s v="7443-MO-051"/>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6"/>
    <s v="MO-"/>
    <s v="O1"/>
    <s v="Light Mobile Equipment"/>
    <s v="O1"/>
    <s v="Mobile Equipment"/>
    <s v="Light Mobile Equipment"/>
    <s v="Trailer"/>
    <s v="MOBILE EQUIPMENT  - HIBOY TRAILER  _x000a_L: 14630, W: 2438 "/>
    <s v="7443-MO-052"/>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7"/>
    <s v="MO-"/>
    <s v="O2"/>
    <s v="Medium Mobile Equipment"/>
    <s v="O2"/>
    <s v="Mobile Equipment"/>
    <s v="Medium Mobile Equipment"/>
    <s v="Sandvik Drill"/>
    <s v="MOBILE EQUIPMENT  - SECONDARY DRILL  - SANDVIK 800  "/>
    <s v="7443-MO-053"/>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2"/>
    <x v="13"/>
    <x v="72"/>
    <x v="40"/>
    <x v="191"/>
    <x v="152"/>
    <s v="1488"/>
    <s v="MO-"/>
    <s v="O2"/>
    <s v="Medium Mobile Equipment"/>
    <s v="O2"/>
    <s v="Mobile Equipment"/>
    <s v="Medium Mobile Equipment"/>
    <s v="Sandvik Drill"/>
    <s v="MOBILE EQUIPMENT  - SECONDARY DRILL  - SANDVIK 800  "/>
    <s v="7443-MO-054"/>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02"/>
    <s v="MO-"/>
    <s v="O1"/>
    <s v="Light Mobile Equipment"/>
    <s v="O1"/>
    <s v="Mobile Equipment"/>
    <s v="Light Mobile Equipment"/>
    <s v="Man Lift"/>
    <s v="MOBILE EQUIPMENT  - MAN LIFT  - GENIE Z45/25  "/>
    <s v="7445-MO-002"/>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03"/>
    <s v="MO-"/>
    <s v="O1"/>
    <s v="Light Mobile Equipment"/>
    <s v="O1"/>
    <s v="Mobile Equipment"/>
    <s v="Light Mobile Equipment"/>
    <s v="Man Lift"/>
    <s v="MOBILE EQUIPMENT  - MAN LIFT  - GENIE Z45/25  "/>
    <s v="7445-MO-00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04"/>
    <s v="MO-"/>
    <s v="O1"/>
    <s v="Light Mobile Equipment"/>
    <s v="O1"/>
    <s v="Mobile Equipment"/>
    <s v="Light Mobile Equipment"/>
    <s v="Man Lift"/>
    <s v="MOBILE EQUIPMENT  - SCISSOR LIFT  - SKYJACK 8841  _x000a_L: 3500, W: 2200, H: 2900 4917 kg"/>
    <s v="7445-MO-006"/>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05"/>
    <s v="MO-"/>
    <s v="O1"/>
    <s v="Light Mobile Equipment"/>
    <s v="O1"/>
    <s v="Mobile Equipment"/>
    <s v="Light Mobile Equipment"/>
    <s v="Man Lift"/>
    <s v="MOBILE EQUIPMENT  - SCISSOR LIFT  - SKYJACK 8841  _x000a_L: 3500, W: 2200, H: 2900 4917 kg"/>
    <s v="7445-MO-007"/>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06"/>
    <s v="MO-"/>
    <s v="O1"/>
    <s v="Light Mobile Equipment"/>
    <s v="O1"/>
    <s v="Mobile Equipment"/>
    <s v="Light Mobile Equipment"/>
    <s v="Man Lift"/>
    <s v="MOBILE EQUIPMENT  - SCISSOR LIFT  - SKYJACK 8841  _x000a_L: 3500, W: 2200, H: 2900 4917 kg"/>
    <s v="7445-MO-008"/>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07"/>
    <s v="MO-"/>
    <s v="O3"/>
    <s v="Heavy Mobile Equipment"/>
    <s v="O3"/>
    <s v="Mobile Equipment"/>
    <s v="Heavy Mobile Equipment"/>
    <s v="Large Crane"/>
    <s v="MOBILE EQUIPMENT - MAINTENANCE CRANE  - MANITOWOC 2250 L: 12900, W: 7910, H: 3640, 113000 kg"/>
    <s v="7445-MO-009"/>
    <m/>
    <s v="ea"/>
    <n v="13"/>
    <n v="120"/>
    <n v="1298.8739523809525"/>
    <n v="1200"/>
    <n v="2618.8739523809527"/>
    <n v="0"/>
    <n v="0"/>
    <n v="0"/>
    <n v="0"/>
    <n v="0"/>
    <n v="96"/>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08"/>
    <s v="MO-"/>
    <s v="O2"/>
    <s v="Medium Mobile Equipment"/>
    <s v="O2"/>
    <s v="Mobile Equipment"/>
    <s v="Medium Mobile Equipment"/>
    <s v="Boom truck"/>
    <s v="MOBILE EQUIPMENT  - BOOM TRUCK  - MANITEX 26101C  "/>
    <s v="7445-MO-012"/>
    <m/>
    <s v="ea"/>
    <n v="10"/>
    <n v="45"/>
    <n v="999.13380952380965"/>
    <n v="450"/>
    <n v="1494.1338095238098"/>
    <n v="0"/>
    <n v="0"/>
    <n v="0"/>
    <n v="0"/>
    <n v="0"/>
    <n v="24"/>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09"/>
    <s v="MO-"/>
    <s v="O1"/>
    <s v="Light Mobile Equipment"/>
    <s v="O1"/>
    <s v="Mobile Equipment"/>
    <s v="Light Mobile Equipment"/>
    <s v="Pick up"/>
    <s v="MOBILE EQUIPMENT  - WAREHOUSE FREIGHT DELIVERY FLAT DECK TRUCKS - FORD F550  L: 7264, W: 2418, H: 2022, 3311 kg"/>
    <s v="7445-MO-013"/>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72"/>
    <x v="40"/>
    <x v="192"/>
    <x v="153"/>
    <s v="1510"/>
    <s v="MO-"/>
    <s v="O1"/>
    <s v="Light Mobile Equipment"/>
    <s v="O1"/>
    <s v="Mobile Equipment"/>
    <s v="Light Mobile Equipment"/>
    <s v="Pick up"/>
    <s v="MOBILE EQUIPMENT  - WAREHOUSE FREIGHT DELIVERY FLAT DECK TRUCKS - FORD F550  L: 7264, W: 2418, H: 2022, 3311 kg"/>
    <s v="7445-MO-014"/>
    <m/>
    <s v="ea"/>
    <n v="6.666666666666667"/>
    <n v="25"/>
    <n v="666.08920634920639"/>
    <n v="250"/>
    <n v="941.08920634920639"/>
    <n v="0"/>
    <n v="0"/>
    <n v="0"/>
    <n v="0"/>
    <n v="0"/>
    <n v="4"/>
    <n v="0"/>
    <n v="1"/>
    <n v="0"/>
    <n v="0"/>
    <n v="1"/>
    <n v="0"/>
    <n v="0"/>
    <n v="0"/>
    <n v="0"/>
    <s v="Type A  _x000a_2AM-MRY1325"/>
    <s v="Removed"/>
    <n v="2014"/>
    <s v="Direct "/>
    <m/>
    <m/>
    <n v="0.33333333333333331"/>
    <m/>
    <n v="0.33333333333333331"/>
    <m/>
    <m/>
    <m/>
    <m/>
    <n v="0.33333333333333331"/>
    <n v="0"/>
    <m/>
    <n v="0"/>
    <n v="0"/>
    <n v="0"/>
    <n v="0"/>
    <n v="0"/>
    <n v="0"/>
    <n v="0"/>
    <n v="0"/>
  </r>
  <r>
    <x v="3"/>
    <x v="3"/>
    <x v="22"/>
    <x v="13"/>
    <x v="69"/>
    <x v="39"/>
    <x v="174"/>
    <x v="143"/>
    <m/>
    <m/>
    <s v="A3l"/>
    <s v="Grade &amp; Re-Contour with Liner"/>
    <s v="A3l"/>
    <s v="Site Works"/>
    <s v="Grade and Re-Contour With Liner"/>
    <m/>
    <s v="Polishing Waste Stabilization Pond (Existing)"/>
    <m/>
    <m/>
    <s v="m2"/>
    <n v="4.4489880937500004E-2"/>
    <n v="0.17804999999999999"/>
    <n v="4.4489880937499997"/>
    <n v="0.71454534577546303"/>
    <n v="5.3082953457754627"/>
    <n v="0"/>
    <n v="0"/>
    <n v="0"/>
    <n v="0"/>
    <n v="0"/>
    <n v="0"/>
    <n v="0"/>
    <n v="1"/>
    <n v="0"/>
    <n v="0"/>
    <n v="1"/>
    <n v="0"/>
    <n v="0"/>
    <n v="0"/>
    <n v="0"/>
    <s v="Type A  _x000a_2AM-MRY1325"/>
    <s v="Removed"/>
    <n v="2014"/>
    <s v="Direct "/>
    <m/>
    <m/>
    <n v="0.33333333333333331"/>
    <n v="0.33333333333333331"/>
    <n v="0.33333333333333331"/>
    <m/>
    <m/>
    <m/>
    <m/>
    <m/>
    <n v="0"/>
    <m/>
    <n v="0"/>
    <n v="0"/>
    <n v="0"/>
    <n v="0"/>
    <n v="0"/>
    <n v="0"/>
    <n v="0"/>
    <n v="0"/>
  </r>
  <r>
    <x v="3"/>
    <x v="3"/>
    <x v="22"/>
    <x v="13"/>
    <x v="69"/>
    <x v="39"/>
    <x v="193"/>
    <x v="155"/>
    <m/>
    <m/>
    <m/>
    <m/>
    <m/>
    <m/>
    <m/>
    <m/>
    <m/>
    <m/>
    <m/>
    <m/>
    <s v="0"/>
    <s v="0"/>
    <s v="0"/>
    <s v="0"/>
    <s v="0"/>
    <n v="0"/>
    <n v="0"/>
    <n v="0"/>
    <n v="0"/>
    <n v="0"/>
    <n v="0"/>
    <n v="0"/>
    <n v="1"/>
    <n v="0"/>
    <m/>
    <m/>
    <n v="0"/>
    <n v="0"/>
    <m/>
    <m/>
    <s v="Type A  _x000a_2AM-MRY1325"/>
    <m/>
    <n v="2014"/>
    <s v="Direct "/>
    <m/>
    <m/>
    <m/>
    <m/>
    <m/>
    <m/>
    <m/>
    <m/>
    <m/>
    <m/>
    <n v="0"/>
    <m/>
    <n v="0"/>
    <n v="0"/>
    <n v="0"/>
    <n v="0"/>
    <n v="0"/>
    <n v="0"/>
    <n v="0"/>
    <n v="0"/>
  </r>
  <r>
    <x v="3"/>
    <x v="3"/>
    <x v="22"/>
    <x v="13"/>
    <x v="69"/>
    <x v="39"/>
    <x v="194"/>
    <x v="156"/>
    <m/>
    <m/>
    <m/>
    <m/>
    <m/>
    <m/>
    <m/>
    <m/>
    <m/>
    <m/>
    <m/>
    <m/>
    <s v="0"/>
    <s v="0"/>
    <s v="0"/>
    <s v="0"/>
    <s v="0"/>
    <n v="0"/>
    <n v="0"/>
    <n v="0"/>
    <n v="0"/>
    <n v="0"/>
    <n v="0"/>
    <n v="0"/>
    <n v="1"/>
    <n v="0"/>
    <m/>
    <m/>
    <n v="0"/>
    <n v="0"/>
    <m/>
    <m/>
    <s v="Type A  _x000a_2AM-MRY1325"/>
    <m/>
    <n v="2014"/>
    <s v="Direct "/>
    <m/>
    <m/>
    <m/>
    <m/>
    <m/>
    <m/>
    <m/>
    <m/>
    <m/>
    <m/>
    <n v="0"/>
    <m/>
    <n v="0"/>
    <n v="0"/>
    <n v="0"/>
    <n v="0"/>
    <n v="0"/>
    <n v="0"/>
    <n v="0"/>
    <n v="0"/>
  </r>
  <r>
    <x v="3"/>
    <x v="3"/>
    <x v="22"/>
    <x v="13"/>
    <x v="77"/>
    <x v="43"/>
    <x v="195"/>
    <x v="158"/>
    <m/>
    <m/>
    <m/>
    <m/>
    <m/>
    <m/>
    <m/>
    <m/>
    <m/>
    <m/>
    <m/>
    <m/>
    <s v="0"/>
    <s v="0"/>
    <s v="0"/>
    <s v="0"/>
    <s v="0"/>
    <n v="0"/>
    <n v="0"/>
    <n v="0"/>
    <n v="0"/>
    <n v="0"/>
    <n v="0"/>
    <n v="0"/>
    <n v="1"/>
    <n v="0"/>
    <m/>
    <m/>
    <n v="0"/>
    <n v="0"/>
    <m/>
    <m/>
    <s v="Type A  _x000a_2AM-MRY1325"/>
    <m/>
    <n v="2014"/>
    <s v="Direct "/>
    <m/>
    <m/>
    <m/>
    <m/>
    <m/>
    <m/>
    <m/>
    <m/>
    <m/>
    <m/>
    <n v="0"/>
    <m/>
    <n v="0"/>
    <n v="0"/>
    <n v="0"/>
    <n v="0"/>
    <n v="0"/>
    <n v="0"/>
    <n v="0"/>
    <n v="0"/>
  </r>
  <r>
    <x v="3"/>
    <x v="3"/>
    <x v="22"/>
    <x v="13"/>
    <x v="77"/>
    <x v="43"/>
    <x v="196"/>
    <x v="159"/>
    <m/>
    <m/>
    <m/>
    <m/>
    <m/>
    <m/>
    <m/>
    <m/>
    <m/>
    <m/>
    <m/>
    <m/>
    <s v="0"/>
    <s v="0"/>
    <s v="0"/>
    <s v="0"/>
    <s v="0"/>
    <n v="0"/>
    <n v="0"/>
    <n v="0"/>
    <n v="0"/>
    <n v="0"/>
    <n v="0"/>
    <n v="0"/>
    <n v="1"/>
    <n v="0"/>
    <m/>
    <m/>
    <n v="0"/>
    <n v="0"/>
    <m/>
    <m/>
    <s v="Type A  _x000a_2AM-MRY1325"/>
    <m/>
    <n v="2014"/>
    <s v="Direct "/>
    <m/>
    <m/>
    <m/>
    <m/>
    <m/>
    <m/>
    <m/>
    <m/>
    <m/>
    <m/>
    <n v="0"/>
    <m/>
    <n v="0"/>
    <n v="0"/>
    <n v="0"/>
    <n v="0"/>
    <n v="0"/>
    <n v="0"/>
    <n v="0"/>
    <n v="0"/>
  </r>
  <r>
    <x v="3"/>
    <x v="3"/>
    <x v="23"/>
    <x v="14"/>
    <x v="1"/>
    <x v="1"/>
    <x v="1"/>
    <x v="1"/>
    <m/>
    <s v=""/>
    <m/>
    <m/>
    <m/>
    <m/>
    <m/>
    <m/>
    <m/>
    <m/>
    <m/>
    <m/>
    <m/>
    <m/>
    <m/>
    <m/>
    <m/>
    <m/>
    <m/>
    <m/>
    <m/>
    <m/>
    <m/>
    <m/>
    <m/>
    <m/>
    <m/>
    <m/>
    <m/>
    <m/>
    <m/>
    <m/>
    <m/>
    <m/>
    <m/>
    <m/>
    <m/>
    <m/>
    <m/>
    <m/>
    <m/>
    <m/>
    <m/>
    <m/>
    <m/>
    <m/>
    <m/>
    <m/>
    <m/>
    <m/>
    <m/>
    <m/>
    <m/>
    <m/>
    <m/>
    <m/>
  </r>
  <r>
    <x v="3"/>
    <x v="3"/>
    <x v="7"/>
    <x v="7"/>
    <x v="1"/>
    <x v="1"/>
    <x v="1"/>
    <x v="1"/>
    <m/>
    <m/>
    <m/>
    <m/>
    <m/>
    <m/>
    <m/>
    <m/>
    <m/>
    <m/>
    <m/>
    <m/>
    <m/>
    <m/>
    <m/>
    <m/>
    <m/>
    <m/>
    <m/>
    <m/>
    <m/>
    <m/>
    <m/>
    <m/>
    <m/>
    <m/>
    <m/>
    <m/>
    <m/>
    <m/>
    <m/>
    <m/>
    <m/>
    <m/>
    <m/>
    <m/>
    <m/>
    <m/>
    <m/>
    <m/>
    <m/>
    <m/>
    <m/>
    <m/>
    <m/>
    <m/>
    <m/>
    <m/>
    <m/>
    <m/>
    <m/>
    <m/>
    <m/>
    <m/>
    <m/>
    <m/>
  </r>
  <r>
    <x v="3"/>
    <x v="3"/>
    <x v="24"/>
    <x v="15"/>
    <x v="1"/>
    <x v="1"/>
    <x v="1"/>
    <x v="1"/>
    <m/>
    <s v=""/>
    <m/>
    <m/>
    <m/>
    <m/>
    <m/>
    <m/>
    <m/>
    <m/>
    <m/>
    <m/>
    <m/>
    <m/>
    <m/>
    <m/>
    <m/>
    <m/>
    <m/>
    <m/>
    <m/>
    <m/>
    <m/>
    <m/>
    <m/>
    <m/>
    <m/>
    <m/>
    <m/>
    <m/>
    <m/>
    <m/>
    <m/>
    <m/>
    <m/>
    <m/>
    <m/>
    <m/>
    <m/>
    <m/>
    <m/>
    <m/>
    <m/>
    <m/>
    <m/>
    <m/>
    <m/>
    <m/>
    <m/>
    <m/>
    <m/>
    <m/>
    <m/>
    <m/>
    <m/>
    <m/>
  </r>
  <r>
    <x v="3"/>
    <x v="3"/>
    <x v="22"/>
    <x v="13"/>
    <x v="1"/>
    <x v="1"/>
    <x v="1"/>
    <x v="1"/>
    <m/>
    <s v=""/>
    <m/>
    <m/>
    <m/>
    <m/>
    <m/>
    <m/>
    <m/>
    <m/>
    <m/>
    <m/>
    <m/>
    <m/>
    <m/>
    <m/>
    <m/>
    <m/>
    <m/>
    <m/>
    <m/>
    <m/>
    <m/>
    <m/>
    <m/>
    <m/>
    <m/>
    <m/>
    <m/>
    <m/>
    <m/>
    <m/>
    <m/>
    <m/>
    <m/>
    <m/>
    <m/>
    <m/>
    <m/>
    <m/>
    <m/>
    <m/>
    <m/>
    <m/>
    <m/>
    <m/>
    <m/>
    <m/>
    <m/>
    <m/>
    <m/>
    <m/>
    <m/>
    <m/>
    <m/>
    <m/>
  </r>
  <r>
    <x v="3"/>
    <x v="3"/>
    <x v="1"/>
    <x v="1"/>
    <x v="1"/>
    <x v="1"/>
    <x v="1"/>
    <x v="1"/>
    <m/>
    <s v=""/>
    <m/>
    <m/>
    <m/>
    <m/>
    <m/>
    <m/>
    <m/>
    <m/>
    <m/>
    <m/>
    <m/>
    <m/>
    <m/>
    <m/>
    <m/>
    <m/>
    <m/>
    <m/>
    <m/>
    <m/>
    <m/>
    <m/>
    <m/>
    <m/>
    <m/>
    <m/>
    <m/>
    <m/>
    <m/>
    <m/>
    <m/>
    <m/>
    <m/>
    <m/>
    <m/>
    <m/>
    <m/>
    <m/>
    <m/>
    <m/>
    <m/>
    <m/>
    <m/>
    <m/>
    <m/>
    <m/>
    <m/>
    <m/>
    <m/>
    <m/>
    <m/>
    <m/>
    <m/>
    <m/>
  </r>
  <r>
    <x v="4"/>
    <x v="4"/>
    <x v="9"/>
    <x v="9"/>
    <x v="14"/>
    <x v="12"/>
    <x v="16"/>
    <x v="160"/>
    <m/>
    <m/>
    <m/>
    <s v="Indirect"/>
    <s v="Indirect"/>
    <s v="Indirect"/>
    <s v="Indirect"/>
    <m/>
    <s v="Short Term C&amp;M, Closure &amp; Post-Closure Monitoring and reporting"/>
    <m/>
    <m/>
    <m/>
    <m/>
    <m/>
    <m/>
    <m/>
    <m/>
    <m/>
    <m/>
    <m/>
    <m/>
    <n v="3766032"/>
    <n v="0"/>
    <n v="0"/>
    <n v="0.97497971498956193"/>
    <n v="2.502028501043807E-2"/>
    <n v="0"/>
    <n v="1"/>
    <n v="3671804.8060015701"/>
    <n v="94227.193998430113"/>
    <n v="0"/>
    <n v="3766032"/>
    <s v="Type A  _x000a_2AM-MRY1325"/>
    <s v="Added"/>
    <s v="2015 R"/>
    <s v="Indirect"/>
    <n v="0.22"/>
    <n v="0.28000000000000003"/>
    <n v="3.7905413443114662E-2"/>
    <n v="5.6937646838900999E-2"/>
    <n v="3.7905413443114662E-2"/>
    <n v="0.11911980567345153"/>
    <n v="7.9560927788186617E-2"/>
    <n v="6.5323927146662589E-2"/>
    <n v="5.5633356275252045E-2"/>
    <n v="4.7596249845991749E-2"/>
    <n v="635800"/>
    <n v="809200.00000000012"/>
    <n v="109546.64485060137"/>
    <n v="164549.79936442387"/>
    <n v="109546.64485060137"/>
    <n v="344256.23839627492"/>
    <n v="229931.08130785933"/>
    <n v="188786.14945385489"/>
    <n v="160780.39963547842"/>
    <n v="137553.16205491615"/>
  </r>
  <r>
    <x v="4"/>
    <x v="4"/>
    <x v="9"/>
    <x v="9"/>
    <x v="13"/>
    <x v="15"/>
    <x v="15"/>
    <x v="27"/>
    <m/>
    <m/>
    <m/>
    <s v="Indirect"/>
    <s v="Indirect"/>
    <s v="Indirect"/>
    <s v="Indirect"/>
    <m/>
    <s v="Fuel"/>
    <m/>
    <m/>
    <m/>
    <m/>
    <m/>
    <m/>
    <m/>
    <m/>
    <m/>
    <m/>
    <m/>
    <m/>
    <n v="2890000"/>
    <n v="0"/>
    <n v="0"/>
    <n v="1"/>
    <n v="0"/>
    <n v="0"/>
    <n v="1"/>
    <n v="2890000"/>
    <n v="0"/>
    <n v="0"/>
    <n v="2890000"/>
    <s v="Type A  _x000a_2AM-MRY1325"/>
    <m/>
    <n v="2014"/>
    <s v="Indirect"/>
    <m/>
    <m/>
    <n v="0.33333333333333331"/>
    <n v="0.33333333333333331"/>
    <n v="0.33333333333333331"/>
    <m/>
    <m/>
    <m/>
    <m/>
    <m/>
    <n v="0"/>
    <m/>
    <n v="963333.33333333326"/>
    <n v="963333.33333333326"/>
    <n v="963333.33333333326"/>
    <n v="0"/>
    <n v="0"/>
    <n v="0"/>
    <n v="0"/>
    <n v="0"/>
  </r>
  <r>
    <x v="4"/>
    <x v="4"/>
    <x v="9"/>
    <x v="9"/>
    <x v="13"/>
    <x v="15"/>
    <x v="15"/>
    <x v="161"/>
    <m/>
    <m/>
    <m/>
    <m/>
    <s v="Indirect"/>
    <s v="Indirect"/>
    <m/>
    <m/>
    <s v="Ammonium Nitrate (explosive material)"/>
    <m/>
    <m/>
    <m/>
    <m/>
    <m/>
    <m/>
    <m/>
    <m/>
    <m/>
    <m/>
    <m/>
    <m/>
    <n v="2537000"/>
    <n v="0"/>
    <n v="0"/>
    <n v="1"/>
    <n v="0"/>
    <n v="0"/>
    <n v="1"/>
    <n v="2537000"/>
    <n v="0"/>
    <n v="0"/>
    <n v="2537000"/>
    <s v="Type A  _x000a_2AM-MRY1325"/>
    <s v="Added"/>
    <n v="2016"/>
    <s v="Indirect"/>
    <m/>
    <m/>
    <n v="0.33333333333333331"/>
    <n v="0.33333333333333331"/>
    <n v="0.33333333333333331"/>
    <m/>
    <m/>
    <m/>
    <m/>
    <m/>
    <n v="0"/>
    <m/>
    <n v="845666.66666666663"/>
    <n v="845666.66666666663"/>
    <n v="845666.66666666663"/>
    <n v="0"/>
    <n v="0"/>
    <n v="0"/>
    <n v="0"/>
    <n v="0"/>
  </r>
  <r>
    <x v="4"/>
    <x v="4"/>
    <x v="9"/>
    <x v="9"/>
    <x v="13"/>
    <x v="15"/>
    <x v="15"/>
    <x v="162"/>
    <m/>
    <m/>
    <m/>
    <s v="Indirect"/>
    <s v="Indirect"/>
    <s v="Indirect"/>
    <s v="Indirect"/>
    <m/>
    <s v="Off-Site Disposal of Waste &amp; Material"/>
    <m/>
    <m/>
    <m/>
    <m/>
    <m/>
    <m/>
    <m/>
    <m/>
    <m/>
    <m/>
    <m/>
    <m/>
    <n v="1969000"/>
    <n v="0"/>
    <n v="0"/>
    <n v="1"/>
    <n v="0"/>
    <n v="0"/>
    <n v="1"/>
    <n v="1969000"/>
    <n v="0"/>
    <n v="0"/>
    <n v="1969000"/>
    <s v="Type A  _x000a_2AM-MRY1325"/>
    <m/>
    <n v="2014"/>
    <s v="Indirect"/>
    <m/>
    <m/>
    <n v="0.33333333333333331"/>
    <n v="0.33333333333333331"/>
    <n v="0.33333333333333331"/>
    <m/>
    <m/>
    <m/>
    <m/>
    <m/>
    <n v="0"/>
    <m/>
    <n v="656333.33333333326"/>
    <n v="656333.33333333326"/>
    <n v="656333.33333333326"/>
    <n v="0"/>
    <n v="0"/>
    <n v="0"/>
    <n v="0"/>
    <n v="0"/>
  </r>
  <r>
    <x v="4"/>
    <x v="4"/>
    <x v="9"/>
    <x v="9"/>
    <x v="13"/>
    <x v="11"/>
    <x v="15"/>
    <x v="22"/>
    <m/>
    <m/>
    <m/>
    <s v="Indirect"/>
    <s v="Indirect"/>
    <s v="Indirect"/>
    <s v="Indirect"/>
    <m/>
    <s v="Worker Accommodation &amp; Camp Operation"/>
    <m/>
    <m/>
    <m/>
    <m/>
    <m/>
    <m/>
    <m/>
    <m/>
    <m/>
    <m/>
    <m/>
    <m/>
    <n v="1648000"/>
    <n v="0"/>
    <n v="0"/>
    <n v="0.97700663160140144"/>
    <n v="2.2993368398598557E-2"/>
    <n v="0"/>
    <n v="1"/>
    <n v="1610106.9288791097"/>
    <n v="37893.071120890425"/>
    <n v="0"/>
    <n v="1648000"/>
    <s v="Type A  _x000a_2AM-MRY1325"/>
    <m/>
    <n v="2014"/>
    <s v="Indirect"/>
    <m/>
    <m/>
    <n v="0.2"/>
    <n v="0.2"/>
    <n v="0.2"/>
    <n v="0.1"/>
    <n v="0.1"/>
    <n v="0.1"/>
    <n v="0.05"/>
    <n v="0.05"/>
    <n v="0"/>
    <m/>
    <n v="329600"/>
    <n v="329600"/>
    <n v="329600"/>
    <n v="164800"/>
    <n v="164800"/>
    <n v="164800"/>
    <n v="82400"/>
    <n v="82400"/>
  </r>
  <r>
    <x v="4"/>
    <x v="4"/>
    <x v="9"/>
    <x v="9"/>
    <x v="14"/>
    <x v="12"/>
    <x v="16"/>
    <x v="14"/>
    <m/>
    <m/>
    <m/>
    <s v="Indirect"/>
    <s v="Indirect"/>
    <s v="Indirect"/>
    <s v="Indirect"/>
    <m/>
    <s v="Supervision, Project Management &amp; Contract Administration"/>
    <m/>
    <m/>
    <m/>
    <m/>
    <m/>
    <m/>
    <m/>
    <m/>
    <m/>
    <m/>
    <m/>
    <m/>
    <n v="1489000"/>
    <n v="0"/>
    <n v="0"/>
    <n v="0.97700663160140144"/>
    <n v="2.2993368398598557E-2"/>
    <n v="0"/>
    <n v="1"/>
    <n v="1454762.8744544866"/>
    <n v="34237.125545513249"/>
    <n v="0"/>
    <n v="1489000"/>
    <s v="Type A  _x000a_2AM-MRY1325"/>
    <m/>
    <n v="2014"/>
    <s v="Indirect"/>
    <m/>
    <m/>
    <n v="0.2"/>
    <n v="0.2"/>
    <n v="0.2"/>
    <n v="0.1"/>
    <n v="0.1"/>
    <n v="0.1"/>
    <n v="0.05"/>
    <n v="0.05"/>
    <n v="0"/>
    <m/>
    <n v="297800"/>
    <n v="297800"/>
    <n v="297800"/>
    <n v="148900"/>
    <n v="148900"/>
    <n v="148900"/>
    <n v="74450"/>
    <n v="74450"/>
  </r>
  <r>
    <x v="4"/>
    <x v="4"/>
    <x v="9"/>
    <x v="9"/>
    <x v="13"/>
    <x v="11"/>
    <x v="15"/>
    <x v="13"/>
    <m/>
    <m/>
    <m/>
    <s v="Indirect"/>
    <s v="Indirect"/>
    <s v="Indirect"/>
    <s v="Indirect"/>
    <m/>
    <s v="Mobilization and Demobilization of Equipment and Materials by Sealift"/>
    <m/>
    <m/>
    <m/>
    <m/>
    <m/>
    <m/>
    <m/>
    <m/>
    <m/>
    <m/>
    <m/>
    <m/>
    <n v="1528000"/>
    <n v="0"/>
    <n v="0"/>
    <n v="0.97700663160140144"/>
    <n v="2.2993368398598557E-2"/>
    <n v="0"/>
    <n v="1"/>
    <n v="1492866.1330869414"/>
    <n v="35133.866913058599"/>
    <n v="0"/>
    <n v="1528000"/>
    <s v="Type A  _x000a_2AM-MRY1325"/>
    <m/>
    <n v="2014"/>
    <s v="Indirect"/>
    <m/>
    <m/>
    <n v="0.2"/>
    <n v="0.2"/>
    <n v="0.2"/>
    <n v="0.1"/>
    <n v="0.1"/>
    <n v="0.1"/>
    <n v="0.05"/>
    <n v="0.05"/>
    <n v="0"/>
    <m/>
    <n v="305600"/>
    <n v="305600"/>
    <n v="305600"/>
    <n v="152800"/>
    <n v="152800"/>
    <n v="152800"/>
    <n v="76400"/>
    <n v="76400"/>
  </r>
  <r>
    <x v="4"/>
    <x v="4"/>
    <x v="9"/>
    <x v="9"/>
    <x v="13"/>
    <x v="15"/>
    <x v="15"/>
    <x v="27"/>
    <m/>
    <m/>
    <m/>
    <s v="Indirect"/>
    <s v="Indirect"/>
    <s v="Indirect"/>
    <s v="Indirect"/>
    <m/>
    <s v="Fuel"/>
    <m/>
    <m/>
    <m/>
    <m/>
    <m/>
    <m/>
    <m/>
    <m/>
    <m/>
    <m/>
    <m/>
    <m/>
    <n v="1213000"/>
    <n v="0"/>
    <n v="0"/>
    <n v="1"/>
    <n v="0"/>
    <n v="0"/>
    <n v="1"/>
    <n v="1213000"/>
    <n v="0"/>
    <n v="0"/>
    <n v="1213000"/>
    <s v="Type A  _x000a_2AM-MRY1325"/>
    <s v="Added"/>
    <s v="2017-A"/>
    <s v="Indirect"/>
    <m/>
    <m/>
    <n v="0.33333333333333331"/>
    <n v="0.33333333333333331"/>
    <n v="0.33333333333333331"/>
    <m/>
    <m/>
    <m/>
    <m/>
    <m/>
    <n v="0"/>
    <m/>
    <n v="404333.33333333331"/>
    <n v="404333.33333333331"/>
    <n v="404333.33333333331"/>
    <n v="0"/>
    <n v="0"/>
    <n v="0"/>
    <n v="0"/>
    <n v="0"/>
  </r>
  <r>
    <x v="4"/>
    <x v="4"/>
    <x v="9"/>
    <x v="9"/>
    <x v="13"/>
    <x v="11"/>
    <x v="15"/>
    <x v="22"/>
    <m/>
    <m/>
    <m/>
    <s v="Indirect"/>
    <s v="Indirect"/>
    <s v="Indirect"/>
    <s v="Indirect"/>
    <m/>
    <s v="Worker Accommodation &amp; Camp Operation"/>
    <m/>
    <m/>
    <m/>
    <m/>
    <m/>
    <m/>
    <m/>
    <m/>
    <m/>
    <m/>
    <m/>
    <m/>
    <n v="727000"/>
    <n v="0"/>
    <n v="0"/>
    <n v="0.96118298237808963"/>
    <n v="3.8817017621910366E-2"/>
    <n v="0"/>
    <n v="1"/>
    <n v="698780.02818887122"/>
    <n v="28219.971811128835"/>
    <n v="0"/>
    <n v="727000"/>
    <s v="Type A  _x000a_2AM-MRY1325"/>
    <s v="Added"/>
    <s v="2015 R"/>
    <s v="Indirect"/>
    <m/>
    <m/>
    <n v="0.2"/>
    <n v="0.2"/>
    <n v="0.2"/>
    <n v="0.1"/>
    <n v="0.1"/>
    <n v="0.1"/>
    <n v="0.05"/>
    <n v="0.05"/>
    <n v="0"/>
    <m/>
    <n v="145400"/>
    <n v="145400"/>
    <n v="145400"/>
    <n v="72700"/>
    <n v="72700"/>
    <n v="72700"/>
    <n v="36350"/>
    <n v="36350"/>
  </r>
  <r>
    <x v="4"/>
    <x v="4"/>
    <x v="9"/>
    <x v="9"/>
    <x v="13"/>
    <x v="11"/>
    <x v="15"/>
    <x v="13"/>
    <m/>
    <m/>
    <m/>
    <s v="Indirect"/>
    <s v="Indirect"/>
    <s v="Indirect"/>
    <s v="Indirect"/>
    <m/>
    <s v="Mobilization of Workers Required for Reclamation"/>
    <m/>
    <m/>
    <m/>
    <m/>
    <m/>
    <m/>
    <m/>
    <m/>
    <m/>
    <m/>
    <m/>
    <m/>
    <n v="652000"/>
    <n v="0"/>
    <n v="0"/>
    <n v="0.97700663160140144"/>
    <n v="2.2993368398598557E-2"/>
    <n v="0"/>
    <n v="1"/>
    <n v="637008.32380411378"/>
    <n v="14991.676195886259"/>
    <n v="0"/>
    <n v="652000"/>
    <s v="Type A  _x000a_2AM-MRY1325"/>
    <m/>
    <n v="2014"/>
    <s v="Indirect"/>
    <m/>
    <m/>
    <n v="0.2"/>
    <n v="0.2"/>
    <n v="0.2"/>
    <n v="0.1"/>
    <n v="0.1"/>
    <n v="0.1"/>
    <n v="0.05"/>
    <n v="0.05"/>
    <n v="0"/>
    <m/>
    <n v="130400"/>
    <n v="130400"/>
    <n v="130400"/>
    <n v="65200"/>
    <n v="65200"/>
    <n v="65200"/>
    <n v="32600"/>
    <n v="32600"/>
  </r>
  <r>
    <x v="6"/>
    <x v="6"/>
    <x v="14"/>
    <x v="5"/>
    <x v="54"/>
    <x v="25"/>
    <x v="119"/>
    <x v="59"/>
    <m/>
    <s v="TK-"/>
    <s v="MT1"/>
    <s v="Light Tanks"/>
    <s v="MT1"/>
    <s v="Mechanical Equipment"/>
    <s v="Light Tanks"/>
    <s v="3rd Party Contractor"/>
    <s v="Water Tank 50,000L"/>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n v="2018"/>
    <s v="Direct "/>
    <m/>
    <m/>
    <n v="0.33333333333333331"/>
    <n v="0.33333333333333331"/>
    <n v="0.33333333333333331"/>
    <m/>
    <m/>
    <m/>
    <m/>
    <m/>
    <n v="0"/>
    <m/>
    <n v="716.10978306878314"/>
    <n v="716.10978306878314"/>
    <n v="716.10978306878314"/>
    <n v="0"/>
    <n v="0"/>
    <n v="0"/>
    <n v="0"/>
    <n v="0"/>
  </r>
  <r>
    <x v="4"/>
    <x v="4"/>
    <x v="9"/>
    <x v="9"/>
    <x v="14"/>
    <x v="12"/>
    <x v="26"/>
    <x v="14"/>
    <m/>
    <m/>
    <m/>
    <s v="Indirect"/>
    <s v="Indirect"/>
    <s v="Indirect"/>
    <s v="Indirect"/>
    <m/>
    <s v="Engineering Fees"/>
    <m/>
    <m/>
    <m/>
    <m/>
    <m/>
    <m/>
    <m/>
    <m/>
    <m/>
    <m/>
    <m/>
    <m/>
    <n v="596000"/>
    <n v="0"/>
    <n v="0"/>
    <n v="0.97700663160140144"/>
    <n v="2.2993368398598557E-2"/>
    <n v="0"/>
    <n v="1"/>
    <n v="582295.95243443525"/>
    <n v="13704.047565564741"/>
    <n v="0"/>
    <n v="596000"/>
    <s v="Type A  _x000a_2AM-MRY1325"/>
    <m/>
    <n v="2014"/>
    <s v="Indirect"/>
    <m/>
    <m/>
    <n v="0.4"/>
    <n v="0.3"/>
    <n v="0.2"/>
    <n v="0.1"/>
    <m/>
    <m/>
    <m/>
    <m/>
    <n v="0"/>
    <m/>
    <n v="238400"/>
    <n v="178800"/>
    <n v="119200"/>
    <n v="59600"/>
    <n v="0"/>
    <n v="0"/>
    <n v="0"/>
    <n v="0"/>
  </r>
  <r>
    <x v="4"/>
    <x v="4"/>
    <x v="9"/>
    <x v="9"/>
    <x v="13"/>
    <x v="11"/>
    <x v="15"/>
    <x v="13"/>
    <m/>
    <m/>
    <m/>
    <s v="Indirect"/>
    <s v="Indirect"/>
    <s v="Indirect"/>
    <s v="Indirect"/>
    <m/>
    <s v="Mobilization and Demobilization of Equipment and Materials by Sealift"/>
    <m/>
    <m/>
    <m/>
    <m/>
    <m/>
    <m/>
    <m/>
    <m/>
    <m/>
    <m/>
    <m/>
    <m/>
    <n v="577000"/>
    <n v="0"/>
    <n v="0"/>
    <n v="0.96118298237808963"/>
    <n v="3.8817017621910366E-2"/>
    <n v="0"/>
    <n v="1"/>
    <n v="554602.58083215775"/>
    <n v="22397.419167842279"/>
    <n v="0"/>
    <n v="577000"/>
    <s v="Type A  _x000a_2AM-MRY1325"/>
    <s v="Added"/>
    <s v="2015 R"/>
    <s v="Indirect"/>
    <m/>
    <m/>
    <n v="0.2"/>
    <n v="0.2"/>
    <n v="0.2"/>
    <n v="0.1"/>
    <n v="0.1"/>
    <n v="0.1"/>
    <n v="0.05"/>
    <n v="0.05"/>
    <n v="0"/>
    <m/>
    <n v="115400"/>
    <n v="115400"/>
    <n v="115400"/>
    <n v="57700"/>
    <n v="57700"/>
    <n v="57700"/>
    <n v="28850"/>
    <n v="28850"/>
  </r>
  <r>
    <x v="6"/>
    <x v="6"/>
    <x v="14"/>
    <x v="5"/>
    <x v="54"/>
    <x v="25"/>
    <x v="119"/>
    <x v="59"/>
    <m/>
    <s v="TK-"/>
    <s v="MT1"/>
    <s v="Light Tanks"/>
    <s v="MT1"/>
    <s v="Mechanical Equipment"/>
    <s v="Light Tanks"/>
    <s v="3rd Party Contractor"/>
    <s v="Water Tank 10,000L"/>
    <m/>
    <n v="1"/>
    <s v="ea"/>
    <n v="9.6666666666666661"/>
    <n v="107.5"/>
    <n v="965.82934920634932"/>
    <n v="1075"/>
    <n v="2148.3293492063494"/>
    <n v="9.6666666666666661"/>
    <n v="107.5"/>
    <n v="965.82934920634932"/>
    <n v="1075"/>
    <n v="2148.3293492063494"/>
    <n v="1"/>
    <n v="1"/>
    <n v="1"/>
    <n v="0"/>
    <n v="0"/>
    <n v="1"/>
    <n v="2148.3293492063494"/>
    <n v="0"/>
    <n v="0"/>
    <n v="2148.3293492063494"/>
    <s v="Type A  _x000a_2AM-MRY1325"/>
    <s v="Added"/>
    <n v="2018"/>
    <s v="Direct "/>
    <m/>
    <m/>
    <n v="0.33333333333333331"/>
    <n v="0.33333333333333331"/>
    <n v="0.33333333333333331"/>
    <m/>
    <m/>
    <m/>
    <m/>
    <m/>
    <n v="0"/>
    <m/>
    <n v="716.10978306878314"/>
    <n v="716.10978306878314"/>
    <n v="716.10978306878314"/>
    <n v="0"/>
    <n v="0"/>
    <n v="0"/>
    <n v="0"/>
    <n v="0"/>
  </r>
  <r>
    <x v="4"/>
    <x v="4"/>
    <x v="9"/>
    <x v="9"/>
    <x v="13"/>
    <x v="11"/>
    <x v="15"/>
    <x v="13"/>
    <m/>
    <m/>
    <m/>
    <s v="Indirect"/>
    <s v="Indirect"/>
    <s v="Indirect"/>
    <s v="Indirect"/>
    <m/>
    <s v="Mobilization and Demobilization of Equipment and Materials by Sealift"/>
    <m/>
    <m/>
    <m/>
    <m/>
    <m/>
    <m/>
    <m/>
    <m/>
    <m/>
    <m/>
    <m/>
    <m/>
    <n v="547000"/>
    <n v="0"/>
    <n v="0"/>
    <n v="1"/>
    <n v="0"/>
    <n v="0"/>
    <n v="1"/>
    <n v="547000"/>
    <n v="0"/>
    <n v="0"/>
    <n v="547000"/>
    <s v="Type A  _x000a_2AM-MRY1325"/>
    <s v="Added"/>
    <s v="2017-A"/>
    <s v="Indirect"/>
    <m/>
    <m/>
    <n v="0.2"/>
    <n v="0.2"/>
    <n v="0.2"/>
    <n v="0.1"/>
    <n v="0.1"/>
    <n v="0.1"/>
    <n v="0.05"/>
    <n v="0.05"/>
    <n v="0"/>
    <m/>
    <n v="109400"/>
    <n v="109400"/>
    <n v="109400"/>
    <n v="54700"/>
    <n v="54700"/>
    <n v="54700"/>
    <n v="27350"/>
    <n v="27350"/>
  </r>
  <r>
    <x v="4"/>
    <x v="4"/>
    <x v="9"/>
    <x v="9"/>
    <x v="14"/>
    <x v="12"/>
    <x v="16"/>
    <x v="14"/>
    <m/>
    <m/>
    <m/>
    <s v="Indirect"/>
    <s v="Indirect"/>
    <s v="Indirect"/>
    <s v="Indirect"/>
    <m/>
    <s v="Supervision, Project Management &amp; Contract Administration"/>
    <m/>
    <m/>
    <m/>
    <m/>
    <m/>
    <m/>
    <m/>
    <m/>
    <m/>
    <m/>
    <m/>
    <m/>
    <n v="543000"/>
    <n v="0"/>
    <n v="0"/>
    <n v="0.96118298237808963"/>
    <n v="3.8817017621910366E-2"/>
    <n v="0"/>
    <n v="1"/>
    <n v="521922.3594313027"/>
    <n v="21077.64056869733"/>
    <n v="0"/>
    <n v="543000"/>
    <s v="Type A  _x000a_2AM-MRY1325"/>
    <s v="Added"/>
    <s v="2015 R"/>
    <s v="Indirect"/>
    <m/>
    <m/>
    <n v="0.2"/>
    <n v="0.2"/>
    <n v="0.2"/>
    <n v="0.1"/>
    <n v="0.1"/>
    <n v="0.1"/>
    <n v="0.05"/>
    <n v="0.05"/>
    <n v="0"/>
    <m/>
    <n v="108600"/>
    <n v="108600"/>
    <n v="108600"/>
    <n v="54300"/>
    <n v="54300"/>
    <n v="54300"/>
    <n v="27150"/>
    <n v="27150"/>
  </r>
  <r>
    <x v="5"/>
    <x v="5"/>
    <x v="15"/>
    <x v="8"/>
    <x v="28"/>
    <x v="24"/>
    <x v="67"/>
    <x v="55"/>
    <m/>
    <m/>
    <s v="FF1-c"/>
    <s v="Modular Building Contaminated (480 ft2) "/>
    <s v="FTR1-c"/>
    <s v="Buildings (Contaminated)"/>
    <s v="Single Trailers (modular)"/>
    <m/>
    <s v="Explosives Magazine (12m2) - Demolish and Decontaminate Building - Trailer"/>
    <m/>
    <n v="12"/>
    <s v="m2"/>
    <n v="0.56041666666666667"/>
    <n v="3.3624999999999998"/>
    <n v="55.993123908730162"/>
    <n v="84.0625"/>
    <n v="143.41812390873017"/>
    <n v="6.7249999999999996"/>
    <n v="40.349999999999994"/>
    <n v="671.91748690476197"/>
    <n v="1008.75"/>
    <n v="1721.0174869047619"/>
    <n v="1"/>
    <n v="12"/>
    <n v="1"/>
    <n v="0"/>
    <n v="0"/>
    <n v="1"/>
    <n v="1721.0174869047619"/>
    <n v="0"/>
    <n v="0"/>
    <n v="1721.0174869047619"/>
    <s v="Type A  _x000a_2AM-MRY1325"/>
    <s v="Added"/>
    <n v="2018"/>
    <s v="Direct "/>
    <m/>
    <m/>
    <n v="0.33333333333333331"/>
    <n v="0.33333333333333331"/>
    <n v="0.33333333333333331"/>
    <m/>
    <m/>
    <m/>
    <m/>
    <m/>
    <n v="0"/>
    <m/>
    <n v="573.67249563492055"/>
    <n v="573.67249563492055"/>
    <n v="573.67249563492055"/>
    <n v="0"/>
    <n v="0"/>
    <n v="0"/>
    <n v="0"/>
    <n v="0"/>
  </r>
  <r>
    <x v="4"/>
    <x v="4"/>
    <x v="9"/>
    <x v="9"/>
    <x v="14"/>
    <x v="12"/>
    <x v="16"/>
    <x v="14"/>
    <m/>
    <m/>
    <m/>
    <s v="Indirect"/>
    <s v="Indirect"/>
    <s v="Indirect"/>
    <s v="Indirect"/>
    <m/>
    <s v="Supervision, Project Management &amp; Contract Administration"/>
    <m/>
    <m/>
    <m/>
    <m/>
    <m/>
    <m/>
    <m/>
    <m/>
    <m/>
    <m/>
    <m/>
    <m/>
    <n v="514000"/>
    <n v="0"/>
    <n v="0"/>
    <n v="1"/>
    <n v="0"/>
    <n v="0"/>
    <n v="1"/>
    <n v="514000"/>
    <n v="0"/>
    <n v="0"/>
    <n v="514000"/>
    <s v="Type A  _x000a_2AM-MRY1325"/>
    <s v="Added"/>
    <s v="2017-A"/>
    <s v="Indirect"/>
    <m/>
    <m/>
    <n v="0.2"/>
    <n v="0.2"/>
    <n v="0.2"/>
    <n v="0.1"/>
    <n v="0.1"/>
    <n v="0.1"/>
    <n v="0.05"/>
    <n v="0.05"/>
    <n v="0"/>
    <m/>
    <n v="102800"/>
    <n v="102800"/>
    <n v="102800"/>
    <n v="51400"/>
    <n v="51400"/>
    <n v="51400"/>
    <n v="25700"/>
    <n v="25700"/>
  </r>
  <r>
    <x v="4"/>
    <x v="4"/>
    <x v="9"/>
    <x v="9"/>
    <x v="13"/>
    <x v="11"/>
    <x v="15"/>
    <x v="22"/>
    <m/>
    <m/>
    <m/>
    <s v="Indirect"/>
    <s v="Indirect"/>
    <s v="Indirect"/>
    <s v="Indirect"/>
    <m/>
    <s v="Worker Accommodation &amp; Camp Operation"/>
    <m/>
    <m/>
    <m/>
    <m/>
    <m/>
    <m/>
    <m/>
    <m/>
    <m/>
    <m/>
    <m/>
    <m/>
    <n v="471000"/>
    <n v="0"/>
    <n v="0"/>
    <n v="1"/>
    <n v="0"/>
    <n v="0"/>
    <n v="1"/>
    <n v="471000"/>
    <n v="0"/>
    <n v="0"/>
    <n v="471000"/>
    <s v="Type A  _x000a_2AM-MRY1325"/>
    <s v="Added"/>
    <s v="2017-A"/>
    <s v="Indirect"/>
    <m/>
    <m/>
    <n v="0.2"/>
    <n v="0.2"/>
    <n v="0.2"/>
    <n v="0.1"/>
    <n v="0.1"/>
    <n v="0.1"/>
    <n v="0.05"/>
    <n v="0.05"/>
    <n v="0"/>
    <m/>
    <n v="94200"/>
    <n v="94200"/>
    <n v="94200"/>
    <n v="47100"/>
    <n v="47100"/>
    <n v="47100"/>
    <n v="23550"/>
    <n v="23550"/>
  </r>
  <r>
    <x v="4"/>
    <x v="4"/>
    <x v="9"/>
    <x v="9"/>
    <x v="13"/>
    <x v="11"/>
    <x v="15"/>
    <x v="13"/>
    <m/>
    <m/>
    <m/>
    <s v="Indirect"/>
    <s v="Indirect"/>
    <s v="Indirect"/>
    <s v="Indirect"/>
    <m/>
    <s v="Mobilization of Workers Required for Reclamation"/>
    <m/>
    <m/>
    <m/>
    <m/>
    <m/>
    <m/>
    <m/>
    <m/>
    <m/>
    <m/>
    <m/>
    <m/>
    <n v="265000"/>
    <n v="0"/>
    <n v="0"/>
    <n v="0.96118298237808963"/>
    <n v="3.8817017621910366E-2"/>
    <n v="0"/>
    <n v="1"/>
    <n v="254713.49033019374"/>
    <n v="10286.509669806246"/>
    <n v="0"/>
    <n v="265000"/>
    <s v="Type A  _x000a_2AM-MRY1325"/>
    <s v="Added"/>
    <s v="2015 R"/>
    <s v="Indirect"/>
    <m/>
    <m/>
    <n v="0.2"/>
    <n v="0.2"/>
    <n v="0.2"/>
    <n v="0.1"/>
    <n v="0.1"/>
    <n v="0.1"/>
    <n v="0.05"/>
    <n v="0.05"/>
    <n v="0"/>
    <m/>
    <n v="53000"/>
    <n v="53000"/>
    <n v="53000"/>
    <n v="26500"/>
    <n v="26500"/>
    <n v="26500"/>
    <n v="13250"/>
    <n v="13250"/>
  </r>
  <r>
    <x v="4"/>
    <x v="4"/>
    <x v="9"/>
    <x v="9"/>
    <x v="13"/>
    <x v="15"/>
    <x v="15"/>
    <x v="163"/>
    <m/>
    <m/>
    <m/>
    <s v="Indirect"/>
    <s v="Indirect"/>
    <s v="Indirect"/>
    <s v="Indirect"/>
    <m/>
    <s v="Contaminated Soil Treatment"/>
    <m/>
    <m/>
    <m/>
    <m/>
    <m/>
    <m/>
    <m/>
    <m/>
    <m/>
    <m/>
    <m/>
    <m/>
    <n v="234000"/>
    <n v="0"/>
    <n v="0"/>
    <n v="1"/>
    <n v="0"/>
    <n v="0"/>
    <n v="1"/>
    <n v="234000"/>
    <n v="0"/>
    <n v="0"/>
    <n v="234000"/>
    <s v="Type A  _x000a_2AM-MRY1325"/>
    <m/>
    <n v="2014"/>
    <s v="Indirect"/>
    <m/>
    <m/>
    <n v="0.33333333333333331"/>
    <n v="0.33333333333333331"/>
    <n v="0.33333333333333331"/>
    <m/>
    <m/>
    <m/>
    <m/>
    <m/>
    <n v="0"/>
    <m/>
    <n v="78000"/>
    <n v="78000"/>
    <n v="78000"/>
    <n v="0"/>
    <n v="0"/>
    <n v="0"/>
    <n v="0"/>
    <n v="0"/>
  </r>
  <r>
    <x v="1"/>
    <x v="1"/>
    <x v="8"/>
    <x v="8"/>
    <x v="23"/>
    <x v="16"/>
    <x v="37"/>
    <x v="33"/>
    <m/>
    <s v="MO-"/>
    <s v="O1"/>
    <s v="Light Mobile Equipment"/>
    <s v="O1"/>
    <s v="Mobile Equipment"/>
    <s v="Light Mobile Equipment"/>
    <m/>
    <s v="Service Truck F250"/>
    <m/>
    <n v="1"/>
    <s v="ea"/>
    <n v="6.666666666666667"/>
    <n v="25"/>
    <n v="666.08920634920639"/>
    <n v="250"/>
    <n v="941.08920634920639"/>
    <n v="6.666666666666667"/>
    <n v="25"/>
    <n v="666.08920634920639"/>
    <n v="250"/>
    <n v="941.08920634920639"/>
    <n v="4"/>
    <n v="4"/>
    <n v="1"/>
    <n v="0"/>
    <n v="0"/>
    <n v="1"/>
    <n v="941.08920634920639"/>
    <n v="0"/>
    <n v="0"/>
    <n v="941.08920634920639"/>
    <s v="Type A  _x000a_2AM-MRY1325"/>
    <s v="Added"/>
    <n v="2018"/>
    <s v="Direct "/>
    <m/>
    <m/>
    <n v="0.33333333333333331"/>
    <m/>
    <n v="0.33333333333333331"/>
    <m/>
    <m/>
    <m/>
    <m/>
    <n v="0.33333333333333331"/>
    <n v="0"/>
    <m/>
    <n v="313.69640211640211"/>
    <n v="0"/>
    <n v="313.69640211640211"/>
    <n v="0"/>
    <n v="0"/>
    <n v="0"/>
    <n v="0"/>
    <n v="313.69640211640211"/>
  </r>
  <r>
    <x v="4"/>
    <x v="4"/>
    <x v="9"/>
    <x v="9"/>
    <x v="13"/>
    <x v="15"/>
    <x v="15"/>
    <x v="27"/>
    <m/>
    <m/>
    <m/>
    <s v="Indirect"/>
    <s v="Indirect"/>
    <s v="Indirect"/>
    <s v="Indirect"/>
    <m/>
    <s v="Fuel"/>
    <m/>
    <m/>
    <m/>
    <m/>
    <m/>
    <m/>
    <m/>
    <m/>
    <m/>
    <m/>
    <m/>
    <m/>
    <n v="223000"/>
    <n v="0"/>
    <n v="0"/>
    <n v="1"/>
    <n v="0"/>
    <n v="0"/>
    <n v="1"/>
    <n v="223000"/>
    <n v="0"/>
    <n v="0"/>
    <n v="223000"/>
    <s v="Type A  _x000a_2AM-MRY1325"/>
    <s v="Added"/>
    <s v="2015 R"/>
    <s v="Indirect"/>
    <m/>
    <m/>
    <n v="0.33333333333333331"/>
    <n v="0.33333333333333331"/>
    <n v="0.33333333333333331"/>
    <m/>
    <m/>
    <m/>
    <m/>
    <m/>
    <n v="0"/>
    <m/>
    <n v="74333.333333333328"/>
    <n v="74333.333333333328"/>
    <n v="74333.333333333328"/>
    <n v="0"/>
    <n v="0"/>
    <n v="0"/>
    <n v="0"/>
    <n v="0"/>
  </r>
  <r>
    <x v="4"/>
    <x v="4"/>
    <x v="9"/>
    <x v="9"/>
    <x v="14"/>
    <x v="12"/>
    <x v="26"/>
    <x v="14"/>
    <m/>
    <m/>
    <m/>
    <s v="Indirect"/>
    <s v="Indirect"/>
    <s v="Indirect"/>
    <s v="Indirect"/>
    <m/>
    <s v="Engineering Fees"/>
    <m/>
    <m/>
    <m/>
    <m/>
    <m/>
    <m/>
    <m/>
    <m/>
    <m/>
    <m/>
    <m/>
    <m/>
    <n v="225000"/>
    <n v="0"/>
    <n v="0"/>
    <n v="0.96118298237808963"/>
    <n v="3.8817017621910366E-2"/>
    <n v="0"/>
    <n v="1"/>
    <n v="216266.17103507018"/>
    <n v="8733.8289649298331"/>
    <n v="0"/>
    <n v="225000"/>
    <s v="Type A  _x000a_2AM-MRY1325"/>
    <s v="Added"/>
    <s v="2015 R"/>
    <s v="Indirect"/>
    <m/>
    <m/>
    <n v="0.4"/>
    <n v="0.3"/>
    <n v="0.2"/>
    <n v="0.1"/>
    <m/>
    <m/>
    <m/>
    <m/>
    <n v="0"/>
    <m/>
    <n v="90000"/>
    <n v="67500"/>
    <n v="45000"/>
    <n v="22500"/>
    <n v="0"/>
    <n v="0"/>
    <n v="0"/>
    <n v="0"/>
  </r>
  <r>
    <x v="4"/>
    <x v="4"/>
    <x v="9"/>
    <x v="9"/>
    <x v="14"/>
    <x v="12"/>
    <x v="26"/>
    <x v="14"/>
    <m/>
    <m/>
    <m/>
    <s v="Indirect"/>
    <s v="Indirect"/>
    <s v="Indirect"/>
    <s v="Indirect"/>
    <m/>
    <s v="Engineering Fees"/>
    <m/>
    <m/>
    <m/>
    <m/>
    <m/>
    <m/>
    <m/>
    <m/>
    <m/>
    <m/>
    <m/>
    <m/>
    <n v="213000"/>
    <n v="0"/>
    <n v="0"/>
    <n v="1"/>
    <n v="0"/>
    <n v="0"/>
    <n v="1"/>
    <n v="213000"/>
    <n v="0"/>
    <n v="0"/>
    <n v="213000"/>
    <s v="Type A  _x000a_2AM-MRY1325"/>
    <s v="Added"/>
    <s v="2017-A"/>
    <s v="Indirect"/>
    <m/>
    <m/>
    <n v="0.4"/>
    <n v="0.3"/>
    <n v="0.2"/>
    <n v="0.1"/>
    <m/>
    <m/>
    <m/>
    <m/>
    <n v="0"/>
    <m/>
    <n v="85200"/>
    <n v="63900"/>
    <n v="42600"/>
    <n v="21300"/>
    <n v="0"/>
    <n v="0"/>
    <n v="0"/>
    <n v="0"/>
  </r>
  <r>
    <x v="6"/>
    <x v="6"/>
    <x v="12"/>
    <x v="8"/>
    <x v="34"/>
    <x v="10"/>
    <x v="94"/>
    <x v="62"/>
    <m/>
    <s v=""/>
    <s v="A3"/>
    <s v="Grade &amp; Re-Contour"/>
    <s v="A2"/>
    <s v="Site Works"/>
    <s v="Grade and Re-Contour"/>
    <s v="Grade and Contour"/>
    <s v="QMR2 Quarry (marginal decrease, area not used in 2017)"/>
    <m/>
    <n v="-6000"/>
    <s v="m2"/>
    <n v="1.2689880937499998E-2"/>
    <n v="0.14624999999999999"/>
    <n v="1.2689880937499998"/>
    <n v="0.39654534577546297"/>
    <n v="1.8102953457754629"/>
    <n v="-76.139285624999985"/>
    <n v="-877.5"/>
    <n v="-7613.9285624999984"/>
    <n v="-2379.272074652778"/>
    <n v="-10870.700637152775"/>
    <n v="0"/>
    <n v="0"/>
    <n v="1"/>
    <n v="0"/>
    <n v="0"/>
    <n v="1"/>
    <n v="-10870.700637152775"/>
    <n v="0"/>
    <n v="0"/>
    <n v="-10870.700637152775"/>
    <s v="Type A  _x000a_2AM-MRY1325"/>
    <s v="Added"/>
    <s v="2018-R"/>
    <s v="Direct "/>
    <m/>
    <m/>
    <n v="0.5"/>
    <n v="0.5"/>
    <m/>
    <m/>
    <m/>
    <m/>
    <m/>
    <m/>
    <n v="0"/>
    <m/>
    <n v="-5435.3503185763875"/>
    <n v="-5435.3503185763875"/>
    <n v="0"/>
    <n v="0"/>
    <n v="0"/>
    <n v="0"/>
    <n v="0"/>
    <n v="0"/>
  </r>
  <r>
    <x v="4"/>
    <x v="4"/>
    <x v="9"/>
    <x v="9"/>
    <x v="13"/>
    <x v="11"/>
    <x v="15"/>
    <x v="13"/>
    <m/>
    <m/>
    <m/>
    <s v="Indirect"/>
    <s v="Indirect"/>
    <s v="Indirect"/>
    <s v="Indirect"/>
    <m/>
    <s v="Mobilization of Workers Required for Reclamation"/>
    <m/>
    <m/>
    <m/>
    <m/>
    <m/>
    <m/>
    <m/>
    <m/>
    <m/>
    <m/>
    <m/>
    <m/>
    <n v="172000"/>
    <n v="0"/>
    <n v="0"/>
    <n v="1"/>
    <n v="0"/>
    <n v="0"/>
    <n v="1"/>
    <n v="172000"/>
    <n v="0"/>
    <n v="0"/>
    <n v="172000"/>
    <s v="Type A  _x000a_2AM-MRY1325"/>
    <s v="Added"/>
    <s v="2017-A"/>
    <s v="Indirect"/>
    <m/>
    <m/>
    <n v="0.2"/>
    <n v="0.2"/>
    <n v="0.2"/>
    <n v="0.1"/>
    <n v="0.1"/>
    <n v="0.1"/>
    <n v="0.05"/>
    <n v="0.05"/>
    <n v="0"/>
    <m/>
    <n v="34400"/>
    <n v="34400"/>
    <n v="34400"/>
    <n v="17200"/>
    <n v="17200"/>
    <n v="17200"/>
    <n v="8600"/>
    <n v="8600"/>
  </r>
  <r>
    <x v="4"/>
    <x v="4"/>
    <x v="9"/>
    <x v="9"/>
    <x v="14"/>
    <x v="12"/>
    <x v="16"/>
    <x v="14"/>
    <m/>
    <m/>
    <m/>
    <s v="Indirect"/>
    <s v="Indirect"/>
    <s v="Indirect"/>
    <s v="Indirect"/>
    <m/>
    <s v="Supervision, Project Management &amp; Contract Administration"/>
    <m/>
    <m/>
    <m/>
    <m/>
    <m/>
    <m/>
    <m/>
    <m/>
    <m/>
    <m/>
    <m/>
    <m/>
    <n v="151000"/>
    <n v="0"/>
    <n v="0"/>
    <n v="1"/>
    <n v="0"/>
    <n v="0"/>
    <n v="1"/>
    <n v="151000"/>
    <n v="0"/>
    <n v="0"/>
    <n v="151000"/>
    <s v="Type A  _x000a_2AM-MRY1325"/>
    <m/>
    <n v="2015"/>
    <s v="Indirect"/>
    <m/>
    <m/>
    <n v="0.2"/>
    <n v="0.2"/>
    <n v="0.2"/>
    <n v="0.1"/>
    <n v="0.1"/>
    <n v="0.1"/>
    <n v="0.05"/>
    <n v="0.05"/>
    <n v="0"/>
    <m/>
    <n v="30200"/>
    <n v="30200"/>
    <n v="30200"/>
    <n v="15100"/>
    <n v="15100"/>
    <n v="15100"/>
    <n v="7550"/>
    <n v="7550"/>
  </r>
  <r>
    <x v="6"/>
    <x v="6"/>
    <x v="12"/>
    <x v="8"/>
    <x v="21"/>
    <x v="16"/>
    <x v="34"/>
    <x v="30"/>
    <m/>
    <s v="MO-"/>
    <s v="O3"/>
    <s v="Heavy Mobile Equipment"/>
    <s v="O3"/>
    <s v="Mobile Equipment"/>
    <s v="Heavy Mobile Equipment"/>
    <s v="3rd Party Equipment"/>
    <s v="2017 - 3rd party contractor equipment from 2017 addendum not mobilized"/>
    <m/>
    <n v="-30"/>
    <s v="ea"/>
    <n v="13"/>
    <n v="120"/>
    <n v="1298.8739523809525"/>
    <n v="1200"/>
    <n v="2618.8739523809527"/>
    <n v="-390"/>
    <n v="-3600"/>
    <n v="-38966.218571428573"/>
    <n v="-36000"/>
    <n v="-78566.218571428573"/>
    <n v="96"/>
    <n v="-2880"/>
    <n v="1"/>
    <n v="0"/>
    <n v="0"/>
    <n v="1"/>
    <n v="-78566.218571428573"/>
    <n v="0"/>
    <n v="0"/>
    <n v="-78566.218571428573"/>
    <s v="Type A  _x000a_2AM-MRY1325"/>
    <s v="Removed"/>
    <s v="2018-R"/>
    <s v="Direct "/>
    <m/>
    <m/>
    <n v="0.33333333333333331"/>
    <m/>
    <n v="0.33333333333333331"/>
    <m/>
    <m/>
    <m/>
    <m/>
    <n v="0.33333333333333331"/>
    <n v="0"/>
    <m/>
    <n v="-26188.739523809523"/>
    <n v="0"/>
    <n v="-26188.739523809523"/>
    <n v="0"/>
    <n v="0"/>
    <n v="0"/>
    <n v="0"/>
    <n v="-26188.739523809523"/>
  </r>
  <r>
    <x v="4"/>
    <x v="4"/>
    <x v="9"/>
    <x v="9"/>
    <x v="13"/>
    <x v="11"/>
    <x v="15"/>
    <x v="22"/>
    <m/>
    <m/>
    <m/>
    <s v="Indirect"/>
    <s v="Indirect"/>
    <s v="Indirect"/>
    <s v="Indirect"/>
    <m/>
    <s v="Worker Accommodation &amp; Camp Operation"/>
    <m/>
    <m/>
    <m/>
    <m/>
    <m/>
    <m/>
    <m/>
    <m/>
    <m/>
    <m/>
    <m/>
    <m/>
    <n v="125194.65186063899"/>
    <n v="0"/>
    <n v="0"/>
    <n v="1"/>
    <n v="0"/>
    <n v="0"/>
    <n v="1"/>
    <n v="125194.65186063899"/>
    <n v="0"/>
    <n v="0"/>
    <n v="125194.65186063899"/>
    <s v="Type A  _x000a_2AM-MRY1325"/>
    <m/>
    <n v="2015"/>
    <s v="Indirect"/>
    <m/>
    <m/>
    <n v="0.2"/>
    <n v="0.2"/>
    <n v="0.2"/>
    <n v="0.1"/>
    <n v="0.1"/>
    <n v="0.1"/>
    <n v="0.05"/>
    <n v="0.05"/>
    <n v="0"/>
    <m/>
    <n v="25038.930372127797"/>
    <n v="25038.930372127797"/>
    <n v="25038.930372127797"/>
    <n v="12519.465186063899"/>
    <n v="12519.465186063899"/>
    <n v="12519.465186063899"/>
    <n v="6259.7325930319494"/>
    <n v="6259.7325930319494"/>
  </r>
  <r>
    <x v="4"/>
    <x v="4"/>
    <x v="9"/>
    <x v="9"/>
    <x v="13"/>
    <x v="11"/>
    <x v="15"/>
    <x v="13"/>
    <m/>
    <m/>
    <m/>
    <s v="Indirect"/>
    <s v="Indirect"/>
    <s v="Indirect"/>
    <s v="Indirect"/>
    <m/>
    <s v="Mobilization and Demobilization of Equipment and Materials by Sealift"/>
    <m/>
    <m/>
    <m/>
    <m/>
    <m/>
    <m/>
    <m/>
    <m/>
    <m/>
    <m/>
    <m/>
    <m/>
    <n v="126000"/>
    <n v="0"/>
    <n v="0"/>
    <n v="1"/>
    <n v="0"/>
    <n v="0"/>
    <n v="1"/>
    <n v="126000"/>
    <n v="0"/>
    <n v="0"/>
    <n v="126000"/>
    <s v="Type A  _x000a_2AM-MRY1325"/>
    <s v="Added"/>
    <n v="2017"/>
    <s v="Indirect"/>
    <m/>
    <m/>
    <n v="0.2"/>
    <n v="0.2"/>
    <n v="0.2"/>
    <n v="0.1"/>
    <n v="0.1"/>
    <n v="0.1"/>
    <n v="0.05"/>
    <n v="0.05"/>
    <n v="0"/>
    <m/>
    <n v="25200"/>
    <n v="25200"/>
    <n v="25200"/>
    <n v="12600"/>
    <n v="12600"/>
    <n v="12600"/>
    <n v="6300"/>
    <n v="6300"/>
  </r>
  <r>
    <x v="4"/>
    <x v="4"/>
    <x v="9"/>
    <x v="9"/>
    <x v="14"/>
    <x v="12"/>
    <x v="16"/>
    <x v="14"/>
    <m/>
    <m/>
    <m/>
    <s v="Indirect"/>
    <s v="Indirect"/>
    <s v="Indirect"/>
    <s v="Indirect"/>
    <m/>
    <s v="Supervision, Project Management &amp; Contract Administration"/>
    <m/>
    <m/>
    <m/>
    <m/>
    <m/>
    <m/>
    <m/>
    <m/>
    <m/>
    <m/>
    <m/>
    <m/>
    <n v="125000"/>
    <n v="0"/>
    <n v="0"/>
    <n v="1"/>
    <n v="0"/>
    <n v="0"/>
    <n v="1"/>
    <n v="125000"/>
    <n v="0"/>
    <n v="0"/>
    <n v="125000"/>
    <s v="Type A  _x000a_2AM-MRY1325"/>
    <s v="Added"/>
    <n v="2017"/>
    <s v="Indirect"/>
    <m/>
    <m/>
    <n v="0.2"/>
    <n v="0.2"/>
    <n v="0.2"/>
    <n v="0.1"/>
    <n v="0.1"/>
    <n v="0.1"/>
    <n v="0.05"/>
    <n v="0.05"/>
    <n v="0"/>
    <m/>
    <n v="25000"/>
    <n v="25000"/>
    <n v="25000"/>
    <n v="12500"/>
    <n v="12500"/>
    <n v="12500"/>
    <n v="6250"/>
    <n v="6250"/>
  </r>
  <r>
    <x v="4"/>
    <x v="4"/>
    <x v="9"/>
    <x v="9"/>
    <x v="13"/>
    <x v="11"/>
    <x v="15"/>
    <x v="22"/>
    <m/>
    <m/>
    <m/>
    <s v="Indirect"/>
    <s v="Indirect"/>
    <s v="Indirect"/>
    <s v="Indirect"/>
    <m/>
    <s v="Worker Accommodation &amp; Camp Operation"/>
    <m/>
    <m/>
    <m/>
    <m/>
    <m/>
    <m/>
    <m/>
    <m/>
    <m/>
    <m/>
    <m/>
    <m/>
    <n v="117000"/>
    <n v="0"/>
    <n v="0"/>
    <n v="1"/>
    <n v="0"/>
    <n v="0"/>
    <n v="1"/>
    <n v="117000"/>
    <n v="0"/>
    <n v="0"/>
    <n v="117000"/>
    <s v="Type A  _x000a_2AM-MRY1325"/>
    <s v="Added"/>
    <n v="2017"/>
    <s v="Indirect"/>
    <m/>
    <m/>
    <n v="0.2"/>
    <n v="0.2"/>
    <n v="0.2"/>
    <n v="0.1"/>
    <n v="0.1"/>
    <n v="0.1"/>
    <n v="0.05"/>
    <n v="0.05"/>
    <n v="0"/>
    <m/>
    <n v="23400"/>
    <n v="23400"/>
    <n v="23400"/>
    <n v="11700"/>
    <n v="11700"/>
    <n v="11700"/>
    <n v="5850"/>
    <n v="5850"/>
  </r>
  <r>
    <x v="4"/>
    <x v="4"/>
    <x v="9"/>
    <x v="9"/>
    <x v="13"/>
    <x v="11"/>
    <x v="15"/>
    <x v="13"/>
    <m/>
    <m/>
    <m/>
    <s v="Indirect"/>
    <s v="Indirect"/>
    <s v="Indirect"/>
    <s v="Indirect"/>
    <m/>
    <s v="Mobilization and Demobilization of Equipment and Materials by Sealift"/>
    <m/>
    <m/>
    <m/>
    <m/>
    <m/>
    <m/>
    <m/>
    <m/>
    <m/>
    <m/>
    <m/>
    <m/>
    <n v="76000"/>
    <n v="0"/>
    <n v="0"/>
    <n v="1"/>
    <n v="0"/>
    <n v="0"/>
    <n v="1"/>
    <n v="76000"/>
    <n v="0"/>
    <n v="0"/>
    <n v="76000"/>
    <s v="Type A  _x000a_2AM-MRY1325"/>
    <m/>
    <n v="2015"/>
    <s v="Indirect"/>
    <m/>
    <m/>
    <n v="0.2"/>
    <n v="0.2"/>
    <n v="0.2"/>
    <n v="0.1"/>
    <n v="0.1"/>
    <n v="0.1"/>
    <n v="0.05"/>
    <n v="0.05"/>
    <n v="0"/>
    <m/>
    <n v="15200"/>
    <n v="15200"/>
    <n v="15200"/>
    <n v="7600"/>
    <n v="7600"/>
    <n v="7600"/>
    <n v="3800"/>
    <n v="3800"/>
  </r>
  <r>
    <x v="4"/>
    <x v="4"/>
    <x v="9"/>
    <x v="9"/>
    <x v="13"/>
    <x v="11"/>
    <x v="15"/>
    <x v="22"/>
    <m/>
    <m/>
    <m/>
    <s v="Indirect"/>
    <s v="Indirect"/>
    <s v="Indirect"/>
    <s v="Indirect"/>
    <m/>
    <s v="Worker Accommodation &amp; Camp Operation"/>
    <m/>
    <m/>
    <m/>
    <m/>
    <m/>
    <m/>
    <m/>
    <m/>
    <m/>
    <m/>
    <m/>
    <m/>
    <n v="78000"/>
    <n v="0"/>
    <n v="0"/>
    <n v="0.79044140080480418"/>
    <n v="0.20955859919519582"/>
    <n v="0"/>
    <n v="1"/>
    <n v="61654.429262774727"/>
    <n v="16345.570737225273"/>
    <n v="0"/>
    <n v="78000"/>
    <s v="Type A  _x000a_2AM-MRY1325"/>
    <s v="Added"/>
    <n v="2016"/>
    <s v="Indirect"/>
    <m/>
    <m/>
    <n v="0.2"/>
    <n v="0.2"/>
    <n v="0.2"/>
    <n v="0.1"/>
    <n v="0.1"/>
    <n v="0.1"/>
    <n v="0.05"/>
    <n v="0.05"/>
    <n v="0"/>
    <m/>
    <n v="15600"/>
    <n v="15600"/>
    <n v="15600"/>
    <n v="7800"/>
    <n v="7800"/>
    <n v="7800"/>
    <n v="3900"/>
    <n v="3900"/>
  </r>
  <r>
    <x v="4"/>
    <x v="4"/>
    <x v="9"/>
    <x v="9"/>
    <x v="13"/>
    <x v="15"/>
    <x v="15"/>
    <x v="163"/>
    <m/>
    <m/>
    <m/>
    <m/>
    <s v="Indirect"/>
    <s v="Indirect"/>
    <m/>
    <m/>
    <s v="Contaminated Soil Treatment"/>
    <m/>
    <m/>
    <m/>
    <m/>
    <m/>
    <m/>
    <m/>
    <m/>
    <m/>
    <m/>
    <m/>
    <m/>
    <n v="63000"/>
    <n v="0"/>
    <n v="0"/>
    <n v="1"/>
    <n v="0"/>
    <n v="0"/>
    <n v="1"/>
    <n v="63000"/>
    <n v="0"/>
    <n v="0"/>
    <n v="63000"/>
    <s v="Type A  _x000a_2AM-MRY1325"/>
    <s v="Added"/>
    <n v="2017"/>
    <s v="Indirect"/>
    <m/>
    <m/>
    <n v="0.33333333333333331"/>
    <n v="0.33333333333333331"/>
    <n v="0.33333333333333331"/>
    <m/>
    <m/>
    <m/>
    <m/>
    <m/>
    <n v="0"/>
    <m/>
    <n v="21000"/>
    <n v="21000"/>
    <n v="21000"/>
    <n v="0"/>
    <n v="0"/>
    <n v="0"/>
    <n v="0"/>
    <n v="0"/>
  </r>
  <r>
    <x v="4"/>
    <x v="4"/>
    <x v="9"/>
    <x v="9"/>
    <x v="13"/>
    <x v="11"/>
    <x v="15"/>
    <x v="13"/>
    <m/>
    <m/>
    <m/>
    <s v="Indirect"/>
    <s v="Indirect"/>
    <s v="Indirect"/>
    <s v="Indirect"/>
    <m/>
    <s v="Mobilization and Demobilization of Equipment and Materials by Sealift"/>
    <m/>
    <m/>
    <m/>
    <m/>
    <m/>
    <m/>
    <m/>
    <m/>
    <m/>
    <m/>
    <m/>
    <m/>
    <n v="58000"/>
    <n v="0"/>
    <n v="0"/>
    <n v="0.79044140080480418"/>
    <n v="0.20955859919519582"/>
    <n v="0"/>
    <n v="1"/>
    <n v="45845.601246678641"/>
    <n v="12154.398753321357"/>
    <n v="0"/>
    <n v="58000"/>
    <s v="Type A  _x000a_2AM-MRY1325"/>
    <s v="Added"/>
    <n v="2016"/>
    <s v="Indirect"/>
    <m/>
    <m/>
    <n v="0.2"/>
    <n v="0.2"/>
    <n v="0.2"/>
    <n v="0.1"/>
    <n v="0.1"/>
    <n v="0.1"/>
    <n v="0.05"/>
    <n v="0.05"/>
    <n v="0"/>
    <m/>
    <n v="11600"/>
    <n v="11600"/>
    <n v="11600"/>
    <n v="5800"/>
    <n v="5800"/>
    <n v="5800"/>
    <n v="2900"/>
    <n v="2900"/>
  </r>
  <r>
    <x v="4"/>
    <x v="4"/>
    <x v="9"/>
    <x v="9"/>
    <x v="14"/>
    <x v="12"/>
    <x v="16"/>
    <x v="14"/>
    <m/>
    <m/>
    <m/>
    <s v="Indirect"/>
    <s v="Indirect"/>
    <s v="Indirect"/>
    <s v="Indirect"/>
    <m/>
    <s v="Supervision, Project Management &amp; Contract Administration"/>
    <m/>
    <m/>
    <m/>
    <m/>
    <m/>
    <m/>
    <m/>
    <m/>
    <m/>
    <m/>
    <m/>
    <m/>
    <n v="55000"/>
    <n v="0"/>
    <n v="0"/>
    <n v="0.79044140080480418"/>
    <n v="0.20955859919519582"/>
    <n v="0"/>
    <n v="1"/>
    <n v="43474.277044264229"/>
    <n v="11525.72295573577"/>
    <n v="0"/>
    <n v="55000"/>
    <s v="Type A  _x000a_2AM-MRY1325"/>
    <s v="Added"/>
    <n v="2016"/>
    <s v="Indirect"/>
    <m/>
    <m/>
    <n v="0.2"/>
    <n v="0.2"/>
    <n v="0.2"/>
    <n v="0.1"/>
    <n v="0.1"/>
    <n v="0.1"/>
    <n v="0.05"/>
    <n v="0.05"/>
    <n v="0"/>
    <m/>
    <n v="11000"/>
    <n v="11000"/>
    <n v="11000"/>
    <n v="5500"/>
    <n v="5500"/>
    <n v="5500"/>
    <n v="2750"/>
    <n v="2750"/>
  </r>
  <r>
    <x v="4"/>
    <x v="4"/>
    <x v="9"/>
    <x v="9"/>
    <x v="14"/>
    <x v="12"/>
    <x v="26"/>
    <x v="14"/>
    <m/>
    <m/>
    <m/>
    <s v="Indirect"/>
    <s v="Indirect"/>
    <s v="Indirect"/>
    <s v="Indirect"/>
    <m/>
    <s v="Engineering Fees"/>
    <m/>
    <m/>
    <m/>
    <m/>
    <m/>
    <m/>
    <m/>
    <m/>
    <m/>
    <m/>
    <m/>
    <m/>
    <n v="49000"/>
    <n v="0"/>
    <n v="0"/>
    <n v="1"/>
    <n v="0"/>
    <n v="0"/>
    <n v="1"/>
    <n v="49000"/>
    <n v="0"/>
    <n v="0"/>
    <n v="49000"/>
    <s v="Type A  _x000a_2AM-MRY1325"/>
    <s v="Added"/>
    <n v="2017"/>
    <s v="Indirect"/>
    <m/>
    <m/>
    <n v="0.4"/>
    <n v="0.3"/>
    <n v="0.2"/>
    <n v="0.1"/>
    <m/>
    <m/>
    <m/>
    <m/>
    <n v="0"/>
    <m/>
    <n v="19600"/>
    <n v="14700"/>
    <n v="9800"/>
    <n v="4900"/>
    <n v="0"/>
    <n v="0"/>
    <n v="0"/>
    <n v="0"/>
  </r>
  <r>
    <x v="4"/>
    <x v="4"/>
    <x v="9"/>
    <x v="9"/>
    <x v="13"/>
    <x v="11"/>
    <x v="15"/>
    <x v="22"/>
    <m/>
    <m/>
    <m/>
    <s v="Indirect"/>
    <s v="Indirect"/>
    <s v="Indirect"/>
    <s v="Indirect"/>
    <m/>
    <s v="Worker Accommodation &amp; Camp Operation"/>
    <m/>
    <m/>
    <m/>
    <m/>
    <m/>
    <m/>
    <m/>
    <m/>
    <m/>
    <m/>
    <m/>
    <m/>
    <n v="47000"/>
    <n v="0"/>
    <n v="0"/>
    <n v="1"/>
    <n v="0"/>
    <n v="0"/>
    <n v="1"/>
    <n v="47000"/>
    <n v="0"/>
    <n v="0"/>
    <n v="47000"/>
    <s v="Type A  _x000a_2AM-MRY1325"/>
    <m/>
    <s v="2015 A"/>
    <s v="Indirect"/>
    <m/>
    <m/>
    <n v="0.2"/>
    <n v="0.2"/>
    <n v="0.2"/>
    <n v="0.1"/>
    <n v="0.1"/>
    <n v="0.1"/>
    <n v="0.05"/>
    <n v="0.05"/>
    <n v="0"/>
    <m/>
    <n v="9400"/>
    <n v="9400"/>
    <n v="9400"/>
    <n v="4700"/>
    <n v="4700"/>
    <n v="4700"/>
    <n v="2350"/>
    <n v="2350"/>
  </r>
  <r>
    <x v="4"/>
    <x v="4"/>
    <x v="9"/>
    <x v="9"/>
    <x v="13"/>
    <x v="11"/>
    <x v="15"/>
    <x v="13"/>
    <m/>
    <m/>
    <m/>
    <s v="Indirect"/>
    <s v="Indirect"/>
    <s v="Indirect"/>
    <s v="Indirect"/>
    <m/>
    <s v="Mobilization of Workers Required for Reclamation"/>
    <m/>
    <m/>
    <m/>
    <m/>
    <m/>
    <m/>
    <m/>
    <m/>
    <m/>
    <m/>
    <m/>
    <m/>
    <n v="46000"/>
    <n v="0"/>
    <n v="0"/>
    <n v="1"/>
    <n v="0"/>
    <n v="0"/>
    <n v="1"/>
    <n v="46000"/>
    <n v="0"/>
    <n v="0"/>
    <n v="46000"/>
    <s v="Type A  _x000a_2AM-MRY1325"/>
    <m/>
    <n v="2015"/>
    <s v="Indirect"/>
    <m/>
    <m/>
    <n v="0.2"/>
    <n v="0.2"/>
    <n v="0.2"/>
    <n v="0.1"/>
    <n v="0.1"/>
    <n v="0.1"/>
    <n v="0.05"/>
    <n v="0.05"/>
    <n v="0"/>
    <m/>
    <n v="9200"/>
    <n v="9200"/>
    <n v="9200"/>
    <n v="4600"/>
    <n v="4600"/>
    <n v="4600"/>
    <n v="2300"/>
    <n v="2300"/>
  </r>
  <r>
    <x v="4"/>
    <x v="4"/>
    <x v="9"/>
    <x v="9"/>
    <x v="13"/>
    <x v="11"/>
    <x v="15"/>
    <x v="13"/>
    <m/>
    <m/>
    <m/>
    <s v="Indirect"/>
    <s v="Indirect"/>
    <s v="Indirect"/>
    <s v="Indirect"/>
    <m/>
    <s v="Mobilization of Workers Required for Reclamation"/>
    <m/>
    <m/>
    <m/>
    <m/>
    <m/>
    <m/>
    <m/>
    <m/>
    <m/>
    <m/>
    <m/>
    <m/>
    <n v="43000"/>
    <n v="0"/>
    <n v="0"/>
    <n v="1"/>
    <n v="0"/>
    <n v="0"/>
    <n v="1"/>
    <n v="43000"/>
    <n v="0"/>
    <n v="0"/>
    <n v="43000"/>
    <s v="Type A  _x000a_2AM-MRY1325"/>
    <s v="Added"/>
    <n v="2017"/>
    <s v="Indirect"/>
    <m/>
    <m/>
    <n v="0.2"/>
    <n v="0.2"/>
    <n v="0.2"/>
    <n v="0.1"/>
    <n v="0.1"/>
    <n v="0.1"/>
    <n v="0.05"/>
    <n v="0.05"/>
    <n v="0"/>
    <m/>
    <n v="8600"/>
    <n v="8600"/>
    <n v="8600"/>
    <n v="4300"/>
    <n v="4300"/>
    <n v="4300"/>
    <n v="2150"/>
    <n v="2150"/>
  </r>
  <r>
    <x v="4"/>
    <x v="4"/>
    <x v="9"/>
    <x v="9"/>
    <x v="13"/>
    <x v="11"/>
    <x v="15"/>
    <x v="13"/>
    <m/>
    <m/>
    <m/>
    <s v="Indirect"/>
    <s v="Indirect"/>
    <s v="Indirect"/>
    <s v="Indirect"/>
    <m/>
    <s v="Mobilization and Demobilization of Equipment and Materials by Sealift"/>
    <m/>
    <m/>
    <m/>
    <m/>
    <m/>
    <m/>
    <m/>
    <m/>
    <m/>
    <m/>
    <m/>
    <m/>
    <n v="35000"/>
    <n v="0"/>
    <n v="0"/>
    <n v="1"/>
    <n v="0"/>
    <n v="0"/>
    <n v="1"/>
    <n v="35000"/>
    <n v="0"/>
    <n v="0"/>
    <n v="35000"/>
    <s v="Type A  _x000a_2AM-MRY1325"/>
    <m/>
    <s v="2015 A"/>
    <s v="Indirect"/>
    <m/>
    <m/>
    <n v="0.2"/>
    <n v="0.2"/>
    <n v="0.2"/>
    <n v="0.1"/>
    <n v="0.1"/>
    <n v="0.1"/>
    <n v="0.05"/>
    <n v="0.05"/>
    <n v="0"/>
    <m/>
    <n v="7000"/>
    <n v="7000"/>
    <n v="7000"/>
    <n v="3500"/>
    <n v="3500"/>
    <n v="3500"/>
    <n v="1750"/>
    <n v="1750"/>
  </r>
  <r>
    <x v="4"/>
    <x v="4"/>
    <x v="9"/>
    <x v="9"/>
    <x v="14"/>
    <x v="12"/>
    <x v="16"/>
    <x v="14"/>
    <m/>
    <m/>
    <m/>
    <s v="Indirect"/>
    <s v="Indirect"/>
    <s v="Indirect"/>
    <s v="Indirect"/>
    <m/>
    <s v="Supervision, Project Management &amp; Contract Administration"/>
    <m/>
    <m/>
    <m/>
    <m/>
    <m/>
    <m/>
    <m/>
    <m/>
    <m/>
    <m/>
    <m/>
    <m/>
    <n v="33000"/>
    <n v="0"/>
    <n v="0"/>
    <n v="1"/>
    <n v="0"/>
    <n v="0"/>
    <n v="1"/>
    <n v="33000"/>
    <n v="0"/>
    <n v="0"/>
    <n v="33000"/>
    <s v="Type A  _x000a_2AM-MRY1325"/>
    <m/>
    <s v="2015 A"/>
    <s v="Indirect"/>
    <m/>
    <m/>
    <n v="0.2"/>
    <n v="0.2"/>
    <n v="0.2"/>
    <n v="0.1"/>
    <n v="0.1"/>
    <n v="0.1"/>
    <n v="0.05"/>
    <n v="0.05"/>
    <n v="0"/>
    <m/>
    <n v="6600"/>
    <n v="6600"/>
    <n v="6600"/>
    <n v="3300"/>
    <n v="3300"/>
    <n v="3300"/>
    <n v="1650"/>
    <n v="1650"/>
  </r>
  <r>
    <x v="4"/>
    <x v="4"/>
    <x v="9"/>
    <x v="9"/>
    <x v="13"/>
    <x v="15"/>
    <x v="15"/>
    <x v="27"/>
    <m/>
    <m/>
    <m/>
    <s v="Indirect"/>
    <s v="Indirect"/>
    <s v="Indirect"/>
    <s v="Indirect"/>
    <m/>
    <s v="Fuel"/>
    <m/>
    <m/>
    <m/>
    <m/>
    <m/>
    <m/>
    <m/>
    <m/>
    <m/>
    <m/>
    <m/>
    <m/>
    <n v="30000"/>
    <n v="0"/>
    <n v="0"/>
    <n v="1"/>
    <n v="0"/>
    <n v="0"/>
    <n v="1"/>
    <n v="30000"/>
    <n v="0"/>
    <n v="0"/>
    <n v="30000"/>
    <s v="Type A  _x000a_2AM-MRY1325"/>
    <m/>
    <n v="2015"/>
    <s v="Indirect"/>
    <m/>
    <m/>
    <n v="0.33333333333333331"/>
    <n v="0.33333333333333331"/>
    <n v="0.33333333333333331"/>
    <m/>
    <m/>
    <m/>
    <m/>
    <m/>
    <n v="0"/>
    <m/>
    <n v="10000"/>
    <n v="10000"/>
    <n v="10000"/>
    <n v="0"/>
    <n v="0"/>
    <n v="0"/>
    <n v="0"/>
    <n v="0"/>
  </r>
  <r>
    <x v="4"/>
    <x v="4"/>
    <x v="9"/>
    <x v="9"/>
    <x v="14"/>
    <x v="12"/>
    <x v="26"/>
    <x v="14"/>
    <m/>
    <m/>
    <m/>
    <s v="Indirect"/>
    <s v="Indirect"/>
    <s v="Indirect"/>
    <s v="Indirect"/>
    <m/>
    <s v="Engineering Fees"/>
    <m/>
    <m/>
    <m/>
    <m/>
    <m/>
    <m/>
    <m/>
    <m/>
    <m/>
    <m/>
    <m/>
    <m/>
    <n v="30000"/>
    <n v="0"/>
    <n v="0"/>
    <n v="1"/>
    <n v="0"/>
    <n v="0"/>
    <n v="1"/>
    <n v="30000"/>
    <n v="0"/>
    <n v="0"/>
    <n v="30000"/>
    <s v="Type A  _x000a_2AM-MRY1325"/>
    <m/>
    <n v="2015"/>
    <s v="Indirect"/>
    <m/>
    <m/>
    <n v="0.4"/>
    <n v="0.3"/>
    <n v="0.2"/>
    <n v="0.1"/>
    <m/>
    <m/>
    <m/>
    <m/>
    <n v="0"/>
    <m/>
    <n v="12000"/>
    <n v="9000"/>
    <n v="6000"/>
    <n v="3000"/>
    <n v="0"/>
    <n v="0"/>
    <n v="0"/>
    <n v="0"/>
  </r>
  <r>
    <x v="4"/>
    <x v="4"/>
    <x v="9"/>
    <x v="9"/>
    <x v="13"/>
    <x v="15"/>
    <x v="15"/>
    <x v="27"/>
    <m/>
    <m/>
    <m/>
    <s v="Indirect"/>
    <s v="Indirect"/>
    <s v="Indirect"/>
    <s v="Indirect"/>
    <m/>
    <s v="Fuel"/>
    <m/>
    <m/>
    <m/>
    <m/>
    <m/>
    <m/>
    <m/>
    <m/>
    <m/>
    <m/>
    <m/>
    <m/>
    <n v="30000"/>
    <n v="0"/>
    <n v="0"/>
    <n v="1"/>
    <n v="0"/>
    <n v="0"/>
    <n v="1"/>
    <n v="30000"/>
    <n v="0"/>
    <n v="0"/>
    <n v="30000"/>
    <s v="Type A  _x000a_2AM-MRY1325"/>
    <s v="Added"/>
    <n v="2017"/>
    <s v="Indirect"/>
    <m/>
    <m/>
    <n v="0.33333333333333331"/>
    <n v="0.33333333333333331"/>
    <n v="0.33333333333333331"/>
    <m/>
    <m/>
    <m/>
    <m/>
    <m/>
    <n v="0"/>
    <m/>
    <n v="10000"/>
    <n v="10000"/>
    <n v="10000"/>
    <n v="0"/>
    <n v="0"/>
    <n v="0"/>
    <n v="0"/>
    <n v="0"/>
  </r>
  <r>
    <x v="4"/>
    <x v="4"/>
    <x v="9"/>
    <x v="9"/>
    <x v="13"/>
    <x v="11"/>
    <x v="15"/>
    <x v="13"/>
    <m/>
    <m/>
    <m/>
    <s v="Indirect"/>
    <s v="Indirect"/>
    <s v="Indirect"/>
    <s v="Indirect"/>
    <m/>
    <s v="Mobilization of Workers Required for Reclamation"/>
    <m/>
    <m/>
    <m/>
    <m/>
    <m/>
    <m/>
    <m/>
    <m/>
    <m/>
    <m/>
    <m/>
    <m/>
    <n v="29000"/>
    <n v="0"/>
    <n v="0"/>
    <n v="0.79044140080480418"/>
    <n v="0.20955859919519582"/>
    <n v="0"/>
    <n v="1"/>
    <n v="22922.800623339321"/>
    <n v="6077.1993766606784"/>
    <n v="0"/>
    <n v="29000"/>
    <s v="Type A  _x000a_2AM-MRY1325"/>
    <s v="Added"/>
    <n v="2016"/>
    <s v="Indirect"/>
    <m/>
    <m/>
    <n v="0.2"/>
    <n v="0.2"/>
    <n v="0.2"/>
    <n v="0.1"/>
    <n v="0.1"/>
    <n v="0.1"/>
    <n v="0.05"/>
    <n v="0.05"/>
    <n v="0"/>
    <m/>
    <n v="5800"/>
    <n v="5800"/>
    <n v="5800"/>
    <n v="2900"/>
    <n v="2900"/>
    <n v="2900"/>
    <n v="1450"/>
    <n v="1450"/>
  </r>
  <r>
    <x v="4"/>
    <x v="4"/>
    <x v="9"/>
    <x v="9"/>
    <x v="14"/>
    <x v="12"/>
    <x v="26"/>
    <x v="14"/>
    <m/>
    <m/>
    <m/>
    <s v="Indirect"/>
    <s v="Indirect"/>
    <s v="Indirect"/>
    <s v="Indirect"/>
    <m/>
    <s v="Engineering Fees"/>
    <m/>
    <m/>
    <m/>
    <m/>
    <m/>
    <m/>
    <m/>
    <m/>
    <m/>
    <m/>
    <m/>
    <m/>
    <n v="23000"/>
    <n v="0"/>
    <n v="0"/>
    <n v="0.79044140080480418"/>
    <n v="0.20955859919519582"/>
    <n v="0"/>
    <n v="1"/>
    <n v="18180.152218510495"/>
    <n v="4819.8477814895041"/>
    <n v="0"/>
    <n v="23000"/>
    <s v="Type A  _x000a_2AM-MRY1325"/>
    <s v="Added"/>
    <n v="2016"/>
    <s v="Indirect"/>
    <m/>
    <m/>
    <n v="0.4"/>
    <n v="0.3"/>
    <n v="0.2"/>
    <n v="0.1"/>
    <m/>
    <m/>
    <m/>
    <m/>
    <n v="0"/>
    <m/>
    <n v="9200"/>
    <n v="6900"/>
    <n v="4600"/>
    <n v="2300"/>
    <n v="0"/>
    <n v="0"/>
    <n v="0"/>
    <n v="0"/>
  </r>
  <r>
    <x v="4"/>
    <x v="4"/>
    <x v="9"/>
    <x v="9"/>
    <x v="13"/>
    <x v="11"/>
    <x v="15"/>
    <x v="13"/>
    <m/>
    <m/>
    <m/>
    <s v="Indirect"/>
    <s v="Indirect"/>
    <s v="Indirect"/>
    <s v="Indirect"/>
    <m/>
    <s v="Mobilization of Workers Required for Reclamation"/>
    <m/>
    <m/>
    <m/>
    <m/>
    <m/>
    <m/>
    <m/>
    <m/>
    <m/>
    <m/>
    <m/>
    <m/>
    <n v="17000"/>
    <n v="0"/>
    <n v="0"/>
    <n v="1"/>
    <n v="0"/>
    <n v="0"/>
    <n v="1"/>
    <n v="17000"/>
    <n v="0"/>
    <n v="0"/>
    <n v="17000"/>
    <s v="Type A  _x000a_2AM-MRY1325"/>
    <m/>
    <s v="2015 A"/>
    <s v="Indirect"/>
    <m/>
    <m/>
    <n v="0.2"/>
    <n v="0.2"/>
    <n v="0.2"/>
    <n v="0.1"/>
    <n v="0.1"/>
    <n v="0.1"/>
    <n v="0.05"/>
    <n v="0.05"/>
    <n v="0"/>
    <m/>
    <n v="3400"/>
    <n v="3400"/>
    <n v="3400"/>
    <n v="1700"/>
    <n v="1700"/>
    <n v="1700"/>
    <n v="850"/>
    <n v="850"/>
  </r>
  <r>
    <x v="4"/>
    <x v="4"/>
    <x v="9"/>
    <x v="9"/>
    <x v="14"/>
    <x v="12"/>
    <x v="26"/>
    <x v="14"/>
    <m/>
    <m/>
    <m/>
    <s v="Indirect"/>
    <s v="Indirect"/>
    <s v="Indirect"/>
    <s v="Indirect"/>
    <m/>
    <s v="Engineering Fees"/>
    <m/>
    <m/>
    <m/>
    <m/>
    <m/>
    <m/>
    <m/>
    <m/>
    <m/>
    <m/>
    <m/>
    <m/>
    <n v="14000"/>
    <n v="0"/>
    <n v="0"/>
    <n v="1"/>
    <n v="0"/>
    <n v="0"/>
    <n v="1"/>
    <n v="14000"/>
    <n v="0"/>
    <n v="0"/>
    <n v="14000"/>
    <s v="Type A  _x000a_2AM-MRY1325"/>
    <m/>
    <s v="2015 A"/>
    <s v="Indirect"/>
    <m/>
    <m/>
    <n v="0.4"/>
    <n v="0.3"/>
    <n v="0.2"/>
    <n v="0.1"/>
    <m/>
    <m/>
    <m/>
    <m/>
    <n v="0"/>
    <m/>
    <n v="5600"/>
    <n v="4200"/>
    <n v="2800"/>
    <n v="1400"/>
    <n v="0"/>
    <n v="0"/>
    <n v="0"/>
    <n v="0"/>
  </r>
  <r>
    <x v="4"/>
    <x v="4"/>
    <x v="9"/>
    <x v="9"/>
    <x v="13"/>
    <x v="15"/>
    <x v="15"/>
    <x v="27"/>
    <m/>
    <m/>
    <m/>
    <s v="Indirect"/>
    <s v="Indirect"/>
    <s v="Indirect"/>
    <s v="Indirect"/>
    <m/>
    <s v="Fuel"/>
    <m/>
    <m/>
    <m/>
    <m/>
    <m/>
    <m/>
    <m/>
    <m/>
    <m/>
    <m/>
    <m/>
    <m/>
    <n v="14000"/>
    <n v="0"/>
    <n v="0"/>
    <n v="1"/>
    <n v="0"/>
    <n v="0"/>
    <n v="1"/>
    <n v="14000"/>
    <n v="0"/>
    <n v="0"/>
    <n v="14000"/>
    <s v="Type A  _x000a_2AM-MRY1325"/>
    <s v="Added"/>
    <n v="2016"/>
    <s v="Indirect"/>
    <m/>
    <m/>
    <n v="0.33333333333333331"/>
    <n v="0.33333333333333331"/>
    <n v="0.33333333333333331"/>
    <m/>
    <m/>
    <m/>
    <m/>
    <m/>
    <n v="0"/>
    <m/>
    <n v="4666.6666666666661"/>
    <n v="4666.6666666666661"/>
    <n v="4666.6666666666661"/>
    <n v="0"/>
    <n v="0"/>
    <n v="0"/>
    <n v="0"/>
    <n v="0"/>
  </r>
  <r>
    <x v="4"/>
    <x v="4"/>
    <x v="9"/>
    <x v="9"/>
    <x v="13"/>
    <x v="15"/>
    <x v="15"/>
    <x v="27"/>
    <m/>
    <m/>
    <m/>
    <s v="Indirect"/>
    <s v="Indirect"/>
    <s v="Indirect"/>
    <s v="Indirect"/>
    <m/>
    <s v="Fuel"/>
    <m/>
    <m/>
    <m/>
    <m/>
    <m/>
    <m/>
    <m/>
    <m/>
    <m/>
    <m/>
    <m/>
    <m/>
    <n v="9000"/>
    <n v="0"/>
    <n v="0"/>
    <n v="1"/>
    <n v="0"/>
    <n v="0"/>
    <n v="1"/>
    <n v="9000"/>
    <n v="0"/>
    <n v="0"/>
    <n v="9000"/>
    <s v="Type A  _x000a_2AM-MRY1325"/>
    <m/>
    <s v="2015 A"/>
    <s v="Indirect"/>
    <m/>
    <m/>
    <n v="0.33333333333333331"/>
    <n v="0.33333333333333331"/>
    <n v="0.33333333333333331"/>
    <m/>
    <m/>
    <m/>
    <m/>
    <m/>
    <n v="0"/>
    <m/>
    <n v="3000"/>
    <n v="3000"/>
    <n v="3000"/>
    <n v="0"/>
    <n v="0"/>
    <n v="0"/>
    <n v="0"/>
    <n v="0"/>
  </r>
  <r>
    <x v="4"/>
    <x v="4"/>
    <x v="9"/>
    <x v="9"/>
    <x v="13"/>
    <x v="15"/>
    <x v="15"/>
    <x v="163"/>
    <m/>
    <m/>
    <m/>
    <m/>
    <s v="Indirect"/>
    <s v="Indirect"/>
    <m/>
    <m/>
    <s v="Contaminated Soil Treatment"/>
    <m/>
    <m/>
    <m/>
    <m/>
    <m/>
    <m/>
    <m/>
    <m/>
    <m/>
    <m/>
    <m/>
    <m/>
    <n v="5000"/>
    <n v="0"/>
    <n v="0"/>
    <n v="1"/>
    <n v="0"/>
    <n v="0"/>
    <n v="1"/>
    <n v="5000"/>
    <n v="0"/>
    <n v="0"/>
    <n v="5000"/>
    <s v="Type A  _x000a_2AM-MRY1325"/>
    <s v="Added"/>
    <s v="2015 R"/>
    <s v="Indirect"/>
    <m/>
    <m/>
    <n v="0.33333333333333331"/>
    <n v="0.33333333333333331"/>
    <n v="0.33333333333333331"/>
    <m/>
    <m/>
    <m/>
    <m/>
    <m/>
    <n v="0"/>
    <m/>
    <n v="1666.6666666666665"/>
    <n v="1666.6666666666665"/>
    <n v="1666.6666666666665"/>
    <n v="0"/>
    <n v="0"/>
    <n v="0"/>
    <n v="0"/>
    <n v="0"/>
  </r>
  <r>
    <x v="4"/>
    <x v="4"/>
    <x v="9"/>
    <x v="9"/>
    <x v="78"/>
    <x v="44"/>
    <x v="197"/>
    <x v="14"/>
    <m/>
    <m/>
    <m/>
    <m/>
    <s v="Indirect"/>
    <s v="Indirect"/>
    <m/>
    <m/>
    <s v="Geotechnical Inspections"/>
    <m/>
    <m/>
    <m/>
    <m/>
    <m/>
    <m/>
    <m/>
    <m/>
    <m/>
    <m/>
    <m/>
    <m/>
    <n v="0"/>
    <n v="0"/>
    <n v="0"/>
    <n v="1"/>
    <n v="0"/>
    <n v="0"/>
    <n v="1"/>
    <n v="0"/>
    <n v="0"/>
    <n v="0"/>
    <n v="0"/>
    <s v="Type A  _x000a_2AM-MRY1325"/>
    <s v="Removed"/>
    <n v="2015"/>
    <s v="Indirect"/>
    <m/>
    <m/>
    <m/>
    <m/>
    <m/>
    <n v="0.2"/>
    <n v="0.2"/>
    <n v="0.2"/>
    <n v="0.2"/>
    <n v="0.2"/>
    <n v="0"/>
    <m/>
    <n v="0"/>
    <n v="0"/>
    <n v="0"/>
    <n v="0"/>
    <n v="0"/>
    <n v="0"/>
    <n v="0"/>
    <n v="0"/>
  </r>
  <r>
    <x v="4"/>
    <x v="4"/>
    <x v="9"/>
    <x v="9"/>
    <x v="78"/>
    <x v="44"/>
    <x v="15"/>
    <x v="164"/>
    <m/>
    <m/>
    <m/>
    <m/>
    <s v="Indirect"/>
    <s v="Indirect"/>
    <m/>
    <m/>
    <s v="Project Environmental Site Assessment"/>
    <m/>
    <m/>
    <m/>
    <m/>
    <m/>
    <m/>
    <m/>
    <m/>
    <m/>
    <m/>
    <m/>
    <m/>
    <n v="0"/>
    <n v="0"/>
    <n v="0"/>
    <n v="1"/>
    <n v="0"/>
    <n v="0"/>
    <n v="1"/>
    <n v="0"/>
    <n v="0"/>
    <n v="0"/>
    <n v="0"/>
    <s v="Type A  _x000a_2AM-MRY1325"/>
    <s v="Removed"/>
    <n v="2015"/>
    <s v="Indirect"/>
    <m/>
    <m/>
    <m/>
    <m/>
    <m/>
    <n v="0.2"/>
    <n v="0.2"/>
    <n v="0.2"/>
    <n v="0.2"/>
    <n v="0.2"/>
    <n v="0"/>
    <m/>
    <n v="0"/>
    <n v="0"/>
    <n v="0"/>
    <n v="0"/>
    <n v="0"/>
    <n v="0"/>
    <n v="0"/>
    <n v="0"/>
  </r>
  <r>
    <x v="4"/>
    <x v="4"/>
    <x v="9"/>
    <x v="9"/>
    <x v="13"/>
    <x v="15"/>
    <x v="15"/>
    <x v="161"/>
    <m/>
    <m/>
    <m/>
    <s v="Indirect"/>
    <s v="Indirect"/>
    <s v="Indirect"/>
    <s v="Indirect"/>
    <m/>
    <s v="Ammonium Nitrate (explosive material)"/>
    <m/>
    <m/>
    <m/>
    <m/>
    <m/>
    <m/>
    <m/>
    <m/>
    <m/>
    <m/>
    <m/>
    <m/>
    <n v="0"/>
    <n v="0"/>
    <n v="0"/>
    <n v="1"/>
    <n v="0"/>
    <n v="0"/>
    <n v="1"/>
    <n v="0"/>
    <n v="0"/>
    <n v="0"/>
    <n v="0"/>
    <s v="Type A  _x000a_2AM-MRY1325"/>
    <s v="Removed"/>
    <n v="2015"/>
    <s v="Indirect"/>
    <m/>
    <m/>
    <n v="0.33333333333333331"/>
    <n v="0.33333333333333331"/>
    <n v="0.33333333333333331"/>
    <m/>
    <m/>
    <m/>
    <m/>
    <m/>
    <n v="0"/>
    <m/>
    <n v="0"/>
    <n v="0"/>
    <n v="0"/>
    <n v="0"/>
    <n v="0"/>
    <n v="0"/>
    <n v="0"/>
    <n v="0"/>
  </r>
  <r>
    <x v="4"/>
    <x v="4"/>
    <x v="9"/>
    <x v="9"/>
    <x v="13"/>
    <x v="15"/>
    <x v="15"/>
    <x v="162"/>
    <m/>
    <m/>
    <m/>
    <m/>
    <s v="Indirect"/>
    <s v="Indirect"/>
    <m/>
    <m/>
    <s v="Off-Site Disposal of Waste &amp; Material"/>
    <m/>
    <m/>
    <m/>
    <m/>
    <m/>
    <m/>
    <m/>
    <m/>
    <m/>
    <m/>
    <m/>
    <m/>
    <n v="0"/>
    <n v="0"/>
    <n v="0"/>
    <n v="1"/>
    <n v="0"/>
    <n v="0"/>
    <n v="1"/>
    <n v="0"/>
    <n v="0"/>
    <n v="0"/>
    <n v="0"/>
    <s v="Type A  _x000a_2AM-MRY1325"/>
    <m/>
    <n v="2015"/>
    <s v="Indirect"/>
    <m/>
    <m/>
    <n v="0.33333333333333331"/>
    <n v="0.33333333333333331"/>
    <n v="0.33333333333333331"/>
    <m/>
    <m/>
    <m/>
    <m/>
    <m/>
    <n v="0"/>
    <m/>
    <n v="0"/>
    <n v="0"/>
    <n v="0"/>
    <n v="0"/>
    <n v="0"/>
    <n v="0"/>
    <n v="0"/>
    <n v="0"/>
  </r>
  <r>
    <x v="4"/>
    <x v="4"/>
    <x v="9"/>
    <x v="9"/>
    <x v="13"/>
    <x v="15"/>
    <x v="15"/>
    <x v="163"/>
    <m/>
    <m/>
    <m/>
    <m/>
    <s v="Indirect"/>
    <s v="Indirect"/>
    <m/>
    <m/>
    <s v="Contaminated Soil Treatment"/>
    <m/>
    <m/>
    <m/>
    <m/>
    <m/>
    <m/>
    <m/>
    <m/>
    <m/>
    <m/>
    <m/>
    <m/>
    <n v="0"/>
    <n v="0"/>
    <n v="0"/>
    <n v="1"/>
    <n v="0"/>
    <n v="0"/>
    <n v="1"/>
    <n v="0"/>
    <n v="0"/>
    <n v="0"/>
    <n v="0"/>
    <s v="Type A  _x000a_2AM-MRY1325"/>
    <m/>
    <n v="2015"/>
    <s v="Indirect"/>
    <m/>
    <m/>
    <n v="0.33333333333333331"/>
    <n v="0.33333333333333331"/>
    <n v="0.33333333333333331"/>
    <m/>
    <m/>
    <m/>
    <m/>
    <m/>
    <n v="0"/>
    <m/>
    <n v="0"/>
    <n v="0"/>
    <n v="0"/>
    <n v="0"/>
    <n v="0"/>
    <n v="0"/>
    <n v="0"/>
    <n v="0"/>
  </r>
  <r>
    <x v="4"/>
    <x v="4"/>
    <x v="9"/>
    <x v="9"/>
    <x v="78"/>
    <x v="44"/>
    <x v="197"/>
    <x v="14"/>
    <m/>
    <m/>
    <m/>
    <s v="Indirect"/>
    <s v="Indirect"/>
    <s v="Indirect"/>
    <s v="Indirect"/>
    <m/>
    <s v="Geotechnical Inspections"/>
    <m/>
    <m/>
    <m/>
    <m/>
    <m/>
    <m/>
    <m/>
    <m/>
    <m/>
    <m/>
    <m/>
    <m/>
    <n v="0"/>
    <n v="0"/>
    <n v="0"/>
    <n v="1"/>
    <n v="0"/>
    <n v="0"/>
    <n v="1"/>
    <n v="0"/>
    <n v="0"/>
    <n v="0"/>
    <n v="0"/>
    <s v="Type A  _x000a_2AM-MRY1325"/>
    <s v="Removed"/>
    <n v="2014"/>
    <s v="Indirect"/>
    <m/>
    <m/>
    <m/>
    <m/>
    <m/>
    <n v="0.2"/>
    <n v="0.2"/>
    <n v="0.2"/>
    <n v="0.2"/>
    <n v="0.2"/>
    <n v="0"/>
    <m/>
    <n v="0"/>
    <n v="0"/>
    <n v="0"/>
    <n v="0"/>
    <n v="0"/>
    <n v="0"/>
    <n v="0"/>
    <n v="0"/>
  </r>
  <r>
    <x v="4"/>
    <x v="4"/>
    <x v="9"/>
    <x v="9"/>
    <x v="78"/>
    <x v="44"/>
    <x v="197"/>
    <x v="14"/>
    <m/>
    <m/>
    <m/>
    <m/>
    <s v="Indirect"/>
    <s v="Indirect"/>
    <m/>
    <m/>
    <s v="Geotechnical Inspections"/>
    <m/>
    <m/>
    <m/>
    <m/>
    <m/>
    <m/>
    <m/>
    <m/>
    <m/>
    <m/>
    <m/>
    <m/>
    <n v="0"/>
    <n v="0"/>
    <n v="0"/>
    <n v="1"/>
    <n v="0"/>
    <n v="0"/>
    <n v="1"/>
    <n v="0"/>
    <n v="0"/>
    <n v="0"/>
    <n v="0"/>
    <s v="Type A  _x000a_2AM-MRY1325"/>
    <s v="Removed"/>
    <s v="2015 A"/>
    <s v="Indirect"/>
    <m/>
    <m/>
    <m/>
    <m/>
    <m/>
    <n v="0.2"/>
    <n v="0.2"/>
    <n v="0.2"/>
    <n v="0.2"/>
    <n v="0.2"/>
    <n v="0"/>
    <m/>
    <n v="0"/>
    <n v="0"/>
    <n v="0"/>
    <n v="0"/>
    <n v="0"/>
    <n v="0"/>
    <n v="0"/>
    <n v="0"/>
  </r>
  <r>
    <x v="4"/>
    <x v="4"/>
    <x v="9"/>
    <x v="9"/>
    <x v="78"/>
    <x v="44"/>
    <x v="15"/>
    <x v="165"/>
    <m/>
    <m/>
    <m/>
    <m/>
    <s v="Indirect"/>
    <s v="Indirect"/>
    <m/>
    <m/>
    <s v="Closure &amp; Post Closure Monitoring"/>
    <m/>
    <m/>
    <m/>
    <m/>
    <m/>
    <m/>
    <m/>
    <m/>
    <m/>
    <m/>
    <m/>
    <m/>
    <n v="0"/>
    <n v="0"/>
    <n v="0"/>
    <n v="1"/>
    <n v="0"/>
    <n v="1"/>
    <n v="0"/>
    <n v="0"/>
    <n v="0"/>
    <n v="0"/>
    <n v="0"/>
    <s v="Type A  _x000a_2AM-MRY1325"/>
    <s v="Added"/>
    <s v="2015 R"/>
    <s v="Indirect"/>
    <m/>
    <m/>
    <m/>
    <m/>
    <m/>
    <n v="0.4"/>
    <n v="0.3"/>
    <n v="0.2"/>
    <n v="0.05"/>
    <n v="0.05"/>
    <n v="0"/>
    <m/>
    <n v="0"/>
    <n v="0"/>
    <n v="0"/>
    <n v="0"/>
    <n v="0"/>
    <n v="0"/>
    <n v="0"/>
    <n v="0"/>
  </r>
  <r>
    <x v="4"/>
    <x v="4"/>
    <x v="9"/>
    <x v="9"/>
    <x v="78"/>
    <x v="44"/>
    <x v="15"/>
    <x v="165"/>
    <m/>
    <m/>
    <m/>
    <m/>
    <s v="Indirect"/>
    <s v="Indirect"/>
    <m/>
    <m/>
    <s v="Closure &amp; Post Closure Monitoring"/>
    <m/>
    <m/>
    <m/>
    <m/>
    <m/>
    <m/>
    <m/>
    <m/>
    <m/>
    <m/>
    <m/>
    <m/>
    <n v="0"/>
    <n v="0"/>
    <n v="0"/>
    <n v="1"/>
    <n v="0"/>
    <n v="1"/>
    <n v="0"/>
    <n v="0"/>
    <n v="0"/>
    <n v="0"/>
    <n v="0"/>
    <s v="Type A  _x000a_2AM-MRY1325"/>
    <s v="Added"/>
    <n v="2016"/>
    <s v="Indirect"/>
    <m/>
    <m/>
    <m/>
    <m/>
    <m/>
    <n v="0.4"/>
    <n v="0.3"/>
    <n v="0.2"/>
    <n v="0.05"/>
    <n v="0.05"/>
    <n v="0"/>
    <m/>
    <n v="0"/>
    <n v="0"/>
    <n v="0"/>
    <n v="0"/>
    <n v="0"/>
    <n v="0"/>
    <n v="0"/>
    <n v="0"/>
  </r>
  <r>
    <x v="4"/>
    <x v="4"/>
    <x v="9"/>
    <x v="9"/>
    <x v="78"/>
    <x v="44"/>
    <x v="15"/>
    <x v="164"/>
    <m/>
    <m/>
    <m/>
    <s v="Indirect"/>
    <s v="Indirect"/>
    <s v="Indirect"/>
    <s v="Indirect"/>
    <m/>
    <s v="Project Environmental Site Assessment"/>
    <m/>
    <m/>
    <m/>
    <m/>
    <m/>
    <m/>
    <m/>
    <m/>
    <m/>
    <m/>
    <m/>
    <m/>
    <n v="0"/>
    <n v="0"/>
    <n v="0"/>
    <n v="1"/>
    <n v="0"/>
    <n v="0"/>
    <n v="1"/>
    <n v="0"/>
    <n v="0"/>
    <n v="0"/>
    <n v="0"/>
    <s v="Type A  _x000a_2AM-MRY1325"/>
    <s v="Removed"/>
    <n v="2014"/>
    <s v="Indirect"/>
    <m/>
    <m/>
    <m/>
    <m/>
    <m/>
    <n v="0.2"/>
    <n v="0.2"/>
    <n v="0.2"/>
    <n v="0.2"/>
    <n v="0.2"/>
    <n v="0"/>
    <m/>
    <n v="0"/>
    <n v="0"/>
    <n v="0"/>
    <n v="0"/>
    <n v="0"/>
    <n v="0"/>
    <n v="0"/>
    <n v="0"/>
  </r>
  <r>
    <x v="4"/>
    <x v="4"/>
    <x v="9"/>
    <x v="9"/>
    <x v="78"/>
    <x v="44"/>
    <x v="15"/>
    <x v="164"/>
    <m/>
    <m/>
    <m/>
    <m/>
    <s v="Indirect"/>
    <s v="Indirect"/>
    <m/>
    <m/>
    <s v="Project Environmental Site Assessment"/>
    <m/>
    <m/>
    <m/>
    <m/>
    <m/>
    <m/>
    <m/>
    <m/>
    <m/>
    <m/>
    <m/>
    <m/>
    <n v="0"/>
    <n v="0"/>
    <n v="0"/>
    <n v="1"/>
    <n v="0"/>
    <n v="0"/>
    <n v="1"/>
    <n v="0"/>
    <n v="0"/>
    <n v="0"/>
    <n v="0"/>
    <s v="Type A  _x000a_2AM-MRY1325"/>
    <s v="Removed"/>
    <s v="2015 A"/>
    <s v="Indirect"/>
    <m/>
    <m/>
    <m/>
    <m/>
    <m/>
    <n v="0.2"/>
    <n v="0.2"/>
    <n v="0.2"/>
    <n v="0.2"/>
    <n v="0.2"/>
    <n v="0"/>
    <m/>
    <n v="0"/>
    <n v="0"/>
    <n v="0"/>
    <n v="0"/>
    <n v="0"/>
    <n v="0"/>
    <n v="0"/>
    <n v="0"/>
  </r>
  <r>
    <x v="4"/>
    <x v="4"/>
    <x v="9"/>
    <x v="9"/>
    <x v="78"/>
    <x v="44"/>
    <x v="15"/>
    <x v="165"/>
    <m/>
    <m/>
    <m/>
    <s v="Indirect"/>
    <s v="Indirect"/>
    <s v="Indirect"/>
    <s v="Indirect"/>
    <m/>
    <s v="Closure &amp; Post Closure Monitoring"/>
    <m/>
    <m/>
    <m/>
    <m/>
    <m/>
    <m/>
    <m/>
    <m/>
    <m/>
    <m/>
    <m/>
    <m/>
    <n v="0"/>
    <n v="0"/>
    <n v="0"/>
    <n v="1"/>
    <n v="0"/>
    <n v="1"/>
    <n v="0"/>
    <n v="0"/>
    <n v="0"/>
    <n v="0"/>
    <n v="0"/>
    <s v="Type A  _x000a_2AM-MRY1325"/>
    <s v="Removed"/>
    <n v="2014"/>
    <s v="Indirect"/>
    <m/>
    <m/>
    <m/>
    <m/>
    <m/>
    <n v="0.4"/>
    <n v="0.3"/>
    <n v="0.2"/>
    <n v="0.05"/>
    <n v="0.05"/>
    <n v="0"/>
    <m/>
    <n v="0"/>
    <n v="0"/>
    <n v="0"/>
    <n v="0"/>
    <n v="0"/>
    <n v="0"/>
    <n v="0"/>
    <n v="0"/>
  </r>
  <r>
    <x v="4"/>
    <x v="4"/>
    <x v="9"/>
    <x v="9"/>
    <x v="78"/>
    <x v="44"/>
    <x v="197"/>
    <x v="14"/>
    <m/>
    <m/>
    <m/>
    <s v="Indirect"/>
    <s v="Indirect"/>
    <s v="Indirect"/>
    <s v="Indirect"/>
    <m/>
    <s v="Geotechnical Inspections"/>
    <m/>
    <m/>
    <m/>
    <m/>
    <m/>
    <m/>
    <m/>
    <m/>
    <m/>
    <m/>
    <m/>
    <m/>
    <n v="0"/>
    <n v="0"/>
    <n v="0"/>
    <n v="1"/>
    <n v="0"/>
    <n v="0"/>
    <n v="1"/>
    <n v="0"/>
    <n v="0"/>
    <n v="0"/>
    <n v="0"/>
    <s v="Type A  _x000a_2AM-MRY1325"/>
    <s v="Added"/>
    <s v="2017-A"/>
    <s v="Indirect"/>
    <m/>
    <m/>
    <m/>
    <m/>
    <m/>
    <n v="0.2"/>
    <n v="0.2"/>
    <n v="0.2"/>
    <n v="0.2"/>
    <n v="0.2"/>
    <n v="0"/>
    <m/>
    <n v="0"/>
    <n v="0"/>
    <n v="0"/>
    <n v="0"/>
    <n v="0"/>
    <n v="0"/>
    <n v="0"/>
    <n v="0"/>
  </r>
  <r>
    <x v="4"/>
    <x v="4"/>
    <x v="9"/>
    <x v="9"/>
    <x v="78"/>
    <x v="44"/>
    <x v="15"/>
    <x v="164"/>
    <m/>
    <m/>
    <m/>
    <s v="Indirect"/>
    <s v="Indirect"/>
    <s v="Indirect"/>
    <s v="Indirect"/>
    <m/>
    <s v="Project Environmental Site Assessment"/>
    <m/>
    <m/>
    <m/>
    <m/>
    <m/>
    <m/>
    <m/>
    <m/>
    <m/>
    <m/>
    <m/>
    <m/>
    <n v="0"/>
    <n v="0"/>
    <n v="0"/>
    <n v="1"/>
    <n v="0"/>
    <n v="0"/>
    <n v="1"/>
    <n v="0"/>
    <n v="0"/>
    <n v="0"/>
    <n v="0"/>
    <s v="Type A  _x000a_2AM-MRY1325"/>
    <s v="Added"/>
    <s v="2017-A"/>
    <s v="Indirect"/>
    <m/>
    <m/>
    <m/>
    <m/>
    <m/>
    <n v="0.2"/>
    <n v="0.2"/>
    <n v="0.2"/>
    <n v="0.2"/>
    <n v="0.2"/>
    <n v="0"/>
    <m/>
    <n v="0"/>
    <n v="0"/>
    <n v="0"/>
    <n v="0"/>
    <n v="0"/>
    <n v="0"/>
    <n v="0"/>
    <n v="0"/>
  </r>
  <r>
    <x v="4"/>
    <x v="4"/>
    <x v="9"/>
    <x v="9"/>
    <x v="78"/>
    <x v="44"/>
    <x v="15"/>
    <x v="165"/>
    <m/>
    <m/>
    <m/>
    <s v="Indirect"/>
    <s v="Indirect"/>
    <s v="Indirect"/>
    <s v="Indirect"/>
    <m/>
    <s v="Closure &amp; Post Closure Monitoring"/>
    <m/>
    <m/>
    <m/>
    <m/>
    <m/>
    <m/>
    <m/>
    <m/>
    <m/>
    <m/>
    <m/>
    <m/>
    <n v="0"/>
    <n v="0"/>
    <n v="0"/>
    <n v="1"/>
    <n v="0"/>
    <n v="1"/>
    <n v="0"/>
    <n v="0"/>
    <n v="0"/>
    <n v="0"/>
    <n v="0"/>
    <s v="Type A  _x000a_2AM-MRY1325"/>
    <s v="Added"/>
    <s v="2017-A"/>
    <s v="Indirect"/>
    <m/>
    <m/>
    <m/>
    <m/>
    <m/>
    <n v="0.4"/>
    <n v="0.3"/>
    <n v="0.2"/>
    <n v="0.05"/>
    <n v="0.05"/>
    <n v="0"/>
    <m/>
    <n v="0"/>
    <n v="0"/>
    <n v="0"/>
    <n v="0"/>
    <n v="0"/>
    <n v="0"/>
    <n v="0"/>
    <n v="0"/>
  </r>
  <r>
    <x v="4"/>
    <x v="4"/>
    <x v="9"/>
    <x v="9"/>
    <x v="13"/>
    <x v="15"/>
    <x v="15"/>
    <x v="162"/>
    <m/>
    <m/>
    <m/>
    <m/>
    <s v="Indirect"/>
    <s v="Indirect"/>
    <m/>
    <m/>
    <s v="Off-Site Disposal of Waste &amp; Material"/>
    <m/>
    <m/>
    <m/>
    <m/>
    <m/>
    <m/>
    <m/>
    <m/>
    <m/>
    <m/>
    <m/>
    <m/>
    <n v="0"/>
    <n v="0"/>
    <n v="0"/>
    <n v="1"/>
    <n v="0"/>
    <n v="0"/>
    <n v="1"/>
    <n v="0"/>
    <n v="0"/>
    <n v="0"/>
    <n v="0"/>
    <s v="Type A  _x000a_2AM-MRY1325"/>
    <s v="Added"/>
    <s v="2015 R"/>
    <s v="Indirect"/>
    <m/>
    <m/>
    <n v="0.33333333333333331"/>
    <n v="0.33333333333333331"/>
    <n v="0.33333333333333331"/>
    <m/>
    <m/>
    <m/>
    <m/>
    <m/>
    <n v="0"/>
    <m/>
    <n v="0"/>
    <n v="0"/>
    <n v="0"/>
    <n v="0"/>
    <n v="0"/>
    <n v="0"/>
    <n v="0"/>
    <n v="0"/>
  </r>
  <r>
    <x v="4"/>
    <x v="4"/>
    <x v="9"/>
    <x v="9"/>
    <x v="13"/>
    <x v="15"/>
    <x v="15"/>
    <x v="162"/>
    <m/>
    <m/>
    <m/>
    <m/>
    <s v="Indirect"/>
    <s v="Indirect"/>
    <m/>
    <m/>
    <s v="Off-Site Disposal of Waste &amp; Material"/>
    <m/>
    <m/>
    <m/>
    <m/>
    <m/>
    <m/>
    <m/>
    <m/>
    <m/>
    <m/>
    <m/>
    <m/>
    <n v="0"/>
    <n v="0"/>
    <n v="0"/>
    <n v="1"/>
    <n v="0"/>
    <n v="0"/>
    <n v="1"/>
    <n v="0"/>
    <n v="0"/>
    <n v="0"/>
    <n v="0"/>
    <s v="Type A  _x000a_2AM-MRY1325"/>
    <s v="Added"/>
    <n v="2016"/>
    <s v="Indirect"/>
    <m/>
    <m/>
    <n v="0.33333333333333331"/>
    <n v="0.33333333333333331"/>
    <n v="0.33333333333333331"/>
    <m/>
    <m/>
    <m/>
    <m/>
    <m/>
    <n v="0"/>
    <m/>
    <n v="0"/>
    <n v="0"/>
    <n v="0"/>
    <n v="0"/>
    <n v="0"/>
    <n v="0"/>
    <n v="0"/>
    <n v="0"/>
  </r>
  <r>
    <x v="4"/>
    <x v="4"/>
    <x v="9"/>
    <x v="9"/>
    <x v="13"/>
    <x v="15"/>
    <x v="15"/>
    <x v="162"/>
    <m/>
    <m/>
    <m/>
    <m/>
    <s v="Indirect"/>
    <s v="Indirect"/>
    <m/>
    <m/>
    <s v="Off-Site Disposal of Waste &amp; Material"/>
    <m/>
    <m/>
    <m/>
    <m/>
    <m/>
    <m/>
    <m/>
    <m/>
    <m/>
    <m/>
    <m/>
    <m/>
    <n v="0"/>
    <n v="0"/>
    <n v="0"/>
    <n v="1"/>
    <n v="0"/>
    <n v="0"/>
    <n v="1"/>
    <n v="0"/>
    <n v="0"/>
    <n v="0"/>
    <n v="0"/>
    <s v="Type A  _x000a_2AM-MRY1325"/>
    <m/>
    <s v="2015 A"/>
    <s v="Indirect"/>
    <m/>
    <m/>
    <n v="0.33333333333333331"/>
    <n v="0.33333333333333331"/>
    <n v="0.33333333333333331"/>
    <m/>
    <m/>
    <m/>
    <m/>
    <m/>
    <n v="0"/>
    <m/>
    <n v="0"/>
    <n v="0"/>
    <n v="0"/>
    <n v="0"/>
    <n v="0"/>
    <n v="0"/>
    <n v="0"/>
    <n v="0"/>
  </r>
  <r>
    <x v="4"/>
    <x v="4"/>
    <x v="9"/>
    <x v="9"/>
    <x v="13"/>
    <x v="15"/>
    <x v="15"/>
    <x v="161"/>
    <m/>
    <m/>
    <m/>
    <s v="Indirect"/>
    <s v="Indirect"/>
    <s v="Indirect"/>
    <s v="Indirect"/>
    <m/>
    <s v="Ammonium Nitrate (explosive material)"/>
    <m/>
    <m/>
    <m/>
    <m/>
    <m/>
    <m/>
    <m/>
    <m/>
    <m/>
    <m/>
    <m/>
    <m/>
    <n v="0"/>
    <n v="0"/>
    <n v="0"/>
    <n v="1"/>
    <n v="0"/>
    <n v="0"/>
    <n v="1"/>
    <n v="0"/>
    <n v="0"/>
    <n v="0"/>
    <n v="0"/>
    <s v="Type A  _x000a_2AM-MRY1325"/>
    <s v="Removed"/>
    <n v="2014"/>
    <s v="Indirect"/>
    <m/>
    <m/>
    <n v="0.33333333333333331"/>
    <n v="0.33333333333333331"/>
    <n v="0.33333333333333331"/>
    <m/>
    <m/>
    <m/>
    <m/>
    <m/>
    <n v="0"/>
    <m/>
    <n v="0"/>
    <n v="0"/>
    <n v="0"/>
    <n v="0"/>
    <n v="0"/>
    <n v="0"/>
    <n v="0"/>
    <n v="0"/>
  </r>
  <r>
    <x v="4"/>
    <x v="4"/>
    <x v="9"/>
    <x v="9"/>
    <x v="13"/>
    <x v="15"/>
    <x v="15"/>
    <x v="161"/>
    <m/>
    <m/>
    <m/>
    <m/>
    <s v="Indirect"/>
    <s v="Indirect"/>
    <m/>
    <m/>
    <s v="Ammonium Nitrate (explosive Material)"/>
    <m/>
    <m/>
    <m/>
    <m/>
    <m/>
    <m/>
    <m/>
    <m/>
    <m/>
    <m/>
    <m/>
    <m/>
    <n v="0"/>
    <n v="0"/>
    <n v="0"/>
    <n v="1"/>
    <n v="0"/>
    <n v="0"/>
    <n v="1"/>
    <n v="0"/>
    <n v="0"/>
    <n v="0"/>
    <n v="0"/>
    <s v="Type A  _x000a_2AM-MRY1325"/>
    <s v="Removed"/>
    <s v="2015 A"/>
    <s v="Indirect"/>
    <m/>
    <m/>
    <n v="0.33333333333333331"/>
    <n v="0.33333333333333331"/>
    <n v="0.33333333333333331"/>
    <m/>
    <m/>
    <m/>
    <m/>
    <m/>
    <n v="0"/>
    <m/>
    <n v="0"/>
    <n v="0"/>
    <n v="0"/>
    <n v="0"/>
    <n v="0"/>
    <n v="0"/>
    <n v="0"/>
    <n v="0"/>
  </r>
  <r>
    <x v="4"/>
    <x v="4"/>
    <x v="9"/>
    <x v="9"/>
    <x v="13"/>
    <x v="15"/>
    <x v="15"/>
    <x v="161"/>
    <m/>
    <m/>
    <m/>
    <m/>
    <s v="Indirect"/>
    <s v="Indirect"/>
    <m/>
    <m/>
    <s v="Ammonium Nitrate (explosive Material)"/>
    <m/>
    <m/>
    <m/>
    <m/>
    <m/>
    <m/>
    <m/>
    <m/>
    <m/>
    <m/>
    <m/>
    <m/>
    <n v="0"/>
    <n v="0"/>
    <n v="0"/>
    <n v="1"/>
    <n v="0"/>
    <n v="0"/>
    <n v="1"/>
    <n v="0"/>
    <n v="0"/>
    <n v="0"/>
    <n v="0"/>
    <s v="Type A  _x000a_2AM-MRY1325"/>
    <s v="Removed"/>
    <s v="2015 R"/>
    <s v="Indirect"/>
    <m/>
    <m/>
    <n v="0.33333333333333331"/>
    <n v="0.33333333333333331"/>
    <n v="0.33333333333333331"/>
    <m/>
    <m/>
    <m/>
    <m/>
    <m/>
    <n v="0"/>
    <m/>
    <n v="0"/>
    <n v="0"/>
    <n v="0"/>
    <n v="0"/>
    <n v="0"/>
    <n v="0"/>
    <n v="0"/>
    <n v="0"/>
  </r>
  <r>
    <x v="4"/>
    <x v="4"/>
    <x v="9"/>
    <x v="9"/>
    <x v="13"/>
    <x v="15"/>
    <x v="15"/>
    <x v="162"/>
    <m/>
    <m/>
    <m/>
    <s v="Indirect"/>
    <s v="Indirect"/>
    <s v="Indirect"/>
    <s v="Indirect"/>
    <m/>
    <s v="Off-Site Disposal of Waste &amp; Material"/>
    <m/>
    <m/>
    <m/>
    <m/>
    <m/>
    <m/>
    <m/>
    <m/>
    <m/>
    <m/>
    <m/>
    <m/>
    <n v="0"/>
    <n v="0"/>
    <n v="0"/>
    <n v="1"/>
    <n v="0"/>
    <n v="0"/>
    <n v="1"/>
    <n v="0"/>
    <n v="0"/>
    <n v="0"/>
    <n v="0"/>
    <s v="Type A  _x000a_2AM-MRY1325"/>
    <s v="Added"/>
    <s v="2017-A"/>
    <s v="Indirect"/>
    <m/>
    <m/>
    <n v="0.33333333333333331"/>
    <n v="0.33333333333333331"/>
    <n v="0.33333333333333331"/>
    <m/>
    <m/>
    <m/>
    <m/>
    <m/>
    <n v="0"/>
    <m/>
    <n v="0"/>
    <n v="0"/>
    <n v="0"/>
    <n v="0"/>
    <n v="0"/>
    <n v="0"/>
    <n v="0"/>
    <n v="0"/>
  </r>
  <r>
    <x v="4"/>
    <x v="4"/>
    <x v="9"/>
    <x v="9"/>
    <x v="13"/>
    <x v="15"/>
    <x v="15"/>
    <x v="163"/>
    <m/>
    <m/>
    <m/>
    <m/>
    <s v="Indirect"/>
    <s v="Indirect"/>
    <m/>
    <m/>
    <s v="Contaminated Soil Treatment"/>
    <m/>
    <m/>
    <m/>
    <m/>
    <m/>
    <m/>
    <m/>
    <m/>
    <m/>
    <m/>
    <m/>
    <m/>
    <n v="0"/>
    <n v="0"/>
    <n v="0"/>
    <n v="1"/>
    <n v="0"/>
    <n v="0"/>
    <n v="1"/>
    <n v="0"/>
    <n v="0"/>
    <n v="0"/>
    <n v="0"/>
    <s v="Type A  _x000a_2AM-MRY1325"/>
    <m/>
    <s v="2015 A"/>
    <s v="Indirect"/>
    <m/>
    <m/>
    <n v="0.33333333333333331"/>
    <n v="0.33333333333333331"/>
    <n v="0.33333333333333331"/>
    <m/>
    <m/>
    <m/>
    <m/>
    <m/>
    <n v="0"/>
    <m/>
    <n v="0"/>
    <n v="0"/>
    <n v="0"/>
    <n v="0"/>
    <n v="0"/>
    <n v="0"/>
    <n v="0"/>
    <n v="0"/>
  </r>
  <r>
    <x v="4"/>
    <x v="4"/>
    <x v="9"/>
    <x v="9"/>
    <x v="13"/>
    <x v="15"/>
    <x v="15"/>
    <x v="163"/>
    <m/>
    <m/>
    <m/>
    <m/>
    <s v="Indirect"/>
    <s v="Indirect"/>
    <m/>
    <m/>
    <s v="Contaminated Soil Treatment"/>
    <m/>
    <m/>
    <m/>
    <m/>
    <m/>
    <m/>
    <m/>
    <m/>
    <m/>
    <m/>
    <m/>
    <m/>
    <n v="0"/>
    <n v="0"/>
    <n v="0"/>
    <n v="1"/>
    <n v="0"/>
    <n v="0"/>
    <n v="1"/>
    <n v="0"/>
    <n v="0"/>
    <n v="0"/>
    <n v="0"/>
    <s v="Type A  _x000a_2AM-MRY1325"/>
    <s v="Added"/>
    <n v="2016"/>
    <s v="Indirect"/>
    <m/>
    <m/>
    <n v="0.33333333333333331"/>
    <n v="0.33333333333333331"/>
    <n v="0.33333333333333331"/>
    <m/>
    <m/>
    <m/>
    <m/>
    <m/>
    <n v="0"/>
    <m/>
    <n v="0"/>
    <n v="0"/>
    <n v="0"/>
    <n v="0"/>
    <n v="0"/>
    <n v="0"/>
    <n v="0"/>
    <n v="0"/>
  </r>
  <r>
    <x v="4"/>
    <x v="4"/>
    <x v="9"/>
    <x v="9"/>
    <x v="13"/>
    <x v="15"/>
    <x v="15"/>
    <x v="161"/>
    <m/>
    <m/>
    <m/>
    <s v="Indirect"/>
    <s v="Indirect"/>
    <s v="Indirect"/>
    <s v="Indirect"/>
    <m/>
    <s v="Ammonium Nitrate (explosive material)"/>
    <m/>
    <m/>
    <m/>
    <m/>
    <m/>
    <m/>
    <m/>
    <m/>
    <m/>
    <m/>
    <m/>
    <m/>
    <n v="0"/>
    <n v="0"/>
    <n v="0"/>
    <n v="1"/>
    <n v="0"/>
    <n v="0"/>
    <n v="1"/>
    <n v="0"/>
    <n v="0"/>
    <n v="0"/>
    <n v="0"/>
    <s v="Type A  _x000a_2AM-MRY1325"/>
    <s v="Added"/>
    <s v="2017-A"/>
    <s v="Indirect"/>
    <m/>
    <m/>
    <n v="0.33333333333333331"/>
    <n v="0.33333333333333331"/>
    <n v="0.33333333333333331"/>
    <m/>
    <m/>
    <m/>
    <m/>
    <m/>
    <n v="0"/>
    <m/>
    <n v="0"/>
    <n v="0"/>
    <n v="0"/>
    <n v="0"/>
    <n v="0"/>
    <n v="0"/>
    <n v="0"/>
    <n v="0"/>
  </r>
  <r>
    <x v="4"/>
    <x v="4"/>
    <x v="9"/>
    <x v="9"/>
    <x v="13"/>
    <x v="15"/>
    <x v="15"/>
    <x v="163"/>
    <m/>
    <m/>
    <m/>
    <s v="Indirect"/>
    <s v="Indirect"/>
    <s v="Indirect"/>
    <s v="Indirect"/>
    <m/>
    <s v="Contaminated Soil Treatment"/>
    <m/>
    <m/>
    <m/>
    <m/>
    <m/>
    <m/>
    <m/>
    <m/>
    <m/>
    <m/>
    <m/>
    <m/>
    <n v="0"/>
    <n v="0"/>
    <n v="0"/>
    <n v="1"/>
    <n v="0"/>
    <n v="0"/>
    <n v="1"/>
    <n v="0"/>
    <n v="0"/>
    <n v="0"/>
    <n v="0"/>
    <s v="Type A  _x000a_2AM-MRY1325"/>
    <s v="Added"/>
    <s v="2017-A"/>
    <s v="Indirect"/>
    <m/>
    <m/>
    <n v="0.33333333333333331"/>
    <n v="0.33333333333333331"/>
    <n v="0.33333333333333331"/>
    <m/>
    <m/>
    <m/>
    <m/>
    <m/>
    <n v="0"/>
    <m/>
    <n v="0"/>
    <n v="0"/>
    <n v="0"/>
    <n v="0"/>
    <n v="0"/>
    <n v="0"/>
    <n v="0"/>
    <n v="0"/>
  </r>
  <r>
    <x v="4"/>
    <x v="4"/>
    <x v="9"/>
    <x v="9"/>
    <x v="1"/>
    <x v="1"/>
    <x v="1"/>
    <x v="1"/>
    <m/>
    <m/>
    <m/>
    <m/>
    <m/>
    <m/>
    <m/>
    <m/>
    <m/>
    <m/>
    <m/>
    <m/>
    <m/>
    <m/>
    <m/>
    <m/>
    <m/>
    <m/>
    <m/>
    <m/>
    <m/>
    <m/>
    <m/>
    <m/>
    <m/>
    <m/>
    <m/>
    <m/>
    <m/>
    <m/>
    <m/>
    <m/>
    <m/>
    <m/>
    <m/>
    <m/>
    <m/>
    <m/>
    <m/>
    <m/>
    <m/>
    <m/>
    <m/>
    <m/>
    <m/>
    <m/>
    <m/>
    <m/>
    <m/>
    <m/>
    <m/>
    <m/>
    <m/>
    <m/>
    <m/>
    <m/>
  </r>
  <r>
    <x v="4"/>
    <x v="4"/>
    <x v="1"/>
    <x v="1"/>
    <x v="1"/>
    <x v="1"/>
    <x v="1"/>
    <x v="1"/>
    <m/>
    <m/>
    <m/>
    <m/>
    <m/>
    <m/>
    <m/>
    <m/>
    <m/>
    <m/>
    <m/>
    <m/>
    <m/>
    <m/>
    <m/>
    <m/>
    <m/>
    <m/>
    <m/>
    <m/>
    <m/>
    <m/>
    <m/>
    <m/>
    <m/>
    <m/>
    <m/>
    <m/>
    <m/>
    <m/>
    <m/>
    <m/>
    <m/>
    <m/>
    <m/>
    <m/>
    <m/>
    <m/>
    <m/>
    <m/>
    <m/>
    <m/>
    <m/>
    <m/>
    <m/>
    <m/>
    <m/>
    <m/>
    <m/>
    <m/>
    <m/>
    <m/>
    <m/>
    <m/>
    <m/>
    <m/>
  </r>
  <r>
    <x v="2"/>
    <x v="2"/>
    <x v="4"/>
    <x v="4"/>
    <x v="6"/>
    <x v="5"/>
    <x v="7"/>
    <x v="6"/>
    <m/>
    <m/>
    <m/>
    <s v="Indirect"/>
    <s v="Indirect"/>
    <s v="Indirect"/>
    <s v="Indirect"/>
    <m/>
    <s v="Contingency "/>
    <m/>
    <m/>
    <m/>
    <m/>
    <m/>
    <m/>
    <m/>
    <m/>
    <m/>
    <m/>
    <m/>
    <m/>
    <n v="2444000"/>
    <n v="0"/>
    <n v="0"/>
    <n v="0.97700663160140144"/>
    <n v="2.2993368398598557E-2"/>
    <n v="0"/>
    <n v="1"/>
    <n v="2387804.207633825"/>
    <n v="56195.792366174872"/>
    <n v="0"/>
    <n v="2444000"/>
    <s v="Type A  _x000a_2AM-MRY1325"/>
    <m/>
    <n v="2014"/>
    <s v="Indirect"/>
    <m/>
    <m/>
    <n v="1"/>
    <m/>
    <m/>
    <m/>
    <m/>
    <m/>
    <m/>
    <m/>
    <n v="0"/>
    <m/>
    <n v="2444000"/>
    <n v="0"/>
    <n v="0"/>
    <n v="0"/>
    <n v="0"/>
    <n v="0"/>
    <n v="0"/>
    <n v="0"/>
  </r>
  <r>
    <x v="2"/>
    <x v="2"/>
    <x v="4"/>
    <x v="4"/>
    <x v="6"/>
    <x v="5"/>
    <x v="7"/>
    <x v="6"/>
    <m/>
    <m/>
    <m/>
    <s v="Indirect"/>
    <s v="Indirect"/>
    <s v="Indirect"/>
    <s v="Indirect"/>
    <m/>
    <s v="Contingency "/>
    <m/>
    <m/>
    <m/>
    <m/>
    <m/>
    <m/>
    <m/>
    <m/>
    <m/>
    <m/>
    <m/>
    <m/>
    <n v="918000"/>
    <n v="0"/>
    <n v="0"/>
    <n v="0.96118298237808963"/>
    <n v="3.8817017621910366E-2"/>
    <n v="0"/>
    <n v="1"/>
    <n v="882365.97782308632"/>
    <n v="35634.022176913713"/>
    <n v="0"/>
    <n v="918000"/>
    <s v="Type A  _x000a_2AM-MRY1325"/>
    <s v="Added"/>
    <s v="2015 R"/>
    <s v="Indirect"/>
    <m/>
    <m/>
    <n v="1"/>
    <m/>
    <m/>
    <m/>
    <m/>
    <m/>
    <m/>
    <m/>
    <n v="0"/>
    <m/>
    <n v="918000"/>
    <n v="0"/>
    <n v="0"/>
    <n v="0"/>
    <n v="0"/>
    <n v="0"/>
    <n v="0"/>
    <n v="0"/>
  </r>
  <r>
    <x v="1"/>
    <x v="1"/>
    <x v="2"/>
    <x v="2"/>
    <x v="2"/>
    <x v="2"/>
    <x v="2"/>
    <x v="2"/>
    <s v="129"/>
    <s v="CV-"/>
    <s v="CV"/>
    <s v="Reclaim Conveyor"/>
    <s v="CV"/>
    <s v="Mechanical Equipment"/>
    <s v="Reclaim Conveyor"/>
    <m/>
    <s v="Cross' Conveyor at Ore Stockpile Pad (assume 1/6 length of existing shiploader conveyor)"/>
    <m/>
    <n v="-0.16666666666666666"/>
    <s v="ea"/>
    <n v="5018.3999999999996"/>
    <n v="75276"/>
    <n v="501405.31097142858"/>
    <n v="752760"/>
    <n v="1329441.3109714286"/>
    <n v="-836.39999999999986"/>
    <n v="-12546"/>
    <n v="-83567.551828571421"/>
    <n v="-125460"/>
    <n v="-221573.55182857142"/>
    <n v="1020"/>
    <n v="-170"/>
    <n v="1"/>
    <n v="0"/>
    <n v="0"/>
    <n v="1"/>
    <n v="-221573.55182857142"/>
    <n v="0"/>
    <n v="0"/>
    <n v="-221573.55182857142"/>
    <s v="Type A  _x000a_2AM-MRY1325"/>
    <s v="Removed"/>
    <s v="2018-R"/>
    <s v="Direct "/>
    <m/>
    <m/>
    <n v="0.33333333333333331"/>
    <n v="0.33333333333333331"/>
    <n v="0.33333333333333331"/>
    <m/>
    <m/>
    <m/>
    <m/>
    <m/>
    <n v="0"/>
    <m/>
    <n v="-73857.850609523797"/>
    <n v="-73857.850609523797"/>
    <n v="-73857.850609523797"/>
    <n v="0"/>
    <n v="0"/>
    <n v="0"/>
    <n v="0"/>
    <n v="0"/>
  </r>
  <r>
    <x v="2"/>
    <x v="2"/>
    <x v="4"/>
    <x v="4"/>
    <x v="6"/>
    <x v="5"/>
    <x v="7"/>
    <x v="6"/>
    <m/>
    <m/>
    <m/>
    <s v="Indirect"/>
    <s v="Indirect"/>
    <s v="Indirect"/>
    <s v="Indirect"/>
    <m/>
    <s v="Contingency "/>
    <m/>
    <m/>
    <m/>
    <m/>
    <m/>
    <m/>
    <m/>
    <m/>
    <m/>
    <m/>
    <m/>
    <m/>
    <n v="809000"/>
    <n v="0"/>
    <n v="0"/>
    <n v="1"/>
    <n v="0"/>
    <n v="0"/>
    <n v="1"/>
    <n v="809000"/>
    <n v="0"/>
    <n v="0"/>
    <n v="809000"/>
    <s v="Type A  _x000a_2AM-MRY1325"/>
    <s v="Added"/>
    <s v="2017-A"/>
    <s v="Indirect"/>
    <m/>
    <m/>
    <n v="1"/>
    <m/>
    <m/>
    <m/>
    <m/>
    <m/>
    <m/>
    <m/>
    <n v="0"/>
    <m/>
    <n v="809000"/>
    <n v="0"/>
    <n v="0"/>
    <n v="0"/>
    <n v="0"/>
    <n v="0"/>
    <n v="0"/>
    <n v="0"/>
  </r>
  <r>
    <x v="2"/>
    <x v="2"/>
    <x v="4"/>
    <x v="4"/>
    <x v="6"/>
    <x v="5"/>
    <x v="7"/>
    <x v="6"/>
    <m/>
    <m/>
    <m/>
    <s v="Indirect"/>
    <s v="Indirect"/>
    <s v="Indirect"/>
    <s v="Indirect"/>
    <m/>
    <s v="Contingency "/>
    <m/>
    <m/>
    <m/>
    <m/>
    <m/>
    <m/>
    <m/>
    <m/>
    <m/>
    <m/>
    <m/>
    <m/>
    <n v="232000"/>
    <n v="0"/>
    <n v="0"/>
    <n v="1"/>
    <n v="0"/>
    <n v="0"/>
    <n v="1"/>
    <n v="232000"/>
    <n v="0"/>
    <n v="0"/>
    <n v="232000"/>
    <s v="Type A  _x000a_2AM-MRY1325"/>
    <m/>
    <n v="2015"/>
    <s v="Indirect"/>
    <m/>
    <m/>
    <n v="1"/>
    <m/>
    <m/>
    <m/>
    <m/>
    <m/>
    <m/>
    <m/>
    <n v="0"/>
    <m/>
    <n v="232000"/>
    <n v="0"/>
    <n v="0"/>
    <n v="0"/>
    <n v="0"/>
    <n v="0"/>
    <n v="0"/>
    <n v="0"/>
  </r>
  <r>
    <x v="2"/>
    <x v="2"/>
    <x v="4"/>
    <x v="4"/>
    <x v="6"/>
    <x v="5"/>
    <x v="7"/>
    <x v="6"/>
    <m/>
    <m/>
    <m/>
    <s v="Indirect"/>
    <s v="Indirect"/>
    <s v="Indirect"/>
    <s v="Indirect"/>
    <m/>
    <s v="Contingency "/>
    <m/>
    <m/>
    <m/>
    <m/>
    <m/>
    <m/>
    <m/>
    <m/>
    <m/>
    <m/>
    <m/>
    <m/>
    <n v="202000"/>
    <n v="0"/>
    <n v="0"/>
    <n v="1"/>
    <n v="0"/>
    <n v="0"/>
    <n v="1"/>
    <n v="202000"/>
    <n v="0"/>
    <n v="0"/>
    <n v="202000"/>
    <s v="Type A  _x000a_2AM-MRY1325"/>
    <s v="Added"/>
    <n v="2017"/>
    <s v="Indirect"/>
    <m/>
    <m/>
    <n v="1"/>
    <m/>
    <m/>
    <m/>
    <m/>
    <m/>
    <m/>
    <m/>
    <n v="0"/>
    <m/>
    <n v="202000"/>
    <n v="0"/>
    <n v="0"/>
    <n v="0"/>
    <n v="0"/>
    <n v="0"/>
    <n v="0"/>
    <n v="0"/>
  </r>
  <r>
    <x v="2"/>
    <x v="2"/>
    <x v="4"/>
    <x v="4"/>
    <x v="6"/>
    <x v="5"/>
    <x v="7"/>
    <x v="6"/>
    <m/>
    <m/>
    <m/>
    <s v="Indirect"/>
    <s v="Indirect"/>
    <s v="Indirect"/>
    <s v="Indirect"/>
    <m/>
    <s v="Contingency "/>
    <m/>
    <m/>
    <m/>
    <m/>
    <m/>
    <m/>
    <m/>
    <m/>
    <m/>
    <m/>
    <m/>
    <m/>
    <n v="93000"/>
    <n v="0"/>
    <n v="0"/>
    <n v="0.79044140080480418"/>
    <n v="0.20955859919519582"/>
    <n v="0"/>
    <n v="1"/>
    <n v="73511.050274846784"/>
    <n v="19488.949725153212"/>
    <n v="0"/>
    <n v="93000"/>
    <s v="Type A  _x000a_2AM-MRY1325"/>
    <s v="Added"/>
    <n v="2016"/>
    <s v="Indirect"/>
    <m/>
    <m/>
    <n v="1"/>
    <m/>
    <m/>
    <m/>
    <m/>
    <m/>
    <m/>
    <m/>
    <n v="0"/>
    <m/>
    <n v="93000"/>
    <n v="0"/>
    <n v="0"/>
    <n v="0"/>
    <n v="0"/>
    <n v="0"/>
    <n v="0"/>
    <n v="0"/>
  </r>
  <r>
    <x v="2"/>
    <x v="2"/>
    <x v="4"/>
    <x v="4"/>
    <x v="79"/>
    <x v="45"/>
    <x v="198"/>
    <x v="166"/>
    <m/>
    <m/>
    <m/>
    <m/>
    <s v="Indirect"/>
    <m/>
    <m/>
    <m/>
    <m/>
    <m/>
    <m/>
    <m/>
    <m/>
    <m/>
    <m/>
    <m/>
    <m/>
    <m/>
    <m/>
    <m/>
    <m/>
    <n v="0"/>
    <n v="0"/>
    <n v="0"/>
    <n v="1"/>
    <n v="0"/>
    <n v="0"/>
    <n v="1"/>
    <n v="0"/>
    <n v="0"/>
    <n v="0"/>
    <n v="0"/>
    <s v="Type A  _x000a_2AM-MRY1325"/>
    <m/>
    <m/>
    <s v="Indirect"/>
    <m/>
    <m/>
    <m/>
    <m/>
    <m/>
    <m/>
    <m/>
    <m/>
    <m/>
    <m/>
    <n v="0"/>
    <m/>
    <n v="0"/>
    <n v="0"/>
    <n v="0"/>
    <n v="0"/>
    <n v="0"/>
    <n v="0"/>
    <n v="0"/>
    <n v="0"/>
  </r>
  <r>
    <x v="2"/>
    <x v="2"/>
    <x v="4"/>
    <x v="4"/>
    <x v="6"/>
    <x v="5"/>
    <x v="7"/>
    <x v="6"/>
    <m/>
    <m/>
    <m/>
    <s v="Indirect"/>
    <s v="Indirect"/>
    <s v="Indirect"/>
    <s v="Indirect"/>
    <m/>
    <s v="Contingency "/>
    <m/>
    <m/>
    <m/>
    <m/>
    <m/>
    <m/>
    <m/>
    <m/>
    <m/>
    <m/>
    <m/>
    <m/>
    <n v="0"/>
    <n v="0"/>
    <n v="0"/>
    <n v="1"/>
    <n v="0"/>
    <n v="0"/>
    <n v="1"/>
    <n v="0"/>
    <n v="0"/>
    <n v="0"/>
    <n v="0"/>
    <s v="Type A  _x000a_2AM-MRY1325"/>
    <m/>
    <s v="2015 A"/>
    <s v="Indirect"/>
    <m/>
    <m/>
    <n v="1"/>
    <m/>
    <m/>
    <m/>
    <m/>
    <m/>
    <m/>
    <m/>
    <n v="0"/>
    <m/>
    <n v="0"/>
    <n v="0"/>
    <n v="0"/>
    <n v="0"/>
    <n v="0"/>
    <n v="0"/>
    <n v="0"/>
    <n v="0"/>
  </r>
  <r>
    <x v="2"/>
    <x v="2"/>
    <x v="4"/>
    <x v="4"/>
    <x v="1"/>
    <x v="1"/>
    <x v="1"/>
    <x v="1"/>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gridDropZones="1" multipleFieldFilters="0">
  <location ref="N100:P159" firstHeaderRow="2" firstDataRow="2" firstDataCol="2"/>
  <pivotFields count="67">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defaultSubtotal="0">
      <items count="65">
        <item x="2"/>
        <item x="11"/>
        <item x="49"/>
        <item x="10"/>
        <item m="1" x="62"/>
        <item x="18"/>
        <item x="6"/>
        <item x="37"/>
        <item x="41"/>
        <item x="40"/>
        <item x="35"/>
        <item m="1" x="56"/>
        <item x="50"/>
        <item x="22"/>
        <item x="12"/>
        <item x="5"/>
        <item x="29"/>
        <item x="33"/>
        <item x="39"/>
        <item x="25"/>
        <item x="34"/>
        <item x="17"/>
        <item x="38"/>
        <item x="44"/>
        <item x="14"/>
        <item x="15"/>
        <item x="16"/>
        <item m="1" x="60"/>
        <item x="26"/>
        <item x="36"/>
        <item x="24"/>
        <item x="23"/>
        <item x="13"/>
        <item x="9"/>
        <item m="1" x="63"/>
        <item x="30"/>
        <item x="27"/>
        <item x="21"/>
        <item x="8"/>
        <item x="47"/>
        <item x="43"/>
        <item m="1" x="54"/>
        <item m="1" x="53"/>
        <item m="1" x="61"/>
        <item m="1" x="55"/>
        <item x="52"/>
        <item x="3"/>
        <item m="1" x="57"/>
        <item x="51"/>
        <item x="48"/>
        <item m="1" x="64"/>
        <item x="46"/>
        <item x="42"/>
        <item x="31"/>
        <item x="32"/>
        <item m="1" x="59"/>
        <item x="28"/>
        <item x="4"/>
        <item m="1" x="58"/>
        <item x="19"/>
        <item x="7"/>
        <item x="1"/>
        <item x="20"/>
        <item x="45"/>
        <item x="0"/>
      </items>
    </pivotField>
    <pivotField compact="0" outline="0" showAll="0" defaultSubtotal="0"/>
    <pivotField compact="0" outline="0" showAll="0" defaultSubtotal="0"/>
    <pivotField compact="0" outline="0" showAll="0"/>
    <pivotField compact="0" outline="0" showAll="0"/>
    <pivotField compact="0" outline="0" showAll="0"/>
    <pivotField dataField="1" compact="0" outline="0" showAll="0"/>
    <pivotField axis="axisRow" compact="0" outline="0" showAll="0">
      <items count="10">
        <item x="4"/>
        <item n="r" x="2"/>
        <item x="1"/>
        <item x="6"/>
        <item x="3"/>
        <item x="5"/>
        <item m="1" x="7"/>
        <item m="1" x="8"/>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s>
  <rowFields count="2">
    <field x="12"/>
    <field x="19"/>
  </rowFields>
  <rowItems count="58">
    <i>
      <x/>
      <x v="2"/>
    </i>
    <i>
      <x v="1"/>
      <x v="2"/>
    </i>
    <i>
      <x v="2"/>
      <x v="1"/>
    </i>
    <i>
      <x v="3"/>
      <x/>
    </i>
    <i>
      <x v="5"/>
      <x v="2"/>
    </i>
    <i>
      <x v="6"/>
      <x v="2"/>
    </i>
    <i>
      <x v="7"/>
      <x v="1"/>
    </i>
    <i>
      <x v="8"/>
      <x v="2"/>
    </i>
    <i>
      <x v="9"/>
      <x v="2"/>
    </i>
    <i>
      <x v="10"/>
      <x v="2"/>
    </i>
    <i>
      <x v="12"/>
      <x v="2"/>
    </i>
    <i>
      <x v="13"/>
      <x v="2"/>
    </i>
    <i>
      <x v="14"/>
      <x v="2"/>
    </i>
    <i>
      <x v="15"/>
      <x v="2"/>
    </i>
    <i>
      <x v="16"/>
      <x v="2"/>
    </i>
    <i>
      <x v="17"/>
      <x v="2"/>
    </i>
    <i>
      <x v="18"/>
      <x v="2"/>
    </i>
    <i>
      <x v="19"/>
      <x v="2"/>
    </i>
    <i>
      <x v="20"/>
      <x v="2"/>
    </i>
    <i>
      <x v="21"/>
      <x v="2"/>
    </i>
    <i>
      <x v="22"/>
      <x v="2"/>
    </i>
    <i>
      <x v="23"/>
      <x v="1"/>
    </i>
    <i>
      <x v="24"/>
      <x v="1"/>
    </i>
    <i>
      <x v="25"/>
      <x v="1"/>
    </i>
    <i>
      <x v="26"/>
      <x v="1"/>
    </i>
    <i>
      <x v="28"/>
      <x v="1"/>
    </i>
    <i>
      <x v="29"/>
      <x v="1"/>
    </i>
    <i>
      <x v="30"/>
      <x v="1"/>
    </i>
    <i>
      <x v="31"/>
      <x v="1"/>
    </i>
    <i>
      <x v="32"/>
      <x v="1"/>
    </i>
    <i>
      <x v="33"/>
      <x v="1"/>
    </i>
    <i>
      <x v="35"/>
      <x v="1"/>
    </i>
    <i>
      <x v="36"/>
      <x v="1"/>
    </i>
    <i>
      <x v="37"/>
      <x v="1"/>
    </i>
    <i>
      <x v="38"/>
      <x/>
    </i>
    <i>
      <x v="39"/>
      <x/>
    </i>
    <i>
      <x v="40"/>
      <x v="1"/>
    </i>
    <i>
      <x v="45"/>
      <x v="1"/>
    </i>
    <i>
      <x v="46"/>
      <x v="1"/>
    </i>
    <i r="1">
      <x v="2"/>
    </i>
    <i r="1">
      <x v="3"/>
    </i>
    <i r="1">
      <x v="4"/>
    </i>
    <i>
      <x v="48"/>
      <x v="5"/>
    </i>
    <i>
      <x v="49"/>
      <x v="2"/>
    </i>
    <i>
      <x v="51"/>
      <x v="2"/>
    </i>
    <i>
      <x v="52"/>
      <x v="5"/>
    </i>
    <i>
      <x v="53"/>
      <x v="1"/>
    </i>
    <i>
      <x v="54"/>
      <x v="1"/>
    </i>
    <i>
      <x v="56"/>
      <x v="1"/>
    </i>
    <i>
      <x v="57"/>
      <x v="1"/>
    </i>
    <i>
      <x v="59"/>
      <x v="2"/>
    </i>
    <i>
      <x v="60"/>
      <x v="4"/>
    </i>
    <i>
      <x v="61"/>
      <x v="1"/>
    </i>
    <i r="1">
      <x v="2"/>
    </i>
    <i>
      <x v="62"/>
      <x v="1"/>
    </i>
    <i>
      <x v="63"/>
      <x v="2"/>
    </i>
    <i>
      <x v="64"/>
      <x v="8"/>
    </i>
    <i t="grand">
      <x/>
    </i>
  </rowItems>
  <colItems count="1">
    <i/>
  </colItems>
  <dataFields count="1">
    <dataField name="Sum of QTY" fld="18" baseField="0" baseItem="0"/>
  </dataFields>
  <formats count="3">
    <format dxfId="505">
      <pivotArea outline="0" collapsedLevelsAreSubtotals="1" fieldPosition="0">
        <references count="2">
          <reference field="12" count="1" selected="0">
            <x v="6"/>
          </reference>
          <reference field="19" count="1" selected="0">
            <x v="2"/>
          </reference>
        </references>
      </pivotArea>
    </format>
    <format dxfId="504">
      <pivotArea outline="0" collapsedLevelsAreSubtotals="1" fieldPosition="0">
        <references count="2">
          <reference field="12" count="1" selected="0">
            <x v="59"/>
          </reference>
          <reference field="19" count="1" selected="0">
            <x v="2"/>
          </reference>
        </references>
      </pivotArea>
    </format>
    <format dxfId="503">
      <pivotArea outline="0" collapsedLevelsAreSubtotals="1" fieldPosition="0">
        <references count="2">
          <reference field="12" count="1" selected="0">
            <x v="0"/>
          </reference>
          <reference field="19" count="1" selected="0">
            <x v="2"/>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4:C8" firstHeaderRow="1" firstDataRow="1" firstDataCol="2" rowPageCount="2" colPageCount="1"/>
  <pivotFields count="67">
    <pivotField numFmtId="1" showAll="0"/>
    <pivotField showAll="0"/>
    <pivotField showAll="0"/>
    <pivotField showAll="0"/>
    <pivotField showAll="0"/>
    <pivotField showAll="0"/>
    <pivotField showAll="0"/>
    <pivotField showAll="0"/>
    <pivotField showAll="0"/>
    <pivotField showAll="0"/>
    <pivotField showAll="0"/>
    <pivotField showAll="0"/>
    <pivotField outline="0" showAll="0" defaultSubtotal="0"/>
    <pivotField axis="axisRow" showAll="0">
      <items count="12">
        <item x="7"/>
        <item x="3"/>
        <item x="6"/>
        <item x="4"/>
        <item x="2"/>
        <item x="8"/>
        <item x="9"/>
        <item x="1"/>
        <item x="0"/>
        <item x="5"/>
        <item m="1" x="10"/>
        <item t="default"/>
      </items>
    </pivotField>
    <pivotField axis="axisRow" outline="0" showAll="0" defaultSubtotal="0">
      <items count="60">
        <item x="44"/>
        <item x="10"/>
        <item x="35"/>
        <item x="17"/>
        <item x="1"/>
        <item x="12"/>
        <item x="2"/>
        <item x="19"/>
        <item x="43"/>
        <item x="11"/>
        <item x="16"/>
        <item x="21"/>
        <item x="29"/>
        <item x="7"/>
        <item x="32"/>
        <item x="13"/>
        <item x="9"/>
        <item x="33"/>
        <item x="14"/>
        <item x="28"/>
        <item x="25"/>
        <item x="22"/>
        <item x="15"/>
        <item x="34"/>
        <item x="23"/>
        <item x="39"/>
        <item x="8"/>
        <item x="30"/>
        <item x="18"/>
        <item x="5"/>
        <item x="4"/>
        <item x="27"/>
        <item x="38"/>
        <item x="24"/>
        <item x="6"/>
        <item x="41"/>
        <item x="45"/>
        <item x="31"/>
        <item m="1" x="56"/>
        <item x="36"/>
        <item x="3"/>
        <item m="1" x="49"/>
        <item m="1" x="58"/>
        <item m="1" x="46"/>
        <item m="1" x="47"/>
        <item m="1" x="51"/>
        <item m="1" x="59"/>
        <item m="1" x="52"/>
        <item m="1" x="53"/>
        <item m="1" x="55"/>
        <item m="1" x="48"/>
        <item m="1" x="57"/>
        <item m="1" x="54"/>
        <item m="1" x="50"/>
        <item x="42"/>
        <item x="20"/>
        <item x="40"/>
        <item x="0"/>
        <item x="26"/>
        <item x="37"/>
      </items>
    </pivotField>
    <pivotField showAll="0"/>
    <pivotField showAll="0"/>
    <pivotField showAll="0"/>
    <pivotField dataField="1" showAll="0"/>
    <pivotField axis="axisRow" outline="0" showAll="0" defaultSubtotal="0">
      <items count="9">
        <item m="1" x="7"/>
        <item m="1" x="8"/>
        <item x="2"/>
        <item x="5"/>
        <item x="4"/>
        <item x="1"/>
        <item x="6"/>
        <item x="3"/>
        <item x="0"/>
      </items>
    </pivotField>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10">
        <item h="1" x="6"/>
        <item h="1" x="3"/>
        <item h="1" x="5"/>
        <item h="1" x="7"/>
        <item h="1" x="0"/>
        <item h="1" x="4"/>
        <item x="2"/>
        <item h="1" x="1"/>
        <item h="1" x="8"/>
        <item x="9"/>
      </items>
    </pivotField>
    <pivotField axis="axisPage" showAll="0" defaultSubtotal="0">
      <items count="3">
        <item x="0"/>
        <item x="2"/>
        <item x="1"/>
      </items>
    </pivotField>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s>
  <rowFields count="3">
    <field x="13"/>
    <field x="14"/>
    <field x="19"/>
  </rowFields>
  <rowItems count="4">
    <i>
      <x v="9"/>
    </i>
    <i r="1">
      <x v="13"/>
      <x v="7"/>
    </i>
    <i r="1">
      <x v="40"/>
      <x v="7"/>
    </i>
    <i t="grand">
      <x/>
    </i>
  </rowItems>
  <colItems count="1">
    <i/>
  </colItems>
  <pageFields count="2">
    <pageField fld="42" hier="-1"/>
    <pageField fld="43" item="1" hier="-1"/>
  </pageFields>
  <dataFields count="1">
    <dataField name="Sum of QTY" fld="18" baseField="0" baseItem="0" numFmtId="3"/>
  </dataFields>
  <formats count="21">
    <format dxfId="502">
      <pivotArea outline="0" collapsedLevelsAreSubtotals="1" fieldPosition="0"/>
    </format>
    <format dxfId="501">
      <pivotArea field="-2" type="button" dataOnly="0" labelOnly="1" outline="0" axis="axisValues" fieldPosition="0"/>
    </format>
    <format dxfId="500">
      <pivotArea type="topRight" dataOnly="0" labelOnly="1" outline="0" fieldPosition="0"/>
    </format>
    <format dxfId="499">
      <pivotArea dataOnly="0" labelOnly="1" outline="0" fieldPosition="0">
        <references count="1">
          <reference field="4294967294" count="1">
            <x v="0"/>
          </reference>
        </references>
      </pivotArea>
    </format>
    <format dxfId="498">
      <pivotArea outline="0" fieldPosition="0">
        <references count="1">
          <reference field="4294967294" count="1">
            <x v="0"/>
          </reference>
        </references>
      </pivotArea>
    </format>
    <format dxfId="497">
      <pivotArea type="origin" dataOnly="0" labelOnly="1" outline="0" fieldPosition="0"/>
    </format>
    <format dxfId="496">
      <pivotArea dataOnly="0" labelOnly="1" grandRow="1" outline="0" fieldPosition="0"/>
    </format>
    <format dxfId="495">
      <pivotArea field="13" type="button" dataOnly="0" labelOnly="1" outline="0" axis="axisRow" fieldPosition="0"/>
    </format>
    <format dxfId="494">
      <pivotArea dataOnly="0" labelOnly="1" fieldPosition="0">
        <references count="1">
          <reference field="13" count="1">
            <x v="0"/>
          </reference>
        </references>
      </pivotArea>
    </format>
    <format dxfId="493">
      <pivotArea dataOnly="0" labelOnly="1" fieldPosition="0">
        <references count="1">
          <reference field="13" count="1">
            <x v="1"/>
          </reference>
        </references>
      </pivotArea>
    </format>
    <format dxfId="492">
      <pivotArea dataOnly="0" labelOnly="1" fieldPosition="0">
        <references count="1">
          <reference field="13" count="1">
            <x v="2"/>
          </reference>
        </references>
      </pivotArea>
    </format>
    <format dxfId="491">
      <pivotArea dataOnly="0" labelOnly="1" fieldPosition="0">
        <references count="1">
          <reference field="13" count="1">
            <x v="3"/>
          </reference>
        </references>
      </pivotArea>
    </format>
    <format dxfId="490">
      <pivotArea dataOnly="0" labelOnly="1" fieldPosition="0">
        <references count="1">
          <reference field="13" count="1">
            <x v="9"/>
          </reference>
        </references>
      </pivotArea>
    </format>
    <format dxfId="489">
      <pivotArea dataOnly="0" labelOnly="1" fieldPosition="0">
        <references count="1">
          <reference field="13" count="1">
            <x v="4"/>
          </reference>
        </references>
      </pivotArea>
    </format>
    <format dxfId="488">
      <pivotArea dataOnly="0" labelOnly="1" fieldPosition="0">
        <references count="1">
          <reference field="13" count="1">
            <x v="5"/>
          </reference>
        </references>
      </pivotArea>
    </format>
    <format dxfId="487">
      <pivotArea dataOnly="0" labelOnly="1" fieldPosition="0">
        <references count="1">
          <reference field="13" count="1">
            <x v="6"/>
          </reference>
        </references>
      </pivotArea>
    </format>
    <format dxfId="486">
      <pivotArea dataOnly="0" labelOnly="1" fieldPosition="0">
        <references count="1">
          <reference field="13" count="1">
            <x v="7"/>
          </reference>
        </references>
      </pivotArea>
    </format>
    <format dxfId="485">
      <pivotArea dataOnly="0" labelOnly="1" fieldPosition="0">
        <references count="1">
          <reference field="13" count="1">
            <x v="8"/>
          </reference>
        </references>
      </pivotArea>
    </format>
    <format dxfId="484">
      <pivotArea dataOnly="0" labelOnly="1" fieldPosition="0">
        <references count="2">
          <reference field="13" count="1" selected="0">
            <x v="0"/>
          </reference>
          <reference field="14" count="0"/>
        </references>
      </pivotArea>
    </format>
    <format dxfId="483">
      <pivotArea dataOnly="0" labelOnly="1" fieldPosition="0">
        <references count="2">
          <reference field="13" count="1" selected="0">
            <x v="8"/>
          </reference>
          <reference field="14" count="1">
            <x v="40"/>
          </reference>
        </references>
      </pivotArea>
    </format>
    <format dxfId="482">
      <pivotArea type="all" dataOnly="0"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PivotTable1" cacheId="1"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gridDropZones="1" multipleFieldFilters="0">
  <location ref="A3:N302" firstHeaderRow="2" firstDataRow="2" firstDataCol="8"/>
  <pivotFields count="64">
    <pivotField axis="axisRow" compact="0" outline="0" showAll="0" sortType="ascending" defaultSubtotal="0">
      <items count="7">
        <item x="0"/>
        <item x="1"/>
        <item x="5"/>
        <item x="6"/>
        <item x="3"/>
        <item x="4"/>
        <item x="2"/>
      </items>
    </pivotField>
    <pivotField axis="axisRow" compact="0" outline="0" showAll="0" defaultSubtotal="0">
      <items count="7">
        <item x="3"/>
        <item x="1"/>
        <item x="6"/>
        <item x="4"/>
        <item x="2"/>
        <item x="0"/>
        <item x="5"/>
      </items>
    </pivotField>
    <pivotField axis="axisRow" compact="0" outline="0" showAll="0" defaultSubtotal="0">
      <items count="32">
        <item m="1" x="26"/>
        <item x="0"/>
        <item m="1" x="31"/>
        <item x="3"/>
        <item m="1" x="28"/>
        <item m="1" x="29"/>
        <item x="12"/>
        <item x="18"/>
        <item m="1" x="30"/>
        <item x="7"/>
        <item m="1" x="27"/>
        <item m="1" x="25"/>
        <item x="1"/>
        <item x="13"/>
        <item x="20"/>
        <item x="11"/>
        <item x="21"/>
        <item x="14"/>
        <item x="8"/>
        <item x="17"/>
        <item x="2"/>
        <item x="19"/>
        <item x="6"/>
        <item x="5"/>
        <item x="10"/>
        <item x="23"/>
        <item x="24"/>
        <item x="22"/>
        <item x="9"/>
        <item x="4"/>
        <item x="15"/>
        <item x="16"/>
      </items>
    </pivotField>
    <pivotField axis="axisRow" compact="0" outline="0" showAll="0" defaultSubtotal="0">
      <items count="17">
        <item x="12"/>
        <item m="1" x="16"/>
        <item x="6"/>
        <item x="8"/>
        <item x="0"/>
        <item x="10"/>
        <item x="2"/>
        <item x="7"/>
        <item x="11"/>
        <item x="13"/>
        <item x="3"/>
        <item x="9"/>
        <item x="4"/>
        <item x="14"/>
        <item x="5"/>
        <item x="15"/>
        <item x="1"/>
      </items>
    </pivotField>
    <pivotField axis="axisRow" compact="0" outline="0" showAll="0" defaultSubtotal="0">
      <items count="98">
        <item m="1" x="84"/>
        <item x="0"/>
        <item m="1" x="93"/>
        <item x="30"/>
        <item x="12"/>
        <item x="23"/>
        <item x="37"/>
        <item x="38"/>
        <item x="4"/>
        <item m="1" x="95"/>
        <item x="39"/>
        <item m="1" x="92"/>
        <item m="1" x="94"/>
        <item m="1" x="96"/>
        <item x="17"/>
        <item x="16"/>
        <item x="11"/>
        <item m="1" x="80"/>
        <item x="20"/>
        <item m="1" x="87"/>
        <item m="1" x="86"/>
        <item x="44"/>
        <item x="18"/>
        <item m="1" x="97"/>
        <item m="1" x="88"/>
        <item x="34"/>
        <item x="41"/>
        <item x="53"/>
        <item x="56"/>
        <item x="50"/>
        <item x="47"/>
        <item x="59"/>
        <item x="40"/>
        <item x="64"/>
        <item x="60"/>
        <item m="1" x="89"/>
        <item x="73"/>
        <item m="1" x="91"/>
        <item x="49"/>
        <item x="57"/>
        <item x="46"/>
        <item x="55"/>
        <item x="27"/>
        <item x="48"/>
        <item m="1" x="90"/>
        <item x="74"/>
        <item x="75"/>
        <item x="66"/>
        <item x="9"/>
        <item x="71"/>
        <item x="67"/>
        <item x="70"/>
        <item m="1" x="82"/>
        <item x="65"/>
        <item x="63"/>
        <item m="1" x="81"/>
        <item x="69"/>
        <item x="77"/>
        <item m="1" x="85"/>
        <item x="14"/>
        <item x="78"/>
        <item m="1" x="83"/>
        <item x="79"/>
        <item x="6"/>
        <item x="31"/>
        <item x="26"/>
        <item x="32"/>
        <item x="2"/>
        <item x="33"/>
        <item x="3"/>
        <item x="5"/>
        <item x="24"/>
        <item x="8"/>
        <item x="22"/>
        <item x="7"/>
        <item x="10"/>
        <item x="42"/>
        <item x="43"/>
        <item x="21"/>
        <item x="36"/>
        <item x="25"/>
        <item x="51"/>
        <item x="45"/>
        <item x="19"/>
        <item x="61"/>
        <item x="52"/>
        <item x="58"/>
        <item x="68"/>
        <item x="13"/>
        <item x="1"/>
        <item x="35"/>
        <item x="62"/>
        <item x="54"/>
        <item x="76"/>
        <item x="72"/>
        <item x="15"/>
        <item x="28"/>
        <item x="29"/>
      </items>
    </pivotField>
    <pivotField axis="axisRow" compact="0" outline="0" showAll="0" defaultSubtotal="0">
      <items count="57">
        <item x="3"/>
        <item x="28"/>
        <item x="42"/>
        <item x="8"/>
        <item x="39"/>
        <item x="21"/>
        <item x="41"/>
        <item x="38"/>
        <item m="1" x="53"/>
        <item x="43"/>
        <item x="19"/>
        <item x="29"/>
        <item x="12"/>
        <item x="20"/>
        <item x="24"/>
        <item x="0"/>
        <item x="36"/>
        <item m="1" x="48"/>
        <item x="15"/>
        <item m="1" x="50"/>
        <item x="7"/>
        <item m="1" x="55"/>
        <item x="26"/>
        <item x="35"/>
        <item x="16"/>
        <item x="11"/>
        <item x="31"/>
        <item x="22"/>
        <item m="1" x="51"/>
        <item m="1" x="46"/>
        <item m="1" x="54"/>
        <item m="1" x="47"/>
        <item x="9"/>
        <item x="18"/>
        <item m="1" x="56"/>
        <item x="30"/>
        <item x="37"/>
        <item x="4"/>
        <item x="6"/>
        <item x="23"/>
        <item x="10"/>
        <item x="2"/>
        <item x="44"/>
        <item m="1" x="49"/>
        <item x="27"/>
        <item x="40"/>
        <item m="1" x="52"/>
        <item x="32"/>
        <item x="14"/>
        <item x="33"/>
        <item x="17"/>
        <item x="1"/>
        <item x="34"/>
        <item x="13"/>
        <item x="25"/>
        <item x="5"/>
        <item x="45"/>
      </items>
    </pivotField>
    <pivotField axis="axisRow" compact="0" outline="0" showAll="0" defaultSubtotal="0">
      <items count="264">
        <item m="1" x="208"/>
        <item x="0"/>
        <item m="1" x="245"/>
        <item m="1" x="222"/>
        <item x="19"/>
        <item x="74"/>
        <item x="14"/>
        <item x="29"/>
        <item x="75"/>
        <item x="33"/>
        <item x="37"/>
        <item x="76"/>
        <item x="80"/>
        <item x="82"/>
        <item m="1" x="223"/>
        <item x="83"/>
        <item m="1" x="200"/>
        <item x="84"/>
        <item x="85"/>
        <item x="86"/>
        <item m="1" x="243"/>
        <item x="63"/>
        <item x="27"/>
        <item x="23"/>
        <item m="1" x="257"/>
        <item m="1" x="205"/>
        <item x="87"/>
        <item x="88"/>
        <item m="1" x="237"/>
        <item x="64"/>
        <item x="6"/>
        <item m="1" x="220"/>
        <item m="1" x="246"/>
        <item x="44"/>
        <item m="1" x="216"/>
        <item m="1" x="258"/>
        <item x="22"/>
        <item x="21"/>
        <item m="1" x="248"/>
        <item x="12"/>
        <item m="1" x="224"/>
        <item x="50"/>
        <item m="1" x="254"/>
        <item m="1" x="239"/>
        <item x="55"/>
        <item m="1" x="212"/>
        <item x="68"/>
        <item m="1" x="231"/>
        <item m="1" x="262"/>
        <item x="32"/>
        <item x="72"/>
        <item m="1" x="215"/>
        <item m="1" x="225"/>
        <item m="1" x="235"/>
        <item m="1" x="255"/>
        <item m="1" x="204"/>
        <item x="102"/>
        <item m="1" x="228"/>
        <item m="1" x="240"/>
        <item m="1" x="259"/>
        <item m="1" x="209"/>
        <item x="89"/>
        <item x="28"/>
        <item x="90"/>
        <item x="91"/>
        <item x="92"/>
        <item x="93"/>
        <item x="97"/>
        <item x="24"/>
        <item x="25"/>
        <item m="1" x="263"/>
        <item m="1" x="227"/>
        <item m="1" x="221"/>
        <item x="66"/>
        <item x="115"/>
        <item x="146"/>
        <item x="137"/>
        <item x="94"/>
        <item x="112"/>
        <item x="96"/>
        <item x="39"/>
        <item x="148"/>
        <item x="150"/>
        <item x="152"/>
        <item m="1" x="247"/>
        <item x="117"/>
        <item x="116"/>
        <item x="131"/>
        <item m="1" x="252"/>
        <item x="153"/>
        <item x="121"/>
        <item x="110"/>
        <item x="106"/>
        <item m="1" x="213"/>
        <item x="132"/>
        <item m="1" x="242"/>
        <item x="47"/>
        <item x="118"/>
        <item x="95"/>
        <item x="154"/>
        <item x="125"/>
        <item m="1" x="233"/>
        <item m="1" x="218"/>
        <item m="1" x="253"/>
        <item m="1" x="203"/>
        <item x="155"/>
        <item x="156"/>
        <item x="140"/>
        <item x="103"/>
        <item x="105"/>
        <item x="124"/>
        <item m="1" x="230"/>
        <item x="31"/>
        <item x="114"/>
        <item x="109"/>
        <item x="127"/>
        <item m="1" x="201"/>
        <item x="126"/>
        <item x="122"/>
        <item m="1" x="232"/>
        <item x="158"/>
        <item x="104"/>
        <item x="120"/>
        <item m="1" x="241"/>
        <item x="53"/>
        <item x="128"/>
        <item x="145"/>
        <item x="113"/>
        <item x="107"/>
        <item m="1" x="229"/>
        <item m="1" x="210"/>
        <item x="175"/>
        <item m="1" x="214"/>
        <item x="176"/>
        <item x="177"/>
        <item x="178"/>
        <item m="1" x="238"/>
        <item x="161"/>
        <item x="164"/>
        <item x="172"/>
        <item x="179"/>
        <item m="1" x="249"/>
        <item x="168"/>
        <item x="141"/>
        <item x="10"/>
        <item x="166"/>
        <item x="180"/>
        <item m="1" x="256"/>
        <item x="181"/>
        <item x="182"/>
        <item x="170"/>
        <item m="1" x="260"/>
        <item x="162"/>
        <item x="185"/>
        <item m="1" x="199"/>
        <item x="186"/>
        <item x="169"/>
        <item x="187"/>
        <item m="1" x="206"/>
        <item m="1" x="250"/>
        <item x="159"/>
        <item x="173"/>
        <item m="1" x="261"/>
        <item x="189"/>
        <item x="142"/>
        <item x="160"/>
        <item x="167"/>
        <item m="1" x="202"/>
        <item m="1" x="236"/>
        <item m="1" x="219"/>
        <item x="174"/>
        <item x="193"/>
        <item x="165"/>
        <item x="194"/>
        <item m="1" x="217"/>
        <item x="195"/>
        <item x="196"/>
        <item m="1" x="211"/>
        <item m="1" x="244"/>
        <item x="16"/>
        <item x="26"/>
        <item m="1" x="251"/>
        <item x="197"/>
        <item m="1" x="207"/>
        <item m="1" x="226"/>
        <item x="198"/>
        <item m="1" x="234"/>
        <item x="7"/>
        <item x="77"/>
        <item x="78"/>
        <item x="79"/>
        <item x="81"/>
        <item x="59"/>
        <item x="4"/>
        <item x="60"/>
        <item x="2"/>
        <item x="61"/>
        <item x="62"/>
        <item x="65"/>
        <item x="18"/>
        <item x="3"/>
        <item x="40"/>
        <item x="46"/>
        <item x="13"/>
        <item x="38"/>
        <item x="20"/>
        <item x="42"/>
        <item x="69"/>
        <item x="49"/>
        <item x="9"/>
        <item x="56"/>
        <item x="36"/>
        <item x="48"/>
        <item x="70"/>
        <item x="35"/>
        <item x="43"/>
        <item x="30"/>
        <item x="41"/>
        <item x="45"/>
        <item x="51"/>
        <item x="8"/>
        <item x="11"/>
        <item x="98"/>
        <item x="99"/>
        <item x="100"/>
        <item x="101"/>
        <item x="34"/>
        <item x="147"/>
        <item x="149"/>
        <item x="151"/>
        <item x="73"/>
        <item x="130"/>
        <item x="138"/>
        <item x="134"/>
        <item x="129"/>
        <item x="111"/>
        <item x="139"/>
        <item x="135"/>
        <item x="133"/>
        <item x="123"/>
        <item x="163"/>
        <item x="15"/>
        <item x="1"/>
        <item x="5"/>
        <item x="108"/>
        <item x="58"/>
        <item x="52"/>
        <item x="71"/>
        <item x="136"/>
        <item x="157"/>
        <item x="143"/>
        <item x="144"/>
        <item x="119"/>
        <item x="183"/>
        <item x="184"/>
        <item x="188"/>
        <item x="190"/>
        <item x="191"/>
        <item x="171"/>
        <item x="192"/>
        <item x="17"/>
        <item x="54"/>
        <item x="57"/>
        <item x="67"/>
      </items>
    </pivotField>
    <pivotField axis="axisRow" compact="0" outline="0" showAll="0" defaultSubtotal="0">
      <items count="202">
        <item x="3"/>
        <item x="49"/>
        <item x="70"/>
        <item x="123"/>
        <item m="1" x="185"/>
        <item x="134"/>
        <item x="8"/>
        <item x="109"/>
        <item x="108"/>
        <item x="78"/>
        <item m="1" x="192"/>
        <item x="143"/>
        <item x="155"/>
        <item x="68"/>
        <item x="149"/>
        <item x="165"/>
        <item x="46"/>
        <item m="1" x="180"/>
        <item x="99"/>
        <item x="100"/>
        <item x="101"/>
        <item x="103"/>
        <item m="1" x="174"/>
        <item m="1" x="178"/>
        <item m="1" x="181"/>
        <item m="1" x="186"/>
        <item x="144"/>
        <item x="150"/>
        <item x="137"/>
        <item m="1" x="176"/>
        <item m="1" x="189"/>
        <item x="16"/>
        <item x="54"/>
        <item m="1" x="198"/>
        <item x="141"/>
        <item m="1" x="200"/>
        <item x="11"/>
        <item x="6"/>
        <item x="153"/>
        <item x="122"/>
        <item x="37"/>
        <item x="86"/>
        <item x="47"/>
        <item x="66"/>
        <item x="151"/>
        <item x="34"/>
        <item x="102"/>
        <item x="164"/>
        <item x="160"/>
        <item x="115"/>
        <item m="1" x="169"/>
        <item x="154"/>
        <item m="1" x="175"/>
        <item x="55"/>
        <item x="131"/>
        <item x="118"/>
        <item x="117"/>
        <item x="159"/>
        <item x="71"/>
        <item x="9"/>
        <item x="0"/>
        <item m="1" x="167"/>
        <item x="40"/>
        <item m="1" x="177"/>
        <item m="1" x="173"/>
        <item x="158"/>
        <item x="147"/>
        <item x="23"/>
        <item x="145"/>
        <item x="32"/>
        <item x="146"/>
        <item x="156"/>
        <item x="38"/>
        <item x="89"/>
        <item x="61"/>
        <item x="25"/>
        <item x="58"/>
        <item x="30"/>
        <item m="1" x="195"/>
        <item m="1" x="199"/>
        <item m="1" x="201"/>
        <item x="33"/>
        <item x="64"/>
        <item x="63"/>
        <item x="65"/>
        <item x="13"/>
        <item x="67"/>
        <item x="28"/>
        <item x="140"/>
        <item m="1" x="197"/>
        <item m="1" x="194"/>
        <item m="1" x="168"/>
        <item x="148"/>
        <item x="111"/>
        <item x="116"/>
        <item m="1" x="193"/>
        <item x="2"/>
        <item x="4"/>
        <item m="1" x="179"/>
        <item m="1" x="171"/>
        <item m="1" x="190"/>
        <item x="166"/>
        <item x="132"/>
        <item x="60"/>
        <item x="126"/>
        <item x="10"/>
        <item x="35"/>
        <item x="14"/>
        <item m="1" x="196"/>
        <item m="1" x="184"/>
        <item m="1" x="191"/>
        <item x="21"/>
        <item x="80"/>
        <item x="83"/>
        <item x="79"/>
        <item m="1" x="183"/>
        <item x="62"/>
        <item x="130"/>
        <item x="135"/>
        <item x="110"/>
        <item x="74"/>
        <item x="75"/>
        <item x="76"/>
        <item x="77"/>
        <item x="24"/>
        <item x="133"/>
        <item x="104"/>
        <item x="105"/>
        <item x="106"/>
        <item x="107"/>
        <item x="15"/>
        <item x="5"/>
        <item x="12"/>
        <item x="17"/>
        <item m="1" x="182"/>
        <item x="26"/>
        <item x="36"/>
        <item m="1" x="188"/>
        <item x="48"/>
        <item x="73"/>
        <item x="138"/>
        <item x="152"/>
        <item x="29"/>
        <item m="1" x="170"/>
        <item x="20"/>
        <item x="136"/>
        <item m="1" x="172"/>
        <item x="125"/>
        <item x="69"/>
        <item x="7"/>
        <item x="129"/>
        <item x="113"/>
        <item x="119"/>
        <item x="72"/>
        <item x="142"/>
        <item x="157"/>
        <item x="139"/>
        <item m="1" x="187"/>
        <item x="19"/>
        <item x="114"/>
        <item x="31"/>
        <item x="127"/>
        <item x="1"/>
        <item x="120"/>
        <item x="81"/>
        <item x="121"/>
        <item x="18"/>
        <item x="39"/>
        <item x="59"/>
        <item x="95"/>
        <item x="88"/>
        <item x="91"/>
        <item x="90"/>
        <item x="96"/>
        <item x="94"/>
        <item x="93"/>
        <item x="50"/>
        <item x="87"/>
        <item x="92"/>
        <item x="98"/>
        <item x="97"/>
        <item x="124"/>
        <item x="112"/>
        <item x="22"/>
        <item x="27"/>
        <item x="41"/>
        <item x="42"/>
        <item x="43"/>
        <item x="44"/>
        <item x="45"/>
        <item x="51"/>
        <item x="52"/>
        <item x="53"/>
        <item x="56"/>
        <item x="57"/>
        <item x="82"/>
        <item x="84"/>
        <item x="85"/>
        <item x="128"/>
        <item x="161"/>
        <item x="162"/>
        <item x="163"/>
      </items>
    </pivotField>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8">
    <field x="0"/>
    <field x="1"/>
    <field x="2"/>
    <field x="3"/>
    <field x="4"/>
    <field x="5"/>
    <field x="6"/>
    <field x="7"/>
  </rowFields>
  <rowItems count="298">
    <i>
      <x/>
      <x v="5"/>
      <x v="1"/>
      <x v="4"/>
      <x v="1"/>
      <x v="15"/>
      <x v="1"/>
      <x v="60"/>
    </i>
    <i r="2">
      <x v="12"/>
      <x v="16"/>
      <x v="89"/>
      <x v="51"/>
      <x v="242"/>
      <x v="162"/>
    </i>
    <i>
      <x v="1"/>
      <x v="1"/>
      <x v="3"/>
      <x v="10"/>
      <x v="14"/>
      <x v="48"/>
      <x v="36"/>
      <x v="158"/>
    </i>
    <i r="4">
      <x v="15"/>
      <x v="53"/>
      <x v="37"/>
      <x v="166"/>
    </i>
    <i r="4">
      <x v="69"/>
      <x/>
      <x v="29"/>
      <x v="130"/>
    </i>
    <i r="6">
      <x v="30"/>
      <x/>
    </i>
    <i r="6">
      <x v="198"/>
      <x v="1"/>
    </i>
    <i r="6">
      <x v="199"/>
      <x v="130"/>
    </i>
    <i r="6">
      <x v="200"/>
      <x/>
    </i>
    <i r="6">
      <x v="201"/>
      <x v="45"/>
    </i>
    <i r="6">
      <x v="202"/>
      <x v="45"/>
    </i>
    <i r="4">
      <x v="70"/>
      <x v="37"/>
      <x v="33"/>
      <x v="132"/>
    </i>
    <i r="6">
      <x v="203"/>
      <x v="132"/>
    </i>
    <i r="6">
      <x v="204"/>
      <x v="132"/>
    </i>
    <i r="6">
      <x v="205"/>
      <x v="133"/>
    </i>
    <i r="6">
      <x v="243"/>
      <x v="131"/>
    </i>
    <i r="4">
      <x v="71"/>
      <x v="33"/>
      <x v="206"/>
      <x v="106"/>
    </i>
    <i r="4">
      <x v="89"/>
      <x v="51"/>
      <x v="242"/>
      <x v="162"/>
    </i>
    <i r="2">
      <x v="12"/>
      <x v="16"/>
      <x v="89"/>
      <x v="51"/>
      <x v="242"/>
      <x v="162"/>
    </i>
    <i r="2">
      <x v="18"/>
      <x v="3"/>
      <x v="3"/>
      <x v="5"/>
      <x v="245"/>
      <x v="16"/>
    </i>
    <i r="4">
      <x v="4"/>
      <x v="40"/>
      <x v="4"/>
      <x v="31"/>
    </i>
    <i r="6">
      <x v="5"/>
      <x v="74"/>
    </i>
    <i r="6">
      <x v="6"/>
      <x v="162"/>
    </i>
    <i r="6">
      <x v="7"/>
      <x v="75"/>
    </i>
    <i r="6">
      <x v="8"/>
      <x v="116"/>
    </i>
    <i r="6">
      <x v="9"/>
      <x v="142"/>
    </i>
    <i r="4">
      <x v="5"/>
      <x v="24"/>
      <x v="10"/>
      <x v="81"/>
    </i>
    <i r="6">
      <x v="11"/>
      <x v="83"/>
    </i>
    <i r="4">
      <x v="64"/>
      <x v="5"/>
      <x v="245"/>
      <x v="16"/>
    </i>
    <i r="4">
      <x v="65"/>
      <x v="24"/>
      <x v="10"/>
      <x v="81"/>
    </i>
    <i r="6">
      <x v="11"/>
      <x v="83"/>
    </i>
    <i r="6">
      <x v="12"/>
      <x v="82"/>
    </i>
    <i r="6">
      <x v="13"/>
      <x v="84"/>
    </i>
    <i r="6">
      <x v="188"/>
      <x v="81"/>
    </i>
    <i r="6">
      <x v="189"/>
      <x v="83"/>
    </i>
    <i r="6">
      <x v="190"/>
      <x v="82"/>
    </i>
    <i r="6">
      <x v="191"/>
      <x v="84"/>
    </i>
    <i r="4">
      <x v="89"/>
      <x v="51"/>
      <x v="242"/>
      <x v="162"/>
    </i>
    <i r="2">
      <x v="19"/>
      <x v="5"/>
      <x v="6"/>
      <x v="27"/>
      <x v="15"/>
      <x v="43"/>
    </i>
    <i r="6">
      <x v="17"/>
      <x v="86"/>
    </i>
    <i r="6">
      <x v="18"/>
      <x v="13"/>
    </i>
    <i r="4">
      <x v="7"/>
      <x v="44"/>
      <x v="19"/>
      <x v="148"/>
    </i>
    <i r="4">
      <x v="66"/>
      <x v="27"/>
      <x v="192"/>
      <x v="42"/>
    </i>
    <i r="4">
      <x v="89"/>
      <x v="51"/>
      <x v="242"/>
      <x v="162"/>
    </i>
    <i r="2">
      <x v="20"/>
      <x v="6"/>
      <x v="8"/>
      <x v="41"/>
      <x v="23"/>
      <x v="144"/>
    </i>
    <i r="6">
      <x v="193"/>
      <x v="97"/>
    </i>
    <i r="4">
      <x v="67"/>
      <x v="41"/>
      <x v="21"/>
      <x v="97"/>
    </i>
    <i r="6">
      <x v="22"/>
      <x v="96"/>
    </i>
    <i r="6">
      <x v="193"/>
      <x v="97"/>
    </i>
    <i r="6">
      <x v="194"/>
      <x v="96"/>
    </i>
    <i r="6">
      <x v="195"/>
      <x v="96"/>
    </i>
    <i r="4">
      <x v="68"/>
      <x v="39"/>
      <x v="196"/>
      <x v="138"/>
    </i>
    <i r="6">
      <x v="197"/>
      <x v="138"/>
    </i>
    <i r="4">
      <x v="89"/>
      <x v="51"/>
      <x v="242"/>
      <x v="162"/>
    </i>
    <i r="2">
      <x v="21"/>
      <x/>
      <x v="10"/>
      <x v="1"/>
      <x v="26"/>
      <x v="2"/>
    </i>
    <i r="6">
      <x v="27"/>
      <x v="58"/>
    </i>
    <i r="4">
      <x v="89"/>
      <x v="51"/>
      <x v="242"/>
      <x v="162"/>
    </i>
    <i r="2">
      <x v="22"/>
      <x v="2"/>
      <x v="16"/>
      <x v="20"/>
      <x v="39"/>
      <x v="36"/>
    </i>
    <i r="4">
      <x v="72"/>
      <x v="20"/>
      <x v="41"/>
      <x v="69"/>
    </i>
    <i r="6">
      <x v="207"/>
      <x v="76"/>
    </i>
    <i r="6">
      <x v="208"/>
      <x v="6"/>
    </i>
    <i r="6">
      <x v="209"/>
      <x v="6"/>
    </i>
    <i r="6">
      <x v="210"/>
      <x v="69"/>
    </i>
    <i r="6">
      <x v="211"/>
      <x v="69"/>
    </i>
    <i r="6">
      <x v="212"/>
      <x v="72"/>
    </i>
    <i r="6">
      <x v="213"/>
      <x v="106"/>
    </i>
    <i r="6">
      <x v="246"/>
      <x v="167"/>
    </i>
    <i r="4">
      <x v="89"/>
      <x v="51"/>
      <x v="242"/>
      <x v="162"/>
    </i>
    <i r="2">
      <x v="23"/>
      <x v="14"/>
      <x v="18"/>
      <x v="38"/>
      <x v="46"/>
      <x v="149"/>
    </i>
    <i r="6">
      <x v="49"/>
      <x v="87"/>
    </i>
    <i r="4">
      <x v="72"/>
      <x v="20"/>
      <x v="209"/>
      <x v="6"/>
    </i>
    <i r="4">
      <x v="73"/>
      <x v="50"/>
      <x v="44"/>
      <x v="160"/>
    </i>
    <i r="6">
      <x v="214"/>
      <x v="160"/>
    </i>
    <i r="6">
      <x v="215"/>
      <x v="160"/>
    </i>
    <i r="4">
      <x v="74"/>
      <x v="38"/>
      <x v="216"/>
      <x v="135"/>
    </i>
    <i r="6">
      <x v="217"/>
      <x v="135"/>
    </i>
    <i r="6">
      <x v="218"/>
      <x v="136"/>
    </i>
    <i r="6">
      <x v="219"/>
      <x v="136"/>
    </i>
    <i r="6">
      <x v="220"/>
      <x v="149"/>
    </i>
    <i r="4">
      <x v="75"/>
      <x v="32"/>
      <x v="50"/>
      <x v="105"/>
    </i>
    <i r="6">
      <x v="221"/>
      <x v="105"/>
    </i>
    <i r="4">
      <x v="89"/>
      <x v="51"/>
      <x v="242"/>
      <x v="162"/>
    </i>
    <i r="4">
      <x v="90"/>
      <x v="54"/>
      <x v="247"/>
      <x v="168"/>
    </i>
    <i r="4">
      <x v="95"/>
      <x v="32"/>
      <x v="260"/>
      <x v="105"/>
    </i>
    <i>
      <x v="2"/>
      <x v="2"/>
      <x v="31"/>
      <x v="10"/>
      <x v="97"/>
      <x/>
      <x v="262"/>
      <x/>
    </i>
    <i r="1">
      <x v="6"/>
      <x v="12"/>
      <x v="16"/>
      <x v="89"/>
      <x v="51"/>
      <x v="242"/>
      <x v="162"/>
    </i>
    <i r="2">
      <x v="24"/>
      <x v="3"/>
      <x v="21"/>
      <x v="5"/>
      <x v="56"/>
      <x v="21"/>
    </i>
    <i r="4">
      <x v="22"/>
      <x v="40"/>
      <x v="61"/>
      <x v="139"/>
    </i>
    <i r="6">
      <x v="62"/>
      <x v="124"/>
    </i>
    <i r="6">
      <x v="63"/>
      <x v="120"/>
    </i>
    <i r="6">
      <x v="64"/>
      <x v="121"/>
    </i>
    <i r="6">
      <x v="65"/>
      <x v="122"/>
    </i>
    <i r="6">
      <x v="66"/>
      <x v="123"/>
    </i>
    <i r="6">
      <x v="67"/>
      <x v="73"/>
    </i>
    <i r="6">
      <x v="68"/>
      <x v="7"/>
    </i>
    <i r="7">
      <x v="8"/>
    </i>
    <i r="7">
      <x v="9"/>
    </i>
    <i r="7">
      <x v="111"/>
    </i>
    <i r="7">
      <x v="112"/>
    </i>
    <i r="7">
      <x v="113"/>
    </i>
    <i r="7">
      <x v="114"/>
    </i>
    <i r="7">
      <x v="116"/>
    </i>
    <i r="7">
      <x v="153"/>
    </i>
    <i r="7">
      <x v="164"/>
    </i>
    <i r="7">
      <x v="169"/>
    </i>
    <i r="7">
      <x v="170"/>
    </i>
    <i r="7">
      <x v="171"/>
    </i>
    <i r="7">
      <x v="172"/>
    </i>
    <i r="7">
      <x v="173"/>
    </i>
    <i r="7">
      <x v="174"/>
    </i>
    <i r="7">
      <x v="175"/>
    </i>
    <i r="7">
      <x v="176"/>
    </i>
    <i r="7">
      <x v="177"/>
    </i>
    <i r="7">
      <x v="178"/>
    </i>
    <i r="7">
      <x v="179"/>
    </i>
    <i r="7">
      <x v="180"/>
    </i>
    <i r="7">
      <x v="185"/>
    </i>
    <i r="7">
      <x v="186"/>
    </i>
    <i r="7">
      <x v="187"/>
    </i>
    <i r="7">
      <x v="188"/>
    </i>
    <i r="7">
      <x v="189"/>
    </i>
    <i r="7">
      <x v="190"/>
    </i>
    <i r="7">
      <x v="191"/>
    </i>
    <i r="7">
      <x v="192"/>
    </i>
    <i r="7">
      <x v="193"/>
    </i>
    <i r="7">
      <x v="194"/>
    </i>
    <i r="7">
      <x v="195"/>
    </i>
    <i r="7">
      <x v="196"/>
    </i>
    <i r="7">
      <x v="197"/>
    </i>
    <i r="6">
      <x v="69"/>
      <x v="67"/>
    </i>
    <i r="6">
      <x v="241"/>
      <x v="126"/>
    </i>
    <i r="7">
      <x v="127"/>
    </i>
    <i r="7">
      <x v="128"/>
    </i>
    <i r="7">
      <x v="129"/>
    </i>
    <i r="4">
      <x v="76"/>
      <x v="5"/>
      <x v="222"/>
      <x v="18"/>
    </i>
    <i r="6">
      <x v="223"/>
      <x v="19"/>
    </i>
    <i r="6">
      <x v="224"/>
      <x v="20"/>
    </i>
    <i r="4">
      <x v="77"/>
      <x v="11"/>
      <x v="225"/>
      <x v="46"/>
    </i>
    <i r="4">
      <x v="89"/>
      <x v="51"/>
      <x v="242"/>
      <x v="162"/>
    </i>
    <i r="2">
      <x v="30"/>
      <x v="3"/>
      <x v="96"/>
      <x v="13"/>
      <x v="261"/>
      <x v="62"/>
    </i>
    <i r="5">
      <x v="14"/>
      <x v="263"/>
      <x v="53"/>
    </i>
    <i>
      <x v="3"/>
      <x/>
      <x v="6"/>
      <x v="3"/>
      <x v="25"/>
      <x v="40"/>
      <x v="73"/>
      <x v="32"/>
    </i>
    <i r="1">
      <x v="1"/>
      <x v="6"/>
      <x v="3"/>
      <x v="25"/>
      <x v="40"/>
      <x v="73"/>
      <x v="32"/>
    </i>
    <i r="1">
      <x v="2"/>
      <x v="6"/>
      <x v="3"/>
      <x v="25"/>
      <x v="40"/>
      <x v="73"/>
      <x v="32"/>
    </i>
    <i r="7">
      <x v="77"/>
    </i>
    <i r="7">
      <x v="119"/>
    </i>
    <i r="6">
      <x v="74"/>
      <x v="94"/>
    </i>
    <i r="6">
      <x v="75"/>
      <x v="54"/>
    </i>
    <i r="6">
      <x v="77"/>
      <x v="116"/>
    </i>
    <i r="6">
      <x v="78"/>
      <x v="142"/>
    </i>
    <i r="4">
      <x v="26"/>
      <x v="24"/>
      <x v="79"/>
      <x v="81"/>
    </i>
    <i r="4">
      <x v="78"/>
      <x v="24"/>
      <x v="80"/>
      <x v="77"/>
    </i>
    <i r="6">
      <x v="81"/>
      <x v="83"/>
    </i>
    <i r="7">
      <x v="84"/>
    </i>
    <i r="6">
      <x v="82"/>
      <x v="82"/>
    </i>
    <i r="6">
      <x v="83"/>
      <x v="84"/>
    </i>
    <i r="6">
      <x v="226"/>
      <x v="77"/>
    </i>
    <i r="6">
      <x v="227"/>
      <x v="83"/>
    </i>
    <i r="6">
      <x v="228"/>
      <x v="82"/>
    </i>
    <i r="6">
      <x v="229"/>
      <x v="84"/>
    </i>
    <i r="4">
      <x v="89"/>
      <x v="51"/>
      <x v="242"/>
      <x v="162"/>
    </i>
    <i r="4">
      <x v="91"/>
      <x v="5"/>
      <x v="248"/>
      <x v="16"/>
    </i>
    <i r="5">
      <x v="40"/>
      <x v="76"/>
      <x v="147"/>
    </i>
    <i r="2">
      <x v="7"/>
      <x v="8"/>
      <x v="27"/>
      <x v="14"/>
      <x v="85"/>
      <x v="55"/>
    </i>
    <i r="6">
      <x v="86"/>
      <x v="56"/>
    </i>
    <i r="6">
      <x v="87"/>
      <x v="53"/>
    </i>
    <i r="4">
      <x v="28"/>
      <x/>
      <x v="90"/>
      <x v="163"/>
    </i>
    <i r="5">
      <x v="16"/>
      <x v="89"/>
      <x v="102"/>
    </i>
    <i r="4">
      <x v="29"/>
      <x v="49"/>
      <x v="91"/>
      <x v="159"/>
    </i>
    <i r="5">
      <x v="52"/>
      <x v="91"/>
      <x v="165"/>
    </i>
    <i r="4">
      <x v="30"/>
      <x v="26"/>
      <x v="92"/>
      <x v="93"/>
    </i>
    <i r="4">
      <x v="31"/>
      <x v="22"/>
      <x v="230"/>
      <x v="103"/>
    </i>
    <i r="4">
      <x v="79"/>
      <x v="22"/>
      <x v="94"/>
      <x v="103"/>
    </i>
    <i r="6">
      <x v="230"/>
      <x v="103"/>
    </i>
    <i r="4">
      <x v="89"/>
      <x v="51"/>
      <x v="242"/>
      <x v="162"/>
    </i>
    <i r="2">
      <x v="12"/>
      <x v="16"/>
      <x v="89"/>
      <x v="51"/>
      <x v="242"/>
      <x v="162"/>
    </i>
    <i r="2">
      <x v="13"/>
      <x v="6"/>
      <x v="32"/>
      <x v="10"/>
      <x v="96"/>
      <x v="40"/>
    </i>
    <i r="6">
      <x v="97"/>
      <x v="152"/>
    </i>
    <i r="6">
      <x v="98"/>
      <x v="41"/>
    </i>
    <i r="4">
      <x v="80"/>
      <x v="10"/>
      <x v="96"/>
      <x v="40"/>
    </i>
    <i r="6">
      <x v="97"/>
      <x v="152"/>
    </i>
    <i r="6">
      <x v="98"/>
      <x v="41"/>
    </i>
    <i r="6">
      <x v="231"/>
      <x v="40"/>
    </i>
    <i r="6">
      <x v="232"/>
      <x v="40"/>
    </i>
    <i r="4">
      <x v="89"/>
      <x v="51"/>
      <x v="242"/>
      <x v="162"/>
    </i>
    <i r="2">
      <x v="14"/>
      <x/>
      <x v="33"/>
      <x v="36"/>
      <x v="99"/>
      <x v="125"/>
    </i>
    <i r="4">
      <x v="34"/>
      <x v="1"/>
      <x v="100"/>
      <x v="2"/>
    </i>
    <i r="6">
      <x v="105"/>
      <x v="5"/>
    </i>
    <i r="6">
      <x v="106"/>
      <x v="106"/>
    </i>
    <i r="4">
      <x v="81"/>
      <x v="1"/>
      <x v="233"/>
      <x v="3"/>
    </i>
    <i r="6">
      <x v="234"/>
      <x v="3"/>
    </i>
    <i r="6">
      <x v="235"/>
      <x v="49"/>
    </i>
    <i r="6">
      <x v="236"/>
      <x v="104"/>
    </i>
    <i r="6">
      <x v="237"/>
      <x v="58"/>
    </i>
    <i r="6">
      <x v="249"/>
      <x v="104"/>
    </i>
    <i r="4">
      <x v="89"/>
      <x v="51"/>
      <x v="242"/>
      <x v="162"/>
    </i>
    <i r="3">
      <x v="10"/>
      <x v="81"/>
      <x v="1"/>
      <x v="235"/>
      <x v="49"/>
    </i>
    <i r="2">
      <x v="15"/>
      <x v="10"/>
      <x v="36"/>
      <x v="37"/>
      <x v="112"/>
      <x v="132"/>
    </i>
    <i r="4">
      <x v="38"/>
      <x v="47"/>
      <x v="244"/>
      <x v="182"/>
    </i>
    <i r="4">
      <x v="82"/>
      <x/>
      <x v="107"/>
      <x v="1"/>
    </i>
    <i r="6">
      <x v="108"/>
      <x v="130"/>
    </i>
    <i r="6">
      <x v="109"/>
      <x/>
    </i>
    <i r="6">
      <x v="110"/>
      <x v="45"/>
    </i>
    <i r="4">
      <x v="83"/>
      <x v="37"/>
      <x v="112"/>
      <x v="132"/>
    </i>
    <i r="6">
      <x v="113"/>
      <x v="133"/>
    </i>
    <i r="6">
      <x v="114"/>
      <x v="151"/>
    </i>
    <i r="4">
      <x v="84"/>
      <x v="1"/>
      <x v="115"/>
      <x v="2"/>
    </i>
    <i r="5">
      <x v="10"/>
      <x v="115"/>
      <x v="39"/>
    </i>
    <i r="5">
      <x v="24"/>
      <x v="115"/>
      <x v="81"/>
    </i>
    <i r="5">
      <x v="33"/>
      <x v="115"/>
      <x v="106"/>
    </i>
    <i r="5">
      <x v="35"/>
      <x v="115"/>
      <x v="117"/>
    </i>
    <i r="5">
      <x v="37"/>
      <x v="115"/>
      <x v="131"/>
    </i>
    <i r="5">
      <x v="47"/>
      <x v="115"/>
      <x v="181"/>
    </i>
    <i r="4">
      <x v="85"/>
      <x v="47"/>
      <x v="244"/>
      <x v="182"/>
    </i>
    <i r="4">
      <x v="89"/>
      <x v="51"/>
      <x v="242"/>
      <x v="162"/>
    </i>
    <i r="2">
      <x v="16"/>
      <x v="2"/>
      <x v="39"/>
      <x v="23"/>
      <x v="117"/>
      <x v="36"/>
    </i>
    <i r="6">
      <x v="118"/>
      <x v="6"/>
    </i>
    <i r="6">
      <x v="238"/>
      <x v="6"/>
    </i>
    <i r="6">
      <x v="239"/>
      <x v="6"/>
    </i>
    <i r="6">
      <x v="250"/>
      <x v="69"/>
    </i>
    <i r="6">
      <x v="251"/>
      <x v="198"/>
    </i>
    <i r="4">
      <x v="89"/>
      <x v="51"/>
      <x v="242"/>
      <x v="162"/>
    </i>
    <i r="2">
      <x v="17"/>
      <x v="14"/>
      <x v="40"/>
      <x v="35"/>
      <x v="120"/>
      <x v="118"/>
    </i>
    <i r="6">
      <x v="121"/>
      <x v="119"/>
    </i>
    <i r="4">
      <x v="41"/>
      <x v="50"/>
      <x v="122"/>
      <x v="160"/>
    </i>
    <i r="4">
      <x v="42"/>
      <x v="38"/>
      <x v="124"/>
      <x v="135"/>
    </i>
    <i r="6">
      <x v="125"/>
      <x v="136"/>
    </i>
    <i r="6">
      <x v="126"/>
      <x v="150"/>
    </i>
    <i r="6">
      <x v="127"/>
      <x v="149"/>
    </i>
    <i r="4">
      <x v="43"/>
      <x v="32"/>
      <x v="128"/>
      <x v="105"/>
    </i>
    <i r="4">
      <x v="86"/>
      <x v="50"/>
      <x v="122"/>
      <x v="160"/>
    </i>
    <i r="4">
      <x v="89"/>
      <x v="51"/>
      <x v="242"/>
      <x v="162"/>
    </i>
    <i r="4">
      <x v="92"/>
      <x v="54"/>
      <x v="252"/>
      <x v="168"/>
    </i>
    <i r="1">
      <x v="6"/>
      <x v="6"/>
      <x v="3"/>
      <x v="25"/>
      <x v="40"/>
      <x v="73"/>
      <x v="32"/>
    </i>
    <i>
      <x v="4"/>
      <x/>
      <x v="9"/>
      <x v="7"/>
      <x v="47"/>
      <x v="13"/>
      <x v="137"/>
      <x v="145"/>
    </i>
    <i r="6">
      <x v="138"/>
      <x v="62"/>
    </i>
    <i r="6">
      <x v="139"/>
      <x v="154"/>
    </i>
    <i r="6">
      <x v="140"/>
      <x v="92"/>
    </i>
    <i r="4">
      <x v="48"/>
      <x v="3"/>
      <x v="142"/>
      <x v="88"/>
    </i>
    <i r="6">
      <x v="143"/>
      <x v="161"/>
    </i>
    <i r="6">
      <x v="144"/>
      <x v="59"/>
    </i>
    <i r="6">
      <x v="145"/>
      <x v="156"/>
    </i>
    <i r="6">
      <x v="146"/>
      <x v="14"/>
    </i>
    <i r="4">
      <x v="49"/>
      <x v="45"/>
      <x v="148"/>
      <x v="27"/>
    </i>
    <i r="6">
      <x v="149"/>
      <x v="44"/>
    </i>
    <i r="6">
      <x v="150"/>
      <x v="34"/>
    </i>
    <i r="6">
      <x v="253"/>
      <x v="141"/>
    </i>
    <i r="6">
      <x v="254"/>
      <x v="38"/>
    </i>
    <i r="4">
      <x v="50"/>
      <x v="7"/>
      <x v="152"/>
      <x v="28"/>
    </i>
    <i r="6">
      <x v="153"/>
      <x v="51"/>
    </i>
    <i r="4">
      <x v="51"/>
      <x v="4"/>
      <x v="155"/>
      <x v="12"/>
    </i>
    <i r="6">
      <x v="156"/>
      <x v="140"/>
    </i>
    <i r="6">
      <x v="157"/>
      <x v="71"/>
    </i>
    <i r="4">
      <x v="89"/>
      <x v="51"/>
      <x v="242"/>
      <x v="162"/>
    </i>
    <i r="2">
      <x v="12"/>
      <x v="16"/>
      <x v="89"/>
      <x v="51"/>
      <x v="242"/>
      <x v="162"/>
    </i>
    <i r="2">
      <x v="25"/>
      <x v="13"/>
      <x v="45"/>
      <x v="6"/>
      <x v="131"/>
      <x v="26"/>
    </i>
    <i r="4">
      <x v="46"/>
      <x v="2"/>
      <x v="133"/>
      <x v="68"/>
    </i>
    <i r="6">
      <x v="134"/>
      <x v="70"/>
    </i>
    <i r="6">
      <x v="135"/>
      <x v="66"/>
    </i>
    <i r="4">
      <x v="89"/>
      <x v="51"/>
      <x v="242"/>
      <x v="162"/>
    </i>
    <i r="2">
      <x v="26"/>
      <x v="15"/>
      <x v="89"/>
      <x v="51"/>
      <x v="242"/>
      <x v="162"/>
    </i>
    <i r="4">
      <x v="93"/>
      <x v="45"/>
      <x v="255"/>
      <x v="155"/>
    </i>
    <i r="2">
      <x v="27"/>
      <x v="9"/>
      <x v="53"/>
      <x v="13"/>
      <x v="160"/>
      <x v="145"/>
    </i>
    <i r="6">
      <x v="161"/>
      <x v="154"/>
    </i>
    <i r="4">
      <x v="54"/>
      <x v="3"/>
      <x v="163"/>
      <x v="88"/>
    </i>
    <i r="6">
      <x v="164"/>
      <x v="161"/>
    </i>
    <i r="6">
      <x v="165"/>
      <x v="59"/>
    </i>
    <i r="6">
      <x v="166"/>
      <x v="156"/>
    </i>
    <i r="4">
      <x v="56"/>
      <x v="4"/>
      <x v="170"/>
      <x v="11"/>
    </i>
    <i r="6">
      <x v="171"/>
      <x v="12"/>
    </i>
    <i r="6">
      <x v="172"/>
      <x v="140"/>
    </i>
    <i r="6">
      <x v="173"/>
      <x v="71"/>
    </i>
    <i r="4">
      <x v="57"/>
      <x v="9"/>
      <x v="175"/>
      <x v="65"/>
    </i>
    <i r="6">
      <x v="176"/>
      <x v="57"/>
    </i>
    <i r="4">
      <x v="87"/>
      <x v="7"/>
      <x v="240"/>
      <x v="28"/>
    </i>
    <i r="4">
      <x v="89"/>
      <x v="51"/>
      <x v="242"/>
      <x v="162"/>
    </i>
    <i r="4">
      <x v="94"/>
      <x v="45"/>
      <x v="256"/>
      <x v="27"/>
    </i>
    <i r="6">
      <x v="257"/>
      <x v="141"/>
    </i>
    <i r="6">
      <x v="258"/>
      <x v="34"/>
    </i>
    <i r="6">
      <x v="259"/>
      <x v="38"/>
    </i>
    <i>
      <x v="5"/>
      <x v="3"/>
      <x v="12"/>
      <x v="16"/>
      <x v="89"/>
      <x v="51"/>
      <x v="242"/>
      <x v="162"/>
    </i>
    <i r="2">
      <x v="28"/>
      <x v="11"/>
      <x v="59"/>
      <x v="12"/>
      <x v="179"/>
      <x v="48"/>
    </i>
    <i r="7">
      <x v="107"/>
    </i>
    <i r="6">
      <x v="180"/>
      <x v="107"/>
    </i>
    <i r="4">
      <x v="60"/>
      <x v="42"/>
      <x v="182"/>
      <x v="107"/>
    </i>
    <i r="6">
      <x v="241"/>
      <x v="15"/>
    </i>
    <i r="7">
      <x v="47"/>
    </i>
    <i r="4">
      <x v="88"/>
      <x v="18"/>
      <x v="241"/>
      <x v="184"/>
    </i>
    <i r="7">
      <x v="199"/>
    </i>
    <i r="7">
      <x v="200"/>
    </i>
    <i r="7">
      <x v="201"/>
    </i>
    <i r="5">
      <x v="25"/>
      <x v="241"/>
      <x v="85"/>
    </i>
    <i r="7">
      <x v="183"/>
    </i>
    <i r="4">
      <x v="89"/>
      <x v="51"/>
      <x v="242"/>
      <x v="162"/>
    </i>
    <i>
      <x v="6"/>
      <x v="4"/>
      <x v="29"/>
      <x v="12"/>
      <x v="62"/>
      <x v="56"/>
      <x v="185"/>
      <x v="101"/>
    </i>
    <i r="4">
      <x v="63"/>
      <x v="55"/>
      <x v="187"/>
      <x v="37"/>
    </i>
    <i r="4">
      <x v="89"/>
      <x v="51"/>
      <x v="242"/>
      <x v="162"/>
    </i>
    <i t="grand">
      <x/>
    </i>
  </rowItems>
  <colItems count="1">
    <i/>
  </colItems>
  <formats count="236">
    <format dxfId="479">
      <pivotArea outline="0" collapsedLevelsAreSubtotals="1" fieldPosition="0"/>
    </format>
    <format dxfId="478">
      <pivotArea type="topRight" dataOnly="0" labelOnly="1" outline="0" fieldPosition="0"/>
    </format>
    <format dxfId="47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2"/>
          </reference>
          <reference field="5" count="1" selected="0">
            <x v="19"/>
          </reference>
          <reference field="6" count="1" selected="0">
            <x v="2"/>
          </reference>
          <reference field="7" count="1">
            <x v="75"/>
          </reference>
        </references>
      </pivotArea>
    </format>
    <format dxfId="47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3"/>
          </reference>
          <reference field="7" count="1">
            <x v="139"/>
          </reference>
        </references>
      </pivotArea>
    </format>
    <format dxfId="47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4"/>
          </reference>
          <reference field="7" count="1">
            <x v="31"/>
          </reference>
        </references>
      </pivotArea>
    </format>
    <format dxfId="47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5"/>
          </reference>
          <reference field="7" count="1">
            <x v="74"/>
          </reference>
        </references>
      </pivotArea>
    </format>
    <format dxfId="47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6"/>
          </reference>
          <reference field="7" count="1">
            <x v="162"/>
          </reference>
        </references>
      </pivotArea>
    </format>
    <format dxfId="47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7"/>
          </reference>
          <reference field="7" count="1">
            <x v="75"/>
          </reference>
        </references>
      </pivotArea>
    </format>
    <format dxfId="47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8"/>
          </reference>
          <reference field="7" count="1">
            <x v="116"/>
          </reference>
        </references>
      </pivotArea>
    </format>
    <format dxfId="470">
      <pivotArea field="5" type="button" dataOnly="0" labelOnly="1" outline="0" axis="axisRow" fieldPosition="5"/>
    </format>
    <format dxfId="469">
      <pivotArea dataOnly="0" labelOnly="1" outline="0" fieldPosition="0">
        <references count="2">
          <reference field="0" count="1" selected="0">
            <x v="4"/>
          </reference>
          <reference field="1" count="1">
            <x v="0"/>
          </reference>
        </references>
      </pivotArea>
    </format>
    <format dxfId="468">
      <pivotArea dataOnly="0" labelOnly="1" outline="0" fieldPosition="0">
        <references count="4">
          <reference field="0" count="1" selected="0">
            <x v="4"/>
          </reference>
          <reference field="1" count="1" selected="0">
            <x v="0"/>
          </reference>
          <reference field="2" count="1" selected="0">
            <x v="8"/>
          </reference>
          <reference field="3" count="1">
            <x v="1"/>
          </reference>
        </references>
      </pivotArea>
    </format>
    <format dxfId="467">
      <pivotArea type="all" dataOnly="0" outline="0" fieldPosition="0"/>
    </format>
    <format dxfId="466">
      <pivotArea dataOnly="0" labelOnly="1" outline="0" fieldPosition="0">
        <references count="1">
          <reference field="7" count="0"/>
        </references>
      </pivotArea>
    </format>
    <format dxfId="465">
      <pivotArea field="7" type="button" dataOnly="0" labelOnly="1" outline="0" axis="axisRow" fieldPosition="7"/>
    </format>
    <format dxfId="464">
      <pivotArea dataOnly="0" labelOnly="1" grandRow="1" outline="0" fieldPosition="0"/>
    </format>
    <format dxfId="463">
      <pivotArea dataOnly="0" labelOnly="1" outline="0" fieldPosition="0">
        <references count="8">
          <reference field="0" count="1" selected="0">
            <x v="0"/>
          </reference>
          <reference field="1" count="1" selected="0">
            <x v="5"/>
          </reference>
          <reference field="2" count="1" selected="0">
            <x v="0"/>
          </reference>
          <reference field="3" count="1" selected="0">
            <x v="13"/>
          </reference>
          <reference field="4" count="1" selected="0">
            <x v="0"/>
          </reference>
          <reference field="5" count="1" selected="0">
            <x v="34"/>
          </reference>
          <reference field="6" count="1" selected="0">
            <x v="0"/>
          </reference>
          <reference field="7" count="1">
            <x v="108"/>
          </reference>
        </references>
      </pivotArea>
    </format>
    <format dxfId="462">
      <pivotArea dataOnly="0" labelOnly="1" outline="0" fieldPosition="0">
        <references count="8">
          <reference field="0" count="1" selected="0">
            <x v="0"/>
          </reference>
          <reference field="1" count="1" selected="0">
            <x v="5"/>
          </reference>
          <reference field="2" count="1" selected="0">
            <x v="1"/>
          </reference>
          <reference field="3" count="1" selected="0">
            <x v="4"/>
          </reference>
          <reference field="4" count="1" selected="0">
            <x v="1"/>
          </reference>
          <reference field="5" count="1" selected="0">
            <x v="15"/>
          </reference>
          <reference field="6" count="1" selected="0">
            <x v="1"/>
          </reference>
          <reference field="7" count="1">
            <x v="60"/>
          </reference>
        </references>
      </pivotArea>
    </format>
    <format dxfId="46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2"/>
          </reference>
          <reference field="5" count="1" selected="0">
            <x v="19"/>
          </reference>
          <reference field="6" count="1" selected="0">
            <x v="2"/>
          </reference>
          <reference field="7" count="1">
            <x v="75"/>
          </reference>
        </references>
      </pivotArea>
    </format>
    <format dxfId="46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3"/>
          </reference>
          <reference field="7" count="1">
            <x v="139"/>
          </reference>
        </references>
      </pivotArea>
    </format>
    <format dxfId="45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4"/>
          </reference>
          <reference field="7" count="1">
            <x v="31"/>
          </reference>
        </references>
      </pivotArea>
    </format>
    <format dxfId="45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5"/>
          </reference>
          <reference field="7" count="1">
            <x v="74"/>
          </reference>
        </references>
      </pivotArea>
    </format>
    <format dxfId="45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6"/>
          </reference>
          <reference field="7" count="1">
            <x v="162"/>
          </reference>
        </references>
      </pivotArea>
    </format>
    <format dxfId="45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7"/>
          </reference>
          <reference field="7" count="1">
            <x v="75"/>
          </reference>
        </references>
      </pivotArea>
    </format>
    <format dxfId="45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8"/>
          </reference>
          <reference field="7" count="1">
            <x v="116"/>
          </reference>
        </references>
      </pivotArea>
    </format>
    <format dxfId="45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9"/>
          </reference>
          <reference field="7" count="1">
            <x v="142"/>
          </reference>
        </references>
      </pivotArea>
    </format>
    <format dxfId="45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5"/>
          </reference>
          <reference field="5" count="1" selected="0">
            <x v="24"/>
          </reference>
          <reference field="6" count="1" selected="0">
            <x v="10"/>
          </reference>
          <reference field="7" count="1">
            <x v="81"/>
          </reference>
        </references>
      </pivotArea>
    </format>
    <format dxfId="45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5"/>
          </reference>
          <reference field="5" count="1" selected="0">
            <x v="24"/>
          </reference>
          <reference field="6" count="1" selected="0">
            <x v="11"/>
          </reference>
          <reference field="7" count="1">
            <x v="83"/>
          </reference>
        </references>
      </pivotArea>
    </format>
    <format dxfId="45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5"/>
          </reference>
          <reference field="5" count="1" selected="0">
            <x v="24"/>
          </reference>
          <reference field="6" count="1" selected="0">
            <x v="12"/>
          </reference>
          <reference field="7" count="1">
            <x v="82"/>
          </reference>
        </references>
      </pivotArea>
    </format>
    <format dxfId="45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5"/>
          </reference>
          <reference field="5" count="1" selected="0">
            <x v="24"/>
          </reference>
          <reference field="6" count="1" selected="0">
            <x v="13"/>
          </reference>
          <reference field="7" count="1">
            <x v="84"/>
          </reference>
        </references>
      </pivotArea>
    </format>
    <format dxfId="44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4"/>
          </reference>
          <reference field="7" count="1">
            <x v="95"/>
          </reference>
        </references>
      </pivotArea>
    </format>
    <format dxfId="44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5"/>
          </reference>
          <reference field="7" count="1">
            <x v="43"/>
          </reference>
        </references>
      </pivotArea>
    </format>
    <format dxfId="44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6"/>
          </reference>
          <reference field="7" count="1">
            <x v="42"/>
          </reference>
        </references>
      </pivotArea>
    </format>
    <format dxfId="44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7"/>
          </reference>
          <reference field="7" count="1">
            <x v="86"/>
          </reference>
        </references>
      </pivotArea>
    </format>
    <format dxfId="44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8"/>
          </reference>
          <reference field="7" count="1">
            <x v="13"/>
          </reference>
        </references>
      </pivotArea>
    </format>
    <format dxfId="44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7"/>
          </reference>
          <reference field="5" count="1" selected="0">
            <x v="44"/>
          </reference>
          <reference field="6" count="1" selected="0">
            <x v="19"/>
          </reference>
          <reference field="7" count="1">
            <x v="148"/>
          </reference>
        </references>
      </pivotArea>
    </format>
    <format dxfId="44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
          </reference>
          <reference field="5" count="1" selected="0">
            <x v="41"/>
          </reference>
          <reference field="6" count="1" selected="0">
            <x v="20"/>
          </reference>
          <reference field="7" count="1">
            <x v="143"/>
          </reference>
        </references>
      </pivotArea>
    </format>
    <format dxfId="44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
          </reference>
          <reference field="5" count="1" selected="0">
            <x v="41"/>
          </reference>
          <reference field="6" count="1" selected="0">
            <x v="21"/>
          </reference>
          <reference field="7" count="1">
            <x v="97"/>
          </reference>
        </references>
      </pivotArea>
    </format>
    <format dxfId="44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
          </reference>
          <reference field="5" count="1" selected="0">
            <x v="41"/>
          </reference>
          <reference field="6" count="1" selected="0">
            <x v="22"/>
          </reference>
          <reference field="7" count="1">
            <x v="96"/>
          </reference>
        </references>
      </pivotArea>
    </format>
    <format dxfId="44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
          </reference>
          <reference field="5" count="1" selected="0">
            <x v="41"/>
          </reference>
          <reference field="6" count="1" selected="0">
            <x v="23"/>
          </reference>
          <reference field="7" count="1">
            <x v="144"/>
          </reference>
        </references>
      </pivotArea>
    </format>
    <format dxfId="43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9"/>
          </reference>
          <reference field="5" count="1" selected="0">
            <x v="39"/>
          </reference>
          <reference field="6" count="1" selected="0">
            <x v="24"/>
          </reference>
          <reference field="7" count="1">
            <x v="137"/>
          </reference>
        </references>
      </pivotArea>
    </format>
    <format dxfId="43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9"/>
          </reference>
          <reference field="5" count="1" selected="0">
            <x v="39"/>
          </reference>
          <reference field="6" count="1" selected="0">
            <x v="25"/>
          </reference>
          <reference field="7" count="1">
            <x v="138"/>
          </reference>
        </references>
      </pivotArea>
    </format>
    <format dxfId="43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0"/>
          </reference>
          <reference field="5" count="1" selected="0">
            <x v="1"/>
          </reference>
          <reference field="6" count="1" selected="0">
            <x v="26"/>
          </reference>
          <reference field="7" count="1">
            <x v="2"/>
          </reference>
        </references>
      </pivotArea>
    </format>
    <format dxfId="43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0"/>
          </reference>
          <reference field="5" count="1" selected="0">
            <x v="1"/>
          </reference>
          <reference field="6" count="1" selected="0">
            <x v="27"/>
          </reference>
          <reference field="7" count="1">
            <x v="58"/>
          </reference>
        </references>
      </pivotArea>
    </format>
    <format dxfId="43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1"/>
          </reference>
          <reference field="5" count="1" selected="0">
            <x v="0"/>
          </reference>
          <reference field="6" count="1" selected="0">
            <x v="28"/>
          </reference>
          <reference field="7" count="1">
            <x v="1"/>
          </reference>
        </references>
      </pivotArea>
    </format>
    <format dxfId="43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1"/>
          </reference>
          <reference field="5" count="1" selected="0">
            <x v="0"/>
          </reference>
          <reference field="6" count="1" selected="0">
            <x v="29"/>
          </reference>
          <reference field="7" count="1">
            <x v="130"/>
          </reference>
        </references>
      </pivotArea>
    </format>
    <format dxfId="43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1"/>
          </reference>
          <reference field="5" count="1" selected="0">
            <x v="0"/>
          </reference>
          <reference field="6" count="1" selected="0">
            <x v="30"/>
          </reference>
          <reference field="7" count="1">
            <x v="0"/>
          </reference>
        </references>
      </pivotArea>
    </format>
    <format dxfId="43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1"/>
          </reference>
          <reference field="5" count="1" selected="0">
            <x v="0"/>
          </reference>
          <reference field="6" count="1" selected="0">
            <x v="31"/>
          </reference>
          <reference field="7" count="1">
            <x v="45"/>
          </reference>
        </references>
      </pivotArea>
    </format>
    <format dxfId="43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2"/>
          </reference>
          <reference field="5" count="1" selected="0">
            <x v="37"/>
          </reference>
          <reference field="6" count="1" selected="0">
            <x v="32"/>
          </reference>
          <reference field="7" count="1">
            <x v="131"/>
          </reference>
        </references>
      </pivotArea>
    </format>
    <format dxfId="43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2"/>
          </reference>
          <reference field="5" count="1" selected="0">
            <x v="37"/>
          </reference>
          <reference field="6" count="1" selected="0">
            <x v="33"/>
          </reference>
          <reference field="7" count="1">
            <x v="132"/>
          </reference>
        </references>
      </pivotArea>
    </format>
    <format dxfId="42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2"/>
          </reference>
          <reference field="5" count="1" selected="0">
            <x v="37"/>
          </reference>
          <reference field="6" count="1" selected="0">
            <x v="34"/>
          </reference>
          <reference field="7" count="1">
            <x v="133"/>
          </reference>
        </references>
      </pivotArea>
    </format>
    <format dxfId="42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2"/>
          </reference>
          <reference field="5" count="1" selected="0">
            <x v="37"/>
          </reference>
          <reference field="6" count="1" selected="0">
            <x v="241"/>
          </reference>
          <reference field="7" count="1">
            <x v="132"/>
          </reference>
        </references>
      </pivotArea>
    </format>
    <format dxfId="42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3"/>
          </reference>
          <reference field="5" count="1" selected="0">
            <x v="33"/>
          </reference>
          <reference field="6" count="1" selected="0">
            <x v="35"/>
          </reference>
          <reference field="7" count="1">
            <x v="106"/>
          </reference>
        </references>
      </pivotArea>
    </format>
    <format dxfId="42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4"/>
          </reference>
          <reference field="5" count="1" selected="0">
            <x v="46"/>
          </reference>
          <reference field="6" count="1" selected="0">
            <x v="36"/>
          </reference>
          <reference field="7" count="1">
            <x v="157"/>
          </reference>
        </references>
      </pivotArea>
    </format>
    <format dxfId="42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38"/>
          </reference>
          <reference field="7" count="1">
            <x v="76"/>
          </reference>
        </references>
      </pivotArea>
    </format>
    <format dxfId="42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39"/>
          </reference>
          <reference field="7" count="1">
            <x v="36"/>
          </reference>
        </references>
      </pivotArea>
    </format>
    <format dxfId="42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40"/>
          </reference>
          <reference field="7" count="1">
            <x v="6"/>
          </reference>
        </references>
      </pivotArea>
    </format>
    <format dxfId="42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41"/>
          </reference>
          <reference field="7" count="1">
            <x v="69"/>
          </reference>
        </references>
      </pivotArea>
    </format>
    <format dxfId="42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42"/>
          </reference>
          <reference field="7" count="1">
            <x v="72"/>
          </reference>
        </references>
      </pivotArea>
    </format>
    <format dxfId="42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43"/>
          </reference>
          <reference field="7" count="1">
            <x v="106"/>
          </reference>
        </references>
      </pivotArea>
    </format>
    <format dxfId="41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7"/>
          </reference>
          <reference field="5" count="1" selected="0">
            <x v="50"/>
          </reference>
          <reference field="6" count="1" selected="0">
            <x v="44"/>
          </reference>
          <reference field="7" count="1">
            <x v="160"/>
          </reference>
        </references>
      </pivotArea>
    </format>
    <format dxfId="41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5"/>
          </reference>
          <reference field="7" count="1">
            <x v="134"/>
          </reference>
        </references>
      </pivotArea>
    </format>
    <format dxfId="41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6"/>
          </reference>
          <reference field="7" count="1">
            <x v="135"/>
          </reference>
        </references>
      </pivotArea>
    </format>
    <format dxfId="41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7"/>
          </reference>
          <reference field="7" count="1">
            <x v="136"/>
          </reference>
        </references>
      </pivotArea>
    </format>
    <format dxfId="41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8"/>
          </reference>
          <reference field="7" count="1">
            <x v="149"/>
          </reference>
        </references>
      </pivotArea>
    </format>
    <format dxfId="41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9"/>
          </reference>
          <reference field="7" count="1">
            <x v="87"/>
          </reference>
        </references>
      </pivotArea>
    </format>
    <format dxfId="41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9"/>
          </reference>
          <reference field="5" count="1" selected="0">
            <x v="32"/>
          </reference>
          <reference field="6" count="1" selected="0">
            <x v="50"/>
          </reference>
          <reference field="7" count="1">
            <x v="105"/>
          </reference>
        </references>
      </pivotArea>
    </format>
    <format dxfId="41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8"/>
          </reference>
          <reference field="5" count="1" selected="0">
            <x v="17"/>
          </reference>
          <reference field="6" count="1" selected="0">
            <x v="241"/>
          </reference>
          <reference field="7" count="1">
            <x v="64"/>
          </reference>
        </references>
      </pivotArea>
    </format>
    <format dxfId="411">
      <pivotArea dataOnly="0" labelOnly="1" outline="0" fieldPosition="0">
        <references count="8">
          <reference field="0" count="1" selected="0">
            <x v="1"/>
          </reference>
          <reference field="1" count="1" selected="0">
            <x v="1"/>
          </reference>
          <reference field="2" count="1" selected="0">
            <x v="3"/>
          </reference>
          <reference field="3" count="1" selected="0">
            <x v="7"/>
          </reference>
          <reference field="4" count="1" selected="0">
            <x v="14"/>
          </reference>
          <reference field="5" count="1" selected="0">
            <x v="48"/>
          </reference>
          <reference field="6" count="1" selected="0">
            <x v="36"/>
          </reference>
          <reference field="7" count="1">
            <x v="158"/>
          </reference>
        </references>
      </pivotArea>
    </format>
    <format dxfId="410">
      <pivotArea dataOnly="0" labelOnly="1" outline="0" fieldPosition="0">
        <references count="8">
          <reference field="0" count="1" selected="0">
            <x v="1"/>
          </reference>
          <reference field="1" count="1" selected="0">
            <x v="1"/>
          </reference>
          <reference field="2" count="1" selected="0">
            <x v="3"/>
          </reference>
          <reference field="3" count="1" selected="0">
            <x v="10"/>
          </reference>
          <reference field="4" count="1" selected="0">
            <x v="14"/>
          </reference>
          <reference field="5" count="1" selected="0">
            <x v="48"/>
          </reference>
          <reference field="6" count="1" selected="0">
            <x v="36"/>
          </reference>
          <reference field="7" count="1">
            <x v="158"/>
          </reference>
        </references>
      </pivotArea>
    </format>
    <format dxfId="409">
      <pivotArea dataOnly="0" labelOnly="1" outline="0" fieldPosition="0">
        <references count="8">
          <reference field="0" count="1" selected="0">
            <x v="1"/>
          </reference>
          <reference field="1" count="1" selected="0">
            <x v="1"/>
          </reference>
          <reference field="2" count="1" selected="0">
            <x v="12"/>
          </reference>
          <reference field="3" count="1" selected="0">
            <x v="16"/>
          </reference>
          <reference field="4" count="1" selected="0">
            <x v="89"/>
          </reference>
          <reference field="5" count="1" selected="0">
            <x v="51"/>
          </reference>
          <reference field="6" count="1" selected="0">
            <x v="242"/>
          </reference>
          <reference field="7" count="1">
            <x v="162"/>
          </reference>
        </references>
      </pivotArea>
    </format>
    <format dxfId="408">
      <pivotArea dataOnly="0" labelOnly="1" outline="0" fieldPosition="0">
        <references count="8">
          <reference field="0" count="1" selected="0">
            <x v="1"/>
          </reference>
          <reference field="1" count="1" selected="0">
            <x v="2"/>
          </reference>
          <reference field="2" count="1" selected="0">
            <x v="5"/>
          </reference>
          <reference field="3" count="1" selected="0">
            <x v="9"/>
          </reference>
          <reference field="4" count="1" selected="0">
            <x v="32"/>
          </reference>
          <reference field="5" count="1" selected="0">
            <x v="10"/>
          </reference>
          <reference field="6" count="1" selected="0">
            <x v="98"/>
          </reference>
          <reference field="7" count="1">
            <x v="41"/>
          </reference>
        </references>
      </pivotArea>
    </format>
    <format dxfId="407">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0"/>
          </reference>
          <reference field="5" count="1" selected="0">
            <x v="43"/>
          </reference>
          <reference field="6" count="1" selected="0">
            <x v="51"/>
          </reference>
          <reference field="7" count="1">
            <x v="147"/>
          </reference>
        </references>
      </pivotArea>
    </format>
    <format dxfId="406">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2"/>
          </reference>
          <reference field="7" count="1">
            <x v="16"/>
          </reference>
        </references>
      </pivotArea>
    </format>
    <format dxfId="405">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3"/>
          </reference>
          <reference field="7" count="1">
            <x v="18"/>
          </reference>
        </references>
      </pivotArea>
    </format>
    <format dxfId="404">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4"/>
          </reference>
          <reference field="7" count="1">
            <x v="19"/>
          </reference>
        </references>
      </pivotArea>
    </format>
    <format dxfId="403">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5"/>
          </reference>
          <reference field="7" count="1">
            <x v="20"/>
          </reference>
        </references>
      </pivotArea>
    </format>
    <format dxfId="402">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6"/>
          </reference>
          <reference field="7" count="1">
            <x v="21"/>
          </reference>
        </references>
      </pivotArea>
    </format>
    <format dxfId="401">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7"/>
          </reference>
          <reference field="7" count="1">
            <x v="22"/>
          </reference>
        </references>
      </pivotArea>
    </format>
    <format dxfId="400">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8"/>
          </reference>
          <reference field="7" count="1">
            <x v="23"/>
          </reference>
        </references>
      </pivotArea>
    </format>
    <format dxfId="399">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9"/>
          </reference>
          <reference field="7" count="1">
            <x v="24"/>
          </reference>
        </references>
      </pivotArea>
    </format>
    <format dxfId="398">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60"/>
          </reference>
          <reference field="7" count="1">
            <x v="25"/>
          </reference>
        </references>
      </pivotArea>
    </format>
    <format dxfId="397">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1"/>
          </reference>
          <reference field="7" count="1">
            <x v="139"/>
          </reference>
        </references>
      </pivotArea>
    </format>
    <format dxfId="396">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2"/>
          </reference>
          <reference field="7" count="1">
            <x v="124"/>
          </reference>
        </references>
      </pivotArea>
    </format>
    <format dxfId="395">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3"/>
          </reference>
          <reference field="7" count="1">
            <x v="120"/>
          </reference>
        </references>
      </pivotArea>
    </format>
    <format dxfId="394">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4"/>
          </reference>
          <reference field="7" count="1">
            <x v="121"/>
          </reference>
        </references>
      </pivotArea>
    </format>
    <format dxfId="393">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5"/>
          </reference>
          <reference field="7" count="1">
            <x v="122"/>
          </reference>
        </references>
      </pivotArea>
    </format>
    <format dxfId="392">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6"/>
          </reference>
          <reference field="7" count="1">
            <x v="123"/>
          </reference>
        </references>
      </pivotArea>
    </format>
    <format dxfId="391">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7"/>
          </reference>
          <reference field="7" count="1">
            <x v="73"/>
          </reference>
        </references>
      </pivotArea>
    </format>
    <format dxfId="390">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8"/>
          </reference>
          <reference field="7" count="6">
            <x v="9"/>
            <x v="111"/>
            <x v="112"/>
            <x v="113"/>
            <x v="114"/>
            <x v="116"/>
          </reference>
        </references>
      </pivotArea>
    </format>
    <format dxfId="389">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9"/>
          </reference>
          <reference field="7" count="1">
            <x v="67"/>
          </reference>
        </references>
      </pivotArea>
    </format>
    <format dxfId="388">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241"/>
          </reference>
          <reference field="7" count="7">
            <x v="7"/>
            <x v="8"/>
            <x v="126"/>
            <x v="127"/>
            <x v="128"/>
            <x v="129"/>
            <x v="153"/>
          </reference>
        </references>
      </pivotArea>
    </format>
    <format dxfId="387">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3"/>
          </reference>
          <reference field="5" count="1" selected="0">
            <x v="11"/>
          </reference>
          <reference field="6" count="1" selected="0">
            <x v="70"/>
          </reference>
          <reference field="7" count="1">
            <x v="46"/>
          </reference>
        </references>
      </pivotArea>
    </format>
    <format dxfId="38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4"/>
          </reference>
          <reference field="5" count="1" selected="0">
            <x v="21"/>
          </reference>
          <reference field="6" count="1" selected="0">
            <x v="71"/>
          </reference>
          <reference field="7" count="1">
            <x v="78"/>
          </reference>
        </references>
      </pivotArea>
    </format>
    <format dxfId="38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2"/>
          </reference>
          <reference field="7" count="1">
            <x v="139"/>
          </reference>
        </references>
      </pivotArea>
    </format>
    <format dxfId="38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3"/>
          </reference>
          <reference field="7" count="1">
            <x v="32"/>
          </reference>
        </references>
      </pivotArea>
    </format>
    <format dxfId="38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4"/>
          </reference>
          <reference field="7" count="1">
            <x v="94"/>
          </reference>
        </references>
      </pivotArea>
    </format>
    <format dxfId="38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5"/>
          </reference>
          <reference field="7" count="1">
            <x v="54"/>
          </reference>
        </references>
      </pivotArea>
    </format>
    <format dxfId="38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6"/>
          </reference>
          <reference field="7" count="1">
            <x v="147"/>
          </reference>
        </references>
      </pivotArea>
    </format>
    <format dxfId="38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7"/>
          </reference>
          <reference field="7" count="4">
            <x v="109"/>
            <x v="110"/>
            <x v="115"/>
            <x v="116"/>
          </reference>
        </references>
      </pivotArea>
    </format>
    <format dxfId="37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8"/>
          </reference>
          <reference field="7" count="1">
            <x v="142"/>
          </reference>
        </references>
      </pivotArea>
    </format>
    <format dxfId="37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79"/>
          </reference>
          <reference field="7" count="1">
            <x v="81"/>
          </reference>
        </references>
      </pivotArea>
    </format>
    <format dxfId="37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80"/>
          </reference>
          <reference field="7" count="1">
            <x v="77"/>
          </reference>
        </references>
      </pivotArea>
    </format>
    <format dxfId="37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81"/>
          </reference>
          <reference field="7" count="1">
            <x v="83"/>
          </reference>
        </references>
      </pivotArea>
    </format>
    <format dxfId="37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82"/>
          </reference>
          <reference field="7" count="1">
            <x v="82"/>
          </reference>
        </references>
      </pivotArea>
    </format>
    <format dxfId="37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83"/>
          </reference>
          <reference field="7" count="1">
            <x v="84"/>
          </reference>
        </references>
      </pivotArea>
    </format>
    <format dxfId="37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7"/>
          </reference>
          <reference field="5" count="1" selected="0">
            <x v="14"/>
          </reference>
          <reference field="6" count="1" selected="0">
            <x v="84"/>
          </reference>
          <reference field="7" count="1">
            <x v="52"/>
          </reference>
        </references>
      </pivotArea>
    </format>
    <format dxfId="37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7"/>
          </reference>
          <reference field="5" count="1" selected="0">
            <x v="14"/>
          </reference>
          <reference field="6" count="1" selected="0">
            <x v="85"/>
          </reference>
          <reference field="7" count="1">
            <x v="55"/>
          </reference>
        </references>
      </pivotArea>
    </format>
    <format dxfId="37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7"/>
          </reference>
          <reference field="5" count="1" selected="0">
            <x v="14"/>
          </reference>
          <reference field="6" count="1" selected="0">
            <x v="86"/>
          </reference>
          <reference field="7" count="1">
            <x v="56"/>
          </reference>
        </references>
      </pivotArea>
    </format>
    <format dxfId="37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7"/>
          </reference>
          <reference field="5" count="1" selected="0">
            <x v="14"/>
          </reference>
          <reference field="6" count="1" selected="0">
            <x v="87"/>
          </reference>
          <reference field="7" count="1">
            <x v="53"/>
          </reference>
        </references>
      </pivotArea>
    </format>
    <format dxfId="36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8"/>
          </reference>
          <reference field="5" count="1" selected="0">
            <x v="16"/>
          </reference>
          <reference field="6" count="1" selected="0">
            <x v="88"/>
          </reference>
          <reference field="7" count="1">
            <x v="63"/>
          </reference>
        </references>
      </pivotArea>
    </format>
    <format dxfId="36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8"/>
          </reference>
          <reference field="5" count="1" selected="0">
            <x v="16"/>
          </reference>
          <reference field="6" count="1" selected="0">
            <x v="89"/>
          </reference>
          <reference field="7" count="1">
            <x v="102"/>
          </reference>
        </references>
      </pivotArea>
    </format>
    <format dxfId="36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9"/>
          </reference>
          <reference field="5" count="1" selected="0">
            <x v="49"/>
          </reference>
          <reference field="6" count="1" selected="0">
            <x v="91"/>
          </reference>
          <reference field="7" count="1">
            <x v="159"/>
          </reference>
        </references>
      </pivotArea>
    </format>
    <format dxfId="36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0"/>
          </reference>
          <reference field="5" count="1" selected="0">
            <x v="26"/>
          </reference>
          <reference field="6" count="1" selected="0">
            <x v="92"/>
          </reference>
          <reference field="7" count="1">
            <x v="93"/>
          </reference>
        </references>
      </pivotArea>
    </format>
    <format dxfId="36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1"/>
          </reference>
          <reference field="5" count="1" selected="0">
            <x v="22"/>
          </reference>
          <reference field="6" count="1" selected="0">
            <x v="93"/>
          </reference>
          <reference field="7" count="1">
            <x v="79"/>
          </reference>
        </references>
      </pivotArea>
    </format>
    <format dxfId="36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1"/>
          </reference>
          <reference field="5" count="1" selected="0">
            <x v="22"/>
          </reference>
          <reference field="6" count="1" selected="0">
            <x v="94"/>
          </reference>
          <reference field="7" count="1">
            <x v="103"/>
          </reference>
        </references>
      </pivotArea>
    </format>
    <format dxfId="36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2"/>
          </reference>
          <reference field="5" count="1" selected="0">
            <x v="10"/>
          </reference>
          <reference field="6" count="1" selected="0">
            <x v="95"/>
          </reference>
          <reference field="7" count="1">
            <x v="39"/>
          </reference>
        </references>
      </pivotArea>
    </format>
    <format dxfId="36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2"/>
          </reference>
          <reference field="5" count="1" selected="0">
            <x v="10"/>
          </reference>
          <reference field="6" count="1" selected="0">
            <x v="96"/>
          </reference>
          <reference field="7" count="1">
            <x v="40"/>
          </reference>
        </references>
      </pivotArea>
    </format>
    <format dxfId="36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2"/>
          </reference>
          <reference field="5" count="1" selected="0">
            <x v="10"/>
          </reference>
          <reference field="6" count="1" selected="0">
            <x v="97"/>
          </reference>
          <reference field="7" count="1">
            <x v="152"/>
          </reference>
        </references>
      </pivotArea>
    </format>
    <format dxfId="36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3"/>
          </reference>
          <reference field="5" count="1" selected="0">
            <x v="36"/>
          </reference>
          <reference field="6" count="1" selected="0">
            <x v="99"/>
          </reference>
          <reference field="7" count="1">
            <x v="125"/>
          </reference>
        </references>
      </pivotArea>
    </format>
    <format dxfId="35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0"/>
          </reference>
          <reference field="7" count="1">
            <x v="2"/>
          </reference>
        </references>
      </pivotArea>
    </format>
    <format dxfId="35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1"/>
          </reference>
          <reference field="7" count="1">
            <x v="3"/>
          </reference>
        </references>
      </pivotArea>
    </format>
    <format dxfId="35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2"/>
          </reference>
          <reference field="7" count="1">
            <x v="49"/>
          </reference>
        </references>
      </pivotArea>
    </format>
    <format dxfId="35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3"/>
          </reference>
          <reference field="7" count="1">
            <x v="104"/>
          </reference>
        </references>
      </pivotArea>
    </format>
    <format dxfId="35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4"/>
          </reference>
          <reference field="7" count="1">
            <x v="58"/>
          </reference>
        </references>
      </pivotArea>
    </format>
    <format dxfId="35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5"/>
          </reference>
          <reference field="7" count="1">
            <x v="5"/>
          </reference>
        </references>
      </pivotArea>
    </format>
    <format dxfId="35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6"/>
          </reference>
          <reference field="7" count="1">
            <x v="106"/>
          </reference>
        </references>
      </pivotArea>
    </format>
    <format dxfId="35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5"/>
          </reference>
          <reference field="5" count="1" selected="0">
            <x v="0"/>
          </reference>
          <reference field="6" count="1" selected="0">
            <x v="107"/>
          </reference>
          <reference field="7" count="1">
            <x v="1"/>
          </reference>
        </references>
      </pivotArea>
    </format>
    <format dxfId="35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5"/>
          </reference>
          <reference field="5" count="1" selected="0">
            <x v="0"/>
          </reference>
          <reference field="6" count="1" selected="0">
            <x v="108"/>
          </reference>
          <reference field="7" count="1">
            <x v="130"/>
          </reference>
        </references>
      </pivotArea>
    </format>
    <format dxfId="35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5"/>
          </reference>
          <reference field="5" count="1" selected="0">
            <x v="0"/>
          </reference>
          <reference field="6" count="1" selected="0">
            <x v="109"/>
          </reference>
          <reference field="7" count="1">
            <x v="0"/>
          </reference>
        </references>
      </pivotArea>
    </format>
    <format dxfId="34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5"/>
          </reference>
          <reference field="5" count="1" selected="0">
            <x v="0"/>
          </reference>
          <reference field="6" count="1" selected="0">
            <x v="110"/>
          </reference>
          <reference field="7" count="1">
            <x v="45"/>
          </reference>
        </references>
      </pivotArea>
    </format>
    <format dxfId="34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6"/>
          </reference>
          <reference field="5" count="1" selected="0">
            <x v="37"/>
          </reference>
          <reference field="6" count="1" selected="0">
            <x v="111"/>
          </reference>
          <reference field="7" count="1">
            <x v="131"/>
          </reference>
        </references>
      </pivotArea>
    </format>
    <format dxfId="34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6"/>
          </reference>
          <reference field="5" count="1" selected="0">
            <x v="37"/>
          </reference>
          <reference field="6" count="1" selected="0">
            <x v="112"/>
          </reference>
          <reference field="7" count="1">
            <x v="132"/>
          </reference>
        </references>
      </pivotArea>
    </format>
    <format dxfId="34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6"/>
          </reference>
          <reference field="5" count="1" selected="0">
            <x v="37"/>
          </reference>
          <reference field="6" count="1" selected="0">
            <x v="113"/>
          </reference>
          <reference field="7" count="1">
            <x v="133"/>
          </reference>
        </references>
      </pivotArea>
    </format>
    <format dxfId="34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6"/>
          </reference>
          <reference field="5" count="1" selected="0">
            <x v="37"/>
          </reference>
          <reference field="6" count="1" selected="0">
            <x v="114"/>
          </reference>
          <reference field="7" count="1">
            <x v="151"/>
          </reference>
        </references>
      </pivotArea>
    </format>
    <format dxfId="34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7"/>
          </reference>
          <reference field="5" count="1" selected="0">
            <x v="33"/>
          </reference>
          <reference field="6" count="1" selected="0">
            <x v="115"/>
          </reference>
          <reference field="7" count="1">
            <x v="106"/>
          </reference>
        </references>
      </pivotArea>
    </format>
    <format dxfId="34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9"/>
          </reference>
          <reference field="5" count="1" selected="0">
            <x v="23"/>
          </reference>
          <reference field="6" count="1" selected="0">
            <x v="116"/>
          </reference>
          <reference field="7" count="1">
            <x v="80"/>
          </reference>
        </references>
      </pivotArea>
    </format>
    <format dxfId="34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9"/>
          </reference>
          <reference field="5" count="1" selected="0">
            <x v="23"/>
          </reference>
          <reference field="6" count="1" selected="0">
            <x v="117"/>
          </reference>
          <reference field="7" count="1">
            <x v="36"/>
          </reference>
        </references>
      </pivotArea>
    </format>
    <format dxfId="34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9"/>
          </reference>
          <reference field="5" count="1" selected="0">
            <x v="23"/>
          </reference>
          <reference field="6" count="1" selected="0">
            <x v="118"/>
          </reference>
          <reference field="7" count="1">
            <x v="6"/>
          </reference>
        </references>
      </pivotArea>
    </format>
    <format dxfId="34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0"/>
          </reference>
          <reference field="5" count="1" selected="0">
            <x v="35"/>
          </reference>
          <reference field="6" count="1" selected="0">
            <x v="119"/>
          </reference>
          <reference field="7" count="1">
            <x v="117"/>
          </reference>
        </references>
      </pivotArea>
    </format>
    <format dxfId="33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0"/>
          </reference>
          <reference field="5" count="1" selected="0">
            <x v="35"/>
          </reference>
          <reference field="6" count="1" selected="0">
            <x v="120"/>
          </reference>
          <reference field="7" count="1">
            <x v="118"/>
          </reference>
        </references>
      </pivotArea>
    </format>
    <format dxfId="33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0"/>
          </reference>
          <reference field="5" count="1" selected="0">
            <x v="35"/>
          </reference>
          <reference field="6" count="1" selected="0">
            <x v="121"/>
          </reference>
          <reference field="7" count="1">
            <x v="119"/>
          </reference>
        </references>
      </pivotArea>
    </format>
    <format dxfId="33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1"/>
          </reference>
          <reference field="5" count="1" selected="0">
            <x v="50"/>
          </reference>
          <reference field="6" count="1" selected="0">
            <x v="122"/>
          </reference>
          <reference field="7" count="1">
            <x v="160"/>
          </reference>
        </references>
      </pivotArea>
    </format>
    <format dxfId="33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3"/>
          </reference>
          <reference field="7" count="1">
            <x v="134"/>
          </reference>
        </references>
      </pivotArea>
    </format>
    <format dxfId="33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4"/>
          </reference>
          <reference field="7" count="1">
            <x v="135"/>
          </reference>
        </references>
      </pivotArea>
    </format>
    <format dxfId="33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5"/>
          </reference>
          <reference field="7" count="1">
            <x v="136"/>
          </reference>
        </references>
      </pivotArea>
    </format>
    <format dxfId="33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6"/>
          </reference>
          <reference field="7" count="1">
            <x v="150"/>
          </reference>
        </references>
      </pivotArea>
    </format>
    <format dxfId="33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7"/>
          </reference>
          <reference field="7" count="1">
            <x v="149"/>
          </reference>
        </references>
      </pivotArea>
    </format>
    <format dxfId="33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3"/>
          </reference>
          <reference field="5" count="1" selected="0">
            <x v="32"/>
          </reference>
          <reference field="6" count="1" selected="0">
            <x v="128"/>
          </reference>
          <reference field="7" count="1">
            <x v="105"/>
          </reference>
        </references>
      </pivotArea>
    </format>
    <format dxfId="330">
      <pivotArea dataOnly="0" labelOnly="1" outline="0" fieldPosition="0">
        <references count="8">
          <reference field="0" count="1" selected="0">
            <x v="3"/>
          </reference>
          <reference field="1" count="1" selected="0">
            <x v="2"/>
          </reference>
          <reference field="2" count="1" selected="0">
            <x v="6"/>
          </reference>
          <reference field="3" count="1" selected="0">
            <x v="3"/>
          </reference>
          <reference field="4" count="1" selected="0">
            <x v="78"/>
          </reference>
          <reference field="5" count="1" selected="0">
            <x v="24"/>
          </reference>
          <reference field="6" count="1" selected="0">
            <x v="226"/>
          </reference>
          <reference field="7" count="1">
            <x v="77"/>
          </reference>
        </references>
      </pivotArea>
    </format>
    <format dxfId="329">
      <pivotArea dataOnly="0" labelOnly="1" outline="0" fieldPosition="0">
        <references count="8">
          <reference field="0" count="1" selected="0">
            <x v="3"/>
          </reference>
          <reference field="1" count="1" selected="0">
            <x v="2"/>
          </reference>
          <reference field="2" count="1" selected="0">
            <x v="6"/>
          </reference>
          <reference field="3" count="1" selected="0">
            <x v="3"/>
          </reference>
          <reference field="4" count="1" selected="0">
            <x v="78"/>
          </reference>
          <reference field="5" count="1" selected="0">
            <x v="24"/>
          </reference>
          <reference field="6" count="1" selected="0">
            <x v="227"/>
          </reference>
          <reference field="7" count="1">
            <x v="83"/>
          </reference>
        </references>
      </pivotArea>
    </format>
    <format dxfId="328">
      <pivotArea dataOnly="0" labelOnly="1" outline="0" fieldPosition="0">
        <references count="8">
          <reference field="0" count="1" selected="0">
            <x v="3"/>
          </reference>
          <reference field="1" count="1" selected="0">
            <x v="2"/>
          </reference>
          <reference field="2" count="1" selected="0">
            <x v="6"/>
          </reference>
          <reference field="3" count="1" selected="0">
            <x v="3"/>
          </reference>
          <reference field="4" count="1" selected="0">
            <x v="78"/>
          </reference>
          <reference field="5" count="1" selected="0">
            <x v="24"/>
          </reference>
          <reference field="6" count="1" selected="0">
            <x v="228"/>
          </reference>
          <reference field="7" count="1">
            <x v="82"/>
          </reference>
        </references>
      </pivotArea>
    </format>
    <format dxfId="327">
      <pivotArea dataOnly="0" labelOnly="1" outline="0" fieldPosition="0">
        <references count="8">
          <reference field="0" count="1" selected="0">
            <x v="3"/>
          </reference>
          <reference field="1" count="1" selected="0">
            <x v="2"/>
          </reference>
          <reference field="2" count="1" selected="0">
            <x v="6"/>
          </reference>
          <reference field="3" count="1" selected="0">
            <x v="3"/>
          </reference>
          <reference field="4" count="1" selected="0">
            <x v="78"/>
          </reference>
          <reference field="5" count="1" selected="0">
            <x v="24"/>
          </reference>
          <reference field="6" count="1" selected="0">
            <x v="229"/>
          </reference>
          <reference field="7" count="1">
            <x v="84"/>
          </reference>
        </references>
      </pivotArea>
    </format>
    <format dxfId="326">
      <pivotArea dataOnly="0" labelOnly="1" outline="0" fieldPosition="0">
        <references count="8">
          <reference field="0" count="1" selected="0">
            <x v="3"/>
          </reference>
          <reference field="1" count="1" selected="0">
            <x v="2"/>
          </reference>
          <reference field="2" count="1" selected="0">
            <x v="6"/>
          </reference>
          <reference field="3" count="1" selected="0">
            <x v="9"/>
          </reference>
          <reference field="4" count="1" selected="0">
            <x v="25"/>
          </reference>
          <reference field="5" count="1" selected="0">
            <x v="40"/>
          </reference>
          <reference field="6" count="1" selected="0">
            <x v="73"/>
          </reference>
          <reference field="7" count="1">
            <x v="32"/>
          </reference>
        </references>
      </pivotArea>
    </format>
    <format dxfId="325">
      <pivotArea dataOnly="0" labelOnly="1" outline="0" fieldPosition="0">
        <references count="8">
          <reference field="0" count="1" selected="0">
            <x v="3"/>
          </reference>
          <reference field="1" count="1" selected="0">
            <x v="2"/>
          </reference>
          <reference field="2" count="1" selected="0">
            <x v="7"/>
          </reference>
          <reference field="3" count="1" selected="0">
            <x v="8"/>
          </reference>
          <reference field="4" count="1" selected="0">
            <x v="79"/>
          </reference>
          <reference field="5" count="1" selected="0">
            <x v="22"/>
          </reference>
          <reference field="6" count="1" selected="0">
            <x v="230"/>
          </reference>
          <reference field="7" count="1">
            <x v="103"/>
          </reference>
        </references>
      </pivotArea>
    </format>
    <format dxfId="324">
      <pivotArea dataOnly="0" labelOnly="1" outline="0" fieldPosition="0">
        <references count="8">
          <reference field="0" count="1" selected="0">
            <x v="3"/>
          </reference>
          <reference field="1" count="1" selected="0">
            <x v="2"/>
          </reference>
          <reference field="2" count="1" selected="0">
            <x v="7"/>
          </reference>
          <reference field="3" count="1" selected="0">
            <x v="9"/>
          </reference>
          <reference field="4" count="1" selected="0">
            <x v="28"/>
          </reference>
          <reference field="5" count="1" selected="0">
            <x v="16"/>
          </reference>
          <reference field="6" count="1" selected="0">
            <x v="90"/>
          </reference>
          <reference field="7" count="1">
            <x v="163"/>
          </reference>
        </references>
      </pivotArea>
    </format>
    <format dxfId="323">
      <pivotArea dataOnly="0" labelOnly="1" outline="0" fieldPosition="0">
        <references count="8">
          <reference field="0" count="1" selected="0">
            <x v="3"/>
          </reference>
          <reference field="1" count="1" selected="0">
            <x v="2"/>
          </reference>
          <reference field="2" count="1" selected="0">
            <x v="13"/>
          </reference>
          <reference field="3" count="1" selected="0">
            <x v="6"/>
          </reference>
          <reference field="4" count="1" selected="0">
            <x v="80"/>
          </reference>
          <reference field="5" count="1" selected="0">
            <x v="10"/>
          </reference>
          <reference field="6" count="1" selected="0">
            <x v="231"/>
          </reference>
          <reference field="7" count="1">
            <x v="40"/>
          </reference>
        </references>
      </pivotArea>
    </format>
    <format dxfId="322">
      <pivotArea dataOnly="0" labelOnly="1" outline="0" fieldPosition="0">
        <references count="8">
          <reference field="0" count="1" selected="0">
            <x v="3"/>
          </reference>
          <reference field="1" count="1" selected="0">
            <x v="2"/>
          </reference>
          <reference field="2" count="1" selected="0">
            <x v="13"/>
          </reference>
          <reference field="3" count="1" selected="0">
            <x v="6"/>
          </reference>
          <reference field="4" count="1" selected="0">
            <x v="80"/>
          </reference>
          <reference field="5" count="1" selected="0">
            <x v="10"/>
          </reference>
          <reference field="6" count="1" selected="0">
            <x v="232"/>
          </reference>
          <reference field="7" count="1">
            <x v="40"/>
          </reference>
        </references>
      </pivotArea>
    </format>
    <format dxfId="321">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3"/>
          </reference>
          <reference field="7" count="1">
            <x v="3"/>
          </reference>
        </references>
      </pivotArea>
    </format>
    <format dxfId="320">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4"/>
          </reference>
          <reference field="7" count="1">
            <x v="3"/>
          </reference>
        </references>
      </pivotArea>
    </format>
    <format dxfId="319">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5"/>
          </reference>
          <reference field="7" count="1">
            <x v="49"/>
          </reference>
        </references>
      </pivotArea>
    </format>
    <format dxfId="318">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6"/>
          </reference>
          <reference field="7" count="1">
            <x v="104"/>
          </reference>
        </references>
      </pivotArea>
    </format>
    <format dxfId="317">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7"/>
          </reference>
          <reference field="7" count="1">
            <x v="58"/>
          </reference>
        </references>
      </pivotArea>
    </format>
    <format dxfId="316">
      <pivotArea dataOnly="0" labelOnly="1" outline="0" fieldPosition="0">
        <references count="8">
          <reference field="0" count="1" selected="0">
            <x v="3"/>
          </reference>
          <reference field="1" count="1" selected="0">
            <x v="2"/>
          </reference>
          <reference field="2" count="1" selected="0">
            <x v="15"/>
          </reference>
          <reference field="3" count="1" selected="0">
            <x v="10"/>
          </reference>
          <reference field="4" count="1" selected="0">
            <x v="84"/>
          </reference>
          <reference field="5" count="1" selected="0">
            <x v="33"/>
          </reference>
          <reference field="6" count="1" selected="0">
            <x v="115"/>
          </reference>
          <reference field="7" count="1">
            <x v="106"/>
          </reference>
        </references>
      </pivotArea>
    </format>
    <format dxfId="31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4"/>
          </reference>
          <reference field="5" count="1" selected="0">
            <x v="8"/>
          </reference>
          <reference field="6" count="1" selected="0">
            <x v="129"/>
          </reference>
          <reference field="7" count="1">
            <x v="30"/>
          </reference>
        </references>
      </pivotArea>
    </format>
    <format dxfId="31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5"/>
          </reference>
          <reference field="5" count="1" selected="0">
            <x v="6"/>
          </reference>
          <reference field="6" count="1" selected="0">
            <x v="130"/>
          </reference>
          <reference field="7" count="1">
            <x v="17"/>
          </reference>
        </references>
      </pivotArea>
    </format>
    <format dxfId="31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5"/>
          </reference>
          <reference field="5" count="1" selected="0">
            <x v="6"/>
          </reference>
          <reference field="6" count="1" selected="0">
            <x v="131"/>
          </reference>
          <reference field="7" count="1">
            <x v="26"/>
          </reference>
        </references>
      </pivotArea>
    </format>
    <format dxfId="31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6"/>
          </reference>
          <reference field="5" count="1" selected="0">
            <x v="2"/>
          </reference>
          <reference field="6" count="1" selected="0">
            <x v="132"/>
          </reference>
          <reference field="7" count="1">
            <x v="4"/>
          </reference>
        </references>
      </pivotArea>
    </format>
    <format dxfId="31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6"/>
          </reference>
          <reference field="5" count="1" selected="0">
            <x v="2"/>
          </reference>
          <reference field="6" count="1" selected="0">
            <x v="133"/>
          </reference>
          <reference field="7" count="1">
            <x v="68"/>
          </reference>
        </references>
      </pivotArea>
    </format>
    <format dxfId="31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6"/>
          </reference>
          <reference field="5" count="1" selected="0">
            <x v="2"/>
          </reference>
          <reference field="6" count="1" selected="0">
            <x v="134"/>
          </reference>
          <reference field="7" count="1">
            <x v="70"/>
          </reference>
        </references>
      </pivotArea>
    </format>
    <format dxfId="30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6"/>
          </reference>
          <reference field="5" count="1" selected="0">
            <x v="2"/>
          </reference>
          <reference field="6" count="1" selected="0">
            <x v="135"/>
          </reference>
          <reference field="7" count="1">
            <x v="66"/>
          </reference>
        </references>
      </pivotArea>
    </format>
    <format dxfId="30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36"/>
          </reference>
          <reference field="7" count="1">
            <x v="50"/>
          </reference>
        </references>
      </pivotArea>
    </format>
    <format dxfId="30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37"/>
          </reference>
          <reference field="7" count="1">
            <x v="145"/>
          </reference>
        </references>
      </pivotArea>
    </format>
    <format dxfId="30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38"/>
          </reference>
          <reference field="7" count="1">
            <x v="62"/>
          </reference>
        </references>
      </pivotArea>
    </format>
    <format dxfId="30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39"/>
          </reference>
          <reference field="7" count="1">
            <x v="154"/>
          </reference>
        </references>
      </pivotArea>
    </format>
    <format dxfId="30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40"/>
          </reference>
          <reference field="7" count="1">
            <x v="92"/>
          </reference>
        </references>
      </pivotArea>
    </format>
    <format dxfId="30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1"/>
          </reference>
          <reference field="7" count="1">
            <x v="10"/>
          </reference>
        </references>
      </pivotArea>
    </format>
    <format dxfId="30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2"/>
          </reference>
          <reference field="7" count="1">
            <x v="88"/>
          </reference>
        </references>
      </pivotArea>
    </format>
    <format dxfId="30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3"/>
          </reference>
          <reference field="7" count="1">
            <x v="161"/>
          </reference>
        </references>
      </pivotArea>
    </format>
    <format dxfId="30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4"/>
          </reference>
          <reference field="7" count="1">
            <x v="59"/>
          </reference>
        </references>
      </pivotArea>
    </format>
    <format dxfId="29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5"/>
          </reference>
          <reference field="7" count="1">
            <x v="156"/>
          </reference>
        </references>
      </pivotArea>
    </format>
    <format dxfId="29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6"/>
          </reference>
          <reference field="7" count="1">
            <x v="14"/>
          </reference>
        </references>
      </pivotArea>
    </format>
    <format dxfId="29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9"/>
          </reference>
          <reference field="5" count="1" selected="0">
            <x v="45"/>
          </reference>
          <reference field="6" count="1" selected="0">
            <x v="147"/>
          </reference>
          <reference field="7" count="1">
            <x v="155"/>
          </reference>
        </references>
      </pivotArea>
    </format>
    <format dxfId="29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9"/>
          </reference>
          <reference field="5" count="1" selected="0">
            <x v="45"/>
          </reference>
          <reference field="6" count="1" selected="0">
            <x v="148"/>
          </reference>
          <reference field="7" count="1">
            <x v="27"/>
          </reference>
        </references>
      </pivotArea>
    </format>
    <format dxfId="29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9"/>
          </reference>
          <reference field="5" count="1" selected="0">
            <x v="45"/>
          </reference>
          <reference field="6" count="1" selected="0">
            <x v="149"/>
          </reference>
          <reference field="7" count="1">
            <x v="44"/>
          </reference>
        </references>
      </pivotArea>
    </format>
    <format dxfId="29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9"/>
          </reference>
          <reference field="5" count="1" selected="0">
            <x v="45"/>
          </reference>
          <reference field="6" count="1" selected="0">
            <x v="150"/>
          </reference>
          <reference field="7" count="1">
            <x v="34"/>
          </reference>
        </references>
      </pivotArea>
    </format>
    <format dxfId="29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0"/>
          </reference>
          <reference field="5" count="1" selected="0">
            <x v="7"/>
          </reference>
          <reference field="6" count="1" selected="0">
            <x v="151"/>
          </reference>
          <reference field="7" count="1">
            <x v="29"/>
          </reference>
        </references>
      </pivotArea>
    </format>
    <format dxfId="29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0"/>
          </reference>
          <reference field="5" count="1" selected="0">
            <x v="7"/>
          </reference>
          <reference field="6" count="1" selected="0">
            <x v="152"/>
          </reference>
          <reference field="7" count="1">
            <x v="28"/>
          </reference>
        </references>
      </pivotArea>
    </format>
    <format dxfId="29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0"/>
          </reference>
          <reference field="5" count="1" selected="0">
            <x v="7"/>
          </reference>
          <reference field="6" count="1" selected="0">
            <x v="153"/>
          </reference>
          <reference field="7" count="1">
            <x v="51"/>
          </reference>
        </references>
      </pivotArea>
    </format>
    <format dxfId="29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1"/>
          </reference>
          <reference field="5" count="1" selected="0">
            <x v="4"/>
          </reference>
          <reference field="6" count="1" selected="0">
            <x v="154"/>
          </reference>
          <reference field="7" count="1">
            <x v="11"/>
          </reference>
        </references>
      </pivotArea>
    </format>
    <format dxfId="28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1"/>
          </reference>
          <reference field="5" count="1" selected="0">
            <x v="4"/>
          </reference>
          <reference field="6" count="1" selected="0">
            <x v="155"/>
          </reference>
          <reference field="7" count="1">
            <x v="12"/>
          </reference>
        </references>
      </pivotArea>
    </format>
    <format dxfId="28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1"/>
          </reference>
          <reference field="5" count="1" selected="0">
            <x v="4"/>
          </reference>
          <reference field="6" count="1" selected="0">
            <x v="156"/>
          </reference>
          <reference field="7" count="1">
            <x v="140"/>
          </reference>
        </references>
      </pivotArea>
    </format>
    <format dxfId="28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1"/>
          </reference>
          <reference field="5" count="1" selected="0">
            <x v="4"/>
          </reference>
          <reference field="6" count="1" selected="0">
            <x v="157"/>
          </reference>
          <reference field="7" count="1">
            <x v="71"/>
          </reference>
        </references>
      </pivotArea>
    </format>
    <format dxfId="28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2"/>
          </reference>
          <reference field="5" count="1" selected="0">
            <x v="9"/>
          </reference>
          <reference field="6" count="1" selected="0">
            <x v="158"/>
          </reference>
          <reference field="7" count="1">
            <x v="35"/>
          </reference>
        </references>
      </pivotArea>
    </format>
    <format dxfId="28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2"/>
          </reference>
          <reference field="5" count="1" selected="0">
            <x v="9"/>
          </reference>
          <reference field="6" count="1" selected="0">
            <x v="241"/>
          </reference>
          <reference field="7" count="5">
            <x v="57"/>
            <x v="65"/>
            <x v="89"/>
            <x v="90"/>
            <x v="91"/>
          </reference>
        </references>
      </pivotArea>
    </format>
    <format dxfId="28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3"/>
          </reference>
          <reference field="5" count="1" selected="0">
            <x v="13"/>
          </reference>
          <reference field="6" count="1" selected="0">
            <x v="159"/>
          </reference>
          <reference field="7" count="1">
            <x v="50"/>
          </reference>
        </references>
      </pivotArea>
    </format>
    <format dxfId="28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3"/>
          </reference>
          <reference field="5" count="1" selected="0">
            <x v="13"/>
          </reference>
          <reference field="6" count="1" selected="0">
            <x v="160"/>
          </reference>
          <reference field="7" count="1">
            <x v="145"/>
          </reference>
        </references>
      </pivotArea>
    </format>
    <format dxfId="28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3"/>
          </reference>
          <reference field="5" count="1" selected="0">
            <x v="13"/>
          </reference>
          <reference field="6" count="1" selected="0">
            <x v="161"/>
          </reference>
          <reference field="7" count="1">
            <x v="154"/>
          </reference>
        </references>
      </pivotArea>
    </format>
    <format dxfId="28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4"/>
          </reference>
          <reference field="5" count="1" selected="0">
            <x v="3"/>
          </reference>
          <reference field="6" count="1" selected="0">
            <x v="162"/>
          </reference>
          <reference field="7" count="1">
            <x v="10"/>
          </reference>
        </references>
      </pivotArea>
    </format>
    <format dxfId="28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4"/>
          </reference>
          <reference field="5" count="1" selected="0">
            <x v="3"/>
          </reference>
          <reference field="6" count="1" selected="0">
            <x v="163"/>
          </reference>
          <reference field="7" count="1">
            <x v="88"/>
          </reference>
        </references>
      </pivotArea>
    </format>
    <format dxfId="27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4"/>
          </reference>
          <reference field="5" count="1" selected="0">
            <x v="3"/>
          </reference>
          <reference field="6" count="1" selected="0">
            <x v="164"/>
          </reference>
          <reference field="7" count="1">
            <x v="161"/>
          </reference>
        </references>
      </pivotArea>
    </format>
    <format dxfId="27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4"/>
          </reference>
          <reference field="5" count="1" selected="0">
            <x v="3"/>
          </reference>
          <reference field="6" count="1" selected="0">
            <x v="165"/>
          </reference>
          <reference field="7" count="1">
            <x v="59"/>
          </reference>
        </references>
      </pivotArea>
    </format>
    <format dxfId="27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5"/>
          </reference>
          <reference field="5" count="1" selected="0">
            <x v="7"/>
          </reference>
          <reference field="6" count="1" selected="0">
            <x v="167"/>
          </reference>
          <reference field="7" count="1">
            <x v="29"/>
          </reference>
        </references>
      </pivotArea>
    </format>
    <format dxfId="27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5"/>
          </reference>
          <reference field="5" count="1" selected="0">
            <x v="7"/>
          </reference>
          <reference field="6" count="1" selected="0">
            <x v="168"/>
          </reference>
          <reference field="7" count="1">
            <x v="28"/>
          </reference>
        </references>
      </pivotArea>
    </format>
    <format dxfId="27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5"/>
          </reference>
          <reference field="5" count="1" selected="0">
            <x v="7"/>
          </reference>
          <reference field="6" count="1" selected="0">
            <x v="169"/>
          </reference>
          <reference field="7" count="1">
            <x v="51"/>
          </reference>
        </references>
      </pivotArea>
    </format>
    <format dxfId="27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170"/>
          </reference>
          <reference field="7" count="1">
            <x v="11"/>
          </reference>
        </references>
      </pivotArea>
    </format>
    <format dxfId="27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171"/>
          </reference>
          <reference field="7" count="1">
            <x v="12"/>
          </reference>
        </references>
      </pivotArea>
    </format>
    <format dxfId="27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172"/>
          </reference>
          <reference field="7" count="1">
            <x v="140"/>
          </reference>
        </references>
      </pivotArea>
    </format>
    <format dxfId="27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173"/>
          </reference>
          <reference field="7" count="1">
            <x v="71"/>
          </reference>
        </references>
      </pivotArea>
    </format>
    <format dxfId="27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241"/>
          </reference>
          <reference field="7" count="3">
            <x v="12"/>
            <x v="71"/>
            <x v="140"/>
          </reference>
        </references>
      </pivotArea>
    </format>
    <format dxfId="26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7"/>
          </reference>
          <reference field="5" count="1" selected="0">
            <x v="9"/>
          </reference>
          <reference field="6" count="1" selected="0">
            <x v="174"/>
          </reference>
          <reference field="7" count="1">
            <x v="35"/>
          </reference>
        </references>
      </pivotArea>
    </format>
    <format dxfId="26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7"/>
          </reference>
          <reference field="5" count="1" selected="0">
            <x v="9"/>
          </reference>
          <reference field="6" count="1" selected="0">
            <x v="175"/>
          </reference>
          <reference field="7" count="1">
            <x v="65"/>
          </reference>
        </references>
      </pivotArea>
    </format>
    <format dxfId="26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7"/>
          </reference>
          <reference field="5" count="1" selected="0">
            <x v="9"/>
          </reference>
          <reference field="6" count="1" selected="0">
            <x v="176"/>
          </reference>
          <reference field="7" count="1">
            <x v="57"/>
          </reference>
        </references>
      </pivotArea>
    </format>
    <format dxfId="26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88"/>
          </reference>
          <reference field="5" count="1" selected="0">
            <x v="3"/>
          </reference>
          <reference field="6" count="1" selected="0">
            <x v="241"/>
          </reference>
          <reference field="7" count="5">
            <x v="10"/>
            <x v="59"/>
            <x v="88"/>
            <x v="156"/>
            <x v="161"/>
          </reference>
        </references>
      </pivotArea>
    </format>
    <format dxfId="26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88"/>
          </reference>
          <reference field="5" count="1" selected="0">
            <x v="4"/>
          </reference>
          <reference field="6" count="1" selected="0">
            <x v="241"/>
          </reference>
          <reference field="7" count="4">
            <x v="11"/>
            <x v="12"/>
            <x v="71"/>
            <x v="140"/>
          </reference>
        </references>
      </pivotArea>
    </format>
    <format dxfId="26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88"/>
          </reference>
          <reference field="5" count="1" selected="0">
            <x v="13"/>
          </reference>
          <reference field="6" count="1" selected="0">
            <x v="241"/>
          </reference>
          <reference field="7" count="3">
            <x v="50"/>
            <x v="145"/>
            <x v="154"/>
          </reference>
        </references>
      </pivotArea>
    </format>
    <format dxfId="263">
      <pivotArea dataOnly="0" labelOnly="1" outline="0" fieldPosition="0">
        <references count="8">
          <reference field="0" count="1" selected="0">
            <x v="4"/>
          </reference>
          <reference field="1" count="1" selected="0">
            <x v="0"/>
          </reference>
          <reference field="2" count="1" selected="0">
            <x v="9"/>
          </reference>
          <reference field="3" count="1" selected="0">
            <x v="7"/>
          </reference>
          <reference field="4" count="1" selected="0">
            <x v="48"/>
          </reference>
          <reference field="5" count="1" selected="0">
            <x v="3"/>
          </reference>
          <reference field="6" count="1" selected="0">
            <x v="145"/>
          </reference>
          <reference field="7" count="1">
            <x v="156"/>
          </reference>
        </references>
      </pivotArea>
    </format>
    <format dxfId="262">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58"/>
          </reference>
          <reference field="5" count="1" selected="0">
            <x v="28"/>
          </reference>
          <reference field="6" count="1" selected="0">
            <x v="177"/>
          </reference>
          <reference field="7" count="1">
            <x v="98"/>
          </reference>
        </references>
      </pivotArea>
    </format>
    <format dxfId="261">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59"/>
          </reference>
          <reference field="5" count="1" selected="0">
            <x v="12"/>
          </reference>
          <reference field="6" count="1" selected="0">
            <x v="178"/>
          </reference>
          <reference field="7" count="1">
            <x v="48"/>
          </reference>
        </references>
      </pivotArea>
    </format>
    <format dxfId="260">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59"/>
          </reference>
          <reference field="5" count="1" selected="0">
            <x v="12"/>
          </reference>
          <reference field="6" count="1" selected="0">
            <x v="179"/>
          </reference>
          <reference field="7" count="1">
            <x v="107"/>
          </reference>
        </references>
      </pivotArea>
    </format>
    <format dxfId="259">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59"/>
          </reference>
          <reference field="5" count="1" selected="0">
            <x v="12"/>
          </reference>
          <reference field="6" count="1" selected="0">
            <x v="180"/>
          </reference>
          <reference field="7" count="1">
            <x v="33"/>
          </reference>
        </references>
      </pivotArea>
    </format>
    <format dxfId="258">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60"/>
          </reference>
          <reference field="5" count="1" selected="0">
            <x v="42"/>
          </reference>
          <reference field="6" count="1" selected="0">
            <x v="181"/>
          </reference>
          <reference field="7" count="1">
            <x v="146"/>
          </reference>
        </references>
      </pivotArea>
    </format>
    <format dxfId="257">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60"/>
          </reference>
          <reference field="5" count="1" selected="0">
            <x v="42"/>
          </reference>
          <reference field="6" count="1" selected="0">
            <x v="182"/>
          </reference>
          <reference field="7" count="1">
            <x v="61"/>
          </reference>
        </references>
      </pivotArea>
    </format>
    <format dxfId="256">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60"/>
          </reference>
          <reference field="5" count="1" selected="0">
            <x v="42"/>
          </reference>
          <reference field="6" count="1" selected="0">
            <x v="241"/>
          </reference>
          <reference field="7" count="2">
            <x v="15"/>
            <x v="47"/>
          </reference>
        </references>
      </pivotArea>
    </format>
    <format dxfId="255">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88"/>
          </reference>
          <reference field="5" count="1" selected="0">
            <x v="18"/>
          </reference>
          <reference field="6" count="1" selected="0">
            <x v="241"/>
          </reference>
          <reference field="7" count="1">
            <x v="85"/>
          </reference>
        </references>
      </pivotArea>
    </format>
    <format dxfId="254">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88"/>
          </reference>
          <reference field="5" count="1" selected="0">
            <x v="25"/>
          </reference>
          <reference field="6" count="1" selected="0">
            <x v="241"/>
          </reference>
          <reference field="7" count="1">
            <x v="85"/>
          </reference>
        </references>
      </pivotArea>
    </format>
    <format dxfId="253">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1"/>
          </reference>
          <reference field="5" count="1" selected="0">
            <x v="29"/>
          </reference>
          <reference field="6" count="1" selected="0">
            <x v="183"/>
          </reference>
          <reference field="7" count="1">
            <x v="99"/>
          </reference>
        </references>
      </pivotArea>
    </format>
    <format dxfId="252">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2"/>
          </reference>
          <reference field="5" count="1" selected="0">
            <x v="31"/>
          </reference>
          <reference field="6" count="1" selected="0">
            <x v="184"/>
          </reference>
          <reference field="7" count="1">
            <x v="101"/>
          </reference>
        </references>
      </pivotArea>
    </format>
    <format dxfId="251">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2"/>
          </reference>
          <reference field="5" count="1" selected="0">
            <x v="31"/>
          </reference>
          <reference field="6" count="1" selected="0">
            <x v="185"/>
          </reference>
          <reference field="7" count="1">
            <x v="101"/>
          </reference>
        </references>
      </pivotArea>
    </format>
    <format dxfId="250">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3"/>
          </reference>
          <reference field="5" count="1" selected="0">
            <x v="30"/>
          </reference>
          <reference field="6" count="1" selected="0">
            <x v="186"/>
          </reference>
          <reference field="7" count="1">
            <x v="100"/>
          </reference>
        </references>
      </pivotArea>
    </format>
    <format dxfId="249">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3"/>
          </reference>
          <reference field="5" count="1" selected="0">
            <x v="30"/>
          </reference>
          <reference field="6" count="1" selected="0">
            <x v="187"/>
          </reference>
          <reference field="7" count="1">
            <x v="37"/>
          </reference>
        </references>
      </pivotArea>
    </format>
    <format dxfId="248">
      <pivotArea field="5" type="button" dataOnly="0" labelOnly="1" outline="0" axis="axisRow" fieldPosition="5"/>
    </format>
    <format dxfId="247">
      <pivotArea field="5" type="button" dataOnly="0" labelOnly="1" outline="0" axis="axisRow" fieldPosition="5"/>
    </format>
    <format dxfId="246">
      <pivotArea dataOnly="0" labelOnly="1" outline="0" fieldPosition="0">
        <references count="4">
          <reference field="0" count="1" selected="0">
            <x v="0"/>
          </reference>
          <reference field="1" count="1" selected="0">
            <x v="5"/>
          </reference>
          <reference field="2" count="1" selected="0">
            <x v="1"/>
          </reference>
          <reference field="3" count="1">
            <x v="4"/>
          </reference>
        </references>
      </pivotArea>
    </format>
    <format dxfId="245">
      <pivotArea dataOnly="0" labelOnly="1" outline="0" fieldPosition="0">
        <references count="4">
          <reference field="0" count="1" selected="0">
            <x v="1"/>
          </reference>
          <reference field="1" count="1" selected="0">
            <x v="1"/>
          </reference>
          <reference field="2" count="1" selected="0">
            <x v="3"/>
          </reference>
          <reference field="3" count="1">
            <x v="10"/>
          </reference>
        </references>
      </pivotArea>
    </format>
    <format dxfId="244">
      <pivotArea field="3" type="button" dataOnly="0" labelOnly="1" outline="0" axis="axisRow" fieldPosition="3"/>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2700-000000000000}" name="PivotTable1"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A46" firstHeaderRow="1" firstDataRow="1" firstDataCol="1"/>
  <pivotFields count="67">
    <pivotField numFmtId="1" showAll="0"/>
    <pivotField showAll="0"/>
    <pivotField showAll="0"/>
    <pivotField showAll="0"/>
    <pivotField showAll="0"/>
    <pivotField showAll="0"/>
    <pivotField showAll="0"/>
    <pivotField showAll="0"/>
    <pivotField showAll="0"/>
    <pivotField showAll="0"/>
    <pivotField axis="axisRow" showAll="0">
      <items count="45">
        <item x="41"/>
        <item x="1"/>
        <item x="2"/>
        <item x="10"/>
        <item x="38"/>
        <item x="39"/>
        <item x="9"/>
        <item x="17"/>
        <item x="6"/>
        <item x="31"/>
        <item x="4"/>
        <item x="33"/>
        <item x="5"/>
        <item x="16"/>
        <item x="20"/>
        <item x="11"/>
        <item x="40"/>
        <item x="37"/>
        <item x="32"/>
        <item x="29"/>
        <item x="35"/>
        <item x="13"/>
        <item x="14"/>
        <item x="15"/>
        <item x="23"/>
        <item x="30"/>
        <item x="22"/>
        <item x="21"/>
        <item x="12"/>
        <item x="8"/>
        <item x="26"/>
        <item x="24"/>
        <item x="19"/>
        <item x="7"/>
        <item x="27"/>
        <item x="28"/>
        <item x="25"/>
        <item m="1" x="42"/>
        <item x="34"/>
        <item m="1" x="43"/>
        <item x="3"/>
        <item x="18"/>
        <item x="36"/>
        <item x="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s>
  <rowFields count="1">
    <field x="10"/>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8"/>
    </i>
    <i>
      <x v="40"/>
    </i>
    <i>
      <x v="41"/>
    </i>
    <i>
      <x v="42"/>
    </i>
    <i>
      <x v="43"/>
    </i>
    <i t="grand">
      <x/>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PivotTable1" cacheId="0" applyNumberFormats="0" applyBorderFormats="0" applyFontFormats="0" applyPatternFormats="0" applyAlignmentFormats="0" applyWidthHeightFormats="1" dataCaption="Values" updatedVersion="5" minRefreshableVersion="3" showCalcMbrs="0" useAutoFormatting="1" rowGrandTotals="0" itemPrintTitles="1" createdVersion="3" indent="0" outline="1" outlineData="1" multipleFieldFilters="0">
  <location ref="A5:I8"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defaultSubtotal="0"/>
    <pivotField axis="axisPage" multipleItemSelectionAllowed="1" showAll="0" defaultSubtotal="0">
      <items count="10">
        <item h="1" x="6"/>
        <item h="1" x="3"/>
        <item h="1" x="7"/>
        <item x="5"/>
        <item h="1" x="0"/>
        <item h="1" x="4"/>
        <item h="1" x="2"/>
        <item h="1" x="1"/>
        <item h="1" x="8"/>
        <item h="1" x="9"/>
      </items>
    </pivotField>
    <pivotField axis="axisRow" showAll="0" defaultSubtotal="0">
      <items count="3">
        <item x="0"/>
        <item x="2"/>
        <item h="1" x="1"/>
      </items>
    </pivotField>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pivotField showAll="0"/>
    <pivotField showAll="0"/>
  </pivotFields>
  <rowFields count="1">
    <field x="43"/>
  </rowFields>
  <rowItems count="2">
    <i>
      <x/>
    </i>
    <i>
      <x v="1"/>
    </i>
  </rowItems>
  <colFields count="1">
    <field x="-2"/>
  </colFields>
  <colItems count="8">
    <i>
      <x/>
    </i>
    <i i="1">
      <x v="1"/>
    </i>
    <i i="2">
      <x v="2"/>
    </i>
    <i i="3">
      <x v="3"/>
    </i>
    <i i="4">
      <x v="4"/>
    </i>
    <i i="5">
      <x v="5"/>
    </i>
    <i i="6">
      <x v="6"/>
    </i>
    <i i="7">
      <x v="7"/>
    </i>
  </colItems>
  <pageFields count="1">
    <pageField fld="42" hier="-1"/>
  </pageFields>
  <dataFields count="8">
    <dataField name="Year 1 ($)" fld="56" baseField="0" baseItem="0"/>
    <dataField name="Year 2 ($)" fld="57" baseField="0" baseItem="0"/>
    <dataField name="Year 3 ($)" fld="58" baseField="0" baseItem="0"/>
    <dataField name="Year 4 ($)" fld="59" baseField="0" baseItem="0"/>
    <dataField name="Year 5 ($)" fld="60" baseField="0" baseItem="0"/>
    <dataField name="Year 6 ($)" fld="61" baseField="0" baseItem="0"/>
    <dataField name="Year 7 ($)" fld="62" baseField="0" baseItem="0"/>
    <dataField name="Year 8 ($)" fld="63" baseField="0" baseItem="0"/>
  </dataFields>
  <formats count="10">
    <format dxfId="242">
      <pivotArea outline="0" collapsedLevelsAreSubtotals="1" fieldPosition="0"/>
    </format>
    <format dxfId="241">
      <pivotArea outline="0" collapsedLevelsAreSubtotals="1" fieldPosition="0"/>
    </format>
    <format dxfId="240">
      <pivotArea dataOnly="0" labelOnly="1" fieldPosition="0">
        <references count="1">
          <reference field="43" count="0"/>
        </references>
      </pivotArea>
    </format>
    <format dxfId="239">
      <pivotArea outline="0" collapsedLevelsAreSubtotals="1" fieldPosition="0"/>
    </format>
    <format dxfId="238">
      <pivotArea dataOnly="0" labelOnly="1" fieldPosition="0">
        <references count="1">
          <reference field="43" count="0"/>
        </references>
      </pivotArea>
    </format>
    <format dxfId="237">
      <pivotArea field="43" type="button" dataOnly="0" labelOnly="1" outline="0" axis="axisRow" fieldPosition="0"/>
    </format>
    <format dxfId="236">
      <pivotArea outline="0" collapsedLevelsAreSubtotals="1" fieldPosition="0"/>
    </format>
    <format dxfId="235">
      <pivotArea outline="0" collapsedLevelsAreSubtotals="1" fieldPosition="0"/>
    </format>
    <format dxfId="234">
      <pivotArea dataOnly="0" labelOnly="1" outline="0" fieldPosition="0">
        <references count="1">
          <reference field="4294967294" count="8">
            <x v="0"/>
            <x v="1"/>
            <x v="2"/>
            <x v="3"/>
            <x v="4"/>
            <x v="5"/>
            <x v="6"/>
            <x v="7"/>
          </reference>
        </references>
      </pivotArea>
    </format>
    <format dxfId="233">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PivotTable1" cacheId="1"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gridDropZones="1" multipleFieldFilters="0">
  <location ref="A3:N302" firstHeaderRow="2" firstDataRow="2" firstDataCol="8"/>
  <pivotFields count="64">
    <pivotField axis="axisRow" compact="0" outline="0" showAll="0" sortType="ascending" defaultSubtotal="0">
      <items count="7">
        <item x="0"/>
        <item x="1"/>
        <item x="5"/>
        <item x="6"/>
        <item x="3"/>
        <item x="4"/>
        <item x="2"/>
      </items>
    </pivotField>
    <pivotField axis="axisRow" compact="0" outline="0" showAll="0" defaultSubtotal="0">
      <items count="7">
        <item x="3"/>
        <item x="1"/>
        <item x="6"/>
        <item x="4"/>
        <item x="2"/>
        <item x="0"/>
        <item x="5"/>
      </items>
    </pivotField>
    <pivotField axis="axisRow" compact="0" outline="0" showAll="0" defaultSubtotal="0">
      <items count="32">
        <item m="1" x="26"/>
        <item x="0"/>
        <item m="1" x="31"/>
        <item x="3"/>
        <item m="1" x="28"/>
        <item m="1" x="29"/>
        <item x="12"/>
        <item x="18"/>
        <item m="1" x="30"/>
        <item x="7"/>
        <item m="1" x="27"/>
        <item m="1" x="25"/>
        <item x="1"/>
        <item x="13"/>
        <item x="20"/>
        <item x="11"/>
        <item x="21"/>
        <item x="14"/>
        <item x="8"/>
        <item x="17"/>
        <item x="2"/>
        <item x="19"/>
        <item x="6"/>
        <item x="5"/>
        <item x="10"/>
        <item x="23"/>
        <item x="24"/>
        <item x="22"/>
        <item x="9"/>
        <item x="4"/>
        <item x="15"/>
        <item x="16"/>
      </items>
    </pivotField>
    <pivotField axis="axisRow" compact="0" outline="0" showAll="0" defaultSubtotal="0">
      <items count="17">
        <item x="12"/>
        <item m="1" x="16"/>
        <item x="6"/>
        <item x="8"/>
        <item x="0"/>
        <item x="10"/>
        <item x="2"/>
        <item x="7"/>
        <item x="11"/>
        <item x="13"/>
        <item x="3"/>
        <item x="9"/>
        <item x="4"/>
        <item x="14"/>
        <item x="5"/>
        <item x="15"/>
        <item x="1"/>
      </items>
    </pivotField>
    <pivotField axis="axisRow" compact="0" outline="0" showAll="0" defaultSubtotal="0">
      <items count="98">
        <item m="1" x="84"/>
        <item x="0"/>
        <item m="1" x="93"/>
        <item x="30"/>
        <item x="12"/>
        <item x="23"/>
        <item x="37"/>
        <item x="38"/>
        <item x="4"/>
        <item m="1" x="95"/>
        <item x="39"/>
        <item m="1" x="92"/>
        <item m="1" x="94"/>
        <item m="1" x="96"/>
        <item x="17"/>
        <item x="16"/>
        <item x="11"/>
        <item m="1" x="80"/>
        <item x="20"/>
        <item m="1" x="87"/>
        <item m="1" x="86"/>
        <item x="44"/>
        <item x="18"/>
        <item m="1" x="97"/>
        <item m="1" x="88"/>
        <item x="34"/>
        <item x="41"/>
        <item x="53"/>
        <item x="56"/>
        <item x="50"/>
        <item x="47"/>
        <item x="59"/>
        <item x="40"/>
        <item x="64"/>
        <item x="60"/>
        <item m="1" x="89"/>
        <item x="73"/>
        <item m="1" x="91"/>
        <item x="49"/>
        <item x="57"/>
        <item x="46"/>
        <item x="55"/>
        <item x="27"/>
        <item x="48"/>
        <item m="1" x="90"/>
        <item x="74"/>
        <item x="75"/>
        <item x="66"/>
        <item x="9"/>
        <item x="71"/>
        <item x="67"/>
        <item x="70"/>
        <item m="1" x="82"/>
        <item x="65"/>
        <item x="63"/>
        <item m="1" x="81"/>
        <item x="69"/>
        <item x="77"/>
        <item m="1" x="85"/>
        <item x="14"/>
        <item x="78"/>
        <item m="1" x="83"/>
        <item x="79"/>
        <item x="6"/>
        <item x="31"/>
        <item x="26"/>
        <item x="32"/>
        <item x="2"/>
        <item x="33"/>
        <item x="3"/>
        <item x="5"/>
        <item x="24"/>
        <item x="8"/>
        <item x="22"/>
        <item x="7"/>
        <item x="10"/>
        <item x="42"/>
        <item x="43"/>
        <item x="21"/>
        <item x="36"/>
        <item x="25"/>
        <item x="51"/>
        <item x="45"/>
        <item x="19"/>
        <item x="61"/>
        <item x="52"/>
        <item x="58"/>
        <item x="68"/>
        <item x="13"/>
        <item x="1"/>
        <item x="35"/>
        <item x="62"/>
        <item x="54"/>
        <item x="76"/>
        <item x="72"/>
        <item x="15"/>
        <item x="28"/>
        <item x="29"/>
      </items>
    </pivotField>
    <pivotField axis="axisRow" compact="0" outline="0" showAll="0" defaultSubtotal="0">
      <items count="57">
        <item x="3"/>
        <item x="28"/>
        <item x="42"/>
        <item x="8"/>
        <item x="39"/>
        <item x="21"/>
        <item x="41"/>
        <item x="38"/>
        <item m="1" x="53"/>
        <item x="43"/>
        <item x="19"/>
        <item x="29"/>
        <item x="12"/>
        <item x="20"/>
        <item x="24"/>
        <item x="0"/>
        <item x="36"/>
        <item m="1" x="48"/>
        <item x="15"/>
        <item m="1" x="50"/>
        <item x="7"/>
        <item m="1" x="55"/>
        <item x="26"/>
        <item x="35"/>
        <item x="16"/>
        <item x="11"/>
        <item x="31"/>
        <item x="22"/>
        <item m="1" x="51"/>
        <item m="1" x="46"/>
        <item m="1" x="54"/>
        <item m="1" x="47"/>
        <item x="9"/>
        <item x="18"/>
        <item m="1" x="56"/>
        <item x="30"/>
        <item x="37"/>
        <item x="4"/>
        <item x="6"/>
        <item x="23"/>
        <item x="10"/>
        <item x="2"/>
        <item x="44"/>
        <item m="1" x="49"/>
        <item x="27"/>
        <item x="40"/>
        <item m="1" x="52"/>
        <item x="32"/>
        <item x="14"/>
        <item x="33"/>
        <item x="17"/>
        <item x="1"/>
        <item x="34"/>
        <item x="13"/>
        <item x="25"/>
        <item x="5"/>
        <item x="45"/>
      </items>
    </pivotField>
    <pivotField axis="axisRow" compact="0" outline="0" showAll="0" defaultSubtotal="0">
      <items count="264">
        <item m="1" x="208"/>
        <item x="0"/>
        <item m="1" x="245"/>
        <item m="1" x="222"/>
        <item x="19"/>
        <item x="74"/>
        <item x="14"/>
        <item x="29"/>
        <item x="75"/>
        <item x="33"/>
        <item x="37"/>
        <item x="76"/>
        <item x="80"/>
        <item x="82"/>
        <item m="1" x="223"/>
        <item x="83"/>
        <item m="1" x="200"/>
        <item x="84"/>
        <item x="85"/>
        <item x="86"/>
        <item m="1" x="243"/>
        <item x="63"/>
        <item x="27"/>
        <item x="23"/>
        <item m="1" x="257"/>
        <item m="1" x="205"/>
        <item x="87"/>
        <item x="88"/>
        <item m="1" x="237"/>
        <item x="64"/>
        <item x="6"/>
        <item m="1" x="220"/>
        <item m="1" x="246"/>
        <item x="44"/>
        <item m="1" x="216"/>
        <item m="1" x="258"/>
        <item x="22"/>
        <item x="21"/>
        <item m="1" x="248"/>
        <item x="12"/>
        <item m="1" x="224"/>
        <item x="50"/>
        <item m="1" x="254"/>
        <item m="1" x="239"/>
        <item x="55"/>
        <item m="1" x="212"/>
        <item x="68"/>
        <item m="1" x="231"/>
        <item m="1" x="262"/>
        <item x="32"/>
        <item x="72"/>
        <item m="1" x="215"/>
        <item m="1" x="225"/>
        <item m="1" x="235"/>
        <item m="1" x="255"/>
        <item m="1" x="204"/>
        <item x="102"/>
        <item m="1" x="228"/>
        <item m="1" x="240"/>
        <item m="1" x="259"/>
        <item m="1" x="209"/>
        <item x="89"/>
        <item x="28"/>
        <item x="90"/>
        <item x="91"/>
        <item x="92"/>
        <item x="93"/>
        <item x="97"/>
        <item x="24"/>
        <item x="25"/>
        <item m="1" x="263"/>
        <item m="1" x="227"/>
        <item m="1" x="221"/>
        <item x="66"/>
        <item x="115"/>
        <item x="146"/>
        <item x="137"/>
        <item x="94"/>
        <item x="112"/>
        <item x="96"/>
        <item x="39"/>
        <item x="148"/>
        <item x="150"/>
        <item x="152"/>
        <item m="1" x="247"/>
        <item x="117"/>
        <item x="116"/>
        <item x="131"/>
        <item m="1" x="252"/>
        <item x="153"/>
        <item x="121"/>
        <item x="110"/>
        <item x="106"/>
        <item m="1" x="213"/>
        <item x="132"/>
        <item m="1" x="242"/>
        <item x="47"/>
        <item x="118"/>
        <item x="95"/>
        <item x="154"/>
        <item x="125"/>
        <item m="1" x="233"/>
        <item m="1" x="218"/>
        <item m="1" x="253"/>
        <item m="1" x="203"/>
        <item x="155"/>
        <item x="156"/>
        <item x="140"/>
        <item x="103"/>
        <item x="105"/>
        <item x="124"/>
        <item m="1" x="230"/>
        <item x="31"/>
        <item x="114"/>
        <item x="109"/>
        <item x="127"/>
        <item m="1" x="201"/>
        <item x="126"/>
        <item x="122"/>
        <item m="1" x="232"/>
        <item x="158"/>
        <item x="104"/>
        <item x="120"/>
        <item m="1" x="241"/>
        <item x="53"/>
        <item x="128"/>
        <item x="145"/>
        <item x="113"/>
        <item x="107"/>
        <item m="1" x="229"/>
        <item m="1" x="210"/>
        <item x="175"/>
        <item m="1" x="214"/>
        <item x="176"/>
        <item x="177"/>
        <item x="178"/>
        <item m="1" x="238"/>
        <item x="161"/>
        <item x="164"/>
        <item x="172"/>
        <item x="179"/>
        <item m="1" x="249"/>
        <item x="168"/>
        <item x="141"/>
        <item x="10"/>
        <item x="166"/>
        <item x="180"/>
        <item m="1" x="256"/>
        <item x="181"/>
        <item x="182"/>
        <item x="170"/>
        <item m="1" x="260"/>
        <item x="162"/>
        <item x="185"/>
        <item m="1" x="199"/>
        <item x="186"/>
        <item x="169"/>
        <item x="187"/>
        <item m="1" x="206"/>
        <item m="1" x="250"/>
        <item x="159"/>
        <item x="173"/>
        <item m="1" x="261"/>
        <item x="189"/>
        <item x="142"/>
        <item x="160"/>
        <item x="167"/>
        <item m="1" x="202"/>
        <item m="1" x="236"/>
        <item m="1" x="219"/>
        <item x="174"/>
        <item x="193"/>
        <item x="165"/>
        <item x="194"/>
        <item m="1" x="217"/>
        <item x="195"/>
        <item x="196"/>
        <item m="1" x="211"/>
        <item m="1" x="244"/>
        <item x="16"/>
        <item x="26"/>
        <item m="1" x="251"/>
        <item x="197"/>
        <item m="1" x="207"/>
        <item m="1" x="226"/>
        <item x="198"/>
        <item m="1" x="234"/>
        <item x="7"/>
        <item x="77"/>
        <item x="78"/>
        <item x="79"/>
        <item x="81"/>
        <item x="59"/>
        <item x="4"/>
        <item x="60"/>
        <item x="2"/>
        <item x="61"/>
        <item x="62"/>
        <item x="65"/>
        <item x="18"/>
        <item x="3"/>
        <item x="40"/>
        <item x="46"/>
        <item x="13"/>
        <item x="38"/>
        <item x="20"/>
        <item x="42"/>
        <item x="69"/>
        <item x="49"/>
        <item x="9"/>
        <item x="56"/>
        <item x="36"/>
        <item x="48"/>
        <item x="70"/>
        <item x="35"/>
        <item x="43"/>
        <item x="30"/>
        <item x="41"/>
        <item x="45"/>
        <item x="51"/>
        <item x="8"/>
        <item x="11"/>
        <item x="98"/>
        <item x="99"/>
        <item x="100"/>
        <item x="101"/>
        <item x="34"/>
        <item x="147"/>
        <item x="149"/>
        <item x="151"/>
        <item x="73"/>
        <item x="130"/>
        <item x="138"/>
        <item x="134"/>
        <item x="129"/>
        <item x="111"/>
        <item x="139"/>
        <item x="135"/>
        <item x="133"/>
        <item x="123"/>
        <item x="163"/>
        <item x="15"/>
        <item x="1"/>
        <item x="5"/>
        <item x="108"/>
        <item x="58"/>
        <item x="52"/>
        <item x="71"/>
        <item x="136"/>
        <item x="157"/>
        <item x="143"/>
        <item x="144"/>
        <item x="119"/>
        <item x="183"/>
        <item x="184"/>
        <item x="188"/>
        <item x="190"/>
        <item x="191"/>
        <item x="171"/>
        <item x="192"/>
        <item x="17"/>
        <item x="54"/>
        <item x="57"/>
        <item x="67"/>
      </items>
    </pivotField>
    <pivotField axis="axisRow" compact="0" outline="0" showAll="0" defaultSubtotal="0">
      <items count="202">
        <item x="3"/>
        <item x="49"/>
        <item x="70"/>
        <item x="123"/>
        <item m="1" x="185"/>
        <item x="134"/>
        <item x="8"/>
        <item x="109"/>
        <item x="108"/>
        <item x="78"/>
        <item m="1" x="192"/>
        <item x="143"/>
        <item x="155"/>
        <item x="68"/>
        <item x="149"/>
        <item x="165"/>
        <item x="46"/>
        <item m="1" x="180"/>
        <item x="99"/>
        <item x="100"/>
        <item x="101"/>
        <item x="103"/>
        <item m="1" x="174"/>
        <item m="1" x="178"/>
        <item m="1" x="181"/>
        <item m="1" x="186"/>
        <item x="144"/>
        <item x="150"/>
        <item x="137"/>
        <item m="1" x="176"/>
        <item m="1" x="189"/>
        <item x="16"/>
        <item x="54"/>
        <item m="1" x="198"/>
        <item x="141"/>
        <item m="1" x="200"/>
        <item x="11"/>
        <item x="6"/>
        <item x="153"/>
        <item x="122"/>
        <item x="37"/>
        <item x="86"/>
        <item x="47"/>
        <item x="66"/>
        <item x="151"/>
        <item x="34"/>
        <item x="102"/>
        <item x="164"/>
        <item x="160"/>
        <item x="115"/>
        <item m="1" x="169"/>
        <item x="154"/>
        <item m="1" x="175"/>
        <item x="55"/>
        <item x="131"/>
        <item x="118"/>
        <item x="117"/>
        <item x="159"/>
        <item x="71"/>
        <item x="9"/>
        <item x="0"/>
        <item m="1" x="167"/>
        <item x="40"/>
        <item m="1" x="177"/>
        <item m="1" x="173"/>
        <item x="158"/>
        <item x="147"/>
        <item x="23"/>
        <item x="145"/>
        <item x="32"/>
        <item x="146"/>
        <item x="156"/>
        <item x="38"/>
        <item x="89"/>
        <item x="61"/>
        <item x="25"/>
        <item x="58"/>
        <item x="30"/>
        <item m="1" x="195"/>
        <item m="1" x="199"/>
        <item m="1" x="201"/>
        <item x="33"/>
        <item x="64"/>
        <item x="63"/>
        <item x="65"/>
        <item x="13"/>
        <item x="67"/>
        <item x="28"/>
        <item x="140"/>
        <item m="1" x="197"/>
        <item m="1" x="194"/>
        <item m="1" x="168"/>
        <item x="148"/>
        <item x="111"/>
        <item x="116"/>
        <item m="1" x="193"/>
        <item x="2"/>
        <item x="4"/>
        <item m="1" x="179"/>
        <item m="1" x="171"/>
        <item m="1" x="190"/>
        <item x="166"/>
        <item x="132"/>
        <item x="60"/>
        <item x="126"/>
        <item x="10"/>
        <item x="35"/>
        <item x="14"/>
        <item m="1" x="196"/>
        <item m="1" x="184"/>
        <item m="1" x="191"/>
        <item x="21"/>
        <item x="80"/>
        <item x="83"/>
        <item x="79"/>
        <item m="1" x="183"/>
        <item x="62"/>
        <item x="130"/>
        <item x="135"/>
        <item x="110"/>
        <item x="74"/>
        <item x="75"/>
        <item x="76"/>
        <item x="77"/>
        <item x="24"/>
        <item x="133"/>
        <item x="104"/>
        <item x="105"/>
        <item x="106"/>
        <item x="107"/>
        <item x="15"/>
        <item x="5"/>
        <item x="12"/>
        <item x="17"/>
        <item m="1" x="182"/>
        <item x="26"/>
        <item x="36"/>
        <item m="1" x="188"/>
        <item x="48"/>
        <item x="73"/>
        <item x="138"/>
        <item x="152"/>
        <item x="29"/>
        <item m="1" x="170"/>
        <item x="20"/>
        <item x="136"/>
        <item m="1" x="172"/>
        <item x="125"/>
        <item x="69"/>
        <item x="7"/>
        <item x="129"/>
        <item x="113"/>
        <item x="119"/>
        <item x="72"/>
        <item x="142"/>
        <item x="157"/>
        <item x="139"/>
        <item m="1" x="187"/>
        <item x="19"/>
        <item x="114"/>
        <item x="31"/>
        <item x="127"/>
        <item x="1"/>
        <item x="120"/>
        <item x="81"/>
        <item x="121"/>
        <item x="18"/>
        <item x="39"/>
        <item x="59"/>
        <item x="95"/>
        <item x="88"/>
        <item x="91"/>
        <item x="90"/>
        <item x="96"/>
        <item x="94"/>
        <item x="93"/>
        <item x="50"/>
        <item x="87"/>
        <item x="92"/>
        <item x="98"/>
        <item x="97"/>
        <item x="124"/>
        <item x="112"/>
        <item x="22"/>
        <item x="27"/>
        <item x="41"/>
        <item x="42"/>
        <item x="43"/>
        <item x="44"/>
        <item x="45"/>
        <item x="51"/>
        <item x="52"/>
        <item x="53"/>
        <item x="56"/>
        <item x="57"/>
        <item x="82"/>
        <item x="84"/>
        <item x="85"/>
        <item x="128"/>
        <item x="161"/>
        <item x="162"/>
        <item x="163"/>
      </items>
    </pivotField>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8">
    <field x="0"/>
    <field x="1"/>
    <field x="2"/>
    <field x="3"/>
    <field x="4"/>
    <field x="5"/>
    <field x="6"/>
    <field x="7"/>
  </rowFields>
  <rowItems count="298">
    <i>
      <x/>
      <x v="5"/>
      <x v="1"/>
      <x v="4"/>
      <x v="1"/>
      <x v="15"/>
      <x v="1"/>
      <x v="60"/>
    </i>
    <i r="2">
      <x v="12"/>
      <x v="16"/>
      <x v="89"/>
      <x v="51"/>
      <x v="242"/>
      <x v="162"/>
    </i>
    <i>
      <x v="1"/>
      <x v="1"/>
      <x v="3"/>
      <x v="10"/>
      <x v="14"/>
      <x v="48"/>
      <x v="36"/>
      <x v="158"/>
    </i>
    <i r="4">
      <x v="15"/>
      <x v="53"/>
      <x v="37"/>
      <x v="166"/>
    </i>
    <i r="4">
      <x v="69"/>
      <x/>
      <x v="29"/>
      <x v="130"/>
    </i>
    <i r="6">
      <x v="30"/>
      <x/>
    </i>
    <i r="6">
      <x v="198"/>
      <x v="1"/>
    </i>
    <i r="6">
      <x v="199"/>
      <x v="130"/>
    </i>
    <i r="6">
      <x v="200"/>
      <x/>
    </i>
    <i r="6">
      <x v="201"/>
      <x v="45"/>
    </i>
    <i r="6">
      <x v="202"/>
      <x v="45"/>
    </i>
    <i r="4">
      <x v="70"/>
      <x v="37"/>
      <x v="33"/>
      <x v="132"/>
    </i>
    <i r="6">
      <x v="203"/>
      <x v="132"/>
    </i>
    <i r="6">
      <x v="204"/>
      <x v="132"/>
    </i>
    <i r="6">
      <x v="205"/>
      <x v="133"/>
    </i>
    <i r="6">
      <x v="243"/>
      <x v="131"/>
    </i>
    <i r="4">
      <x v="71"/>
      <x v="33"/>
      <x v="206"/>
      <x v="106"/>
    </i>
    <i r="4">
      <x v="89"/>
      <x v="51"/>
      <x v="242"/>
      <x v="162"/>
    </i>
    <i r="2">
      <x v="12"/>
      <x v="16"/>
      <x v="89"/>
      <x v="51"/>
      <x v="242"/>
      <x v="162"/>
    </i>
    <i r="2">
      <x v="18"/>
      <x v="3"/>
      <x v="3"/>
      <x v="5"/>
      <x v="245"/>
      <x v="16"/>
    </i>
    <i r="4">
      <x v="4"/>
      <x v="40"/>
      <x v="4"/>
      <x v="31"/>
    </i>
    <i r="6">
      <x v="5"/>
      <x v="74"/>
    </i>
    <i r="6">
      <x v="6"/>
      <x v="162"/>
    </i>
    <i r="6">
      <x v="7"/>
      <x v="75"/>
    </i>
    <i r="6">
      <x v="8"/>
      <x v="116"/>
    </i>
    <i r="6">
      <x v="9"/>
      <x v="142"/>
    </i>
    <i r="4">
      <x v="5"/>
      <x v="24"/>
      <x v="10"/>
      <x v="81"/>
    </i>
    <i r="6">
      <x v="11"/>
      <x v="83"/>
    </i>
    <i r="4">
      <x v="64"/>
      <x v="5"/>
      <x v="245"/>
      <x v="16"/>
    </i>
    <i r="4">
      <x v="65"/>
      <x v="24"/>
      <x v="10"/>
      <x v="81"/>
    </i>
    <i r="6">
      <x v="11"/>
      <x v="83"/>
    </i>
    <i r="6">
      <x v="12"/>
      <x v="82"/>
    </i>
    <i r="6">
      <x v="13"/>
      <x v="84"/>
    </i>
    <i r="6">
      <x v="188"/>
      <x v="81"/>
    </i>
    <i r="6">
      <x v="189"/>
      <x v="83"/>
    </i>
    <i r="6">
      <x v="190"/>
      <x v="82"/>
    </i>
    <i r="6">
      <x v="191"/>
      <x v="84"/>
    </i>
    <i r="4">
      <x v="89"/>
      <x v="51"/>
      <x v="242"/>
      <x v="162"/>
    </i>
    <i r="2">
      <x v="19"/>
      <x v="5"/>
      <x v="6"/>
      <x v="27"/>
      <x v="15"/>
      <x v="43"/>
    </i>
    <i r="6">
      <x v="17"/>
      <x v="86"/>
    </i>
    <i r="6">
      <x v="18"/>
      <x v="13"/>
    </i>
    <i r="4">
      <x v="7"/>
      <x v="44"/>
      <x v="19"/>
      <x v="148"/>
    </i>
    <i r="4">
      <x v="66"/>
      <x v="27"/>
      <x v="192"/>
      <x v="42"/>
    </i>
    <i r="4">
      <x v="89"/>
      <x v="51"/>
      <x v="242"/>
      <x v="162"/>
    </i>
    <i r="2">
      <x v="20"/>
      <x v="6"/>
      <x v="8"/>
      <x v="41"/>
      <x v="23"/>
      <x v="144"/>
    </i>
    <i r="6">
      <x v="193"/>
      <x v="97"/>
    </i>
    <i r="4">
      <x v="67"/>
      <x v="41"/>
      <x v="21"/>
      <x v="97"/>
    </i>
    <i r="6">
      <x v="22"/>
      <x v="96"/>
    </i>
    <i r="6">
      <x v="193"/>
      <x v="97"/>
    </i>
    <i r="6">
      <x v="194"/>
      <x v="96"/>
    </i>
    <i r="6">
      <x v="195"/>
      <x v="96"/>
    </i>
    <i r="4">
      <x v="68"/>
      <x v="39"/>
      <x v="196"/>
      <x v="138"/>
    </i>
    <i r="6">
      <x v="197"/>
      <x v="138"/>
    </i>
    <i r="4">
      <x v="89"/>
      <x v="51"/>
      <x v="242"/>
      <x v="162"/>
    </i>
    <i r="2">
      <x v="21"/>
      <x/>
      <x v="10"/>
      <x v="1"/>
      <x v="26"/>
      <x v="2"/>
    </i>
    <i r="6">
      <x v="27"/>
      <x v="58"/>
    </i>
    <i r="4">
      <x v="89"/>
      <x v="51"/>
      <x v="242"/>
      <x v="162"/>
    </i>
    <i r="2">
      <x v="22"/>
      <x v="2"/>
      <x v="16"/>
      <x v="20"/>
      <x v="39"/>
      <x v="36"/>
    </i>
    <i r="4">
      <x v="72"/>
      <x v="20"/>
      <x v="41"/>
      <x v="69"/>
    </i>
    <i r="6">
      <x v="207"/>
      <x v="76"/>
    </i>
    <i r="6">
      <x v="208"/>
      <x v="6"/>
    </i>
    <i r="6">
      <x v="209"/>
      <x v="6"/>
    </i>
    <i r="6">
      <x v="210"/>
      <x v="69"/>
    </i>
    <i r="6">
      <x v="211"/>
      <x v="69"/>
    </i>
    <i r="6">
      <x v="212"/>
      <x v="72"/>
    </i>
    <i r="6">
      <x v="213"/>
      <x v="106"/>
    </i>
    <i r="6">
      <x v="246"/>
      <x v="167"/>
    </i>
    <i r="4">
      <x v="89"/>
      <x v="51"/>
      <x v="242"/>
      <x v="162"/>
    </i>
    <i r="2">
      <x v="23"/>
      <x v="14"/>
      <x v="18"/>
      <x v="38"/>
      <x v="46"/>
      <x v="149"/>
    </i>
    <i r="6">
      <x v="49"/>
      <x v="87"/>
    </i>
    <i r="4">
      <x v="72"/>
      <x v="20"/>
      <x v="209"/>
      <x v="6"/>
    </i>
    <i r="4">
      <x v="73"/>
      <x v="50"/>
      <x v="44"/>
      <x v="160"/>
    </i>
    <i r="6">
      <x v="214"/>
      <x v="160"/>
    </i>
    <i r="6">
      <x v="215"/>
      <x v="160"/>
    </i>
    <i r="4">
      <x v="74"/>
      <x v="38"/>
      <x v="216"/>
      <x v="135"/>
    </i>
    <i r="6">
      <x v="217"/>
      <x v="135"/>
    </i>
    <i r="6">
      <x v="218"/>
      <x v="136"/>
    </i>
    <i r="6">
      <x v="219"/>
      <x v="136"/>
    </i>
    <i r="6">
      <x v="220"/>
      <x v="149"/>
    </i>
    <i r="4">
      <x v="75"/>
      <x v="32"/>
      <x v="50"/>
      <x v="105"/>
    </i>
    <i r="6">
      <x v="221"/>
      <x v="105"/>
    </i>
    <i r="4">
      <x v="89"/>
      <x v="51"/>
      <x v="242"/>
      <x v="162"/>
    </i>
    <i r="4">
      <x v="90"/>
      <x v="54"/>
      <x v="247"/>
      <x v="168"/>
    </i>
    <i r="4">
      <x v="95"/>
      <x v="32"/>
      <x v="260"/>
      <x v="105"/>
    </i>
    <i>
      <x v="2"/>
      <x v="2"/>
      <x v="31"/>
      <x v="10"/>
      <x v="97"/>
      <x/>
      <x v="262"/>
      <x/>
    </i>
    <i r="1">
      <x v="6"/>
      <x v="12"/>
      <x v="16"/>
      <x v="89"/>
      <x v="51"/>
      <x v="242"/>
      <x v="162"/>
    </i>
    <i r="2">
      <x v="24"/>
      <x v="3"/>
      <x v="21"/>
      <x v="5"/>
      <x v="56"/>
      <x v="21"/>
    </i>
    <i r="4">
      <x v="22"/>
      <x v="40"/>
      <x v="61"/>
      <x v="139"/>
    </i>
    <i r="6">
      <x v="62"/>
      <x v="124"/>
    </i>
    <i r="6">
      <x v="63"/>
      <x v="120"/>
    </i>
    <i r="6">
      <x v="64"/>
      <x v="121"/>
    </i>
    <i r="6">
      <x v="65"/>
      <x v="122"/>
    </i>
    <i r="6">
      <x v="66"/>
      <x v="123"/>
    </i>
    <i r="6">
      <x v="67"/>
      <x v="73"/>
    </i>
    <i r="6">
      <x v="68"/>
      <x v="7"/>
    </i>
    <i r="7">
      <x v="8"/>
    </i>
    <i r="7">
      <x v="9"/>
    </i>
    <i r="7">
      <x v="111"/>
    </i>
    <i r="7">
      <x v="112"/>
    </i>
    <i r="7">
      <x v="113"/>
    </i>
    <i r="7">
      <x v="114"/>
    </i>
    <i r="7">
      <x v="116"/>
    </i>
    <i r="7">
      <x v="153"/>
    </i>
    <i r="7">
      <x v="164"/>
    </i>
    <i r="7">
      <x v="169"/>
    </i>
    <i r="7">
      <x v="170"/>
    </i>
    <i r="7">
      <x v="171"/>
    </i>
    <i r="7">
      <x v="172"/>
    </i>
    <i r="7">
      <x v="173"/>
    </i>
    <i r="7">
      <x v="174"/>
    </i>
    <i r="7">
      <x v="175"/>
    </i>
    <i r="7">
      <x v="176"/>
    </i>
    <i r="7">
      <x v="177"/>
    </i>
    <i r="7">
      <x v="178"/>
    </i>
    <i r="7">
      <x v="179"/>
    </i>
    <i r="7">
      <x v="180"/>
    </i>
    <i r="7">
      <x v="185"/>
    </i>
    <i r="7">
      <x v="186"/>
    </i>
    <i r="7">
      <x v="187"/>
    </i>
    <i r="7">
      <x v="188"/>
    </i>
    <i r="7">
      <x v="189"/>
    </i>
    <i r="7">
      <x v="190"/>
    </i>
    <i r="7">
      <x v="191"/>
    </i>
    <i r="7">
      <x v="192"/>
    </i>
    <i r="7">
      <x v="193"/>
    </i>
    <i r="7">
      <x v="194"/>
    </i>
    <i r="7">
      <x v="195"/>
    </i>
    <i r="7">
      <x v="196"/>
    </i>
    <i r="7">
      <x v="197"/>
    </i>
    <i r="6">
      <x v="69"/>
      <x v="67"/>
    </i>
    <i r="6">
      <x v="241"/>
      <x v="126"/>
    </i>
    <i r="7">
      <x v="127"/>
    </i>
    <i r="7">
      <x v="128"/>
    </i>
    <i r="7">
      <x v="129"/>
    </i>
    <i r="4">
      <x v="76"/>
      <x v="5"/>
      <x v="222"/>
      <x v="18"/>
    </i>
    <i r="6">
      <x v="223"/>
      <x v="19"/>
    </i>
    <i r="6">
      <x v="224"/>
      <x v="20"/>
    </i>
    <i r="4">
      <x v="77"/>
      <x v="11"/>
      <x v="225"/>
      <x v="46"/>
    </i>
    <i r="4">
      <x v="89"/>
      <x v="51"/>
      <x v="242"/>
      <x v="162"/>
    </i>
    <i r="2">
      <x v="30"/>
      <x v="3"/>
      <x v="96"/>
      <x v="13"/>
      <x v="261"/>
      <x v="62"/>
    </i>
    <i r="5">
      <x v="14"/>
      <x v="263"/>
      <x v="53"/>
    </i>
    <i>
      <x v="3"/>
      <x/>
      <x v="6"/>
      <x v="3"/>
      <x v="25"/>
      <x v="40"/>
      <x v="73"/>
      <x v="32"/>
    </i>
    <i r="1">
      <x v="1"/>
      <x v="6"/>
      <x v="3"/>
      <x v="25"/>
      <x v="40"/>
      <x v="73"/>
      <x v="32"/>
    </i>
    <i r="1">
      <x v="2"/>
      <x v="6"/>
      <x v="3"/>
      <x v="25"/>
      <x v="40"/>
      <x v="73"/>
      <x v="32"/>
    </i>
    <i r="7">
      <x v="77"/>
    </i>
    <i r="7">
      <x v="119"/>
    </i>
    <i r="6">
      <x v="74"/>
      <x v="94"/>
    </i>
    <i r="6">
      <x v="75"/>
      <x v="54"/>
    </i>
    <i r="6">
      <x v="77"/>
      <x v="116"/>
    </i>
    <i r="6">
      <x v="78"/>
      <x v="142"/>
    </i>
    <i r="4">
      <x v="26"/>
      <x v="24"/>
      <x v="79"/>
      <x v="81"/>
    </i>
    <i r="4">
      <x v="78"/>
      <x v="24"/>
      <x v="80"/>
      <x v="77"/>
    </i>
    <i r="6">
      <x v="81"/>
      <x v="83"/>
    </i>
    <i r="7">
      <x v="84"/>
    </i>
    <i r="6">
      <x v="82"/>
      <x v="82"/>
    </i>
    <i r="6">
      <x v="83"/>
      <x v="84"/>
    </i>
    <i r="6">
      <x v="226"/>
      <x v="77"/>
    </i>
    <i r="6">
      <x v="227"/>
      <x v="83"/>
    </i>
    <i r="6">
      <x v="228"/>
      <x v="82"/>
    </i>
    <i r="6">
      <x v="229"/>
      <x v="84"/>
    </i>
    <i r="4">
      <x v="89"/>
      <x v="51"/>
      <x v="242"/>
      <x v="162"/>
    </i>
    <i r="4">
      <x v="91"/>
      <x v="5"/>
      <x v="248"/>
      <x v="16"/>
    </i>
    <i r="5">
      <x v="40"/>
      <x v="76"/>
      <x v="147"/>
    </i>
    <i r="2">
      <x v="7"/>
      <x v="8"/>
      <x v="27"/>
      <x v="14"/>
      <x v="85"/>
      <x v="55"/>
    </i>
    <i r="6">
      <x v="86"/>
      <x v="56"/>
    </i>
    <i r="6">
      <x v="87"/>
      <x v="53"/>
    </i>
    <i r="4">
      <x v="28"/>
      <x/>
      <x v="90"/>
      <x v="163"/>
    </i>
    <i r="5">
      <x v="16"/>
      <x v="89"/>
      <x v="102"/>
    </i>
    <i r="4">
      <x v="29"/>
      <x v="49"/>
      <x v="91"/>
      <x v="159"/>
    </i>
    <i r="5">
      <x v="52"/>
      <x v="91"/>
      <x v="165"/>
    </i>
    <i r="4">
      <x v="30"/>
      <x v="26"/>
      <x v="92"/>
      <x v="93"/>
    </i>
    <i r="4">
      <x v="31"/>
      <x v="22"/>
      <x v="230"/>
      <x v="103"/>
    </i>
    <i r="4">
      <x v="79"/>
      <x v="22"/>
      <x v="94"/>
      <x v="103"/>
    </i>
    <i r="6">
      <x v="230"/>
      <x v="103"/>
    </i>
    <i r="4">
      <x v="89"/>
      <x v="51"/>
      <x v="242"/>
      <x v="162"/>
    </i>
    <i r="2">
      <x v="12"/>
      <x v="16"/>
      <x v="89"/>
      <x v="51"/>
      <x v="242"/>
      <x v="162"/>
    </i>
    <i r="2">
      <x v="13"/>
      <x v="6"/>
      <x v="32"/>
      <x v="10"/>
      <x v="96"/>
      <x v="40"/>
    </i>
    <i r="6">
      <x v="97"/>
      <x v="152"/>
    </i>
    <i r="6">
      <x v="98"/>
      <x v="41"/>
    </i>
    <i r="4">
      <x v="80"/>
      <x v="10"/>
      <x v="96"/>
      <x v="40"/>
    </i>
    <i r="6">
      <x v="97"/>
      <x v="152"/>
    </i>
    <i r="6">
      <x v="98"/>
      <x v="41"/>
    </i>
    <i r="6">
      <x v="231"/>
      <x v="40"/>
    </i>
    <i r="6">
      <x v="232"/>
      <x v="40"/>
    </i>
    <i r="4">
      <x v="89"/>
      <x v="51"/>
      <x v="242"/>
      <x v="162"/>
    </i>
    <i r="2">
      <x v="14"/>
      <x/>
      <x v="33"/>
      <x v="36"/>
      <x v="99"/>
      <x v="125"/>
    </i>
    <i r="4">
      <x v="34"/>
      <x v="1"/>
      <x v="100"/>
      <x v="2"/>
    </i>
    <i r="6">
      <x v="105"/>
      <x v="5"/>
    </i>
    <i r="6">
      <x v="106"/>
      <x v="106"/>
    </i>
    <i r="4">
      <x v="81"/>
      <x v="1"/>
      <x v="233"/>
      <x v="3"/>
    </i>
    <i r="6">
      <x v="234"/>
      <x v="3"/>
    </i>
    <i r="6">
      <x v="235"/>
      <x v="49"/>
    </i>
    <i r="6">
      <x v="236"/>
      <x v="104"/>
    </i>
    <i r="6">
      <x v="237"/>
      <x v="58"/>
    </i>
    <i r="6">
      <x v="249"/>
      <x v="104"/>
    </i>
    <i r="4">
      <x v="89"/>
      <x v="51"/>
      <x v="242"/>
      <x v="162"/>
    </i>
    <i r="3">
      <x v="10"/>
      <x v="81"/>
      <x v="1"/>
      <x v="235"/>
      <x v="49"/>
    </i>
    <i r="2">
      <x v="15"/>
      <x v="10"/>
      <x v="36"/>
      <x v="37"/>
      <x v="112"/>
      <x v="132"/>
    </i>
    <i r="4">
      <x v="38"/>
      <x v="47"/>
      <x v="244"/>
      <x v="182"/>
    </i>
    <i r="4">
      <x v="82"/>
      <x/>
      <x v="107"/>
      <x v="1"/>
    </i>
    <i r="6">
      <x v="108"/>
      <x v="130"/>
    </i>
    <i r="6">
      <x v="109"/>
      <x/>
    </i>
    <i r="6">
      <x v="110"/>
      <x v="45"/>
    </i>
    <i r="4">
      <x v="83"/>
      <x v="37"/>
      <x v="112"/>
      <x v="132"/>
    </i>
    <i r="6">
      <x v="113"/>
      <x v="133"/>
    </i>
    <i r="6">
      <x v="114"/>
      <x v="151"/>
    </i>
    <i r="4">
      <x v="84"/>
      <x v="1"/>
      <x v="115"/>
      <x v="2"/>
    </i>
    <i r="5">
      <x v="10"/>
      <x v="115"/>
      <x v="39"/>
    </i>
    <i r="5">
      <x v="24"/>
      <x v="115"/>
      <x v="81"/>
    </i>
    <i r="5">
      <x v="33"/>
      <x v="115"/>
      <x v="106"/>
    </i>
    <i r="5">
      <x v="35"/>
      <x v="115"/>
      <x v="117"/>
    </i>
    <i r="5">
      <x v="37"/>
      <x v="115"/>
      <x v="131"/>
    </i>
    <i r="5">
      <x v="47"/>
      <x v="115"/>
      <x v="181"/>
    </i>
    <i r="4">
      <x v="85"/>
      <x v="47"/>
      <x v="244"/>
      <x v="182"/>
    </i>
    <i r="4">
      <x v="89"/>
      <x v="51"/>
      <x v="242"/>
      <x v="162"/>
    </i>
    <i r="2">
      <x v="16"/>
      <x v="2"/>
      <x v="39"/>
      <x v="23"/>
      <x v="117"/>
      <x v="36"/>
    </i>
    <i r="6">
      <x v="118"/>
      <x v="6"/>
    </i>
    <i r="6">
      <x v="238"/>
      <x v="6"/>
    </i>
    <i r="6">
      <x v="239"/>
      <x v="6"/>
    </i>
    <i r="6">
      <x v="250"/>
      <x v="69"/>
    </i>
    <i r="6">
      <x v="251"/>
      <x v="198"/>
    </i>
    <i r="4">
      <x v="89"/>
      <x v="51"/>
      <x v="242"/>
      <x v="162"/>
    </i>
    <i r="2">
      <x v="17"/>
      <x v="14"/>
      <x v="40"/>
      <x v="35"/>
      <x v="120"/>
      <x v="118"/>
    </i>
    <i r="6">
      <x v="121"/>
      <x v="119"/>
    </i>
    <i r="4">
      <x v="41"/>
      <x v="50"/>
      <x v="122"/>
      <x v="160"/>
    </i>
    <i r="4">
      <x v="42"/>
      <x v="38"/>
      <x v="124"/>
      <x v="135"/>
    </i>
    <i r="6">
      <x v="125"/>
      <x v="136"/>
    </i>
    <i r="6">
      <x v="126"/>
      <x v="150"/>
    </i>
    <i r="6">
      <x v="127"/>
      <x v="149"/>
    </i>
    <i r="4">
      <x v="43"/>
      <x v="32"/>
      <x v="128"/>
      <x v="105"/>
    </i>
    <i r="4">
      <x v="86"/>
      <x v="50"/>
      <x v="122"/>
      <x v="160"/>
    </i>
    <i r="4">
      <x v="89"/>
      <x v="51"/>
      <x v="242"/>
      <x v="162"/>
    </i>
    <i r="4">
      <x v="92"/>
      <x v="54"/>
      <x v="252"/>
      <x v="168"/>
    </i>
    <i r="1">
      <x v="6"/>
      <x v="6"/>
      <x v="3"/>
      <x v="25"/>
      <x v="40"/>
      <x v="73"/>
      <x v="32"/>
    </i>
    <i>
      <x v="4"/>
      <x/>
      <x v="9"/>
      <x v="7"/>
      <x v="47"/>
      <x v="13"/>
      <x v="137"/>
      <x v="145"/>
    </i>
    <i r="6">
      <x v="138"/>
      <x v="62"/>
    </i>
    <i r="6">
      <x v="139"/>
      <x v="154"/>
    </i>
    <i r="6">
      <x v="140"/>
      <x v="92"/>
    </i>
    <i r="4">
      <x v="48"/>
      <x v="3"/>
      <x v="142"/>
      <x v="88"/>
    </i>
    <i r="6">
      <x v="143"/>
      <x v="161"/>
    </i>
    <i r="6">
      <x v="144"/>
      <x v="59"/>
    </i>
    <i r="6">
      <x v="145"/>
      <x v="156"/>
    </i>
    <i r="6">
      <x v="146"/>
      <x v="14"/>
    </i>
    <i r="4">
      <x v="49"/>
      <x v="45"/>
      <x v="148"/>
      <x v="27"/>
    </i>
    <i r="6">
      <x v="149"/>
      <x v="44"/>
    </i>
    <i r="6">
      <x v="150"/>
      <x v="34"/>
    </i>
    <i r="6">
      <x v="253"/>
      <x v="141"/>
    </i>
    <i r="6">
      <x v="254"/>
      <x v="38"/>
    </i>
    <i r="4">
      <x v="50"/>
      <x v="7"/>
      <x v="152"/>
      <x v="28"/>
    </i>
    <i r="6">
      <x v="153"/>
      <x v="51"/>
    </i>
    <i r="4">
      <x v="51"/>
      <x v="4"/>
      <x v="155"/>
      <x v="12"/>
    </i>
    <i r="6">
      <x v="156"/>
      <x v="140"/>
    </i>
    <i r="6">
      <x v="157"/>
      <x v="71"/>
    </i>
    <i r="4">
      <x v="89"/>
      <x v="51"/>
      <x v="242"/>
      <x v="162"/>
    </i>
    <i r="2">
      <x v="12"/>
      <x v="16"/>
      <x v="89"/>
      <x v="51"/>
      <x v="242"/>
      <x v="162"/>
    </i>
    <i r="2">
      <x v="25"/>
      <x v="13"/>
      <x v="45"/>
      <x v="6"/>
      <x v="131"/>
      <x v="26"/>
    </i>
    <i r="4">
      <x v="46"/>
      <x v="2"/>
      <x v="133"/>
      <x v="68"/>
    </i>
    <i r="6">
      <x v="134"/>
      <x v="70"/>
    </i>
    <i r="6">
      <x v="135"/>
      <x v="66"/>
    </i>
    <i r="4">
      <x v="89"/>
      <x v="51"/>
      <x v="242"/>
      <x v="162"/>
    </i>
    <i r="2">
      <x v="26"/>
      <x v="15"/>
      <x v="89"/>
      <x v="51"/>
      <x v="242"/>
      <x v="162"/>
    </i>
    <i r="4">
      <x v="93"/>
      <x v="45"/>
      <x v="255"/>
      <x v="155"/>
    </i>
    <i r="2">
      <x v="27"/>
      <x v="9"/>
      <x v="53"/>
      <x v="13"/>
      <x v="160"/>
      <x v="145"/>
    </i>
    <i r="6">
      <x v="161"/>
      <x v="154"/>
    </i>
    <i r="4">
      <x v="54"/>
      <x v="3"/>
      <x v="163"/>
      <x v="88"/>
    </i>
    <i r="6">
      <x v="164"/>
      <x v="161"/>
    </i>
    <i r="6">
      <x v="165"/>
      <x v="59"/>
    </i>
    <i r="6">
      <x v="166"/>
      <x v="156"/>
    </i>
    <i r="4">
      <x v="56"/>
      <x v="4"/>
      <x v="170"/>
      <x v="11"/>
    </i>
    <i r="6">
      <x v="171"/>
      <x v="12"/>
    </i>
    <i r="6">
      <x v="172"/>
      <x v="140"/>
    </i>
    <i r="6">
      <x v="173"/>
      <x v="71"/>
    </i>
    <i r="4">
      <x v="57"/>
      <x v="9"/>
      <x v="175"/>
      <x v="65"/>
    </i>
    <i r="6">
      <x v="176"/>
      <x v="57"/>
    </i>
    <i r="4">
      <x v="87"/>
      <x v="7"/>
      <x v="240"/>
      <x v="28"/>
    </i>
    <i r="4">
      <x v="89"/>
      <x v="51"/>
      <x v="242"/>
      <x v="162"/>
    </i>
    <i r="4">
      <x v="94"/>
      <x v="45"/>
      <x v="256"/>
      <x v="27"/>
    </i>
    <i r="6">
      <x v="257"/>
      <x v="141"/>
    </i>
    <i r="6">
      <x v="258"/>
      <x v="34"/>
    </i>
    <i r="6">
      <x v="259"/>
      <x v="38"/>
    </i>
    <i>
      <x v="5"/>
      <x v="3"/>
      <x v="12"/>
      <x v="16"/>
      <x v="89"/>
      <x v="51"/>
      <x v="242"/>
      <x v="162"/>
    </i>
    <i r="2">
      <x v="28"/>
      <x v="11"/>
      <x v="59"/>
      <x v="12"/>
      <x v="179"/>
      <x v="48"/>
    </i>
    <i r="7">
      <x v="107"/>
    </i>
    <i r="6">
      <x v="180"/>
      <x v="107"/>
    </i>
    <i r="4">
      <x v="60"/>
      <x v="42"/>
      <x v="182"/>
      <x v="107"/>
    </i>
    <i r="6">
      <x v="241"/>
      <x v="15"/>
    </i>
    <i r="7">
      <x v="47"/>
    </i>
    <i r="4">
      <x v="88"/>
      <x v="18"/>
      <x v="241"/>
      <x v="184"/>
    </i>
    <i r="7">
      <x v="199"/>
    </i>
    <i r="7">
      <x v="200"/>
    </i>
    <i r="7">
      <x v="201"/>
    </i>
    <i r="5">
      <x v="25"/>
      <x v="241"/>
      <x v="85"/>
    </i>
    <i r="7">
      <x v="183"/>
    </i>
    <i r="4">
      <x v="89"/>
      <x v="51"/>
      <x v="242"/>
      <x v="162"/>
    </i>
    <i>
      <x v="6"/>
      <x v="4"/>
      <x v="29"/>
      <x v="12"/>
      <x v="62"/>
      <x v="56"/>
      <x v="185"/>
      <x v="101"/>
    </i>
    <i r="4">
      <x v="63"/>
      <x v="55"/>
      <x v="187"/>
      <x v="37"/>
    </i>
    <i r="4">
      <x v="89"/>
      <x v="51"/>
      <x v="242"/>
      <x v="162"/>
    </i>
    <i t="grand">
      <x/>
    </i>
  </rowItems>
  <colItems count="1">
    <i/>
  </colItems>
  <formats count="233">
    <format dxfId="232">
      <pivotArea outline="0" collapsedLevelsAreSubtotals="1" fieldPosition="0"/>
    </format>
    <format dxfId="231">
      <pivotArea type="topRight" dataOnly="0" labelOnly="1" outline="0" fieldPosition="0"/>
    </format>
    <format dxfId="23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2"/>
          </reference>
          <reference field="5" count="1" selected="0">
            <x v="19"/>
          </reference>
          <reference field="6" count="1" selected="0">
            <x v="2"/>
          </reference>
          <reference field="7" count="1">
            <x v="75"/>
          </reference>
        </references>
      </pivotArea>
    </format>
    <format dxfId="22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3"/>
          </reference>
          <reference field="7" count="1">
            <x v="139"/>
          </reference>
        </references>
      </pivotArea>
    </format>
    <format dxfId="22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4"/>
          </reference>
          <reference field="7" count="1">
            <x v="31"/>
          </reference>
        </references>
      </pivotArea>
    </format>
    <format dxfId="22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5"/>
          </reference>
          <reference field="7" count="1">
            <x v="74"/>
          </reference>
        </references>
      </pivotArea>
    </format>
    <format dxfId="22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6"/>
          </reference>
          <reference field="7" count="1">
            <x v="162"/>
          </reference>
        </references>
      </pivotArea>
    </format>
    <format dxfId="22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7"/>
          </reference>
          <reference field="7" count="1">
            <x v="75"/>
          </reference>
        </references>
      </pivotArea>
    </format>
    <format dxfId="22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8"/>
          </reference>
          <reference field="7" count="1">
            <x v="116"/>
          </reference>
        </references>
      </pivotArea>
    </format>
    <format dxfId="223">
      <pivotArea field="5" type="button" dataOnly="0" labelOnly="1" outline="0" axis="axisRow" fieldPosition="5"/>
    </format>
    <format dxfId="222">
      <pivotArea dataOnly="0" labelOnly="1" outline="0" fieldPosition="0">
        <references count="2">
          <reference field="0" count="1" selected="0">
            <x v="4"/>
          </reference>
          <reference field="1" count="1">
            <x v="0"/>
          </reference>
        </references>
      </pivotArea>
    </format>
    <format dxfId="221">
      <pivotArea dataOnly="0" labelOnly="1" outline="0" fieldPosition="0">
        <references count="4">
          <reference field="0" count="1" selected="0">
            <x v="4"/>
          </reference>
          <reference field="1" count="1" selected="0">
            <x v="0"/>
          </reference>
          <reference field="2" count="1" selected="0">
            <x v="8"/>
          </reference>
          <reference field="3" count="1">
            <x v="1"/>
          </reference>
        </references>
      </pivotArea>
    </format>
    <format dxfId="220">
      <pivotArea field="3" type="button" dataOnly="0" labelOnly="1" outline="0" axis="axisRow" fieldPosition="3"/>
    </format>
    <format dxfId="219">
      <pivotArea type="all" dataOnly="0" outline="0" fieldPosition="0"/>
    </format>
    <format dxfId="218">
      <pivotArea field="5" type="button" dataOnly="0" labelOnly="1" outline="0" axis="axisRow" fieldPosition="5"/>
    </format>
    <format dxfId="217">
      <pivotArea dataOnly="0" labelOnly="1" outline="0" fieldPosition="0">
        <references count="1">
          <reference field="7" count="0"/>
        </references>
      </pivotArea>
    </format>
    <format dxfId="216">
      <pivotArea field="7" type="button" dataOnly="0" labelOnly="1" outline="0" axis="axisRow" fieldPosition="7"/>
    </format>
    <format dxfId="215">
      <pivotArea dataOnly="0" labelOnly="1" grandRow="1" outline="0" fieldPosition="0"/>
    </format>
    <format dxfId="214">
      <pivotArea dataOnly="0" labelOnly="1" outline="0" fieldPosition="0">
        <references count="8">
          <reference field="0" count="1" selected="0">
            <x v="0"/>
          </reference>
          <reference field="1" count="1" selected="0">
            <x v="5"/>
          </reference>
          <reference field="2" count="1" selected="0">
            <x v="0"/>
          </reference>
          <reference field="3" count="1" selected="0">
            <x v="13"/>
          </reference>
          <reference field="4" count="1" selected="0">
            <x v="0"/>
          </reference>
          <reference field="5" count="1" selected="0">
            <x v="34"/>
          </reference>
          <reference field="6" count="1" selected="0">
            <x v="0"/>
          </reference>
          <reference field="7" count="1">
            <x v="108"/>
          </reference>
        </references>
      </pivotArea>
    </format>
    <format dxfId="213">
      <pivotArea dataOnly="0" labelOnly="1" outline="0" fieldPosition="0">
        <references count="8">
          <reference field="0" count="1" selected="0">
            <x v="0"/>
          </reference>
          <reference field="1" count="1" selected="0">
            <x v="5"/>
          </reference>
          <reference field="2" count="1" selected="0">
            <x v="1"/>
          </reference>
          <reference field="3" count="1" selected="0">
            <x v="4"/>
          </reference>
          <reference field="4" count="1" selected="0">
            <x v="1"/>
          </reference>
          <reference field="5" count="1" selected="0">
            <x v="15"/>
          </reference>
          <reference field="6" count="1" selected="0">
            <x v="1"/>
          </reference>
          <reference field="7" count="1">
            <x v="60"/>
          </reference>
        </references>
      </pivotArea>
    </format>
    <format dxfId="21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2"/>
          </reference>
          <reference field="5" count="1" selected="0">
            <x v="19"/>
          </reference>
          <reference field="6" count="1" selected="0">
            <x v="2"/>
          </reference>
          <reference field="7" count="1">
            <x v="75"/>
          </reference>
        </references>
      </pivotArea>
    </format>
    <format dxfId="21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3"/>
          </reference>
          <reference field="7" count="1">
            <x v="139"/>
          </reference>
        </references>
      </pivotArea>
    </format>
    <format dxfId="21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4"/>
          </reference>
          <reference field="7" count="1">
            <x v="31"/>
          </reference>
        </references>
      </pivotArea>
    </format>
    <format dxfId="20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5"/>
          </reference>
          <reference field="7" count="1">
            <x v="74"/>
          </reference>
        </references>
      </pivotArea>
    </format>
    <format dxfId="20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6"/>
          </reference>
          <reference field="7" count="1">
            <x v="162"/>
          </reference>
        </references>
      </pivotArea>
    </format>
    <format dxfId="20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7"/>
          </reference>
          <reference field="7" count="1">
            <x v="75"/>
          </reference>
        </references>
      </pivotArea>
    </format>
    <format dxfId="20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8"/>
          </reference>
          <reference field="7" count="1">
            <x v="116"/>
          </reference>
        </references>
      </pivotArea>
    </format>
    <format dxfId="20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4"/>
          </reference>
          <reference field="5" count="1" selected="0">
            <x v="40"/>
          </reference>
          <reference field="6" count="1" selected="0">
            <x v="9"/>
          </reference>
          <reference field="7" count="1">
            <x v="142"/>
          </reference>
        </references>
      </pivotArea>
    </format>
    <format dxfId="20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5"/>
          </reference>
          <reference field="5" count="1" selected="0">
            <x v="24"/>
          </reference>
          <reference field="6" count="1" selected="0">
            <x v="10"/>
          </reference>
          <reference field="7" count="1">
            <x v="81"/>
          </reference>
        </references>
      </pivotArea>
    </format>
    <format dxfId="20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5"/>
          </reference>
          <reference field="5" count="1" selected="0">
            <x v="24"/>
          </reference>
          <reference field="6" count="1" selected="0">
            <x v="11"/>
          </reference>
          <reference field="7" count="1">
            <x v="83"/>
          </reference>
        </references>
      </pivotArea>
    </format>
    <format dxfId="20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5"/>
          </reference>
          <reference field="5" count="1" selected="0">
            <x v="24"/>
          </reference>
          <reference field="6" count="1" selected="0">
            <x v="12"/>
          </reference>
          <reference field="7" count="1">
            <x v="82"/>
          </reference>
        </references>
      </pivotArea>
    </format>
    <format dxfId="20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5"/>
          </reference>
          <reference field="5" count="1" selected="0">
            <x v="24"/>
          </reference>
          <reference field="6" count="1" selected="0">
            <x v="13"/>
          </reference>
          <reference field="7" count="1">
            <x v="84"/>
          </reference>
        </references>
      </pivotArea>
    </format>
    <format dxfId="20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4"/>
          </reference>
          <reference field="7" count="1">
            <x v="95"/>
          </reference>
        </references>
      </pivotArea>
    </format>
    <format dxfId="19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5"/>
          </reference>
          <reference field="7" count="1">
            <x v="43"/>
          </reference>
        </references>
      </pivotArea>
    </format>
    <format dxfId="19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6"/>
          </reference>
          <reference field="7" count="1">
            <x v="42"/>
          </reference>
        </references>
      </pivotArea>
    </format>
    <format dxfId="19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7"/>
          </reference>
          <reference field="7" count="1">
            <x v="86"/>
          </reference>
        </references>
      </pivotArea>
    </format>
    <format dxfId="19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6"/>
          </reference>
          <reference field="5" count="1" selected="0">
            <x v="27"/>
          </reference>
          <reference field="6" count="1" selected="0">
            <x v="18"/>
          </reference>
          <reference field="7" count="1">
            <x v="13"/>
          </reference>
        </references>
      </pivotArea>
    </format>
    <format dxfId="19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7"/>
          </reference>
          <reference field="5" count="1" selected="0">
            <x v="44"/>
          </reference>
          <reference field="6" count="1" selected="0">
            <x v="19"/>
          </reference>
          <reference field="7" count="1">
            <x v="148"/>
          </reference>
        </references>
      </pivotArea>
    </format>
    <format dxfId="19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
          </reference>
          <reference field="5" count="1" selected="0">
            <x v="41"/>
          </reference>
          <reference field="6" count="1" selected="0">
            <x v="20"/>
          </reference>
          <reference field="7" count="1">
            <x v="143"/>
          </reference>
        </references>
      </pivotArea>
    </format>
    <format dxfId="19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
          </reference>
          <reference field="5" count="1" selected="0">
            <x v="41"/>
          </reference>
          <reference field="6" count="1" selected="0">
            <x v="21"/>
          </reference>
          <reference field="7" count="1">
            <x v="97"/>
          </reference>
        </references>
      </pivotArea>
    </format>
    <format dxfId="19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
          </reference>
          <reference field="5" count="1" selected="0">
            <x v="41"/>
          </reference>
          <reference field="6" count="1" selected="0">
            <x v="22"/>
          </reference>
          <reference field="7" count="1">
            <x v="96"/>
          </reference>
        </references>
      </pivotArea>
    </format>
    <format dxfId="19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
          </reference>
          <reference field="5" count="1" selected="0">
            <x v="41"/>
          </reference>
          <reference field="6" count="1" selected="0">
            <x v="23"/>
          </reference>
          <reference field="7" count="1">
            <x v="144"/>
          </reference>
        </references>
      </pivotArea>
    </format>
    <format dxfId="19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9"/>
          </reference>
          <reference field="5" count="1" selected="0">
            <x v="39"/>
          </reference>
          <reference field="6" count="1" selected="0">
            <x v="24"/>
          </reference>
          <reference field="7" count="1">
            <x v="137"/>
          </reference>
        </references>
      </pivotArea>
    </format>
    <format dxfId="18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9"/>
          </reference>
          <reference field="5" count="1" selected="0">
            <x v="39"/>
          </reference>
          <reference field="6" count="1" selected="0">
            <x v="25"/>
          </reference>
          <reference field="7" count="1">
            <x v="138"/>
          </reference>
        </references>
      </pivotArea>
    </format>
    <format dxfId="18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0"/>
          </reference>
          <reference field="5" count="1" selected="0">
            <x v="1"/>
          </reference>
          <reference field="6" count="1" selected="0">
            <x v="26"/>
          </reference>
          <reference field="7" count="1">
            <x v="2"/>
          </reference>
        </references>
      </pivotArea>
    </format>
    <format dxfId="18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0"/>
          </reference>
          <reference field="5" count="1" selected="0">
            <x v="1"/>
          </reference>
          <reference field="6" count="1" selected="0">
            <x v="27"/>
          </reference>
          <reference field="7" count="1">
            <x v="58"/>
          </reference>
        </references>
      </pivotArea>
    </format>
    <format dxfId="18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1"/>
          </reference>
          <reference field="5" count="1" selected="0">
            <x v="0"/>
          </reference>
          <reference field="6" count="1" selected="0">
            <x v="28"/>
          </reference>
          <reference field="7" count="1">
            <x v="1"/>
          </reference>
        </references>
      </pivotArea>
    </format>
    <format dxfId="18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1"/>
          </reference>
          <reference field="5" count="1" selected="0">
            <x v="0"/>
          </reference>
          <reference field="6" count="1" selected="0">
            <x v="29"/>
          </reference>
          <reference field="7" count="1">
            <x v="130"/>
          </reference>
        </references>
      </pivotArea>
    </format>
    <format dxfId="18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1"/>
          </reference>
          <reference field="5" count="1" selected="0">
            <x v="0"/>
          </reference>
          <reference field="6" count="1" selected="0">
            <x v="30"/>
          </reference>
          <reference field="7" count="1">
            <x v="0"/>
          </reference>
        </references>
      </pivotArea>
    </format>
    <format dxfId="18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1"/>
          </reference>
          <reference field="5" count="1" selected="0">
            <x v="0"/>
          </reference>
          <reference field="6" count="1" selected="0">
            <x v="31"/>
          </reference>
          <reference field="7" count="1">
            <x v="45"/>
          </reference>
        </references>
      </pivotArea>
    </format>
    <format dxfId="18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2"/>
          </reference>
          <reference field="5" count="1" selected="0">
            <x v="37"/>
          </reference>
          <reference field="6" count="1" selected="0">
            <x v="32"/>
          </reference>
          <reference field="7" count="1">
            <x v="131"/>
          </reference>
        </references>
      </pivotArea>
    </format>
    <format dxfId="18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2"/>
          </reference>
          <reference field="5" count="1" selected="0">
            <x v="37"/>
          </reference>
          <reference field="6" count="1" selected="0">
            <x v="33"/>
          </reference>
          <reference field="7" count="1">
            <x v="132"/>
          </reference>
        </references>
      </pivotArea>
    </format>
    <format dxfId="18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2"/>
          </reference>
          <reference field="5" count="1" selected="0">
            <x v="37"/>
          </reference>
          <reference field="6" count="1" selected="0">
            <x v="34"/>
          </reference>
          <reference field="7" count="1">
            <x v="133"/>
          </reference>
        </references>
      </pivotArea>
    </format>
    <format dxfId="17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2"/>
          </reference>
          <reference field="5" count="1" selected="0">
            <x v="37"/>
          </reference>
          <reference field="6" count="1" selected="0">
            <x v="241"/>
          </reference>
          <reference field="7" count="1">
            <x v="132"/>
          </reference>
        </references>
      </pivotArea>
    </format>
    <format dxfId="17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3"/>
          </reference>
          <reference field="5" count="1" selected="0">
            <x v="33"/>
          </reference>
          <reference field="6" count="1" selected="0">
            <x v="35"/>
          </reference>
          <reference field="7" count="1">
            <x v="106"/>
          </reference>
        </references>
      </pivotArea>
    </format>
    <format dxfId="17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4"/>
          </reference>
          <reference field="5" count="1" selected="0">
            <x v="46"/>
          </reference>
          <reference field="6" count="1" selected="0">
            <x v="36"/>
          </reference>
          <reference field="7" count="1">
            <x v="157"/>
          </reference>
        </references>
      </pivotArea>
    </format>
    <format dxfId="17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38"/>
          </reference>
          <reference field="7" count="1">
            <x v="76"/>
          </reference>
        </references>
      </pivotArea>
    </format>
    <format dxfId="17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39"/>
          </reference>
          <reference field="7" count="1">
            <x v="36"/>
          </reference>
        </references>
      </pivotArea>
    </format>
    <format dxfId="17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40"/>
          </reference>
          <reference field="7" count="1">
            <x v="6"/>
          </reference>
        </references>
      </pivotArea>
    </format>
    <format dxfId="17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41"/>
          </reference>
          <reference field="7" count="1">
            <x v="69"/>
          </reference>
        </references>
      </pivotArea>
    </format>
    <format dxfId="172">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42"/>
          </reference>
          <reference field="7" count="1">
            <x v="72"/>
          </reference>
        </references>
      </pivotArea>
    </format>
    <format dxfId="171">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6"/>
          </reference>
          <reference field="5" count="1" selected="0">
            <x v="20"/>
          </reference>
          <reference field="6" count="1" selected="0">
            <x v="43"/>
          </reference>
          <reference field="7" count="1">
            <x v="106"/>
          </reference>
        </references>
      </pivotArea>
    </format>
    <format dxfId="170">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7"/>
          </reference>
          <reference field="5" count="1" selected="0">
            <x v="50"/>
          </reference>
          <reference field="6" count="1" selected="0">
            <x v="44"/>
          </reference>
          <reference field="7" count="1">
            <x v="160"/>
          </reference>
        </references>
      </pivotArea>
    </format>
    <format dxfId="169">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5"/>
          </reference>
          <reference field="7" count="1">
            <x v="134"/>
          </reference>
        </references>
      </pivotArea>
    </format>
    <format dxfId="168">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6"/>
          </reference>
          <reference field="7" count="1">
            <x v="135"/>
          </reference>
        </references>
      </pivotArea>
    </format>
    <format dxfId="167">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7"/>
          </reference>
          <reference field="7" count="1">
            <x v="136"/>
          </reference>
        </references>
      </pivotArea>
    </format>
    <format dxfId="166">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8"/>
          </reference>
          <reference field="7" count="1">
            <x v="149"/>
          </reference>
        </references>
      </pivotArea>
    </format>
    <format dxfId="165">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8"/>
          </reference>
          <reference field="5" count="1" selected="0">
            <x v="38"/>
          </reference>
          <reference field="6" count="1" selected="0">
            <x v="49"/>
          </reference>
          <reference field="7" count="1">
            <x v="87"/>
          </reference>
        </references>
      </pivotArea>
    </format>
    <format dxfId="164">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19"/>
          </reference>
          <reference field="5" count="1" selected="0">
            <x v="32"/>
          </reference>
          <reference field="6" count="1" selected="0">
            <x v="50"/>
          </reference>
          <reference field="7" count="1">
            <x v="105"/>
          </reference>
        </references>
      </pivotArea>
    </format>
    <format dxfId="163">
      <pivotArea dataOnly="0" labelOnly="1" outline="0" fieldPosition="0">
        <references count="8">
          <reference field="0" count="1" selected="0">
            <x v="1"/>
          </reference>
          <reference field="1" count="1" selected="0">
            <x v="1"/>
          </reference>
          <reference field="2" count="1" selected="0">
            <x v="2"/>
          </reference>
          <reference field="3" count="1" selected="0">
            <x v="7"/>
          </reference>
          <reference field="4" count="1" selected="0">
            <x v="88"/>
          </reference>
          <reference field="5" count="1" selected="0">
            <x v="17"/>
          </reference>
          <reference field="6" count="1" selected="0">
            <x v="241"/>
          </reference>
          <reference field="7" count="1">
            <x v="64"/>
          </reference>
        </references>
      </pivotArea>
    </format>
    <format dxfId="162">
      <pivotArea dataOnly="0" labelOnly="1" outline="0" fieldPosition="0">
        <references count="8">
          <reference field="0" count="1" selected="0">
            <x v="1"/>
          </reference>
          <reference field="1" count="1" selected="0">
            <x v="1"/>
          </reference>
          <reference field="2" count="1" selected="0">
            <x v="3"/>
          </reference>
          <reference field="3" count="1" selected="0">
            <x v="7"/>
          </reference>
          <reference field="4" count="1" selected="0">
            <x v="14"/>
          </reference>
          <reference field="5" count="1" selected="0">
            <x v="48"/>
          </reference>
          <reference field="6" count="1" selected="0">
            <x v="36"/>
          </reference>
          <reference field="7" count="1">
            <x v="158"/>
          </reference>
        </references>
      </pivotArea>
    </format>
    <format dxfId="161">
      <pivotArea dataOnly="0" labelOnly="1" outline="0" fieldPosition="0">
        <references count="8">
          <reference field="0" count="1" selected="0">
            <x v="1"/>
          </reference>
          <reference field="1" count="1" selected="0">
            <x v="1"/>
          </reference>
          <reference field="2" count="1" selected="0">
            <x v="3"/>
          </reference>
          <reference field="3" count="1" selected="0">
            <x v="10"/>
          </reference>
          <reference field="4" count="1" selected="0">
            <x v="14"/>
          </reference>
          <reference field="5" count="1" selected="0">
            <x v="48"/>
          </reference>
          <reference field="6" count="1" selected="0">
            <x v="36"/>
          </reference>
          <reference field="7" count="1">
            <x v="158"/>
          </reference>
        </references>
      </pivotArea>
    </format>
    <format dxfId="160">
      <pivotArea dataOnly="0" labelOnly="1" outline="0" fieldPosition="0">
        <references count="8">
          <reference field="0" count="1" selected="0">
            <x v="1"/>
          </reference>
          <reference field="1" count="1" selected="0">
            <x v="1"/>
          </reference>
          <reference field="2" count="1" selected="0">
            <x v="12"/>
          </reference>
          <reference field="3" count="1" selected="0">
            <x v="16"/>
          </reference>
          <reference field="4" count="1" selected="0">
            <x v="89"/>
          </reference>
          <reference field="5" count="1" selected="0">
            <x v="51"/>
          </reference>
          <reference field="6" count="1" selected="0">
            <x v="242"/>
          </reference>
          <reference field="7" count="1">
            <x v="162"/>
          </reference>
        </references>
      </pivotArea>
    </format>
    <format dxfId="159">
      <pivotArea dataOnly="0" labelOnly="1" outline="0" fieldPosition="0">
        <references count="8">
          <reference field="0" count="1" selected="0">
            <x v="1"/>
          </reference>
          <reference field="1" count="1" selected="0">
            <x v="2"/>
          </reference>
          <reference field="2" count="1" selected="0">
            <x v="5"/>
          </reference>
          <reference field="3" count="1" selected="0">
            <x v="9"/>
          </reference>
          <reference field="4" count="1" selected="0">
            <x v="32"/>
          </reference>
          <reference field="5" count="1" selected="0">
            <x v="10"/>
          </reference>
          <reference field="6" count="1" selected="0">
            <x v="98"/>
          </reference>
          <reference field="7" count="1">
            <x v="41"/>
          </reference>
        </references>
      </pivotArea>
    </format>
    <format dxfId="158">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0"/>
          </reference>
          <reference field="5" count="1" selected="0">
            <x v="43"/>
          </reference>
          <reference field="6" count="1" selected="0">
            <x v="51"/>
          </reference>
          <reference field="7" count="1">
            <x v="147"/>
          </reference>
        </references>
      </pivotArea>
    </format>
    <format dxfId="157">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2"/>
          </reference>
          <reference field="7" count="1">
            <x v="16"/>
          </reference>
        </references>
      </pivotArea>
    </format>
    <format dxfId="156">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3"/>
          </reference>
          <reference field="7" count="1">
            <x v="18"/>
          </reference>
        </references>
      </pivotArea>
    </format>
    <format dxfId="155">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4"/>
          </reference>
          <reference field="7" count="1">
            <x v="19"/>
          </reference>
        </references>
      </pivotArea>
    </format>
    <format dxfId="154">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5"/>
          </reference>
          <reference field="7" count="1">
            <x v="20"/>
          </reference>
        </references>
      </pivotArea>
    </format>
    <format dxfId="153">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6"/>
          </reference>
          <reference field="7" count="1">
            <x v="21"/>
          </reference>
        </references>
      </pivotArea>
    </format>
    <format dxfId="152">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7"/>
          </reference>
          <reference field="7" count="1">
            <x v="22"/>
          </reference>
        </references>
      </pivotArea>
    </format>
    <format dxfId="151">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8"/>
          </reference>
          <reference field="7" count="1">
            <x v="23"/>
          </reference>
        </references>
      </pivotArea>
    </format>
    <format dxfId="150">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59"/>
          </reference>
          <reference field="7" count="1">
            <x v="24"/>
          </reference>
        </references>
      </pivotArea>
    </format>
    <format dxfId="149">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1"/>
          </reference>
          <reference field="5" count="1" selected="0">
            <x v="5"/>
          </reference>
          <reference field="6" count="1" selected="0">
            <x v="60"/>
          </reference>
          <reference field="7" count="1">
            <x v="25"/>
          </reference>
        </references>
      </pivotArea>
    </format>
    <format dxfId="148">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1"/>
          </reference>
          <reference field="7" count="1">
            <x v="139"/>
          </reference>
        </references>
      </pivotArea>
    </format>
    <format dxfId="147">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2"/>
          </reference>
          <reference field="7" count="1">
            <x v="124"/>
          </reference>
        </references>
      </pivotArea>
    </format>
    <format dxfId="146">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3"/>
          </reference>
          <reference field="7" count="1">
            <x v="120"/>
          </reference>
        </references>
      </pivotArea>
    </format>
    <format dxfId="145">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4"/>
          </reference>
          <reference field="7" count="1">
            <x v="121"/>
          </reference>
        </references>
      </pivotArea>
    </format>
    <format dxfId="144">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5"/>
          </reference>
          <reference field="7" count="1">
            <x v="122"/>
          </reference>
        </references>
      </pivotArea>
    </format>
    <format dxfId="143">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6"/>
          </reference>
          <reference field="7" count="1">
            <x v="123"/>
          </reference>
        </references>
      </pivotArea>
    </format>
    <format dxfId="142">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7"/>
          </reference>
          <reference field="7" count="1">
            <x v="73"/>
          </reference>
        </references>
      </pivotArea>
    </format>
    <format dxfId="141">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8"/>
          </reference>
          <reference field="7" count="6">
            <x v="9"/>
            <x v="111"/>
            <x v="112"/>
            <x v="113"/>
            <x v="114"/>
            <x v="116"/>
          </reference>
        </references>
      </pivotArea>
    </format>
    <format dxfId="140">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69"/>
          </reference>
          <reference field="7" count="1">
            <x v="67"/>
          </reference>
        </references>
      </pivotArea>
    </format>
    <format dxfId="139">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2"/>
          </reference>
          <reference field="5" count="1" selected="0">
            <x v="40"/>
          </reference>
          <reference field="6" count="1" selected="0">
            <x v="241"/>
          </reference>
          <reference field="7" count="7">
            <x v="7"/>
            <x v="8"/>
            <x v="126"/>
            <x v="127"/>
            <x v="128"/>
            <x v="129"/>
            <x v="153"/>
          </reference>
        </references>
      </pivotArea>
    </format>
    <format dxfId="138">
      <pivotArea dataOnly="0" labelOnly="1" outline="0" fieldPosition="0">
        <references count="8">
          <reference field="0" count="1" selected="0">
            <x v="2"/>
          </reference>
          <reference field="1" count="1" selected="0">
            <x v="6"/>
          </reference>
          <reference field="2" count="1" selected="0">
            <x v="4"/>
          </reference>
          <reference field="3" count="1" selected="0">
            <x v="15"/>
          </reference>
          <reference field="4" count="1" selected="0">
            <x v="23"/>
          </reference>
          <reference field="5" count="1" selected="0">
            <x v="11"/>
          </reference>
          <reference field="6" count="1" selected="0">
            <x v="70"/>
          </reference>
          <reference field="7" count="1">
            <x v="46"/>
          </reference>
        </references>
      </pivotArea>
    </format>
    <format dxfId="13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4"/>
          </reference>
          <reference field="5" count="1" selected="0">
            <x v="21"/>
          </reference>
          <reference field="6" count="1" selected="0">
            <x v="71"/>
          </reference>
          <reference field="7" count="1">
            <x v="78"/>
          </reference>
        </references>
      </pivotArea>
    </format>
    <format dxfId="13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2"/>
          </reference>
          <reference field="7" count="1">
            <x v="139"/>
          </reference>
        </references>
      </pivotArea>
    </format>
    <format dxfId="13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3"/>
          </reference>
          <reference field="7" count="1">
            <x v="32"/>
          </reference>
        </references>
      </pivotArea>
    </format>
    <format dxfId="13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4"/>
          </reference>
          <reference field="7" count="1">
            <x v="94"/>
          </reference>
        </references>
      </pivotArea>
    </format>
    <format dxfId="13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5"/>
          </reference>
          <reference field="7" count="1">
            <x v="54"/>
          </reference>
        </references>
      </pivotArea>
    </format>
    <format dxfId="13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6"/>
          </reference>
          <reference field="7" count="1">
            <x v="147"/>
          </reference>
        </references>
      </pivotArea>
    </format>
    <format dxfId="13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7"/>
          </reference>
          <reference field="7" count="4">
            <x v="109"/>
            <x v="110"/>
            <x v="115"/>
            <x v="116"/>
          </reference>
        </references>
      </pivotArea>
    </format>
    <format dxfId="13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5"/>
          </reference>
          <reference field="5" count="1" selected="0">
            <x v="40"/>
          </reference>
          <reference field="6" count="1" selected="0">
            <x v="78"/>
          </reference>
          <reference field="7" count="1">
            <x v="142"/>
          </reference>
        </references>
      </pivotArea>
    </format>
    <format dxfId="12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79"/>
          </reference>
          <reference field="7" count="1">
            <x v="81"/>
          </reference>
        </references>
      </pivotArea>
    </format>
    <format dxfId="12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80"/>
          </reference>
          <reference field="7" count="1">
            <x v="77"/>
          </reference>
        </references>
      </pivotArea>
    </format>
    <format dxfId="12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81"/>
          </reference>
          <reference field="7" count="1">
            <x v="83"/>
          </reference>
        </references>
      </pivotArea>
    </format>
    <format dxfId="12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82"/>
          </reference>
          <reference field="7" count="1">
            <x v="82"/>
          </reference>
        </references>
      </pivotArea>
    </format>
    <format dxfId="12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6"/>
          </reference>
          <reference field="5" count="1" selected="0">
            <x v="24"/>
          </reference>
          <reference field="6" count="1" selected="0">
            <x v="83"/>
          </reference>
          <reference field="7" count="1">
            <x v="84"/>
          </reference>
        </references>
      </pivotArea>
    </format>
    <format dxfId="12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7"/>
          </reference>
          <reference field="5" count="1" selected="0">
            <x v="14"/>
          </reference>
          <reference field="6" count="1" selected="0">
            <x v="84"/>
          </reference>
          <reference field="7" count="1">
            <x v="52"/>
          </reference>
        </references>
      </pivotArea>
    </format>
    <format dxfId="12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7"/>
          </reference>
          <reference field="5" count="1" selected="0">
            <x v="14"/>
          </reference>
          <reference field="6" count="1" selected="0">
            <x v="85"/>
          </reference>
          <reference field="7" count="1">
            <x v="55"/>
          </reference>
        </references>
      </pivotArea>
    </format>
    <format dxfId="12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7"/>
          </reference>
          <reference field="5" count="1" selected="0">
            <x v="14"/>
          </reference>
          <reference field="6" count="1" selected="0">
            <x v="86"/>
          </reference>
          <reference field="7" count="1">
            <x v="56"/>
          </reference>
        </references>
      </pivotArea>
    </format>
    <format dxfId="12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7"/>
          </reference>
          <reference field="5" count="1" selected="0">
            <x v="14"/>
          </reference>
          <reference field="6" count="1" selected="0">
            <x v="87"/>
          </reference>
          <reference field="7" count="1">
            <x v="53"/>
          </reference>
        </references>
      </pivotArea>
    </format>
    <format dxfId="12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8"/>
          </reference>
          <reference field="5" count="1" selected="0">
            <x v="16"/>
          </reference>
          <reference field="6" count="1" selected="0">
            <x v="88"/>
          </reference>
          <reference field="7" count="1">
            <x v="63"/>
          </reference>
        </references>
      </pivotArea>
    </format>
    <format dxfId="11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8"/>
          </reference>
          <reference field="5" count="1" selected="0">
            <x v="16"/>
          </reference>
          <reference field="6" count="1" selected="0">
            <x v="89"/>
          </reference>
          <reference field="7" count="1">
            <x v="102"/>
          </reference>
        </references>
      </pivotArea>
    </format>
    <format dxfId="11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29"/>
          </reference>
          <reference field="5" count="1" selected="0">
            <x v="49"/>
          </reference>
          <reference field="6" count="1" selected="0">
            <x v="91"/>
          </reference>
          <reference field="7" count="1">
            <x v="159"/>
          </reference>
        </references>
      </pivotArea>
    </format>
    <format dxfId="11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0"/>
          </reference>
          <reference field="5" count="1" selected="0">
            <x v="26"/>
          </reference>
          <reference field="6" count="1" selected="0">
            <x v="92"/>
          </reference>
          <reference field="7" count="1">
            <x v="93"/>
          </reference>
        </references>
      </pivotArea>
    </format>
    <format dxfId="11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1"/>
          </reference>
          <reference field="5" count="1" selected="0">
            <x v="22"/>
          </reference>
          <reference field="6" count="1" selected="0">
            <x v="93"/>
          </reference>
          <reference field="7" count="1">
            <x v="79"/>
          </reference>
        </references>
      </pivotArea>
    </format>
    <format dxfId="11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1"/>
          </reference>
          <reference field="5" count="1" selected="0">
            <x v="22"/>
          </reference>
          <reference field="6" count="1" selected="0">
            <x v="94"/>
          </reference>
          <reference field="7" count="1">
            <x v="103"/>
          </reference>
        </references>
      </pivotArea>
    </format>
    <format dxfId="11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2"/>
          </reference>
          <reference field="5" count="1" selected="0">
            <x v="10"/>
          </reference>
          <reference field="6" count="1" selected="0">
            <x v="95"/>
          </reference>
          <reference field="7" count="1">
            <x v="39"/>
          </reference>
        </references>
      </pivotArea>
    </format>
    <format dxfId="11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2"/>
          </reference>
          <reference field="5" count="1" selected="0">
            <x v="10"/>
          </reference>
          <reference field="6" count="1" selected="0">
            <x v="96"/>
          </reference>
          <reference field="7" count="1">
            <x v="40"/>
          </reference>
        </references>
      </pivotArea>
    </format>
    <format dxfId="11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2"/>
          </reference>
          <reference field="5" count="1" selected="0">
            <x v="10"/>
          </reference>
          <reference field="6" count="1" selected="0">
            <x v="97"/>
          </reference>
          <reference field="7" count="1">
            <x v="152"/>
          </reference>
        </references>
      </pivotArea>
    </format>
    <format dxfId="11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3"/>
          </reference>
          <reference field="5" count="1" selected="0">
            <x v="36"/>
          </reference>
          <reference field="6" count="1" selected="0">
            <x v="99"/>
          </reference>
          <reference field="7" count="1">
            <x v="125"/>
          </reference>
        </references>
      </pivotArea>
    </format>
    <format dxfId="11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0"/>
          </reference>
          <reference field="7" count="1">
            <x v="2"/>
          </reference>
        </references>
      </pivotArea>
    </format>
    <format dxfId="10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1"/>
          </reference>
          <reference field="7" count="1">
            <x v="3"/>
          </reference>
        </references>
      </pivotArea>
    </format>
    <format dxfId="10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2"/>
          </reference>
          <reference field="7" count="1">
            <x v="49"/>
          </reference>
        </references>
      </pivotArea>
    </format>
    <format dxfId="10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3"/>
          </reference>
          <reference field="7" count="1">
            <x v="104"/>
          </reference>
        </references>
      </pivotArea>
    </format>
    <format dxfId="10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4"/>
          </reference>
          <reference field="7" count="1">
            <x v="58"/>
          </reference>
        </references>
      </pivotArea>
    </format>
    <format dxfId="10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5"/>
          </reference>
          <reference field="7" count="1">
            <x v="5"/>
          </reference>
        </references>
      </pivotArea>
    </format>
    <format dxfId="10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4"/>
          </reference>
          <reference field="5" count="1" selected="0">
            <x v="1"/>
          </reference>
          <reference field="6" count="1" selected="0">
            <x v="106"/>
          </reference>
          <reference field="7" count="1">
            <x v="106"/>
          </reference>
        </references>
      </pivotArea>
    </format>
    <format dxfId="10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5"/>
          </reference>
          <reference field="5" count="1" selected="0">
            <x v="0"/>
          </reference>
          <reference field="6" count="1" selected="0">
            <x v="107"/>
          </reference>
          <reference field="7" count="1">
            <x v="1"/>
          </reference>
        </references>
      </pivotArea>
    </format>
    <format dxfId="10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5"/>
          </reference>
          <reference field="5" count="1" selected="0">
            <x v="0"/>
          </reference>
          <reference field="6" count="1" selected="0">
            <x v="108"/>
          </reference>
          <reference field="7" count="1">
            <x v="130"/>
          </reference>
        </references>
      </pivotArea>
    </format>
    <format dxfId="10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5"/>
          </reference>
          <reference field="5" count="1" selected="0">
            <x v="0"/>
          </reference>
          <reference field="6" count="1" selected="0">
            <x v="109"/>
          </reference>
          <reference field="7" count="1">
            <x v="0"/>
          </reference>
        </references>
      </pivotArea>
    </format>
    <format dxfId="10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5"/>
          </reference>
          <reference field="5" count="1" selected="0">
            <x v="0"/>
          </reference>
          <reference field="6" count="1" selected="0">
            <x v="110"/>
          </reference>
          <reference field="7" count="1">
            <x v="45"/>
          </reference>
        </references>
      </pivotArea>
    </format>
    <format dxfId="9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6"/>
          </reference>
          <reference field="5" count="1" selected="0">
            <x v="37"/>
          </reference>
          <reference field="6" count="1" selected="0">
            <x v="111"/>
          </reference>
          <reference field="7" count="1">
            <x v="131"/>
          </reference>
        </references>
      </pivotArea>
    </format>
    <format dxfId="9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6"/>
          </reference>
          <reference field="5" count="1" selected="0">
            <x v="37"/>
          </reference>
          <reference field="6" count="1" selected="0">
            <x v="112"/>
          </reference>
          <reference field="7" count="1">
            <x v="132"/>
          </reference>
        </references>
      </pivotArea>
    </format>
    <format dxfId="9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6"/>
          </reference>
          <reference field="5" count="1" selected="0">
            <x v="37"/>
          </reference>
          <reference field="6" count="1" selected="0">
            <x v="113"/>
          </reference>
          <reference field="7" count="1">
            <x v="133"/>
          </reference>
        </references>
      </pivotArea>
    </format>
    <format dxfId="9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6"/>
          </reference>
          <reference field="5" count="1" selected="0">
            <x v="37"/>
          </reference>
          <reference field="6" count="1" selected="0">
            <x v="114"/>
          </reference>
          <reference field="7" count="1">
            <x v="151"/>
          </reference>
        </references>
      </pivotArea>
    </format>
    <format dxfId="9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7"/>
          </reference>
          <reference field="5" count="1" selected="0">
            <x v="33"/>
          </reference>
          <reference field="6" count="1" selected="0">
            <x v="115"/>
          </reference>
          <reference field="7" count="1">
            <x v="106"/>
          </reference>
        </references>
      </pivotArea>
    </format>
    <format dxfId="9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9"/>
          </reference>
          <reference field="5" count="1" selected="0">
            <x v="23"/>
          </reference>
          <reference field="6" count="1" selected="0">
            <x v="116"/>
          </reference>
          <reference field="7" count="1">
            <x v="80"/>
          </reference>
        </references>
      </pivotArea>
    </format>
    <format dxfId="9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9"/>
          </reference>
          <reference field="5" count="1" selected="0">
            <x v="23"/>
          </reference>
          <reference field="6" count="1" selected="0">
            <x v="117"/>
          </reference>
          <reference field="7" count="1">
            <x v="36"/>
          </reference>
        </references>
      </pivotArea>
    </format>
    <format dxfId="9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39"/>
          </reference>
          <reference field="5" count="1" selected="0">
            <x v="23"/>
          </reference>
          <reference field="6" count="1" selected="0">
            <x v="118"/>
          </reference>
          <reference field="7" count="1">
            <x v="6"/>
          </reference>
        </references>
      </pivotArea>
    </format>
    <format dxfId="91">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0"/>
          </reference>
          <reference field="5" count="1" selected="0">
            <x v="35"/>
          </reference>
          <reference field="6" count="1" selected="0">
            <x v="119"/>
          </reference>
          <reference field="7" count="1">
            <x v="117"/>
          </reference>
        </references>
      </pivotArea>
    </format>
    <format dxfId="90">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0"/>
          </reference>
          <reference field="5" count="1" selected="0">
            <x v="35"/>
          </reference>
          <reference field="6" count="1" selected="0">
            <x v="120"/>
          </reference>
          <reference field="7" count="1">
            <x v="118"/>
          </reference>
        </references>
      </pivotArea>
    </format>
    <format dxfId="89">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0"/>
          </reference>
          <reference field="5" count="1" selected="0">
            <x v="35"/>
          </reference>
          <reference field="6" count="1" selected="0">
            <x v="121"/>
          </reference>
          <reference field="7" count="1">
            <x v="119"/>
          </reference>
        </references>
      </pivotArea>
    </format>
    <format dxfId="88">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1"/>
          </reference>
          <reference field="5" count="1" selected="0">
            <x v="50"/>
          </reference>
          <reference field="6" count="1" selected="0">
            <x v="122"/>
          </reference>
          <reference field="7" count="1">
            <x v="160"/>
          </reference>
        </references>
      </pivotArea>
    </format>
    <format dxfId="87">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3"/>
          </reference>
          <reference field="7" count="1">
            <x v="134"/>
          </reference>
        </references>
      </pivotArea>
    </format>
    <format dxfId="86">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4"/>
          </reference>
          <reference field="7" count="1">
            <x v="135"/>
          </reference>
        </references>
      </pivotArea>
    </format>
    <format dxfId="85">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5"/>
          </reference>
          <reference field="7" count="1">
            <x v="136"/>
          </reference>
        </references>
      </pivotArea>
    </format>
    <format dxfId="84">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6"/>
          </reference>
          <reference field="7" count="1">
            <x v="150"/>
          </reference>
        </references>
      </pivotArea>
    </format>
    <format dxfId="83">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2"/>
          </reference>
          <reference field="5" count="1" selected="0">
            <x v="38"/>
          </reference>
          <reference field="6" count="1" selected="0">
            <x v="127"/>
          </reference>
          <reference field="7" count="1">
            <x v="149"/>
          </reference>
        </references>
      </pivotArea>
    </format>
    <format dxfId="82">
      <pivotArea dataOnly="0" labelOnly="1" outline="0" fieldPosition="0">
        <references count="8">
          <reference field="0" count="1" selected="0">
            <x v="3"/>
          </reference>
          <reference field="1" count="1" selected="0">
            <x v="2"/>
          </reference>
          <reference field="2" count="1" selected="0">
            <x v="5"/>
          </reference>
          <reference field="3" count="1" selected="0">
            <x v="9"/>
          </reference>
          <reference field="4" count="1" selected="0">
            <x v="43"/>
          </reference>
          <reference field="5" count="1" selected="0">
            <x v="32"/>
          </reference>
          <reference field="6" count="1" selected="0">
            <x v="128"/>
          </reference>
          <reference field="7" count="1">
            <x v="105"/>
          </reference>
        </references>
      </pivotArea>
    </format>
    <format dxfId="81">
      <pivotArea dataOnly="0" labelOnly="1" outline="0" fieldPosition="0">
        <references count="8">
          <reference field="0" count="1" selected="0">
            <x v="3"/>
          </reference>
          <reference field="1" count="1" selected="0">
            <x v="2"/>
          </reference>
          <reference field="2" count="1" selected="0">
            <x v="6"/>
          </reference>
          <reference field="3" count="1" selected="0">
            <x v="3"/>
          </reference>
          <reference field="4" count="1" selected="0">
            <x v="78"/>
          </reference>
          <reference field="5" count="1" selected="0">
            <x v="24"/>
          </reference>
          <reference field="6" count="1" selected="0">
            <x v="226"/>
          </reference>
          <reference field="7" count="1">
            <x v="77"/>
          </reference>
        </references>
      </pivotArea>
    </format>
    <format dxfId="80">
      <pivotArea dataOnly="0" labelOnly="1" outline="0" fieldPosition="0">
        <references count="8">
          <reference field="0" count="1" selected="0">
            <x v="3"/>
          </reference>
          <reference field="1" count="1" selected="0">
            <x v="2"/>
          </reference>
          <reference field="2" count="1" selected="0">
            <x v="6"/>
          </reference>
          <reference field="3" count="1" selected="0">
            <x v="3"/>
          </reference>
          <reference field="4" count="1" selected="0">
            <x v="78"/>
          </reference>
          <reference field="5" count="1" selected="0">
            <x v="24"/>
          </reference>
          <reference field="6" count="1" selected="0">
            <x v="227"/>
          </reference>
          <reference field="7" count="1">
            <x v="83"/>
          </reference>
        </references>
      </pivotArea>
    </format>
    <format dxfId="79">
      <pivotArea dataOnly="0" labelOnly="1" outline="0" fieldPosition="0">
        <references count="8">
          <reference field="0" count="1" selected="0">
            <x v="3"/>
          </reference>
          <reference field="1" count="1" selected="0">
            <x v="2"/>
          </reference>
          <reference field="2" count="1" selected="0">
            <x v="6"/>
          </reference>
          <reference field="3" count="1" selected="0">
            <x v="3"/>
          </reference>
          <reference field="4" count="1" selected="0">
            <x v="78"/>
          </reference>
          <reference field="5" count="1" selected="0">
            <x v="24"/>
          </reference>
          <reference field="6" count="1" selected="0">
            <x v="228"/>
          </reference>
          <reference field="7" count="1">
            <x v="82"/>
          </reference>
        </references>
      </pivotArea>
    </format>
    <format dxfId="78">
      <pivotArea dataOnly="0" labelOnly="1" outline="0" fieldPosition="0">
        <references count="8">
          <reference field="0" count="1" selected="0">
            <x v="3"/>
          </reference>
          <reference field="1" count="1" selected="0">
            <x v="2"/>
          </reference>
          <reference field="2" count="1" selected="0">
            <x v="6"/>
          </reference>
          <reference field="3" count="1" selected="0">
            <x v="3"/>
          </reference>
          <reference field="4" count="1" selected="0">
            <x v="78"/>
          </reference>
          <reference field="5" count="1" selected="0">
            <x v="24"/>
          </reference>
          <reference field="6" count="1" selected="0">
            <x v="229"/>
          </reference>
          <reference field="7" count="1">
            <x v="84"/>
          </reference>
        </references>
      </pivotArea>
    </format>
    <format dxfId="77">
      <pivotArea dataOnly="0" labelOnly="1" outline="0" fieldPosition="0">
        <references count="8">
          <reference field="0" count="1" selected="0">
            <x v="3"/>
          </reference>
          <reference field="1" count="1" selected="0">
            <x v="2"/>
          </reference>
          <reference field="2" count="1" selected="0">
            <x v="6"/>
          </reference>
          <reference field="3" count="1" selected="0">
            <x v="9"/>
          </reference>
          <reference field="4" count="1" selected="0">
            <x v="25"/>
          </reference>
          <reference field="5" count="1" selected="0">
            <x v="40"/>
          </reference>
          <reference field="6" count="1" selected="0">
            <x v="73"/>
          </reference>
          <reference field="7" count="1">
            <x v="32"/>
          </reference>
        </references>
      </pivotArea>
    </format>
    <format dxfId="76">
      <pivotArea dataOnly="0" labelOnly="1" outline="0" fieldPosition="0">
        <references count="8">
          <reference field="0" count="1" selected="0">
            <x v="3"/>
          </reference>
          <reference field="1" count="1" selected="0">
            <x v="2"/>
          </reference>
          <reference field="2" count="1" selected="0">
            <x v="7"/>
          </reference>
          <reference field="3" count="1" selected="0">
            <x v="8"/>
          </reference>
          <reference field="4" count="1" selected="0">
            <x v="79"/>
          </reference>
          <reference field="5" count="1" selected="0">
            <x v="22"/>
          </reference>
          <reference field="6" count="1" selected="0">
            <x v="230"/>
          </reference>
          <reference field="7" count="1">
            <x v="103"/>
          </reference>
        </references>
      </pivotArea>
    </format>
    <format dxfId="75">
      <pivotArea dataOnly="0" labelOnly="1" outline="0" fieldPosition="0">
        <references count="8">
          <reference field="0" count="1" selected="0">
            <x v="3"/>
          </reference>
          <reference field="1" count="1" selected="0">
            <x v="2"/>
          </reference>
          <reference field="2" count="1" selected="0">
            <x v="7"/>
          </reference>
          <reference field="3" count="1" selected="0">
            <x v="9"/>
          </reference>
          <reference field="4" count="1" selected="0">
            <x v="28"/>
          </reference>
          <reference field="5" count="1" selected="0">
            <x v="16"/>
          </reference>
          <reference field="6" count="1" selected="0">
            <x v="90"/>
          </reference>
          <reference field="7" count="1">
            <x v="163"/>
          </reference>
        </references>
      </pivotArea>
    </format>
    <format dxfId="74">
      <pivotArea dataOnly="0" labelOnly="1" outline="0" fieldPosition="0">
        <references count="8">
          <reference field="0" count="1" selected="0">
            <x v="3"/>
          </reference>
          <reference field="1" count="1" selected="0">
            <x v="2"/>
          </reference>
          <reference field="2" count="1" selected="0">
            <x v="13"/>
          </reference>
          <reference field="3" count="1" selected="0">
            <x v="6"/>
          </reference>
          <reference field="4" count="1" selected="0">
            <x v="80"/>
          </reference>
          <reference field="5" count="1" selected="0">
            <x v="10"/>
          </reference>
          <reference field="6" count="1" selected="0">
            <x v="231"/>
          </reference>
          <reference field="7" count="1">
            <x v="40"/>
          </reference>
        </references>
      </pivotArea>
    </format>
    <format dxfId="73">
      <pivotArea dataOnly="0" labelOnly="1" outline="0" fieldPosition="0">
        <references count="8">
          <reference field="0" count="1" selected="0">
            <x v="3"/>
          </reference>
          <reference field="1" count="1" selected="0">
            <x v="2"/>
          </reference>
          <reference field="2" count="1" selected="0">
            <x v="13"/>
          </reference>
          <reference field="3" count="1" selected="0">
            <x v="6"/>
          </reference>
          <reference field="4" count="1" selected="0">
            <x v="80"/>
          </reference>
          <reference field="5" count="1" selected="0">
            <x v="10"/>
          </reference>
          <reference field="6" count="1" selected="0">
            <x v="232"/>
          </reference>
          <reference field="7" count="1">
            <x v="40"/>
          </reference>
        </references>
      </pivotArea>
    </format>
    <format dxfId="72">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3"/>
          </reference>
          <reference field="7" count="1">
            <x v="3"/>
          </reference>
        </references>
      </pivotArea>
    </format>
    <format dxfId="71">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4"/>
          </reference>
          <reference field="7" count="1">
            <x v="3"/>
          </reference>
        </references>
      </pivotArea>
    </format>
    <format dxfId="70">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5"/>
          </reference>
          <reference field="7" count="1">
            <x v="49"/>
          </reference>
        </references>
      </pivotArea>
    </format>
    <format dxfId="69">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6"/>
          </reference>
          <reference field="7" count="1">
            <x v="104"/>
          </reference>
        </references>
      </pivotArea>
    </format>
    <format dxfId="68">
      <pivotArea dataOnly="0" labelOnly="1" outline="0" fieldPosition="0">
        <references count="8">
          <reference field="0" count="1" selected="0">
            <x v="3"/>
          </reference>
          <reference field="1" count="1" selected="0">
            <x v="2"/>
          </reference>
          <reference field="2" count="1" selected="0">
            <x v="14"/>
          </reference>
          <reference field="3" count="1" selected="0">
            <x v="0"/>
          </reference>
          <reference field="4" count="1" selected="0">
            <x v="81"/>
          </reference>
          <reference field="5" count="1" selected="0">
            <x v="1"/>
          </reference>
          <reference field="6" count="1" selected="0">
            <x v="237"/>
          </reference>
          <reference field="7" count="1">
            <x v="58"/>
          </reference>
        </references>
      </pivotArea>
    </format>
    <format dxfId="67">
      <pivotArea dataOnly="0" labelOnly="1" outline="0" fieldPosition="0">
        <references count="8">
          <reference field="0" count="1" selected="0">
            <x v="3"/>
          </reference>
          <reference field="1" count="1" selected="0">
            <x v="2"/>
          </reference>
          <reference field="2" count="1" selected="0">
            <x v="15"/>
          </reference>
          <reference field="3" count="1" selected="0">
            <x v="10"/>
          </reference>
          <reference field="4" count="1" selected="0">
            <x v="84"/>
          </reference>
          <reference field="5" count="1" selected="0">
            <x v="33"/>
          </reference>
          <reference field="6" count="1" selected="0">
            <x v="115"/>
          </reference>
          <reference field="7" count="1">
            <x v="106"/>
          </reference>
        </references>
      </pivotArea>
    </format>
    <format dxfId="6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4"/>
          </reference>
          <reference field="5" count="1" selected="0">
            <x v="8"/>
          </reference>
          <reference field="6" count="1" selected="0">
            <x v="129"/>
          </reference>
          <reference field="7" count="1">
            <x v="30"/>
          </reference>
        </references>
      </pivotArea>
    </format>
    <format dxfId="6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5"/>
          </reference>
          <reference field="5" count="1" selected="0">
            <x v="6"/>
          </reference>
          <reference field="6" count="1" selected="0">
            <x v="130"/>
          </reference>
          <reference field="7" count="1">
            <x v="17"/>
          </reference>
        </references>
      </pivotArea>
    </format>
    <format dxfId="6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5"/>
          </reference>
          <reference field="5" count="1" selected="0">
            <x v="6"/>
          </reference>
          <reference field="6" count="1" selected="0">
            <x v="131"/>
          </reference>
          <reference field="7" count="1">
            <x v="26"/>
          </reference>
        </references>
      </pivotArea>
    </format>
    <format dxfId="6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6"/>
          </reference>
          <reference field="5" count="1" selected="0">
            <x v="2"/>
          </reference>
          <reference field="6" count="1" selected="0">
            <x v="132"/>
          </reference>
          <reference field="7" count="1">
            <x v="4"/>
          </reference>
        </references>
      </pivotArea>
    </format>
    <format dxfId="6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6"/>
          </reference>
          <reference field="5" count="1" selected="0">
            <x v="2"/>
          </reference>
          <reference field="6" count="1" selected="0">
            <x v="133"/>
          </reference>
          <reference field="7" count="1">
            <x v="68"/>
          </reference>
        </references>
      </pivotArea>
    </format>
    <format dxfId="6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6"/>
          </reference>
          <reference field="5" count="1" selected="0">
            <x v="2"/>
          </reference>
          <reference field="6" count="1" selected="0">
            <x v="134"/>
          </reference>
          <reference field="7" count="1">
            <x v="70"/>
          </reference>
        </references>
      </pivotArea>
    </format>
    <format dxfId="6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6"/>
          </reference>
          <reference field="5" count="1" selected="0">
            <x v="2"/>
          </reference>
          <reference field="6" count="1" selected="0">
            <x v="135"/>
          </reference>
          <reference field="7" count="1">
            <x v="66"/>
          </reference>
        </references>
      </pivotArea>
    </format>
    <format dxfId="5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36"/>
          </reference>
          <reference field="7" count="1">
            <x v="50"/>
          </reference>
        </references>
      </pivotArea>
    </format>
    <format dxfId="5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37"/>
          </reference>
          <reference field="7" count="1">
            <x v="145"/>
          </reference>
        </references>
      </pivotArea>
    </format>
    <format dxfId="5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38"/>
          </reference>
          <reference field="7" count="1">
            <x v="62"/>
          </reference>
        </references>
      </pivotArea>
    </format>
    <format dxfId="5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39"/>
          </reference>
          <reference field="7" count="1">
            <x v="154"/>
          </reference>
        </references>
      </pivotArea>
    </format>
    <format dxfId="5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7"/>
          </reference>
          <reference field="5" count="1" selected="0">
            <x v="13"/>
          </reference>
          <reference field="6" count="1" selected="0">
            <x v="140"/>
          </reference>
          <reference field="7" count="1">
            <x v="92"/>
          </reference>
        </references>
      </pivotArea>
    </format>
    <format dxfId="5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1"/>
          </reference>
          <reference field="7" count="1">
            <x v="10"/>
          </reference>
        </references>
      </pivotArea>
    </format>
    <format dxfId="5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2"/>
          </reference>
          <reference field="7" count="1">
            <x v="88"/>
          </reference>
        </references>
      </pivotArea>
    </format>
    <format dxfId="5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3"/>
          </reference>
          <reference field="7" count="1">
            <x v="161"/>
          </reference>
        </references>
      </pivotArea>
    </format>
    <format dxfId="5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4"/>
          </reference>
          <reference field="7" count="1">
            <x v="59"/>
          </reference>
        </references>
      </pivotArea>
    </format>
    <format dxfId="5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5"/>
          </reference>
          <reference field="7" count="1">
            <x v="156"/>
          </reference>
        </references>
      </pivotArea>
    </format>
    <format dxfId="4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8"/>
          </reference>
          <reference field="5" count="1" selected="0">
            <x v="3"/>
          </reference>
          <reference field="6" count="1" selected="0">
            <x v="146"/>
          </reference>
          <reference field="7" count="1">
            <x v="14"/>
          </reference>
        </references>
      </pivotArea>
    </format>
    <format dxfId="4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9"/>
          </reference>
          <reference field="5" count="1" selected="0">
            <x v="45"/>
          </reference>
          <reference field="6" count="1" selected="0">
            <x v="147"/>
          </reference>
          <reference field="7" count="1">
            <x v="155"/>
          </reference>
        </references>
      </pivotArea>
    </format>
    <format dxfId="4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9"/>
          </reference>
          <reference field="5" count="1" selected="0">
            <x v="45"/>
          </reference>
          <reference field="6" count="1" selected="0">
            <x v="148"/>
          </reference>
          <reference field="7" count="1">
            <x v="27"/>
          </reference>
        </references>
      </pivotArea>
    </format>
    <format dxfId="4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9"/>
          </reference>
          <reference field="5" count="1" selected="0">
            <x v="45"/>
          </reference>
          <reference field="6" count="1" selected="0">
            <x v="149"/>
          </reference>
          <reference field="7" count="1">
            <x v="44"/>
          </reference>
        </references>
      </pivotArea>
    </format>
    <format dxfId="4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49"/>
          </reference>
          <reference field="5" count="1" selected="0">
            <x v="45"/>
          </reference>
          <reference field="6" count="1" selected="0">
            <x v="150"/>
          </reference>
          <reference field="7" count="1">
            <x v="34"/>
          </reference>
        </references>
      </pivotArea>
    </format>
    <format dxfId="4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0"/>
          </reference>
          <reference field="5" count="1" selected="0">
            <x v="7"/>
          </reference>
          <reference field="6" count="1" selected="0">
            <x v="151"/>
          </reference>
          <reference field="7" count="1">
            <x v="29"/>
          </reference>
        </references>
      </pivotArea>
    </format>
    <format dxfId="4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0"/>
          </reference>
          <reference field="5" count="1" selected="0">
            <x v="7"/>
          </reference>
          <reference field="6" count="1" selected="0">
            <x v="152"/>
          </reference>
          <reference field="7" count="1">
            <x v="28"/>
          </reference>
        </references>
      </pivotArea>
    </format>
    <format dxfId="4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0"/>
          </reference>
          <reference field="5" count="1" selected="0">
            <x v="7"/>
          </reference>
          <reference field="6" count="1" selected="0">
            <x v="153"/>
          </reference>
          <reference field="7" count="1">
            <x v="51"/>
          </reference>
        </references>
      </pivotArea>
    </format>
    <format dxfId="4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1"/>
          </reference>
          <reference field="5" count="1" selected="0">
            <x v="4"/>
          </reference>
          <reference field="6" count="1" selected="0">
            <x v="154"/>
          </reference>
          <reference field="7" count="1">
            <x v="11"/>
          </reference>
        </references>
      </pivotArea>
    </format>
    <format dxfId="4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1"/>
          </reference>
          <reference field="5" count="1" selected="0">
            <x v="4"/>
          </reference>
          <reference field="6" count="1" selected="0">
            <x v="155"/>
          </reference>
          <reference field="7" count="1">
            <x v="12"/>
          </reference>
        </references>
      </pivotArea>
    </format>
    <format dxfId="3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1"/>
          </reference>
          <reference field="5" count="1" selected="0">
            <x v="4"/>
          </reference>
          <reference field="6" count="1" selected="0">
            <x v="156"/>
          </reference>
          <reference field="7" count="1">
            <x v="140"/>
          </reference>
        </references>
      </pivotArea>
    </format>
    <format dxfId="3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1"/>
          </reference>
          <reference field="5" count="1" selected="0">
            <x v="4"/>
          </reference>
          <reference field="6" count="1" selected="0">
            <x v="157"/>
          </reference>
          <reference field="7" count="1">
            <x v="71"/>
          </reference>
        </references>
      </pivotArea>
    </format>
    <format dxfId="3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2"/>
          </reference>
          <reference field="5" count="1" selected="0">
            <x v="9"/>
          </reference>
          <reference field="6" count="1" selected="0">
            <x v="158"/>
          </reference>
          <reference field="7" count="1">
            <x v="35"/>
          </reference>
        </references>
      </pivotArea>
    </format>
    <format dxfId="3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2"/>
          </reference>
          <reference field="5" count="1" selected="0">
            <x v="9"/>
          </reference>
          <reference field="6" count="1" selected="0">
            <x v="241"/>
          </reference>
          <reference field="7" count="5">
            <x v="57"/>
            <x v="65"/>
            <x v="89"/>
            <x v="90"/>
            <x v="91"/>
          </reference>
        </references>
      </pivotArea>
    </format>
    <format dxfId="3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3"/>
          </reference>
          <reference field="5" count="1" selected="0">
            <x v="13"/>
          </reference>
          <reference field="6" count="1" selected="0">
            <x v="159"/>
          </reference>
          <reference field="7" count="1">
            <x v="50"/>
          </reference>
        </references>
      </pivotArea>
    </format>
    <format dxfId="3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3"/>
          </reference>
          <reference field="5" count="1" selected="0">
            <x v="13"/>
          </reference>
          <reference field="6" count="1" selected="0">
            <x v="160"/>
          </reference>
          <reference field="7" count="1">
            <x v="145"/>
          </reference>
        </references>
      </pivotArea>
    </format>
    <format dxfId="3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3"/>
          </reference>
          <reference field="5" count="1" selected="0">
            <x v="13"/>
          </reference>
          <reference field="6" count="1" selected="0">
            <x v="161"/>
          </reference>
          <reference field="7" count="1">
            <x v="154"/>
          </reference>
        </references>
      </pivotArea>
    </format>
    <format dxfId="3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4"/>
          </reference>
          <reference field="5" count="1" selected="0">
            <x v="3"/>
          </reference>
          <reference field="6" count="1" selected="0">
            <x v="162"/>
          </reference>
          <reference field="7" count="1">
            <x v="10"/>
          </reference>
        </references>
      </pivotArea>
    </format>
    <format dxfId="3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4"/>
          </reference>
          <reference field="5" count="1" selected="0">
            <x v="3"/>
          </reference>
          <reference field="6" count="1" selected="0">
            <x v="163"/>
          </reference>
          <reference field="7" count="1">
            <x v="88"/>
          </reference>
        </references>
      </pivotArea>
    </format>
    <format dxfId="3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4"/>
          </reference>
          <reference field="5" count="1" selected="0">
            <x v="3"/>
          </reference>
          <reference field="6" count="1" selected="0">
            <x v="164"/>
          </reference>
          <reference field="7" count="1">
            <x v="161"/>
          </reference>
        </references>
      </pivotArea>
    </format>
    <format dxfId="2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4"/>
          </reference>
          <reference field="5" count="1" selected="0">
            <x v="3"/>
          </reference>
          <reference field="6" count="1" selected="0">
            <x v="165"/>
          </reference>
          <reference field="7" count="1">
            <x v="59"/>
          </reference>
        </references>
      </pivotArea>
    </format>
    <format dxfId="2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5"/>
          </reference>
          <reference field="5" count="1" selected="0">
            <x v="7"/>
          </reference>
          <reference field="6" count="1" selected="0">
            <x v="167"/>
          </reference>
          <reference field="7" count="1">
            <x v="29"/>
          </reference>
        </references>
      </pivotArea>
    </format>
    <format dxfId="2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5"/>
          </reference>
          <reference field="5" count="1" selected="0">
            <x v="7"/>
          </reference>
          <reference field="6" count="1" selected="0">
            <x v="168"/>
          </reference>
          <reference field="7" count="1">
            <x v="28"/>
          </reference>
        </references>
      </pivotArea>
    </format>
    <format dxfId="2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5"/>
          </reference>
          <reference field="5" count="1" selected="0">
            <x v="7"/>
          </reference>
          <reference field="6" count="1" selected="0">
            <x v="169"/>
          </reference>
          <reference field="7" count="1">
            <x v="51"/>
          </reference>
        </references>
      </pivotArea>
    </format>
    <format dxfId="2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170"/>
          </reference>
          <reference field="7" count="1">
            <x v="11"/>
          </reference>
        </references>
      </pivotArea>
    </format>
    <format dxfId="24">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171"/>
          </reference>
          <reference field="7" count="1">
            <x v="12"/>
          </reference>
        </references>
      </pivotArea>
    </format>
    <format dxfId="23">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172"/>
          </reference>
          <reference field="7" count="1">
            <x v="140"/>
          </reference>
        </references>
      </pivotArea>
    </format>
    <format dxfId="22">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173"/>
          </reference>
          <reference field="7" count="1">
            <x v="71"/>
          </reference>
        </references>
      </pivotArea>
    </format>
    <format dxfId="21">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6"/>
          </reference>
          <reference field="5" count="1" selected="0">
            <x v="4"/>
          </reference>
          <reference field="6" count="1" selected="0">
            <x v="241"/>
          </reference>
          <reference field="7" count="3">
            <x v="12"/>
            <x v="71"/>
            <x v="140"/>
          </reference>
        </references>
      </pivotArea>
    </format>
    <format dxfId="20">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7"/>
          </reference>
          <reference field="5" count="1" selected="0">
            <x v="9"/>
          </reference>
          <reference field="6" count="1" selected="0">
            <x v="174"/>
          </reference>
          <reference field="7" count="1">
            <x v="35"/>
          </reference>
        </references>
      </pivotArea>
    </format>
    <format dxfId="19">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7"/>
          </reference>
          <reference field="5" count="1" selected="0">
            <x v="9"/>
          </reference>
          <reference field="6" count="1" selected="0">
            <x v="175"/>
          </reference>
          <reference field="7" count="1">
            <x v="65"/>
          </reference>
        </references>
      </pivotArea>
    </format>
    <format dxfId="18">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57"/>
          </reference>
          <reference field="5" count="1" selected="0">
            <x v="9"/>
          </reference>
          <reference field="6" count="1" selected="0">
            <x v="176"/>
          </reference>
          <reference field="7" count="1">
            <x v="57"/>
          </reference>
        </references>
      </pivotArea>
    </format>
    <format dxfId="17">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88"/>
          </reference>
          <reference field="5" count="1" selected="0">
            <x v="3"/>
          </reference>
          <reference field="6" count="1" selected="0">
            <x v="241"/>
          </reference>
          <reference field="7" count="5">
            <x v="10"/>
            <x v="59"/>
            <x v="88"/>
            <x v="156"/>
            <x v="161"/>
          </reference>
        </references>
      </pivotArea>
    </format>
    <format dxfId="16">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88"/>
          </reference>
          <reference field="5" count="1" selected="0">
            <x v="4"/>
          </reference>
          <reference field="6" count="1" selected="0">
            <x v="241"/>
          </reference>
          <reference field="7" count="4">
            <x v="11"/>
            <x v="12"/>
            <x v="71"/>
            <x v="140"/>
          </reference>
        </references>
      </pivotArea>
    </format>
    <format dxfId="15">
      <pivotArea dataOnly="0" labelOnly="1" outline="0" fieldPosition="0">
        <references count="8">
          <reference field="0" count="1" selected="0">
            <x v="4"/>
          </reference>
          <reference field="1" count="1" selected="0">
            <x v="0"/>
          </reference>
          <reference field="2" count="1" selected="0">
            <x v="8"/>
          </reference>
          <reference field="3" count="1" selected="0">
            <x v="1"/>
          </reference>
          <reference field="4" count="1" selected="0">
            <x v="88"/>
          </reference>
          <reference field="5" count="1" selected="0">
            <x v="13"/>
          </reference>
          <reference field="6" count="1" selected="0">
            <x v="241"/>
          </reference>
          <reference field="7" count="3">
            <x v="50"/>
            <x v="145"/>
            <x v="154"/>
          </reference>
        </references>
      </pivotArea>
    </format>
    <format dxfId="14">
      <pivotArea dataOnly="0" labelOnly="1" outline="0" fieldPosition="0">
        <references count="8">
          <reference field="0" count="1" selected="0">
            <x v="4"/>
          </reference>
          <reference field="1" count="1" selected="0">
            <x v="0"/>
          </reference>
          <reference field="2" count="1" selected="0">
            <x v="9"/>
          </reference>
          <reference field="3" count="1" selected="0">
            <x v="7"/>
          </reference>
          <reference field="4" count="1" selected="0">
            <x v="48"/>
          </reference>
          <reference field="5" count="1" selected="0">
            <x v="3"/>
          </reference>
          <reference field="6" count="1" selected="0">
            <x v="145"/>
          </reference>
          <reference field="7" count="1">
            <x v="156"/>
          </reference>
        </references>
      </pivotArea>
    </format>
    <format dxfId="13">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58"/>
          </reference>
          <reference field="5" count="1" selected="0">
            <x v="28"/>
          </reference>
          <reference field="6" count="1" selected="0">
            <x v="177"/>
          </reference>
          <reference field="7" count="1">
            <x v="98"/>
          </reference>
        </references>
      </pivotArea>
    </format>
    <format dxfId="12">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59"/>
          </reference>
          <reference field="5" count="1" selected="0">
            <x v="12"/>
          </reference>
          <reference field="6" count="1" selected="0">
            <x v="178"/>
          </reference>
          <reference field="7" count="1">
            <x v="48"/>
          </reference>
        </references>
      </pivotArea>
    </format>
    <format dxfId="11">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59"/>
          </reference>
          <reference field="5" count="1" selected="0">
            <x v="12"/>
          </reference>
          <reference field="6" count="1" selected="0">
            <x v="179"/>
          </reference>
          <reference field="7" count="1">
            <x v="107"/>
          </reference>
        </references>
      </pivotArea>
    </format>
    <format dxfId="10">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59"/>
          </reference>
          <reference field="5" count="1" selected="0">
            <x v="12"/>
          </reference>
          <reference field="6" count="1" selected="0">
            <x v="180"/>
          </reference>
          <reference field="7" count="1">
            <x v="33"/>
          </reference>
        </references>
      </pivotArea>
    </format>
    <format dxfId="9">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60"/>
          </reference>
          <reference field="5" count="1" selected="0">
            <x v="42"/>
          </reference>
          <reference field="6" count="1" selected="0">
            <x v="181"/>
          </reference>
          <reference field="7" count="1">
            <x v="146"/>
          </reference>
        </references>
      </pivotArea>
    </format>
    <format dxfId="8">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60"/>
          </reference>
          <reference field="5" count="1" selected="0">
            <x v="42"/>
          </reference>
          <reference field="6" count="1" selected="0">
            <x v="182"/>
          </reference>
          <reference field="7" count="1">
            <x v="61"/>
          </reference>
        </references>
      </pivotArea>
    </format>
    <format dxfId="7">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60"/>
          </reference>
          <reference field="5" count="1" selected="0">
            <x v="42"/>
          </reference>
          <reference field="6" count="1" selected="0">
            <x v="241"/>
          </reference>
          <reference field="7" count="2">
            <x v="15"/>
            <x v="47"/>
          </reference>
        </references>
      </pivotArea>
    </format>
    <format dxfId="6">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88"/>
          </reference>
          <reference field="5" count="1" selected="0">
            <x v="18"/>
          </reference>
          <reference field="6" count="1" selected="0">
            <x v="241"/>
          </reference>
          <reference field="7" count="1">
            <x v="85"/>
          </reference>
        </references>
      </pivotArea>
    </format>
    <format dxfId="5">
      <pivotArea dataOnly="0" labelOnly="1" outline="0" fieldPosition="0">
        <references count="8">
          <reference field="0" count="1" selected="0">
            <x v="5"/>
          </reference>
          <reference field="1" count="1" selected="0">
            <x v="3"/>
          </reference>
          <reference field="2" count="1" selected="0">
            <x v="10"/>
          </reference>
          <reference field="3" count="1" selected="0">
            <x v="11"/>
          </reference>
          <reference field="4" count="1" selected="0">
            <x v="88"/>
          </reference>
          <reference field="5" count="1" selected="0">
            <x v="25"/>
          </reference>
          <reference field="6" count="1" selected="0">
            <x v="241"/>
          </reference>
          <reference field="7" count="1">
            <x v="85"/>
          </reference>
        </references>
      </pivotArea>
    </format>
    <format dxfId="4">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1"/>
          </reference>
          <reference field="5" count="1" selected="0">
            <x v="29"/>
          </reference>
          <reference field="6" count="1" selected="0">
            <x v="183"/>
          </reference>
          <reference field="7" count="1">
            <x v="99"/>
          </reference>
        </references>
      </pivotArea>
    </format>
    <format dxfId="3">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2"/>
          </reference>
          <reference field="5" count="1" selected="0">
            <x v="31"/>
          </reference>
          <reference field="6" count="1" selected="0">
            <x v="184"/>
          </reference>
          <reference field="7" count="1">
            <x v="101"/>
          </reference>
        </references>
      </pivotArea>
    </format>
    <format dxfId="2">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2"/>
          </reference>
          <reference field="5" count="1" selected="0">
            <x v="31"/>
          </reference>
          <reference field="6" count="1" selected="0">
            <x v="185"/>
          </reference>
          <reference field="7" count="1">
            <x v="101"/>
          </reference>
        </references>
      </pivotArea>
    </format>
    <format dxfId="1">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3"/>
          </reference>
          <reference field="5" count="1" selected="0">
            <x v="30"/>
          </reference>
          <reference field="6" count="1" selected="0">
            <x v="186"/>
          </reference>
          <reference field="7" count="1">
            <x v="100"/>
          </reference>
        </references>
      </pivotArea>
    </format>
    <format dxfId="0">
      <pivotArea dataOnly="0" labelOnly="1" outline="0" fieldPosition="0">
        <references count="8">
          <reference field="0" count="1" selected="0">
            <x v="6"/>
          </reference>
          <reference field="1" count="1" selected="0">
            <x v="4"/>
          </reference>
          <reference field="2" count="1" selected="0">
            <x v="11"/>
          </reference>
          <reference field="3" count="1" selected="0">
            <x v="12"/>
          </reference>
          <reference field="4" count="1" selected="0">
            <x v="63"/>
          </reference>
          <reference field="5" count="1" selected="0">
            <x v="30"/>
          </reference>
          <reference field="6" count="1" selected="0">
            <x v="187"/>
          </reference>
          <reference field="7" count="1">
            <x v="37"/>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O2" totalsRowShown="0">
  <autoFilter ref="A1:BO2" xr:uid="{00000000-0009-0000-0100-000001000000}"/>
  <tableColumns count="67">
    <tableColumn id="1" xr3:uid="{00000000-0010-0000-0000-000001000000}" name="Level 0 - Site Location"/>
    <tableColumn id="2" xr3:uid="{00000000-0010-0000-0000-000002000000}" name="Level 0 - Description"/>
    <tableColumn id="3" xr3:uid="{00000000-0010-0000-0000-000003000000}" name="Level 1 - Area"/>
    <tableColumn id="4" xr3:uid="{00000000-0010-0000-0000-000004000000}" name="Level 1 - Description"/>
    <tableColumn id="5" xr3:uid="{00000000-0010-0000-0000-000005000000}" name="Level 2 - Facility / System"/>
    <tableColumn id="6" xr3:uid="{00000000-0010-0000-0000-000006000000}" name="Level 2 - Description"/>
    <tableColumn id="7" xr3:uid="{00000000-0010-0000-0000-000007000000}" name="Level 3 - Sub Facility / Sub System"/>
    <tableColumn id="8" xr3:uid="{00000000-0010-0000-0000-000008000000}" name="Level 3 - Description"/>
    <tableColumn id="9" xr3:uid="{00000000-0010-0000-0000-000009000000}" name="ID CODE"/>
    <tableColumn id="10" xr3:uid="{00000000-0010-0000-0000-00000A000000}" name="Equipment Type"/>
    <tableColumn id="11" xr3:uid="{00000000-0010-0000-0000-00000B000000}" name="Price Code "/>
    <tableColumn id="12" xr3:uid="{00000000-0010-0000-0000-00000C000000}" name="Price Code Description"/>
    <tableColumn id="13" xr3:uid="{00000000-0010-0000-0000-00000D000000}" name="Qty Code"/>
    <tableColumn id="14" xr3:uid="{00000000-0010-0000-0000-00000E000000}" name="Area - QTY Code"/>
    <tableColumn id="15" xr3:uid="{00000000-0010-0000-0000-00000F000000}" name="QTY Code Description"/>
    <tableColumn id="16" xr3:uid="{00000000-0010-0000-0000-000010000000}" name="Type"/>
    <tableColumn id="17" xr3:uid="{00000000-0010-0000-0000-000011000000}" name="Description"/>
    <tableColumn id="18" xr3:uid="{00000000-0010-0000-0000-000012000000}" name="Tag Number"/>
    <tableColumn id="19" xr3:uid="{00000000-0010-0000-0000-000013000000}" name="QTY"/>
    <tableColumn id="20" xr3:uid="{00000000-0010-0000-0000-000014000000}" name="Unit"/>
    <tableColumn id="21" xr3:uid="{00000000-0010-0000-0000-000015000000}" name="Manhours Per Unit"/>
    <tableColumn id="22" xr3:uid="{00000000-0010-0000-0000-000016000000}" name="Unit Fuel Consumption"/>
    <tableColumn id="23" xr3:uid="{00000000-0010-0000-0000-000017000000}" name="Unit Labour"/>
    <tableColumn id="24" xr3:uid="{00000000-0010-0000-0000-000018000000}" name="Unit Equipment"/>
    <tableColumn id="25" xr3:uid="{00000000-0010-0000-0000-000019000000}" name="Unit Rate"/>
    <tableColumn id="26" xr3:uid="{00000000-0010-0000-0000-00001A000000}" name="Total Manhours"/>
    <tableColumn id="27" xr3:uid="{00000000-0010-0000-0000-00001B000000}" name="Total Fuel Consumption"/>
    <tableColumn id="28" xr3:uid="{00000000-0010-0000-0000-00001C000000}" name="Total Labour"/>
    <tableColumn id="29" xr3:uid="{00000000-0010-0000-0000-00001D000000}" name="Total Equipment"/>
    <tableColumn id="30" xr3:uid="{00000000-0010-0000-0000-00001E000000}" name="Total Cost ($)"/>
    <tableColumn id="31" xr3:uid="{00000000-0010-0000-0000-00001F000000}" name="Unit M3"/>
    <tableColumn id="32" xr3:uid="{00000000-0010-0000-0000-000020000000}" name="Total Vol (m3)"/>
    <tableColumn id="33" xr3:uid="{00000000-0010-0000-0000-000021000000}" name="IOL (%)"/>
    <tableColumn id="34" xr3:uid="{00000000-0010-0000-0000-000022000000}" name="Crown Land  (%)"/>
    <tableColumn id="35" xr3:uid="{00000000-0010-0000-0000-000023000000}" name="Water Liability  (%)"/>
    <tableColumn id="36" xr3:uid="{00000000-0010-0000-0000-000024000000}" name="Land Liability  (%)"/>
    <tableColumn id="37" xr3:uid="{00000000-0010-0000-0000-000025000000}" name="IOL Cost ($)"/>
    <tableColumn id="38" xr3:uid="{00000000-0010-0000-0000-000026000000}" name="Crown Land Cost ($)"/>
    <tableColumn id="39" xr3:uid="{00000000-0010-0000-0000-000027000000}" name="Water Liability Cost ($)"/>
    <tableColumn id="40" xr3:uid="{00000000-0010-0000-0000-000028000000}" name="Land Liability Cost ($)"/>
    <tableColumn id="41" xr3:uid="{00000000-0010-0000-0000-000029000000}" name="License" dataDxfId="243"/>
    <tableColumn id="42" xr3:uid="{00000000-0010-0000-0000-00002A000000}" name="Adjustment Tag"/>
    <tableColumn id="43" xr3:uid="{00000000-0010-0000-0000-00002B000000}" name="Associated Work Plan"/>
    <tableColumn id="44" xr3:uid="{00000000-0010-0000-0000-00002C000000}" name="Type of Costs"/>
    <tableColumn id="45" xr3:uid="{00000000-0010-0000-0000-00002D000000}" name="Year 0 - %"/>
    <tableColumn id="46" xr3:uid="{00000000-0010-0000-0000-00002E000000}" name="Year 0+1 - %"/>
    <tableColumn id="47" xr3:uid="{00000000-0010-0000-0000-00002F000000}" name="Year 1 - %"/>
    <tableColumn id="48" xr3:uid="{00000000-0010-0000-0000-000030000000}" name="Year 2 - %"/>
    <tableColumn id="49" xr3:uid="{00000000-0010-0000-0000-000031000000}" name="Year 3 - %"/>
    <tableColumn id="50" xr3:uid="{00000000-0010-0000-0000-000032000000}" name="Year 4 - %"/>
    <tableColumn id="51" xr3:uid="{00000000-0010-0000-0000-000033000000}" name="Year 5 - %"/>
    <tableColumn id="52" xr3:uid="{00000000-0010-0000-0000-000034000000}" name="Year 6 - %"/>
    <tableColumn id="53" xr3:uid="{00000000-0010-0000-0000-000035000000}" name="Year 7 - %"/>
    <tableColumn id="54" xr3:uid="{00000000-0010-0000-0000-000036000000}" name="Year 8 - %"/>
    <tableColumn id="55" xr3:uid="{00000000-0010-0000-0000-000037000000}" name="Year 0- Cost ($)"/>
    <tableColumn id="56" xr3:uid="{00000000-0010-0000-0000-000038000000}" name="Year 0+1- Cost ($)"/>
    <tableColumn id="57" xr3:uid="{00000000-0010-0000-0000-000039000000}" name="Year 1 - Cost ($)"/>
    <tableColumn id="58" xr3:uid="{00000000-0010-0000-0000-00003A000000}" name="Year 2 - Cost ($)"/>
    <tableColumn id="59" xr3:uid="{00000000-0010-0000-0000-00003B000000}" name="Year 3 - Cost ($)"/>
    <tableColumn id="60" xr3:uid="{00000000-0010-0000-0000-00003C000000}" name="Year 4 - Cost ($)"/>
    <tableColumn id="61" xr3:uid="{00000000-0010-0000-0000-00003D000000}" name="Year 5 - Cost ($)"/>
    <tableColumn id="62" xr3:uid="{00000000-0010-0000-0000-00003E000000}" name="Year 6 - Cost ($)"/>
    <tableColumn id="63" xr3:uid="{00000000-0010-0000-0000-00003F000000}" name="Year 7 - Cost ($)"/>
    <tableColumn id="64" xr3:uid="{00000000-0010-0000-0000-000040000000}" name="Year 8 - Cost ($)"/>
    <tableColumn id="65" xr3:uid="{00000000-0010-0000-0000-000041000000}" name="Notes"/>
    <tableColumn id="66" xr3:uid="{00000000-0010-0000-0000-000042000000}" name="Uncertainty"/>
    <tableColumn id="67" xr3:uid="{00000000-0010-0000-0000-000043000000}" name="Required Reclamation Activities"/>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219" dT="2022-12-02T21:00:30.72" personId="{00000000-0000-0000-0000-000000000000}" id="{93254F0C-41C3-4AC5-9762-8EAFF2557B43}">
    <text>Catalina - to discuss - should this be included or removed because item 2019-17 is out of scope?</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150.statcan.gc.ca/t1/tbl1/en/tv.action?pid=181000040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150.statcan.gc.ca/t1/tbl1/en/tv.action?pid=1810000402" TargetMode="External"/><Relationship Id="rId1" Type="http://schemas.openxmlformats.org/officeDocument/2006/relationships/hyperlink" Target="https://www150.statcan.gc.ca/t1/tbl1/en/tv.action?pid=1810000402"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3.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ivotTable" Target="../pivotTables/pivotTable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6">
    <pageSetUpPr fitToPage="1"/>
  </sheetPr>
  <dimension ref="A1:BX1790"/>
  <sheetViews>
    <sheetView tabSelected="1" zoomScale="55" zoomScaleNormal="55" zoomScaleSheetLayoutView="40" workbookViewId="0">
      <pane ySplit="7" topLeftCell="A14" activePane="bottomLeft" state="frozen"/>
      <selection activeCell="D81" sqref="D81"/>
      <selection pane="bottomLeft" activeCell="L17" sqref="L17"/>
    </sheetView>
  </sheetViews>
  <sheetFormatPr defaultColWidth="9.1796875" defaultRowHeight="16.5"/>
  <cols>
    <col min="1" max="1" width="9.453125" style="1799" customWidth="1"/>
    <col min="2" max="2" width="26.7265625" style="1800" customWidth="1"/>
    <col min="3" max="3" width="12.81640625" style="1799" customWidth="1"/>
    <col min="4" max="4" width="20.81640625" style="1800" customWidth="1"/>
    <col min="5" max="5" width="7.7265625" style="1800" customWidth="1"/>
    <col min="6" max="6" width="20.81640625" style="1800" customWidth="1"/>
    <col min="7" max="7" width="13.54296875" style="1800" customWidth="1"/>
    <col min="8" max="8" width="20.81640625" style="1800" customWidth="1"/>
    <col min="9" max="9" width="12.81640625" style="1800" customWidth="1"/>
    <col min="10" max="10" width="10.81640625" style="1800" customWidth="1"/>
    <col min="11" max="11" width="13.1796875" style="1800" bestFit="1" customWidth="1"/>
    <col min="12" max="12" width="20.7265625" style="1800" customWidth="1"/>
    <col min="13" max="13" width="14.453125" style="1800" customWidth="1"/>
    <col min="14" max="15" width="18.7265625" style="1800" customWidth="1"/>
    <col min="16" max="16" width="18.26953125" style="1800" customWidth="1"/>
    <col min="17" max="17" width="59" style="1800" customWidth="1"/>
    <col min="18" max="18" width="21.453125" style="1334" bestFit="1" customWidth="1"/>
    <col min="19" max="19" width="16.7265625" style="2102" bestFit="1" customWidth="1"/>
    <col min="20" max="20" width="13.1796875" style="1334" customWidth="1"/>
    <col min="21" max="22" width="16.26953125" style="1787" customWidth="1"/>
    <col min="23" max="23" width="13.81640625" style="1787" customWidth="1"/>
    <col min="24" max="24" width="13.7265625" style="1787" customWidth="1"/>
    <col min="25" max="25" width="14.1796875" style="2115" customWidth="1"/>
    <col min="26" max="26" width="14.453125" style="2115" customWidth="1"/>
    <col min="27" max="27" width="16.26953125" style="2115" customWidth="1"/>
    <col min="28" max="29" width="17.81640625" style="2115" customWidth="1"/>
    <col min="30" max="30" width="17.81640625" style="2173" bestFit="1" customWidth="1"/>
    <col min="31" max="31" width="13.1796875" style="2122" customWidth="1" collapsed="1"/>
    <col min="32" max="32" width="16" style="2122" customWidth="1" collapsed="1"/>
    <col min="33" max="33" width="13.1796875" style="1767" customWidth="1"/>
    <col min="34" max="36" width="16.26953125" style="1767" customWidth="1"/>
    <col min="37" max="37" width="17.81640625" style="2136" customWidth="1"/>
    <col min="38" max="39" width="16.26953125" style="2136" customWidth="1"/>
    <col min="40" max="40" width="17.81640625" style="2136" customWidth="1"/>
    <col min="41" max="41" width="24" style="1768" customWidth="1"/>
    <col min="42" max="42" width="12.453125" style="1426" customWidth="1"/>
    <col min="43" max="43" width="13.1796875" style="1790" customWidth="1"/>
    <col min="44" max="44" width="13.1796875" style="1426" customWidth="1"/>
    <col min="45" max="46" width="13.1796875" style="2143" bestFit="1" customWidth="1"/>
    <col min="47" max="57" width="13.1796875" style="1767" bestFit="1" customWidth="1"/>
    <col min="58" max="59" width="16.26953125" style="2146" bestFit="1" customWidth="1"/>
    <col min="60" max="60" width="17.81640625" style="2136" bestFit="1" customWidth="1"/>
    <col min="61" max="70" width="16.26953125" style="2136" bestFit="1" customWidth="1"/>
    <col min="71" max="71" width="9.1796875" style="1770"/>
    <col min="72" max="72" width="13" style="1770" customWidth="1"/>
    <col min="73" max="75" width="9.1796875" style="1770"/>
    <col min="76" max="76" width="11" style="1770" customWidth="1"/>
    <col min="77" max="16384" width="9.1796875" style="1770"/>
  </cols>
  <sheetData>
    <row r="1" spans="1:76">
      <c r="K1" s="1265"/>
      <c r="L1" s="1265"/>
      <c r="M1" s="1265"/>
      <c r="N1" s="1265"/>
      <c r="O1" s="1265"/>
      <c r="Q1" s="1265"/>
      <c r="U1" s="1426"/>
      <c r="V1" s="1426"/>
      <c r="W1" s="1426"/>
      <c r="X1" s="1426"/>
      <c r="AD1" s="2134"/>
      <c r="AQ1" s="1769"/>
    </row>
    <row r="2" spans="1:76">
      <c r="K2" s="1265"/>
      <c r="L2" s="1265"/>
      <c r="M2" s="1265"/>
      <c r="N2" s="1265"/>
      <c r="O2" s="1265"/>
      <c r="P2" s="1265"/>
      <c r="Q2" s="1265"/>
      <c r="R2" s="1761"/>
      <c r="T2" s="1426"/>
      <c r="U2" s="1426"/>
      <c r="V2" s="1426"/>
      <c r="W2" s="1426"/>
      <c r="X2" s="1426"/>
      <c r="AD2" s="2134"/>
      <c r="AQ2" s="1769"/>
      <c r="BS2" s="1766"/>
      <c r="BT2" s="1771"/>
      <c r="BU2" s="1767"/>
      <c r="BV2" s="1767"/>
      <c r="BW2" s="1767"/>
      <c r="BX2" s="1426"/>
    </row>
    <row r="3" spans="1:76">
      <c r="K3" s="1265"/>
      <c r="L3" s="1265"/>
      <c r="M3" s="1265"/>
      <c r="N3" s="1265"/>
      <c r="O3" s="1265"/>
      <c r="P3" s="1265"/>
      <c r="Q3" s="1265"/>
      <c r="R3" s="1761"/>
      <c r="T3" s="1426"/>
      <c r="U3" s="1426"/>
      <c r="V3" s="1426"/>
      <c r="W3" s="1426"/>
      <c r="X3" s="1426"/>
      <c r="AD3" s="2134"/>
      <c r="AQ3" s="1769"/>
      <c r="BS3" s="1766"/>
      <c r="BT3" s="1771"/>
      <c r="BU3" s="1767"/>
      <c r="BV3" s="1767"/>
      <c r="BW3" s="1767"/>
      <c r="BX3" s="1426"/>
    </row>
    <row r="4" spans="1:76">
      <c r="A4" s="1814" t="s">
        <v>0</v>
      </c>
      <c r="B4" s="1097"/>
      <c r="C4" s="1801"/>
      <c r="D4" s="1097"/>
      <c r="E4" s="1097"/>
      <c r="F4" s="1097"/>
      <c r="K4" s="1265"/>
      <c r="L4" s="1265"/>
      <c r="M4" s="1265"/>
      <c r="N4" s="1265"/>
      <c r="O4" s="1265"/>
      <c r="P4" s="1097"/>
      <c r="Q4" s="1265" t="s">
        <v>1</v>
      </c>
      <c r="R4" s="1276"/>
      <c r="S4" s="2103"/>
      <c r="T4" s="1276"/>
      <c r="U4" s="996"/>
      <c r="V4" s="1813"/>
      <c r="W4" s="996"/>
      <c r="X4" s="996"/>
      <c r="Y4" s="2116"/>
      <c r="Z4" s="2116"/>
      <c r="AA4" s="2116"/>
      <c r="AB4" s="2116"/>
      <c r="AC4" s="2116"/>
      <c r="AD4" s="2138"/>
      <c r="AE4" s="2123"/>
      <c r="AL4" s="2137"/>
      <c r="AN4" s="2137"/>
      <c r="AO4" s="1268"/>
      <c r="AP4" s="996"/>
      <c r="AQ4" s="1762"/>
      <c r="AR4" s="996"/>
      <c r="AS4" s="2144"/>
      <c r="AT4" s="2144"/>
      <c r="AU4" s="1040"/>
      <c r="AV4" s="1040"/>
      <c r="AW4" s="1040"/>
      <c r="AX4" s="1040"/>
      <c r="AY4" s="1040"/>
      <c r="AZ4" s="1040"/>
      <c r="BA4" s="1040"/>
      <c r="BB4" s="1040"/>
      <c r="BC4" s="1040"/>
      <c r="BD4" s="1040"/>
      <c r="BE4" s="1040"/>
      <c r="BF4" s="2147"/>
      <c r="BG4" s="2147"/>
      <c r="BH4" s="2137"/>
      <c r="BI4" s="2137"/>
      <c r="BJ4" s="2137"/>
      <c r="BK4" s="2137"/>
      <c r="BL4" s="2137"/>
      <c r="BM4" s="2137"/>
      <c r="BN4" s="2137"/>
      <c r="BO4" s="2137"/>
      <c r="BP4" s="2137"/>
      <c r="BQ4" s="2137"/>
      <c r="BR4" s="2137"/>
      <c r="BS4" s="1292"/>
      <c r="BT4" s="1771"/>
      <c r="BU4" s="1040"/>
      <c r="BV4" s="1767"/>
      <c r="BW4" s="1040"/>
      <c r="BX4" s="1426"/>
    </row>
    <row r="5" spans="1:76">
      <c r="A5" s="1801" t="s">
        <v>7820</v>
      </c>
      <c r="B5" s="1097"/>
      <c r="C5" s="1801"/>
      <c r="D5" s="1097"/>
      <c r="E5" s="1097"/>
      <c r="F5" s="1097"/>
      <c r="G5" s="1097"/>
      <c r="H5" s="1097"/>
      <c r="I5" s="1097"/>
      <c r="J5" s="1097"/>
      <c r="K5" s="1265"/>
      <c r="L5" s="1265"/>
      <c r="M5" s="1265"/>
      <c r="N5" s="1265"/>
      <c r="O5" s="1265"/>
      <c r="P5" s="1097"/>
      <c r="Q5" s="1265"/>
      <c r="R5" s="1276"/>
      <c r="S5" s="2103"/>
      <c r="T5" s="1276"/>
      <c r="U5" s="996"/>
      <c r="V5" s="996"/>
      <c r="W5" s="996"/>
      <c r="X5" s="996"/>
      <c r="Y5" s="2116"/>
      <c r="Z5" s="2116"/>
      <c r="AA5" s="2116"/>
      <c r="AB5" s="2116"/>
      <c r="AC5" s="2116"/>
      <c r="AD5" s="2138"/>
      <c r="AE5" s="2123"/>
      <c r="AK5" s="2138"/>
      <c r="AL5" s="2138"/>
      <c r="AM5" s="2138"/>
      <c r="AN5" s="2138"/>
      <c r="AO5" s="1268"/>
      <c r="AP5" s="996"/>
      <c r="AQ5" s="1762"/>
      <c r="AR5" s="996"/>
      <c r="AS5" s="2144"/>
      <c r="AT5" s="2144"/>
      <c r="AU5" s="1040"/>
      <c r="AV5" s="1040"/>
      <c r="AW5" s="1040"/>
      <c r="AX5" s="1040"/>
      <c r="AY5" s="1040"/>
      <c r="AZ5" s="1040"/>
      <c r="BA5" s="1040"/>
      <c r="BB5" s="1040"/>
      <c r="BC5" s="1040"/>
      <c r="BD5" s="1040"/>
      <c r="BE5" s="1040"/>
      <c r="BF5" s="2147"/>
      <c r="BG5" s="2147"/>
      <c r="BH5" s="2137"/>
      <c r="BI5" s="2137"/>
      <c r="BJ5" s="2137"/>
      <c r="BK5" s="2137"/>
      <c r="BL5" s="2137"/>
      <c r="BM5" s="2137"/>
      <c r="BN5" s="2137"/>
      <c r="BO5" s="2137"/>
      <c r="BP5" s="2137"/>
      <c r="BQ5" s="2137"/>
      <c r="BR5" s="2137"/>
      <c r="BS5" s="1292"/>
      <c r="BT5" s="1315"/>
      <c r="BU5" s="1040"/>
      <c r="BV5" s="1040"/>
      <c r="BW5" s="1040"/>
      <c r="BX5" s="996"/>
    </row>
    <row r="6" spans="1:76" ht="16.5" customHeight="1">
      <c r="A6" s="1291"/>
      <c r="B6" s="1097"/>
      <c r="C6" s="1291"/>
      <c r="D6" s="1097"/>
      <c r="E6" s="1097"/>
      <c r="F6" s="1097"/>
      <c r="G6" s="1097"/>
      <c r="H6" s="1097"/>
      <c r="I6" s="1097"/>
      <c r="J6" s="1097"/>
      <c r="K6" s="1097"/>
      <c r="L6" s="1097"/>
      <c r="M6" s="1097"/>
      <c r="N6" s="1097"/>
      <c r="O6" s="1097"/>
      <c r="P6" s="1097"/>
      <c r="Q6" s="1097"/>
      <c r="R6" s="1276"/>
      <c r="S6" s="2103"/>
      <c r="T6" s="1276"/>
      <c r="U6" s="996"/>
      <c r="V6" s="996"/>
      <c r="W6" s="996"/>
      <c r="X6" s="996"/>
      <c r="Y6" s="2116"/>
      <c r="Z6" s="2116"/>
      <c r="AA6" s="2116"/>
      <c r="AB6" s="2116"/>
      <c r="AC6" s="2116"/>
      <c r="AD6" s="2138"/>
      <c r="AE6" s="2123"/>
      <c r="AF6" s="2123"/>
      <c r="AG6" s="1040"/>
      <c r="AH6" s="1040"/>
      <c r="AI6" s="1040"/>
      <c r="AJ6" s="1040"/>
      <c r="AK6" s="2137"/>
      <c r="AL6" s="2137"/>
      <c r="AM6" s="2137"/>
      <c r="AN6" s="2137"/>
      <c r="AO6" s="1268"/>
      <c r="AP6" s="996"/>
      <c r="AQ6" s="1762"/>
      <c r="AR6" s="996"/>
      <c r="AS6" s="2215" t="s">
        <v>2</v>
      </c>
      <c r="AT6" s="2216"/>
      <c r="AU6" s="2212" t="s">
        <v>3</v>
      </c>
      <c r="AV6" s="2213"/>
      <c r="AW6" s="2214"/>
      <c r="AX6" s="2219" t="s">
        <v>4</v>
      </c>
      <c r="AY6" s="2220"/>
      <c r="AZ6" s="2220"/>
      <c r="BA6" s="2220"/>
      <c r="BB6" s="2220"/>
      <c r="BC6" s="2220"/>
      <c r="BD6" s="2220"/>
      <c r="BE6" s="2221"/>
      <c r="BF6" s="2217" t="s">
        <v>2</v>
      </c>
      <c r="BG6" s="2218"/>
      <c r="BH6" s="2209" t="s">
        <v>3</v>
      </c>
      <c r="BI6" s="2210"/>
      <c r="BJ6" s="2211"/>
      <c r="BK6" s="2206" t="s">
        <v>4</v>
      </c>
      <c r="BL6" s="2207"/>
      <c r="BM6" s="2207"/>
      <c r="BN6" s="2207"/>
      <c r="BO6" s="2207"/>
      <c r="BP6" s="2207"/>
      <c r="BQ6" s="2207"/>
      <c r="BR6" s="2208"/>
    </row>
    <row r="7" spans="1:76" s="2159" customFormat="1" ht="132" customHeight="1">
      <c r="A7" s="2153" t="s">
        <v>5</v>
      </c>
      <c r="B7" s="2154" t="s">
        <v>6</v>
      </c>
      <c r="C7" s="2153" t="s">
        <v>7</v>
      </c>
      <c r="D7" s="2154" t="s">
        <v>8</v>
      </c>
      <c r="E7" s="2155" t="s">
        <v>9</v>
      </c>
      <c r="F7" s="2154" t="s">
        <v>10</v>
      </c>
      <c r="G7" s="2155" t="s">
        <v>11</v>
      </c>
      <c r="H7" s="2154" t="s">
        <v>12</v>
      </c>
      <c r="I7" s="2155" t="s">
        <v>13</v>
      </c>
      <c r="J7" s="2155" t="s">
        <v>14</v>
      </c>
      <c r="K7" s="2155" t="s">
        <v>15</v>
      </c>
      <c r="L7" s="2154" t="s">
        <v>16</v>
      </c>
      <c r="M7" s="2154" t="s">
        <v>17</v>
      </c>
      <c r="N7" s="2154" t="s">
        <v>18</v>
      </c>
      <c r="O7" s="2154" t="s">
        <v>19</v>
      </c>
      <c r="P7" s="2154" t="s">
        <v>20</v>
      </c>
      <c r="Q7" s="2154" t="s">
        <v>21</v>
      </c>
      <c r="R7" s="2154" t="s">
        <v>22</v>
      </c>
      <c r="S7" s="2104" t="s">
        <v>23</v>
      </c>
      <c r="T7" s="2155" t="s">
        <v>24</v>
      </c>
      <c r="U7" s="2156" t="s">
        <v>25</v>
      </c>
      <c r="V7" s="2156" t="s">
        <v>26</v>
      </c>
      <c r="W7" s="2156" t="s">
        <v>27</v>
      </c>
      <c r="X7" s="2156" t="s">
        <v>28</v>
      </c>
      <c r="Y7" s="2157" t="s">
        <v>29</v>
      </c>
      <c r="Z7" s="2157" t="s">
        <v>30</v>
      </c>
      <c r="AA7" s="2157" t="s">
        <v>31</v>
      </c>
      <c r="AB7" s="2157" t="s">
        <v>32</v>
      </c>
      <c r="AC7" s="2157" t="s">
        <v>33</v>
      </c>
      <c r="AD7" s="2124" t="s">
        <v>34</v>
      </c>
      <c r="AE7" s="2124" t="s">
        <v>35</v>
      </c>
      <c r="AF7" s="2124" t="s">
        <v>36</v>
      </c>
      <c r="AG7" s="1286" t="s">
        <v>37</v>
      </c>
      <c r="AH7" s="1286" t="s">
        <v>38</v>
      </c>
      <c r="AI7" s="1286" t="s">
        <v>39</v>
      </c>
      <c r="AJ7" s="1286" t="s">
        <v>40</v>
      </c>
      <c r="AK7" s="2158" t="s">
        <v>41</v>
      </c>
      <c r="AL7" s="2158" t="s">
        <v>42</v>
      </c>
      <c r="AM7" s="2158" t="s">
        <v>43</v>
      </c>
      <c r="AN7" s="2158" t="s">
        <v>44</v>
      </c>
      <c r="AO7" s="2156" t="s">
        <v>45</v>
      </c>
      <c r="AP7" s="2156" t="s">
        <v>46</v>
      </c>
      <c r="AQ7" s="2154" t="s">
        <v>47</v>
      </c>
      <c r="AR7" s="2156" t="s">
        <v>48</v>
      </c>
      <c r="AS7" s="1286" t="s">
        <v>49</v>
      </c>
      <c r="AT7" s="1286" t="s">
        <v>50</v>
      </c>
      <c r="AU7" s="1286" t="s">
        <v>51</v>
      </c>
      <c r="AV7" s="1286" t="s">
        <v>52</v>
      </c>
      <c r="AW7" s="1286" t="s">
        <v>53</v>
      </c>
      <c r="AX7" s="1286" t="s">
        <v>54</v>
      </c>
      <c r="AY7" s="1286" t="s">
        <v>55</v>
      </c>
      <c r="AZ7" s="1286" t="s">
        <v>56</v>
      </c>
      <c r="BA7" s="1286" t="s">
        <v>57</v>
      </c>
      <c r="BB7" s="1286" t="s">
        <v>58</v>
      </c>
      <c r="BC7" s="1286" t="s">
        <v>59</v>
      </c>
      <c r="BD7" s="1286" t="s">
        <v>60</v>
      </c>
      <c r="BE7" s="1286" t="s">
        <v>61</v>
      </c>
      <c r="BF7" s="2158" t="s">
        <v>62</v>
      </c>
      <c r="BG7" s="2158" t="s">
        <v>63</v>
      </c>
      <c r="BH7" s="2158" t="s">
        <v>64</v>
      </c>
      <c r="BI7" s="2158" t="s">
        <v>65</v>
      </c>
      <c r="BJ7" s="2158" t="s">
        <v>66</v>
      </c>
      <c r="BK7" s="2158" t="s">
        <v>67</v>
      </c>
      <c r="BL7" s="2158" t="s">
        <v>68</v>
      </c>
      <c r="BM7" s="2158" t="s">
        <v>69</v>
      </c>
      <c r="BN7" s="2158" t="s">
        <v>70</v>
      </c>
      <c r="BO7" s="2158" t="s">
        <v>71</v>
      </c>
      <c r="BP7" s="2158" t="s">
        <v>72</v>
      </c>
      <c r="BQ7" s="2158" t="s">
        <v>73</v>
      </c>
      <c r="BR7" s="2158" t="s">
        <v>74</v>
      </c>
    </row>
    <row r="8" spans="1:76" s="1316" customFormat="1">
      <c r="A8" s="1317">
        <v>1000</v>
      </c>
      <c r="B8" s="1318" t="s">
        <v>78</v>
      </c>
      <c r="C8" s="1317"/>
      <c r="D8" s="1318"/>
      <c r="E8" s="1318"/>
      <c r="F8" s="1318"/>
      <c r="G8" s="1318"/>
      <c r="H8" s="1318"/>
      <c r="I8" s="1318"/>
      <c r="J8" s="1318"/>
      <c r="K8" s="1318"/>
      <c r="L8" s="1318"/>
      <c r="M8" s="1318"/>
      <c r="N8" s="1318"/>
      <c r="O8" s="1318"/>
      <c r="P8" s="1318"/>
      <c r="Q8" s="1318"/>
      <c r="R8" s="1320"/>
      <c r="S8" s="2105"/>
      <c r="T8" s="1320"/>
      <c r="U8" s="1321"/>
      <c r="V8" s="1321"/>
      <c r="W8" s="1321"/>
      <c r="X8" s="1321"/>
      <c r="Y8" s="2105"/>
      <c r="Z8" s="2105"/>
      <c r="AA8" s="2105"/>
      <c r="AB8" s="2105"/>
      <c r="AC8" s="2105"/>
      <c r="AD8" s="1319"/>
      <c r="AE8" s="2125"/>
      <c r="AF8" s="2125"/>
      <c r="AG8" s="1322"/>
      <c r="AH8" s="1322"/>
      <c r="AI8" s="1322"/>
      <c r="AJ8" s="1322"/>
      <c r="AK8" s="2125"/>
      <c r="AL8" s="2125"/>
      <c r="AM8" s="2125"/>
      <c r="AN8" s="2125"/>
      <c r="AO8" s="1319"/>
      <c r="AP8" s="1319"/>
      <c r="AQ8" s="1763"/>
      <c r="AR8" s="1319"/>
      <c r="AS8" s="1322"/>
      <c r="AT8" s="1322"/>
      <c r="AU8" s="1322"/>
      <c r="AV8" s="1322"/>
      <c r="AW8" s="1322"/>
      <c r="AX8" s="1322"/>
      <c r="AY8" s="1322"/>
      <c r="AZ8" s="1322"/>
      <c r="BA8" s="1322"/>
      <c r="BB8" s="1322"/>
      <c r="BC8" s="1322"/>
      <c r="BD8" s="1322"/>
      <c r="BE8" s="1322"/>
      <c r="BF8" s="2148"/>
      <c r="BG8" s="2148"/>
      <c r="BH8" s="2125"/>
      <c r="BI8" s="2125"/>
      <c r="BJ8" s="2125"/>
      <c r="BK8" s="2125"/>
      <c r="BL8" s="2125"/>
      <c r="BM8" s="2125"/>
      <c r="BN8" s="2125"/>
      <c r="BO8" s="2125"/>
      <c r="BP8" s="2125"/>
      <c r="BQ8" s="2125"/>
      <c r="BR8" s="2125"/>
      <c r="BS8" s="1765"/>
      <c r="BT8" s="1765"/>
      <c r="BU8" s="1765"/>
      <c r="BV8" s="1765"/>
      <c r="BW8" s="1765"/>
      <c r="BX8" s="1765"/>
    </row>
    <row r="9" spans="1:76" s="1765" customFormat="1" ht="33">
      <c r="A9" s="1272">
        <v>1000</v>
      </c>
      <c r="B9" s="971" t="s">
        <v>78</v>
      </c>
      <c r="C9" s="1272">
        <v>1100</v>
      </c>
      <c r="D9" s="971" t="s">
        <v>79</v>
      </c>
      <c r="E9" s="971">
        <v>1100</v>
      </c>
      <c r="F9" s="971" t="s">
        <v>79</v>
      </c>
      <c r="G9" s="971">
        <v>1100</v>
      </c>
      <c r="H9" s="971" t="s">
        <v>79</v>
      </c>
      <c r="I9" s="1273"/>
      <c r="J9" s="971"/>
      <c r="K9" s="971" t="s">
        <v>80</v>
      </c>
      <c r="L9" s="971" t="s">
        <v>81</v>
      </c>
      <c r="M9" s="971" t="s">
        <v>82</v>
      </c>
      <c r="N9" s="971" t="s">
        <v>83</v>
      </c>
      <c r="O9" s="971" t="s">
        <v>81</v>
      </c>
      <c r="P9" s="971" t="s">
        <v>81</v>
      </c>
      <c r="Q9" s="971" t="s">
        <v>84</v>
      </c>
      <c r="R9" s="1266"/>
      <c r="S9" s="2106">
        <v>11787.542069386762</v>
      </c>
      <c r="T9" s="1266" t="s">
        <v>136</v>
      </c>
      <c r="U9" s="1742">
        <v>0.24861035436708168</v>
      </c>
      <c r="V9" s="1742">
        <v>2.0270868355782152</v>
      </c>
      <c r="W9" s="1742">
        <v>16.615574059561133</v>
      </c>
      <c r="X9" s="1742">
        <v>22.637173090872032</v>
      </c>
      <c r="Y9" s="2106">
        <v>42.16379572566828</v>
      </c>
      <c r="Z9" s="2106">
        <v>2930.5050109871263</v>
      </c>
      <c r="AA9" s="2106">
        <v>23894.371352678299</v>
      </c>
      <c r="AB9" s="2106">
        <v>195856.77823408824</v>
      </c>
      <c r="AC9" s="2106">
        <v>266836.63014064403</v>
      </c>
      <c r="AD9" s="1744">
        <v>497007.51592134457</v>
      </c>
      <c r="AE9" s="2126">
        <v>0</v>
      </c>
      <c r="AF9" s="2126">
        <v>0</v>
      </c>
      <c r="AG9" s="1212">
        <v>1</v>
      </c>
      <c r="AH9" s="1212">
        <v>0</v>
      </c>
      <c r="AI9" s="1212">
        <v>0</v>
      </c>
      <c r="AJ9" s="1212">
        <v>1</v>
      </c>
      <c r="AK9" s="2126">
        <v>497007.51592134457</v>
      </c>
      <c r="AL9" s="2126">
        <v>0</v>
      </c>
      <c r="AM9" s="2126">
        <v>0</v>
      </c>
      <c r="AN9" s="2126">
        <v>497007.51592134457</v>
      </c>
      <c r="AO9" s="1743" t="s">
        <v>85</v>
      </c>
      <c r="AP9" s="1743" t="s">
        <v>86</v>
      </c>
      <c r="AQ9" s="1764">
        <v>2014</v>
      </c>
      <c r="AR9" s="1743" t="s">
        <v>87</v>
      </c>
      <c r="AS9" s="2135"/>
      <c r="AT9" s="2135"/>
      <c r="AU9" s="1212"/>
      <c r="AV9" s="1212"/>
      <c r="AW9" s="1212">
        <v>1</v>
      </c>
      <c r="AX9" s="1212"/>
      <c r="AY9" s="1212"/>
      <c r="AZ9" s="1212"/>
      <c r="BA9" s="1212"/>
      <c r="BB9" s="1212"/>
      <c r="BC9" s="1212"/>
      <c r="BD9" s="1212"/>
      <c r="BE9" s="1212"/>
      <c r="BF9" s="2126">
        <v>0</v>
      </c>
      <c r="BG9" s="2126">
        <v>0</v>
      </c>
      <c r="BH9" s="2126">
        <v>0</v>
      </c>
      <c r="BI9" s="2126">
        <v>0</v>
      </c>
      <c r="BJ9" s="2126">
        <v>497007.51592134457</v>
      </c>
      <c r="BK9" s="2126">
        <v>0</v>
      </c>
      <c r="BL9" s="2126">
        <v>0</v>
      </c>
      <c r="BM9" s="2126">
        <v>0</v>
      </c>
      <c r="BN9" s="2126">
        <v>0</v>
      </c>
      <c r="BO9" s="2126">
        <v>0</v>
      </c>
      <c r="BP9" s="2126">
        <v>0</v>
      </c>
      <c r="BQ9" s="2126">
        <v>0</v>
      </c>
      <c r="BR9" s="2126">
        <v>0</v>
      </c>
    </row>
    <row r="10" spans="1:76" s="1765" customFormat="1" ht="33">
      <c r="A10" s="1272">
        <v>1000</v>
      </c>
      <c r="B10" s="971" t="s">
        <v>78</v>
      </c>
      <c r="C10" s="1272">
        <v>1100</v>
      </c>
      <c r="D10" s="971" t="s">
        <v>79</v>
      </c>
      <c r="E10" s="971">
        <v>1100</v>
      </c>
      <c r="F10" s="971" t="s">
        <v>79</v>
      </c>
      <c r="G10" s="971">
        <v>1100</v>
      </c>
      <c r="H10" s="971" t="s">
        <v>79</v>
      </c>
      <c r="I10" s="1273"/>
      <c r="J10" s="971"/>
      <c r="K10" s="971" t="s">
        <v>80</v>
      </c>
      <c r="L10" s="971" t="s">
        <v>81</v>
      </c>
      <c r="M10" s="971" t="s">
        <v>82</v>
      </c>
      <c r="N10" s="971" t="s">
        <v>83</v>
      </c>
      <c r="O10" s="971" t="s">
        <v>81</v>
      </c>
      <c r="P10" s="971" t="s">
        <v>81</v>
      </c>
      <c r="Q10" s="971" t="s">
        <v>88</v>
      </c>
      <c r="R10" s="1266"/>
      <c r="S10" s="2106">
        <v>378</v>
      </c>
      <c r="T10" s="1266" t="s">
        <v>136</v>
      </c>
      <c r="U10" s="1742">
        <v>0.24861035436708168</v>
      </c>
      <c r="V10" s="1742">
        <v>2.0270868355782152</v>
      </c>
      <c r="W10" s="1742">
        <v>16.615574059561133</v>
      </c>
      <c r="X10" s="1742">
        <v>22.637173090872032</v>
      </c>
      <c r="Y10" s="2106">
        <v>42.16379572566828</v>
      </c>
      <c r="Z10" s="2106">
        <v>93.974713950756879</v>
      </c>
      <c r="AA10" s="2106">
        <v>766.2388238485654</v>
      </c>
      <c r="AB10" s="2106">
        <v>6280.6869945141088</v>
      </c>
      <c r="AC10" s="2106">
        <v>8556.8514283496279</v>
      </c>
      <c r="AD10" s="1744">
        <v>15937.914784302609</v>
      </c>
      <c r="AE10" s="2126">
        <v>0</v>
      </c>
      <c r="AF10" s="2126">
        <v>0</v>
      </c>
      <c r="AG10" s="1212">
        <v>1</v>
      </c>
      <c r="AH10" s="1212">
        <v>0</v>
      </c>
      <c r="AI10" s="1212">
        <v>0</v>
      </c>
      <c r="AJ10" s="1212">
        <v>1</v>
      </c>
      <c r="AK10" s="2126">
        <v>15937.914784302609</v>
      </c>
      <c r="AL10" s="2126">
        <v>0</v>
      </c>
      <c r="AM10" s="2126">
        <v>0</v>
      </c>
      <c r="AN10" s="2126">
        <v>15937.914784302609</v>
      </c>
      <c r="AO10" s="1743" t="s">
        <v>85</v>
      </c>
      <c r="AP10" s="1743" t="s">
        <v>86</v>
      </c>
      <c r="AQ10" s="1764">
        <v>2015</v>
      </c>
      <c r="AR10" s="1743" t="s">
        <v>87</v>
      </c>
      <c r="AS10" s="2135"/>
      <c r="AT10" s="2135"/>
      <c r="AU10" s="1212"/>
      <c r="AV10" s="1212"/>
      <c r="AW10" s="1212">
        <v>1</v>
      </c>
      <c r="AX10" s="1212"/>
      <c r="AY10" s="1212"/>
      <c r="AZ10" s="1212"/>
      <c r="BA10" s="1212"/>
      <c r="BB10" s="1212"/>
      <c r="BC10" s="1212"/>
      <c r="BD10" s="1212"/>
      <c r="BE10" s="1212"/>
      <c r="BF10" s="2126">
        <v>0</v>
      </c>
      <c r="BG10" s="2126">
        <v>0</v>
      </c>
      <c r="BH10" s="2126">
        <v>0</v>
      </c>
      <c r="BI10" s="2126">
        <v>0</v>
      </c>
      <c r="BJ10" s="2126">
        <v>15937.914784302609</v>
      </c>
      <c r="BK10" s="2126">
        <v>0</v>
      </c>
      <c r="BL10" s="2126">
        <v>0</v>
      </c>
      <c r="BM10" s="2126">
        <v>0</v>
      </c>
      <c r="BN10" s="2126">
        <v>0</v>
      </c>
      <c r="BO10" s="2126">
        <v>0</v>
      </c>
      <c r="BP10" s="2126">
        <v>0</v>
      </c>
      <c r="BQ10" s="2126">
        <v>0</v>
      </c>
      <c r="BR10" s="2126">
        <v>0</v>
      </c>
    </row>
    <row r="11" spans="1:76" s="1765" customFormat="1" ht="33">
      <c r="A11" s="1272">
        <v>1000</v>
      </c>
      <c r="B11" s="971" t="s">
        <v>78</v>
      </c>
      <c r="C11" s="1272">
        <v>1100</v>
      </c>
      <c r="D11" s="971" t="s">
        <v>79</v>
      </c>
      <c r="E11" s="971">
        <v>1100</v>
      </c>
      <c r="F11" s="971" t="s">
        <v>79</v>
      </c>
      <c r="G11" s="971">
        <v>1100</v>
      </c>
      <c r="H11" s="971" t="s">
        <v>79</v>
      </c>
      <c r="I11" s="1273"/>
      <c r="J11" s="971"/>
      <c r="K11" s="971" t="s">
        <v>80</v>
      </c>
      <c r="L11" s="971" t="s">
        <v>81</v>
      </c>
      <c r="M11" s="971" t="s">
        <v>82</v>
      </c>
      <c r="N11" s="971" t="s">
        <v>83</v>
      </c>
      <c r="O11" s="971" t="s">
        <v>81</v>
      </c>
      <c r="P11" s="971" t="s">
        <v>81</v>
      </c>
      <c r="Q11" s="971" t="s">
        <v>89</v>
      </c>
      <c r="R11" s="1266"/>
      <c r="S11" s="2106">
        <v>20</v>
      </c>
      <c r="T11" s="1266" t="s">
        <v>136</v>
      </c>
      <c r="U11" s="1742">
        <v>0.24861035436708168</v>
      </c>
      <c r="V11" s="1742">
        <v>2.0270868355782152</v>
      </c>
      <c r="W11" s="1742">
        <v>16.615574059561133</v>
      </c>
      <c r="X11" s="1742">
        <v>22.637173090872032</v>
      </c>
      <c r="Y11" s="2106">
        <v>42.16379572566828</v>
      </c>
      <c r="Z11" s="2106">
        <v>4.9722070873416335</v>
      </c>
      <c r="AA11" s="2106">
        <v>40.541736711564305</v>
      </c>
      <c r="AB11" s="2106">
        <v>332.3114811912227</v>
      </c>
      <c r="AC11" s="2106">
        <v>452.74346181744068</v>
      </c>
      <c r="AD11" s="1744">
        <v>843.27591451336559</v>
      </c>
      <c r="AE11" s="2126">
        <v>0</v>
      </c>
      <c r="AF11" s="2126">
        <v>0</v>
      </c>
      <c r="AG11" s="1212">
        <v>1</v>
      </c>
      <c r="AH11" s="1212">
        <v>0</v>
      </c>
      <c r="AI11" s="1212">
        <v>0</v>
      </c>
      <c r="AJ11" s="1212">
        <v>1</v>
      </c>
      <c r="AK11" s="2126">
        <v>843.27591451336559</v>
      </c>
      <c r="AL11" s="2126">
        <v>0</v>
      </c>
      <c r="AM11" s="2126">
        <v>0</v>
      </c>
      <c r="AN11" s="2126">
        <v>843.27591451336559</v>
      </c>
      <c r="AO11" s="1743" t="s">
        <v>85</v>
      </c>
      <c r="AP11" s="1743" t="s">
        <v>90</v>
      </c>
      <c r="AQ11" s="1764">
        <v>2016</v>
      </c>
      <c r="AR11" s="1743" t="s">
        <v>87</v>
      </c>
      <c r="AS11" s="2135"/>
      <c r="AT11" s="2135"/>
      <c r="AU11" s="1212"/>
      <c r="AV11" s="1212"/>
      <c r="AW11" s="1212">
        <v>1</v>
      </c>
      <c r="AX11" s="1212"/>
      <c r="AY11" s="1212"/>
      <c r="AZ11" s="1212"/>
      <c r="BA11" s="1212"/>
      <c r="BB11" s="1212"/>
      <c r="BC11" s="1212"/>
      <c r="BD11" s="1212"/>
      <c r="BE11" s="1212"/>
      <c r="BF11" s="2126">
        <v>0</v>
      </c>
      <c r="BG11" s="2126">
        <v>0</v>
      </c>
      <c r="BH11" s="2126">
        <v>0</v>
      </c>
      <c r="BI11" s="2126">
        <v>0</v>
      </c>
      <c r="BJ11" s="2126">
        <v>843.27591451336559</v>
      </c>
      <c r="BK11" s="2126">
        <v>0</v>
      </c>
      <c r="BL11" s="2126">
        <v>0</v>
      </c>
      <c r="BM11" s="2126">
        <v>0</v>
      </c>
      <c r="BN11" s="2126">
        <v>0</v>
      </c>
      <c r="BO11" s="2126">
        <v>0</v>
      </c>
      <c r="BP11" s="2126">
        <v>0</v>
      </c>
      <c r="BQ11" s="2126">
        <v>0</v>
      </c>
      <c r="BR11" s="2126">
        <v>0</v>
      </c>
    </row>
    <row r="12" spans="1:76" s="1765" customFormat="1" ht="33">
      <c r="A12" s="1272">
        <v>1000</v>
      </c>
      <c r="B12" s="971" t="s">
        <v>78</v>
      </c>
      <c r="C12" s="1272">
        <v>1100</v>
      </c>
      <c r="D12" s="971" t="s">
        <v>79</v>
      </c>
      <c r="E12" s="971">
        <v>1100</v>
      </c>
      <c r="F12" s="971" t="s">
        <v>79</v>
      </c>
      <c r="G12" s="971">
        <v>1100</v>
      </c>
      <c r="H12" s="971" t="s">
        <v>79</v>
      </c>
      <c r="I12" s="1273"/>
      <c r="J12" s="971"/>
      <c r="K12" s="971" t="s">
        <v>91</v>
      </c>
      <c r="L12" s="971" t="s">
        <v>92</v>
      </c>
      <c r="M12" s="971" t="s">
        <v>91</v>
      </c>
      <c r="N12" s="971"/>
      <c r="O12" s="971" t="s">
        <v>92</v>
      </c>
      <c r="P12" s="971"/>
      <c r="Q12" s="971" t="s">
        <v>93</v>
      </c>
      <c r="R12" s="1266"/>
      <c r="S12" s="2106">
        <v>49</v>
      </c>
      <c r="T12" s="1266" t="s">
        <v>2922</v>
      </c>
      <c r="U12" s="1742">
        <v>0</v>
      </c>
      <c r="V12" s="1742">
        <v>700.80090909090916</v>
      </c>
      <c r="W12" s="1742">
        <v>0</v>
      </c>
      <c r="X12" s="1742">
        <v>0</v>
      </c>
      <c r="Y12" s="2106">
        <v>790.30078422782049</v>
      </c>
      <c r="Z12" s="2106">
        <v>0</v>
      </c>
      <c r="AA12" s="2106">
        <v>34339.244545454552</v>
      </c>
      <c r="AB12" s="2106">
        <v>0</v>
      </c>
      <c r="AC12" s="2106">
        <v>0</v>
      </c>
      <c r="AD12" s="1744">
        <v>34339.244545454552</v>
      </c>
      <c r="AE12" s="2126">
        <v>0</v>
      </c>
      <c r="AF12" s="2126">
        <v>0</v>
      </c>
      <c r="AG12" s="1212">
        <v>1</v>
      </c>
      <c r="AH12" s="1212">
        <v>0</v>
      </c>
      <c r="AI12" s="1212">
        <v>0</v>
      </c>
      <c r="AJ12" s="1212">
        <v>1</v>
      </c>
      <c r="AK12" s="2126">
        <v>34339.244545454552</v>
      </c>
      <c r="AL12" s="2126">
        <v>0</v>
      </c>
      <c r="AM12" s="2126">
        <v>0</v>
      </c>
      <c r="AN12" s="2126">
        <v>34339.244545454552</v>
      </c>
      <c r="AO12" s="1743" t="s">
        <v>85</v>
      </c>
      <c r="AP12" s="1743" t="s">
        <v>90</v>
      </c>
      <c r="AQ12" s="1764">
        <v>2017</v>
      </c>
      <c r="AR12" s="1743" t="s">
        <v>87</v>
      </c>
      <c r="AS12" s="2135"/>
      <c r="AT12" s="2135"/>
      <c r="AU12" s="1212"/>
      <c r="AV12" s="1212"/>
      <c r="AW12" s="1212">
        <v>1</v>
      </c>
      <c r="AX12" s="1212"/>
      <c r="AY12" s="1212"/>
      <c r="AZ12" s="1212"/>
      <c r="BA12" s="1212"/>
      <c r="BB12" s="1212"/>
      <c r="BC12" s="1212"/>
      <c r="BD12" s="1212"/>
      <c r="BE12" s="1212"/>
      <c r="BF12" s="2126">
        <v>0</v>
      </c>
      <c r="BG12" s="2126">
        <v>0</v>
      </c>
      <c r="BH12" s="2126">
        <v>0</v>
      </c>
      <c r="BI12" s="2126">
        <v>0</v>
      </c>
      <c r="BJ12" s="2126">
        <v>34339.244545454552</v>
      </c>
      <c r="BK12" s="2126">
        <v>0</v>
      </c>
      <c r="BL12" s="2126">
        <v>0</v>
      </c>
      <c r="BM12" s="2126">
        <v>0</v>
      </c>
      <c r="BN12" s="2126">
        <v>0</v>
      </c>
      <c r="BO12" s="2126">
        <v>0</v>
      </c>
      <c r="BP12" s="2126">
        <v>0</v>
      </c>
      <c r="BQ12" s="2126">
        <v>0</v>
      </c>
      <c r="BR12" s="2126">
        <v>0</v>
      </c>
    </row>
    <row r="13" spans="1:76" s="1765" customFormat="1" ht="33">
      <c r="A13" s="1272">
        <v>1000</v>
      </c>
      <c r="B13" s="971" t="s">
        <v>78</v>
      </c>
      <c r="C13" s="1272">
        <v>1100</v>
      </c>
      <c r="D13" s="971" t="s">
        <v>79</v>
      </c>
      <c r="E13" s="971">
        <v>1100</v>
      </c>
      <c r="F13" s="971" t="s">
        <v>79</v>
      </c>
      <c r="G13" s="971">
        <v>1100</v>
      </c>
      <c r="H13" s="971" t="s">
        <v>79</v>
      </c>
      <c r="I13" s="1273"/>
      <c r="J13" s="971"/>
      <c r="K13" s="971" t="s">
        <v>80</v>
      </c>
      <c r="L13" s="971" t="s">
        <v>81</v>
      </c>
      <c r="M13" s="971" t="s">
        <v>82</v>
      </c>
      <c r="N13" s="971" t="s">
        <v>83</v>
      </c>
      <c r="O13" s="971" t="s">
        <v>81</v>
      </c>
      <c r="P13" s="971" t="s">
        <v>81</v>
      </c>
      <c r="Q13" s="971" t="s">
        <v>94</v>
      </c>
      <c r="R13" s="1266"/>
      <c r="S13" s="2106">
        <v>719.16666666666663</v>
      </c>
      <c r="T13" s="1266" t="s">
        <v>136</v>
      </c>
      <c r="U13" s="1742">
        <v>0.24861035436708168</v>
      </c>
      <c r="V13" s="1742">
        <v>2.0270868355782152</v>
      </c>
      <c r="W13" s="1742">
        <v>16.615574059561133</v>
      </c>
      <c r="X13" s="1742">
        <v>22.637173090872032</v>
      </c>
      <c r="Y13" s="2106">
        <v>42.16379572566828</v>
      </c>
      <c r="Z13" s="2106">
        <v>178.79227984899291</v>
      </c>
      <c r="AA13" s="2106">
        <v>1457.8132825866664</v>
      </c>
      <c r="AB13" s="2106">
        <v>11949.367011167715</v>
      </c>
      <c r="AC13" s="2106">
        <v>16279.900314518802</v>
      </c>
      <c r="AD13" s="1744">
        <v>30322.796426043104</v>
      </c>
      <c r="AE13" s="2126">
        <v>0</v>
      </c>
      <c r="AF13" s="2126">
        <v>0</v>
      </c>
      <c r="AG13" s="1212">
        <v>1</v>
      </c>
      <c r="AH13" s="1212">
        <v>0</v>
      </c>
      <c r="AI13" s="1212">
        <v>0</v>
      </c>
      <c r="AJ13" s="1212">
        <v>1</v>
      </c>
      <c r="AK13" s="2126">
        <v>30322.796426043104</v>
      </c>
      <c r="AL13" s="2126">
        <v>0</v>
      </c>
      <c r="AM13" s="2126">
        <v>0</v>
      </c>
      <c r="AN13" s="2126">
        <v>30322.796426043104</v>
      </c>
      <c r="AO13" s="1743" t="s">
        <v>85</v>
      </c>
      <c r="AP13" s="1743" t="s">
        <v>90</v>
      </c>
      <c r="AQ13" s="1764">
        <v>2017</v>
      </c>
      <c r="AR13" s="1743" t="s">
        <v>87</v>
      </c>
      <c r="AS13" s="2135"/>
      <c r="AT13" s="2135"/>
      <c r="AU13" s="1212"/>
      <c r="AV13" s="1212"/>
      <c r="AW13" s="1212">
        <v>1</v>
      </c>
      <c r="AX13" s="1212"/>
      <c r="AY13" s="1212"/>
      <c r="AZ13" s="1212"/>
      <c r="BA13" s="1212"/>
      <c r="BB13" s="1212"/>
      <c r="BC13" s="1212"/>
      <c r="BD13" s="1212"/>
      <c r="BE13" s="1212"/>
      <c r="BF13" s="2126">
        <v>0</v>
      </c>
      <c r="BG13" s="2126">
        <v>0</v>
      </c>
      <c r="BH13" s="2126">
        <v>0</v>
      </c>
      <c r="BI13" s="2126">
        <v>0</v>
      </c>
      <c r="BJ13" s="2126">
        <v>30322.796426043104</v>
      </c>
      <c r="BK13" s="2126">
        <v>0</v>
      </c>
      <c r="BL13" s="2126">
        <v>0</v>
      </c>
      <c r="BM13" s="2126">
        <v>0</v>
      </c>
      <c r="BN13" s="2126">
        <v>0</v>
      </c>
      <c r="BO13" s="2126">
        <v>0</v>
      </c>
      <c r="BP13" s="2126">
        <v>0</v>
      </c>
      <c r="BQ13" s="2126">
        <v>0</v>
      </c>
      <c r="BR13" s="2126">
        <v>0</v>
      </c>
    </row>
    <row r="14" spans="1:76" s="1765" customFormat="1" ht="33">
      <c r="A14" s="1272">
        <v>1000</v>
      </c>
      <c r="B14" s="971" t="s">
        <v>78</v>
      </c>
      <c r="C14" s="1272">
        <v>1100</v>
      </c>
      <c r="D14" s="971" t="s">
        <v>79</v>
      </c>
      <c r="E14" s="971">
        <v>1100</v>
      </c>
      <c r="F14" s="971" t="s">
        <v>79</v>
      </c>
      <c r="G14" s="971">
        <v>1100</v>
      </c>
      <c r="H14" s="971" t="s">
        <v>79</v>
      </c>
      <c r="I14" s="1273"/>
      <c r="J14" s="971"/>
      <c r="K14" s="971" t="s">
        <v>80</v>
      </c>
      <c r="L14" s="971" t="s">
        <v>81</v>
      </c>
      <c r="M14" s="971" t="s">
        <v>82</v>
      </c>
      <c r="N14" s="971" t="s">
        <v>83</v>
      </c>
      <c r="O14" s="971" t="s">
        <v>81</v>
      </c>
      <c r="P14" s="971" t="s">
        <v>81</v>
      </c>
      <c r="Q14" s="971" t="s">
        <v>95</v>
      </c>
      <c r="R14" s="1266"/>
      <c r="S14" s="2106">
        <v>-224.08333333333334</v>
      </c>
      <c r="T14" s="1266" t="s">
        <v>136</v>
      </c>
      <c r="U14" s="1742">
        <v>0.24861035436708168</v>
      </c>
      <c r="V14" s="1742">
        <v>2.0270868355782152</v>
      </c>
      <c r="W14" s="1742">
        <v>16.615574059561133</v>
      </c>
      <c r="X14" s="1742">
        <v>22.637173090872032</v>
      </c>
      <c r="Y14" s="2106">
        <v>42.16379572566828</v>
      </c>
      <c r="Z14" s="2106">
        <v>-55.709436907756889</v>
      </c>
      <c r="AA14" s="2106">
        <v>-454.23637507248509</v>
      </c>
      <c r="AB14" s="2106">
        <v>-3723.2732205133243</v>
      </c>
      <c r="AC14" s="2106">
        <v>-5072.6132034462416</v>
      </c>
      <c r="AD14" s="1744">
        <v>-9448.2038921935</v>
      </c>
      <c r="AE14" s="2126">
        <v>0</v>
      </c>
      <c r="AF14" s="2126">
        <v>0</v>
      </c>
      <c r="AG14" s="1212">
        <v>1</v>
      </c>
      <c r="AH14" s="1212">
        <v>0</v>
      </c>
      <c r="AI14" s="1212">
        <v>0</v>
      </c>
      <c r="AJ14" s="1212">
        <v>1</v>
      </c>
      <c r="AK14" s="2126">
        <v>-9448.2038921935</v>
      </c>
      <c r="AL14" s="2126">
        <v>0</v>
      </c>
      <c r="AM14" s="2126">
        <v>0</v>
      </c>
      <c r="AN14" s="2126">
        <v>-9448.2038921935</v>
      </c>
      <c r="AO14" s="1743" t="s">
        <v>85</v>
      </c>
      <c r="AP14" s="1743" t="s">
        <v>96</v>
      </c>
      <c r="AQ14" s="1764" t="s">
        <v>97</v>
      </c>
      <c r="AR14" s="1743" t="s">
        <v>87</v>
      </c>
      <c r="AS14" s="2135"/>
      <c r="AT14" s="2135"/>
      <c r="AU14" s="1212"/>
      <c r="AV14" s="1212"/>
      <c r="AW14" s="1212">
        <v>1</v>
      </c>
      <c r="AX14" s="1212"/>
      <c r="AY14" s="1212"/>
      <c r="AZ14" s="1212"/>
      <c r="BA14" s="1212"/>
      <c r="BB14" s="1212"/>
      <c r="BC14" s="1212"/>
      <c r="BD14" s="1212"/>
      <c r="BE14" s="1212"/>
      <c r="BF14" s="2126">
        <v>0</v>
      </c>
      <c r="BG14" s="2126">
        <v>0</v>
      </c>
      <c r="BH14" s="2126">
        <v>0</v>
      </c>
      <c r="BI14" s="2126">
        <v>0</v>
      </c>
      <c r="BJ14" s="2126">
        <v>-9448.2038921935</v>
      </c>
      <c r="BK14" s="2126">
        <v>0</v>
      </c>
      <c r="BL14" s="2126">
        <v>0</v>
      </c>
      <c r="BM14" s="2126">
        <v>0</v>
      </c>
      <c r="BN14" s="2126">
        <v>0</v>
      </c>
      <c r="BO14" s="2126">
        <v>0</v>
      </c>
      <c r="BP14" s="2126">
        <v>0</v>
      </c>
      <c r="BQ14" s="2126">
        <v>0</v>
      </c>
      <c r="BR14" s="2126">
        <v>0</v>
      </c>
    </row>
    <row r="15" spans="1:76" s="1765" customFormat="1" ht="33">
      <c r="A15" s="1272">
        <v>1000</v>
      </c>
      <c r="B15" s="971" t="s">
        <v>78</v>
      </c>
      <c r="C15" s="1272">
        <v>1100</v>
      </c>
      <c r="D15" s="971" t="s">
        <v>79</v>
      </c>
      <c r="E15" s="971">
        <v>1100</v>
      </c>
      <c r="F15" s="971" t="s">
        <v>79</v>
      </c>
      <c r="G15" s="971">
        <v>1100</v>
      </c>
      <c r="H15" s="971" t="s">
        <v>79</v>
      </c>
      <c r="I15" s="1273"/>
      <c r="J15" s="971"/>
      <c r="K15" s="971" t="s">
        <v>80</v>
      </c>
      <c r="L15" s="971" t="s">
        <v>81</v>
      </c>
      <c r="M15" s="971" t="s">
        <v>82</v>
      </c>
      <c r="N15" s="971" t="s">
        <v>83</v>
      </c>
      <c r="O15" s="971" t="s">
        <v>81</v>
      </c>
      <c r="P15" s="971" t="s">
        <v>81</v>
      </c>
      <c r="Q15" s="971" t="s">
        <v>98</v>
      </c>
      <c r="R15" s="1266"/>
      <c r="S15" s="2106">
        <v>1244.2739595611572</v>
      </c>
      <c r="T15" s="1266" t="s">
        <v>136</v>
      </c>
      <c r="U15" s="1742">
        <v>0.24861035436708168</v>
      </c>
      <c r="V15" s="1742">
        <v>2.0270868355782152</v>
      </c>
      <c r="W15" s="1742">
        <v>16.615574059561133</v>
      </c>
      <c r="X15" s="1742">
        <v>22.637173090872032</v>
      </c>
      <c r="Y15" s="2106">
        <v>42.16379572566828</v>
      </c>
      <c r="Z15" s="2106">
        <v>309.33939001623116</v>
      </c>
      <c r="AA15" s="2106">
        <v>2522.2513632792025</v>
      </c>
      <c r="AB15" s="2106">
        <v>20674.326125471784</v>
      </c>
      <c r="AC15" s="2106">
        <v>28166.844995050622</v>
      </c>
      <c r="AD15" s="1744">
        <v>52463.313057705069</v>
      </c>
      <c r="AE15" s="2126">
        <v>0</v>
      </c>
      <c r="AF15" s="2126">
        <v>0</v>
      </c>
      <c r="AG15" s="1212">
        <v>1</v>
      </c>
      <c r="AH15" s="1212">
        <v>0</v>
      </c>
      <c r="AI15" s="1212">
        <v>0</v>
      </c>
      <c r="AJ15" s="1212">
        <v>1</v>
      </c>
      <c r="AK15" s="2126">
        <v>52463.313057705069</v>
      </c>
      <c r="AL15" s="2126">
        <v>0</v>
      </c>
      <c r="AM15" s="2126">
        <v>0</v>
      </c>
      <c r="AN15" s="2126">
        <v>52463.313057705069</v>
      </c>
      <c r="AO15" s="1743" t="s">
        <v>85</v>
      </c>
      <c r="AP15" s="1743" t="s">
        <v>90</v>
      </c>
      <c r="AQ15" s="1764">
        <v>2021</v>
      </c>
      <c r="AR15" s="1743" t="s">
        <v>87</v>
      </c>
      <c r="AS15" s="2135"/>
      <c r="AT15" s="2135"/>
      <c r="AU15" s="1212"/>
      <c r="AV15" s="1212"/>
      <c r="AW15" s="1212">
        <v>1</v>
      </c>
      <c r="AX15" s="1212"/>
      <c r="AY15" s="1212"/>
      <c r="AZ15" s="1212"/>
      <c r="BA15" s="1212"/>
      <c r="BB15" s="1212"/>
      <c r="BC15" s="1212"/>
      <c r="BD15" s="1212"/>
      <c r="BE15" s="1212"/>
      <c r="BF15" s="2126">
        <v>0</v>
      </c>
      <c r="BG15" s="2126">
        <v>0</v>
      </c>
      <c r="BH15" s="2126">
        <v>0</v>
      </c>
      <c r="BI15" s="2126">
        <v>0</v>
      </c>
      <c r="BJ15" s="2126">
        <v>52463.313057705069</v>
      </c>
      <c r="BK15" s="2126">
        <v>0</v>
      </c>
      <c r="BL15" s="2126">
        <v>0</v>
      </c>
      <c r="BM15" s="2126">
        <v>0</v>
      </c>
      <c r="BN15" s="2126">
        <v>0</v>
      </c>
      <c r="BO15" s="2126">
        <v>0</v>
      </c>
      <c r="BP15" s="2126">
        <v>0</v>
      </c>
      <c r="BQ15" s="2126">
        <v>0</v>
      </c>
      <c r="BR15" s="2126">
        <v>0</v>
      </c>
    </row>
    <row r="16" spans="1:76" s="1765" customFormat="1" ht="33">
      <c r="A16" s="1272">
        <v>1000</v>
      </c>
      <c r="B16" s="971" t="s">
        <v>78</v>
      </c>
      <c r="C16" s="1272">
        <v>1100</v>
      </c>
      <c r="D16" s="971" t="s">
        <v>79</v>
      </c>
      <c r="E16" s="971">
        <v>1100</v>
      </c>
      <c r="F16" s="971" t="s">
        <v>79</v>
      </c>
      <c r="G16" s="971">
        <v>1100</v>
      </c>
      <c r="H16" s="971" t="s">
        <v>79</v>
      </c>
      <c r="I16" s="1273"/>
      <c r="J16" s="971"/>
      <c r="K16" s="971" t="s">
        <v>80</v>
      </c>
      <c r="L16" s="971" t="s">
        <v>81</v>
      </c>
      <c r="M16" s="971" t="s">
        <v>82</v>
      </c>
      <c r="N16" s="971" t="s">
        <v>83</v>
      </c>
      <c r="O16" s="971" t="s">
        <v>81</v>
      </c>
      <c r="P16" s="971" t="s">
        <v>81</v>
      </c>
      <c r="Q16" s="971" t="s">
        <v>99</v>
      </c>
      <c r="R16" s="1266"/>
      <c r="S16" s="2106">
        <v>0</v>
      </c>
      <c r="T16" s="1266" t="s">
        <v>136</v>
      </c>
      <c r="U16" s="1742">
        <v>0.24861035436708168</v>
      </c>
      <c r="V16" s="1742">
        <v>2.0270868355782152</v>
      </c>
      <c r="W16" s="1742">
        <v>16.615574059561133</v>
      </c>
      <c r="X16" s="1742">
        <v>22.637173090872032</v>
      </c>
      <c r="Y16" s="2106">
        <v>42.16379572566828</v>
      </c>
      <c r="Z16" s="2106">
        <v>0</v>
      </c>
      <c r="AA16" s="2106">
        <v>0</v>
      </c>
      <c r="AB16" s="2106">
        <v>0</v>
      </c>
      <c r="AC16" s="2106">
        <v>0</v>
      </c>
      <c r="AD16" s="1744">
        <v>0</v>
      </c>
      <c r="AE16" s="2126">
        <v>0</v>
      </c>
      <c r="AF16" s="2126">
        <v>0</v>
      </c>
      <c r="AG16" s="1212">
        <v>1</v>
      </c>
      <c r="AH16" s="1212">
        <v>0</v>
      </c>
      <c r="AI16" s="1212">
        <v>0</v>
      </c>
      <c r="AJ16" s="1212">
        <v>1</v>
      </c>
      <c r="AK16" s="2126">
        <v>0</v>
      </c>
      <c r="AL16" s="2126">
        <v>0</v>
      </c>
      <c r="AM16" s="2126">
        <v>0</v>
      </c>
      <c r="AN16" s="2126">
        <v>0</v>
      </c>
      <c r="AO16" s="1743" t="s">
        <v>85</v>
      </c>
      <c r="AP16" s="1743" t="s">
        <v>90</v>
      </c>
      <c r="AQ16" s="1764">
        <v>2020</v>
      </c>
      <c r="AR16" s="1743" t="s">
        <v>87</v>
      </c>
      <c r="AS16" s="2135"/>
      <c r="AT16" s="2135"/>
      <c r="AU16" s="1212"/>
      <c r="AV16" s="1212"/>
      <c r="AW16" s="1212">
        <v>1</v>
      </c>
      <c r="AX16" s="1212"/>
      <c r="AY16" s="1212"/>
      <c r="AZ16" s="1212"/>
      <c r="BA16" s="1212"/>
      <c r="BB16" s="1212"/>
      <c r="BC16" s="1212"/>
      <c r="BD16" s="1212"/>
      <c r="BE16" s="1212"/>
      <c r="BF16" s="2126">
        <v>0</v>
      </c>
      <c r="BG16" s="2126">
        <v>0</v>
      </c>
      <c r="BH16" s="2126">
        <v>0</v>
      </c>
      <c r="BI16" s="2126">
        <v>0</v>
      </c>
      <c r="BJ16" s="2126">
        <v>0</v>
      </c>
      <c r="BK16" s="2126">
        <v>0</v>
      </c>
      <c r="BL16" s="2126">
        <v>0</v>
      </c>
      <c r="BM16" s="2126">
        <v>0</v>
      </c>
      <c r="BN16" s="2126">
        <v>0</v>
      </c>
      <c r="BO16" s="2126">
        <v>0</v>
      </c>
      <c r="BP16" s="2126">
        <v>0</v>
      </c>
      <c r="BQ16" s="2126">
        <v>0</v>
      </c>
      <c r="BR16" s="2126">
        <v>0</v>
      </c>
    </row>
    <row r="17" spans="1:70" s="1765" customFormat="1" ht="33">
      <c r="A17" s="1272">
        <v>1000</v>
      </c>
      <c r="B17" s="971" t="s">
        <v>78</v>
      </c>
      <c r="C17" s="1272">
        <v>1100</v>
      </c>
      <c r="D17" s="971" t="s">
        <v>79</v>
      </c>
      <c r="E17" s="971">
        <v>1100</v>
      </c>
      <c r="F17" s="971" t="s">
        <v>79</v>
      </c>
      <c r="G17" s="971">
        <v>1100</v>
      </c>
      <c r="H17" s="971" t="s">
        <v>79</v>
      </c>
      <c r="I17" s="1273"/>
      <c r="J17" s="971"/>
      <c r="K17" s="971" t="s">
        <v>80</v>
      </c>
      <c r="L17" s="971" t="s">
        <v>81</v>
      </c>
      <c r="M17" s="971" t="s">
        <v>82</v>
      </c>
      <c r="N17" s="971" t="s">
        <v>83</v>
      </c>
      <c r="O17" s="971" t="s">
        <v>81</v>
      </c>
      <c r="P17" s="971" t="s">
        <v>81</v>
      </c>
      <c r="Q17" s="971" t="s">
        <v>100</v>
      </c>
      <c r="R17" s="1266"/>
      <c r="S17" s="2106">
        <v>508.12804878048775</v>
      </c>
      <c r="T17" s="1266" t="s">
        <v>136</v>
      </c>
      <c r="U17" s="1742">
        <v>0.24861035436708168</v>
      </c>
      <c r="V17" s="1742">
        <v>2.0270868355782152</v>
      </c>
      <c r="W17" s="1742">
        <v>16.615574059561133</v>
      </c>
      <c r="X17" s="1742">
        <v>22.637173090872032</v>
      </c>
      <c r="Y17" s="2106">
        <v>42.16379572566828</v>
      </c>
      <c r="Z17" s="2106">
        <v>126.32589427117082</v>
      </c>
      <c r="AA17" s="2106">
        <v>1030.0196784709719</v>
      </c>
      <c r="AB17" s="2106">
        <v>8442.8392262524867</v>
      </c>
      <c r="AC17" s="2106">
        <v>11502.582592570969</v>
      </c>
      <c r="AD17" s="1744">
        <v>21424.607251262893</v>
      </c>
      <c r="AE17" s="2126">
        <v>0</v>
      </c>
      <c r="AF17" s="2126">
        <v>0</v>
      </c>
      <c r="AG17" s="1212">
        <v>1</v>
      </c>
      <c r="AH17" s="1212">
        <v>0</v>
      </c>
      <c r="AI17" s="1212">
        <v>0</v>
      </c>
      <c r="AJ17" s="1212">
        <v>1</v>
      </c>
      <c r="AK17" s="2126">
        <v>21424.607251262893</v>
      </c>
      <c r="AL17" s="2126">
        <v>0</v>
      </c>
      <c r="AM17" s="2126">
        <v>0</v>
      </c>
      <c r="AN17" s="2126">
        <v>21424.607251262893</v>
      </c>
      <c r="AO17" s="1743" t="s">
        <v>85</v>
      </c>
      <c r="AP17" s="1743" t="s">
        <v>90</v>
      </c>
      <c r="AQ17" s="1764">
        <v>2020</v>
      </c>
      <c r="AR17" s="1743" t="s">
        <v>87</v>
      </c>
      <c r="AS17" s="2135"/>
      <c r="AT17" s="2135"/>
      <c r="AU17" s="1212"/>
      <c r="AV17" s="1212"/>
      <c r="AW17" s="1212">
        <v>1</v>
      </c>
      <c r="AX17" s="1212"/>
      <c r="AY17" s="1212"/>
      <c r="AZ17" s="1212"/>
      <c r="BA17" s="1212"/>
      <c r="BB17" s="1212"/>
      <c r="BC17" s="1212"/>
      <c r="BD17" s="1212"/>
      <c r="BE17" s="1212"/>
      <c r="BF17" s="2126">
        <v>0</v>
      </c>
      <c r="BG17" s="2126">
        <v>0</v>
      </c>
      <c r="BH17" s="2126">
        <v>0</v>
      </c>
      <c r="BI17" s="2126">
        <v>0</v>
      </c>
      <c r="BJ17" s="2126">
        <v>21424.607251262893</v>
      </c>
      <c r="BK17" s="2126">
        <v>0</v>
      </c>
      <c r="BL17" s="2126">
        <v>0</v>
      </c>
      <c r="BM17" s="2126">
        <v>0</v>
      </c>
      <c r="BN17" s="2126">
        <v>0</v>
      </c>
      <c r="BO17" s="2126">
        <v>0</v>
      </c>
      <c r="BP17" s="2126">
        <v>0</v>
      </c>
      <c r="BQ17" s="2126">
        <v>0</v>
      </c>
      <c r="BR17" s="2126">
        <v>0</v>
      </c>
    </row>
    <row r="18" spans="1:70" s="1765" customFormat="1" ht="33">
      <c r="A18" s="1272">
        <v>1000</v>
      </c>
      <c r="B18" s="971" t="s">
        <v>78</v>
      </c>
      <c r="C18" s="1272">
        <v>1100</v>
      </c>
      <c r="D18" s="971" t="s">
        <v>79</v>
      </c>
      <c r="E18" s="971">
        <v>1100</v>
      </c>
      <c r="F18" s="971" t="s">
        <v>79</v>
      </c>
      <c r="G18" s="971">
        <v>1100</v>
      </c>
      <c r="H18" s="971" t="s">
        <v>79</v>
      </c>
      <c r="I18" s="1273"/>
      <c r="J18" s="971"/>
      <c r="K18" s="971" t="s">
        <v>80</v>
      </c>
      <c r="L18" s="971" t="s">
        <v>81</v>
      </c>
      <c r="M18" s="971" t="s">
        <v>82</v>
      </c>
      <c r="N18" s="971" t="s">
        <v>83</v>
      </c>
      <c r="O18" s="971" t="s">
        <v>81</v>
      </c>
      <c r="P18" s="971" t="s">
        <v>81</v>
      </c>
      <c r="Q18" s="971" t="s">
        <v>101</v>
      </c>
      <c r="R18" s="1266"/>
      <c r="S18" s="2106">
        <v>8036.4697464260889</v>
      </c>
      <c r="T18" s="1266" t="s">
        <v>136</v>
      </c>
      <c r="U18" s="1742">
        <v>0.24861035436708168</v>
      </c>
      <c r="V18" s="1742">
        <v>2.0270868355782152</v>
      </c>
      <c r="W18" s="1742">
        <v>16.615574059561133</v>
      </c>
      <c r="X18" s="1742">
        <v>22.637173090872032</v>
      </c>
      <c r="Y18" s="2106">
        <v>42.16379572566828</v>
      </c>
      <c r="Z18" s="2106">
        <v>1997.9495915193211</v>
      </c>
      <c r="AA18" s="2106">
        <v>16290.622027502923</v>
      </c>
      <c r="AB18" s="2106">
        <v>133530.55824916516</v>
      </c>
      <c r="AC18" s="2106">
        <v>181922.95668940386</v>
      </c>
      <c r="AD18" s="1744">
        <v>338848.06874382275</v>
      </c>
      <c r="AE18" s="2126">
        <v>0</v>
      </c>
      <c r="AF18" s="2126">
        <v>0</v>
      </c>
      <c r="AG18" s="1212">
        <v>1</v>
      </c>
      <c r="AH18" s="1212">
        <v>0</v>
      </c>
      <c r="AI18" s="1212">
        <v>0</v>
      </c>
      <c r="AJ18" s="1212">
        <v>1</v>
      </c>
      <c r="AK18" s="2126">
        <v>338848.06874382275</v>
      </c>
      <c r="AL18" s="2126">
        <v>0</v>
      </c>
      <c r="AM18" s="2126">
        <v>0</v>
      </c>
      <c r="AN18" s="2126">
        <v>338848.06874382275</v>
      </c>
      <c r="AO18" s="1743" t="s">
        <v>85</v>
      </c>
      <c r="AP18" s="1743" t="s">
        <v>90</v>
      </c>
      <c r="AQ18" s="1764">
        <v>2019</v>
      </c>
      <c r="AR18" s="1743" t="s">
        <v>87</v>
      </c>
      <c r="AS18" s="2135"/>
      <c r="AT18" s="2135"/>
      <c r="AU18" s="1212"/>
      <c r="AV18" s="1212"/>
      <c r="AW18" s="1212">
        <v>1</v>
      </c>
      <c r="AX18" s="1212"/>
      <c r="AY18" s="1212"/>
      <c r="AZ18" s="1212"/>
      <c r="BA18" s="1212"/>
      <c r="BB18" s="1212"/>
      <c r="BC18" s="1212"/>
      <c r="BD18" s="1212"/>
      <c r="BE18" s="1212"/>
      <c r="BF18" s="2126">
        <v>0</v>
      </c>
      <c r="BG18" s="2126">
        <v>0</v>
      </c>
      <c r="BH18" s="2126">
        <v>0</v>
      </c>
      <c r="BI18" s="2126">
        <v>0</v>
      </c>
      <c r="BJ18" s="2126">
        <v>338848.06874382275</v>
      </c>
      <c r="BK18" s="2126">
        <v>0</v>
      </c>
      <c r="BL18" s="2126">
        <v>0</v>
      </c>
      <c r="BM18" s="2126">
        <v>0</v>
      </c>
      <c r="BN18" s="2126">
        <v>0</v>
      </c>
      <c r="BO18" s="2126">
        <v>0</v>
      </c>
      <c r="BP18" s="2126">
        <v>0</v>
      </c>
      <c r="BQ18" s="2126">
        <v>0</v>
      </c>
      <c r="BR18" s="2126">
        <v>0</v>
      </c>
    </row>
    <row r="19" spans="1:70" s="1765" customFormat="1" ht="33">
      <c r="A19" s="1272">
        <v>1000</v>
      </c>
      <c r="B19" s="971" t="s">
        <v>78</v>
      </c>
      <c r="C19" s="1272">
        <v>1100</v>
      </c>
      <c r="D19" s="971" t="s">
        <v>79</v>
      </c>
      <c r="E19" s="971">
        <v>1100</v>
      </c>
      <c r="F19" s="971" t="s">
        <v>79</v>
      </c>
      <c r="G19" s="971">
        <v>1100</v>
      </c>
      <c r="H19" s="971" t="s">
        <v>79</v>
      </c>
      <c r="I19" s="1273"/>
      <c r="J19" s="971"/>
      <c r="K19" s="971" t="s">
        <v>80</v>
      </c>
      <c r="L19" s="971" t="s">
        <v>81</v>
      </c>
      <c r="M19" s="971" t="s">
        <v>82</v>
      </c>
      <c r="N19" s="971" t="s">
        <v>83</v>
      </c>
      <c r="O19" s="971" t="s">
        <v>81</v>
      </c>
      <c r="P19" s="971" t="s">
        <v>81</v>
      </c>
      <c r="Q19" s="971" t="s">
        <v>102</v>
      </c>
      <c r="R19" s="1266"/>
      <c r="S19" s="2106">
        <v>1517.3333333333333</v>
      </c>
      <c r="T19" s="1266" t="s">
        <v>136</v>
      </c>
      <c r="U19" s="1742">
        <v>0.24861035436708168</v>
      </c>
      <c r="V19" s="1742">
        <v>2.0270868355782152</v>
      </c>
      <c r="W19" s="1742">
        <v>16.615574059561133</v>
      </c>
      <c r="X19" s="1742">
        <v>22.637173090872032</v>
      </c>
      <c r="Y19" s="2106">
        <v>42.16379572566828</v>
      </c>
      <c r="Z19" s="2106">
        <v>377.22477769298524</v>
      </c>
      <c r="AA19" s="2106">
        <v>3075.766425184012</v>
      </c>
      <c r="AB19" s="2106">
        <v>25211.36437304076</v>
      </c>
      <c r="AC19" s="2106">
        <v>34348.137303216492</v>
      </c>
      <c r="AD19" s="1744">
        <v>63976.532714414003</v>
      </c>
      <c r="AE19" s="2126">
        <v>0</v>
      </c>
      <c r="AF19" s="2126">
        <v>0</v>
      </c>
      <c r="AG19" s="1212">
        <v>1</v>
      </c>
      <c r="AH19" s="1212">
        <v>0</v>
      </c>
      <c r="AI19" s="1212">
        <v>0</v>
      </c>
      <c r="AJ19" s="1212">
        <v>1</v>
      </c>
      <c r="AK19" s="2126">
        <v>63976.532714414003</v>
      </c>
      <c r="AL19" s="2126">
        <v>0</v>
      </c>
      <c r="AM19" s="2126">
        <v>0</v>
      </c>
      <c r="AN19" s="2126">
        <v>63976.532714414003</v>
      </c>
      <c r="AO19" s="1743" t="s">
        <v>85</v>
      </c>
      <c r="AP19" s="1743" t="s">
        <v>90</v>
      </c>
      <c r="AQ19" s="1764" t="s">
        <v>103</v>
      </c>
      <c r="AR19" s="1743" t="s">
        <v>87</v>
      </c>
      <c r="AS19" s="2135"/>
      <c r="AT19" s="2135"/>
      <c r="AU19" s="1212"/>
      <c r="AV19" s="1212"/>
      <c r="AW19" s="1212">
        <v>1</v>
      </c>
      <c r="AX19" s="1212"/>
      <c r="AY19" s="1212"/>
      <c r="AZ19" s="1212"/>
      <c r="BA19" s="1212"/>
      <c r="BB19" s="1212"/>
      <c r="BC19" s="1212"/>
      <c r="BD19" s="1212"/>
      <c r="BE19" s="1212"/>
      <c r="BF19" s="2126">
        <v>0</v>
      </c>
      <c r="BG19" s="2126">
        <v>0</v>
      </c>
      <c r="BH19" s="2126">
        <v>0</v>
      </c>
      <c r="BI19" s="2126">
        <v>0</v>
      </c>
      <c r="BJ19" s="2126">
        <v>63976.532714414003</v>
      </c>
      <c r="BK19" s="2126">
        <v>0</v>
      </c>
      <c r="BL19" s="2126">
        <v>0</v>
      </c>
      <c r="BM19" s="2126">
        <v>0</v>
      </c>
      <c r="BN19" s="2126">
        <v>0</v>
      </c>
      <c r="BO19" s="2126">
        <v>0</v>
      </c>
      <c r="BP19" s="2126">
        <v>0</v>
      </c>
      <c r="BQ19" s="2126">
        <v>0</v>
      </c>
      <c r="BR19" s="2126">
        <v>0</v>
      </c>
    </row>
    <row r="20" spans="1:70" s="1765" customFormat="1" ht="33">
      <c r="A20" s="1272">
        <v>1000</v>
      </c>
      <c r="B20" s="971" t="s">
        <v>78</v>
      </c>
      <c r="C20" s="1272">
        <v>1100</v>
      </c>
      <c r="D20" s="971" t="s">
        <v>79</v>
      </c>
      <c r="E20" s="971">
        <v>1100</v>
      </c>
      <c r="F20" s="971" t="s">
        <v>79</v>
      </c>
      <c r="G20" s="971">
        <v>1100</v>
      </c>
      <c r="H20" s="971" t="s">
        <v>79</v>
      </c>
      <c r="I20" s="1273"/>
      <c r="J20" s="971"/>
      <c r="K20" s="971" t="s">
        <v>80</v>
      </c>
      <c r="L20" s="971" t="s">
        <v>81</v>
      </c>
      <c r="M20" s="971" t="s">
        <v>82</v>
      </c>
      <c r="N20" s="971" t="s">
        <v>83</v>
      </c>
      <c r="O20" s="971" t="s">
        <v>81</v>
      </c>
      <c r="P20" s="971" t="s">
        <v>81</v>
      </c>
      <c r="Q20" s="971" t="s">
        <v>104</v>
      </c>
      <c r="R20" s="1266"/>
      <c r="S20" s="2106">
        <v>120.29471544715447</v>
      </c>
      <c r="T20" s="1266" t="s">
        <v>136</v>
      </c>
      <c r="U20" s="1742">
        <v>0.24861035436708168</v>
      </c>
      <c r="V20" s="1742">
        <v>2.0270868355782152</v>
      </c>
      <c r="W20" s="1742">
        <v>16.615574059561133</v>
      </c>
      <c r="X20" s="1742">
        <v>22.637173090872032</v>
      </c>
      <c r="Y20" s="2106">
        <v>42.16379572566828</v>
      </c>
      <c r="Z20" s="2106">
        <v>29.906511835804327</v>
      </c>
      <c r="AA20" s="2106">
        <v>243.84783407255421</v>
      </c>
      <c r="AB20" s="2106">
        <v>1998.7657534860277</v>
      </c>
      <c r="AC20" s="2106">
        <v>2723.1322954944335</v>
      </c>
      <c r="AD20" s="1744">
        <v>5072.0818089912136</v>
      </c>
      <c r="AE20" s="2126">
        <v>0</v>
      </c>
      <c r="AF20" s="2126">
        <v>0</v>
      </c>
      <c r="AG20" s="1212">
        <v>1</v>
      </c>
      <c r="AH20" s="1212">
        <v>0</v>
      </c>
      <c r="AI20" s="1212">
        <v>0</v>
      </c>
      <c r="AJ20" s="1212">
        <v>1</v>
      </c>
      <c r="AK20" s="2126">
        <v>5072.0818089912136</v>
      </c>
      <c r="AL20" s="2126">
        <v>0</v>
      </c>
      <c r="AM20" s="2126">
        <v>0</v>
      </c>
      <c r="AN20" s="2126">
        <v>5072.0818089912136</v>
      </c>
      <c r="AO20" s="1743" t="s">
        <v>85</v>
      </c>
      <c r="AP20" s="1743" t="s">
        <v>90</v>
      </c>
      <c r="AQ20" s="1764" t="s">
        <v>105</v>
      </c>
      <c r="AR20" s="1743" t="s">
        <v>87</v>
      </c>
      <c r="AS20" s="2135"/>
      <c r="AT20" s="2135"/>
      <c r="AU20" s="1212"/>
      <c r="AV20" s="1212"/>
      <c r="AW20" s="1212">
        <v>1</v>
      </c>
      <c r="AX20" s="1212"/>
      <c r="AY20" s="1212"/>
      <c r="AZ20" s="1212"/>
      <c r="BA20" s="1212"/>
      <c r="BB20" s="1212"/>
      <c r="BC20" s="1212"/>
      <c r="BD20" s="1212"/>
      <c r="BE20" s="1212"/>
      <c r="BF20" s="2126">
        <v>0</v>
      </c>
      <c r="BG20" s="2126">
        <v>0</v>
      </c>
      <c r="BH20" s="2126">
        <v>0</v>
      </c>
      <c r="BI20" s="2126">
        <v>0</v>
      </c>
      <c r="BJ20" s="2126">
        <v>5072.0818089912136</v>
      </c>
      <c r="BK20" s="2126">
        <v>0</v>
      </c>
      <c r="BL20" s="2126">
        <v>0</v>
      </c>
      <c r="BM20" s="2126">
        <v>0</v>
      </c>
      <c r="BN20" s="2126">
        <v>0</v>
      </c>
      <c r="BO20" s="2126">
        <v>0</v>
      </c>
      <c r="BP20" s="2126">
        <v>0</v>
      </c>
      <c r="BQ20" s="2126">
        <v>0</v>
      </c>
      <c r="BR20" s="2126">
        <v>0</v>
      </c>
    </row>
    <row r="21" spans="1:70" s="1765" customFormat="1" ht="33">
      <c r="A21" s="1272">
        <v>1000</v>
      </c>
      <c r="B21" s="971" t="s">
        <v>78</v>
      </c>
      <c r="C21" s="1272">
        <v>1100</v>
      </c>
      <c r="D21" s="971" t="s">
        <v>79</v>
      </c>
      <c r="E21" s="971">
        <v>1100</v>
      </c>
      <c r="F21" s="971" t="s">
        <v>79</v>
      </c>
      <c r="G21" s="971">
        <v>1100</v>
      </c>
      <c r="H21" s="971" t="s">
        <v>79</v>
      </c>
      <c r="I21" s="1273"/>
      <c r="J21" s="971"/>
      <c r="K21" s="971" t="s">
        <v>80</v>
      </c>
      <c r="L21" s="971" t="s">
        <v>81</v>
      </c>
      <c r="M21" s="971" t="s">
        <v>82</v>
      </c>
      <c r="N21" s="971" t="s">
        <v>83</v>
      </c>
      <c r="O21" s="971" t="s">
        <v>81</v>
      </c>
      <c r="P21" s="971" t="s">
        <v>81</v>
      </c>
      <c r="Q21" s="971" t="s">
        <v>106</v>
      </c>
      <c r="R21" s="1266"/>
      <c r="S21" s="2106">
        <v>8.0268695731074189</v>
      </c>
      <c r="T21" s="1266" t="s">
        <v>136</v>
      </c>
      <c r="U21" s="1742">
        <v>0.24861035436708168</v>
      </c>
      <c r="V21" s="1742">
        <v>2.0270868355782152</v>
      </c>
      <c r="W21" s="1742">
        <v>16.615574059561133</v>
      </c>
      <c r="X21" s="1742">
        <v>22.637173090872032</v>
      </c>
      <c r="Y21" s="2106">
        <v>42.16379572566828</v>
      </c>
      <c r="Z21" s="2106">
        <v>1.995562889028581</v>
      </c>
      <c r="AA21" s="2106">
        <v>16.271161642549377</v>
      </c>
      <c r="AB21" s="2106">
        <v>133.37104585840419</v>
      </c>
      <c r="AC21" s="2106">
        <v>181.70563590428674</v>
      </c>
      <c r="AD21" s="1744">
        <v>338.44328899708336</v>
      </c>
      <c r="AE21" s="2126">
        <v>0</v>
      </c>
      <c r="AF21" s="2126">
        <v>0</v>
      </c>
      <c r="AG21" s="1212">
        <v>1</v>
      </c>
      <c r="AH21" s="1212">
        <v>0</v>
      </c>
      <c r="AI21" s="1212">
        <v>0</v>
      </c>
      <c r="AJ21" s="1212">
        <v>1</v>
      </c>
      <c r="AK21" s="2126">
        <v>338.44328899708336</v>
      </c>
      <c r="AL21" s="2126">
        <v>0</v>
      </c>
      <c r="AM21" s="2126">
        <v>0</v>
      </c>
      <c r="AN21" s="2126">
        <v>338.44328899708336</v>
      </c>
      <c r="AO21" s="1743" t="s">
        <v>85</v>
      </c>
      <c r="AP21" s="1743" t="s">
        <v>86</v>
      </c>
      <c r="AQ21" s="1764" t="s">
        <v>107</v>
      </c>
      <c r="AR21" s="1743" t="s">
        <v>87</v>
      </c>
      <c r="AS21" s="2135"/>
      <c r="AT21" s="2135"/>
      <c r="AU21" s="1212"/>
      <c r="AV21" s="1212"/>
      <c r="AW21" s="1212">
        <v>1</v>
      </c>
      <c r="AX21" s="1212"/>
      <c r="AY21" s="1212"/>
      <c r="AZ21" s="1212"/>
      <c r="BA21" s="1212"/>
      <c r="BB21" s="1212"/>
      <c r="BC21" s="1212"/>
      <c r="BD21" s="1212"/>
      <c r="BE21" s="1212"/>
      <c r="BF21" s="2126">
        <v>0</v>
      </c>
      <c r="BG21" s="2126">
        <v>0</v>
      </c>
      <c r="BH21" s="2126">
        <v>0</v>
      </c>
      <c r="BI21" s="2126">
        <v>0</v>
      </c>
      <c r="BJ21" s="2126">
        <v>338.44328899708336</v>
      </c>
      <c r="BK21" s="2126">
        <v>0</v>
      </c>
      <c r="BL21" s="2126">
        <v>0</v>
      </c>
      <c r="BM21" s="2126">
        <v>0</v>
      </c>
      <c r="BN21" s="2126">
        <v>0</v>
      </c>
      <c r="BO21" s="2126">
        <v>0</v>
      </c>
      <c r="BP21" s="2126">
        <v>0</v>
      </c>
      <c r="BQ21" s="2126">
        <v>0</v>
      </c>
      <c r="BR21" s="2126">
        <v>0</v>
      </c>
    </row>
    <row r="22" spans="1:70" s="1765" customFormat="1" ht="33">
      <c r="A22" s="1272">
        <v>1000</v>
      </c>
      <c r="B22" s="971" t="s">
        <v>78</v>
      </c>
      <c r="C22" s="1272">
        <v>1100</v>
      </c>
      <c r="D22" s="971" t="s">
        <v>79</v>
      </c>
      <c r="E22" s="971">
        <v>1100</v>
      </c>
      <c r="F22" s="971" t="s">
        <v>79</v>
      </c>
      <c r="G22" s="971">
        <v>1100</v>
      </c>
      <c r="H22" s="971" t="s">
        <v>79</v>
      </c>
      <c r="I22" s="1273"/>
      <c r="J22" s="971"/>
      <c r="K22" s="971" t="s">
        <v>91</v>
      </c>
      <c r="L22" s="971" t="s">
        <v>92</v>
      </c>
      <c r="M22" s="971" t="s">
        <v>91</v>
      </c>
      <c r="N22" s="971"/>
      <c r="O22" s="971" t="s">
        <v>92</v>
      </c>
      <c r="P22" s="971"/>
      <c r="Q22" s="971" t="s">
        <v>92</v>
      </c>
      <c r="R22" s="1266"/>
      <c r="S22" s="2106">
        <v>550</v>
      </c>
      <c r="T22" s="1266" t="s">
        <v>2922</v>
      </c>
      <c r="U22" s="1742">
        <v>0</v>
      </c>
      <c r="V22" s="1742">
        <v>700.80090909090916</v>
      </c>
      <c r="W22" s="1742">
        <v>0</v>
      </c>
      <c r="X22" s="1742">
        <v>0</v>
      </c>
      <c r="Y22" s="2106">
        <v>790.30078422782049</v>
      </c>
      <c r="Z22" s="2106">
        <v>0</v>
      </c>
      <c r="AA22" s="2106">
        <v>385440.50000000006</v>
      </c>
      <c r="AB22" s="2106">
        <v>0</v>
      </c>
      <c r="AC22" s="2106">
        <v>0</v>
      </c>
      <c r="AD22" s="1744">
        <v>385440.50000000006</v>
      </c>
      <c r="AE22" s="2126">
        <v>0</v>
      </c>
      <c r="AF22" s="2126">
        <v>0</v>
      </c>
      <c r="AG22" s="1212">
        <v>1</v>
      </c>
      <c r="AH22" s="1212">
        <v>0</v>
      </c>
      <c r="AI22" s="1212">
        <v>0</v>
      </c>
      <c r="AJ22" s="1212">
        <v>1</v>
      </c>
      <c r="AK22" s="2126">
        <v>385440.50000000006</v>
      </c>
      <c r="AL22" s="2126">
        <v>0</v>
      </c>
      <c r="AM22" s="2126">
        <v>0</v>
      </c>
      <c r="AN22" s="2126">
        <v>385440.50000000006</v>
      </c>
      <c r="AO22" s="1743" t="s">
        <v>85</v>
      </c>
      <c r="AP22" s="1743" t="s">
        <v>90</v>
      </c>
      <c r="AQ22" s="1764" t="s">
        <v>108</v>
      </c>
      <c r="AR22" s="1743" t="s">
        <v>87</v>
      </c>
      <c r="AS22" s="2135"/>
      <c r="AT22" s="2135"/>
      <c r="AU22" s="1212"/>
      <c r="AV22" s="1212"/>
      <c r="AW22" s="1212">
        <v>1</v>
      </c>
      <c r="AX22" s="1212"/>
      <c r="AY22" s="1212"/>
      <c r="AZ22" s="1212"/>
      <c r="BA22" s="1212"/>
      <c r="BB22" s="1212"/>
      <c r="BC22" s="1212"/>
      <c r="BD22" s="1212"/>
      <c r="BE22" s="1212"/>
      <c r="BF22" s="2126">
        <v>0</v>
      </c>
      <c r="BG22" s="2126">
        <v>0</v>
      </c>
      <c r="BH22" s="2126">
        <v>0</v>
      </c>
      <c r="BI22" s="2126">
        <v>0</v>
      </c>
      <c r="BJ22" s="2126">
        <v>385440.50000000006</v>
      </c>
      <c r="BK22" s="2126">
        <v>0</v>
      </c>
      <c r="BL22" s="2126">
        <v>0</v>
      </c>
      <c r="BM22" s="2126">
        <v>0</v>
      </c>
      <c r="BN22" s="2126">
        <v>0</v>
      </c>
      <c r="BO22" s="2126">
        <v>0</v>
      </c>
      <c r="BP22" s="2126">
        <v>0</v>
      </c>
      <c r="BQ22" s="2126">
        <v>0</v>
      </c>
      <c r="BR22" s="2126">
        <v>0</v>
      </c>
    </row>
    <row r="23" spans="1:70" s="1765" customFormat="1" ht="33">
      <c r="A23" s="1272">
        <v>1000</v>
      </c>
      <c r="B23" s="971" t="s">
        <v>78</v>
      </c>
      <c r="C23" s="1272">
        <v>1100</v>
      </c>
      <c r="D23" s="971" t="s">
        <v>79</v>
      </c>
      <c r="E23" s="971">
        <v>1100</v>
      </c>
      <c r="F23" s="971" t="s">
        <v>79</v>
      </c>
      <c r="G23" s="971">
        <v>1100</v>
      </c>
      <c r="H23" s="971" t="s">
        <v>79</v>
      </c>
      <c r="I23" s="1273"/>
      <c r="J23" s="971"/>
      <c r="K23" s="971" t="s">
        <v>80</v>
      </c>
      <c r="L23" s="971" t="s">
        <v>81</v>
      </c>
      <c r="M23" s="971" t="s">
        <v>82</v>
      </c>
      <c r="N23" s="971" t="s">
        <v>83</v>
      </c>
      <c r="O23" s="971" t="s">
        <v>81</v>
      </c>
      <c r="P23" s="971" t="s">
        <v>81</v>
      </c>
      <c r="Q23" s="971" t="s">
        <v>109</v>
      </c>
      <c r="R23" s="1266"/>
      <c r="S23" s="2106">
        <v>5049</v>
      </c>
      <c r="T23" s="1266" t="s">
        <v>136</v>
      </c>
      <c r="U23" s="1742">
        <v>0.24861035436708168</v>
      </c>
      <c r="V23" s="1742">
        <v>2.0270868355782152</v>
      </c>
      <c r="W23" s="1742">
        <v>16.615574059561133</v>
      </c>
      <c r="X23" s="1742">
        <v>22.637173090872032</v>
      </c>
      <c r="Y23" s="2106">
        <v>42.16379572566828</v>
      </c>
      <c r="Z23" s="2106">
        <v>1255.2336791993953</v>
      </c>
      <c r="AA23" s="2106">
        <v>10234.761432834408</v>
      </c>
      <c r="AB23" s="2106">
        <v>83892.033426724156</v>
      </c>
      <c r="AC23" s="2106">
        <v>114295.0869358129</v>
      </c>
      <c r="AD23" s="1744">
        <v>212885.00461889914</v>
      </c>
      <c r="AE23" s="2126">
        <v>0</v>
      </c>
      <c r="AF23" s="2126">
        <v>0</v>
      </c>
      <c r="AG23" s="1212">
        <v>0</v>
      </c>
      <c r="AH23" s="1212">
        <v>1</v>
      </c>
      <c r="AI23" s="1212">
        <v>0</v>
      </c>
      <c r="AJ23" s="1212">
        <v>1</v>
      </c>
      <c r="AK23" s="2126">
        <v>0</v>
      </c>
      <c r="AL23" s="2126">
        <v>212885.00461889914</v>
      </c>
      <c r="AM23" s="2126">
        <v>0</v>
      </c>
      <c r="AN23" s="2126">
        <v>212885.00461889914</v>
      </c>
      <c r="AO23" s="1743" t="s">
        <v>85</v>
      </c>
      <c r="AP23" s="1743" t="s">
        <v>90</v>
      </c>
      <c r="AQ23" s="1764" t="s">
        <v>108</v>
      </c>
      <c r="AR23" s="1743" t="s">
        <v>87</v>
      </c>
      <c r="AS23" s="2135"/>
      <c r="AT23" s="2135"/>
      <c r="AU23" s="1212"/>
      <c r="AV23" s="1212"/>
      <c r="AW23" s="1212">
        <v>1</v>
      </c>
      <c r="AX23" s="1212"/>
      <c r="AY23" s="1212"/>
      <c r="AZ23" s="1212"/>
      <c r="BA23" s="1212"/>
      <c r="BB23" s="1212"/>
      <c r="BC23" s="1212"/>
      <c r="BD23" s="1212"/>
      <c r="BE23" s="1212"/>
      <c r="BF23" s="2126">
        <v>0</v>
      </c>
      <c r="BG23" s="2126">
        <v>0</v>
      </c>
      <c r="BH23" s="2126">
        <v>0</v>
      </c>
      <c r="BI23" s="2126">
        <v>0</v>
      </c>
      <c r="BJ23" s="2126">
        <v>212885.00461889914</v>
      </c>
      <c r="BK23" s="2126">
        <v>0</v>
      </c>
      <c r="BL23" s="2126">
        <v>0</v>
      </c>
      <c r="BM23" s="2126">
        <v>0</v>
      </c>
      <c r="BN23" s="2126">
        <v>0</v>
      </c>
      <c r="BO23" s="2126">
        <v>0</v>
      </c>
      <c r="BP23" s="2126">
        <v>0</v>
      </c>
      <c r="BQ23" s="2126">
        <v>0</v>
      </c>
      <c r="BR23" s="2126">
        <v>0</v>
      </c>
    </row>
    <row r="24" spans="1:70" s="1765" customFormat="1" ht="33">
      <c r="A24" s="1272">
        <v>1000</v>
      </c>
      <c r="B24" s="971" t="s">
        <v>78</v>
      </c>
      <c r="C24" s="1272">
        <v>1100</v>
      </c>
      <c r="D24" s="971" t="s">
        <v>79</v>
      </c>
      <c r="E24" s="971">
        <v>1100</v>
      </c>
      <c r="F24" s="971" t="s">
        <v>79</v>
      </c>
      <c r="G24" s="971">
        <v>1100</v>
      </c>
      <c r="H24" s="971" t="s">
        <v>79</v>
      </c>
      <c r="I24" s="1273"/>
      <c r="J24" s="971"/>
      <c r="K24" s="971" t="s">
        <v>80</v>
      </c>
      <c r="L24" s="971" t="s">
        <v>81</v>
      </c>
      <c r="M24" s="971" t="s">
        <v>82</v>
      </c>
      <c r="N24" s="971" t="s">
        <v>83</v>
      </c>
      <c r="O24" s="971" t="s">
        <v>81</v>
      </c>
      <c r="P24" s="971" t="s">
        <v>81</v>
      </c>
      <c r="Q24" s="971" t="s">
        <v>110</v>
      </c>
      <c r="R24" s="1266"/>
      <c r="S24" s="2106">
        <v>64.333333333333329</v>
      </c>
      <c r="T24" s="1266" t="s">
        <v>136</v>
      </c>
      <c r="U24" s="1742">
        <v>0.24861035436708168</v>
      </c>
      <c r="V24" s="1742">
        <v>2.0270868355782152</v>
      </c>
      <c r="W24" s="1742">
        <v>16.615574059561133</v>
      </c>
      <c r="X24" s="1742">
        <v>22.637173090872032</v>
      </c>
      <c r="Y24" s="2106">
        <v>42.16379572566828</v>
      </c>
      <c r="Z24" s="2106">
        <v>15.993932797615587</v>
      </c>
      <c r="AA24" s="2106">
        <v>130.40925308886517</v>
      </c>
      <c r="AB24" s="2106">
        <v>1068.9352644984328</v>
      </c>
      <c r="AC24" s="2106">
        <v>1456.3248021794341</v>
      </c>
      <c r="AD24" s="1744">
        <v>2712.5375250179923</v>
      </c>
      <c r="AE24" s="2126">
        <v>0</v>
      </c>
      <c r="AF24" s="2126">
        <v>0</v>
      </c>
      <c r="AG24" s="1212">
        <v>1</v>
      </c>
      <c r="AH24" s="1212">
        <v>0</v>
      </c>
      <c r="AI24" s="1212">
        <v>0</v>
      </c>
      <c r="AJ24" s="1212">
        <v>1</v>
      </c>
      <c r="AK24" s="2126">
        <v>2712.5375250179923</v>
      </c>
      <c r="AL24" s="2126">
        <v>0</v>
      </c>
      <c r="AM24" s="2126">
        <v>0</v>
      </c>
      <c r="AN24" s="2126">
        <v>2712.5375250179923</v>
      </c>
      <c r="AO24" s="1743" t="s">
        <v>85</v>
      </c>
      <c r="AP24" s="1743" t="s">
        <v>90</v>
      </c>
      <c r="AQ24" s="1764" t="s">
        <v>108</v>
      </c>
      <c r="AR24" s="1743" t="s">
        <v>87</v>
      </c>
      <c r="AS24" s="2135"/>
      <c r="AT24" s="2135"/>
      <c r="AU24" s="1212"/>
      <c r="AV24" s="1212"/>
      <c r="AW24" s="1212">
        <v>1</v>
      </c>
      <c r="AX24" s="1212"/>
      <c r="AY24" s="1212"/>
      <c r="AZ24" s="1212"/>
      <c r="BA24" s="1212"/>
      <c r="BB24" s="1212"/>
      <c r="BC24" s="1212"/>
      <c r="BD24" s="1212"/>
      <c r="BE24" s="1212"/>
      <c r="BF24" s="2126">
        <v>0</v>
      </c>
      <c r="BG24" s="2126">
        <v>0</v>
      </c>
      <c r="BH24" s="2126">
        <v>0</v>
      </c>
      <c r="BI24" s="2126">
        <v>0</v>
      </c>
      <c r="BJ24" s="2126">
        <v>2712.5375250179923</v>
      </c>
      <c r="BK24" s="2126">
        <v>0</v>
      </c>
      <c r="BL24" s="2126">
        <v>0</v>
      </c>
      <c r="BM24" s="2126">
        <v>0</v>
      </c>
      <c r="BN24" s="2126">
        <v>0</v>
      </c>
      <c r="BO24" s="2126">
        <v>0</v>
      </c>
      <c r="BP24" s="2126">
        <v>0</v>
      </c>
      <c r="BQ24" s="2126">
        <v>0</v>
      </c>
      <c r="BR24" s="2126">
        <v>0</v>
      </c>
    </row>
    <row r="25" spans="1:70" s="1765" customFormat="1" ht="33">
      <c r="A25" s="1272">
        <v>1000</v>
      </c>
      <c r="B25" s="971" t="s">
        <v>78</v>
      </c>
      <c r="C25" s="1272">
        <v>1100</v>
      </c>
      <c r="D25" s="971" t="s">
        <v>79</v>
      </c>
      <c r="E25" s="971">
        <v>1100</v>
      </c>
      <c r="F25" s="971" t="s">
        <v>79</v>
      </c>
      <c r="G25" s="971">
        <v>1100</v>
      </c>
      <c r="H25" s="971" t="s">
        <v>79</v>
      </c>
      <c r="I25" s="1273"/>
      <c r="J25" s="971"/>
      <c r="K25" s="971" t="s">
        <v>80</v>
      </c>
      <c r="L25" s="971" t="s">
        <v>81</v>
      </c>
      <c r="M25" s="971" t="s">
        <v>82</v>
      </c>
      <c r="N25" s="971" t="s">
        <v>83</v>
      </c>
      <c r="O25" s="971" t="s">
        <v>81</v>
      </c>
      <c r="P25" s="971" t="s">
        <v>81</v>
      </c>
      <c r="Q25" s="971" t="s">
        <v>111</v>
      </c>
      <c r="R25" s="1266"/>
      <c r="S25" s="2106">
        <v>5455.5599593495926</v>
      </c>
      <c r="T25" s="1266" t="s">
        <v>136</v>
      </c>
      <c r="U25" s="1742">
        <v>0.24861035436708168</v>
      </c>
      <c r="V25" s="1742">
        <v>2.0270868355782152</v>
      </c>
      <c r="W25" s="1742">
        <v>16.615574059561133</v>
      </c>
      <c r="X25" s="1742">
        <v>22.637173090872032</v>
      </c>
      <c r="Y25" s="2106">
        <v>42.16379572566828</v>
      </c>
      <c r="Z25" s="2106">
        <v>1356.3086947647639</v>
      </c>
      <c r="AA25" s="2106">
        <v>11058.893774305183</v>
      </c>
      <c r="AB25" s="2106">
        <v>90647.260540949486</v>
      </c>
      <c r="AC25" s="2106">
        <v>123498.45510742752</v>
      </c>
      <c r="AD25" s="1744">
        <v>230027.11569515135</v>
      </c>
      <c r="AE25" s="2126">
        <v>0</v>
      </c>
      <c r="AF25" s="2126">
        <v>0</v>
      </c>
      <c r="AG25" s="1212">
        <v>1</v>
      </c>
      <c r="AH25" s="1212">
        <v>0</v>
      </c>
      <c r="AI25" s="1212">
        <v>0</v>
      </c>
      <c r="AJ25" s="1212">
        <v>1</v>
      </c>
      <c r="AK25" s="2126">
        <v>230027.11569515135</v>
      </c>
      <c r="AL25" s="2126">
        <v>0</v>
      </c>
      <c r="AM25" s="2126">
        <v>0</v>
      </c>
      <c r="AN25" s="2126">
        <v>230027.11569515135</v>
      </c>
      <c r="AO25" s="1743" t="s">
        <v>85</v>
      </c>
      <c r="AP25" s="1743" t="s">
        <v>90</v>
      </c>
      <c r="AQ25" s="1764" t="s">
        <v>112</v>
      </c>
      <c r="AR25" s="1743" t="s">
        <v>87</v>
      </c>
      <c r="AS25" s="2135"/>
      <c r="AT25" s="2135"/>
      <c r="AU25" s="1212"/>
      <c r="AV25" s="1212"/>
      <c r="AW25" s="1212">
        <v>1</v>
      </c>
      <c r="AX25" s="1212"/>
      <c r="AY25" s="1212"/>
      <c r="AZ25" s="1212"/>
      <c r="BA25" s="1212"/>
      <c r="BB25" s="1212"/>
      <c r="BC25" s="1212"/>
      <c r="BD25" s="1212"/>
      <c r="BE25" s="1212"/>
      <c r="BF25" s="2126">
        <v>0</v>
      </c>
      <c r="BG25" s="2126">
        <v>0</v>
      </c>
      <c r="BH25" s="2126">
        <v>0</v>
      </c>
      <c r="BI25" s="2126">
        <v>0</v>
      </c>
      <c r="BJ25" s="2126">
        <v>230027.11569515135</v>
      </c>
      <c r="BK25" s="2126">
        <v>0</v>
      </c>
      <c r="BL25" s="2126">
        <v>0</v>
      </c>
      <c r="BM25" s="2126">
        <v>0</v>
      </c>
      <c r="BN25" s="2126">
        <v>0</v>
      </c>
      <c r="BO25" s="2126">
        <v>0</v>
      </c>
      <c r="BP25" s="2126">
        <v>0</v>
      </c>
      <c r="BQ25" s="2126">
        <v>0</v>
      </c>
      <c r="BR25" s="2126">
        <v>0</v>
      </c>
    </row>
    <row r="26" spans="1:70" s="1765" customFormat="1" ht="33">
      <c r="A26" s="1272">
        <v>1000</v>
      </c>
      <c r="B26" s="971" t="s">
        <v>78</v>
      </c>
      <c r="C26" s="1272">
        <v>1100</v>
      </c>
      <c r="D26" s="971" t="s">
        <v>79</v>
      </c>
      <c r="E26" s="971">
        <v>1100</v>
      </c>
      <c r="F26" s="971" t="s">
        <v>79</v>
      </c>
      <c r="G26" s="971">
        <v>1100</v>
      </c>
      <c r="H26" s="971" t="s">
        <v>79</v>
      </c>
      <c r="I26" s="1273"/>
      <c r="J26" s="971"/>
      <c r="K26" s="971" t="s">
        <v>80</v>
      </c>
      <c r="L26" s="971" t="s">
        <v>81</v>
      </c>
      <c r="M26" s="971" t="s">
        <v>82</v>
      </c>
      <c r="N26" s="971" t="s">
        <v>83</v>
      </c>
      <c r="O26" s="971" t="s">
        <v>81</v>
      </c>
      <c r="P26" s="971" t="s">
        <v>81</v>
      </c>
      <c r="Q26" s="971" t="s">
        <v>113</v>
      </c>
      <c r="R26" s="1266"/>
      <c r="S26" s="2106">
        <v>527.24536799999998</v>
      </c>
      <c r="T26" s="1266" t="s">
        <v>136</v>
      </c>
      <c r="U26" s="1742">
        <v>0.24861035436708168</v>
      </c>
      <c r="V26" s="1742">
        <v>2.0270868355782152</v>
      </c>
      <c r="W26" s="1742">
        <v>16.615574059561133</v>
      </c>
      <c r="X26" s="1742">
        <v>22.637173090872032</v>
      </c>
      <c r="Y26" s="2106">
        <v>42.16379572566828</v>
      </c>
      <c r="Z26" s="2106">
        <v>131.07865777688238</v>
      </c>
      <c r="AA26" s="2106">
        <v>1068.7721445923914</v>
      </c>
      <c r="AB26" s="2106">
        <v>8760.4844595645627</v>
      </c>
      <c r="AC26" s="2106">
        <v>11935.344656776522</v>
      </c>
      <c r="AD26" s="1744">
        <v>22230.665993656799</v>
      </c>
      <c r="AE26" s="2126">
        <v>0</v>
      </c>
      <c r="AF26" s="2126">
        <v>0</v>
      </c>
      <c r="AG26" s="1212">
        <v>1</v>
      </c>
      <c r="AH26" s="1212">
        <v>0</v>
      </c>
      <c r="AI26" s="1212">
        <v>0</v>
      </c>
      <c r="AJ26" s="1212">
        <v>1</v>
      </c>
      <c r="AK26" s="2126">
        <v>22230.665993656799</v>
      </c>
      <c r="AL26" s="2126">
        <v>0</v>
      </c>
      <c r="AM26" s="2126">
        <v>0</v>
      </c>
      <c r="AN26" s="2126">
        <v>22230.665993656799</v>
      </c>
      <c r="AO26" s="1743" t="s">
        <v>85</v>
      </c>
      <c r="AP26" s="1743" t="s">
        <v>90</v>
      </c>
      <c r="AQ26" s="1764">
        <v>2022</v>
      </c>
      <c r="AR26" s="1743" t="s">
        <v>87</v>
      </c>
      <c r="AS26" s="2135"/>
      <c r="AT26" s="2135"/>
      <c r="AU26" s="1212"/>
      <c r="AV26" s="1212"/>
      <c r="AW26" s="1212">
        <v>1</v>
      </c>
      <c r="AX26" s="1212"/>
      <c r="AY26" s="1212"/>
      <c r="AZ26" s="1212"/>
      <c r="BA26" s="1212"/>
      <c r="BB26" s="1212"/>
      <c r="BC26" s="1212"/>
      <c r="BD26" s="1212"/>
      <c r="BE26" s="1212"/>
      <c r="BF26" s="2126">
        <v>0</v>
      </c>
      <c r="BG26" s="2126">
        <v>0</v>
      </c>
      <c r="BH26" s="2126">
        <v>0</v>
      </c>
      <c r="BI26" s="2126">
        <v>0</v>
      </c>
      <c r="BJ26" s="2126">
        <v>22230.665993656799</v>
      </c>
      <c r="BK26" s="2126">
        <v>0</v>
      </c>
      <c r="BL26" s="2126">
        <v>0</v>
      </c>
      <c r="BM26" s="2126">
        <v>0</v>
      </c>
      <c r="BN26" s="2126">
        <v>0</v>
      </c>
      <c r="BO26" s="2126">
        <v>0</v>
      </c>
      <c r="BP26" s="2126">
        <v>0</v>
      </c>
      <c r="BQ26" s="2126">
        <v>0</v>
      </c>
      <c r="BR26" s="2126">
        <v>0</v>
      </c>
    </row>
    <row r="27" spans="1:70" s="1765" customFormat="1" ht="33">
      <c r="A27" s="1272">
        <v>1000</v>
      </c>
      <c r="B27" s="971" t="s">
        <v>78</v>
      </c>
      <c r="C27" s="1272">
        <v>1100</v>
      </c>
      <c r="D27" s="971" t="s">
        <v>79</v>
      </c>
      <c r="E27" s="971">
        <v>1100</v>
      </c>
      <c r="F27" s="971" t="s">
        <v>79</v>
      </c>
      <c r="G27" s="971">
        <v>1100</v>
      </c>
      <c r="H27" s="971" t="s">
        <v>79</v>
      </c>
      <c r="I27" s="1273"/>
      <c r="J27" s="971"/>
      <c r="K27" s="971" t="s">
        <v>80</v>
      </c>
      <c r="L27" s="971" t="s">
        <v>81</v>
      </c>
      <c r="M27" s="971" t="s">
        <v>82</v>
      </c>
      <c r="N27" s="971" t="s">
        <v>83</v>
      </c>
      <c r="O27" s="971" t="s">
        <v>81</v>
      </c>
      <c r="P27" s="971" t="s">
        <v>81</v>
      </c>
      <c r="Q27" s="971" t="s">
        <v>114</v>
      </c>
      <c r="R27" s="1266"/>
      <c r="S27" s="2106">
        <v>-833.58333333333337</v>
      </c>
      <c r="T27" s="1266" t="s">
        <v>136</v>
      </c>
      <c r="U27" s="1742">
        <v>0.24861035436708168</v>
      </c>
      <c r="V27" s="1742">
        <v>2.0270868355782152</v>
      </c>
      <c r="W27" s="1742">
        <v>16.615574059561133</v>
      </c>
      <c r="X27" s="1742">
        <v>22.637173090872032</v>
      </c>
      <c r="Y27" s="2106">
        <v>42.16379572566828</v>
      </c>
      <c r="Z27" s="2106">
        <v>-207.23744789449319</v>
      </c>
      <c r="AA27" s="2106">
        <v>-1689.7458013574073</v>
      </c>
      <c r="AB27" s="2106">
        <v>-13850.465609815836</v>
      </c>
      <c r="AC27" s="2106">
        <v>-18869.970202332745</v>
      </c>
      <c r="AD27" s="1744">
        <v>-35147.037386988319</v>
      </c>
      <c r="AE27" s="2126">
        <v>0</v>
      </c>
      <c r="AF27" s="2126">
        <v>0</v>
      </c>
      <c r="AG27" s="1212">
        <v>1</v>
      </c>
      <c r="AH27" s="1212">
        <v>0</v>
      </c>
      <c r="AI27" s="1212">
        <v>0</v>
      </c>
      <c r="AJ27" s="1212">
        <v>1</v>
      </c>
      <c r="AK27" s="2126">
        <v>-35147.037386988319</v>
      </c>
      <c r="AL27" s="2126">
        <v>0</v>
      </c>
      <c r="AM27" s="2126">
        <v>0</v>
      </c>
      <c r="AN27" s="2126">
        <v>-35147.037386988319</v>
      </c>
      <c r="AO27" s="1743" t="s">
        <v>85</v>
      </c>
      <c r="AP27" s="1743" t="s">
        <v>90</v>
      </c>
      <c r="AQ27" s="1764" t="s">
        <v>115</v>
      </c>
      <c r="AR27" s="1743" t="s">
        <v>87</v>
      </c>
      <c r="AS27" s="2135"/>
      <c r="AT27" s="2135"/>
      <c r="AU27" s="1212"/>
      <c r="AV27" s="1212"/>
      <c r="AW27" s="1212">
        <v>1</v>
      </c>
      <c r="AX27" s="1212"/>
      <c r="AY27" s="1212"/>
      <c r="AZ27" s="1212"/>
      <c r="BA27" s="1212"/>
      <c r="BB27" s="1212"/>
      <c r="BC27" s="1212"/>
      <c r="BD27" s="1212"/>
      <c r="BE27" s="1212"/>
      <c r="BF27" s="2126">
        <v>0</v>
      </c>
      <c r="BG27" s="2126">
        <v>0</v>
      </c>
      <c r="BH27" s="2126">
        <v>0</v>
      </c>
      <c r="BI27" s="2126">
        <v>0</v>
      </c>
      <c r="BJ27" s="2126">
        <v>-35147.037386988319</v>
      </c>
      <c r="BK27" s="2126">
        <v>0</v>
      </c>
      <c r="BL27" s="2126">
        <v>0</v>
      </c>
      <c r="BM27" s="2126">
        <v>0</v>
      </c>
      <c r="BN27" s="2126">
        <v>0</v>
      </c>
      <c r="BO27" s="2126">
        <v>0</v>
      </c>
      <c r="BP27" s="2126">
        <v>0</v>
      </c>
      <c r="BQ27" s="2126">
        <v>0</v>
      </c>
      <c r="BR27" s="2126">
        <v>0</v>
      </c>
    </row>
    <row r="28" spans="1:70" s="1765" customFormat="1" ht="33">
      <c r="A28" s="1272">
        <v>1000</v>
      </c>
      <c r="B28" s="971" t="s">
        <v>78</v>
      </c>
      <c r="C28" s="1272">
        <v>1100</v>
      </c>
      <c r="D28" s="971" t="s">
        <v>79</v>
      </c>
      <c r="E28" s="971">
        <v>1100</v>
      </c>
      <c r="F28" s="971" t="s">
        <v>79</v>
      </c>
      <c r="G28" s="971">
        <v>1100</v>
      </c>
      <c r="H28" s="971" t="s">
        <v>79</v>
      </c>
      <c r="I28" s="1273"/>
      <c r="J28" s="971"/>
      <c r="K28" s="971" t="s">
        <v>80</v>
      </c>
      <c r="L28" s="971" t="s">
        <v>81</v>
      </c>
      <c r="M28" s="971" t="s">
        <v>82</v>
      </c>
      <c r="N28" s="971" t="s">
        <v>83</v>
      </c>
      <c r="O28" s="971" t="s">
        <v>81</v>
      </c>
      <c r="P28" s="971" t="s">
        <v>81</v>
      </c>
      <c r="Q28" s="971" t="s">
        <v>116</v>
      </c>
      <c r="R28" s="1266"/>
      <c r="S28" s="2106">
        <v>59.961382113821138</v>
      </c>
      <c r="T28" s="1266" t="s">
        <v>136</v>
      </c>
      <c r="U28" s="1742">
        <v>0.24861035436708168</v>
      </c>
      <c r="V28" s="1742">
        <v>2.0270868355782152</v>
      </c>
      <c r="W28" s="1742">
        <v>16.615574059561133</v>
      </c>
      <c r="X28" s="1742">
        <v>22.637173090872032</v>
      </c>
      <c r="Y28" s="2106">
        <v>42.16379572566828</v>
      </c>
      <c r="Z28" s="2106">
        <v>14.907020455657067</v>
      </c>
      <c r="AA28" s="2106">
        <v>121.54692832600189</v>
      </c>
      <c r="AB28" s="2106">
        <v>996.29278522583945</v>
      </c>
      <c r="AC28" s="2106">
        <v>1357.3561856784875</v>
      </c>
      <c r="AD28" s="1744">
        <v>2528.1994668758939</v>
      </c>
      <c r="AE28" s="2126">
        <v>0</v>
      </c>
      <c r="AF28" s="2126">
        <v>0</v>
      </c>
      <c r="AG28" s="1212">
        <v>1</v>
      </c>
      <c r="AH28" s="1212">
        <v>0</v>
      </c>
      <c r="AI28" s="1212">
        <v>0</v>
      </c>
      <c r="AJ28" s="1212">
        <v>1</v>
      </c>
      <c r="AK28" s="2126">
        <v>2528.1994668758939</v>
      </c>
      <c r="AL28" s="2126">
        <v>0</v>
      </c>
      <c r="AM28" s="2126">
        <v>0</v>
      </c>
      <c r="AN28" s="2126">
        <v>2528.1994668758939</v>
      </c>
      <c r="AO28" s="1743" t="s">
        <v>85</v>
      </c>
      <c r="AP28" s="1743" t="s">
        <v>90</v>
      </c>
      <c r="AQ28" s="1764">
        <v>2023</v>
      </c>
      <c r="AR28" s="1743" t="s">
        <v>87</v>
      </c>
      <c r="AS28" s="2135"/>
      <c r="AT28" s="2135"/>
      <c r="AU28" s="1212"/>
      <c r="AV28" s="1212"/>
      <c r="AW28" s="1212">
        <v>1</v>
      </c>
      <c r="AX28" s="1212"/>
      <c r="AY28" s="1212"/>
      <c r="AZ28" s="1212"/>
      <c r="BA28" s="1212"/>
      <c r="BB28" s="1212"/>
      <c r="BC28" s="1212"/>
      <c r="BD28" s="1212"/>
      <c r="BE28" s="1212"/>
      <c r="BF28" s="2126">
        <v>0</v>
      </c>
      <c r="BG28" s="2126">
        <v>0</v>
      </c>
      <c r="BH28" s="2126">
        <v>0</v>
      </c>
      <c r="BI28" s="2126">
        <v>0</v>
      </c>
      <c r="BJ28" s="2126">
        <v>2528.1994668758939</v>
      </c>
      <c r="BK28" s="2126">
        <v>0</v>
      </c>
      <c r="BL28" s="2126">
        <v>0</v>
      </c>
      <c r="BM28" s="2126">
        <v>0</v>
      </c>
      <c r="BN28" s="2126">
        <v>0</v>
      </c>
      <c r="BO28" s="2126">
        <v>0</v>
      </c>
      <c r="BP28" s="2126">
        <v>0</v>
      </c>
      <c r="BQ28" s="2126">
        <v>0</v>
      </c>
      <c r="BR28" s="2126">
        <v>0</v>
      </c>
    </row>
    <row r="29" spans="1:70" s="1765" customFormat="1" ht="33">
      <c r="A29" s="1272">
        <v>1000</v>
      </c>
      <c r="B29" s="971" t="s">
        <v>78</v>
      </c>
      <c r="C29" s="1272">
        <v>1100</v>
      </c>
      <c r="D29" s="971" t="s">
        <v>79</v>
      </c>
      <c r="E29" s="971">
        <v>1100</v>
      </c>
      <c r="F29" s="971" t="s">
        <v>79</v>
      </c>
      <c r="G29" s="971">
        <v>1100</v>
      </c>
      <c r="H29" s="971" t="s">
        <v>79</v>
      </c>
      <c r="I29" s="1273"/>
      <c r="J29" s="971"/>
      <c r="K29" s="971" t="s">
        <v>80</v>
      </c>
      <c r="L29" s="971" t="s">
        <v>81</v>
      </c>
      <c r="M29" s="971" t="s">
        <v>82</v>
      </c>
      <c r="N29" s="971" t="s">
        <v>83</v>
      </c>
      <c r="O29" s="971" t="s">
        <v>81</v>
      </c>
      <c r="P29" s="971" t="s">
        <v>81</v>
      </c>
      <c r="Q29" s="971" t="s">
        <v>117</v>
      </c>
      <c r="R29" s="1266"/>
      <c r="S29" s="2106">
        <v>-1187.4075676747968</v>
      </c>
      <c r="T29" s="1266" t="s">
        <v>136</v>
      </c>
      <c r="U29" s="1742">
        <v>0.24861035436708168</v>
      </c>
      <c r="V29" s="1742">
        <v>2.0270868355782152</v>
      </c>
      <c r="W29" s="1742">
        <v>16.615574059561133</v>
      </c>
      <c r="X29" s="1742">
        <v>22.637173090872032</v>
      </c>
      <c r="Y29" s="2106">
        <v>42.16379572566828</v>
      </c>
      <c r="Z29" s="2106">
        <v>-295.20181617778576</v>
      </c>
      <c r="AA29" s="2106">
        <v>-2406.9782488995293</v>
      </c>
      <c r="AB29" s="2106">
        <v>-19729.458379583935</v>
      </c>
      <c r="AC29" s="2106">
        <v>-26879.550638865723</v>
      </c>
      <c r="AD29" s="1744">
        <v>-50065.610126552769</v>
      </c>
      <c r="AE29" s="2126">
        <v>0</v>
      </c>
      <c r="AF29" s="2126">
        <v>0</v>
      </c>
      <c r="AG29" s="1212">
        <v>1</v>
      </c>
      <c r="AH29" s="1212">
        <v>0</v>
      </c>
      <c r="AI29" s="1212">
        <v>0</v>
      </c>
      <c r="AJ29" s="1212">
        <v>1</v>
      </c>
      <c r="AK29" s="2126">
        <v>-50065.610126552769</v>
      </c>
      <c r="AL29" s="2126">
        <v>0</v>
      </c>
      <c r="AM29" s="2126">
        <v>0</v>
      </c>
      <c r="AN29" s="2126">
        <v>-50065.610126552769</v>
      </c>
      <c r="AO29" s="1743" t="s">
        <v>85</v>
      </c>
      <c r="AP29" s="1743" t="s">
        <v>90</v>
      </c>
      <c r="AQ29" s="1764" t="s">
        <v>118</v>
      </c>
      <c r="AR29" s="1743" t="s">
        <v>87</v>
      </c>
      <c r="AS29" s="2135"/>
      <c r="AT29" s="2135"/>
      <c r="AU29" s="1212"/>
      <c r="AV29" s="1212"/>
      <c r="AW29" s="1212">
        <v>1</v>
      </c>
      <c r="AX29" s="1212"/>
      <c r="AY29" s="1212"/>
      <c r="AZ29" s="1212"/>
      <c r="BA29" s="1212"/>
      <c r="BB29" s="1212"/>
      <c r="BC29" s="1212"/>
      <c r="BD29" s="1212"/>
      <c r="BE29" s="1212"/>
      <c r="BF29" s="2126">
        <v>0</v>
      </c>
      <c r="BG29" s="2126">
        <v>0</v>
      </c>
      <c r="BH29" s="2126">
        <v>0</v>
      </c>
      <c r="BI29" s="2126">
        <v>0</v>
      </c>
      <c r="BJ29" s="2126">
        <v>-50065.610126552769</v>
      </c>
      <c r="BK29" s="2126">
        <v>0</v>
      </c>
      <c r="BL29" s="2126">
        <v>0</v>
      </c>
      <c r="BM29" s="2126">
        <v>0</v>
      </c>
      <c r="BN29" s="2126">
        <v>0</v>
      </c>
      <c r="BO29" s="2126">
        <v>0</v>
      </c>
      <c r="BP29" s="2126">
        <v>0</v>
      </c>
      <c r="BQ29" s="2126">
        <v>0</v>
      </c>
      <c r="BR29" s="2126">
        <v>0</v>
      </c>
    </row>
    <row r="30" spans="1:70" s="1765" customFormat="1">
      <c r="A30" s="1317">
        <v>2000</v>
      </c>
      <c r="B30" s="1318" t="s">
        <v>119</v>
      </c>
      <c r="C30" s="1317"/>
      <c r="D30" s="1318"/>
      <c r="E30" s="1318"/>
      <c r="F30" s="1318"/>
      <c r="G30" s="1318"/>
      <c r="H30" s="1318"/>
      <c r="I30" s="1318"/>
      <c r="J30" s="1318"/>
      <c r="K30" s="1318"/>
      <c r="L30" s="1318"/>
      <c r="M30" s="1318"/>
      <c r="N30" s="1318"/>
      <c r="O30" s="1318"/>
      <c r="P30" s="1318"/>
      <c r="Q30" s="1318"/>
      <c r="R30" s="1320"/>
      <c r="S30" s="2105"/>
      <c r="T30" s="1320"/>
      <c r="U30" s="1320"/>
      <c r="V30" s="1320"/>
      <c r="W30" s="1320"/>
      <c r="X30" s="1320"/>
      <c r="Y30" s="2105"/>
      <c r="Z30" s="2105"/>
      <c r="AA30" s="2105"/>
      <c r="AB30" s="2105"/>
      <c r="AC30" s="2105"/>
      <c r="AD30" s="1319"/>
      <c r="AE30" s="2125"/>
      <c r="AF30" s="2125"/>
      <c r="AG30" s="1322"/>
      <c r="AH30" s="1322"/>
      <c r="AI30" s="1322"/>
      <c r="AJ30" s="1322"/>
      <c r="AK30" s="2125"/>
      <c r="AL30" s="2125"/>
      <c r="AM30" s="2125"/>
      <c r="AN30" s="2125"/>
      <c r="AO30" s="1320"/>
      <c r="AP30" s="1320"/>
      <c r="AQ30" s="1320"/>
      <c r="AR30" s="1320"/>
      <c r="AS30" s="1322"/>
      <c r="AT30" s="1322"/>
      <c r="AU30" s="1322"/>
      <c r="AV30" s="1322"/>
      <c r="AW30" s="1322"/>
      <c r="AX30" s="1322"/>
      <c r="AY30" s="1322"/>
      <c r="AZ30" s="1322"/>
      <c r="BA30" s="1322"/>
      <c r="BB30" s="1322"/>
      <c r="BC30" s="1322"/>
      <c r="BD30" s="1322"/>
      <c r="BE30" s="1322"/>
      <c r="BF30" s="2148"/>
      <c r="BG30" s="2148"/>
      <c r="BH30" s="2125"/>
      <c r="BI30" s="2125"/>
      <c r="BJ30" s="2125"/>
      <c r="BK30" s="2125"/>
      <c r="BL30" s="2125"/>
      <c r="BM30" s="2125"/>
      <c r="BN30" s="2125"/>
      <c r="BO30" s="2125"/>
      <c r="BP30" s="2125"/>
      <c r="BQ30" s="2125"/>
      <c r="BR30" s="2125"/>
    </row>
    <row r="31" spans="1:70" s="1765" customFormat="1">
      <c r="A31" s="1802">
        <v>2000</v>
      </c>
      <c r="B31" s="1803" t="s">
        <v>119</v>
      </c>
      <c r="C31" s="1802">
        <v>2100</v>
      </c>
      <c r="D31" s="1803" t="s">
        <v>120</v>
      </c>
      <c r="E31" s="1803"/>
      <c r="F31" s="1803"/>
      <c r="G31" s="1803"/>
      <c r="H31" s="1803"/>
      <c r="I31" s="1803"/>
      <c r="J31" s="1803" t="s">
        <v>121</v>
      </c>
      <c r="K31" s="1803"/>
      <c r="L31" s="1803"/>
      <c r="M31" s="1803"/>
      <c r="N31" s="1803"/>
      <c r="O31" s="1803"/>
      <c r="P31" s="1803"/>
      <c r="Q31" s="1803"/>
      <c r="R31" s="1774"/>
      <c r="S31" s="2107"/>
      <c r="T31" s="1774"/>
      <c r="U31" s="1776"/>
      <c r="V31" s="1776"/>
      <c r="W31" s="1776"/>
      <c r="X31" s="1776"/>
      <c r="Y31" s="2107"/>
      <c r="Z31" s="2107"/>
      <c r="AA31" s="2107"/>
      <c r="AB31" s="2107"/>
      <c r="AC31" s="2107"/>
      <c r="AD31" s="1775"/>
      <c r="AE31" s="2127"/>
      <c r="AF31" s="2127"/>
      <c r="AG31" s="1777"/>
      <c r="AH31" s="1777"/>
      <c r="AI31" s="1777"/>
      <c r="AJ31" s="1777"/>
      <c r="AK31" s="2127"/>
      <c r="AL31" s="2127"/>
      <c r="AM31" s="2127"/>
      <c r="AN31" s="2127"/>
      <c r="AO31" s="1775"/>
      <c r="AP31" s="1775"/>
      <c r="AQ31" s="1773"/>
      <c r="AR31" s="1775"/>
      <c r="AS31" s="1777"/>
      <c r="AT31" s="1777"/>
      <c r="AU31" s="1777"/>
      <c r="AV31" s="1777"/>
      <c r="AW31" s="1777"/>
      <c r="AX31" s="1777"/>
      <c r="AY31" s="1777"/>
      <c r="AZ31" s="1777"/>
      <c r="BA31" s="1777"/>
      <c r="BB31" s="1777"/>
      <c r="BC31" s="1777"/>
      <c r="BD31" s="1777"/>
      <c r="BE31" s="1777"/>
      <c r="BF31" s="2127"/>
      <c r="BG31" s="2127"/>
      <c r="BH31" s="2127"/>
      <c r="BI31" s="2127"/>
      <c r="BJ31" s="2127"/>
      <c r="BK31" s="2127"/>
      <c r="BL31" s="2127"/>
      <c r="BM31" s="2127"/>
      <c r="BN31" s="2127"/>
      <c r="BO31" s="2127"/>
      <c r="BP31" s="2127"/>
      <c r="BQ31" s="2127"/>
      <c r="BR31" s="2127"/>
    </row>
    <row r="32" spans="1:70" s="1765" customFormat="1" ht="49.5">
      <c r="A32" s="1272">
        <v>2000</v>
      </c>
      <c r="B32" s="971" t="s">
        <v>119</v>
      </c>
      <c r="C32" s="1272">
        <v>2100</v>
      </c>
      <c r="D32" s="971" t="s">
        <v>120</v>
      </c>
      <c r="E32" s="971">
        <v>2110</v>
      </c>
      <c r="F32" s="971" t="s">
        <v>122</v>
      </c>
      <c r="G32" s="971">
        <v>2110</v>
      </c>
      <c r="H32" s="971" t="s">
        <v>122</v>
      </c>
      <c r="I32" s="1273" t="s">
        <v>123</v>
      </c>
      <c r="J32" s="971" t="s">
        <v>124</v>
      </c>
      <c r="K32" s="971" t="s">
        <v>125</v>
      </c>
      <c r="L32" s="971" t="s">
        <v>2868</v>
      </c>
      <c r="M32" s="971" t="s">
        <v>126</v>
      </c>
      <c r="N32" s="971" t="s">
        <v>127</v>
      </c>
      <c r="O32" s="971" t="s">
        <v>128</v>
      </c>
      <c r="P32" s="971"/>
      <c r="Q32" s="971" t="s">
        <v>129</v>
      </c>
      <c r="R32" s="1266" t="s">
        <v>130</v>
      </c>
      <c r="S32" s="2106">
        <v>14.869888475836431</v>
      </c>
      <c r="T32" s="1266" t="s">
        <v>136</v>
      </c>
      <c r="U32" s="1742">
        <v>0.11208333333333333</v>
      </c>
      <c r="V32" s="1742">
        <v>1.4010416666666667</v>
      </c>
      <c r="W32" s="1742">
        <v>9.8790250000000004</v>
      </c>
      <c r="X32" s="1742">
        <v>15.452929166666667</v>
      </c>
      <c r="Y32" s="2106">
        <v>26.73299583333333</v>
      </c>
      <c r="Z32" s="2106">
        <v>1.6666666666666665</v>
      </c>
      <c r="AA32" s="2106">
        <v>20.833333333333336</v>
      </c>
      <c r="AB32" s="2106">
        <v>146.9</v>
      </c>
      <c r="AC32" s="2106">
        <v>229.78333333333333</v>
      </c>
      <c r="AD32" s="1744">
        <v>397.51666666666665</v>
      </c>
      <c r="AE32" s="2126">
        <v>1</v>
      </c>
      <c r="AF32" s="2126">
        <v>14.869888475836431</v>
      </c>
      <c r="AG32" s="1212">
        <v>1</v>
      </c>
      <c r="AH32" s="1212">
        <v>0</v>
      </c>
      <c r="AI32" s="1212">
        <v>0</v>
      </c>
      <c r="AJ32" s="1212">
        <v>1</v>
      </c>
      <c r="AK32" s="2126">
        <v>397.51666666666665</v>
      </c>
      <c r="AL32" s="2126">
        <v>0</v>
      </c>
      <c r="AM32" s="2126">
        <v>0</v>
      </c>
      <c r="AN32" s="2126">
        <v>397.51666666666665</v>
      </c>
      <c r="AO32" s="1743" t="s">
        <v>131</v>
      </c>
      <c r="AP32" s="1743"/>
      <c r="AQ32" s="1764">
        <v>2014</v>
      </c>
      <c r="AR32" s="1743" t="s">
        <v>87</v>
      </c>
      <c r="AS32" s="2135"/>
      <c r="AT32" s="2135"/>
      <c r="AU32" s="1212">
        <v>0.33333333333333331</v>
      </c>
      <c r="AV32" s="1212">
        <v>0.33333333333333331</v>
      </c>
      <c r="AW32" s="1212">
        <v>0.33333333333333331</v>
      </c>
      <c r="AX32" s="1212"/>
      <c r="AY32" s="1212"/>
      <c r="AZ32" s="1212"/>
      <c r="BA32" s="1212"/>
      <c r="BB32" s="1212"/>
      <c r="BC32" s="1212"/>
      <c r="BD32" s="1212"/>
      <c r="BE32" s="1212"/>
      <c r="BF32" s="2126">
        <v>0</v>
      </c>
      <c r="BG32" s="2126">
        <v>0</v>
      </c>
      <c r="BH32" s="2126">
        <v>132.50555555555553</v>
      </c>
      <c r="BI32" s="2126">
        <v>132.50555555555553</v>
      </c>
      <c r="BJ32" s="2126">
        <v>132.50555555555553</v>
      </c>
      <c r="BK32" s="2126">
        <v>0</v>
      </c>
      <c r="BL32" s="2126">
        <v>0</v>
      </c>
      <c r="BM32" s="2126">
        <v>0</v>
      </c>
      <c r="BN32" s="2126">
        <v>0</v>
      </c>
      <c r="BO32" s="2126">
        <v>0</v>
      </c>
      <c r="BP32" s="2126">
        <v>0</v>
      </c>
      <c r="BQ32" s="2126">
        <v>0</v>
      </c>
      <c r="BR32" s="2126">
        <v>0</v>
      </c>
    </row>
    <row r="33" spans="1:70" s="1765" customFormat="1" ht="49.5">
      <c r="A33" s="1272">
        <v>2000</v>
      </c>
      <c r="B33" s="971" t="s">
        <v>119</v>
      </c>
      <c r="C33" s="1272">
        <v>2100</v>
      </c>
      <c r="D33" s="971" t="s">
        <v>120</v>
      </c>
      <c r="E33" s="971" t="s">
        <v>133</v>
      </c>
      <c r="F33" s="971" t="s">
        <v>122</v>
      </c>
      <c r="G33" s="971">
        <v>2110</v>
      </c>
      <c r="H33" s="971" t="s">
        <v>122</v>
      </c>
      <c r="I33" s="1273"/>
      <c r="J33" s="971" t="s">
        <v>124</v>
      </c>
      <c r="K33" s="971"/>
      <c r="L33" s="971"/>
      <c r="M33" s="971"/>
      <c r="N33" s="971"/>
      <c r="O33" s="971"/>
      <c r="P33" s="971"/>
      <c r="Q33" s="971" t="s">
        <v>134</v>
      </c>
      <c r="R33" s="1266" t="s">
        <v>135</v>
      </c>
      <c r="S33" s="2106">
        <v>0</v>
      </c>
      <c r="T33" s="1266" t="s">
        <v>136</v>
      </c>
      <c r="U33" s="1742" t="s">
        <v>6588</v>
      </c>
      <c r="V33" s="1742" t="s">
        <v>6588</v>
      </c>
      <c r="W33" s="1742" t="s">
        <v>6588</v>
      </c>
      <c r="X33" s="1742" t="s">
        <v>6588</v>
      </c>
      <c r="Y33" s="2106" t="s">
        <v>6588</v>
      </c>
      <c r="Z33" s="2106">
        <v>0</v>
      </c>
      <c r="AA33" s="2106">
        <v>0</v>
      </c>
      <c r="AB33" s="2106">
        <v>0</v>
      </c>
      <c r="AC33" s="2106">
        <v>0</v>
      </c>
      <c r="AD33" s="1744">
        <v>0</v>
      </c>
      <c r="AE33" s="2126">
        <v>0</v>
      </c>
      <c r="AF33" s="2126">
        <v>0</v>
      </c>
      <c r="AG33" s="1212">
        <v>1</v>
      </c>
      <c r="AH33" s="1212">
        <v>0</v>
      </c>
      <c r="AI33" s="1212">
        <v>0</v>
      </c>
      <c r="AJ33" s="1212">
        <v>1</v>
      </c>
      <c r="AK33" s="2126">
        <v>0</v>
      </c>
      <c r="AL33" s="2126">
        <v>0</v>
      </c>
      <c r="AM33" s="2126">
        <v>0</v>
      </c>
      <c r="AN33" s="2126">
        <v>0</v>
      </c>
      <c r="AO33" s="1743" t="s">
        <v>131</v>
      </c>
      <c r="AP33" s="1743"/>
      <c r="AQ33" s="1764">
        <v>2014</v>
      </c>
      <c r="AR33" s="1743" t="s">
        <v>87</v>
      </c>
      <c r="AS33" s="2135"/>
      <c r="AT33" s="2135"/>
      <c r="AU33" s="1212">
        <v>0.33333333333333331</v>
      </c>
      <c r="AV33" s="1212">
        <v>0.33333333333333331</v>
      </c>
      <c r="AW33" s="1212">
        <v>0.33333333333333331</v>
      </c>
      <c r="AX33" s="1212"/>
      <c r="AY33" s="1212"/>
      <c r="AZ33" s="1212"/>
      <c r="BA33" s="1212"/>
      <c r="BB33" s="1212"/>
      <c r="BC33" s="1212"/>
      <c r="BD33" s="1212"/>
      <c r="BE33" s="1212"/>
      <c r="BF33" s="2126">
        <v>0</v>
      </c>
      <c r="BG33" s="2126">
        <v>0</v>
      </c>
      <c r="BH33" s="2126">
        <v>0</v>
      </c>
      <c r="BI33" s="2126">
        <v>0</v>
      </c>
      <c r="BJ33" s="2126">
        <v>0</v>
      </c>
      <c r="BK33" s="2126">
        <v>0</v>
      </c>
      <c r="BL33" s="2126">
        <v>0</v>
      </c>
      <c r="BM33" s="2126">
        <v>0</v>
      </c>
      <c r="BN33" s="2126">
        <v>0</v>
      </c>
      <c r="BO33" s="2126">
        <v>0</v>
      </c>
      <c r="BP33" s="2126">
        <v>0</v>
      </c>
      <c r="BQ33" s="2126">
        <v>0</v>
      </c>
      <c r="BR33" s="2126">
        <v>0</v>
      </c>
    </row>
    <row r="34" spans="1:70" s="1765" customFormat="1" ht="49.5">
      <c r="A34" s="1272">
        <v>2000</v>
      </c>
      <c r="B34" s="971" t="s">
        <v>119</v>
      </c>
      <c r="C34" s="1272">
        <v>2100</v>
      </c>
      <c r="D34" s="971" t="s">
        <v>120</v>
      </c>
      <c r="E34" s="971" t="s">
        <v>133</v>
      </c>
      <c r="F34" s="971" t="s">
        <v>122</v>
      </c>
      <c r="G34" s="971">
        <v>2110</v>
      </c>
      <c r="H34" s="971" t="s">
        <v>122</v>
      </c>
      <c r="I34" s="1273"/>
      <c r="J34" s="971" t="s">
        <v>124</v>
      </c>
      <c r="K34" s="971"/>
      <c r="L34" s="971"/>
      <c r="M34" s="971"/>
      <c r="N34" s="971"/>
      <c r="O34" s="971"/>
      <c r="P34" s="971"/>
      <c r="Q34" s="971" t="s">
        <v>137</v>
      </c>
      <c r="R34" s="1266" t="s">
        <v>135</v>
      </c>
      <c r="S34" s="2106">
        <v>0</v>
      </c>
      <c r="T34" s="1266" t="s">
        <v>136</v>
      </c>
      <c r="U34" s="1742" t="s">
        <v>6588</v>
      </c>
      <c r="V34" s="1742" t="s">
        <v>6588</v>
      </c>
      <c r="W34" s="1742" t="s">
        <v>6588</v>
      </c>
      <c r="X34" s="1742" t="s">
        <v>6588</v>
      </c>
      <c r="Y34" s="2106" t="s">
        <v>6588</v>
      </c>
      <c r="Z34" s="2106">
        <v>0</v>
      </c>
      <c r="AA34" s="2106">
        <v>0</v>
      </c>
      <c r="AB34" s="2106">
        <v>0</v>
      </c>
      <c r="AC34" s="2106">
        <v>0</v>
      </c>
      <c r="AD34" s="1744">
        <v>0</v>
      </c>
      <c r="AE34" s="2126">
        <v>0</v>
      </c>
      <c r="AF34" s="2126">
        <v>0</v>
      </c>
      <c r="AG34" s="1212">
        <v>1</v>
      </c>
      <c r="AH34" s="1212">
        <v>0</v>
      </c>
      <c r="AI34" s="1212">
        <v>0</v>
      </c>
      <c r="AJ34" s="1212">
        <v>1</v>
      </c>
      <c r="AK34" s="2126">
        <v>0</v>
      </c>
      <c r="AL34" s="2126">
        <v>0</v>
      </c>
      <c r="AM34" s="2126">
        <v>0</v>
      </c>
      <c r="AN34" s="2126">
        <v>0</v>
      </c>
      <c r="AO34" s="1743" t="s">
        <v>131</v>
      </c>
      <c r="AP34" s="1743"/>
      <c r="AQ34" s="1764">
        <v>2014</v>
      </c>
      <c r="AR34" s="1743" t="s">
        <v>87</v>
      </c>
      <c r="AS34" s="2135"/>
      <c r="AT34" s="2135"/>
      <c r="AU34" s="1212">
        <v>0.33333333333333331</v>
      </c>
      <c r="AV34" s="1212">
        <v>0.33333333333333331</v>
      </c>
      <c r="AW34" s="1212">
        <v>0.33333333333333331</v>
      </c>
      <c r="AX34" s="1212"/>
      <c r="AY34" s="1212"/>
      <c r="AZ34" s="1212"/>
      <c r="BA34" s="1212"/>
      <c r="BB34" s="1212"/>
      <c r="BC34" s="1212"/>
      <c r="BD34" s="1212"/>
      <c r="BE34" s="1212"/>
      <c r="BF34" s="2126">
        <v>0</v>
      </c>
      <c r="BG34" s="2126">
        <v>0</v>
      </c>
      <c r="BH34" s="2126">
        <v>0</v>
      </c>
      <c r="BI34" s="2126">
        <v>0</v>
      </c>
      <c r="BJ34" s="2126">
        <v>0</v>
      </c>
      <c r="BK34" s="2126">
        <v>0</v>
      </c>
      <c r="BL34" s="2126">
        <v>0</v>
      </c>
      <c r="BM34" s="2126">
        <v>0</v>
      </c>
      <c r="BN34" s="2126">
        <v>0</v>
      </c>
      <c r="BO34" s="2126">
        <v>0</v>
      </c>
      <c r="BP34" s="2126">
        <v>0</v>
      </c>
      <c r="BQ34" s="2126">
        <v>0</v>
      </c>
      <c r="BR34" s="2126">
        <v>0</v>
      </c>
    </row>
    <row r="35" spans="1:70" s="1765" customFormat="1" ht="49.5">
      <c r="A35" s="1272">
        <v>2000</v>
      </c>
      <c r="B35" s="971" t="s">
        <v>119</v>
      </c>
      <c r="C35" s="1272">
        <v>2100</v>
      </c>
      <c r="D35" s="971" t="s">
        <v>120</v>
      </c>
      <c r="E35" s="971" t="s">
        <v>133</v>
      </c>
      <c r="F35" s="971" t="s">
        <v>122</v>
      </c>
      <c r="G35" s="971">
        <v>2110</v>
      </c>
      <c r="H35" s="971" t="s">
        <v>122</v>
      </c>
      <c r="I35" s="1273"/>
      <c r="J35" s="971" t="s">
        <v>124</v>
      </c>
      <c r="K35" s="971"/>
      <c r="L35" s="971"/>
      <c r="M35" s="971"/>
      <c r="N35" s="971"/>
      <c r="O35" s="971"/>
      <c r="P35" s="971"/>
      <c r="Q35" s="971" t="s">
        <v>138</v>
      </c>
      <c r="R35" s="1266" t="s">
        <v>135</v>
      </c>
      <c r="S35" s="2106">
        <v>0</v>
      </c>
      <c r="T35" s="1266" t="s">
        <v>136</v>
      </c>
      <c r="U35" s="1742" t="s">
        <v>6588</v>
      </c>
      <c r="V35" s="1742" t="s">
        <v>6588</v>
      </c>
      <c r="W35" s="1742" t="s">
        <v>6588</v>
      </c>
      <c r="X35" s="1742" t="s">
        <v>6588</v>
      </c>
      <c r="Y35" s="2106" t="s">
        <v>6588</v>
      </c>
      <c r="Z35" s="2106">
        <v>0</v>
      </c>
      <c r="AA35" s="2106">
        <v>0</v>
      </c>
      <c r="AB35" s="2106">
        <v>0</v>
      </c>
      <c r="AC35" s="2106">
        <v>0</v>
      </c>
      <c r="AD35" s="1744">
        <v>0</v>
      </c>
      <c r="AE35" s="2126">
        <v>0</v>
      </c>
      <c r="AF35" s="2126">
        <v>0</v>
      </c>
      <c r="AG35" s="1212">
        <v>1</v>
      </c>
      <c r="AH35" s="1212">
        <v>0</v>
      </c>
      <c r="AI35" s="1212">
        <v>0</v>
      </c>
      <c r="AJ35" s="1212">
        <v>1</v>
      </c>
      <c r="AK35" s="2126">
        <v>0</v>
      </c>
      <c r="AL35" s="2126">
        <v>0</v>
      </c>
      <c r="AM35" s="2126">
        <v>0</v>
      </c>
      <c r="AN35" s="2126">
        <v>0</v>
      </c>
      <c r="AO35" s="1743" t="s">
        <v>131</v>
      </c>
      <c r="AP35" s="1743"/>
      <c r="AQ35" s="1764">
        <v>2014</v>
      </c>
      <c r="AR35" s="1743" t="s">
        <v>87</v>
      </c>
      <c r="AS35" s="2135"/>
      <c r="AT35" s="2135"/>
      <c r="AU35" s="1212">
        <v>0.33333333333333331</v>
      </c>
      <c r="AV35" s="1212">
        <v>0.33333333333333331</v>
      </c>
      <c r="AW35" s="1212">
        <v>0.33333333333333331</v>
      </c>
      <c r="AX35" s="1212"/>
      <c r="AY35" s="1212"/>
      <c r="AZ35" s="1212"/>
      <c r="BA35" s="1212"/>
      <c r="BB35" s="1212"/>
      <c r="BC35" s="1212"/>
      <c r="BD35" s="1212"/>
      <c r="BE35" s="1212"/>
      <c r="BF35" s="2126">
        <v>0</v>
      </c>
      <c r="BG35" s="2126">
        <v>0</v>
      </c>
      <c r="BH35" s="2126">
        <v>0</v>
      </c>
      <c r="BI35" s="2126">
        <v>0</v>
      </c>
      <c r="BJ35" s="2126">
        <v>0</v>
      </c>
      <c r="BK35" s="2126">
        <v>0</v>
      </c>
      <c r="BL35" s="2126">
        <v>0</v>
      </c>
      <c r="BM35" s="2126">
        <v>0</v>
      </c>
      <c r="BN35" s="2126">
        <v>0</v>
      </c>
      <c r="BO35" s="2126">
        <v>0</v>
      </c>
      <c r="BP35" s="2126">
        <v>0</v>
      </c>
      <c r="BQ35" s="2126">
        <v>0</v>
      </c>
      <c r="BR35" s="2126">
        <v>0</v>
      </c>
    </row>
    <row r="36" spans="1:70" s="1765" customFormat="1" ht="49.5">
      <c r="A36" s="1272">
        <v>2000</v>
      </c>
      <c r="B36" s="971" t="s">
        <v>119</v>
      </c>
      <c r="C36" s="1272">
        <v>2100</v>
      </c>
      <c r="D36" s="971" t="s">
        <v>120</v>
      </c>
      <c r="E36" s="971" t="s">
        <v>133</v>
      </c>
      <c r="F36" s="971" t="s">
        <v>122</v>
      </c>
      <c r="G36" s="971">
        <v>2110</v>
      </c>
      <c r="H36" s="971" t="s">
        <v>122</v>
      </c>
      <c r="I36" s="1273" t="s">
        <v>139</v>
      </c>
      <c r="J36" s="971" t="s">
        <v>124</v>
      </c>
      <c r="K36" s="971" t="s">
        <v>140</v>
      </c>
      <c r="L36" s="971" t="s">
        <v>2909</v>
      </c>
      <c r="M36" s="971" t="s">
        <v>140</v>
      </c>
      <c r="N36" s="971" t="s">
        <v>141</v>
      </c>
      <c r="O36" s="971" t="s">
        <v>142</v>
      </c>
      <c r="P36" s="971"/>
      <c r="Q36" s="971" t="s">
        <v>143</v>
      </c>
      <c r="R36" s="1266" t="s">
        <v>130</v>
      </c>
      <c r="S36" s="2106">
        <v>14.869888475836431</v>
      </c>
      <c r="T36" s="1266" t="s">
        <v>136</v>
      </c>
      <c r="U36" s="1742">
        <v>0</v>
      </c>
      <c r="V36" s="1742">
        <v>0</v>
      </c>
      <c r="W36" s="1742">
        <v>0</v>
      </c>
      <c r="X36" s="1742">
        <v>0</v>
      </c>
      <c r="Y36" s="2106">
        <v>0</v>
      </c>
      <c r="Z36" s="2106">
        <v>0</v>
      </c>
      <c r="AA36" s="2106">
        <v>0</v>
      </c>
      <c r="AB36" s="2106">
        <v>0</v>
      </c>
      <c r="AC36" s="2106">
        <v>0</v>
      </c>
      <c r="AD36" s="1744">
        <v>0</v>
      </c>
      <c r="AE36" s="2126">
        <v>0</v>
      </c>
      <c r="AF36" s="2126">
        <v>0</v>
      </c>
      <c r="AG36" s="1212">
        <v>1</v>
      </c>
      <c r="AH36" s="1212">
        <v>0</v>
      </c>
      <c r="AI36" s="1212">
        <v>0</v>
      </c>
      <c r="AJ36" s="1212">
        <v>1</v>
      </c>
      <c r="AK36" s="2126">
        <v>0</v>
      </c>
      <c r="AL36" s="2126">
        <v>0</v>
      </c>
      <c r="AM36" s="2126">
        <v>0</v>
      </c>
      <c r="AN36" s="2126">
        <v>0</v>
      </c>
      <c r="AO36" s="1743" t="s">
        <v>131</v>
      </c>
      <c r="AP36" s="1743"/>
      <c r="AQ36" s="1764">
        <v>2014</v>
      </c>
      <c r="AR36" s="1743" t="s">
        <v>87</v>
      </c>
      <c r="AS36" s="2135"/>
      <c r="AT36" s="2135"/>
      <c r="AU36" s="1212">
        <v>0.33333333333333331</v>
      </c>
      <c r="AV36" s="1212">
        <v>0.33333333333333331</v>
      </c>
      <c r="AW36" s="1212">
        <v>0.33333333333333331</v>
      </c>
      <c r="AX36" s="1212"/>
      <c r="AY36" s="1212"/>
      <c r="AZ36" s="1212"/>
      <c r="BA36" s="1212"/>
      <c r="BB36" s="1212"/>
      <c r="BC36" s="1212"/>
      <c r="BD36" s="1212"/>
      <c r="BE36" s="1212"/>
      <c r="BF36" s="2126">
        <v>0</v>
      </c>
      <c r="BG36" s="2126">
        <v>0</v>
      </c>
      <c r="BH36" s="2126">
        <v>0</v>
      </c>
      <c r="BI36" s="2126">
        <v>0</v>
      </c>
      <c r="BJ36" s="2126">
        <v>0</v>
      </c>
      <c r="BK36" s="2126">
        <v>0</v>
      </c>
      <c r="BL36" s="2126">
        <v>0</v>
      </c>
      <c r="BM36" s="2126">
        <v>0</v>
      </c>
      <c r="BN36" s="2126">
        <v>0</v>
      </c>
      <c r="BO36" s="2126">
        <v>0</v>
      </c>
      <c r="BP36" s="2126">
        <v>0</v>
      </c>
      <c r="BQ36" s="2126">
        <v>0</v>
      </c>
      <c r="BR36" s="2126">
        <v>0</v>
      </c>
    </row>
    <row r="37" spans="1:70" s="1765" customFormat="1" ht="49.5">
      <c r="A37" s="1272">
        <v>2000</v>
      </c>
      <c r="B37" s="971" t="s">
        <v>119</v>
      </c>
      <c r="C37" s="1272">
        <v>2100</v>
      </c>
      <c r="D37" s="971" t="s">
        <v>120</v>
      </c>
      <c r="E37" s="971" t="s">
        <v>133</v>
      </c>
      <c r="F37" s="971" t="s">
        <v>122</v>
      </c>
      <c r="G37" s="971">
        <v>2110</v>
      </c>
      <c r="H37" s="971" t="s">
        <v>122</v>
      </c>
      <c r="I37" s="1273" t="s">
        <v>144</v>
      </c>
      <c r="J37" s="971" t="s">
        <v>124</v>
      </c>
      <c r="K37" s="971"/>
      <c r="L37" s="971" t="e">
        <v>#N/A</v>
      </c>
      <c r="M37" s="971" t="s">
        <v>145</v>
      </c>
      <c r="N37" s="971" t="s">
        <v>141</v>
      </c>
      <c r="O37" s="971" t="s">
        <v>146</v>
      </c>
      <c r="P37" s="971"/>
      <c r="Q37" s="971" t="s">
        <v>147</v>
      </c>
      <c r="R37" s="1266" t="s">
        <v>130</v>
      </c>
      <c r="S37" s="2106">
        <v>14.869888475836431</v>
      </c>
      <c r="T37" s="1266" t="s">
        <v>136</v>
      </c>
      <c r="U37" s="1742" t="s">
        <v>6588</v>
      </c>
      <c r="V37" s="1742" t="s">
        <v>6588</v>
      </c>
      <c r="W37" s="1742" t="s">
        <v>6588</v>
      </c>
      <c r="X37" s="1742" t="s">
        <v>6588</v>
      </c>
      <c r="Y37" s="2106" t="s">
        <v>6588</v>
      </c>
      <c r="Z37" s="2106">
        <v>0</v>
      </c>
      <c r="AA37" s="2106">
        <v>0</v>
      </c>
      <c r="AB37" s="2106">
        <v>0</v>
      </c>
      <c r="AC37" s="2106">
        <v>0</v>
      </c>
      <c r="AD37" s="1744">
        <v>0</v>
      </c>
      <c r="AE37" s="2126">
        <v>0</v>
      </c>
      <c r="AF37" s="2126">
        <v>0</v>
      </c>
      <c r="AG37" s="1212">
        <v>1</v>
      </c>
      <c r="AH37" s="1212">
        <v>0</v>
      </c>
      <c r="AI37" s="1212">
        <v>0</v>
      </c>
      <c r="AJ37" s="1212">
        <v>1</v>
      </c>
      <c r="AK37" s="2126">
        <v>0</v>
      </c>
      <c r="AL37" s="2126">
        <v>0</v>
      </c>
      <c r="AM37" s="2126">
        <v>0</v>
      </c>
      <c r="AN37" s="2126">
        <v>0</v>
      </c>
      <c r="AO37" s="1743" t="s">
        <v>131</v>
      </c>
      <c r="AP37" s="1743"/>
      <c r="AQ37" s="1764">
        <v>2014</v>
      </c>
      <c r="AR37" s="1743" t="s">
        <v>87</v>
      </c>
      <c r="AS37" s="2135"/>
      <c r="AT37" s="2135"/>
      <c r="AU37" s="1212">
        <v>0.33333333333333331</v>
      </c>
      <c r="AV37" s="1212">
        <v>0.33333333333333331</v>
      </c>
      <c r="AW37" s="1212">
        <v>0.33333333333333331</v>
      </c>
      <c r="AX37" s="1212"/>
      <c r="AY37" s="1212"/>
      <c r="AZ37" s="1212"/>
      <c r="BA37" s="1212"/>
      <c r="BB37" s="1212"/>
      <c r="BC37" s="1212"/>
      <c r="BD37" s="1212"/>
      <c r="BE37" s="1212"/>
      <c r="BF37" s="2126">
        <v>0</v>
      </c>
      <c r="BG37" s="2126">
        <v>0</v>
      </c>
      <c r="BH37" s="2126">
        <v>0</v>
      </c>
      <c r="BI37" s="2126">
        <v>0</v>
      </c>
      <c r="BJ37" s="2126">
        <v>0</v>
      </c>
      <c r="BK37" s="2126">
        <v>0</v>
      </c>
      <c r="BL37" s="2126">
        <v>0</v>
      </c>
      <c r="BM37" s="2126">
        <v>0</v>
      </c>
      <c r="BN37" s="2126">
        <v>0</v>
      </c>
      <c r="BO37" s="2126">
        <v>0</v>
      </c>
      <c r="BP37" s="2126">
        <v>0</v>
      </c>
      <c r="BQ37" s="2126">
        <v>0</v>
      </c>
      <c r="BR37" s="2126">
        <v>0</v>
      </c>
    </row>
    <row r="38" spans="1:70" s="1765" customFormat="1" ht="33">
      <c r="A38" s="1272">
        <v>2000</v>
      </c>
      <c r="B38" s="971" t="s">
        <v>119</v>
      </c>
      <c r="C38" s="1272">
        <v>2100</v>
      </c>
      <c r="D38" s="971" t="s">
        <v>120</v>
      </c>
      <c r="E38" s="971">
        <v>2130</v>
      </c>
      <c r="F38" s="971" t="s">
        <v>148</v>
      </c>
      <c r="G38" s="971">
        <v>2131</v>
      </c>
      <c r="H38" s="971" t="s">
        <v>149</v>
      </c>
      <c r="I38" s="1273"/>
      <c r="J38" s="971" t="s">
        <v>121</v>
      </c>
      <c r="K38" s="971" t="s">
        <v>150</v>
      </c>
      <c r="L38" s="971" t="s">
        <v>2800</v>
      </c>
      <c r="M38" s="971" t="s">
        <v>80</v>
      </c>
      <c r="N38" s="971" t="s">
        <v>83</v>
      </c>
      <c r="O38" s="971" t="s">
        <v>151</v>
      </c>
      <c r="P38" s="971" t="s">
        <v>152</v>
      </c>
      <c r="Q38" s="971" t="s">
        <v>153</v>
      </c>
      <c r="R38" s="1266"/>
      <c r="S38" s="2106">
        <v>45000</v>
      </c>
      <c r="T38" s="1266" t="s">
        <v>136</v>
      </c>
      <c r="U38" s="1742">
        <v>1.2691883296460175E-2</v>
      </c>
      <c r="V38" s="1742">
        <v>0.14624999999999999</v>
      </c>
      <c r="W38" s="1742">
        <v>1.1186625937499999</v>
      </c>
      <c r="X38" s="1742">
        <v>0.4015178457754629</v>
      </c>
      <c r="Y38" s="2106">
        <v>1.6649423457754629</v>
      </c>
      <c r="Z38" s="2106">
        <v>571.13474834070792</v>
      </c>
      <c r="AA38" s="2106">
        <v>6581.25</v>
      </c>
      <c r="AB38" s="2106">
        <v>50339.816718749993</v>
      </c>
      <c r="AC38" s="2106">
        <v>18068.303059895832</v>
      </c>
      <c r="AD38" s="1744">
        <v>74989.369778645821</v>
      </c>
      <c r="AE38" s="2126">
        <v>0</v>
      </c>
      <c r="AF38" s="2126">
        <v>0</v>
      </c>
      <c r="AG38" s="1212">
        <v>1</v>
      </c>
      <c r="AH38" s="1212">
        <v>0</v>
      </c>
      <c r="AI38" s="1212">
        <v>0</v>
      </c>
      <c r="AJ38" s="1212">
        <v>1</v>
      </c>
      <c r="AK38" s="2126">
        <v>74989.369778645821</v>
      </c>
      <c r="AL38" s="2126">
        <v>0</v>
      </c>
      <c r="AM38" s="2126">
        <v>0</v>
      </c>
      <c r="AN38" s="2126">
        <v>74989.369778645821</v>
      </c>
      <c r="AO38" s="1743" t="s">
        <v>131</v>
      </c>
      <c r="AP38" s="1743"/>
      <c r="AQ38" s="1764">
        <v>2014</v>
      </c>
      <c r="AR38" s="1743" t="s">
        <v>87</v>
      </c>
      <c r="AS38" s="2135"/>
      <c r="AT38" s="2135"/>
      <c r="AU38" s="1212">
        <v>0.33333333333333331</v>
      </c>
      <c r="AV38" s="1212">
        <v>0.33333333333333331</v>
      </c>
      <c r="AW38" s="1212">
        <v>0.33333333333333331</v>
      </c>
      <c r="AX38" s="1212"/>
      <c r="AY38" s="1212"/>
      <c r="AZ38" s="1212"/>
      <c r="BA38" s="1212"/>
      <c r="BB38" s="1212"/>
      <c r="BC38" s="1212"/>
      <c r="BD38" s="1212"/>
      <c r="BE38" s="1212"/>
      <c r="BF38" s="2126">
        <v>0</v>
      </c>
      <c r="BG38" s="2126">
        <v>0</v>
      </c>
      <c r="BH38" s="2126">
        <v>24996.456592881939</v>
      </c>
      <c r="BI38" s="2126">
        <v>24996.456592881939</v>
      </c>
      <c r="BJ38" s="2126">
        <v>24996.456592881939</v>
      </c>
      <c r="BK38" s="2126">
        <v>0</v>
      </c>
      <c r="BL38" s="2126">
        <v>0</v>
      </c>
      <c r="BM38" s="2126">
        <v>0</v>
      </c>
      <c r="BN38" s="2126">
        <v>0</v>
      </c>
      <c r="BO38" s="2126">
        <v>0</v>
      </c>
      <c r="BP38" s="2126">
        <v>0</v>
      </c>
      <c r="BQ38" s="2126">
        <v>0</v>
      </c>
      <c r="BR38" s="2126">
        <v>0</v>
      </c>
    </row>
    <row r="39" spans="1:70" s="1765" customFormat="1" ht="33">
      <c r="A39" s="1272">
        <v>2000</v>
      </c>
      <c r="B39" s="971" t="s">
        <v>119</v>
      </c>
      <c r="C39" s="1272">
        <v>2100</v>
      </c>
      <c r="D39" s="971" t="s">
        <v>120</v>
      </c>
      <c r="E39" s="971">
        <v>2130</v>
      </c>
      <c r="F39" s="971" t="s">
        <v>148</v>
      </c>
      <c r="G39" s="971">
        <v>2131</v>
      </c>
      <c r="H39" s="971" t="s">
        <v>149</v>
      </c>
      <c r="I39" s="1273"/>
      <c r="J39" s="971" t="s">
        <v>121</v>
      </c>
      <c r="K39" s="971" t="s">
        <v>150</v>
      </c>
      <c r="L39" s="971" t="s">
        <v>2800</v>
      </c>
      <c r="M39" s="971" t="s">
        <v>80</v>
      </c>
      <c r="N39" s="971" t="s">
        <v>83</v>
      </c>
      <c r="O39" s="971" t="s">
        <v>151</v>
      </c>
      <c r="P39" s="971" t="s">
        <v>152</v>
      </c>
      <c r="Q39" s="971" t="s">
        <v>156</v>
      </c>
      <c r="R39" s="1266"/>
      <c r="S39" s="2106">
        <v>37375</v>
      </c>
      <c r="T39" s="1266" t="s">
        <v>136</v>
      </c>
      <c r="U39" s="1742">
        <v>1.2691883296460175E-2</v>
      </c>
      <c r="V39" s="1742">
        <v>0.14624999999999999</v>
      </c>
      <c r="W39" s="1742">
        <v>1.1186625937499999</v>
      </c>
      <c r="X39" s="1742">
        <v>0.4015178457754629</v>
      </c>
      <c r="Y39" s="2106">
        <v>1.6649423457754629</v>
      </c>
      <c r="Z39" s="2106">
        <v>474.35913820519903</v>
      </c>
      <c r="AA39" s="2106">
        <v>5466.09375</v>
      </c>
      <c r="AB39" s="2106">
        <v>41810.014441406245</v>
      </c>
      <c r="AC39" s="2106">
        <v>15006.729485857926</v>
      </c>
      <c r="AD39" s="1744">
        <v>62282.837677264171</v>
      </c>
      <c r="AE39" s="2126">
        <v>0</v>
      </c>
      <c r="AF39" s="2126">
        <v>0</v>
      </c>
      <c r="AG39" s="1212">
        <v>1</v>
      </c>
      <c r="AH39" s="1212">
        <v>0</v>
      </c>
      <c r="AI39" s="1212">
        <v>0</v>
      </c>
      <c r="AJ39" s="1212">
        <v>1</v>
      </c>
      <c r="AK39" s="2126">
        <v>62282.837677264171</v>
      </c>
      <c r="AL39" s="2126">
        <v>0</v>
      </c>
      <c r="AM39" s="2126">
        <v>0</v>
      </c>
      <c r="AN39" s="2126">
        <v>62282.837677264171</v>
      </c>
      <c r="AO39" s="1743" t="s">
        <v>131</v>
      </c>
      <c r="AP39" s="1743"/>
      <c r="AQ39" s="1764">
        <v>2014</v>
      </c>
      <c r="AR39" s="1743" t="s">
        <v>87</v>
      </c>
      <c r="AS39" s="2135"/>
      <c r="AT39" s="2135"/>
      <c r="AU39" s="1212">
        <v>0.33333333333333331</v>
      </c>
      <c r="AV39" s="1212">
        <v>0.33333333333333331</v>
      </c>
      <c r="AW39" s="1212">
        <v>0.33333333333333331</v>
      </c>
      <c r="AX39" s="1212"/>
      <c r="AY39" s="1212"/>
      <c r="AZ39" s="1212"/>
      <c r="BA39" s="1212"/>
      <c r="BB39" s="1212"/>
      <c r="BC39" s="1212"/>
      <c r="BD39" s="1212"/>
      <c r="BE39" s="1212"/>
      <c r="BF39" s="2126">
        <v>0</v>
      </c>
      <c r="BG39" s="2126">
        <v>0</v>
      </c>
      <c r="BH39" s="2126">
        <v>20760.94589242139</v>
      </c>
      <c r="BI39" s="2126">
        <v>20760.94589242139</v>
      </c>
      <c r="BJ39" s="2126">
        <v>20760.94589242139</v>
      </c>
      <c r="BK39" s="2126">
        <v>0</v>
      </c>
      <c r="BL39" s="2126">
        <v>0</v>
      </c>
      <c r="BM39" s="2126">
        <v>0</v>
      </c>
      <c r="BN39" s="2126">
        <v>0</v>
      </c>
      <c r="BO39" s="2126">
        <v>0</v>
      </c>
      <c r="BP39" s="2126">
        <v>0</v>
      </c>
      <c r="BQ39" s="2126">
        <v>0</v>
      </c>
      <c r="BR39" s="2126">
        <v>0</v>
      </c>
    </row>
    <row r="40" spans="1:70" s="1765" customFormat="1" ht="33">
      <c r="A40" s="1272">
        <v>2000</v>
      </c>
      <c r="B40" s="971" t="s">
        <v>119</v>
      </c>
      <c r="C40" s="1272">
        <v>2100</v>
      </c>
      <c r="D40" s="971" t="s">
        <v>120</v>
      </c>
      <c r="E40" s="971">
        <v>2130</v>
      </c>
      <c r="F40" s="971" t="s">
        <v>148</v>
      </c>
      <c r="G40" s="971">
        <v>2131</v>
      </c>
      <c r="H40" s="971" t="s">
        <v>149</v>
      </c>
      <c r="I40" s="1273"/>
      <c r="J40" s="971" t="s">
        <v>121</v>
      </c>
      <c r="K40" s="971" t="s">
        <v>150</v>
      </c>
      <c r="L40" s="971" t="s">
        <v>2800</v>
      </c>
      <c r="M40" s="971" t="s">
        <v>80</v>
      </c>
      <c r="N40" s="971" t="s">
        <v>83</v>
      </c>
      <c r="O40" s="971" t="s">
        <v>151</v>
      </c>
      <c r="P40" s="971" t="s">
        <v>152</v>
      </c>
      <c r="Q40" s="971" t="s">
        <v>157</v>
      </c>
      <c r="R40" s="1266"/>
      <c r="S40" s="2106">
        <v>131000</v>
      </c>
      <c r="T40" s="1266" t="s">
        <v>136</v>
      </c>
      <c r="U40" s="1742">
        <v>1.2691883296460175E-2</v>
      </c>
      <c r="V40" s="1742">
        <v>0.14624999999999999</v>
      </c>
      <c r="W40" s="1742">
        <v>1.1186625937499999</v>
      </c>
      <c r="X40" s="1742">
        <v>0.4015178457754629</v>
      </c>
      <c r="Y40" s="2106">
        <v>1.6649423457754629</v>
      </c>
      <c r="Z40" s="2106">
        <v>1662.636711836283</v>
      </c>
      <c r="AA40" s="2106">
        <v>19158.75</v>
      </c>
      <c r="AB40" s="2106">
        <v>146544.79978124998</v>
      </c>
      <c r="AC40" s="2106">
        <v>52598.837796585642</v>
      </c>
      <c r="AD40" s="1744">
        <v>218302.38757783562</v>
      </c>
      <c r="AE40" s="2126">
        <v>0</v>
      </c>
      <c r="AF40" s="2126">
        <v>0</v>
      </c>
      <c r="AG40" s="1212">
        <v>1</v>
      </c>
      <c r="AH40" s="1212">
        <v>0</v>
      </c>
      <c r="AI40" s="1212">
        <v>0</v>
      </c>
      <c r="AJ40" s="1212">
        <v>1</v>
      </c>
      <c r="AK40" s="2126">
        <v>218302.38757783562</v>
      </c>
      <c r="AL40" s="2126">
        <v>0</v>
      </c>
      <c r="AM40" s="2126">
        <v>0</v>
      </c>
      <c r="AN40" s="2126">
        <v>218302.38757783562</v>
      </c>
      <c r="AO40" s="1743" t="s">
        <v>85</v>
      </c>
      <c r="AP40" s="1743" t="s">
        <v>90</v>
      </c>
      <c r="AQ40" s="1764" t="s">
        <v>103</v>
      </c>
      <c r="AR40" s="1743" t="s">
        <v>87</v>
      </c>
      <c r="AS40" s="2135"/>
      <c r="AT40" s="2135"/>
      <c r="AU40" s="1212">
        <v>0.33333333333333331</v>
      </c>
      <c r="AV40" s="1212">
        <v>0.33333333333333331</v>
      </c>
      <c r="AW40" s="1212">
        <v>0.33333333333333331</v>
      </c>
      <c r="AX40" s="1212"/>
      <c r="AY40" s="1212"/>
      <c r="AZ40" s="1212"/>
      <c r="BA40" s="1212"/>
      <c r="BB40" s="1212"/>
      <c r="BC40" s="1212"/>
      <c r="BD40" s="1212"/>
      <c r="BE40" s="1212"/>
      <c r="BF40" s="2126">
        <v>0</v>
      </c>
      <c r="BG40" s="2126">
        <v>0</v>
      </c>
      <c r="BH40" s="2126">
        <v>72767.4625259452</v>
      </c>
      <c r="BI40" s="2126">
        <v>72767.4625259452</v>
      </c>
      <c r="BJ40" s="2126">
        <v>72767.4625259452</v>
      </c>
      <c r="BK40" s="2126">
        <v>0</v>
      </c>
      <c r="BL40" s="2126">
        <v>0</v>
      </c>
      <c r="BM40" s="2126">
        <v>0</v>
      </c>
      <c r="BN40" s="2126">
        <v>0</v>
      </c>
      <c r="BO40" s="2126">
        <v>0</v>
      </c>
      <c r="BP40" s="2126">
        <v>0</v>
      </c>
      <c r="BQ40" s="2126">
        <v>0</v>
      </c>
      <c r="BR40" s="2126">
        <v>0</v>
      </c>
    </row>
    <row r="41" spans="1:70" s="1765" customFormat="1" ht="33">
      <c r="A41" s="1272">
        <v>2000</v>
      </c>
      <c r="B41" s="971" t="s">
        <v>119</v>
      </c>
      <c r="C41" s="1272">
        <v>2100</v>
      </c>
      <c r="D41" s="971" t="s">
        <v>120</v>
      </c>
      <c r="E41" s="971">
        <v>2130</v>
      </c>
      <c r="F41" s="971" t="s">
        <v>148</v>
      </c>
      <c r="G41" s="971">
        <v>2131</v>
      </c>
      <c r="H41" s="971" t="s">
        <v>149</v>
      </c>
      <c r="I41" s="1273"/>
      <c r="J41" s="971" t="s">
        <v>121</v>
      </c>
      <c r="K41" s="971" t="s">
        <v>150</v>
      </c>
      <c r="L41" s="971" t="s">
        <v>2800</v>
      </c>
      <c r="M41" s="971" t="s">
        <v>80</v>
      </c>
      <c r="N41" s="971" t="s">
        <v>83</v>
      </c>
      <c r="O41" s="971" t="s">
        <v>151</v>
      </c>
      <c r="P41" s="971" t="s">
        <v>152</v>
      </c>
      <c r="Q41" s="971" t="s">
        <v>158</v>
      </c>
      <c r="R41" s="1266" t="s">
        <v>159</v>
      </c>
      <c r="S41" s="2106">
        <v>6000</v>
      </c>
      <c r="T41" s="1266" t="s">
        <v>136</v>
      </c>
      <c r="U41" s="1742">
        <v>1.2691883296460175E-2</v>
      </c>
      <c r="V41" s="1742">
        <v>0.14624999999999999</v>
      </c>
      <c r="W41" s="1742">
        <v>1.1186625937499999</v>
      </c>
      <c r="X41" s="1742">
        <v>0.4015178457754629</v>
      </c>
      <c r="Y41" s="2106">
        <v>1.6649423457754629</v>
      </c>
      <c r="Z41" s="2106">
        <v>76.151299778761057</v>
      </c>
      <c r="AA41" s="2106">
        <v>877.5</v>
      </c>
      <c r="AB41" s="2106">
        <v>6711.9755624999989</v>
      </c>
      <c r="AC41" s="2106">
        <v>2409.1070746527776</v>
      </c>
      <c r="AD41" s="1744">
        <v>9998.5826371527764</v>
      </c>
      <c r="AE41" s="2126">
        <v>0</v>
      </c>
      <c r="AF41" s="2126">
        <v>0</v>
      </c>
      <c r="AG41" s="1212">
        <v>1</v>
      </c>
      <c r="AH41" s="1212">
        <v>0</v>
      </c>
      <c r="AI41" s="1212">
        <v>0</v>
      </c>
      <c r="AJ41" s="1212">
        <v>1</v>
      </c>
      <c r="AK41" s="2126">
        <v>9998.5826371527764</v>
      </c>
      <c r="AL41" s="2126">
        <v>0</v>
      </c>
      <c r="AM41" s="2126">
        <v>0</v>
      </c>
      <c r="AN41" s="2126">
        <v>9998.5826371527764</v>
      </c>
      <c r="AO41" s="1743" t="s">
        <v>85</v>
      </c>
      <c r="AP41" s="1743" t="s">
        <v>90</v>
      </c>
      <c r="AQ41" s="1764" t="s">
        <v>115</v>
      </c>
      <c r="AR41" s="1743" t="s">
        <v>87</v>
      </c>
      <c r="AS41" s="2135"/>
      <c r="AT41" s="2135"/>
      <c r="AU41" s="1212">
        <v>0.33333333333333331</v>
      </c>
      <c r="AV41" s="1212">
        <v>0.33333333333333331</v>
      </c>
      <c r="AW41" s="1212">
        <v>0.33333333333333331</v>
      </c>
      <c r="AX41" s="1212"/>
      <c r="AY41" s="1212"/>
      <c r="AZ41" s="1212"/>
      <c r="BA41" s="1212"/>
      <c r="BB41" s="1212"/>
      <c r="BC41" s="1212"/>
      <c r="BD41" s="1212"/>
      <c r="BE41" s="1212"/>
      <c r="BF41" s="2126">
        <v>0</v>
      </c>
      <c r="BG41" s="2126">
        <v>0</v>
      </c>
      <c r="BH41" s="2126">
        <v>3332.8608790509252</v>
      </c>
      <c r="BI41" s="2126">
        <v>3332.8608790509252</v>
      </c>
      <c r="BJ41" s="2126">
        <v>3332.8608790509252</v>
      </c>
      <c r="BK41" s="2126">
        <v>0</v>
      </c>
      <c r="BL41" s="2126">
        <v>0</v>
      </c>
      <c r="BM41" s="2126">
        <v>0</v>
      </c>
      <c r="BN41" s="2126">
        <v>0</v>
      </c>
      <c r="BO41" s="2126">
        <v>0</v>
      </c>
      <c r="BP41" s="2126">
        <v>0</v>
      </c>
      <c r="BQ41" s="2126">
        <v>0</v>
      </c>
      <c r="BR41" s="2126">
        <v>0</v>
      </c>
    </row>
    <row r="42" spans="1:70" s="1765" customFormat="1" ht="33">
      <c r="A42" s="1272">
        <v>2000</v>
      </c>
      <c r="B42" s="971" t="s">
        <v>119</v>
      </c>
      <c r="C42" s="1272">
        <v>2100</v>
      </c>
      <c r="D42" s="971" t="s">
        <v>120</v>
      </c>
      <c r="E42" s="971">
        <v>2130</v>
      </c>
      <c r="F42" s="971" t="s">
        <v>148</v>
      </c>
      <c r="G42" s="971">
        <v>2131</v>
      </c>
      <c r="H42" s="971" t="s">
        <v>149</v>
      </c>
      <c r="I42" s="1273"/>
      <c r="J42" s="971" t="s">
        <v>121</v>
      </c>
      <c r="K42" s="971" t="s">
        <v>150</v>
      </c>
      <c r="L42" s="971" t="s">
        <v>2800</v>
      </c>
      <c r="M42" s="971" t="s">
        <v>80</v>
      </c>
      <c r="N42" s="971" t="s">
        <v>83</v>
      </c>
      <c r="O42" s="971" t="s">
        <v>151</v>
      </c>
      <c r="P42" s="971" t="s">
        <v>152</v>
      </c>
      <c r="Q42" s="971" t="s">
        <v>158</v>
      </c>
      <c r="R42" s="1266" t="s">
        <v>159</v>
      </c>
      <c r="S42" s="2106">
        <v>-6000</v>
      </c>
      <c r="T42" s="1266" t="s">
        <v>136</v>
      </c>
      <c r="U42" s="1742">
        <v>1.2691883296460175E-2</v>
      </c>
      <c r="V42" s="1742">
        <v>0.14624999999999999</v>
      </c>
      <c r="W42" s="1742">
        <v>1.1186625937499999</v>
      </c>
      <c r="X42" s="1742">
        <v>0.4015178457754629</v>
      </c>
      <c r="Y42" s="2106">
        <v>1.6649423457754629</v>
      </c>
      <c r="Z42" s="2106">
        <v>-76.151299778761057</v>
      </c>
      <c r="AA42" s="2106">
        <v>-877.5</v>
      </c>
      <c r="AB42" s="2106">
        <v>-6711.9755624999989</v>
      </c>
      <c r="AC42" s="2106">
        <v>-2409.1070746527776</v>
      </c>
      <c r="AD42" s="1744">
        <v>-9998.5826371527764</v>
      </c>
      <c r="AE42" s="2126">
        <v>0</v>
      </c>
      <c r="AF42" s="2126">
        <v>0</v>
      </c>
      <c r="AG42" s="1212">
        <v>1</v>
      </c>
      <c r="AH42" s="1212">
        <v>0</v>
      </c>
      <c r="AI42" s="1212">
        <v>0</v>
      </c>
      <c r="AJ42" s="1212">
        <v>1</v>
      </c>
      <c r="AK42" s="2126">
        <v>-9998.5826371527764</v>
      </c>
      <c r="AL42" s="2126">
        <v>0</v>
      </c>
      <c r="AM42" s="2126">
        <v>0</v>
      </c>
      <c r="AN42" s="2126">
        <v>-9998.5826371527764</v>
      </c>
      <c r="AO42" s="1743" t="s">
        <v>85</v>
      </c>
      <c r="AP42" s="1743" t="s">
        <v>96</v>
      </c>
      <c r="AQ42" s="1764" t="s">
        <v>118</v>
      </c>
      <c r="AR42" s="1743" t="s">
        <v>87</v>
      </c>
      <c r="AS42" s="2135"/>
      <c r="AT42" s="2135"/>
      <c r="AU42" s="1212">
        <v>0.33333333333333331</v>
      </c>
      <c r="AV42" s="1212">
        <v>0.33333333333333331</v>
      </c>
      <c r="AW42" s="1212">
        <v>0.33333333333333331</v>
      </c>
      <c r="AX42" s="1212"/>
      <c r="AY42" s="1212"/>
      <c r="AZ42" s="1212"/>
      <c r="BA42" s="1212"/>
      <c r="BB42" s="1212"/>
      <c r="BC42" s="1212"/>
      <c r="BD42" s="1212"/>
      <c r="BE42" s="1212"/>
      <c r="BF42" s="2126">
        <v>0</v>
      </c>
      <c r="BG42" s="2126">
        <v>0</v>
      </c>
      <c r="BH42" s="2126">
        <v>-3332.8608790509252</v>
      </c>
      <c r="BI42" s="2126">
        <v>-3332.8608790509252</v>
      </c>
      <c r="BJ42" s="2126">
        <v>-3332.8608790509252</v>
      </c>
      <c r="BK42" s="2126">
        <v>0</v>
      </c>
      <c r="BL42" s="2126">
        <v>0</v>
      </c>
      <c r="BM42" s="2126">
        <v>0</v>
      </c>
      <c r="BN42" s="2126">
        <v>0</v>
      </c>
      <c r="BO42" s="2126">
        <v>0</v>
      </c>
      <c r="BP42" s="2126">
        <v>0</v>
      </c>
      <c r="BQ42" s="2126">
        <v>0</v>
      </c>
      <c r="BR42" s="2126">
        <v>0</v>
      </c>
    </row>
    <row r="43" spans="1:70" s="1765" customFormat="1" ht="33">
      <c r="A43" s="1272">
        <v>2000</v>
      </c>
      <c r="B43" s="971" t="s">
        <v>119</v>
      </c>
      <c r="C43" s="1272">
        <v>2100</v>
      </c>
      <c r="D43" s="971" t="s">
        <v>120</v>
      </c>
      <c r="E43" s="971">
        <v>2130</v>
      </c>
      <c r="F43" s="971" t="s">
        <v>148</v>
      </c>
      <c r="G43" s="971">
        <v>2131</v>
      </c>
      <c r="H43" s="971" t="s">
        <v>149</v>
      </c>
      <c r="I43" s="1273"/>
      <c r="J43" s="971" t="s">
        <v>121</v>
      </c>
      <c r="K43" s="971" t="s">
        <v>150</v>
      </c>
      <c r="L43" s="971" t="s">
        <v>2800</v>
      </c>
      <c r="M43" s="971" t="s">
        <v>80</v>
      </c>
      <c r="N43" s="971" t="s">
        <v>83</v>
      </c>
      <c r="O43" s="971" t="s">
        <v>151</v>
      </c>
      <c r="P43" s="971" t="s">
        <v>152</v>
      </c>
      <c r="Q43" s="971" t="s">
        <v>160</v>
      </c>
      <c r="R43" s="1266"/>
      <c r="S43" s="2106">
        <v>65000</v>
      </c>
      <c r="T43" s="1266" t="s">
        <v>136</v>
      </c>
      <c r="U43" s="1742">
        <v>1.2691883296460175E-2</v>
      </c>
      <c r="V43" s="1742">
        <v>0.14624999999999999</v>
      </c>
      <c r="W43" s="1742">
        <v>1.1186625937499999</v>
      </c>
      <c r="X43" s="1742">
        <v>0.4015178457754629</v>
      </c>
      <c r="Y43" s="2106">
        <v>1.6649423457754629</v>
      </c>
      <c r="Z43" s="2106">
        <v>824.97241426991138</v>
      </c>
      <c r="AA43" s="2106">
        <v>9506.25</v>
      </c>
      <c r="AB43" s="2106">
        <v>72713.068593749995</v>
      </c>
      <c r="AC43" s="2106">
        <v>26098.659975405088</v>
      </c>
      <c r="AD43" s="1744">
        <v>108317.97856915508</v>
      </c>
      <c r="AE43" s="2126">
        <v>0</v>
      </c>
      <c r="AF43" s="2126">
        <v>0</v>
      </c>
      <c r="AG43" s="1212">
        <v>1</v>
      </c>
      <c r="AH43" s="1212">
        <v>0</v>
      </c>
      <c r="AI43" s="1212">
        <v>0</v>
      </c>
      <c r="AJ43" s="1212">
        <v>1</v>
      </c>
      <c r="AK43" s="2126">
        <v>108317.97856915508</v>
      </c>
      <c r="AL43" s="2126">
        <v>0</v>
      </c>
      <c r="AM43" s="2126">
        <v>0</v>
      </c>
      <c r="AN43" s="2126">
        <v>108317.97856915508</v>
      </c>
      <c r="AO43" s="1743" t="s">
        <v>85</v>
      </c>
      <c r="AP43" s="1743" t="s">
        <v>90</v>
      </c>
      <c r="AQ43" s="1764" t="s">
        <v>103</v>
      </c>
      <c r="AR43" s="1743" t="s">
        <v>87</v>
      </c>
      <c r="AS43" s="2135"/>
      <c r="AT43" s="2135"/>
      <c r="AU43" s="1212">
        <v>0.33333333333333331</v>
      </c>
      <c r="AV43" s="1212">
        <v>0.33333333333333331</v>
      </c>
      <c r="AW43" s="1212">
        <v>0.33333333333333331</v>
      </c>
      <c r="AX43" s="1212"/>
      <c r="AY43" s="1212"/>
      <c r="AZ43" s="1212"/>
      <c r="BA43" s="1212"/>
      <c r="BB43" s="1212"/>
      <c r="BC43" s="1212"/>
      <c r="BD43" s="1212"/>
      <c r="BE43" s="1212"/>
      <c r="BF43" s="2126">
        <v>0</v>
      </c>
      <c r="BG43" s="2126">
        <v>0</v>
      </c>
      <c r="BH43" s="2126">
        <v>36105.992856385026</v>
      </c>
      <c r="BI43" s="2126">
        <v>36105.992856385026</v>
      </c>
      <c r="BJ43" s="2126">
        <v>36105.992856385026</v>
      </c>
      <c r="BK43" s="2126">
        <v>0</v>
      </c>
      <c r="BL43" s="2126">
        <v>0</v>
      </c>
      <c r="BM43" s="2126">
        <v>0</v>
      </c>
      <c r="BN43" s="2126">
        <v>0</v>
      </c>
      <c r="BO43" s="2126">
        <v>0</v>
      </c>
      <c r="BP43" s="2126">
        <v>0</v>
      </c>
      <c r="BQ43" s="2126">
        <v>0</v>
      </c>
      <c r="BR43" s="2126">
        <v>0</v>
      </c>
    </row>
    <row r="44" spans="1:70" s="1765" customFormat="1" ht="33">
      <c r="A44" s="1272">
        <v>2000</v>
      </c>
      <c r="B44" s="971" t="s">
        <v>119</v>
      </c>
      <c r="C44" s="1272">
        <v>2100</v>
      </c>
      <c r="D44" s="971" t="s">
        <v>120</v>
      </c>
      <c r="E44" s="971">
        <v>2130</v>
      </c>
      <c r="F44" s="971" t="s">
        <v>148</v>
      </c>
      <c r="G44" s="971">
        <v>2131</v>
      </c>
      <c r="H44" s="971" t="s">
        <v>149</v>
      </c>
      <c r="I44" s="1273"/>
      <c r="J44" s="971" t="s">
        <v>121</v>
      </c>
      <c r="K44" s="971" t="s">
        <v>150</v>
      </c>
      <c r="L44" s="971" t="s">
        <v>2800</v>
      </c>
      <c r="M44" s="971" t="s">
        <v>80</v>
      </c>
      <c r="N44" s="971" t="s">
        <v>83</v>
      </c>
      <c r="O44" s="971" t="s">
        <v>151</v>
      </c>
      <c r="P44" s="971" t="s">
        <v>152</v>
      </c>
      <c r="Q44" s="971" t="s">
        <v>161</v>
      </c>
      <c r="R44" s="1266"/>
      <c r="S44" s="2106">
        <v>32000</v>
      </c>
      <c r="T44" s="1266" t="s">
        <v>136</v>
      </c>
      <c r="U44" s="1742">
        <v>1.2691883296460175E-2</v>
      </c>
      <c r="V44" s="1742">
        <v>0.14624999999999999</v>
      </c>
      <c r="W44" s="1742">
        <v>1.1186625937499999</v>
      </c>
      <c r="X44" s="1742">
        <v>0.4015178457754629</v>
      </c>
      <c r="Y44" s="2106">
        <v>1.6649423457754629</v>
      </c>
      <c r="Z44" s="2106">
        <v>406.14026548672558</v>
      </c>
      <c r="AA44" s="2106">
        <v>4680</v>
      </c>
      <c r="AB44" s="2106">
        <v>35797.202999999994</v>
      </c>
      <c r="AC44" s="2106">
        <v>12848.571064814812</v>
      </c>
      <c r="AD44" s="1744">
        <v>53325.774064814803</v>
      </c>
      <c r="AE44" s="2126">
        <v>0</v>
      </c>
      <c r="AF44" s="2126">
        <v>0</v>
      </c>
      <c r="AG44" s="1212">
        <v>1</v>
      </c>
      <c r="AH44" s="1212">
        <v>0</v>
      </c>
      <c r="AI44" s="1212">
        <v>0</v>
      </c>
      <c r="AJ44" s="1212">
        <v>1</v>
      </c>
      <c r="AK44" s="2126">
        <v>53325.774064814803</v>
      </c>
      <c r="AL44" s="2126">
        <v>0</v>
      </c>
      <c r="AM44" s="2126">
        <v>0</v>
      </c>
      <c r="AN44" s="2126">
        <v>53325.774064814803</v>
      </c>
      <c r="AO44" s="1743" t="s">
        <v>85</v>
      </c>
      <c r="AP44" s="1743" t="s">
        <v>90</v>
      </c>
      <c r="AQ44" s="1764" t="s">
        <v>103</v>
      </c>
      <c r="AR44" s="1743" t="s">
        <v>87</v>
      </c>
      <c r="AS44" s="2135"/>
      <c r="AT44" s="2135"/>
      <c r="AU44" s="1212">
        <v>0.33333333333333331</v>
      </c>
      <c r="AV44" s="1212">
        <v>0.33333333333333331</v>
      </c>
      <c r="AW44" s="1212">
        <v>0.33333333333333331</v>
      </c>
      <c r="AX44" s="1212"/>
      <c r="AY44" s="1212"/>
      <c r="AZ44" s="1212"/>
      <c r="BA44" s="1212"/>
      <c r="BB44" s="1212"/>
      <c r="BC44" s="1212"/>
      <c r="BD44" s="1212"/>
      <c r="BE44" s="1212"/>
      <c r="BF44" s="2126">
        <v>0</v>
      </c>
      <c r="BG44" s="2126">
        <v>0</v>
      </c>
      <c r="BH44" s="2126">
        <v>17775.258021604932</v>
      </c>
      <c r="BI44" s="2126">
        <v>17775.258021604932</v>
      </c>
      <c r="BJ44" s="2126">
        <v>17775.258021604932</v>
      </c>
      <c r="BK44" s="2126">
        <v>0</v>
      </c>
      <c r="BL44" s="2126">
        <v>0</v>
      </c>
      <c r="BM44" s="2126">
        <v>0</v>
      </c>
      <c r="BN44" s="2126">
        <v>0</v>
      </c>
      <c r="BO44" s="2126">
        <v>0</v>
      </c>
      <c r="BP44" s="2126">
        <v>0</v>
      </c>
      <c r="BQ44" s="2126">
        <v>0</v>
      </c>
      <c r="BR44" s="2126">
        <v>0</v>
      </c>
    </row>
    <row r="45" spans="1:70" s="1765" customFormat="1" ht="33">
      <c r="A45" s="1272">
        <v>2000</v>
      </c>
      <c r="B45" s="971" t="s">
        <v>119</v>
      </c>
      <c r="C45" s="1272">
        <v>2100</v>
      </c>
      <c r="D45" s="971" t="s">
        <v>120</v>
      </c>
      <c r="E45" s="971">
        <v>2130</v>
      </c>
      <c r="F45" s="971" t="s">
        <v>148</v>
      </c>
      <c r="G45" s="971">
        <v>2131</v>
      </c>
      <c r="H45" s="971" t="s">
        <v>149</v>
      </c>
      <c r="I45" s="1273"/>
      <c r="J45" s="971" t="s">
        <v>121</v>
      </c>
      <c r="K45" s="971" t="s">
        <v>150</v>
      </c>
      <c r="L45" s="971" t="s">
        <v>2800</v>
      </c>
      <c r="M45" s="971" t="s">
        <v>80</v>
      </c>
      <c r="N45" s="971" t="s">
        <v>83</v>
      </c>
      <c r="O45" s="971" t="s">
        <v>151</v>
      </c>
      <c r="P45" s="971" t="s">
        <v>152</v>
      </c>
      <c r="Q45" s="971" t="s">
        <v>162</v>
      </c>
      <c r="R45" s="1266"/>
      <c r="S45" s="2106">
        <v>21000</v>
      </c>
      <c r="T45" s="1266" t="s">
        <v>136</v>
      </c>
      <c r="U45" s="1742">
        <v>1.2691883296460175E-2</v>
      </c>
      <c r="V45" s="1742">
        <v>0.14624999999999999</v>
      </c>
      <c r="W45" s="1742">
        <v>1.1186625937499999</v>
      </c>
      <c r="X45" s="1742">
        <v>0.4015178457754629</v>
      </c>
      <c r="Y45" s="2106">
        <v>1.6649423457754629</v>
      </c>
      <c r="Z45" s="2106">
        <v>266.52954922566369</v>
      </c>
      <c r="AA45" s="2106">
        <v>3071.25</v>
      </c>
      <c r="AB45" s="2106">
        <v>23491.914468749997</v>
      </c>
      <c r="AC45" s="2106">
        <v>8431.8747612847201</v>
      </c>
      <c r="AD45" s="1744">
        <v>34995.039230034716</v>
      </c>
      <c r="AE45" s="2126">
        <v>0</v>
      </c>
      <c r="AF45" s="2126">
        <v>0</v>
      </c>
      <c r="AG45" s="1212">
        <v>1</v>
      </c>
      <c r="AH45" s="1212">
        <v>0</v>
      </c>
      <c r="AI45" s="1212">
        <v>0</v>
      </c>
      <c r="AJ45" s="1212">
        <v>1</v>
      </c>
      <c r="AK45" s="2126">
        <v>34995.039230034716</v>
      </c>
      <c r="AL45" s="2126">
        <v>0</v>
      </c>
      <c r="AM45" s="2126">
        <v>0</v>
      </c>
      <c r="AN45" s="2126">
        <v>34995.039230034716</v>
      </c>
      <c r="AO45" s="1743" t="s">
        <v>85</v>
      </c>
      <c r="AP45" s="1743" t="s">
        <v>90</v>
      </c>
      <c r="AQ45" s="1764" t="s">
        <v>103</v>
      </c>
      <c r="AR45" s="1743" t="s">
        <v>87</v>
      </c>
      <c r="AS45" s="2135"/>
      <c r="AT45" s="2135"/>
      <c r="AU45" s="1212">
        <v>0.33333333333333331</v>
      </c>
      <c r="AV45" s="1212">
        <v>0.33333333333333331</v>
      </c>
      <c r="AW45" s="1212">
        <v>0.33333333333333331</v>
      </c>
      <c r="AX45" s="1212"/>
      <c r="AY45" s="1212"/>
      <c r="AZ45" s="1212"/>
      <c r="BA45" s="1212"/>
      <c r="BB45" s="1212"/>
      <c r="BC45" s="1212"/>
      <c r="BD45" s="1212"/>
      <c r="BE45" s="1212"/>
      <c r="BF45" s="2126">
        <v>0</v>
      </c>
      <c r="BG45" s="2126">
        <v>0</v>
      </c>
      <c r="BH45" s="2126">
        <v>11665.013076678239</v>
      </c>
      <c r="BI45" s="2126">
        <v>11665.013076678239</v>
      </c>
      <c r="BJ45" s="2126">
        <v>11665.013076678239</v>
      </c>
      <c r="BK45" s="2126">
        <v>0</v>
      </c>
      <c r="BL45" s="2126">
        <v>0</v>
      </c>
      <c r="BM45" s="2126">
        <v>0</v>
      </c>
      <c r="BN45" s="2126">
        <v>0</v>
      </c>
      <c r="BO45" s="2126">
        <v>0</v>
      </c>
      <c r="BP45" s="2126">
        <v>0</v>
      </c>
      <c r="BQ45" s="2126">
        <v>0</v>
      </c>
      <c r="BR45" s="2126">
        <v>0</v>
      </c>
    </row>
    <row r="46" spans="1:70" s="1765" customFormat="1" ht="33">
      <c r="A46" s="1272">
        <v>2000</v>
      </c>
      <c r="B46" s="971" t="s">
        <v>119</v>
      </c>
      <c r="C46" s="1272">
        <v>2100</v>
      </c>
      <c r="D46" s="971" t="s">
        <v>120</v>
      </c>
      <c r="E46" s="971">
        <v>2130</v>
      </c>
      <c r="F46" s="971" t="s">
        <v>148</v>
      </c>
      <c r="G46" s="971">
        <v>2131</v>
      </c>
      <c r="H46" s="971" t="s">
        <v>149</v>
      </c>
      <c r="I46" s="1273"/>
      <c r="J46" s="971" t="s">
        <v>121</v>
      </c>
      <c r="K46" s="971" t="s">
        <v>150</v>
      </c>
      <c r="L46" s="971" t="s">
        <v>2800</v>
      </c>
      <c r="M46" s="971" t="s">
        <v>80</v>
      </c>
      <c r="N46" s="971" t="s">
        <v>83</v>
      </c>
      <c r="O46" s="971" t="s">
        <v>151</v>
      </c>
      <c r="P46" s="971" t="s">
        <v>152</v>
      </c>
      <c r="Q46" s="971" t="s">
        <v>163</v>
      </c>
      <c r="R46" s="1266"/>
      <c r="S46" s="2106">
        <v>-13000</v>
      </c>
      <c r="T46" s="1266" t="s">
        <v>136</v>
      </c>
      <c r="U46" s="1742">
        <v>1.2691883296460175E-2</v>
      </c>
      <c r="V46" s="1742">
        <v>0.14624999999999999</v>
      </c>
      <c r="W46" s="1742">
        <v>1.1186625937499999</v>
      </c>
      <c r="X46" s="1742">
        <v>0.4015178457754629</v>
      </c>
      <c r="Y46" s="2106">
        <v>1.6649423457754629</v>
      </c>
      <c r="Z46" s="2106">
        <v>-164.99448285398228</v>
      </c>
      <c r="AA46" s="2106">
        <v>-1901.2499999999998</v>
      </c>
      <c r="AB46" s="2106">
        <v>-14542.613718749999</v>
      </c>
      <c r="AC46" s="2106">
        <v>-5219.7319950810179</v>
      </c>
      <c r="AD46" s="1744">
        <v>-21663.595713831019</v>
      </c>
      <c r="AE46" s="2126">
        <v>0</v>
      </c>
      <c r="AF46" s="2126">
        <v>0</v>
      </c>
      <c r="AG46" s="1212">
        <v>1</v>
      </c>
      <c r="AH46" s="1212">
        <v>0</v>
      </c>
      <c r="AI46" s="1212">
        <v>0</v>
      </c>
      <c r="AJ46" s="1212">
        <v>1</v>
      </c>
      <c r="AK46" s="2126">
        <v>-21663.595713831019</v>
      </c>
      <c r="AL46" s="2126">
        <v>0</v>
      </c>
      <c r="AM46" s="2126">
        <v>0</v>
      </c>
      <c r="AN46" s="2126">
        <v>-21663.595713831019</v>
      </c>
      <c r="AO46" s="1743" t="s">
        <v>85</v>
      </c>
      <c r="AP46" s="1743" t="s">
        <v>96</v>
      </c>
      <c r="AQ46" s="1764" t="s">
        <v>164</v>
      </c>
      <c r="AR46" s="1743" t="s">
        <v>87</v>
      </c>
      <c r="AS46" s="2135"/>
      <c r="AT46" s="2135"/>
      <c r="AU46" s="1212">
        <v>0.33333333333333331</v>
      </c>
      <c r="AV46" s="1212">
        <v>0.33333333333333331</v>
      </c>
      <c r="AW46" s="1212">
        <v>0.33333333333333331</v>
      </c>
      <c r="AX46" s="1212"/>
      <c r="AY46" s="1212"/>
      <c r="AZ46" s="1212"/>
      <c r="BA46" s="1212"/>
      <c r="BB46" s="1212"/>
      <c r="BC46" s="1212"/>
      <c r="BD46" s="1212"/>
      <c r="BE46" s="1212"/>
      <c r="BF46" s="2126">
        <v>0</v>
      </c>
      <c r="BG46" s="2126">
        <v>0</v>
      </c>
      <c r="BH46" s="2126">
        <v>-7221.1985712770056</v>
      </c>
      <c r="BI46" s="2126">
        <v>-7221.1985712770056</v>
      </c>
      <c r="BJ46" s="2126">
        <v>-7221.1985712770056</v>
      </c>
      <c r="BK46" s="2126">
        <v>0</v>
      </c>
      <c r="BL46" s="2126">
        <v>0</v>
      </c>
      <c r="BM46" s="2126">
        <v>0</v>
      </c>
      <c r="BN46" s="2126">
        <v>0</v>
      </c>
      <c r="BO46" s="2126">
        <v>0</v>
      </c>
      <c r="BP46" s="2126">
        <v>0</v>
      </c>
      <c r="BQ46" s="2126">
        <v>0</v>
      </c>
      <c r="BR46" s="2126">
        <v>0</v>
      </c>
    </row>
    <row r="47" spans="1:70" s="1765" customFormat="1" ht="33">
      <c r="A47" s="1272">
        <v>2000</v>
      </c>
      <c r="B47" s="971" t="s">
        <v>119</v>
      </c>
      <c r="C47" s="1272">
        <v>2100</v>
      </c>
      <c r="D47" s="971" t="s">
        <v>120</v>
      </c>
      <c r="E47" s="971">
        <v>2130</v>
      </c>
      <c r="F47" s="971" t="s">
        <v>148</v>
      </c>
      <c r="G47" s="971">
        <v>2131</v>
      </c>
      <c r="H47" s="971" t="s">
        <v>149</v>
      </c>
      <c r="I47" s="1273"/>
      <c r="J47" s="971" t="s">
        <v>121</v>
      </c>
      <c r="K47" s="971" t="s">
        <v>150</v>
      </c>
      <c r="L47" s="971" t="s">
        <v>2800</v>
      </c>
      <c r="M47" s="971" t="s">
        <v>80</v>
      </c>
      <c r="N47" s="971" t="s">
        <v>83</v>
      </c>
      <c r="O47" s="971" t="s">
        <v>151</v>
      </c>
      <c r="P47" s="971" t="s">
        <v>152</v>
      </c>
      <c r="Q47" s="971" t="s">
        <v>161</v>
      </c>
      <c r="R47" s="1266"/>
      <c r="S47" s="2106">
        <v>30000</v>
      </c>
      <c r="T47" s="1266" t="s">
        <v>136</v>
      </c>
      <c r="U47" s="1742">
        <v>1.2691883296460175E-2</v>
      </c>
      <c r="V47" s="1742">
        <v>0.14624999999999999</v>
      </c>
      <c r="W47" s="1742">
        <v>1.1186625937499999</v>
      </c>
      <c r="X47" s="1742">
        <v>0.4015178457754629</v>
      </c>
      <c r="Y47" s="2106">
        <v>1.6649423457754629</v>
      </c>
      <c r="Z47" s="2106">
        <v>380.75649889380526</v>
      </c>
      <c r="AA47" s="2106">
        <v>4387.5</v>
      </c>
      <c r="AB47" s="2106">
        <v>33559.877812499995</v>
      </c>
      <c r="AC47" s="2106">
        <v>12045.535373263887</v>
      </c>
      <c r="AD47" s="1744">
        <v>49992.913185763886</v>
      </c>
      <c r="AE47" s="2126">
        <v>0</v>
      </c>
      <c r="AF47" s="2126">
        <v>0</v>
      </c>
      <c r="AG47" s="1212">
        <v>1</v>
      </c>
      <c r="AH47" s="1212">
        <v>0</v>
      </c>
      <c r="AI47" s="1212">
        <v>0</v>
      </c>
      <c r="AJ47" s="1212">
        <v>1</v>
      </c>
      <c r="AK47" s="2126">
        <v>49992.913185763886</v>
      </c>
      <c r="AL47" s="2126">
        <v>0</v>
      </c>
      <c r="AM47" s="2126">
        <v>0</v>
      </c>
      <c r="AN47" s="2126">
        <v>49992.913185763886</v>
      </c>
      <c r="AO47" s="1743" t="s">
        <v>85</v>
      </c>
      <c r="AP47" s="1743" t="s">
        <v>90</v>
      </c>
      <c r="AQ47" s="1764">
        <v>2019</v>
      </c>
      <c r="AR47" s="1743" t="s">
        <v>87</v>
      </c>
      <c r="AS47" s="2135"/>
      <c r="AT47" s="2135"/>
      <c r="AU47" s="1212">
        <v>0.33333333333333331</v>
      </c>
      <c r="AV47" s="1212">
        <v>0.33333333333333331</v>
      </c>
      <c r="AW47" s="1212">
        <v>0.33333333333333331</v>
      </c>
      <c r="AX47" s="1212"/>
      <c r="AY47" s="1212"/>
      <c r="AZ47" s="1212"/>
      <c r="BA47" s="1212"/>
      <c r="BB47" s="1212"/>
      <c r="BC47" s="1212"/>
      <c r="BD47" s="1212"/>
      <c r="BE47" s="1212"/>
      <c r="BF47" s="2126">
        <v>0</v>
      </c>
      <c r="BG47" s="2126">
        <v>0</v>
      </c>
      <c r="BH47" s="2126">
        <v>16664.304395254629</v>
      </c>
      <c r="BI47" s="2126">
        <v>16664.304395254629</v>
      </c>
      <c r="BJ47" s="2126">
        <v>16664.304395254629</v>
      </c>
      <c r="BK47" s="2126">
        <v>0</v>
      </c>
      <c r="BL47" s="2126">
        <v>0</v>
      </c>
      <c r="BM47" s="2126">
        <v>0</v>
      </c>
      <c r="BN47" s="2126">
        <v>0</v>
      </c>
      <c r="BO47" s="2126">
        <v>0</v>
      </c>
      <c r="BP47" s="2126">
        <v>0</v>
      </c>
      <c r="BQ47" s="2126">
        <v>0</v>
      </c>
      <c r="BR47" s="2126">
        <v>0</v>
      </c>
    </row>
    <row r="48" spans="1:70" s="1765" customFormat="1" ht="33">
      <c r="A48" s="1272">
        <v>2000</v>
      </c>
      <c r="B48" s="971" t="s">
        <v>119</v>
      </c>
      <c r="C48" s="1272">
        <v>2100</v>
      </c>
      <c r="D48" s="971" t="s">
        <v>120</v>
      </c>
      <c r="E48" s="971">
        <v>2130</v>
      </c>
      <c r="F48" s="971" t="s">
        <v>148</v>
      </c>
      <c r="G48" s="971">
        <v>2131</v>
      </c>
      <c r="H48" s="971" t="s">
        <v>149</v>
      </c>
      <c r="I48" s="1273"/>
      <c r="J48" s="971" t="s">
        <v>121</v>
      </c>
      <c r="K48" s="971" t="s">
        <v>150</v>
      </c>
      <c r="L48" s="971" t="s">
        <v>2800</v>
      </c>
      <c r="M48" s="971" t="s">
        <v>80</v>
      </c>
      <c r="N48" s="971" t="s">
        <v>83</v>
      </c>
      <c r="O48" s="971" t="s">
        <v>151</v>
      </c>
      <c r="P48" s="971" t="s">
        <v>152</v>
      </c>
      <c r="Q48" s="971" t="s">
        <v>163</v>
      </c>
      <c r="R48" s="1266"/>
      <c r="S48" s="2106">
        <v>13000</v>
      </c>
      <c r="T48" s="1266" t="s">
        <v>136</v>
      </c>
      <c r="U48" s="1742">
        <v>1.2691883296460175E-2</v>
      </c>
      <c r="V48" s="1742">
        <v>0.14624999999999999</v>
      </c>
      <c r="W48" s="1742">
        <v>1.1186625937499999</v>
      </c>
      <c r="X48" s="1742">
        <v>0.4015178457754629</v>
      </c>
      <c r="Y48" s="2106">
        <v>1.6649423457754629</v>
      </c>
      <c r="Z48" s="2106">
        <v>164.99448285398228</v>
      </c>
      <c r="AA48" s="2106">
        <v>1901.2499999999998</v>
      </c>
      <c r="AB48" s="2106">
        <v>14542.613718749999</v>
      </c>
      <c r="AC48" s="2106">
        <v>5219.7319950810179</v>
      </c>
      <c r="AD48" s="1744">
        <v>21663.595713831019</v>
      </c>
      <c r="AE48" s="2126">
        <v>0</v>
      </c>
      <c r="AF48" s="2126">
        <v>0</v>
      </c>
      <c r="AG48" s="1212">
        <v>1</v>
      </c>
      <c r="AH48" s="1212">
        <v>0</v>
      </c>
      <c r="AI48" s="1212">
        <v>0</v>
      </c>
      <c r="AJ48" s="1212">
        <v>1</v>
      </c>
      <c r="AK48" s="2126">
        <v>21663.595713831019</v>
      </c>
      <c r="AL48" s="2126">
        <v>0</v>
      </c>
      <c r="AM48" s="2126">
        <v>0</v>
      </c>
      <c r="AN48" s="2126">
        <v>21663.595713831019</v>
      </c>
      <c r="AO48" s="1743" t="s">
        <v>85</v>
      </c>
      <c r="AP48" s="1743" t="s">
        <v>90</v>
      </c>
      <c r="AQ48" s="1764" t="s">
        <v>103</v>
      </c>
      <c r="AR48" s="1743" t="s">
        <v>87</v>
      </c>
      <c r="AS48" s="2135"/>
      <c r="AT48" s="2135"/>
      <c r="AU48" s="1212">
        <v>0.33333333333333331</v>
      </c>
      <c r="AV48" s="1212">
        <v>0.33333333333333331</v>
      </c>
      <c r="AW48" s="1212">
        <v>0.33333333333333331</v>
      </c>
      <c r="AX48" s="1212"/>
      <c r="AY48" s="1212"/>
      <c r="AZ48" s="1212"/>
      <c r="BA48" s="1212"/>
      <c r="BB48" s="1212"/>
      <c r="BC48" s="1212"/>
      <c r="BD48" s="1212"/>
      <c r="BE48" s="1212"/>
      <c r="BF48" s="2126">
        <v>0</v>
      </c>
      <c r="BG48" s="2126">
        <v>0</v>
      </c>
      <c r="BH48" s="2126">
        <v>7221.1985712770056</v>
      </c>
      <c r="BI48" s="2126">
        <v>7221.1985712770056</v>
      </c>
      <c r="BJ48" s="2126">
        <v>7221.1985712770056</v>
      </c>
      <c r="BK48" s="2126">
        <v>0</v>
      </c>
      <c r="BL48" s="2126">
        <v>0</v>
      </c>
      <c r="BM48" s="2126">
        <v>0</v>
      </c>
      <c r="BN48" s="2126">
        <v>0</v>
      </c>
      <c r="BO48" s="2126">
        <v>0</v>
      </c>
      <c r="BP48" s="2126">
        <v>0</v>
      </c>
      <c r="BQ48" s="2126">
        <v>0</v>
      </c>
      <c r="BR48" s="2126">
        <v>0</v>
      </c>
    </row>
    <row r="49" spans="1:70" s="1765" customFormat="1" ht="33">
      <c r="A49" s="1272">
        <v>2000</v>
      </c>
      <c r="B49" s="971" t="s">
        <v>119</v>
      </c>
      <c r="C49" s="1272">
        <v>2100</v>
      </c>
      <c r="D49" s="971" t="s">
        <v>120</v>
      </c>
      <c r="E49" s="971">
        <v>2130</v>
      </c>
      <c r="F49" s="971" t="s">
        <v>148</v>
      </c>
      <c r="G49" s="971">
        <v>2131</v>
      </c>
      <c r="H49" s="971" t="s">
        <v>149</v>
      </c>
      <c r="I49" s="1273"/>
      <c r="J49" s="971" t="s">
        <v>121</v>
      </c>
      <c r="K49" s="971" t="s">
        <v>150</v>
      </c>
      <c r="L49" s="971" t="s">
        <v>2800</v>
      </c>
      <c r="M49" s="971" t="s">
        <v>80</v>
      </c>
      <c r="N49" s="971" t="s">
        <v>83</v>
      </c>
      <c r="O49" s="971" t="s">
        <v>151</v>
      </c>
      <c r="P49" s="971" t="s">
        <v>152</v>
      </c>
      <c r="Q49" s="971" t="s">
        <v>165</v>
      </c>
      <c r="R49" s="1266"/>
      <c r="S49" s="2106">
        <v>13000</v>
      </c>
      <c r="T49" s="1266" t="s">
        <v>136</v>
      </c>
      <c r="U49" s="1742">
        <v>1.2691883296460175E-2</v>
      </c>
      <c r="V49" s="1742">
        <v>0.14624999999999999</v>
      </c>
      <c r="W49" s="1742">
        <v>1.1186625937499999</v>
      </c>
      <c r="X49" s="1742">
        <v>0.4015178457754629</v>
      </c>
      <c r="Y49" s="2106">
        <v>1.6649423457754629</v>
      </c>
      <c r="Z49" s="2106">
        <v>164.99448285398228</v>
      </c>
      <c r="AA49" s="2106">
        <v>1901.2499999999998</v>
      </c>
      <c r="AB49" s="2106">
        <v>14542.613718749999</v>
      </c>
      <c r="AC49" s="2106">
        <v>5219.7319950810179</v>
      </c>
      <c r="AD49" s="1744">
        <v>21663.595713831019</v>
      </c>
      <c r="AE49" s="2126">
        <v>0</v>
      </c>
      <c r="AF49" s="2126">
        <v>0</v>
      </c>
      <c r="AG49" s="1212">
        <v>1</v>
      </c>
      <c r="AH49" s="1212">
        <v>0</v>
      </c>
      <c r="AI49" s="1212">
        <v>0</v>
      </c>
      <c r="AJ49" s="1212">
        <v>1</v>
      </c>
      <c r="AK49" s="2126">
        <v>21663.595713831019</v>
      </c>
      <c r="AL49" s="2126">
        <v>0</v>
      </c>
      <c r="AM49" s="2126">
        <v>0</v>
      </c>
      <c r="AN49" s="2126">
        <v>21663.595713831019</v>
      </c>
      <c r="AO49" s="1743" t="s">
        <v>85</v>
      </c>
      <c r="AP49" s="1743" t="s">
        <v>90</v>
      </c>
      <c r="AQ49" s="1764" t="s">
        <v>103</v>
      </c>
      <c r="AR49" s="1743" t="s">
        <v>87</v>
      </c>
      <c r="AS49" s="2135"/>
      <c r="AT49" s="2135"/>
      <c r="AU49" s="1212">
        <v>0.33333333333333331</v>
      </c>
      <c r="AV49" s="1212">
        <v>0.33333333333333331</v>
      </c>
      <c r="AW49" s="1212">
        <v>0.33333333333333331</v>
      </c>
      <c r="AX49" s="1212"/>
      <c r="AY49" s="1212"/>
      <c r="AZ49" s="1212"/>
      <c r="BA49" s="1212"/>
      <c r="BB49" s="1212"/>
      <c r="BC49" s="1212"/>
      <c r="BD49" s="1212"/>
      <c r="BE49" s="1212"/>
      <c r="BF49" s="2126">
        <v>0</v>
      </c>
      <c r="BG49" s="2126">
        <v>0</v>
      </c>
      <c r="BH49" s="2126">
        <v>7221.1985712770056</v>
      </c>
      <c r="BI49" s="2126">
        <v>7221.1985712770056</v>
      </c>
      <c r="BJ49" s="2126">
        <v>7221.1985712770056</v>
      </c>
      <c r="BK49" s="2126">
        <v>0</v>
      </c>
      <c r="BL49" s="2126">
        <v>0</v>
      </c>
      <c r="BM49" s="2126">
        <v>0</v>
      </c>
      <c r="BN49" s="2126">
        <v>0</v>
      </c>
      <c r="BO49" s="2126">
        <v>0</v>
      </c>
      <c r="BP49" s="2126">
        <v>0</v>
      </c>
      <c r="BQ49" s="2126">
        <v>0</v>
      </c>
      <c r="BR49" s="2126">
        <v>0</v>
      </c>
    </row>
    <row r="50" spans="1:70" s="1765" customFormat="1" ht="33">
      <c r="A50" s="1272">
        <v>2000</v>
      </c>
      <c r="B50" s="971" t="s">
        <v>119</v>
      </c>
      <c r="C50" s="1272">
        <v>2100</v>
      </c>
      <c r="D50" s="971" t="s">
        <v>120</v>
      </c>
      <c r="E50" s="971">
        <v>2130</v>
      </c>
      <c r="F50" s="971" t="s">
        <v>148</v>
      </c>
      <c r="G50" s="971">
        <v>2131</v>
      </c>
      <c r="H50" s="971" t="s">
        <v>149</v>
      </c>
      <c r="I50" s="1273"/>
      <c r="J50" s="971" t="s">
        <v>121</v>
      </c>
      <c r="K50" s="971" t="s">
        <v>150</v>
      </c>
      <c r="L50" s="971" t="s">
        <v>2800</v>
      </c>
      <c r="M50" s="971" t="s">
        <v>80</v>
      </c>
      <c r="N50" s="971" t="s">
        <v>83</v>
      </c>
      <c r="O50" s="971" t="s">
        <v>151</v>
      </c>
      <c r="P50" s="971" t="s">
        <v>152</v>
      </c>
      <c r="Q50" s="971" t="s">
        <v>166</v>
      </c>
      <c r="R50" s="1266"/>
      <c r="S50" s="2106">
        <v>7000</v>
      </c>
      <c r="T50" s="1266" t="s">
        <v>136</v>
      </c>
      <c r="U50" s="1742">
        <v>1.2691883296460175E-2</v>
      </c>
      <c r="V50" s="1742">
        <v>0.14624999999999999</v>
      </c>
      <c r="W50" s="1742">
        <v>1.1186625937499999</v>
      </c>
      <c r="X50" s="1742">
        <v>0.4015178457754629</v>
      </c>
      <c r="Y50" s="2106">
        <v>1.6649423457754629</v>
      </c>
      <c r="Z50" s="2106">
        <v>88.843183075221219</v>
      </c>
      <c r="AA50" s="2106">
        <v>1023.7499999999999</v>
      </c>
      <c r="AB50" s="2106">
        <v>7830.6381562499992</v>
      </c>
      <c r="AC50" s="2106">
        <v>2810.6249204282403</v>
      </c>
      <c r="AD50" s="1744">
        <v>11665.013076678239</v>
      </c>
      <c r="AE50" s="2126">
        <v>0</v>
      </c>
      <c r="AF50" s="2126">
        <v>0</v>
      </c>
      <c r="AG50" s="1212">
        <v>1</v>
      </c>
      <c r="AH50" s="1212">
        <v>0</v>
      </c>
      <c r="AI50" s="1212">
        <v>0</v>
      </c>
      <c r="AJ50" s="1212">
        <v>1</v>
      </c>
      <c r="AK50" s="2126">
        <v>11665.013076678239</v>
      </c>
      <c r="AL50" s="2126">
        <v>0</v>
      </c>
      <c r="AM50" s="2126">
        <v>0</v>
      </c>
      <c r="AN50" s="2126">
        <v>11665.013076678239</v>
      </c>
      <c r="AO50" s="1743" t="s">
        <v>85</v>
      </c>
      <c r="AP50" s="1743" t="s">
        <v>90</v>
      </c>
      <c r="AQ50" s="1764" t="s">
        <v>103</v>
      </c>
      <c r="AR50" s="1743" t="s">
        <v>87</v>
      </c>
      <c r="AS50" s="2135"/>
      <c r="AT50" s="2135"/>
      <c r="AU50" s="1212">
        <v>0.33333333333333331</v>
      </c>
      <c r="AV50" s="1212">
        <v>0.33333333333333331</v>
      </c>
      <c r="AW50" s="1212">
        <v>0.33333333333333331</v>
      </c>
      <c r="AX50" s="1212"/>
      <c r="AY50" s="1212"/>
      <c r="AZ50" s="1212"/>
      <c r="BA50" s="1212"/>
      <c r="BB50" s="1212"/>
      <c r="BC50" s="1212"/>
      <c r="BD50" s="1212"/>
      <c r="BE50" s="1212"/>
      <c r="BF50" s="2126">
        <v>0</v>
      </c>
      <c r="BG50" s="2126">
        <v>0</v>
      </c>
      <c r="BH50" s="2126">
        <v>3888.3376922260795</v>
      </c>
      <c r="BI50" s="2126">
        <v>3888.3376922260795</v>
      </c>
      <c r="BJ50" s="2126">
        <v>3888.3376922260795</v>
      </c>
      <c r="BK50" s="2126">
        <v>0</v>
      </c>
      <c r="BL50" s="2126">
        <v>0</v>
      </c>
      <c r="BM50" s="2126">
        <v>0</v>
      </c>
      <c r="BN50" s="2126">
        <v>0</v>
      </c>
      <c r="BO50" s="2126">
        <v>0</v>
      </c>
      <c r="BP50" s="2126">
        <v>0</v>
      </c>
      <c r="BQ50" s="2126">
        <v>0</v>
      </c>
      <c r="BR50" s="2126">
        <v>0</v>
      </c>
    </row>
    <row r="51" spans="1:70" s="1765" customFormat="1" ht="33">
      <c r="A51" s="1272">
        <v>2000</v>
      </c>
      <c r="B51" s="971" t="s">
        <v>119</v>
      </c>
      <c r="C51" s="1272">
        <v>2100</v>
      </c>
      <c r="D51" s="971" t="s">
        <v>120</v>
      </c>
      <c r="E51" s="971">
        <v>2130</v>
      </c>
      <c r="F51" s="971" t="s">
        <v>148</v>
      </c>
      <c r="G51" s="971">
        <v>2131</v>
      </c>
      <c r="H51" s="971" t="s">
        <v>149</v>
      </c>
      <c r="I51" s="1273"/>
      <c r="J51" s="971" t="s">
        <v>121</v>
      </c>
      <c r="K51" s="971" t="s">
        <v>150</v>
      </c>
      <c r="L51" s="971" t="s">
        <v>2800</v>
      </c>
      <c r="M51" s="971" t="s">
        <v>80</v>
      </c>
      <c r="N51" s="971" t="s">
        <v>83</v>
      </c>
      <c r="O51" s="971" t="s">
        <v>151</v>
      </c>
      <c r="P51" s="971" t="s">
        <v>152</v>
      </c>
      <c r="Q51" s="971" t="s">
        <v>167</v>
      </c>
      <c r="R51" s="1266"/>
      <c r="S51" s="2106">
        <v>13300</v>
      </c>
      <c r="T51" s="1266" t="s">
        <v>136</v>
      </c>
      <c r="U51" s="1742">
        <v>1.2691883296460175E-2</v>
      </c>
      <c r="V51" s="1742">
        <v>0.14624999999999999</v>
      </c>
      <c r="W51" s="1742">
        <v>1.1186625937499999</v>
      </c>
      <c r="X51" s="1742">
        <v>0.4015178457754629</v>
      </c>
      <c r="Y51" s="2106">
        <v>1.6649423457754629</v>
      </c>
      <c r="Z51" s="2106">
        <v>168.80204784292033</v>
      </c>
      <c r="AA51" s="2106">
        <v>1945.1249999999998</v>
      </c>
      <c r="AB51" s="2106">
        <v>14878.212496874998</v>
      </c>
      <c r="AC51" s="2106">
        <v>5340.1873488136562</v>
      </c>
      <c r="AD51" s="1744">
        <v>22163.524845688651</v>
      </c>
      <c r="AE51" s="2126">
        <v>0</v>
      </c>
      <c r="AF51" s="2126">
        <v>0</v>
      </c>
      <c r="AG51" s="1212">
        <v>1</v>
      </c>
      <c r="AH51" s="1212">
        <v>0</v>
      </c>
      <c r="AI51" s="1212">
        <v>0</v>
      </c>
      <c r="AJ51" s="1212">
        <v>1</v>
      </c>
      <c r="AK51" s="2126">
        <v>22163.524845688651</v>
      </c>
      <c r="AL51" s="2126">
        <v>0</v>
      </c>
      <c r="AM51" s="2126">
        <v>0</v>
      </c>
      <c r="AN51" s="2126">
        <v>22163.524845688651</v>
      </c>
      <c r="AO51" s="1743" t="s">
        <v>85</v>
      </c>
      <c r="AP51" s="1743" t="s">
        <v>90</v>
      </c>
      <c r="AQ51" s="1764" t="s">
        <v>105</v>
      </c>
      <c r="AR51" s="1743" t="s">
        <v>87</v>
      </c>
      <c r="AS51" s="2135"/>
      <c r="AT51" s="2135"/>
      <c r="AU51" s="1212">
        <v>0.33333333333333331</v>
      </c>
      <c r="AV51" s="1212">
        <v>0.33333333333333331</v>
      </c>
      <c r="AW51" s="1212">
        <v>0.33333333333333331</v>
      </c>
      <c r="AX51" s="1212"/>
      <c r="AY51" s="1212"/>
      <c r="AZ51" s="1212"/>
      <c r="BA51" s="1212"/>
      <c r="BB51" s="1212"/>
      <c r="BC51" s="1212"/>
      <c r="BD51" s="1212"/>
      <c r="BE51" s="1212"/>
      <c r="BF51" s="2126">
        <v>0</v>
      </c>
      <c r="BG51" s="2126">
        <v>0</v>
      </c>
      <c r="BH51" s="2126">
        <v>7387.8416152295504</v>
      </c>
      <c r="BI51" s="2126">
        <v>7387.8416152295504</v>
      </c>
      <c r="BJ51" s="2126">
        <v>7387.8416152295504</v>
      </c>
      <c r="BK51" s="2126">
        <v>0</v>
      </c>
      <c r="BL51" s="2126">
        <v>0</v>
      </c>
      <c r="BM51" s="2126">
        <v>0</v>
      </c>
      <c r="BN51" s="2126">
        <v>0</v>
      </c>
      <c r="BO51" s="2126">
        <v>0</v>
      </c>
      <c r="BP51" s="2126">
        <v>0</v>
      </c>
      <c r="BQ51" s="2126">
        <v>0</v>
      </c>
      <c r="BR51" s="2126">
        <v>0</v>
      </c>
    </row>
    <row r="52" spans="1:70" s="1765" customFormat="1" ht="33">
      <c r="A52" s="1272">
        <v>2000</v>
      </c>
      <c r="B52" s="971" t="s">
        <v>119</v>
      </c>
      <c r="C52" s="1272">
        <v>2100</v>
      </c>
      <c r="D52" s="971" t="s">
        <v>120</v>
      </c>
      <c r="E52" s="971">
        <v>2130</v>
      </c>
      <c r="F52" s="971" t="s">
        <v>148</v>
      </c>
      <c r="G52" s="971">
        <v>2131</v>
      </c>
      <c r="H52" s="971" t="s">
        <v>149</v>
      </c>
      <c r="I52" s="1273"/>
      <c r="J52" s="971" t="s">
        <v>121</v>
      </c>
      <c r="K52" s="971" t="s">
        <v>150</v>
      </c>
      <c r="L52" s="971" t="s">
        <v>2800</v>
      </c>
      <c r="M52" s="971" t="s">
        <v>80</v>
      </c>
      <c r="N52" s="971" t="s">
        <v>83</v>
      </c>
      <c r="O52" s="971" t="s">
        <v>151</v>
      </c>
      <c r="P52" s="971" t="s">
        <v>152</v>
      </c>
      <c r="Q52" s="971" t="s">
        <v>168</v>
      </c>
      <c r="R52" s="1266"/>
      <c r="S52" s="2106">
        <v>1200</v>
      </c>
      <c r="T52" s="1266" t="s">
        <v>136</v>
      </c>
      <c r="U52" s="1742">
        <v>1.2691883296460175E-2</v>
      </c>
      <c r="V52" s="1742">
        <v>0.14624999999999999</v>
      </c>
      <c r="W52" s="1742">
        <v>1.1186625937499999</v>
      </c>
      <c r="X52" s="1742">
        <v>0.4015178457754629</v>
      </c>
      <c r="Y52" s="2106">
        <v>1.6649423457754629</v>
      </c>
      <c r="Z52" s="2106">
        <v>15.23025995575221</v>
      </c>
      <c r="AA52" s="2106">
        <v>175.5</v>
      </c>
      <c r="AB52" s="2106">
        <v>1342.3951124999999</v>
      </c>
      <c r="AC52" s="2106">
        <v>481.82141493055548</v>
      </c>
      <c r="AD52" s="1744">
        <v>1999.7165274305553</v>
      </c>
      <c r="AE52" s="2126">
        <v>0</v>
      </c>
      <c r="AF52" s="2126">
        <v>0</v>
      </c>
      <c r="AG52" s="1212">
        <v>1</v>
      </c>
      <c r="AH52" s="1212">
        <v>0</v>
      </c>
      <c r="AI52" s="1212">
        <v>0</v>
      </c>
      <c r="AJ52" s="1212">
        <v>1</v>
      </c>
      <c r="AK52" s="2126">
        <v>1999.7165274305553</v>
      </c>
      <c r="AL52" s="2126">
        <v>0</v>
      </c>
      <c r="AM52" s="2126">
        <v>0</v>
      </c>
      <c r="AN52" s="2126">
        <v>1999.7165274305553</v>
      </c>
      <c r="AO52" s="1743" t="s">
        <v>85</v>
      </c>
      <c r="AP52" s="1743" t="s">
        <v>90</v>
      </c>
      <c r="AQ52" s="1764" t="s">
        <v>105</v>
      </c>
      <c r="AR52" s="1743" t="s">
        <v>87</v>
      </c>
      <c r="AS52" s="2135"/>
      <c r="AT52" s="2135"/>
      <c r="AU52" s="1212">
        <v>0.33333333333333331</v>
      </c>
      <c r="AV52" s="1212">
        <v>0.33333333333333331</v>
      </c>
      <c r="AW52" s="1212">
        <v>0.33333333333333331</v>
      </c>
      <c r="AX52" s="1212"/>
      <c r="AY52" s="1212"/>
      <c r="AZ52" s="1212"/>
      <c r="BA52" s="1212"/>
      <c r="BB52" s="1212"/>
      <c r="BC52" s="1212"/>
      <c r="BD52" s="1212"/>
      <c r="BE52" s="1212"/>
      <c r="BF52" s="2126">
        <v>0</v>
      </c>
      <c r="BG52" s="2126">
        <v>0</v>
      </c>
      <c r="BH52" s="2126">
        <v>666.57217581018506</v>
      </c>
      <c r="BI52" s="2126">
        <v>666.57217581018506</v>
      </c>
      <c r="BJ52" s="2126">
        <v>666.57217581018506</v>
      </c>
      <c r="BK52" s="2126">
        <v>0</v>
      </c>
      <c r="BL52" s="2126">
        <v>0</v>
      </c>
      <c r="BM52" s="2126">
        <v>0</v>
      </c>
      <c r="BN52" s="2126">
        <v>0</v>
      </c>
      <c r="BO52" s="2126">
        <v>0</v>
      </c>
      <c r="BP52" s="2126">
        <v>0</v>
      </c>
      <c r="BQ52" s="2126">
        <v>0</v>
      </c>
      <c r="BR52" s="2126">
        <v>0</v>
      </c>
    </row>
    <row r="53" spans="1:70" s="1765" customFormat="1" ht="33">
      <c r="A53" s="1272">
        <v>2000</v>
      </c>
      <c r="B53" s="971" t="s">
        <v>119</v>
      </c>
      <c r="C53" s="1272">
        <v>2100</v>
      </c>
      <c r="D53" s="971" t="s">
        <v>120</v>
      </c>
      <c r="E53" s="971">
        <v>2130</v>
      </c>
      <c r="F53" s="971" t="s">
        <v>148</v>
      </c>
      <c r="G53" s="971">
        <v>2131</v>
      </c>
      <c r="H53" s="971" t="s">
        <v>149</v>
      </c>
      <c r="I53" s="1273"/>
      <c r="J53" s="971" t="s">
        <v>121</v>
      </c>
      <c r="K53" s="971" t="s">
        <v>150</v>
      </c>
      <c r="L53" s="971" t="s">
        <v>2800</v>
      </c>
      <c r="M53" s="971" t="s">
        <v>80</v>
      </c>
      <c r="N53" s="971" t="s">
        <v>83</v>
      </c>
      <c r="O53" s="971" t="s">
        <v>151</v>
      </c>
      <c r="P53" s="971" t="s">
        <v>152</v>
      </c>
      <c r="Q53" s="971" t="s">
        <v>169</v>
      </c>
      <c r="R53" s="1266" t="s">
        <v>170</v>
      </c>
      <c r="S53" s="2106">
        <v>9500</v>
      </c>
      <c r="T53" s="1266" t="s">
        <v>136</v>
      </c>
      <c r="U53" s="1742">
        <v>1.2691883296460175E-2</v>
      </c>
      <c r="V53" s="1742">
        <v>0.14624999999999999</v>
      </c>
      <c r="W53" s="1742">
        <v>1.1186625937499999</v>
      </c>
      <c r="X53" s="1742">
        <v>0.4015178457754629</v>
      </c>
      <c r="Y53" s="2106">
        <v>1.6649423457754629</v>
      </c>
      <c r="Z53" s="2106">
        <v>120.57289131637167</v>
      </c>
      <c r="AA53" s="2106">
        <v>1389.375</v>
      </c>
      <c r="AB53" s="2106">
        <v>10627.294640624999</v>
      </c>
      <c r="AC53" s="2106">
        <v>3814.4195348668977</v>
      </c>
      <c r="AD53" s="1744">
        <v>15831.089175491898</v>
      </c>
      <c r="AE53" s="2126">
        <v>0</v>
      </c>
      <c r="AF53" s="2126">
        <v>0</v>
      </c>
      <c r="AG53" s="1212">
        <v>1</v>
      </c>
      <c r="AH53" s="1212">
        <v>0</v>
      </c>
      <c r="AI53" s="1212">
        <v>0</v>
      </c>
      <c r="AJ53" s="1212">
        <v>1</v>
      </c>
      <c r="AK53" s="2126">
        <v>15831.089175491898</v>
      </c>
      <c r="AL53" s="2126">
        <v>0</v>
      </c>
      <c r="AM53" s="2126">
        <v>0</v>
      </c>
      <c r="AN53" s="2126">
        <v>15831.089175491898</v>
      </c>
      <c r="AO53" s="1743" t="s">
        <v>85</v>
      </c>
      <c r="AP53" s="1743" t="s">
        <v>90</v>
      </c>
      <c r="AQ53" s="1764" t="s">
        <v>105</v>
      </c>
      <c r="AR53" s="1743" t="s">
        <v>87</v>
      </c>
      <c r="AS53" s="2135"/>
      <c r="AT53" s="2135"/>
      <c r="AU53" s="1212">
        <v>0.33333333333333331</v>
      </c>
      <c r="AV53" s="1212">
        <v>0.33333333333333331</v>
      </c>
      <c r="AW53" s="1212">
        <v>0.33333333333333331</v>
      </c>
      <c r="AX53" s="1212"/>
      <c r="AY53" s="1212"/>
      <c r="AZ53" s="1212"/>
      <c r="BA53" s="1212"/>
      <c r="BB53" s="1212"/>
      <c r="BC53" s="1212"/>
      <c r="BD53" s="1212"/>
      <c r="BE53" s="1212"/>
      <c r="BF53" s="2126">
        <v>0</v>
      </c>
      <c r="BG53" s="2126">
        <v>0</v>
      </c>
      <c r="BH53" s="2126">
        <v>5277.0297251639658</v>
      </c>
      <c r="BI53" s="2126">
        <v>5277.0297251639658</v>
      </c>
      <c r="BJ53" s="2126">
        <v>5277.0297251639658</v>
      </c>
      <c r="BK53" s="2126">
        <v>0</v>
      </c>
      <c r="BL53" s="2126">
        <v>0</v>
      </c>
      <c r="BM53" s="2126">
        <v>0</v>
      </c>
      <c r="BN53" s="2126">
        <v>0</v>
      </c>
      <c r="BO53" s="2126">
        <v>0</v>
      </c>
      <c r="BP53" s="2126">
        <v>0</v>
      </c>
      <c r="BQ53" s="2126">
        <v>0</v>
      </c>
      <c r="BR53" s="2126">
        <v>0</v>
      </c>
    </row>
    <row r="54" spans="1:70" s="1765" customFormat="1" ht="33">
      <c r="A54" s="1272">
        <v>2000</v>
      </c>
      <c r="B54" s="971" t="s">
        <v>119</v>
      </c>
      <c r="C54" s="1272">
        <v>2100</v>
      </c>
      <c r="D54" s="971" t="s">
        <v>120</v>
      </c>
      <c r="E54" s="971">
        <v>2130</v>
      </c>
      <c r="F54" s="971" t="s">
        <v>148</v>
      </c>
      <c r="G54" s="971">
        <v>2136</v>
      </c>
      <c r="H54" s="971" t="s">
        <v>119</v>
      </c>
      <c r="I54" s="1273"/>
      <c r="J54" s="971"/>
      <c r="K54" s="971" t="s">
        <v>150</v>
      </c>
      <c r="L54" s="971" t="s">
        <v>2800</v>
      </c>
      <c r="M54" s="971" t="s">
        <v>80</v>
      </c>
      <c r="N54" s="971" t="s">
        <v>83</v>
      </c>
      <c r="O54" s="971" t="s">
        <v>151</v>
      </c>
      <c r="P54" s="971" t="s">
        <v>152</v>
      </c>
      <c r="Q54" s="971" t="s">
        <v>171</v>
      </c>
      <c r="R54" s="1266"/>
      <c r="S54" s="2106">
        <v>14306</v>
      </c>
      <c r="T54" s="1266" t="s">
        <v>136</v>
      </c>
      <c r="U54" s="1742">
        <v>1.2691883296460175E-2</v>
      </c>
      <c r="V54" s="1742">
        <v>0.14624999999999999</v>
      </c>
      <c r="W54" s="1742">
        <v>1.1186625937499999</v>
      </c>
      <c r="X54" s="1742">
        <v>0.4015178457754629</v>
      </c>
      <c r="Y54" s="2106">
        <v>1.6649423457754629</v>
      </c>
      <c r="Z54" s="2106">
        <v>181.57008243915928</v>
      </c>
      <c r="AA54" s="2106">
        <v>2092.2525000000001</v>
      </c>
      <c r="AB54" s="2106">
        <v>16003.587066187498</v>
      </c>
      <c r="AC54" s="2106">
        <v>5744.1143016637725</v>
      </c>
      <c r="AD54" s="1744">
        <v>23839.953867851269</v>
      </c>
      <c r="AE54" s="2126">
        <v>0</v>
      </c>
      <c r="AF54" s="2126">
        <v>0</v>
      </c>
      <c r="AG54" s="1212">
        <v>1</v>
      </c>
      <c r="AH54" s="1212">
        <v>0</v>
      </c>
      <c r="AI54" s="1212">
        <v>0</v>
      </c>
      <c r="AJ54" s="1212">
        <v>1</v>
      </c>
      <c r="AK54" s="2126">
        <v>23839.953867851269</v>
      </c>
      <c r="AL54" s="2126">
        <v>0</v>
      </c>
      <c r="AM54" s="2126">
        <v>0</v>
      </c>
      <c r="AN54" s="2126">
        <v>23839.953867851269</v>
      </c>
      <c r="AO54" s="1743" t="s">
        <v>131</v>
      </c>
      <c r="AP54" s="1743"/>
      <c r="AQ54" s="1764">
        <v>2014</v>
      </c>
      <c r="AR54" s="1743" t="s">
        <v>87</v>
      </c>
      <c r="AS54" s="2135"/>
      <c r="AT54" s="2135"/>
      <c r="AU54" s="1212">
        <v>0.33333333333333331</v>
      </c>
      <c r="AV54" s="1212">
        <v>0.33333333333333331</v>
      </c>
      <c r="AW54" s="1212">
        <v>0.33333333333333331</v>
      </c>
      <c r="AX54" s="1212"/>
      <c r="AY54" s="1212"/>
      <c r="AZ54" s="1212"/>
      <c r="BA54" s="1212"/>
      <c r="BB54" s="1212"/>
      <c r="BC54" s="1212"/>
      <c r="BD54" s="1212"/>
      <c r="BE54" s="1212"/>
      <c r="BF54" s="2126">
        <v>0</v>
      </c>
      <c r="BG54" s="2126">
        <v>0</v>
      </c>
      <c r="BH54" s="2126">
        <v>7946.6512892837563</v>
      </c>
      <c r="BI54" s="2126">
        <v>7946.6512892837563</v>
      </c>
      <c r="BJ54" s="2126">
        <v>7946.6512892837563</v>
      </c>
      <c r="BK54" s="2126">
        <v>0</v>
      </c>
      <c r="BL54" s="2126">
        <v>0</v>
      </c>
      <c r="BM54" s="2126">
        <v>0</v>
      </c>
      <c r="BN54" s="2126">
        <v>0</v>
      </c>
      <c r="BO54" s="2126">
        <v>0</v>
      </c>
      <c r="BP54" s="2126">
        <v>0</v>
      </c>
      <c r="BQ54" s="2126">
        <v>0</v>
      </c>
      <c r="BR54" s="2126">
        <v>0</v>
      </c>
    </row>
    <row r="55" spans="1:70" s="1765" customFormat="1" ht="33">
      <c r="A55" s="1272">
        <v>2000</v>
      </c>
      <c r="B55" s="971" t="s">
        <v>119</v>
      </c>
      <c r="C55" s="1272">
        <v>2100</v>
      </c>
      <c r="D55" s="971" t="s">
        <v>120</v>
      </c>
      <c r="E55" s="971">
        <v>2130</v>
      </c>
      <c r="F55" s="971" t="s">
        <v>148</v>
      </c>
      <c r="G55" s="971">
        <v>2139</v>
      </c>
      <c r="H55" s="971" t="s">
        <v>172</v>
      </c>
      <c r="I55" s="1273"/>
      <c r="J55" s="971" t="s">
        <v>121</v>
      </c>
      <c r="K55" s="971" t="s">
        <v>150</v>
      </c>
      <c r="L55" s="971" t="s">
        <v>2800</v>
      </c>
      <c r="M55" s="971" t="s">
        <v>80</v>
      </c>
      <c r="N55" s="971" t="s">
        <v>83</v>
      </c>
      <c r="O55" s="971" t="s">
        <v>151</v>
      </c>
      <c r="P55" s="971" t="s">
        <v>152</v>
      </c>
      <c r="Q55" s="971" t="s">
        <v>172</v>
      </c>
      <c r="R55" s="1266"/>
      <c r="S55" s="2106">
        <v>12148.5</v>
      </c>
      <c r="T55" s="1266" t="s">
        <v>136</v>
      </c>
      <c r="U55" s="1742">
        <v>1.2691883296460175E-2</v>
      </c>
      <c r="V55" s="1742">
        <v>0.14624999999999999</v>
      </c>
      <c r="W55" s="1742">
        <v>1.1186625937499999</v>
      </c>
      <c r="X55" s="1742">
        <v>0.4015178457754629</v>
      </c>
      <c r="Y55" s="2106">
        <v>1.6649423457754629</v>
      </c>
      <c r="Z55" s="2106">
        <v>154.18734422704642</v>
      </c>
      <c r="AA55" s="2106">
        <v>1776.7181249999999</v>
      </c>
      <c r="AB55" s="2106">
        <v>13590.072520171874</v>
      </c>
      <c r="AC55" s="2106">
        <v>4877.8395494032111</v>
      </c>
      <c r="AD55" s="1744">
        <v>20244.630194575086</v>
      </c>
      <c r="AE55" s="2126">
        <v>0</v>
      </c>
      <c r="AF55" s="2126">
        <v>0</v>
      </c>
      <c r="AG55" s="1212">
        <v>1</v>
      </c>
      <c r="AH55" s="1212">
        <v>0</v>
      </c>
      <c r="AI55" s="1212">
        <v>0</v>
      </c>
      <c r="AJ55" s="1212">
        <v>1</v>
      </c>
      <c r="AK55" s="2126">
        <v>20244.630194575086</v>
      </c>
      <c r="AL55" s="2126">
        <v>0</v>
      </c>
      <c r="AM55" s="2126">
        <v>0</v>
      </c>
      <c r="AN55" s="2126">
        <v>20244.630194575086</v>
      </c>
      <c r="AO55" s="1743" t="s">
        <v>131</v>
      </c>
      <c r="AP55" s="1743"/>
      <c r="AQ55" s="1764">
        <v>2014</v>
      </c>
      <c r="AR55" s="1743" t="s">
        <v>87</v>
      </c>
      <c r="AS55" s="2135"/>
      <c r="AT55" s="2135"/>
      <c r="AU55" s="1212">
        <v>0.33333333333333331</v>
      </c>
      <c r="AV55" s="1212">
        <v>0.33333333333333331</v>
      </c>
      <c r="AW55" s="1212">
        <v>0.33333333333333331</v>
      </c>
      <c r="AX55" s="1212"/>
      <c r="AY55" s="1212"/>
      <c r="AZ55" s="1212"/>
      <c r="BA55" s="1212"/>
      <c r="BB55" s="1212"/>
      <c r="BC55" s="1212"/>
      <c r="BD55" s="1212"/>
      <c r="BE55" s="1212"/>
      <c r="BF55" s="2126">
        <v>0</v>
      </c>
      <c r="BG55" s="2126">
        <v>0</v>
      </c>
      <c r="BH55" s="2126">
        <v>6748.2100648583619</v>
      </c>
      <c r="BI55" s="2126">
        <v>6748.2100648583619</v>
      </c>
      <c r="BJ55" s="2126">
        <v>6748.2100648583619</v>
      </c>
      <c r="BK55" s="2126">
        <v>0</v>
      </c>
      <c r="BL55" s="2126">
        <v>0</v>
      </c>
      <c r="BM55" s="2126">
        <v>0</v>
      </c>
      <c r="BN55" s="2126">
        <v>0</v>
      </c>
      <c r="BO55" s="2126">
        <v>0</v>
      </c>
      <c r="BP55" s="2126">
        <v>0</v>
      </c>
      <c r="BQ55" s="2126">
        <v>0</v>
      </c>
      <c r="BR55" s="2126">
        <v>0</v>
      </c>
    </row>
    <row r="56" spans="1:70" s="1765" customFormat="1" ht="33">
      <c r="A56" s="1272">
        <v>2000</v>
      </c>
      <c r="B56" s="971" t="s">
        <v>119</v>
      </c>
      <c r="C56" s="1272">
        <v>2100</v>
      </c>
      <c r="D56" s="971" t="s">
        <v>120</v>
      </c>
      <c r="E56" s="971">
        <v>2130</v>
      </c>
      <c r="F56" s="971" t="s">
        <v>148</v>
      </c>
      <c r="G56" s="971">
        <v>2134</v>
      </c>
      <c r="H56" s="971"/>
      <c r="I56" s="1273"/>
      <c r="J56" s="971"/>
      <c r="K56" s="971" t="s">
        <v>150</v>
      </c>
      <c r="L56" s="971" t="s">
        <v>2800</v>
      </c>
      <c r="M56" s="971" t="s">
        <v>80</v>
      </c>
      <c r="N56" s="971" t="s">
        <v>83</v>
      </c>
      <c r="O56" s="971" t="s">
        <v>151</v>
      </c>
      <c r="P56" s="971" t="s">
        <v>152</v>
      </c>
      <c r="Q56" s="971" t="s">
        <v>174</v>
      </c>
      <c r="R56" s="1266"/>
      <c r="S56" s="2106">
        <v>66536</v>
      </c>
      <c r="T56" s="1266" t="s">
        <v>136</v>
      </c>
      <c r="U56" s="1742">
        <v>1.2691883296460175E-2</v>
      </c>
      <c r="V56" s="1742">
        <v>0.14624999999999999</v>
      </c>
      <c r="W56" s="1742">
        <v>1.1186625937499999</v>
      </c>
      <c r="X56" s="1742">
        <v>0.4015178457754629</v>
      </c>
      <c r="Y56" s="2106">
        <v>1.6649423457754629</v>
      </c>
      <c r="Z56" s="2106">
        <v>844.46714701327426</v>
      </c>
      <c r="AA56" s="2106">
        <v>9730.89</v>
      </c>
      <c r="AB56" s="2106">
        <v>74431.334337749999</v>
      </c>
      <c r="AC56" s="2106">
        <v>26715.391386516199</v>
      </c>
      <c r="AD56" s="1744">
        <v>110877.6157242662</v>
      </c>
      <c r="AE56" s="2126">
        <v>0</v>
      </c>
      <c r="AF56" s="2126">
        <v>0</v>
      </c>
      <c r="AG56" s="1212">
        <v>1</v>
      </c>
      <c r="AH56" s="1212">
        <v>0</v>
      </c>
      <c r="AI56" s="1212">
        <v>0</v>
      </c>
      <c r="AJ56" s="1212">
        <v>1</v>
      </c>
      <c r="AK56" s="2126">
        <v>110877.6157242662</v>
      </c>
      <c r="AL56" s="2126">
        <v>0</v>
      </c>
      <c r="AM56" s="2126">
        <v>0</v>
      </c>
      <c r="AN56" s="2126">
        <v>110877.6157242662</v>
      </c>
      <c r="AO56" s="1743" t="s">
        <v>131</v>
      </c>
      <c r="AP56" s="1743"/>
      <c r="AQ56" s="1764">
        <v>2014</v>
      </c>
      <c r="AR56" s="1743" t="s">
        <v>87</v>
      </c>
      <c r="AS56" s="2135"/>
      <c r="AT56" s="2135"/>
      <c r="AU56" s="1212">
        <v>0.33333333333333331</v>
      </c>
      <c r="AV56" s="1212">
        <v>0.33333333333333331</v>
      </c>
      <c r="AW56" s="1212">
        <v>0.33333333333333331</v>
      </c>
      <c r="AX56" s="1212"/>
      <c r="AY56" s="1212"/>
      <c r="AZ56" s="1212"/>
      <c r="BA56" s="1212"/>
      <c r="BB56" s="1212"/>
      <c r="BC56" s="1212"/>
      <c r="BD56" s="1212"/>
      <c r="BE56" s="1212"/>
      <c r="BF56" s="2126">
        <v>0</v>
      </c>
      <c r="BG56" s="2126">
        <v>0</v>
      </c>
      <c r="BH56" s="2126">
        <v>36959.205241422067</v>
      </c>
      <c r="BI56" s="2126">
        <v>36959.205241422067</v>
      </c>
      <c r="BJ56" s="2126">
        <v>36959.205241422067</v>
      </c>
      <c r="BK56" s="2126">
        <v>0</v>
      </c>
      <c r="BL56" s="2126">
        <v>0</v>
      </c>
      <c r="BM56" s="2126">
        <v>0</v>
      </c>
      <c r="BN56" s="2126">
        <v>0</v>
      </c>
      <c r="BO56" s="2126">
        <v>0</v>
      </c>
      <c r="BP56" s="2126">
        <v>0</v>
      </c>
      <c r="BQ56" s="2126">
        <v>0</v>
      </c>
      <c r="BR56" s="2126">
        <v>0</v>
      </c>
    </row>
    <row r="57" spans="1:70" s="1765" customFormat="1" ht="49.5">
      <c r="A57" s="1272">
        <v>2000</v>
      </c>
      <c r="B57" s="971" t="s">
        <v>119</v>
      </c>
      <c r="C57" s="1272">
        <v>2100</v>
      </c>
      <c r="D57" s="971" t="s">
        <v>120</v>
      </c>
      <c r="E57" s="971" t="s">
        <v>175</v>
      </c>
      <c r="F57" s="971" t="s">
        <v>176</v>
      </c>
      <c r="G57" s="971">
        <v>2140</v>
      </c>
      <c r="H57" s="971" t="s">
        <v>176</v>
      </c>
      <c r="I57" s="1273"/>
      <c r="J57" s="971" t="s">
        <v>177</v>
      </c>
      <c r="K57" s="971" t="s">
        <v>178</v>
      </c>
      <c r="L57" s="971" t="s">
        <v>1948</v>
      </c>
      <c r="M57" s="971" t="s">
        <v>178</v>
      </c>
      <c r="N57" s="971" t="s">
        <v>179</v>
      </c>
      <c r="O57" s="971" t="s">
        <v>180</v>
      </c>
      <c r="P57" s="971" t="s">
        <v>181</v>
      </c>
      <c r="Q57" s="971" t="s">
        <v>182</v>
      </c>
      <c r="R57" s="1266"/>
      <c r="S57" s="2106">
        <v>8</v>
      </c>
      <c r="T57" s="1266" t="s">
        <v>242</v>
      </c>
      <c r="U57" s="1742">
        <v>42.724999999999994</v>
      </c>
      <c r="V57" s="1742">
        <v>470.625</v>
      </c>
      <c r="W57" s="1742">
        <v>3765.7815000000001</v>
      </c>
      <c r="X57" s="1742">
        <v>5190.8055000000004</v>
      </c>
      <c r="Y57" s="2106">
        <v>9427.2119999999995</v>
      </c>
      <c r="Z57" s="2106">
        <v>341.79999999999995</v>
      </c>
      <c r="AA57" s="2106">
        <v>3765</v>
      </c>
      <c r="AB57" s="2106">
        <v>30126.252</v>
      </c>
      <c r="AC57" s="2106">
        <v>41526.444000000003</v>
      </c>
      <c r="AD57" s="1744">
        <v>75417.695999999996</v>
      </c>
      <c r="AE57" s="2126">
        <v>30</v>
      </c>
      <c r="AF57" s="2126">
        <v>240</v>
      </c>
      <c r="AG57" s="1212">
        <v>1</v>
      </c>
      <c r="AH57" s="1212">
        <v>0</v>
      </c>
      <c r="AI57" s="1212">
        <v>0</v>
      </c>
      <c r="AJ57" s="1212">
        <v>1</v>
      </c>
      <c r="AK57" s="2126">
        <v>75417.695999999996</v>
      </c>
      <c r="AL57" s="2126">
        <v>0</v>
      </c>
      <c r="AM57" s="2126">
        <v>0</v>
      </c>
      <c r="AN57" s="2126">
        <v>75417.695999999996</v>
      </c>
      <c r="AO57" s="1743" t="s">
        <v>85</v>
      </c>
      <c r="AP57" s="1743" t="s">
        <v>90</v>
      </c>
      <c r="AQ57" s="1764" t="s">
        <v>103</v>
      </c>
      <c r="AR57" s="1743" t="s">
        <v>87</v>
      </c>
      <c r="AS57" s="2135"/>
      <c r="AT57" s="2135"/>
      <c r="AU57" s="1212">
        <v>0.33333333333333331</v>
      </c>
      <c r="AV57" s="1212">
        <v>0.33333333333333331</v>
      </c>
      <c r="AW57" s="1212">
        <v>0.33333333333333331</v>
      </c>
      <c r="AX57" s="1212"/>
      <c r="AY57" s="1212"/>
      <c r="AZ57" s="1212"/>
      <c r="BA57" s="1212"/>
      <c r="BB57" s="1212"/>
      <c r="BC57" s="1212"/>
      <c r="BD57" s="1212"/>
      <c r="BE57" s="1212"/>
      <c r="BF57" s="2126">
        <v>0</v>
      </c>
      <c r="BG57" s="2126">
        <v>0</v>
      </c>
      <c r="BH57" s="2126">
        <v>25139.231999999996</v>
      </c>
      <c r="BI57" s="2126">
        <v>25139.231999999996</v>
      </c>
      <c r="BJ57" s="2126">
        <v>25139.231999999996</v>
      </c>
      <c r="BK57" s="2126">
        <v>0</v>
      </c>
      <c r="BL57" s="2126">
        <v>0</v>
      </c>
      <c r="BM57" s="2126">
        <v>0</v>
      </c>
      <c r="BN57" s="2126">
        <v>0</v>
      </c>
      <c r="BO57" s="2126">
        <v>0</v>
      </c>
      <c r="BP57" s="2126">
        <v>0</v>
      </c>
      <c r="BQ57" s="2126">
        <v>0</v>
      </c>
      <c r="BR57" s="2126">
        <v>0</v>
      </c>
    </row>
    <row r="58" spans="1:70" s="1765" customFormat="1" ht="49.5">
      <c r="A58" s="1272">
        <v>2000</v>
      </c>
      <c r="B58" s="971" t="s">
        <v>119</v>
      </c>
      <c r="C58" s="1272">
        <v>2100</v>
      </c>
      <c r="D58" s="971" t="s">
        <v>120</v>
      </c>
      <c r="E58" s="971" t="s">
        <v>175</v>
      </c>
      <c r="F58" s="971" t="s">
        <v>176</v>
      </c>
      <c r="G58" s="971">
        <v>2140</v>
      </c>
      <c r="H58" s="971" t="s">
        <v>176</v>
      </c>
      <c r="I58" s="1273"/>
      <c r="J58" s="971" t="s">
        <v>177</v>
      </c>
      <c r="K58" s="971" t="s">
        <v>178</v>
      </c>
      <c r="L58" s="971" t="s">
        <v>1948</v>
      </c>
      <c r="M58" s="971" t="s">
        <v>178</v>
      </c>
      <c r="N58" s="971" t="s">
        <v>179</v>
      </c>
      <c r="O58" s="971" t="s">
        <v>180</v>
      </c>
      <c r="P58" s="971" t="s">
        <v>181</v>
      </c>
      <c r="Q58" s="971" t="s">
        <v>182</v>
      </c>
      <c r="R58" s="1266"/>
      <c r="S58" s="2106">
        <v>-8</v>
      </c>
      <c r="T58" s="1266" t="s">
        <v>242</v>
      </c>
      <c r="U58" s="1742">
        <v>42.724999999999994</v>
      </c>
      <c r="V58" s="1742">
        <v>470.625</v>
      </c>
      <c r="W58" s="1742">
        <v>3765.7815000000001</v>
      </c>
      <c r="X58" s="1742">
        <v>5190.8055000000004</v>
      </c>
      <c r="Y58" s="2106">
        <v>9427.2119999999995</v>
      </c>
      <c r="Z58" s="2106">
        <v>-341.79999999999995</v>
      </c>
      <c r="AA58" s="2106">
        <v>-3765</v>
      </c>
      <c r="AB58" s="2106">
        <v>-30126.252</v>
      </c>
      <c r="AC58" s="2106">
        <v>-41526.444000000003</v>
      </c>
      <c r="AD58" s="1744">
        <v>-75417.695999999996</v>
      </c>
      <c r="AE58" s="2126">
        <v>30</v>
      </c>
      <c r="AF58" s="2126">
        <v>-240</v>
      </c>
      <c r="AG58" s="1212">
        <v>1</v>
      </c>
      <c r="AH58" s="1212">
        <v>0</v>
      </c>
      <c r="AI58" s="1212">
        <v>0</v>
      </c>
      <c r="AJ58" s="1212">
        <v>1</v>
      </c>
      <c r="AK58" s="2126">
        <v>-75417.695999999996</v>
      </c>
      <c r="AL58" s="2126">
        <v>0</v>
      </c>
      <c r="AM58" s="2126">
        <v>0</v>
      </c>
      <c r="AN58" s="2126">
        <v>-75417.695999999996</v>
      </c>
      <c r="AO58" s="1743" t="s">
        <v>85</v>
      </c>
      <c r="AP58" s="1743" t="s">
        <v>90</v>
      </c>
      <c r="AQ58" s="1764" t="s">
        <v>183</v>
      </c>
      <c r="AR58" s="1743" t="s">
        <v>87</v>
      </c>
      <c r="AS58" s="2135"/>
      <c r="AT58" s="2135"/>
      <c r="AU58" s="1212">
        <v>0.33333333333333331</v>
      </c>
      <c r="AV58" s="1212">
        <v>0.33333333333333331</v>
      </c>
      <c r="AW58" s="1212">
        <v>0.33333333333333331</v>
      </c>
      <c r="AX58" s="1212"/>
      <c r="AY58" s="1212"/>
      <c r="AZ58" s="1212"/>
      <c r="BA58" s="1212"/>
      <c r="BB58" s="1212"/>
      <c r="BC58" s="1212"/>
      <c r="BD58" s="1212"/>
      <c r="BE58" s="1212"/>
      <c r="BF58" s="2126">
        <v>0</v>
      </c>
      <c r="BG58" s="2126">
        <v>0</v>
      </c>
      <c r="BH58" s="2126">
        <v>-25139.231999999996</v>
      </c>
      <c r="BI58" s="2126">
        <v>-25139.231999999996</v>
      </c>
      <c r="BJ58" s="2126">
        <v>-25139.231999999996</v>
      </c>
      <c r="BK58" s="2126">
        <v>0</v>
      </c>
      <c r="BL58" s="2126">
        <v>0</v>
      </c>
      <c r="BM58" s="2126">
        <v>0</v>
      </c>
      <c r="BN58" s="2126">
        <v>0</v>
      </c>
      <c r="BO58" s="2126">
        <v>0</v>
      </c>
      <c r="BP58" s="2126">
        <v>0</v>
      </c>
      <c r="BQ58" s="2126">
        <v>0</v>
      </c>
      <c r="BR58" s="2126">
        <v>0</v>
      </c>
    </row>
    <row r="59" spans="1:70" s="1765" customFormat="1" ht="49.5">
      <c r="A59" s="1272">
        <v>2000</v>
      </c>
      <c r="B59" s="971" t="s">
        <v>119</v>
      </c>
      <c r="C59" s="1272">
        <v>2100</v>
      </c>
      <c r="D59" s="971" t="s">
        <v>120</v>
      </c>
      <c r="E59" s="971" t="s">
        <v>175</v>
      </c>
      <c r="F59" s="971" t="s">
        <v>176</v>
      </c>
      <c r="G59" s="971">
        <v>2140</v>
      </c>
      <c r="H59" s="971" t="s">
        <v>176</v>
      </c>
      <c r="I59" s="1273"/>
      <c r="J59" s="971" t="s">
        <v>177</v>
      </c>
      <c r="K59" s="971" t="s">
        <v>178</v>
      </c>
      <c r="L59" s="971" t="s">
        <v>1948</v>
      </c>
      <c r="M59" s="971" t="s">
        <v>178</v>
      </c>
      <c r="N59" s="971" t="s">
        <v>179</v>
      </c>
      <c r="O59" s="971" t="s">
        <v>180</v>
      </c>
      <c r="P59" s="971" t="s">
        <v>181</v>
      </c>
      <c r="Q59" s="971" t="s">
        <v>184</v>
      </c>
      <c r="R59" s="1266"/>
      <c r="S59" s="2106">
        <v>3</v>
      </c>
      <c r="T59" s="1266" t="s">
        <v>242</v>
      </c>
      <c r="U59" s="1742">
        <v>42.724999999999994</v>
      </c>
      <c r="V59" s="1742">
        <v>470.625</v>
      </c>
      <c r="W59" s="1742">
        <v>3765.7815000000001</v>
      </c>
      <c r="X59" s="1742">
        <v>5190.8055000000004</v>
      </c>
      <c r="Y59" s="2106">
        <v>9427.2119999999995</v>
      </c>
      <c r="Z59" s="2106">
        <v>128.17499999999998</v>
      </c>
      <c r="AA59" s="2106">
        <v>1411.875</v>
      </c>
      <c r="AB59" s="2106">
        <v>11297.344499999999</v>
      </c>
      <c r="AC59" s="2106">
        <v>15572.416500000001</v>
      </c>
      <c r="AD59" s="1744">
        <v>28281.635999999999</v>
      </c>
      <c r="AE59" s="2126">
        <v>30</v>
      </c>
      <c r="AF59" s="2126">
        <v>90</v>
      </c>
      <c r="AG59" s="1212">
        <v>1</v>
      </c>
      <c r="AH59" s="1212">
        <v>0</v>
      </c>
      <c r="AI59" s="1212">
        <v>0</v>
      </c>
      <c r="AJ59" s="1212">
        <v>1</v>
      </c>
      <c r="AK59" s="2126">
        <v>28281.635999999999</v>
      </c>
      <c r="AL59" s="2126">
        <v>0</v>
      </c>
      <c r="AM59" s="2126">
        <v>0</v>
      </c>
      <c r="AN59" s="2126">
        <v>28281.635999999999</v>
      </c>
      <c r="AO59" s="1743" t="s">
        <v>85</v>
      </c>
      <c r="AP59" s="1743" t="s">
        <v>90</v>
      </c>
      <c r="AQ59" s="1764" t="s">
        <v>103</v>
      </c>
      <c r="AR59" s="1743" t="s">
        <v>87</v>
      </c>
      <c r="AS59" s="2135"/>
      <c r="AT59" s="2135"/>
      <c r="AU59" s="1212">
        <v>0.33333333333333331</v>
      </c>
      <c r="AV59" s="1212">
        <v>0.33333333333333331</v>
      </c>
      <c r="AW59" s="1212">
        <v>0.33333333333333331</v>
      </c>
      <c r="AX59" s="1212"/>
      <c r="AY59" s="1212"/>
      <c r="AZ59" s="1212"/>
      <c r="BA59" s="1212"/>
      <c r="BB59" s="1212"/>
      <c r="BC59" s="1212"/>
      <c r="BD59" s="1212"/>
      <c r="BE59" s="1212"/>
      <c r="BF59" s="2126">
        <v>0</v>
      </c>
      <c r="BG59" s="2126">
        <v>0</v>
      </c>
      <c r="BH59" s="2126">
        <v>9427.2119999999995</v>
      </c>
      <c r="BI59" s="2126">
        <v>9427.2119999999995</v>
      </c>
      <c r="BJ59" s="2126">
        <v>9427.2119999999995</v>
      </c>
      <c r="BK59" s="2126">
        <v>0</v>
      </c>
      <c r="BL59" s="2126">
        <v>0</v>
      </c>
      <c r="BM59" s="2126">
        <v>0</v>
      </c>
      <c r="BN59" s="2126">
        <v>0</v>
      </c>
      <c r="BO59" s="2126">
        <v>0</v>
      </c>
      <c r="BP59" s="2126">
        <v>0</v>
      </c>
      <c r="BQ59" s="2126">
        <v>0</v>
      </c>
      <c r="BR59" s="2126">
        <v>0</v>
      </c>
    </row>
    <row r="60" spans="1:70" s="1765" customFormat="1" ht="49.5">
      <c r="A60" s="1272">
        <v>2000</v>
      </c>
      <c r="B60" s="971" t="s">
        <v>119</v>
      </c>
      <c r="C60" s="1272">
        <v>2100</v>
      </c>
      <c r="D60" s="971" t="s">
        <v>120</v>
      </c>
      <c r="E60" s="971" t="s">
        <v>175</v>
      </c>
      <c r="F60" s="971" t="s">
        <v>176</v>
      </c>
      <c r="G60" s="971">
        <v>2140</v>
      </c>
      <c r="H60" s="971" t="s">
        <v>176</v>
      </c>
      <c r="I60" s="1273"/>
      <c r="J60" s="971" t="s">
        <v>177</v>
      </c>
      <c r="K60" s="971" t="s">
        <v>178</v>
      </c>
      <c r="L60" s="971" t="s">
        <v>1948</v>
      </c>
      <c r="M60" s="971" t="s">
        <v>178</v>
      </c>
      <c r="N60" s="971" t="s">
        <v>179</v>
      </c>
      <c r="O60" s="971" t="s">
        <v>180</v>
      </c>
      <c r="P60" s="971" t="s">
        <v>181</v>
      </c>
      <c r="Q60" s="971" t="s">
        <v>184</v>
      </c>
      <c r="R60" s="1266"/>
      <c r="S60" s="2106">
        <v>-3</v>
      </c>
      <c r="T60" s="1266" t="s">
        <v>242</v>
      </c>
      <c r="U60" s="1742">
        <v>42.724999999999994</v>
      </c>
      <c r="V60" s="1742">
        <v>470.625</v>
      </c>
      <c r="W60" s="1742">
        <v>3765.7815000000001</v>
      </c>
      <c r="X60" s="1742">
        <v>5190.8055000000004</v>
      </c>
      <c r="Y60" s="2106">
        <v>9427.2119999999995</v>
      </c>
      <c r="Z60" s="2106">
        <v>-128.17499999999998</v>
      </c>
      <c r="AA60" s="2106">
        <v>-1411.875</v>
      </c>
      <c r="AB60" s="2106">
        <v>-11297.344499999999</v>
      </c>
      <c r="AC60" s="2106">
        <v>-15572.416500000001</v>
      </c>
      <c r="AD60" s="1744">
        <v>-28281.635999999999</v>
      </c>
      <c r="AE60" s="2126">
        <v>30</v>
      </c>
      <c r="AF60" s="2126">
        <v>-90</v>
      </c>
      <c r="AG60" s="1212">
        <v>1</v>
      </c>
      <c r="AH60" s="1212">
        <v>0</v>
      </c>
      <c r="AI60" s="1212">
        <v>0</v>
      </c>
      <c r="AJ60" s="1212">
        <v>1</v>
      </c>
      <c r="AK60" s="2126">
        <v>-28281.635999999999</v>
      </c>
      <c r="AL60" s="2126">
        <v>0</v>
      </c>
      <c r="AM60" s="2126">
        <v>0</v>
      </c>
      <c r="AN60" s="2126">
        <v>-28281.635999999999</v>
      </c>
      <c r="AO60" s="1743" t="s">
        <v>85</v>
      </c>
      <c r="AP60" s="1743" t="s">
        <v>90</v>
      </c>
      <c r="AQ60" s="1764" t="s">
        <v>183</v>
      </c>
      <c r="AR60" s="1743" t="s">
        <v>87</v>
      </c>
      <c r="AS60" s="2135"/>
      <c r="AT60" s="2135"/>
      <c r="AU60" s="1212">
        <v>0.33333333333333331</v>
      </c>
      <c r="AV60" s="1212">
        <v>0.33333333333333331</v>
      </c>
      <c r="AW60" s="1212">
        <v>0.33333333333333331</v>
      </c>
      <c r="AX60" s="1212"/>
      <c r="AY60" s="1212"/>
      <c r="AZ60" s="1212"/>
      <c r="BA60" s="1212"/>
      <c r="BB60" s="1212"/>
      <c r="BC60" s="1212"/>
      <c r="BD60" s="1212"/>
      <c r="BE60" s="1212"/>
      <c r="BF60" s="2126">
        <v>0</v>
      </c>
      <c r="BG60" s="2126">
        <v>0</v>
      </c>
      <c r="BH60" s="2126">
        <v>-9427.2119999999995</v>
      </c>
      <c r="BI60" s="2126">
        <v>-9427.2119999999995</v>
      </c>
      <c r="BJ60" s="2126">
        <v>-9427.2119999999995</v>
      </c>
      <c r="BK60" s="2126">
        <v>0</v>
      </c>
      <c r="BL60" s="2126">
        <v>0</v>
      </c>
      <c r="BM60" s="2126">
        <v>0</v>
      </c>
      <c r="BN60" s="2126">
        <v>0</v>
      </c>
      <c r="BO60" s="2126">
        <v>0</v>
      </c>
      <c r="BP60" s="2126">
        <v>0</v>
      </c>
      <c r="BQ60" s="2126">
        <v>0</v>
      </c>
      <c r="BR60" s="2126">
        <v>0</v>
      </c>
    </row>
    <row r="61" spans="1:70" s="1765" customFormat="1" ht="49.5">
      <c r="A61" s="1272">
        <v>2000</v>
      </c>
      <c r="B61" s="971" t="s">
        <v>119</v>
      </c>
      <c r="C61" s="1272">
        <v>2100</v>
      </c>
      <c r="D61" s="971" t="s">
        <v>120</v>
      </c>
      <c r="E61" s="971" t="s">
        <v>175</v>
      </c>
      <c r="F61" s="971" t="s">
        <v>176</v>
      </c>
      <c r="G61" s="971">
        <v>2140</v>
      </c>
      <c r="H61" s="971" t="s">
        <v>176</v>
      </c>
      <c r="I61" s="1273"/>
      <c r="J61" s="971" t="s">
        <v>177</v>
      </c>
      <c r="K61" s="971" t="s">
        <v>178</v>
      </c>
      <c r="L61" s="971" t="s">
        <v>1948</v>
      </c>
      <c r="M61" s="971" t="s">
        <v>178</v>
      </c>
      <c r="N61" s="971" t="s">
        <v>179</v>
      </c>
      <c r="O61" s="971" t="s">
        <v>180</v>
      </c>
      <c r="P61" s="971" t="s">
        <v>181</v>
      </c>
      <c r="Q61" s="971" t="s">
        <v>185</v>
      </c>
      <c r="R61" s="1266"/>
      <c r="S61" s="2106">
        <v>1</v>
      </c>
      <c r="T61" s="1266" t="s">
        <v>242</v>
      </c>
      <c r="U61" s="1742">
        <v>42.724999999999994</v>
      </c>
      <c r="V61" s="1742">
        <v>470.625</v>
      </c>
      <c r="W61" s="1742">
        <v>3765.7815000000001</v>
      </c>
      <c r="X61" s="1742">
        <v>5190.8055000000004</v>
      </c>
      <c r="Y61" s="2106">
        <v>9427.2119999999995</v>
      </c>
      <c r="Z61" s="2106">
        <v>42.724999999999994</v>
      </c>
      <c r="AA61" s="2106">
        <v>470.625</v>
      </c>
      <c r="AB61" s="2106">
        <v>3765.7815000000001</v>
      </c>
      <c r="AC61" s="2106">
        <v>5190.8055000000004</v>
      </c>
      <c r="AD61" s="1744">
        <v>9427.2119999999995</v>
      </c>
      <c r="AE61" s="2126">
        <v>30</v>
      </c>
      <c r="AF61" s="2126">
        <v>30</v>
      </c>
      <c r="AG61" s="1212">
        <v>1</v>
      </c>
      <c r="AH61" s="1212">
        <v>0</v>
      </c>
      <c r="AI61" s="1212">
        <v>0</v>
      </c>
      <c r="AJ61" s="1212">
        <v>1</v>
      </c>
      <c r="AK61" s="2126">
        <v>9427.2119999999995</v>
      </c>
      <c r="AL61" s="2126">
        <v>0</v>
      </c>
      <c r="AM61" s="2126">
        <v>0</v>
      </c>
      <c r="AN61" s="2126">
        <v>9427.2119999999995</v>
      </c>
      <c r="AO61" s="1743" t="s">
        <v>85</v>
      </c>
      <c r="AP61" s="1743" t="s">
        <v>90</v>
      </c>
      <c r="AQ61" s="1764">
        <v>2019</v>
      </c>
      <c r="AR61" s="1743" t="s">
        <v>87</v>
      </c>
      <c r="AS61" s="2135"/>
      <c r="AT61" s="2135"/>
      <c r="AU61" s="1212">
        <v>0.33333333333333331</v>
      </c>
      <c r="AV61" s="1212">
        <v>0.33333333333333331</v>
      </c>
      <c r="AW61" s="1212">
        <v>0.33333333333333331</v>
      </c>
      <c r="AX61" s="1212"/>
      <c r="AY61" s="1212"/>
      <c r="AZ61" s="1212"/>
      <c r="BA61" s="1212"/>
      <c r="BB61" s="1212"/>
      <c r="BC61" s="1212"/>
      <c r="BD61" s="1212"/>
      <c r="BE61" s="1212"/>
      <c r="BF61" s="2126">
        <v>0</v>
      </c>
      <c r="BG61" s="2126">
        <v>0</v>
      </c>
      <c r="BH61" s="2126">
        <v>3142.4039999999995</v>
      </c>
      <c r="BI61" s="2126">
        <v>3142.4039999999995</v>
      </c>
      <c r="BJ61" s="2126">
        <v>3142.4039999999995</v>
      </c>
      <c r="BK61" s="2126">
        <v>0</v>
      </c>
      <c r="BL61" s="2126">
        <v>0</v>
      </c>
      <c r="BM61" s="2126">
        <v>0</v>
      </c>
      <c r="BN61" s="2126">
        <v>0</v>
      </c>
      <c r="BO61" s="2126">
        <v>0</v>
      </c>
      <c r="BP61" s="2126">
        <v>0</v>
      </c>
      <c r="BQ61" s="2126">
        <v>0</v>
      </c>
      <c r="BR61" s="2126">
        <v>0</v>
      </c>
    </row>
    <row r="62" spans="1:70" s="1765" customFormat="1" ht="49.5">
      <c r="A62" s="1272">
        <v>2000</v>
      </c>
      <c r="B62" s="971" t="s">
        <v>119</v>
      </c>
      <c r="C62" s="1272">
        <v>2100</v>
      </c>
      <c r="D62" s="971" t="s">
        <v>120</v>
      </c>
      <c r="E62" s="971" t="s">
        <v>175</v>
      </c>
      <c r="F62" s="971" t="s">
        <v>176</v>
      </c>
      <c r="G62" s="971">
        <v>2140</v>
      </c>
      <c r="H62" s="971" t="s">
        <v>176</v>
      </c>
      <c r="I62" s="1273"/>
      <c r="J62" s="971" t="s">
        <v>177</v>
      </c>
      <c r="K62" s="971" t="s">
        <v>178</v>
      </c>
      <c r="L62" s="971" t="s">
        <v>1948</v>
      </c>
      <c r="M62" s="971" t="s">
        <v>178</v>
      </c>
      <c r="N62" s="971" t="s">
        <v>179</v>
      </c>
      <c r="O62" s="971" t="s">
        <v>180</v>
      </c>
      <c r="P62" s="971" t="s">
        <v>181</v>
      </c>
      <c r="Q62" s="971" t="s">
        <v>185</v>
      </c>
      <c r="R62" s="1266"/>
      <c r="S62" s="2106">
        <v>1</v>
      </c>
      <c r="T62" s="1266" t="s">
        <v>242</v>
      </c>
      <c r="U62" s="1742">
        <v>42.724999999999994</v>
      </c>
      <c r="V62" s="1742">
        <v>470.625</v>
      </c>
      <c r="W62" s="1742">
        <v>3765.7815000000001</v>
      </c>
      <c r="X62" s="1742">
        <v>5190.8055000000004</v>
      </c>
      <c r="Y62" s="2106">
        <v>9427.2119999999995</v>
      </c>
      <c r="Z62" s="2106">
        <v>42.724999999999994</v>
      </c>
      <c r="AA62" s="2106">
        <v>470.625</v>
      </c>
      <c r="AB62" s="2106">
        <v>3765.7815000000001</v>
      </c>
      <c r="AC62" s="2106">
        <v>5190.8055000000004</v>
      </c>
      <c r="AD62" s="1744">
        <v>9427.2119999999995</v>
      </c>
      <c r="AE62" s="2126">
        <v>30</v>
      </c>
      <c r="AF62" s="2126">
        <v>30</v>
      </c>
      <c r="AG62" s="1212">
        <v>1</v>
      </c>
      <c r="AH62" s="1212">
        <v>0</v>
      </c>
      <c r="AI62" s="1212">
        <v>0</v>
      </c>
      <c r="AJ62" s="1212">
        <v>1</v>
      </c>
      <c r="AK62" s="2126">
        <v>9427.2119999999995</v>
      </c>
      <c r="AL62" s="2126">
        <v>0</v>
      </c>
      <c r="AM62" s="2126">
        <v>0</v>
      </c>
      <c r="AN62" s="2126">
        <v>9427.2119999999995</v>
      </c>
      <c r="AO62" s="1743" t="s">
        <v>85</v>
      </c>
      <c r="AP62" s="1743" t="s">
        <v>90</v>
      </c>
      <c r="AQ62" s="1764" t="s">
        <v>103</v>
      </c>
      <c r="AR62" s="1743" t="s">
        <v>87</v>
      </c>
      <c r="AS62" s="2135"/>
      <c r="AT62" s="2135"/>
      <c r="AU62" s="1212">
        <v>0.33333333333333331</v>
      </c>
      <c r="AV62" s="1212">
        <v>0.33333333333333331</v>
      </c>
      <c r="AW62" s="1212">
        <v>0.33333333333333331</v>
      </c>
      <c r="AX62" s="1212"/>
      <c r="AY62" s="1212"/>
      <c r="AZ62" s="1212"/>
      <c r="BA62" s="1212"/>
      <c r="BB62" s="1212"/>
      <c r="BC62" s="1212"/>
      <c r="BD62" s="1212"/>
      <c r="BE62" s="1212"/>
      <c r="BF62" s="2126">
        <v>0</v>
      </c>
      <c r="BG62" s="2126">
        <v>0</v>
      </c>
      <c r="BH62" s="2126">
        <v>3142.4039999999995</v>
      </c>
      <c r="BI62" s="2126">
        <v>3142.4039999999995</v>
      </c>
      <c r="BJ62" s="2126">
        <v>3142.4039999999995</v>
      </c>
      <c r="BK62" s="2126">
        <v>0</v>
      </c>
      <c r="BL62" s="2126">
        <v>0</v>
      </c>
      <c r="BM62" s="2126">
        <v>0</v>
      </c>
      <c r="BN62" s="2126">
        <v>0</v>
      </c>
      <c r="BO62" s="2126">
        <v>0</v>
      </c>
      <c r="BP62" s="2126">
        <v>0</v>
      </c>
      <c r="BQ62" s="2126">
        <v>0</v>
      </c>
      <c r="BR62" s="2126">
        <v>0</v>
      </c>
    </row>
    <row r="63" spans="1:70" s="1765" customFormat="1" ht="49.5">
      <c r="A63" s="1272">
        <v>2000</v>
      </c>
      <c r="B63" s="971" t="s">
        <v>119</v>
      </c>
      <c r="C63" s="1272">
        <v>2100</v>
      </c>
      <c r="D63" s="971" t="s">
        <v>120</v>
      </c>
      <c r="E63" s="971" t="s">
        <v>175</v>
      </c>
      <c r="F63" s="971" t="s">
        <v>176</v>
      </c>
      <c r="G63" s="971">
        <v>2140</v>
      </c>
      <c r="H63" s="971" t="s">
        <v>176</v>
      </c>
      <c r="I63" s="1273"/>
      <c r="J63" s="971" t="s">
        <v>177</v>
      </c>
      <c r="K63" s="971" t="s">
        <v>178</v>
      </c>
      <c r="L63" s="971" t="s">
        <v>1948</v>
      </c>
      <c r="M63" s="971" t="s">
        <v>178</v>
      </c>
      <c r="N63" s="971" t="s">
        <v>179</v>
      </c>
      <c r="O63" s="971" t="s">
        <v>180</v>
      </c>
      <c r="P63" s="971" t="s">
        <v>181</v>
      </c>
      <c r="Q63" s="971" t="s">
        <v>185</v>
      </c>
      <c r="R63" s="1266"/>
      <c r="S63" s="2106">
        <v>-1</v>
      </c>
      <c r="T63" s="1266" t="s">
        <v>242</v>
      </c>
      <c r="U63" s="1742">
        <v>42.724999999999994</v>
      </c>
      <c r="V63" s="1742">
        <v>470.625</v>
      </c>
      <c r="W63" s="1742">
        <v>3765.7815000000001</v>
      </c>
      <c r="X63" s="1742">
        <v>5190.8055000000004</v>
      </c>
      <c r="Y63" s="2106">
        <v>9427.2119999999995</v>
      </c>
      <c r="Z63" s="2106">
        <v>-42.724999999999994</v>
      </c>
      <c r="AA63" s="2106">
        <v>-470.625</v>
      </c>
      <c r="AB63" s="2106">
        <v>-3765.7815000000001</v>
      </c>
      <c r="AC63" s="2106">
        <v>-5190.8055000000004</v>
      </c>
      <c r="AD63" s="1744">
        <v>-9427.2119999999995</v>
      </c>
      <c r="AE63" s="2126">
        <v>30</v>
      </c>
      <c r="AF63" s="2126">
        <v>-30</v>
      </c>
      <c r="AG63" s="1212">
        <v>1</v>
      </c>
      <c r="AH63" s="1212">
        <v>0</v>
      </c>
      <c r="AI63" s="1212">
        <v>0</v>
      </c>
      <c r="AJ63" s="1212">
        <v>1</v>
      </c>
      <c r="AK63" s="2126">
        <v>-9427.2119999999995</v>
      </c>
      <c r="AL63" s="2126">
        <v>0</v>
      </c>
      <c r="AM63" s="2126">
        <v>0</v>
      </c>
      <c r="AN63" s="2126">
        <v>-9427.2119999999995</v>
      </c>
      <c r="AO63" s="1743" t="s">
        <v>85</v>
      </c>
      <c r="AP63" s="1743" t="s">
        <v>90</v>
      </c>
      <c r="AQ63" s="1764" t="s">
        <v>183</v>
      </c>
      <c r="AR63" s="1743" t="s">
        <v>87</v>
      </c>
      <c r="AS63" s="2135"/>
      <c r="AT63" s="2135"/>
      <c r="AU63" s="1212">
        <v>0.33333333333333331</v>
      </c>
      <c r="AV63" s="1212">
        <v>0.33333333333333331</v>
      </c>
      <c r="AW63" s="1212">
        <v>0.33333333333333331</v>
      </c>
      <c r="AX63" s="1212"/>
      <c r="AY63" s="1212"/>
      <c r="AZ63" s="1212"/>
      <c r="BA63" s="1212"/>
      <c r="BB63" s="1212"/>
      <c r="BC63" s="1212"/>
      <c r="BD63" s="1212"/>
      <c r="BE63" s="1212"/>
      <c r="BF63" s="2126">
        <v>0</v>
      </c>
      <c r="BG63" s="2126">
        <v>0</v>
      </c>
      <c r="BH63" s="2126">
        <v>-3142.4039999999995</v>
      </c>
      <c r="BI63" s="2126">
        <v>-3142.4039999999995</v>
      </c>
      <c r="BJ63" s="2126">
        <v>-3142.4039999999995</v>
      </c>
      <c r="BK63" s="2126">
        <v>0</v>
      </c>
      <c r="BL63" s="2126">
        <v>0</v>
      </c>
      <c r="BM63" s="2126">
        <v>0</v>
      </c>
      <c r="BN63" s="2126">
        <v>0</v>
      </c>
      <c r="BO63" s="2126">
        <v>0</v>
      </c>
      <c r="BP63" s="2126">
        <v>0</v>
      </c>
      <c r="BQ63" s="2126">
        <v>0</v>
      </c>
      <c r="BR63" s="2126">
        <v>0</v>
      </c>
    </row>
    <row r="64" spans="1:70" s="1765" customFormat="1" ht="49.5">
      <c r="A64" s="1272">
        <v>2000</v>
      </c>
      <c r="B64" s="971" t="s">
        <v>119</v>
      </c>
      <c r="C64" s="1272">
        <v>2100</v>
      </c>
      <c r="D64" s="971" t="s">
        <v>120</v>
      </c>
      <c r="E64" s="971" t="s">
        <v>175</v>
      </c>
      <c r="F64" s="971" t="s">
        <v>176</v>
      </c>
      <c r="G64" s="971">
        <v>2140</v>
      </c>
      <c r="H64" s="971" t="s">
        <v>176</v>
      </c>
      <c r="I64" s="1273"/>
      <c r="J64" s="971" t="s">
        <v>177</v>
      </c>
      <c r="K64" s="971" t="s">
        <v>178</v>
      </c>
      <c r="L64" s="971" t="s">
        <v>1948</v>
      </c>
      <c r="M64" s="971" t="s">
        <v>178</v>
      </c>
      <c r="N64" s="971" t="s">
        <v>179</v>
      </c>
      <c r="O64" s="971" t="s">
        <v>180</v>
      </c>
      <c r="P64" s="971" t="s">
        <v>181</v>
      </c>
      <c r="Q64" s="971" t="s">
        <v>186</v>
      </c>
      <c r="R64" s="1266"/>
      <c r="S64" s="2106">
        <v>2</v>
      </c>
      <c r="T64" s="1266" t="s">
        <v>242</v>
      </c>
      <c r="U64" s="1742">
        <v>42.724999999999994</v>
      </c>
      <c r="V64" s="1742">
        <v>470.625</v>
      </c>
      <c r="W64" s="1742">
        <v>3765.7815000000001</v>
      </c>
      <c r="X64" s="1742">
        <v>5190.8055000000004</v>
      </c>
      <c r="Y64" s="2106">
        <v>9427.2119999999995</v>
      </c>
      <c r="Z64" s="2106">
        <v>85.449999999999989</v>
      </c>
      <c r="AA64" s="2106">
        <v>941.25</v>
      </c>
      <c r="AB64" s="2106">
        <v>7531.5630000000001</v>
      </c>
      <c r="AC64" s="2106">
        <v>10381.611000000001</v>
      </c>
      <c r="AD64" s="1744">
        <v>18854.423999999999</v>
      </c>
      <c r="AE64" s="2126">
        <v>30</v>
      </c>
      <c r="AF64" s="2126">
        <v>60</v>
      </c>
      <c r="AG64" s="1212">
        <v>1</v>
      </c>
      <c r="AH64" s="1212">
        <v>0</v>
      </c>
      <c r="AI64" s="1212">
        <v>0</v>
      </c>
      <c r="AJ64" s="1212">
        <v>1</v>
      </c>
      <c r="AK64" s="2126">
        <v>18854.423999999999</v>
      </c>
      <c r="AL64" s="2126">
        <v>0</v>
      </c>
      <c r="AM64" s="2126">
        <v>0</v>
      </c>
      <c r="AN64" s="2126">
        <v>18854.423999999999</v>
      </c>
      <c r="AO64" s="1743" t="s">
        <v>85</v>
      </c>
      <c r="AP64" s="1743" t="s">
        <v>90</v>
      </c>
      <c r="AQ64" s="1764">
        <v>2019</v>
      </c>
      <c r="AR64" s="1743" t="s">
        <v>87</v>
      </c>
      <c r="AS64" s="2135"/>
      <c r="AT64" s="2135"/>
      <c r="AU64" s="1212">
        <v>0.33333333333333331</v>
      </c>
      <c r="AV64" s="1212">
        <v>0.33333333333333331</v>
      </c>
      <c r="AW64" s="1212">
        <v>0.33333333333333331</v>
      </c>
      <c r="AX64" s="1212"/>
      <c r="AY64" s="1212"/>
      <c r="AZ64" s="1212"/>
      <c r="BA64" s="1212"/>
      <c r="BB64" s="1212"/>
      <c r="BC64" s="1212"/>
      <c r="BD64" s="1212"/>
      <c r="BE64" s="1212"/>
      <c r="BF64" s="2126">
        <v>0</v>
      </c>
      <c r="BG64" s="2126">
        <v>0</v>
      </c>
      <c r="BH64" s="2126">
        <v>6284.8079999999991</v>
      </c>
      <c r="BI64" s="2126">
        <v>6284.8079999999991</v>
      </c>
      <c r="BJ64" s="2126">
        <v>6284.8079999999991</v>
      </c>
      <c r="BK64" s="2126">
        <v>0</v>
      </c>
      <c r="BL64" s="2126">
        <v>0</v>
      </c>
      <c r="BM64" s="2126">
        <v>0</v>
      </c>
      <c r="BN64" s="2126">
        <v>0</v>
      </c>
      <c r="BO64" s="2126">
        <v>0</v>
      </c>
      <c r="BP64" s="2126">
        <v>0</v>
      </c>
      <c r="BQ64" s="2126">
        <v>0</v>
      </c>
      <c r="BR64" s="2126">
        <v>0</v>
      </c>
    </row>
    <row r="65" spans="1:70" s="1765" customFormat="1" ht="49.5">
      <c r="A65" s="1272">
        <v>2000</v>
      </c>
      <c r="B65" s="971" t="s">
        <v>119</v>
      </c>
      <c r="C65" s="1272">
        <v>2100</v>
      </c>
      <c r="D65" s="971" t="s">
        <v>120</v>
      </c>
      <c r="E65" s="971" t="s">
        <v>175</v>
      </c>
      <c r="F65" s="971" t="s">
        <v>176</v>
      </c>
      <c r="G65" s="971">
        <v>2140</v>
      </c>
      <c r="H65" s="971" t="s">
        <v>176</v>
      </c>
      <c r="I65" s="1273"/>
      <c r="J65" s="971" t="s">
        <v>177</v>
      </c>
      <c r="K65" s="971" t="s">
        <v>178</v>
      </c>
      <c r="L65" s="971" t="s">
        <v>1948</v>
      </c>
      <c r="M65" s="971" t="s">
        <v>178</v>
      </c>
      <c r="N65" s="971" t="s">
        <v>179</v>
      </c>
      <c r="O65" s="971" t="s">
        <v>180</v>
      </c>
      <c r="P65" s="971" t="s">
        <v>181</v>
      </c>
      <c r="Q65" s="971" t="s">
        <v>187</v>
      </c>
      <c r="R65" s="1266"/>
      <c r="S65" s="2106">
        <v>4</v>
      </c>
      <c r="T65" s="1266" t="s">
        <v>242</v>
      </c>
      <c r="U65" s="1742">
        <v>42.724999999999994</v>
      </c>
      <c r="V65" s="1742">
        <v>470.625</v>
      </c>
      <c r="W65" s="1742">
        <v>3765.7815000000001</v>
      </c>
      <c r="X65" s="1742">
        <v>5190.8055000000004</v>
      </c>
      <c r="Y65" s="2106">
        <v>9427.2119999999995</v>
      </c>
      <c r="Z65" s="2106">
        <v>170.89999999999998</v>
      </c>
      <c r="AA65" s="2106">
        <v>1882.5</v>
      </c>
      <c r="AB65" s="2106">
        <v>15063.126</v>
      </c>
      <c r="AC65" s="2106">
        <v>20763.222000000002</v>
      </c>
      <c r="AD65" s="1744">
        <v>37708.847999999998</v>
      </c>
      <c r="AE65" s="2126">
        <v>30</v>
      </c>
      <c r="AF65" s="2126">
        <v>120</v>
      </c>
      <c r="AG65" s="1212">
        <v>1</v>
      </c>
      <c r="AH65" s="1212">
        <v>0</v>
      </c>
      <c r="AI65" s="1212">
        <v>0</v>
      </c>
      <c r="AJ65" s="1212">
        <v>1</v>
      </c>
      <c r="AK65" s="2126">
        <v>37708.847999999998</v>
      </c>
      <c r="AL65" s="2126">
        <v>0</v>
      </c>
      <c r="AM65" s="2126">
        <v>0</v>
      </c>
      <c r="AN65" s="2126">
        <v>37708.847999999998</v>
      </c>
      <c r="AO65" s="1743" t="s">
        <v>85</v>
      </c>
      <c r="AP65" s="1743" t="s">
        <v>90</v>
      </c>
      <c r="AQ65" s="1764">
        <v>2019</v>
      </c>
      <c r="AR65" s="1743" t="s">
        <v>87</v>
      </c>
      <c r="AS65" s="2135"/>
      <c r="AT65" s="2135"/>
      <c r="AU65" s="1212">
        <v>0.33333333333333331</v>
      </c>
      <c r="AV65" s="1212">
        <v>0.33333333333333331</v>
      </c>
      <c r="AW65" s="1212">
        <v>0.33333333333333331</v>
      </c>
      <c r="AX65" s="1212"/>
      <c r="AY65" s="1212"/>
      <c r="AZ65" s="1212"/>
      <c r="BA65" s="1212"/>
      <c r="BB65" s="1212"/>
      <c r="BC65" s="1212"/>
      <c r="BD65" s="1212"/>
      <c r="BE65" s="1212"/>
      <c r="BF65" s="2126">
        <v>0</v>
      </c>
      <c r="BG65" s="2126">
        <v>0</v>
      </c>
      <c r="BH65" s="2126">
        <v>12569.615999999998</v>
      </c>
      <c r="BI65" s="2126">
        <v>12569.615999999998</v>
      </c>
      <c r="BJ65" s="2126">
        <v>12569.615999999998</v>
      </c>
      <c r="BK65" s="2126">
        <v>0</v>
      </c>
      <c r="BL65" s="2126">
        <v>0</v>
      </c>
      <c r="BM65" s="2126">
        <v>0</v>
      </c>
      <c r="BN65" s="2126">
        <v>0</v>
      </c>
      <c r="BO65" s="2126">
        <v>0</v>
      </c>
      <c r="BP65" s="2126">
        <v>0</v>
      </c>
      <c r="BQ65" s="2126">
        <v>0</v>
      </c>
      <c r="BR65" s="2126">
        <v>0</v>
      </c>
    </row>
    <row r="66" spans="1:70" s="1765" customFormat="1" ht="49.5">
      <c r="A66" s="1272">
        <v>2000</v>
      </c>
      <c r="B66" s="971" t="s">
        <v>119</v>
      </c>
      <c r="C66" s="1272">
        <v>2100</v>
      </c>
      <c r="D66" s="971" t="s">
        <v>120</v>
      </c>
      <c r="E66" s="971" t="s">
        <v>175</v>
      </c>
      <c r="F66" s="971" t="s">
        <v>176</v>
      </c>
      <c r="G66" s="971">
        <v>2140</v>
      </c>
      <c r="H66" s="971" t="s">
        <v>176</v>
      </c>
      <c r="I66" s="1273"/>
      <c r="J66" s="971" t="s">
        <v>177</v>
      </c>
      <c r="K66" s="971" t="s">
        <v>178</v>
      </c>
      <c r="L66" s="971" t="s">
        <v>1948</v>
      </c>
      <c r="M66" s="971" t="s">
        <v>178</v>
      </c>
      <c r="N66" s="971" t="s">
        <v>179</v>
      </c>
      <c r="O66" s="971" t="s">
        <v>180</v>
      </c>
      <c r="P66" s="971" t="s">
        <v>181</v>
      </c>
      <c r="Q66" s="971" t="s">
        <v>187</v>
      </c>
      <c r="R66" s="1266"/>
      <c r="S66" s="2106">
        <v>1</v>
      </c>
      <c r="T66" s="1266" t="s">
        <v>242</v>
      </c>
      <c r="U66" s="1742">
        <v>42.724999999999994</v>
      </c>
      <c r="V66" s="1742">
        <v>470.625</v>
      </c>
      <c r="W66" s="1742">
        <v>3765.7815000000001</v>
      </c>
      <c r="X66" s="1742">
        <v>5190.8055000000004</v>
      </c>
      <c r="Y66" s="2106">
        <v>9427.2119999999995</v>
      </c>
      <c r="Z66" s="2106">
        <v>42.724999999999994</v>
      </c>
      <c r="AA66" s="2106">
        <v>470.625</v>
      </c>
      <c r="AB66" s="2106">
        <v>3765.7815000000001</v>
      </c>
      <c r="AC66" s="2106">
        <v>5190.8055000000004</v>
      </c>
      <c r="AD66" s="1744">
        <v>9427.2119999999995</v>
      </c>
      <c r="AE66" s="2126">
        <v>30</v>
      </c>
      <c r="AF66" s="2126">
        <v>30</v>
      </c>
      <c r="AG66" s="1212">
        <v>1</v>
      </c>
      <c r="AH66" s="1212">
        <v>0</v>
      </c>
      <c r="AI66" s="1212">
        <v>0</v>
      </c>
      <c r="AJ66" s="1212">
        <v>1</v>
      </c>
      <c r="AK66" s="2126">
        <v>9427.2119999999995</v>
      </c>
      <c r="AL66" s="2126">
        <v>0</v>
      </c>
      <c r="AM66" s="2126">
        <v>0</v>
      </c>
      <c r="AN66" s="2126">
        <v>9427.2119999999995</v>
      </c>
      <c r="AO66" s="1743" t="s">
        <v>85</v>
      </c>
      <c r="AP66" s="1743" t="s">
        <v>90</v>
      </c>
      <c r="AQ66" s="1764" t="s">
        <v>103</v>
      </c>
      <c r="AR66" s="1743" t="s">
        <v>87</v>
      </c>
      <c r="AS66" s="2135"/>
      <c r="AT66" s="2135"/>
      <c r="AU66" s="1212">
        <v>0.33333333333333331</v>
      </c>
      <c r="AV66" s="1212">
        <v>0.33333333333333331</v>
      </c>
      <c r="AW66" s="1212">
        <v>0.33333333333333331</v>
      </c>
      <c r="AX66" s="1212"/>
      <c r="AY66" s="1212"/>
      <c r="AZ66" s="1212"/>
      <c r="BA66" s="1212"/>
      <c r="BB66" s="1212"/>
      <c r="BC66" s="1212"/>
      <c r="BD66" s="1212"/>
      <c r="BE66" s="1212"/>
      <c r="BF66" s="2126">
        <v>0</v>
      </c>
      <c r="BG66" s="2126">
        <v>0</v>
      </c>
      <c r="BH66" s="2126">
        <v>3142.4039999999995</v>
      </c>
      <c r="BI66" s="2126">
        <v>3142.4039999999995</v>
      </c>
      <c r="BJ66" s="2126">
        <v>3142.4039999999995</v>
      </c>
      <c r="BK66" s="2126">
        <v>0</v>
      </c>
      <c r="BL66" s="2126">
        <v>0</v>
      </c>
      <c r="BM66" s="2126">
        <v>0</v>
      </c>
      <c r="BN66" s="2126">
        <v>0</v>
      </c>
      <c r="BO66" s="2126">
        <v>0</v>
      </c>
      <c r="BP66" s="2126">
        <v>0</v>
      </c>
      <c r="BQ66" s="2126">
        <v>0</v>
      </c>
      <c r="BR66" s="2126">
        <v>0</v>
      </c>
    </row>
    <row r="67" spans="1:70" s="1765" customFormat="1" ht="49.5">
      <c r="A67" s="1272">
        <v>2000</v>
      </c>
      <c r="B67" s="971" t="s">
        <v>119</v>
      </c>
      <c r="C67" s="1272">
        <v>2100</v>
      </c>
      <c r="D67" s="971" t="s">
        <v>120</v>
      </c>
      <c r="E67" s="971" t="s">
        <v>175</v>
      </c>
      <c r="F67" s="971" t="s">
        <v>176</v>
      </c>
      <c r="G67" s="971">
        <v>2140</v>
      </c>
      <c r="H67" s="971" t="s">
        <v>176</v>
      </c>
      <c r="I67" s="1273"/>
      <c r="J67" s="971" t="s">
        <v>177</v>
      </c>
      <c r="K67" s="971" t="s">
        <v>178</v>
      </c>
      <c r="L67" s="971" t="s">
        <v>1948</v>
      </c>
      <c r="M67" s="971" t="s">
        <v>178</v>
      </c>
      <c r="N67" s="971" t="s">
        <v>179</v>
      </c>
      <c r="O67" s="971" t="s">
        <v>180</v>
      </c>
      <c r="P67" s="971" t="s">
        <v>181</v>
      </c>
      <c r="Q67" s="971" t="s">
        <v>187</v>
      </c>
      <c r="R67" s="1266"/>
      <c r="S67" s="2106">
        <v>-1</v>
      </c>
      <c r="T67" s="1266" t="s">
        <v>242</v>
      </c>
      <c r="U67" s="1742">
        <v>42.724999999999994</v>
      </c>
      <c r="V67" s="1742">
        <v>470.625</v>
      </c>
      <c r="W67" s="1742">
        <v>3765.7815000000001</v>
      </c>
      <c r="X67" s="1742">
        <v>5190.8055000000004</v>
      </c>
      <c r="Y67" s="2106">
        <v>9427.2119999999995</v>
      </c>
      <c r="Z67" s="2106">
        <v>-42.724999999999994</v>
      </c>
      <c r="AA67" s="2106">
        <v>-470.625</v>
      </c>
      <c r="AB67" s="2106">
        <v>-3765.7815000000001</v>
      </c>
      <c r="AC67" s="2106">
        <v>-5190.8055000000004</v>
      </c>
      <c r="AD67" s="1744">
        <v>-9427.2119999999995</v>
      </c>
      <c r="AE67" s="2126">
        <v>30</v>
      </c>
      <c r="AF67" s="2126">
        <v>-30</v>
      </c>
      <c r="AG67" s="1212">
        <v>1</v>
      </c>
      <c r="AH67" s="1212">
        <v>0</v>
      </c>
      <c r="AI67" s="1212">
        <v>0</v>
      </c>
      <c r="AJ67" s="1212">
        <v>1</v>
      </c>
      <c r="AK67" s="2126">
        <v>-9427.2119999999995</v>
      </c>
      <c r="AL67" s="2126">
        <v>0</v>
      </c>
      <c r="AM67" s="2126">
        <v>0</v>
      </c>
      <c r="AN67" s="2126">
        <v>-9427.2119999999995</v>
      </c>
      <c r="AO67" s="1743" t="s">
        <v>85</v>
      </c>
      <c r="AP67" s="1743" t="s">
        <v>90</v>
      </c>
      <c r="AQ67" s="1764" t="s">
        <v>183</v>
      </c>
      <c r="AR67" s="1743" t="s">
        <v>87</v>
      </c>
      <c r="AS67" s="2135"/>
      <c r="AT67" s="2135"/>
      <c r="AU67" s="1212">
        <v>0.33333333333333331</v>
      </c>
      <c r="AV67" s="1212">
        <v>0.33333333333333331</v>
      </c>
      <c r="AW67" s="1212">
        <v>0.33333333333333331</v>
      </c>
      <c r="AX67" s="1212"/>
      <c r="AY67" s="1212"/>
      <c r="AZ67" s="1212"/>
      <c r="BA67" s="1212"/>
      <c r="BB67" s="1212"/>
      <c r="BC67" s="1212"/>
      <c r="BD67" s="1212"/>
      <c r="BE67" s="1212"/>
      <c r="BF67" s="2126">
        <v>0</v>
      </c>
      <c r="BG67" s="2126">
        <v>0</v>
      </c>
      <c r="BH67" s="2126">
        <v>-3142.4039999999995</v>
      </c>
      <c r="BI67" s="2126">
        <v>-3142.4039999999995</v>
      </c>
      <c r="BJ67" s="2126">
        <v>-3142.4039999999995</v>
      </c>
      <c r="BK67" s="2126">
        <v>0</v>
      </c>
      <c r="BL67" s="2126">
        <v>0</v>
      </c>
      <c r="BM67" s="2126">
        <v>0</v>
      </c>
      <c r="BN67" s="2126">
        <v>0</v>
      </c>
      <c r="BO67" s="2126">
        <v>0</v>
      </c>
      <c r="BP67" s="2126">
        <v>0</v>
      </c>
      <c r="BQ67" s="2126">
        <v>0</v>
      </c>
      <c r="BR67" s="2126">
        <v>0</v>
      </c>
    </row>
    <row r="68" spans="1:70" s="1765" customFormat="1" ht="49.5">
      <c r="A68" s="1272">
        <v>2000</v>
      </c>
      <c r="B68" s="971" t="s">
        <v>119</v>
      </c>
      <c r="C68" s="1272">
        <v>2100</v>
      </c>
      <c r="D68" s="971" t="s">
        <v>120</v>
      </c>
      <c r="E68" s="971" t="s">
        <v>175</v>
      </c>
      <c r="F68" s="971" t="s">
        <v>176</v>
      </c>
      <c r="G68" s="971">
        <v>2140</v>
      </c>
      <c r="H68" s="971" t="s">
        <v>176</v>
      </c>
      <c r="I68" s="1273"/>
      <c r="J68" s="971" t="s">
        <v>177</v>
      </c>
      <c r="K68" s="971" t="s">
        <v>188</v>
      </c>
      <c r="L68" s="971" t="s">
        <v>2841</v>
      </c>
      <c r="M68" s="971" t="s">
        <v>188</v>
      </c>
      <c r="N68" s="971" t="s">
        <v>179</v>
      </c>
      <c r="O68" s="971" t="s">
        <v>189</v>
      </c>
      <c r="P68" s="971" t="s">
        <v>190</v>
      </c>
      <c r="Q68" s="971" t="s">
        <v>191</v>
      </c>
      <c r="R68" s="1266"/>
      <c r="S68" s="2106">
        <v>-2</v>
      </c>
      <c r="T68" s="1266" t="s">
        <v>242</v>
      </c>
      <c r="U68" s="1742">
        <v>15.5</v>
      </c>
      <c r="V68" s="1742">
        <v>162.5</v>
      </c>
      <c r="W68" s="1742">
        <v>1366.17</v>
      </c>
      <c r="X68" s="1742">
        <v>1792.3100000000002</v>
      </c>
      <c r="Y68" s="2106">
        <v>3320.98</v>
      </c>
      <c r="Z68" s="2106">
        <v>-31</v>
      </c>
      <c r="AA68" s="2106">
        <v>-325</v>
      </c>
      <c r="AB68" s="2106">
        <v>-2732.34</v>
      </c>
      <c r="AC68" s="2106">
        <v>-3584.6200000000003</v>
      </c>
      <c r="AD68" s="1744">
        <v>-6641.9600000000009</v>
      </c>
      <c r="AE68" s="2126">
        <v>20</v>
      </c>
      <c r="AF68" s="2126">
        <v>-40</v>
      </c>
      <c r="AG68" s="1212">
        <v>1</v>
      </c>
      <c r="AH68" s="1212">
        <v>0</v>
      </c>
      <c r="AI68" s="1212">
        <v>0</v>
      </c>
      <c r="AJ68" s="1212">
        <v>1</v>
      </c>
      <c r="AK68" s="2126">
        <v>-6641.9600000000009</v>
      </c>
      <c r="AL68" s="2126">
        <v>0</v>
      </c>
      <c r="AM68" s="2126">
        <v>0</v>
      </c>
      <c r="AN68" s="2126">
        <v>-6641.9600000000009</v>
      </c>
      <c r="AO68" s="1743" t="s">
        <v>85</v>
      </c>
      <c r="AP68" s="1743" t="s">
        <v>96</v>
      </c>
      <c r="AQ68" s="1764" t="s">
        <v>192</v>
      </c>
      <c r="AR68" s="1743" t="s">
        <v>87</v>
      </c>
      <c r="AS68" s="2135"/>
      <c r="AT68" s="2135"/>
      <c r="AU68" s="1212">
        <v>0.5</v>
      </c>
      <c r="AV68" s="1212"/>
      <c r="AW68" s="1212"/>
      <c r="AX68" s="1212"/>
      <c r="AY68" s="1212"/>
      <c r="AZ68" s="1212"/>
      <c r="BA68" s="1212"/>
      <c r="BB68" s="1212"/>
      <c r="BC68" s="1212"/>
      <c r="BD68" s="1212"/>
      <c r="BE68" s="1212"/>
      <c r="BF68" s="2126">
        <v>0</v>
      </c>
      <c r="BG68" s="2126">
        <v>0</v>
      </c>
      <c r="BH68" s="2126">
        <v>-3320.9800000000005</v>
      </c>
      <c r="BI68" s="2126">
        <v>0</v>
      </c>
      <c r="BJ68" s="2126">
        <v>0</v>
      </c>
      <c r="BK68" s="2126">
        <v>0</v>
      </c>
      <c r="BL68" s="2126">
        <v>0</v>
      </c>
      <c r="BM68" s="2126">
        <v>0</v>
      </c>
      <c r="BN68" s="2126">
        <v>0</v>
      </c>
      <c r="BO68" s="2126">
        <v>0</v>
      </c>
      <c r="BP68" s="2126">
        <v>0</v>
      </c>
      <c r="BQ68" s="2126">
        <v>0</v>
      </c>
      <c r="BR68" s="2126">
        <v>0</v>
      </c>
    </row>
    <row r="69" spans="1:70" s="1765" customFormat="1" ht="49.5">
      <c r="A69" s="1272">
        <v>2000</v>
      </c>
      <c r="B69" s="971" t="s">
        <v>119</v>
      </c>
      <c r="C69" s="1272">
        <v>2100</v>
      </c>
      <c r="D69" s="971" t="s">
        <v>120</v>
      </c>
      <c r="E69" s="971" t="s">
        <v>175</v>
      </c>
      <c r="F69" s="971" t="s">
        <v>176</v>
      </c>
      <c r="G69" s="971">
        <v>2140</v>
      </c>
      <c r="H69" s="971" t="s">
        <v>176</v>
      </c>
      <c r="I69" s="1273"/>
      <c r="J69" s="971" t="s">
        <v>177</v>
      </c>
      <c r="K69" s="971" t="s">
        <v>188</v>
      </c>
      <c r="L69" s="971" t="s">
        <v>2841</v>
      </c>
      <c r="M69" s="971" t="s">
        <v>188</v>
      </c>
      <c r="N69" s="971" t="s">
        <v>179</v>
      </c>
      <c r="O69" s="971" t="s">
        <v>189</v>
      </c>
      <c r="P69" s="971" t="s">
        <v>190</v>
      </c>
      <c r="Q69" s="971" t="s">
        <v>193</v>
      </c>
      <c r="R69" s="1266"/>
      <c r="S69" s="2106">
        <v>-1</v>
      </c>
      <c r="T69" s="1266" t="s">
        <v>242</v>
      </c>
      <c r="U69" s="1742">
        <v>15.5</v>
      </c>
      <c r="V69" s="1742">
        <v>162.5</v>
      </c>
      <c r="W69" s="1742">
        <v>1366.17</v>
      </c>
      <c r="X69" s="1742">
        <v>1792.3100000000002</v>
      </c>
      <c r="Y69" s="2106">
        <v>3320.98</v>
      </c>
      <c r="Z69" s="2106">
        <v>-15.5</v>
      </c>
      <c r="AA69" s="2106">
        <v>-162.5</v>
      </c>
      <c r="AB69" s="2106">
        <v>-1366.17</v>
      </c>
      <c r="AC69" s="2106">
        <v>-1792.3100000000002</v>
      </c>
      <c r="AD69" s="1744">
        <v>-3320.9800000000005</v>
      </c>
      <c r="AE69" s="2126">
        <v>20</v>
      </c>
      <c r="AF69" s="2126">
        <v>-20</v>
      </c>
      <c r="AG69" s="1212">
        <v>1</v>
      </c>
      <c r="AH69" s="1212">
        <v>0</v>
      </c>
      <c r="AI69" s="1212">
        <v>0</v>
      </c>
      <c r="AJ69" s="1212">
        <v>1</v>
      </c>
      <c r="AK69" s="2126">
        <v>-3320.9800000000005</v>
      </c>
      <c r="AL69" s="2126">
        <v>0</v>
      </c>
      <c r="AM69" s="2126">
        <v>0</v>
      </c>
      <c r="AN69" s="2126">
        <v>-3320.9800000000005</v>
      </c>
      <c r="AO69" s="1743" t="s">
        <v>85</v>
      </c>
      <c r="AP69" s="1743" t="s">
        <v>96</v>
      </c>
      <c r="AQ69" s="1764" t="s">
        <v>192</v>
      </c>
      <c r="AR69" s="1743" t="s">
        <v>87</v>
      </c>
      <c r="AS69" s="2135"/>
      <c r="AT69" s="2135"/>
      <c r="AU69" s="1212">
        <v>0.5</v>
      </c>
      <c r="AV69" s="1212"/>
      <c r="AW69" s="1212"/>
      <c r="AX69" s="1212"/>
      <c r="AY69" s="1212"/>
      <c r="AZ69" s="1212"/>
      <c r="BA69" s="1212"/>
      <c r="BB69" s="1212"/>
      <c r="BC69" s="1212"/>
      <c r="BD69" s="1212"/>
      <c r="BE69" s="1212"/>
      <c r="BF69" s="2126">
        <v>0</v>
      </c>
      <c r="BG69" s="2126">
        <v>0</v>
      </c>
      <c r="BH69" s="2126">
        <v>-1660.4900000000002</v>
      </c>
      <c r="BI69" s="2126">
        <v>0</v>
      </c>
      <c r="BJ69" s="2126">
        <v>0</v>
      </c>
      <c r="BK69" s="2126">
        <v>0</v>
      </c>
      <c r="BL69" s="2126">
        <v>0</v>
      </c>
      <c r="BM69" s="2126">
        <v>0</v>
      </c>
      <c r="BN69" s="2126">
        <v>0</v>
      </c>
      <c r="BO69" s="2126">
        <v>0</v>
      </c>
      <c r="BP69" s="2126">
        <v>0</v>
      </c>
      <c r="BQ69" s="2126">
        <v>0</v>
      </c>
      <c r="BR69" s="2126">
        <v>0</v>
      </c>
    </row>
    <row r="70" spans="1:70" s="1765" customFormat="1" ht="49.5">
      <c r="A70" s="1272">
        <v>2000</v>
      </c>
      <c r="B70" s="971" t="s">
        <v>119</v>
      </c>
      <c r="C70" s="1272">
        <v>2100</v>
      </c>
      <c r="D70" s="971" t="s">
        <v>120</v>
      </c>
      <c r="E70" s="971" t="s">
        <v>175</v>
      </c>
      <c r="F70" s="971" t="s">
        <v>176</v>
      </c>
      <c r="G70" s="971">
        <v>2140</v>
      </c>
      <c r="H70" s="971" t="s">
        <v>176</v>
      </c>
      <c r="I70" s="1273"/>
      <c r="J70" s="971" t="s">
        <v>177</v>
      </c>
      <c r="K70" s="971" t="s">
        <v>188</v>
      </c>
      <c r="L70" s="971" t="s">
        <v>2841</v>
      </c>
      <c r="M70" s="971" t="s">
        <v>188</v>
      </c>
      <c r="N70" s="971" t="s">
        <v>179</v>
      </c>
      <c r="O70" s="971" t="s">
        <v>189</v>
      </c>
      <c r="P70" s="971" t="s">
        <v>190</v>
      </c>
      <c r="Q70" s="971" t="s">
        <v>194</v>
      </c>
      <c r="R70" s="1266"/>
      <c r="S70" s="2106">
        <v>5</v>
      </c>
      <c r="T70" s="1266" t="s">
        <v>242</v>
      </c>
      <c r="U70" s="1742">
        <v>15.5</v>
      </c>
      <c r="V70" s="1742">
        <v>162.5</v>
      </c>
      <c r="W70" s="1742">
        <v>1366.17</v>
      </c>
      <c r="X70" s="1742">
        <v>1792.3100000000002</v>
      </c>
      <c r="Y70" s="2106">
        <v>3320.98</v>
      </c>
      <c r="Z70" s="2106">
        <v>77.5</v>
      </c>
      <c r="AA70" s="2106">
        <v>812.5</v>
      </c>
      <c r="AB70" s="2106">
        <v>6830.85</v>
      </c>
      <c r="AC70" s="2106">
        <v>8961.5500000000011</v>
      </c>
      <c r="AD70" s="1744">
        <v>16604.900000000001</v>
      </c>
      <c r="AE70" s="2126">
        <v>20</v>
      </c>
      <c r="AF70" s="2126">
        <v>100</v>
      </c>
      <c r="AG70" s="1212">
        <v>1</v>
      </c>
      <c r="AH70" s="1212">
        <v>0</v>
      </c>
      <c r="AI70" s="1212">
        <v>0</v>
      </c>
      <c r="AJ70" s="1212">
        <v>1</v>
      </c>
      <c r="AK70" s="2126">
        <v>16604.900000000001</v>
      </c>
      <c r="AL70" s="2126">
        <v>0</v>
      </c>
      <c r="AM70" s="2126">
        <v>0</v>
      </c>
      <c r="AN70" s="2126">
        <v>16604.900000000001</v>
      </c>
      <c r="AO70" s="1743" t="s">
        <v>85</v>
      </c>
      <c r="AP70" s="1743" t="s">
        <v>90</v>
      </c>
      <c r="AQ70" s="1764">
        <v>2019</v>
      </c>
      <c r="AR70" s="1743" t="s">
        <v>87</v>
      </c>
      <c r="AS70" s="2135"/>
      <c r="AT70" s="2135"/>
      <c r="AU70" s="1212">
        <v>0.5</v>
      </c>
      <c r="AV70" s="1212"/>
      <c r="AW70" s="1212"/>
      <c r="AX70" s="1212"/>
      <c r="AY70" s="1212"/>
      <c r="AZ70" s="1212"/>
      <c r="BA70" s="1212"/>
      <c r="BB70" s="1212"/>
      <c r="BC70" s="1212"/>
      <c r="BD70" s="1212"/>
      <c r="BE70" s="1212"/>
      <c r="BF70" s="2126">
        <v>0</v>
      </c>
      <c r="BG70" s="2126">
        <v>0</v>
      </c>
      <c r="BH70" s="2126">
        <v>8302.4500000000007</v>
      </c>
      <c r="BI70" s="2126">
        <v>0</v>
      </c>
      <c r="BJ70" s="2126">
        <v>0</v>
      </c>
      <c r="BK70" s="2126">
        <v>0</v>
      </c>
      <c r="BL70" s="2126">
        <v>0</v>
      </c>
      <c r="BM70" s="2126">
        <v>0</v>
      </c>
      <c r="BN70" s="2126">
        <v>0</v>
      </c>
      <c r="BO70" s="2126">
        <v>0</v>
      </c>
      <c r="BP70" s="2126">
        <v>0</v>
      </c>
      <c r="BQ70" s="2126">
        <v>0</v>
      </c>
      <c r="BR70" s="2126">
        <v>0</v>
      </c>
    </row>
    <row r="71" spans="1:70" s="1765" customFormat="1" ht="49.5">
      <c r="A71" s="1272">
        <v>2000</v>
      </c>
      <c r="B71" s="971" t="s">
        <v>119</v>
      </c>
      <c r="C71" s="1272">
        <v>2100</v>
      </c>
      <c r="D71" s="971" t="s">
        <v>120</v>
      </c>
      <c r="E71" s="971" t="s">
        <v>175</v>
      </c>
      <c r="F71" s="971" t="s">
        <v>176</v>
      </c>
      <c r="G71" s="971">
        <v>2140</v>
      </c>
      <c r="H71" s="971" t="s">
        <v>176</v>
      </c>
      <c r="I71" s="1273"/>
      <c r="J71" s="971" t="s">
        <v>177</v>
      </c>
      <c r="K71" s="971" t="s">
        <v>188</v>
      </c>
      <c r="L71" s="971" t="s">
        <v>2841</v>
      </c>
      <c r="M71" s="971" t="s">
        <v>188</v>
      </c>
      <c r="N71" s="971" t="s">
        <v>179</v>
      </c>
      <c r="O71" s="971" t="s">
        <v>189</v>
      </c>
      <c r="P71" s="971" t="s">
        <v>190</v>
      </c>
      <c r="Q71" s="971" t="s">
        <v>194</v>
      </c>
      <c r="R71" s="1266"/>
      <c r="S71" s="2106">
        <v>2</v>
      </c>
      <c r="T71" s="1266" t="s">
        <v>242</v>
      </c>
      <c r="U71" s="1742">
        <v>15.5</v>
      </c>
      <c r="V71" s="1742">
        <v>162.5</v>
      </c>
      <c r="W71" s="1742">
        <v>1366.17</v>
      </c>
      <c r="X71" s="1742">
        <v>1792.3100000000002</v>
      </c>
      <c r="Y71" s="2106">
        <v>3320.98</v>
      </c>
      <c r="Z71" s="2106">
        <v>31</v>
      </c>
      <c r="AA71" s="2106">
        <v>325</v>
      </c>
      <c r="AB71" s="2106">
        <v>2732.34</v>
      </c>
      <c r="AC71" s="2106">
        <v>3584.6200000000003</v>
      </c>
      <c r="AD71" s="1744">
        <v>6641.9600000000009</v>
      </c>
      <c r="AE71" s="2126">
        <v>20</v>
      </c>
      <c r="AF71" s="2126">
        <v>40</v>
      </c>
      <c r="AG71" s="1212">
        <v>1</v>
      </c>
      <c r="AH71" s="1212">
        <v>0</v>
      </c>
      <c r="AI71" s="1212">
        <v>0</v>
      </c>
      <c r="AJ71" s="1212">
        <v>1</v>
      </c>
      <c r="AK71" s="2126">
        <v>6641.9600000000009</v>
      </c>
      <c r="AL71" s="2126">
        <v>0</v>
      </c>
      <c r="AM71" s="2126">
        <v>0</v>
      </c>
      <c r="AN71" s="2126">
        <v>6641.9600000000009</v>
      </c>
      <c r="AO71" s="1743" t="s">
        <v>85</v>
      </c>
      <c r="AP71" s="1743" t="s">
        <v>90</v>
      </c>
      <c r="AQ71" s="1764" t="s">
        <v>103</v>
      </c>
      <c r="AR71" s="1743" t="s">
        <v>87</v>
      </c>
      <c r="AS71" s="2135"/>
      <c r="AT71" s="2135"/>
      <c r="AU71" s="1212">
        <v>0.5</v>
      </c>
      <c r="AV71" s="1212"/>
      <c r="AW71" s="1212"/>
      <c r="AX71" s="1212"/>
      <c r="AY71" s="1212"/>
      <c r="AZ71" s="1212"/>
      <c r="BA71" s="1212"/>
      <c r="BB71" s="1212"/>
      <c r="BC71" s="1212"/>
      <c r="BD71" s="1212"/>
      <c r="BE71" s="1212"/>
      <c r="BF71" s="2126">
        <v>0</v>
      </c>
      <c r="BG71" s="2126">
        <v>0</v>
      </c>
      <c r="BH71" s="2126">
        <v>3320.9800000000005</v>
      </c>
      <c r="BI71" s="2126">
        <v>0</v>
      </c>
      <c r="BJ71" s="2126">
        <v>0</v>
      </c>
      <c r="BK71" s="2126">
        <v>0</v>
      </c>
      <c r="BL71" s="2126">
        <v>0</v>
      </c>
      <c r="BM71" s="2126">
        <v>0</v>
      </c>
      <c r="BN71" s="2126">
        <v>0</v>
      </c>
      <c r="BO71" s="2126">
        <v>0</v>
      </c>
      <c r="BP71" s="2126">
        <v>0</v>
      </c>
      <c r="BQ71" s="2126">
        <v>0</v>
      </c>
      <c r="BR71" s="2126">
        <v>0</v>
      </c>
    </row>
    <row r="72" spans="1:70" s="1765" customFormat="1" ht="49.5">
      <c r="A72" s="1272">
        <v>2000</v>
      </c>
      <c r="B72" s="971" t="s">
        <v>119</v>
      </c>
      <c r="C72" s="1272">
        <v>2100</v>
      </c>
      <c r="D72" s="971" t="s">
        <v>120</v>
      </c>
      <c r="E72" s="971" t="s">
        <v>175</v>
      </c>
      <c r="F72" s="971" t="s">
        <v>176</v>
      </c>
      <c r="G72" s="971">
        <v>2140</v>
      </c>
      <c r="H72" s="971" t="s">
        <v>176</v>
      </c>
      <c r="I72" s="1273"/>
      <c r="J72" s="971" t="s">
        <v>177</v>
      </c>
      <c r="K72" s="971" t="s">
        <v>188</v>
      </c>
      <c r="L72" s="971" t="s">
        <v>2841</v>
      </c>
      <c r="M72" s="971" t="s">
        <v>188</v>
      </c>
      <c r="N72" s="971" t="s">
        <v>179</v>
      </c>
      <c r="O72" s="971" t="s">
        <v>189</v>
      </c>
      <c r="P72" s="971" t="s">
        <v>190</v>
      </c>
      <c r="Q72" s="971" t="s">
        <v>194</v>
      </c>
      <c r="R72" s="1266"/>
      <c r="S72" s="2106">
        <v>-2</v>
      </c>
      <c r="T72" s="1266" t="s">
        <v>242</v>
      </c>
      <c r="U72" s="1742">
        <v>15.5</v>
      </c>
      <c r="V72" s="1742">
        <v>162.5</v>
      </c>
      <c r="W72" s="1742">
        <v>1366.17</v>
      </c>
      <c r="X72" s="1742">
        <v>1792.3100000000002</v>
      </c>
      <c r="Y72" s="2106">
        <v>3320.98</v>
      </c>
      <c r="Z72" s="2106">
        <v>-31</v>
      </c>
      <c r="AA72" s="2106">
        <v>-325</v>
      </c>
      <c r="AB72" s="2106">
        <v>-2732.34</v>
      </c>
      <c r="AC72" s="2106">
        <v>-3584.6200000000003</v>
      </c>
      <c r="AD72" s="1744">
        <v>-6641.9600000000009</v>
      </c>
      <c r="AE72" s="2126">
        <v>20</v>
      </c>
      <c r="AF72" s="2126">
        <v>-40</v>
      </c>
      <c r="AG72" s="1212">
        <v>1</v>
      </c>
      <c r="AH72" s="1212">
        <v>0</v>
      </c>
      <c r="AI72" s="1212">
        <v>0</v>
      </c>
      <c r="AJ72" s="1212">
        <v>1</v>
      </c>
      <c r="AK72" s="2126">
        <v>-6641.9600000000009</v>
      </c>
      <c r="AL72" s="2126">
        <v>0</v>
      </c>
      <c r="AM72" s="2126">
        <v>0</v>
      </c>
      <c r="AN72" s="2126">
        <v>-6641.9600000000009</v>
      </c>
      <c r="AO72" s="1743" t="s">
        <v>85</v>
      </c>
      <c r="AP72" s="1743" t="s">
        <v>90</v>
      </c>
      <c r="AQ72" s="1764" t="s">
        <v>183</v>
      </c>
      <c r="AR72" s="1743" t="s">
        <v>87</v>
      </c>
      <c r="AS72" s="2135"/>
      <c r="AT72" s="2135"/>
      <c r="AU72" s="1212">
        <v>0.5</v>
      </c>
      <c r="AV72" s="1212"/>
      <c r="AW72" s="1212"/>
      <c r="AX72" s="1212"/>
      <c r="AY72" s="1212"/>
      <c r="AZ72" s="1212"/>
      <c r="BA72" s="1212"/>
      <c r="BB72" s="1212"/>
      <c r="BC72" s="1212"/>
      <c r="BD72" s="1212"/>
      <c r="BE72" s="1212"/>
      <c r="BF72" s="2126">
        <v>0</v>
      </c>
      <c r="BG72" s="2126">
        <v>0</v>
      </c>
      <c r="BH72" s="2126">
        <v>-3320.9800000000005</v>
      </c>
      <c r="BI72" s="2126">
        <v>0</v>
      </c>
      <c r="BJ72" s="2126">
        <v>0</v>
      </c>
      <c r="BK72" s="2126">
        <v>0</v>
      </c>
      <c r="BL72" s="2126">
        <v>0</v>
      </c>
      <c r="BM72" s="2126">
        <v>0</v>
      </c>
      <c r="BN72" s="2126">
        <v>0</v>
      </c>
      <c r="BO72" s="2126">
        <v>0</v>
      </c>
      <c r="BP72" s="2126">
        <v>0</v>
      </c>
      <c r="BQ72" s="2126">
        <v>0</v>
      </c>
      <c r="BR72" s="2126">
        <v>0</v>
      </c>
    </row>
    <row r="73" spans="1:70" s="1765" customFormat="1" ht="49.5">
      <c r="A73" s="1272">
        <v>2000</v>
      </c>
      <c r="B73" s="971" t="s">
        <v>119</v>
      </c>
      <c r="C73" s="1272">
        <v>2100</v>
      </c>
      <c r="D73" s="971" t="s">
        <v>120</v>
      </c>
      <c r="E73" s="971" t="s">
        <v>175</v>
      </c>
      <c r="F73" s="971" t="s">
        <v>176</v>
      </c>
      <c r="G73" s="971">
        <v>2140</v>
      </c>
      <c r="H73" s="971" t="s">
        <v>176</v>
      </c>
      <c r="I73" s="1273"/>
      <c r="J73" s="971" t="s">
        <v>177</v>
      </c>
      <c r="K73" s="971" t="s">
        <v>188</v>
      </c>
      <c r="L73" s="971" t="s">
        <v>2841</v>
      </c>
      <c r="M73" s="971" t="s">
        <v>188</v>
      </c>
      <c r="N73" s="971" t="s">
        <v>179</v>
      </c>
      <c r="O73" s="971" t="s">
        <v>189</v>
      </c>
      <c r="P73" s="971"/>
      <c r="Q73" s="971" t="s">
        <v>195</v>
      </c>
      <c r="R73" s="1266"/>
      <c r="S73" s="2106">
        <v>1</v>
      </c>
      <c r="T73" s="1266" t="s">
        <v>242</v>
      </c>
      <c r="U73" s="1742">
        <v>15.5</v>
      </c>
      <c r="V73" s="1742">
        <v>162.5</v>
      </c>
      <c r="W73" s="1742">
        <v>1366.17</v>
      </c>
      <c r="X73" s="1742">
        <v>1792.3100000000002</v>
      </c>
      <c r="Y73" s="2106">
        <v>3320.98</v>
      </c>
      <c r="Z73" s="2106">
        <v>15.5</v>
      </c>
      <c r="AA73" s="2106">
        <v>162.5</v>
      </c>
      <c r="AB73" s="2106">
        <v>1366.17</v>
      </c>
      <c r="AC73" s="2106">
        <v>1792.3100000000002</v>
      </c>
      <c r="AD73" s="1744">
        <v>3320.98</v>
      </c>
      <c r="AE73" s="2126">
        <v>20</v>
      </c>
      <c r="AF73" s="2126">
        <v>20</v>
      </c>
      <c r="AG73" s="1212">
        <v>1</v>
      </c>
      <c r="AH73" s="1212">
        <v>0</v>
      </c>
      <c r="AI73" s="1212">
        <v>0</v>
      </c>
      <c r="AJ73" s="1212">
        <v>1</v>
      </c>
      <c r="AK73" s="2126">
        <v>3320.98</v>
      </c>
      <c r="AL73" s="2126">
        <v>0</v>
      </c>
      <c r="AM73" s="2126">
        <v>0</v>
      </c>
      <c r="AN73" s="2126">
        <v>3320.98</v>
      </c>
      <c r="AO73" s="1743" t="s">
        <v>85</v>
      </c>
      <c r="AP73" s="1743" t="s">
        <v>90</v>
      </c>
      <c r="AQ73" s="1764" t="s">
        <v>108</v>
      </c>
      <c r="AR73" s="1743" t="s">
        <v>87</v>
      </c>
      <c r="AS73" s="2135"/>
      <c r="AT73" s="2135"/>
      <c r="AU73" s="1212">
        <v>0.33333333333333331</v>
      </c>
      <c r="AV73" s="1212">
        <v>0.33333333333333331</v>
      </c>
      <c r="AW73" s="1212">
        <v>0.33333333333333331</v>
      </c>
      <c r="AX73" s="1212"/>
      <c r="AY73" s="1212"/>
      <c r="AZ73" s="1212"/>
      <c r="BA73" s="1212"/>
      <c r="BB73" s="1212"/>
      <c r="BC73" s="1212"/>
      <c r="BD73" s="1212"/>
      <c r="BE73" s="1212"/>
      <c r="BF73" s="2126">
        <v>0</v>
      </c>
      <c r="BG73" s="2126">
        <v>0</v>
      </c>
      <c r="BH73" s="2126">
        <v>1106.9933333333333</v>
      </c>
      <c r="BI73" s="2126">
        <v>1106.9933333333333</v>
      </c>
      <c r="BJ73" s="2126">
        <v>1106.9933333333333</v>
      </c>
      <c r="BK73" s="2126">
        <v>0</v>
      </c>
      <c r="BL73" s="2126">
        <v>0</v>
      </c>
      <c r="BM73" s="2126">
        <v>0</v>
      </c>
      <c r="BN73" s="2126">
        <v>0</v>
      </c>
      <c r="BO73" s="2126">
        <v>0</v>
      </c>
      <c r="BP73" s="2126">
        <v>0</v>
      </c>
      <c r="BQ73" s="2126">
        <v>0</v>
      </c>
      <c r="BR73" s="2126">
        <v>0</v>
      </c>
    </row>
    <row r="74" spans="1:70" s="1765" customFormat="1" ht="33">
      <c r="A74" s="1272">
        <v>2000</v>
      </c>
      <c r="B74" s="971" t="s">
        <v>119</v>
      </c>
      <c r="C74" s="1272">
        <v>2100</v>
      </c>
      <c r="D74" s="971" t="s">
        <v>120</v>
      </c>
      <c r="E74" s="971" t="s">
        <v>175</v>
      </c>
      <c r="F74" s="971" t="s">
        <v>176</v>
      </c>
      <c r="G74" s="971">
        <v>2140</v>
      </c>
      <c r="H74" s="971" t="s">
        <v>176</v>
      </c>
      <c r="I74" s="1273"/>
      <c r="J74" s="971" t="s">
        <v>177</v>
      </c>
      <c r="K74" s="971" t="s">
        <v>196</v>
      </c>
      <c r="L74" s="971" t="s">
        <v>197</v>
      </c>
      <c r="M74" s="971" t="s">
        <v>196</v>
      </c>
      <c r="N74" s="971" t="s">
        <v>179</v>
      </c>
      <c r="O74" s="971" t="s">
        <v>197</v>
      </c>
      <c r="P74" s="971"/>
      <c r="Q74" s="971" t="s">
        <v>198</v>
      </c>
      <c r="R74" s="1266"/>
      <c r="S74" s="2106">
        <v>1</v>
      </c>
      <c r="T74" s="1266" t="s">
        <v>242</v>
      </c>
      <c r="U74" s="1742">
        <v>9.6666666666666661</v>
      </c>
      <c r="V74" s="1742">
        <v>89.583333333333329</v>
      </c>
      <c r="W74" s="1742">
        <v>852.02</v>
      </c>
      <c r="X74" s="1742">
        <v>988.06833333333327</v>
      </c>
      <c r="Y74" s="2106">
        <v>1929.6716666666666</v>
      </c>
      <c r="Z74" s="2106">
        <v>9.6666666666666661</v>
      </c>
      <c r="AA74" s="2106">
        <v>89.583333333333329</v>
      </c>
      <c r="AB74" s="2106">
        <v>852.02</v>
      </c>
      <c r="AC74" s="2106">
        <v>988.06833333333327</v>
      </c>
      <c r="AD74" s="1744">
        <v>1929.6716666666666</v>
      </c>
      <c r="AE74" s="2126">
        <v>1</v>
      </c>
      <c r="AF74" s="2126">
        <v>1</v>
      </c>
      <c r="AG74" s="1212">
        <v>1</v>
      </c>
      <c r="AH74" s="1212">
        <v>0</v>
      </c>
      <c r="AI74" s="1212">
        <v>0</v>
      </c>
      <c r="AJ74" s="1212">
        <v>1</v>
      </c>
      <c r="AK74" s="2126">
        <v>1929.6716666666666</v>
      </c>
      <c r="AL74" s="2126">
        <v>0</v>
      </c>
      <c r="AM74" s="2126">
        <v>0</v>
      </c>
      <c r="AN74" s="2126">
        <v>1929.6716666666666</v>
      </c>
      <c r="AO74" s="1743" t="s">
        <v>85</v>
      </c>
      <c r="AP74" s="1743" t="s">
        <v>90</v>
      </c>
      <c r="AQ74" s="1764" t="s">
        <v>108</v>
      </c>
      <c r="AR74" s="1743" t="s">
        <v>87</v>
      </c>
      <c r="AS74" s="2135"/>
      <c r="AT74" s="2135"/>
      <c r="AU74" s="1212">
        <v>0.33333333333333331</v>
      </c>
      <c r="AV74" s="1212">
        <v>0.33333333333333331</v>
      </c>
      <c r="AW74" s="1212">
        <v>0.33333333333333331</v>
      </c>
      <c r="AX74" s="1212"/>
      <c r="AY74" s="1212"/>
      <c r="AZ74" s="1212"/>
      <c r="BA74" s="1212"/>
      <c r="BB74" s="1212"/>
      <c r="BC74" s="1212"/>
      <c r="BD74" s="1212"/>
      <c r="BE74" s="1212"/>
      <c r="BF74" s="2126">
        <v>0</v>
      </c>
      <c r="BG74" s="2126">
        <v>0</v>
      </c>
      <c r="BH74" s="2126">
        <v>643.22388888888884</v>
      </c>
      <c r="BI74" s="2126">
        <v>643.22388888888884</v>
      </c>
      <c r="BJ74" s="2126">
        <v>643.22388888888884</v>
      </c>
      <c r="BK74" s="2126">
        <v>0</v>
      </c>
      <c r="BL74" s="2126">
        <v>0</v>
      </c>
      <c r="BM74" s="2126">
        <v>0</v>
      </c>
      <c r="BN74" s="2126">
        <v>0</v>
      </c>
      <c r="BO74" s="2126">
        <v>0</v>
      </c>
      <c r="BP74" s="2126">
        <v>0</v>
      </c>
      <c r="BQ74" s="2126">
        <v>0</v>
      </c>
      <c r="BR74" s="2126">
        <v>0</v>
      </c>
    </row>
    <row r="75" spans="1:70" s="1765" customFormat="1" ht="33">
      <c r="A75" s="1272">
        <v>2000</v>
      </c>
      <c r="B75" s="971" t="s">
        <v>119</v>
      </c>
      <c r="C75" s="1272">
        <v>2100</v>
      </c>
      <c r="D75" s="971" t="s">
        <v>120</v>
      </c>
      <c r="E75" s="971" t="s">
        <v>175</v>
      </c>
      <c r="F75" s="971" t="s">
        <v>176</v>
      </c>
      <c r="G75" s="971">
        <v>2140</v>
      </c>
      <c r="H75" s="971" t="s">
        <v>176</v>
      </c>
      <c r="I75" s="1273"/>
      <c r="J75" s="971" t="s">
        <v>177</v>
      </c>
      <c r="K75" s="971" t="s">
        <v>196</v>
      </c>
      <c r="L75" s="971" t="s">
        <v>197</v>
      </c>
      <c r="M75" s="971" t="s">
        <v>196</v>
      </c>
      <c r="N75" s="971" t="s">
        <v>179</v>
      </c>
      <c r="O75" s="971" t="s">
        <v>197</v>
      </c>
      <c r="P75" s="971"/>
      <c r="Q75" s="971" t="s">
        <v>199</v>
      </c>
      <c r="R75" s="1266"/>
      <c r="S75" s="2106">
        <v>1</v>
      </c>
      <c r="T75" s="1266" t="s">
        <v>242</v>
      </c>
      <c r="U75" s="1742">
        <v>9.6666666666666661</v>
      </c>
      <c r="V75" s="1742">
        <v>89.583333333333329</v>
      </c>
      <c r="W75" s="1742">
        <v>852.02</v>
      </c>
      <c r="X75" s="1742">
        <v>988.06833333333327</v>
      </c>
      <c r="Y75" s="2106">
        <v>1929.6716666666666</v>
      </c>
      <c r="Z75" s="2106">
        <v>9.6666666666666661</v>
      </c>
      <c r="AA75" s="2106">
        <v>89.583333333333329</v>
      </c>
      <c r="AB75" s="2106">
        <v>852.02</v>
      </c>
      <c r="AC75" s="2106">
        <v>988.06833333333327</v>
      </c>
      <c r="AD75" s="1744">
        <v>1929.6716666666666</v>
      </c>
      <c r="AE75" s="2126">
        <v>1</v>
      </c>
      <c r="AF75" s="2126">
        <v>1</v>
      </c>
      <c r="AG75" s="1212">
        <v>1</v>
      </c>
      <c r="AH75" s="1212">
        <v>0</v>
      </c>
      <c r="AI75" s="1212">
        <v>0</v>
      </c>
      <c r="AJ75" s="1212">
        <v>1</v>
      </c>
      <c r="AK75" s="2126">
        <v>1929.6716666666666</v>
      </c>
      <c r="AL75" s="2126">
        <v>0</v>
      </c>
      <c r="AM75" s="2126">
        <v>0</v>
      </c>
      <c r="AN75" s="2126">
        <v>1929.6716666666666</v>
      </c>
      <c r="AO75" s="1743" t="s">
        <v>85</v>
      </c>
      <c r="AP75" s="1743" t="s">
        <v>90</v>
      </c>
      <c r="AQ75" s="1764" t="s">
        <v>108</v>
      </c>
      <c r="AR75" s="1743" t="s">
        <v>87</v>
      </c>
      <c r="AS75" s="2135"/>
      <c r="AT75" s="2135"/>
      <c r="AU75" s="1212">
        <v>0.33333333333333331</v>
      </c>
      <c r="AV75" s="1212">
        <v>0.33333333333333331</v>
      </c>
      <c r="AW75" s="1212">
        <v>0.33333333333333331</v>
      </c>
      <c r="AX75" s="1212"/>
      <c r="AY75" s="1212"/>
      <c r="AZ75" s="1212"/>
      <c r="BA75" s="1212"/>
      <c r="BB75" s="1212"/>
      <c r="BC75" s="1212"/>
      <c r="BD75" s="1212"/>
      <c r="BE75" s="1212"/>
      <c r="BF75" s="2126">
        <v>0</v>
      </c>
      <c r="BG75" s="2126">
        <v>0</v>
      </c>
      <c r="BH75" s="2126">
        <v>643.22388888888884</v>
      </c>
      <c r="BI75" s="2126">
        <v>643.22388888888884</v>
      </c>
      <c r="BJ75" s="2126">
        <v>643.22388888888884</v>
      </c>
      <c r="BK75" s="2126">
        <v>0</v>
      </c>
      <c r="BL75" s="2126">
        <v>0</v>
      </c>
      <c r="BM75" s="2126">
        <v>0</v>
      </c>
      <c r="BN75" s="2126">
        <v>0</v>
      </c>
      <c r="BO75" s="2126">
        <v>0</v>
      </c>
      <c r="BP75" s="2126">
        <v>0</v>
      </c>
      <c r="BQ75" s="2126">
        <v>0</v>
      </c>
      <c r="BR75" s="2126">
        <v>0</v>
      </c>
    </row>
    <row r="76" spans="1:70" s="1765" customFormat="1" ht="33">
      <c r="A76" s="1272">
        <v>2000</v>
      </c>
      <c r="B76" s="971" t="s">
        <v>119</v>
      </c>
      <c r="C76" s="1272">
        <v>2100</v>
      </c>
      <c r="D76" s="971" t="s">
        <v>120</v>
      </c>
      <c r="E76" s="971" t="s">
        <v>175</v>
      </c>
      <c r="F76" s="971" t="s">
        <v>176</v>
      </c>
      <c r="G76" s="971">
        <v>2140</v>
      </c>
      <c r="H76" s="971" t="s">
        <v>176</v>
      </c>
      <c r="I76" s="1273"/>
      <c r="J76" s="971" t="s">
        <v>177</v>
      </c>
      <c r="K76" s="971" t="s">
        <v>196</v>
      </c>
      <c r="L76" s="971" t="s">
        <v>197</v>
      </c>
      <c r="M76" s="971" t="s">
        <v>196</v>
      </c>
      <c r="N76" s="971" t="s">
        <v>179</v>
      </c>
      <c r="O76" s="971" t="s">
        <v>197</v>
      </c>
      <c r="P76" s="971"/>
      <c r="Q76" s="971" t="s">
        <v>200</v>
      </c>
      <c r="R76" s="1266"/>
      <c r="S76" s="2106">
        <v>1</v>
      </c>
      <c r="T76" s="1266" t="s">
        <v>242</v>
      </c>
      <c r="U76" s="1742">
        <v>9.6666666666666661</v>
      </c>
      <c r="V76" s="1742">
        <v>89.583333333333329</v>
      </c>
      <c r="W76" s="1742">
        <v>852.02</v>
      </c>
      <c r="X76" s="1742">
        <v>988.06833333333327</v>
      </c>
      <c r="Y76" s="2106">
        <v>1929.6716666666666</v>
      </c>
      <c r="Z76" s="2106">
        <v>9.6666666666666661</v>
      </c>
      <c r="AA76" s="2106">
        <v>89.583333333333329</v>
      </c>
      <c r="AB76" s="2106">
        <v>852.02</v>
      </c>
      <c r="AC76" s="2106">
        <v>988.06833333333327</v>
      </c>
      <c r="AD76" s="1744">
        <v>1929.6716666666666</v>
      </c>
      <c r="AE76" s="2126">
        <v>1</v>
      </c>
      <c r="AF76" s="2126">
        <v>1</v>
      </c>
      <c r="AG76" s="1212">
        <v>1</v>
      </c>
      <c r="AH76" s="1212">
        <v>0</v>
      </c>
      <c r="AI76" s="1212">
        <v>0</v>
      </c>
      <c r="AJ76" s="1212">
        <v>1</v>
      </c>
      <c r="AK76" s="2126">
        <v>1929.6716666666666</v>
      </c>
      <c r="AL76" s="2126">
        <v>0</v>
      </c>
      <c r="AM76" s="2126">
        <v>0</v>
      </c>
      <c r="AN76" s="2126">
        <v>1929.6716666666666</v>
      </c>
      <c r="AO76" s="1743" t="s">
        <v>85</v>
      </c>
      <c r="AP76" s="1743" t="s">
        <v>90</v>
      </c>
      <c r="AQ76" s="1764" t="s">
        <v>108</v>
      </c>
      <c r="AR76" s="1743" t="s">
        <v>87</v>
      </c>
      <c r="AS76" s="2135"/>
      <c r="AT76" s="2135"/>
      <c r="AU76" s="1212">
        <v>0.33333333333333331</v>
      </c>
      <c r="AV76" s="1212">
        <v>0.33333333333333331</v>
      </c>
      <c r="AW76" s="1212">
        <v>0.33333333333333331</v>
      </c>
      <c r="AX76" s="1212"/>
      <c r="AY76" s="1212"/>
      <c r="AZ76" s="1212"/>
      <c r="BA76" s="1212"/>
      <c r="BB76" s="1212"/>
      <c r="BC76" s="1212"/>
      <c r="BD76" s="1212"/>
      <c r="BE76" s="1212"/>
      <c r="BF76" s="2126">
        <v>0</v>
      </c>
      <c r="BG76" s="2126">
        <v>0</v>
      </c>
      <c r="BH76" s="2126">
        <v>643.22388888888884</v>
      </c>
      <c r="BI76" s="2126">
        <v>643.22388888888884</v>
      </c>
      <c r="BJ76" s="2126">
        <v>643.22388888888884</v>
      </c>
      <c r="BK76" s="2126">
        <v>0</v>
      </c>
      <c r="BL76" s="2126">
        <v>0</v>
      </c>
      <c r="BM76" s="2126">
        <v>0</v>
      </c>
      <c r="BN76" s="2126">
        <v>0</v>
      </c>
      <c r="BO76" s="2126">
        <v>0</v>
      </c>
      <c r="BP76" s="2126">
        <v>0</v>
      </c>
      <c r="BQ76" s="2126">
        <v>0</v>
      </c>
      <c r="BR76" s="2126">
        <v>0</v>
      </c>
    </row>
    <row r="77" spans="1:70" s="1765" customFormat="1" ht="49.5">
      <c r="A77" s="1272">
        <v>2000</v>
      </c>
      <c r="B77" s="971" t="s">
        <v>119</v>
      </c>
      <c r="C77" s="1272">
        <v>2100</v>
      </c>
      <c r="D77" s="971" t="s">
        <v>120</v>
      </c>
      <c r="E77" s="971" t="s">
        <v>175</v>
      </c>
      <c r="F77" s="971" t="s">
        <v>176</v>
      </c>
      <c r="G77" s="971">
        <v>2140</v>
      </c>
      <c r="H77" s="971" t="s">
        <v>176</v>
      </c>
      <c r="I77" s="1273"/>
      <c r="J77" s="971" t="s">
        <v>177</v>
      </c>
      <c r="K77" s="971" t="s">
        <v>178</v>
      </c>
      <c r="L77" s="971" t="s">
        <v>1948</v>
      </c>
      <c r="M77" s="971" t="s">
        <v>178</v>
      </c>
      <c r="N77" s="971" t="s">
        <v>179</v>
      </c>
      <c r="O77" s="971" t="s">
        <v>180</v>
      </c>
      <c r="P77" s="971"/>
      <c r="Q77" s="971" t="s">
        <v>201</v>
      </c>
      <c r="R77" s="1266"/>
      <c r="S77" s="2106">
        <v>5</v>
      </c>
      <c r="T77" s="1266" t="s">
        <v>242</v>
      </c>
      <c r="U77" s="1742">
        <v>42.724999999999994</v>
      </c>
      <c r="V77" s="1742">
        <v>470.625</v>
      </c>
      <c r="W77" s="1742">
        <v>3765.7815000000001</v>
      </c>
      <c r="X77" s="1742">
        <v>5190.8055000000004</v>
      </c>
      <c r="Y77" s="2106">
        <v>9427.2119999999995</v>
      </c>
      <c r="Z77" s="2106">
        <v>213.62499999999997</v>
      </c>
      <c r="AA77" s="2106">
        <v>2353.125</v>
      </c>
      <c r="AB77" s="2106">
        <v>18828.907500000001</v>
      </c>
      <c r="AC77" s="2106">
        <v>25954.027500000004</v>
      </c>
      <c r="AD77" s="1744">
        <v>47136.060000000005</v>
      </c>
      <c r="AE77" s="2126">
        <v>30</v>
      </c>
      <c r="AF77" s="2126">
        <v>150</v>
      </c>
      <c r="AG77" s="1212">
        <v>1</v>
      </c>
      <c r="AH77" s="1212">
        <v>0</v>
      </c>
      <c r="AI77" s="1212">
        <v>0</v>
      </c>
      <c r="AJ77" s="1212">
        <v>1</v>
      </c>
      <c r="AK77" s="2126">
        <v>47136.060000000005</v>
      </c>
      <c r="AL77" s="2126">
        <v>0</v>
      </c>
      <c r="AM77" s="2126">
        <v>0</v>
      </c>
      <c r="AN77" s="2126">
        <v>47136.060000000005</v>
      </c>
      <c r="AO77" s="1743" t="s">
        <v>85</v>
      </c>
      <c r="AP77" s="1743" t="s">
        <v>90</v>
      </c>
      <c r="AQ77" s="1764" t="s">
        <v>202</v>
      </c>
      <c r="AR77" s="1743" t="s">
        <v>87</v>
      </c>
      <c r="AS77" s="2135"/>
      <c r="AT77" s="2135"/>
      <c r="AU77" s="1212">
        <v>0.33333333333333331</v>
      </c>
      <c r="AV77" s="1212">
        <v>0.33333333333333331</v>
      </c>
      <c r="AW77" s="1212">
        <v>0.33333333333333331</v>
      </c>
      <c r="AX77" s="1212"/>
      <c r="AY77" s="1212"/>
      <c r="AZ77" s="1212"/>
      <c r="BA77" s="1212"/>
      <c r="BB77" s="1212"/>
      <c r="BC77" s="1212"/>
      <c r="BD77" s="1212"/>
      <c r="BE77" s="1212"/>
      <c r="BF77" s="2126">
        <v>0</v>
      </c>
      <c r="BG77" s="2126">
        <v>0</v>
      </c>
      <c r="BH77" s="2126">
        <v>15712.02</v>
      </c>
      <c r="BI77" s="2126">
        <v>15712.02</v>
      </c>
      <c r="BJ77" s="2126">
        <v>15712.02</v>
      </c>
      <c r="BK77" s="2126">
        <v>0</v>
      </c>
      <c r="BL77" s="2126">
        <v>0</v>
      </c>
      <c r="BM77" s="2126">
        <v>0</v>
      </c>
      <c r="BN77" s="2126">
        <v>0</v>
      </c>
      <c r="BO77" s="2126">
        <v>0</v>
      </c>
      <c r="BP77" s="2126">
        <v>0</v>
      </c>
      <c r="BQ77" s="2126">
        <v>0</v>
      </c>
      <c r="BR77" s="2126">
        <v>0</v>
      </c>
    </row>
    <row r="78" spans="1:70" s="1765" customFormat="1" ht="49.5">
      <c r="A78" s="1272">
        <v>2000</v>
      </c>
      <c r="B78" s="971" t="s">
        <v>119</v>
      </c>
      <c r="C78" s="1272">
        <v>2100</v>
      </c>
      <c r="D78" s="971" t="s">
        <v>120</v>
      </c>
      <c r="E78" s="971" t="s">
        <v>175</v>
      </c>
      <c r="F78" s="971" t="s">
        <v>176</v>
      </c>
      <c r="G78" s="971">
        <v>2140</v>
      </c>
      <c r="H78" s="971" t="s">
        <v>176</v>
      </c>
      <c r="I78" s="1273"/>
      <c r="J78" s="971" t="s">
        <v>177</v>
      </c>
      <c r="K78" s="971" t="s">
        <v>188</v>
      </c>
      <c r="L78" s="971" t="s">
        <v>2841</v>
      </c>
      <c r="M78" s="971" t="s">
        <v>188</v>
      </c>
      <c r="N78" s="971" t="s">
        <v>179</v>
      </c>
      <c r="O78" s="971" t="s">
        <v>189</v>
      </c>
      <c r="P78" s="971"/>
      <c r="Q78" s="971" t="s">
        <v>201</v>
      </c>
      <c r="R78" s="1266"/>
      <c r="S78" s="2106">
        <v>5</v>
      </c>
      <c r="T78" s="1266" t="s">
        <v>242</v>
      </c>
      <c r="U78" s="1742">
        <v>15.5</v>
      </c>
      <c r="V78" s="1742">
        <v>162.5</v>
      </c>
      <c r="W78" s="1742">
        <v>1366.17</v>
      </c>
      <c r="X78" s="1742">
        <v>1792.3100000000002</v>
      </c>
      <c r="Y78" s="2106">
        <v>3320.98</v>
      </c>
      <c r="Z78" s="2106">
        <v>77.5</v>
      </c>
      <c r="AA78" s="2106">
        <v>812.5</v>
      </c>
      <c r="AB78" s="2106">
        <v>6830.85</v>
      </c>
      <c r="AC78" s="2106">
        <v>8961.5500000000011</v>
      </c>
      <c r="AD78" s="1744">
        <v>16604.900000000001</v>
      </c>
      <c r="AE78" s="2126">
        <v>20</v>
      </c>
      <c r="AF78" s="2126">
        <v>100</v>
      </c>
      <c r="AG78" s="1212">
        <v>1</v>
      </c>
      <c r="AH78" s="1212">
        <v>0</v>
      </c>
      <c r="AI78" s="1212">
        <v>0</v>
      </c>
      <c r="AJ78" s="1212">
        <v>1</v>
      </c>
      <c r="AK78" s="2126">
        <v>16604.900000000001</v>
      </c>
      <c r="AL78" s="2126">
        <v>0</v>
      </c>
      <c r="AM78" s="2126">
        <v>0</v>
      </c>
      <c r="AN78" s="2126">
        <v>16604.900000000001</v>
      </c>
      <c r="AO78" s="1743" t="s">
        <v>85</v>
      </c>
      <c r="AP78" s="1743" t="s">
        <v>90</v>
      </c>
      <c r="AQ78" s="1764" t="s">
        <v>202</v>
      </c>
      <c r="AR78" s="1743" t="s">
        <v>87</v>
      </c>
      <c r="AS78" s="2135"/>
      <c r="AT78" s="2135"/>
      <c r="AU78" s="1212">
        <v>0.5</v>
      </c>
      <c r="AV78" s="1212">
        <v>0.5</v>
      </c>
      <c r="AW78" s="1212"/>
      <c r="AX78" s="1212"/>
      <c r="AY78" s="1212"/>
      <c r="AZ78" s="1212"/>
      <c r="BA78" s="1212"/>
      <c r="BB78" s="1212"/>
      <c r="BC78" s="1212"/>
      <c r="BD78" s="1212"/>
      <c r="BE78" s="1212"/>
      <c r="BF78" s="2126">
        <v>0</v>
      </c>
      <c r="BG78" s="2126">
        <v>0</v>
      </c>
      <c r="BH78" s="2126">
        <v>8302.4500000000007</v>
      </c>
      <c r="BI78" s="2126">
        <v>8302.4500000000007</v>
      </c>
      <c r="BJ78" s="2126">
        <v>0</v>
      </c>
      <c r="BK78" s="2126">
        <v>0</v>
      </c>
      <c r="BL78" s="2126">
        <v>0</v>
      </c>
      <c r="BM78" s="2126">
        <v>0</v>
      </c>
      <c r="BN78" s="2126">
        <v>0</v>
      </c>
      <c r="BO78" s="2126">
        <v>0</v>
      </c>
      <c r="BP78" s="2126">
        <v>0</v>
      </c>
      <c r="BQ78" s="2126">
        <v>0</v>
      </c>
      <c r="BR78" s="2126">
        <v>0</v>
      </c>
    </row>
    <row r="79" spans="1:70" s="1765" customFormat="1" ht="33">
      <c r="A79" s="1272">
        <v>2000</v>
      </c>
      <c r="B79" s="971" t="s">
        <v>119</v>
      </c>
      <c r="C79" s="1272">
        <v>2100</v>
      </c>
      <c r="D79" s="971" t="s">
        <v>120</v>
      </c>
      <c r="E79" s="971">
        <v>2130</v>
      </c>
      <c r="F79" s="971" t="s">
        <v>148</v>
      </c>
      <c r="G79" s="971"/>
      <c r="H79" s="971" t="s">
        <v>203</v>
      </c>
      <c r="I79" s="1273"/>
      <c r="J79" s="971" t="s">
        <v>121</v>
      </c>
      <c r="K79" s="971" t="s">
        <v>204</v>
      </c>
      <c r="L79" s="971" t="s">
        <v>206</v>
      </c>
      <c r="M79" s="971" t="s">
        <v>205</v>
      </c>
      <c r="N79" s="971" t="s">
        <v>83</v>
      </c>
      <c r="O79" s="971" t="s">
        <v>206</v>
      </c>
      <c r="P79" s="971"/>
      <c r="Q79" s="971" t="s">
        <v>207</v>
      </c>
      <c r="R79" s="1266"/>
      <c r="S79" s="2106">
        <v>12</v>
      </c>
      <c r="T79" s="1266" t="s">
        <v>242</v>
      </c>
      <c r="U79" s="1742">
        <v>6</v>
      </c>
      <c r="V79" s="1742">
        <v>37.5</v>
      </c>
      <c r="W79" s="1742">
        <v>528.84</v>
      </c>
      <c r="X79" s="1742">
        <v>413.61</v>
      </c>
      <c r="Y79" s="2106">
        <v>979.95</v>
      </c>
      <c r="Z79" s="2106">
        <v>72</v>
      </c>
      <c r="AA79" s="2106">
        <v>450</v>
      </c>
      <c r="AB79" s="2106">
        <v>6346.08</v>
      </c>
      <c r="AC79" s="2106">
        <v>4963.32</v>
      </c>
      <c r="AD79" s="1744">
        <v>11759.4</v>
      </c>
      <c r="AE79" s="2126">
        <v>0</v>
      </c>
      <c r="AF79" s="2126">
        <v>0</v>
      </c>
      <c r="AG79" s="1212">
        <v>1</v>
      </c>
      <c r="AH79" s="1212">
        <v>0</v>
      </c>
      <c r="AI79" s="1212">
        <v>0</v>
      </c>
      <c r="AJ79" s="1212">
        <v>1</v>
      </c>
      <c r="AK79" s="2126">
        <v>11759.4</v>
      </c>
      <c r="AL79" s="2126">
        <v>0</v>
      </c>
      <c r="AM79" s="2126">
        <v>0</v>
      </c>
      <c r="AN79" s="2126">
        <v>11759.4</v>
      </c>
      <c r="AO79" s="1743" t="s">
        <v>85</v>
      </c>
      <c r="AP79" s="1743"/>
      <c r="AQ79" s="1764" t="s">
        <v>105</v>
      </c>
      <c r="AR79" s="1743" t="s">
        <v>87</v>
      </c>
      <c r="AS79" s="2135"/>
      <c r="AT79" s="2135"/>
      <c r="AU79" s="1212"/>
      <c r="AV79" s="1212">
        <v>0.5</v>
      </c>
      <c r="AW79" s="1212">
        <v>0.5</v>
      </c>
      <c r="AX79" s="1212"/>
      <c r="AY79" s="1212"/>
      <c r="AZ79" s="1212"/>
      <c r="BA79" s="1212"/>
      <c r="BB79" s="1212"/>
      <c r="BC79" s="1212"/>
      <c r="BD79" s="1212"/>
      <c r="BE79" s="1212"/>
      <c r="BF79" s="2126">
        <v>0</v>
      </c>
      <c r="BG79" s="2126">
        <v>0</v>
      </c>
      <c r="BH79" s="2126">
        <v>0</v>
      </c>
      <c r="BI79" s="2126">
        <v>5879.7</v>
      </c>
      <c r="BJ79" s="2126">
        <v>5879.7</v>
      </c>
      <c r="BK79" s="2126">
        <v>0</v>
      </c>
      <c r="BL79" s="2126">
        <v>0</v>
      </c>
      <c r="BM79" s="2126">
        <v>0</v>
      </c>
      <c r="BN79" s="2126">
        <v>0</v>
      </c>
      <c r="BO79" s="2126">
        <v>0</v>
      </c>
      <c r="BP79" s="2126">
        <v>0</v>
      </c>
      <c r="BQ79" s="2126">
        <v>0</v>
      </c>
      <c r="BR79" s="2126">
        <v>0</v>
      </c>
    </row>
    <row r="80" spans="1:70" s="1765" customFormat="1">
      <c r="A80" s="1802">
        <v>2000</v>
      </c>
      <c r="B80" s="1803" t="s">
        <v>119</v>
      </c>
      <c r="C80" s="1802">
        <v>2200</v>
      </c>
      <c r="D80" s="1803" t="s">
        <v>208</v>
      </c>
      <c r="E80" s="1803"/>
      <c r="F80" s="1803"/>
      <c r="G80" s="1803"/>
      <c r="H80" s="1803"/>
      <c r="I80" s="1803"/>
      <c r="J80" s="1803" t="s">
        <v>121</v>
      </c>
      <c r="K80" s="1803"/>
      <c r="L80" s="1803"/>
      <c r="M80" s="1803"/>
      <c r="N80" s="1803"/>
      <c r="O80" s="1803"/>
      <c r="P80" s="1803"/>
      <c r="Q80" s="1803"/>
      <c r="R80" s="1774"/>
      <c r="S80" s="2107"/>
      <c r="T80" s="1774"/>
      <c r="U80" s="1776"/>
      <c r="V80" s="1776"/>
      <c r="W80" s="1776"/>
      <c r="X80" s="1776"/>
      <c r="Y80" s="2107"/>
      <c r="Z80" s="2107"/>
      <c r="AA80" s="2107"/>
      <c r="AB80" s="2107"/>
      <c r="AC80" s="2107"/>
      <c r="AD80" s="1775"/>
      <c r="AE80" s="2127"/>
      <c r="AF80" s="2127"/>
      <c r="AG80" s="1777"/>
      <c r="AH80" s="1777"/>
      <c r="AI80" s="1777"/>
      <c r="AJ80" s="1777"/>
      <c r="AK80" s="2127"/>
      <c r="AL80" s="2127"/>
      <c r="AM80" s="2127"/>
      <c r="AN80" s="2127"/>
      <c r="AO80" s="1775"/>
      <c r="AP80" s="1775"/>
      <c r="AQ80" s="1773"/>
      <c r="AR80" s="1775"/>
      <c r="AS80" s="1777"/>
      <c r="AT80" s="1777"/>
      <c r="AU80" s="1777"/>
      <c r="AV80" s="1777"/>
      <c r="AW80" s="1777"/>
      <c r="AX80" s="1777"/>
      <c r="AY80" s="1777"/>
      <c r="AZ80" s="1777"/>
      <c r="BA80" s="1777"/>
      <c r="BB80" s="1777"/>
      <c r="BC80" s="1777"/>
      <c r="BD80" s="1777"/>
      <c r="BE80" s="1777"/>
      <c r="BF80" s="2127"/>
      <c r="BG80" s="2127"/>
      <c r="BH80" s="2127"/>
      <c r="BI80" s="2127"/>
      <c r="BJ80" s="2127"/>
      <c r="BK80" s="2127"/>
      <c r="BL80" s="2127"/>
      <c r="BM80" s="2127"/>
      <c r="BN80" s="2127"/>
      <c r="BO80" s="2127"/>
      <c r="BP80" s="2127"/>
      <c r="BQ80" s="2127"/>
      <c r="BR80" s="2127"/>
    </row>
    <row r="81" spans="1:70" s="1765" customFormat="1" ht="49.5">
      <c r="A81" s="1272">
        <v>2000</v>
      </c>
      <c r="B81" s="971" t="s">
        <v>119</v>
      </c>
      <c r="C81" s="1272">
        <v>2200</v>
      </c>
      <c r="D81" s="971" t="s">
        <v>208</v>
      </c>
      <c r="E81" s="971" t="s">
        <v>209</v>
      </c>
      <c r="F81" s="971" t="s">
        <v>210</v>
      </c>
      <c r="G81" s="971" t="s">
        <v>211</v>
      </c>
      <c r="H81" s="971" t="s">
        <v>212</v>
      </c>
      <c r="I81" s="1273" t="s">
        <v>213</v>
      </c>
      <c r="J81" s="971" t="s">
        <v>124</v>
      </c>
      <c r="K81" s="971" t="s">
        <v>784</v>
      </c>
      <c r="L81" s="971" t="s">
        <v>2852</v>
      </c>
      <c r="M81" s="971" t="s">
        <v>214</v>
      </c>
      <c r="N81" s="971" t="s">
        <v>127</v>
      </c>
      <c r="O81" s="971" t="s">
        <v>215</v>
      </c>
      <c r="P81" s="971"/>
      <c r="Q81" s="971" t="s">
        <v>216</v>
      </c>
      <c r="R81" s="1266" t="s">
        <v>217</v>
      </c>
      <c r="S81" s="2106">
        <v>0</v>
      </c>
      <c r="T81" s="1266" t="s">
        <v>136</v>
      </c>
      <c r="U81" s="1742">
        <v>0.22416666666666665</v>
      </c>
      <c r="V81" s="1742">
        <v>2.8020833333333335</v>
      </c>
      <c r="W81" s="1742">
        <v>19.758049999999997</v>
      </c>
      <c r="X81" s="1742">
        <v>30.905858333333335</v>
      </c>
      <c r="Y81" s="2106">
        <v>53.46599166666666</v>
      </c>
      <c r="Z81" s="2106">
        <v>0</v>
      </c>
      <c r="AA81" s="2106">
        <v>0</v>
      </c>
      <c r="AB81" s="2106">
        <v>0</v>
      </c>
      <c r="AC81" s="2106">
        <v>0</v>
      </c>
      <c r="AD81" s="1744">
        <v>0</v>
      </c>
      <c r="AE81" s="2126">
        <v>1</v>
      </c>
      <c r="AF81" s="2126">
        <v>0</v>
      </c>
      <c r="AG81" s="1212">
        <v>0</v>
      </c>
      <c r="AH81" s="1212">
        <v>1</v>
      </c>
      <c r="AI81" s="1212">
        <v>0</v>
      </c>
      <c r="AJ81" s="1212">
        <v>1</v>
      </c>
      <c r="AK81" s="2126">
        <v>0</v>
      </c>
      <c r="AL81" s="2126">
        <v>0</v>
      </c>
      <c r="AM81" s="2126">
        <v>0</v>
      </c>
      <c r="AN81" s="2126">
        <v>0</v>
      </c>
      <c r="AO81" s="1743" t="s">
        <v>131</v>
      </c>
      <c r="AP81" s="1743" t="s">
        <v>96</v>
      </c>
      <c r="AQ81" s="1764">
        <v>2014</v>
      </c>
      <c r="AR81" s="1743" t="s">
        <v>87</v>
      </c>
      <c r="AS81" s="2135"/>
      <c r="AT81" s="2135"/>
      <c r="AU81" s="1212">
        <v>0.33333333333333331</v>
      </c>
      <c r="AV81" s="1212">
        <v>0.33333333333333331</v>
      </c>
      <c r="AW81" s="1212">
        <v>0.33333333333333331</v>
      </c>
      <c r="AX81" s="1212"/>
      <c r="AY81" s="1212"/>
      <c r="AZ81" s="1212"/>
      <c r="BA81" s="1212"/>
      <c r="BB81" s="1212"/>
      <c r="BC81" s="1212"/>
      <c r="BD81" s="1212"/>
      <c r="BE81" s="1212"/>
      <c r="BF81" s="2126">
        <v>0</v>
      </c>
      <c r="BG81" s="2126">
        <v>0</v>
      </c>
      <c r="BH81" s="2126">
        <v>0</v>
      </c>
      <c r="BI81" s="2126">
        <v>0</v>
      </c>
      <c r="BJ81" s="2126">
        <v>0</v>
      </c>
      <c r="BK81" s="2126">
        <v>0</v>
      </c>
      <c r="BL81" s="2126">
        <v>0</v>
      </c>
      <c r="BM81" s="2126">
        <v>0</v>
      </c>
      <c r="BN81" s="2126">
        <v>0</v>
      </c>
      <c r="BO81" s="2126">
        <v>0</v>
      </c>
      <c r="BP81" s="2126">
        <v>0</v>
      </c>
      <c r="BQ81" s="2126">
        <v>0</v>
      </c>
      <c r="BR81" s="2126">
        <v>0</v>
      </c>
    </row>
    <row r="82" spans="1:70" s="1765" customFormat="1" ht="33">
      <c r="A82" s="1272">
        <v>2000</v>
      </c>
      <c r="B82" s="971" t="s">
        <v>119</v>
      </c>
      <c r="C82" s="1272">
        <v>2200</v>
      </c>
      <c r="D82" s="971" t="s">
        <v>208</v>
      </c>
      <c r="E82" s="971" t="s">
        <v>209</v>
      </c>
      <c r="F82" s="971" t="s">
        <v>210</v>
      </c>
      <c r="G82" s="971" t="s">
        <v>211</v>
      </c>
      <c r="H82" s="971" t="s">
        <v>212</v>
      </c>
      <c r="I82" s="1273" t="s">
        <v>218</v>
      </c>
      <c r="J82" s="971" t="s">
        <v>124</v>
      </c>
      <c r="K82" s="971" t="s">
        <v>140</v>
      </c>
      <c r="L82" s="971" t="s">
        <v>2909</v>
      </c>
      <c r="M82" s="971" t="s">
        <v>140</v>
      </c>
      <c r="N82" s="971" t="s">
        <v>141</v>
      </c>
      <c r="O82" s="971" t="s">
        <v>142</v>
      </c>
      <c r="P82" s="971"/>
      <c r="Q82" s="971" t="s">
        <v>219</v>
      </c>
      <c r="R82" s="1266" t="s">
        <v>217</v>
      </c>
      <c r="S82" s="2106">
        <v>0</v>
      </c>
      <c r="T82" s="1266" t="s">
        <v>136</v>
      </c>
      <c r="U82" s="1742">
        <v>0</v>
      </c>
      <c r="V82" s="1742">
        <v>0</v>
      </c>
      <c r="W82" s="1742">
        <v>0</v>
      </c>
      <c r="X82" s="1742">
        <v>0</v>
      </c>
      <c r="Y82" s="2106">
        <v>0</v>
      </c>
      <c r="Z82" s="2106">
        <v>0</v>
      </c>
      <c r="AA82" s="2106">
        <v>0</v>
      </c>
      <c r="AB82" s="2106">
        <v>0</v>
      </c>
      <c r="AC82" s="2106">
        <v>0</v>
      </c>
      <c r="AD82" s="1744">
        <v>0</v>
      </c>
      <c r="AE82" s="2126">
        <v>0</v>
      </c>
      <c r="AF82" s="2126">
        <v>0</v>
      </c>
      <c r="AG82" s="1212">
        <v>0</v>
      </c>
      <c r="AH82" s="1212">
        <v>1</v>
      </c>
      <c r="AI82" s="1212">
        <v>0</v>
      </c>
      <c r="AJ82" s="1212">
        <v>1</v>
      </c>
      <c r="AK82" s="2126">
        <v>0</v>
      </c>
      <c r="AL82" s="2126">
        <v>0</v>
      </c>
      <c r="AM82" s="2126">
        <v>0</v>
      </c>
      <c r="AN82" s="2126">
        <v>0</v>
      </c>
      <c r="AO82" s="1743" t="s">
        <v>131</v>
      </c>
      <c r="AP82" s="1743" t="s">
        <v>96</v>
      </c>
      <c r="AQ82" s="1764">
        <v>2014</v>
      </c>
      <c r="AR82" s="1743" t="s">
        <v>87</v>
      </c>
      <c r="AS82" s="2135"/>
      <c r="AT82" s="2135"/>
      <c r="AU82" s="1212">
        <v>0.33333333333333331</v>
      </c>
      <c r="AV82" s="1212">
        <v>0.33333333333333331</v>
      </c>
      <c r="AW82" s="1212">
        <v>0.33333333333333331</v>
      </c>
      <c r="AX82" s="1212"/>
      <c r="AY82" s="1212"/>
      <c r="AZ82" s="1212"/>
      <c r="BA82" s="1212"/>
      <c r="BB82" s="1212"/>
      <c r="BC82" s="1212"/>
      <c r="BD82" s="1212"/>
      <c r="BE82" s="1212"/>
      <c r="BF82" s="2126">
        <v>0</v>
      </c>
      <c r="BG82" s="2126">
        <v>0</v>
      </c>
      <c r="BH82" s="2126">
        <v>0</v>
      </c>
      <c r="BI82" s="2126">
        <v>0</v>
      </c>
      <c r="BJ82" s="2126">
        <v>0</v>
      </c>
      <c r="BK82" s="2126">
        <v>0</v>
      </c>
      <c r="BL82" s="2126">
        <v>0</v>
      </c>
      <c r="BM82" s="2126">
        <v>0</v>
      </c>
      <c r="BN82" s="2126">
        <v>0</v>
      </c>
      <c r="BO82" s="2126">
        <v>0</v>
      </c>
      <c r="BP82" s="2126">
        <v>0</v>
      </c>
      <c r="BQ82" s="2126">
        <v>0</v>
      </c>
      <c r="BR82" s="2126">
        <v>0</v>
      </c>
    </row>
    <row r="83" spans="1:70" s="1765" customFormat="1" ht="33">
      <c r="A83" s="1272">
        <v>2000</v>
      </c>
      <c r="B83" s="971" t="s">
        <v>119</v>
      </c>
      <c r="C83" s="1272">
        <v>2200</v>
      </c>
      <c r="D83" s="971" t="s">
        <v>208</v>
      </c>
      <c r="E83" s="971" t="s">
        <v>209</v>
      </c>
      <c r="F83" s="971" t="s">
        <v>210</v>
      </c>
      <c r="G83" s="971" t="s">
        <v>211</v>
      </c>
      <c r="H83" s="971" t="s">
        <v>212</v>
      </c>
      <c r="I83" s="1273" t="s">
        <v>220</v>
      </c>
      <c r="J83" s="971" t="s">
        <v>124</v>
      </c>
      <c r="K83" s="971"/>
      <c r="L83" s="971" t="e">
        <v>#N/A</v>
      </c>
      <c r="M83" s="971" t="s">
        <v>145</v>
      </c>
      <c r="N83" s="971" t="s">
        <v>141</v>
      </c>
      <c r="O83" s="971" t="s">
        <v>146</v>
      </c>
      <c r="P83" s="971"/>
      <c r="Q83" s="971" t="s">
        <v>221</v>
      </c>
      <c r="R83" s="1266" t="s">
        <v>217</v>
      </c>
      <c r="S83" s="2106">
        <v>0</v>
      </c>
      <c r="T83" s="1266" t="s">
        <v>136</v>
      </c>
      <c r="U83" s="1742" t="s">
        <v>6588</v>
      </c>
      <c r="V83" s="1742" t="s">
        <v>6588</v>
      </c>
      <c r="W83" s="1742" t="s">
        <v>6588</v>
      </c>
      <c r="X83" s="1742" t="s">
        <v>6588</v>
      </c>
      <c r="Y83" s="2106" t="s">
        <v>6588</v>
      </c>
      <c r="Z83" s="2106">
        <v>0</v>
      </c>
      <c r="AA83" s="2106">
        <v>0</v>
      </c>
      <c r="AB83" s="2106">
        <v>0</v>
      </c>
      <c r="AC83" s="2106">
        <v>0</v>
      </c>
      <c r="AD83" s="1744">
        <v>0</v>
      </c>
      <c r="AE83" s="2126">
        <v>0</v>
      </c>
      <c r="AF83" s="2126">
        <v>0</v>
      </c>
      <c r="AG83" s="1212">
        <v>0</v>
      </c>
      <c r="AH83" s="1212">
        <v>1</v>
      </c>
      <c r="AI83" s="1212">
        <v>0</v>
      </c>
      <c r="AJ83" s="1212">
        <v>1</v>
      </c>
      <c r="AK83" s="2126">
        <v>0</v>
      </c>
      <c r="AL83" s="2126">
        <v>0</v>
      </c>
      <c r="AM83" s="2126">
        <v>0</v>
      </c>
      <c r="AN83" s="2126">
        <v>0</v>
      </c>
      <c r="AO83" s="1743" t="s">
        <v>131</v>
      </c>
      <c r="AP83" s="1743" t="s">
        <v>96</v>
      </c>
      <c r="AQ83" s="1764">
        <v>2014</v>
      </c>
      <c r="AR83" s="1743" t="s">
        <v>87</v>
      </c>
      <c r="AS83" s="2135"/>
      <c r="AT83" s="2135"/>
      <c r="AU83" s="1212">
        <v>0.33333333333333331</v>
      </c>
      <c r="AV83" s="1212">
        <v>0.33333333333333331</v>
      </c>
      <c r="AW83" s="1212">
        <v>0.33333333333333331</v>
      </c>
      <c r="AX83" s="1212"/>
      <c r="AY83" s="1212"/>
      <c r="AZ83" s="1212"/>
      <c r="BA83" s="1212"/>
      <c r="BB83" s="1212"/>
      <c r="BC83" s="1212"/>
      <c r="BD83" s="1212"/>
      <c r="BE83" s="1212"/>
      <c r="BF83" s="2126">
        <v>0</v>
      </c>
      <c r="BG83" s="2126">
        <v>0</v>
      </c>
      <c r="BH83" s="2126">
        <v>0</v>
      </c>
      <c r="BI83" s="2126">
        <v>0</v>
      </c>
      <c r="BJ83" s="2126">
        <v>0</v>
      </c>
      <c r="BK83" s="2126">
        <v>0</v>
      </c>
      <c r="BL83" s="2126">
        <v>0</v>
      </c>
      <c r="BM83" s="2126">
        <v>0</v>
      </c>
      <c r="BN83" s="2126">
        <v>0</v>
      </c>
      <c r="BO83" s="2126">
        <v>0</v>
      </c>
      <c r="BP83" s="2126">
        <v>0</v>
      </c>
      <c r="BQ83" s="2126">
        <v>0</v>
      </c>
      <c r="BR83" s="2126">
        <v>0</v>
      </c>
    </row>
    <row r="84" spans="1:70" s="1765" customFormat="1">
      <c r="A84" s="1802">
        <v>2000</v>
      </c>
      <c r="B84" s="1803" t="s">
        <v>119</v>
      </c>
      <c r="C84" s="1802">
        <v>2300</v>
      </c>
      <c r="D84" s="1803" t="s">
        <v>222</v>
      </c>
      <c r="E84" s="1803"/>
      <c r="F84" s="1803"/>
      <c r="G84" s="1803"/>
      <c r="H84" s="1803"/>
      <c r="I84" s="1803"/>
      <c r="J84" s="1803" t="s">
        <v>121</v>
      </c>
      <c r="K84" s="1803"/>
      <c r="L84" s="1803"/>
      <c r="M84" s="1803"/>
      <c r="N84" s="1803"/>
      <c r="O84" s="1803"/>
      <c r="P84" s="1803"/>
      <c r="Q84" s="1803"/>
      <c r="R84" s="1774"/>
      <c r="S84" s="2107"/>
      <c r="T84" s="1774"/>
      <c r="U84" s="1776"/>
      <c r="V84" s="1776"/>
      <c r="W84" s="1776"/>
      <c r="X84" s="1776"/>
      <c r="Y84" s="2107"/>
      <c r="Z84" s="2107"/>
      <c r="AA84" s="2107"/>
      <c r="AB84" s="2107"/>
      <c r="AC84" s="2107"/>
      <c r="AD84" s="1775"/>
      <c r="AE84" s="2127"/>
      <c r="AF84" s="2127"/>
      <c r="AG84" s="1777"/>
      <c r="AH84" s="1777"/>
      <c r="AI84" s="1777"/>
      <c r="AJ84" s="1777"/>
      <c r="AK84" s="2127"/>
      <c r="AL84" s="2127"/>
      <c r="AM84" s="2127"/>
      <c r="AN84" s="2127"/>
      <c r="AO84" s="1775"/>
      <c r="AP84" s="1775"/>
      <c r="AQ84" s="1773"/>
      <c r="AR84" s="1775"/>
      <c r="AS84" s="1777"/>
      <c r="AT84" s="1777"/>
      <c r="AU84" s="1777"/>
      <c r="AV84" s="1777"/>
      <c r="AW84" s="1777"/>
      <c r="AX84" s="1777"/>
      <c r="AY84" s="1777"/>
      <c r="AZ84" s="1777"/>
      <c r="BA84" s="1777"/>
      <c r="BB84" s="1777"/>
      <c r="BC84" s="1777"/>
      <c r="BD84" s="1777"/>
      <c r="BE84" s="1777"/>
      <c r="BF84" s="2127"/>
      <c r="BG84" s="2127"/>
      <c r="BH84" s="2127"/>
      <c r="BI84" s="2127"/>
      <c r="BJ84" s="2127"/>
      <c r="BK84" s="2127"/>
      <c r="BL84" s="2127"/>
      <c r="BM84" s="2127"/>
      <c r="BN84" s="2127"/>
      <c r="BO84" s="2127"/>
      <c r="BP84" s="2127"/>
      <c r="BQ84" s="2127"/>
      <c r="BR84" s="2127"/>
    </row>
    <row r="85" spans="1:70" s="1765" customFormat="1" ht="49.5">
      <c r="A85" s="1272">
        <v>2000</v>
      </c>
      <c r="B85" s="971" t="s">
        <v>119</v>
      </c>
      <c r="C85" s="1272">
        <v>2300</v>
      </c>
      <c r="D85" s="971" t="s">
        <v>222</v>
      </c>
      <c r="E85" s="971" t="s">
        <v>223</v>
      </c>
      <c r="F85" s="971" t="s">
        <v>224</v>
      </c>
      <c r="G85" s="971" t="s">
        <v>225</v>
      </c>
      <c r="H85" s="971" t="s">
        <v>226</v>
      </c>
      <c r="I85" s="1273" t="s">
        <v>227</v>
      </c>
      <c r="J85" s="971" t="s">
        <v>228</v>
      </c>
      <c r="K85" s="971" t="s">
        <v>229</v>
      </c>
      <c r="L85" s="971" t="s">
        <v>230</v>
      </c>
      <c r="M85" s="971" t="s">
        <v>229</v>
      </c>
      <c r="N85" s="971" t="s">
        <v>179</v>
      </c>
      <c r="O85" s="971" t="s">
        <v>230</v>
      </c>
      <c r="P85" s="971"/>
      <c r="Q85" s="971" t="s">
        <v>231</v>
      </c>
      <c r="R85" s="1266" t="s">
        <v>232</v>
      </c>
      <c r="S85" s="2106">
        <v>1</v>
      </c>
      <c r="T85" s="1266" t="s">
        <v>242</v>
      </c>
      <c r="U85" s="1742">
        <v>5018.3999999999996</v>
      </c>
      <c r="V85" s="1742">
        <v>62730</v>
      </c>
      <c r="W85" s="1742">
        <v>442321.77599999995</v>
      </c>
      <c r="X85" s="1742">
        <v>691886.80799999996</v>
      </c>
      <c r="Y85" s="2106">
        <v>1196938.5839999998</v>
      </c>
      <c r="Z85" s="2106">
        <v>5018.3999999999996</v>
      </c>
      <c r="AA85" s="2106">
        <v>62730</v>
      </c>
      <c r="AB85" s="2106">
        <v>442321.77599999995</v>
      </c>
      <c r="AC85" s="2106">
        <v>691886.80799999996</v>
      </c>
      <c r="AD85" s="1744">
        <v>1196938.5839999998</v>
      </c>
      <c r="AE85" s="2126">
        <v>1020</v>
      </c>
      <c r="AF85" s="2126">
        <v>1020</v>
      </c>
      <c r="AG85" s="1212">
        <v>1</v>
      </c>
      <c r="AH85" s="1212">
        <v>0</v>
      </c>
      <c r="AI85" s="1212">
        <v>0</v>
      </c>
      <c r="AJ85" s="1212">
        <v>1</v>
      </c>
      <c r="AK85" s="2126">
        <v>1196938.5839999998</v>
      </c>
      <c r="AL85" s="2126">
        <v>0</v>
      </c>
      <c r="AM85" s="2126">
        <v>0</v>
      </c>
      <c r="AN85" s="2126">
        <v>1196938.5839999998</v>
      </c>
      <c r="AO85" s="1743" t="s">
        <v>131</v>
      </c>
      <c r="AP85" s="1743"/>
      <c r="AQ85" s="1764">
        <v>2014</v>
      </c>
      <c r="AR85" s="1743" t="s">
        <v>87</v>
      </c>
      <c r="AS85" s="2135"/>
      <c r="AT85" s="2135"/>
      <c r="AU85" s="1212">
        <v>0.33333333333333331</v>
      </c>
      <c r="AV85" s="1212">
        <v>0.33333333333333331</v>
      </c>
      <c r="AW85" s="1212">
        <v>0.33333333333333331</v>
      </c>
      <c r="AX85" s="1212"/>
      <c r="AY85" s="1212"/>
      <c r="AZ85" s="1212"/>
      <c r="BA85" s="1212"/>
      <c r="BB85" s="1212"/>
      <c r="BC85" s="1212"/>
      <c r="BD85" s="1212"/>
      <c r="BE85" s="1212"/>
      <c r="BF85" s="2126">
        <v>0</v>
      </c>
      <c r="BG85" s="2126">
        <v>0</v>
      </c>
      <c r="BH85" s="2126">
        <v>398979.52799999993</v>
      </c>
      <c r="BI85" s="2126">
        <v>398979.52799999993</v>
      </c>
      <c r="BJ85" s="2126">
        <v>398979.52799999993</v>
      </c>
      <c r="BK85" s="2126">
        <v>0</v>
      </c>
      <c r="BL85" s="2126">
        <v>0</v>
      </c>
      <c r="BM85" s="2126">
        <v>0</v>
      </c>
      <c r="BN85" s="2126">
        <v>0</v>
      </c>
      <c r="BO85" s="2126">
        <v>0</v>
      </c>
      <c r="BP85" s="2126">
        <v>0</v>
      </c>
      <c r="BQ85" s="2126">
        <v>0</v>
      </c>
      <c r="BR85" s="2126">
        <v>0</v>
      </c>
    </row>
    <row r="86" spans="1:70" s="1765" customFormat="1" ht="33">
      <c r="A86" s="1272">
        <v>2000</v>
      </c>
      <c r="B86" s="971" t="s">
        <v>119</v>
      </c>
      <c r="C86" s="1272">
        <v>2300</v>
      </c>
      <c r="D86" s="971" t="s">
        <v>222</v>
      </c>
      <c r="E86" s="971" t="s">
        <v>223</v>
      </c>
      <c r="F86" s="971" t="s">
        <v>224</v>
      </c>
      <c r="G86" s="971" t="s">
        <v>233</v>
      </c>
      <c r="H86" s="971" t="s">
        <v>226</v>
      </c>
      <c r="I86" s="1273"/>
      <c r="J86" s="971" t="s">
        <v>124</v>
      </c>
      <c r="K86" s="971"/>
      <c r="L86" s="971" t="e">
        <v>#N/A</v>
      </c>
      <c r="M86" s="971"/>
      <c r="N86" s="971"/>
      <c r="O86" s="971"/>
      <c r="P86" s="971"/>
      <c r="Q86" s="971" t="s">
        <v>234</v>
      </c>
      <c r="R86" s="1266" t="s">
        <v>235</v>
      </c>
      <c r="S86" s="2106">
        <v>0</v>
      </c>
      <c r="T86" s="1266" t="s">
        <v>136</v>
      </c>
      <c r="U86" s="1742" t="s">
        <v>6588</v>
      </c>
      <c r="V86" s="1742" t="s">
        <v>6588</v>
      </c>
      <c r="W86" s="1742" t="s">
        <v>6588</v>
      </c>
      <c r="X86" s="1742" t="s">
        <v>6588</v>
      </c>
      <c r="Y86" s="2106" t="s">
        <v>6588</v>
      </c>
      <c r="Z86" s="2106">
        <v>0</v>
      </c>
      <c r="AA86" s="2106">
        <v>0</v>
      </c>
      <c r="AB86" s="2106">
        <v>0</v>
      </c>
      <c r="AC86" s="2106">
        <v>0</v>
      </c>
      <c r="AD86" s="1744">
        <v>0</v>
      </c>
      <c r="AE86" s="2126">
        <v>0</v>
      </c>
      <c r="AF86" s="2126">
        <v>0</v>
      </c>
      <c r="AG86" s="1212">
        <v>1</v>
      </c>
      <c r="AH86" s="1212">
        <v>0</v>
      </c>
      <c r="AI86" s="1212">
        <v>0</v>
      </c>
      <c r="AJ86" s="1212">
        <v>1</v>
      </c>
      <c r="AK86" s="2126">
        <v>0</v>
      </c>
      <c r="AL86" s="2126">
        <v>0</v>
      </c>
      <c r="AM86" s="2126">
        <v>0</v>
      </c>
      <c r="AN86" s="2126">
        <v>0</v>
      </c>
      <c r="AO86" s="1743" t="s">
        <v>131</v>
      </c>
      <c r="AP86" s="1743"/>
      <c r="AQ86" s="1764">
        <v>2014</v>
      </c>
      <c r="AR86" s="1743" t="s">
        <v>87</v>
      </c>
      <c r="AS86" s="2135"/>
      <c r="AT86" s="2135"/>
      <c r="AU86" s="1212">
        <v>0.33333333333333331</v>
      </c>
      <c r="AV86" s="1212">
        <v>0.33333333333333331</v>
      </c>
      <c r="AW86" s="1212">
        <v>0.33333333333333331</v>
      </c>
      <c r="AX86" s="1212"/>
      <c r="AY86" s="1212"/>
      <c r="AZ86" s="1212"/>
      <c r="BA86" s="1212"/>
      <c r="BB86" s="1212"/>
      <c r="BC86" s="1212"/>
      <c r="BD86" s="1212"/>
      <c r="BE86" s="1212"/>
      <c r="BF86" s="2126">
        <v>0</v>
      </c>
      <c r="BG86" s="2126">
        <v>0</v>
      </c>
      <c r="BH86" s="2126">
        <v>0</v>
      </c>
      <c r="BI86" s="2126">
        <v>0</v>
      </c>
      <c r="BJ86" s="2126">
        <v>0</v>
      </c>
      <c r="BK86" s="2126">
        <v>0</v>
      </c>
      <c r="BL86" s="2126">
        <v>0</v>
      </c>
      <c r="BM86" s="2126">
        <v>0</v>
      </c>
      <c r="BN86" s="2126">
        <v>0</v>
      </c>
      <c r="BO86" s="2126">
        <v>0</v>
      </c>
      <c r="BP86" s="2126">
        <v>0</v>
      </c>
      <c r="BQ86" s="2126">
        <v>0</v>
      </c>
      <c r="BR86" s="2126">
        <v>0</v>
      </c>
    </row>
    <row r="87" spans="1:70" s="1765" customFormat="1" ht="33">
      <c r="A87" s="1272">
        <v>2000</v>
      </c>
      <c r="B87" s="971" t="s">
        <v>119</v>
      </c>
      <c r="C87" s="1272">
        <v>2300</v>
      </c>
      <c r="D87" s="971" t="s">
        <v>222</v>
      </c>
      <c r="E87" s="971" t="s">
        <v>223</v>
      </c>
      <c r="F87" s="971" t="s">
        <v>224</v>
      </c>
      <c r="G87" s="971" t="s">
        <v>233</v>
      </c>
      <c r="H87" s="971" t="s">
        <v>226</v>
      </c>
      <c r="I87" s="1273"/>
      <c r="J87" s="971" t="s">
        <v>124</v>
      </c>
      <c r="K87" s="971" t="s">
        <v>140</v>
      </c>
      <c r="L87" s="971" t="s">
        <v>2909</v>
      </c>
      <c r="M87" s="971" t="s">
        <v>140</v>
      </c>
      <c r="N87" s="971" t="s">
        <v>141</v>
      </c>
      <c r="O87" s="971" t="s">
        <v>142</v>
      </c>
      <c r="P87" s="971"/>
      <c r="Q87" s="971" t="s">
        <v>236</v>
      </c>
      <c r="R87" s="1266" t="s">
        <v>235</v>
      </c>
      <c r="S87" s="2106">
        <v>0</v>
      </c>
      <c r="T87" s="1266" t="s">
        <v>136</v>
      </c>
      <c r="U87" s="1742">
        <v>0</v>
      </c>
      <c r="V87" s="1742">
        <v>0</v>
      </c>
      <c r="W87" s="1742">
        <v>0</v>
      </c>
      <c r="X87" s="1742">
        <v>0</v>
      </c>
      <c r="Y87" s="2106">
        <v>0</v>
      </c>
      <c r="Z87" s="2106">
        <v>0</v>
      </c>
      <c r="AA87" s="2106">
        <v>0</v>
      </c>
      <c r="AB87" s="2106">
        <v>0</v>
      </c>
      <c r="AC87" s="2106">
        <v>0</v>
      </c>
      <c r="AD87" s="1744">
        <v>0</v>
      </c>
      <c r="AE87" s="2126">
        <v>0</v>
      </c>
      <c r="AF87" s="2126">
        <v>0</v>
      </c>
      <c r="AG87" s="1212">
        <v>1</v>
      </c>
      <c r="AH87" s="1212">
        <v>0</v>
      </c>
      <c r="AI87" s="1212">
        <v>0</v>
      </c>
      <c r="AJ87" s="1212">
        <v>1</v>
      </c>
      <c r="AK87" s="2126">
        <v>0</v>
      </c>
      <c r="AL87" s="2126">
        <v>0</v>
      </c>
      <c r="AM87" s="2126">
        <v>0</v>
      </c>
      <c r="AN87" s="2126">
        <v>0</v>
      </c>
      <c r="AO87" s="1743" t="s">
        <v>131</v>
      </c>
      <c r="AP87" s="1743"/>
      <c r="AQ87" s="1764">
        <v>2014</v>
      </c>
      <c r="AR87" s="1743" t="s">
        <v>87</v>
      </c>
      <c r="AS87" s="2135"/>
      <c r="AT87" s="2135"/>
      <c r="AU87" s="1212">
        <v>0.33333333333333331</v>
      </c>
      <c r="AV87" s="1212">
        <v>0.33333333333333331</v>
      </c>
      <c r="AW87" s="1212">
        <v>0.33333333333333331</v>
      </c>
      <c r="AX87" s="1212"/>
      <c r="AY87" s="1212"/>
      <c r="AZ87" s="1212"/>
      <c r="BA87" s="1212"/>
      <c r="BB87" s="1212"/>
      <c r="BC87" s="1212"/>
      <c r="BD87" s="1212"/>
      <c r="BE87" s="1212"/>
      <c r="BF87" s="2126">
        <v>0</v>
      </c>
      <c r="BG87" s="2126">
        <v>0</v>
      </c>
      <c r="BH87" s="2126">
        <v>0</v>
      </c>
      <c r="BI87" s="2126">
        <v>0</v>
      </c>
      <c r="BJ87" s="2126">
        <v>0</v>
      </c>
      <c r="BK87" s="2126">
        <v>0</v>
      </c>
      <c r="BL87" s="2126">
        <v>0</v>
      </c>
      <c r="BM87" s="2126">
        <v>0</v>
      </c>
      <c r="BN87" s="2126">
        <v>0</v>
      </c>
      <c r="BO87" s="2126">
        <v>0</v>
      </c>
      <c r="BP87" s="2126">
        <v>0</v>
      </c>
      <c r="BQ87" s="2126">
        <v>0</v>
      </c>
      <c r="BR87" s="2126">
        <v>0</v>
      </c>
    </row>
    <row r="88" spans="1:70" s="1765" customFormat="1" ht="33">
      <c r="A88" s="1272">
        <v>2000</v>
      </c>
      <c r="B88" s="971" t="s">
        <v>119</v>
      </c>
      <c r="C88" s="1272">
        <v>2300</v>
      </c>
      <c r="D88" s="971" t="s">
        <v>222</v>
      </c>
      <c r="E88" s="971" t="s">
        <v>223</v>
      </c>
      <c r="F88" s="971" t="s">
        <v>224</v>
      </c>
      <c r="G88" s="971" t="s">
        <v>233</v>
      </c>
      <c r="H88" s="971" t="s">
        <v>226</v>
      </c>
      <c r="I88" s="1273"/>
      <c r="J88" s="971" t="s">
        <v>124</v>
      </c>
      <c r="K88" s="971"/>
      <c r="L88" s="971" t="e">
        <v>#N/A</v>
      </c>
      <c r="M88" s="971" t="s">
        <v>145</v>
      </c>
      <c r="N88" s="971" t="s">
        <v>141</v>
      </c>
      <c r="O88" s="971" t="s">
        <v>146</v>
      </c>
      <c r="P88" s="971"/>
      <c r="Q88" s="971" t="s">
        <v>237</v>
      </c>
      <c r="R88" s="1266" t="s">
        <v>235</v>
      </c>
      <c r="S88" s="2106">
        <v>0</v>
      </c>
      <c r="T88" s="1266" t="s">
        <v>136</v>
      </c>
      <c r="U88" s="1742" t="s">
        <v>6588</v>
      </c>
      <c r="V88" s="1742" t="s">
        <v>6588</v>
      </c>
      <c r="W88" s="1742" t="s">
        <v>6588</v>
      </c>
      <c r="X88" s="1742" t="s">
        <v>6588</v>
      </c>
      <c r="Y88" s="2106" t="s">
        <v>6588</v>
      </c>
      <c r="Z88" s="2106">
        <v>0</v>
      </c>
      <c r="AA88" s="2106">
        <v>0</v>
      </c>
      <c r="AB88" s="2106">
        <v>0</v>
      </c>
      <c r="AC88" s="2106">
        <v>0</v>
      </c>
      <c r="AD88" s="1744">
        <v>0</v>
      </c>
      <c r="AE88" s="2126">
        <v>0</v>
      </c>
      <c r="AF88" s="2126">
        <v>0</v>
      </c>
      <c r="AG88" s="1212">
        <v>1</v>
      </c>
      <c r="AH88" s="1212">
        <v>0</v>
      </c>
      <c r="AI88" s="1212">
        <v>0</v>
      </c>
      <c r="AJ88" s="1212">
        <v>1</v>
      </c>
      <c r="AK88" s="2126">
        <v>0</v>
      </c>
      <c r="AL88" s="2126">
        <v>0</v>
      </c>
      <c r="AM88" s="2126">
        <v>0</v>
      </c>
      <c r="AN88" s="2126">
        <v>0</v>
      </c>
      <c r="AO88" s="1743" t="s">
        <v>131</v>
      </c>
      <c r="AP88" s="1743"/>
      <c r="AQ88" s="1764">
        <v>2014</v>
      </c>
      <c r="AR88" s="1743" t="s">
        <v>87</v>
      </c>
      <c r="AS88" s="2135"/>
      <c r="AT88" s="2135"/>
      <c r="AU88" s="1212">
        <v>0.33333333333333331</v>
      </c>
      <c r="AV88" s="1212">
        <v>0.33333333333333331</v>
      </c>
      <c r="AW88" s="1212">
        <v>0.33333333333333331</v>
      </c>
      <c r="AX88" s="1212"/>
      <c r="AY88" s="1212"/>
      <c r="AZ88" s="1212"/>
      <c r="BA88" s="1212"/>
      <c r="BB88" s="1212"/>
      <c r="BC88" s="1212"/>
      <c r="BD88" s="1212"/>
      <c r="BE88" s="1212"/>
      <c r="BF88" s="2126">
        <v>0</v>
      </c>
      <c r="BG88" s="2126">
        <v>0</v>
      </c>
      <c r="BH88" s="2126">
        <v>0</v>
      </c>
      <c r="BI88" s="2126">
        <v>0</v>
      </c>
      <c r="BJ88" s="2126">
        <v>0</v>
      </c>
      <c r="BK88" s="2126">
        <v>0</v>
      </c>
      <c r="BL88" s="2126">
        <v>0</v>
      </c>
      <c r="BM88" s="2126">
        <v>0</v>
      </c>
      <c r="BN88" s="2126">
        <v>0</v>
      </c>
      <c r="BO88" s="2126">
        <v>0</v>
      </c>
      <c r="BP88" s="2126">
        <v>0</v>
      </c>
      <c r="BQ88" s="2126">
        <v>0</v>
      </c>
      <c r="BR88" s="2126">
        <v>0</v>
      </c>
    </row>
    <row r="89" spans="1:70" s="1765" customFormat="1" ht="33">
      <c r="A89" s="1272">
        <v>2000</v>
      </c>
      <c r="B89" s="971" t="s">
        <v>119</v>
      </c>
      <c r="C89" s="1272">
        <v>2300</v>
      </c>
      <c r="D89" s="971" t="s">
        <v>222</v>
      </c>
      <c r="E89" s="971" t="s">
        <v>223</v>
      </c>
      <c r="F89" s="971" t="s">
        <v>224</v>
      </c>
      <c r="G89" s="971" t="s">
        <v>225</v>
      </c>
      <c r="H89" s="971" t="s">
        <v>226</v>
      </c>
      <c r="I89" s="1273" t="s">
        <v>238</v>
      </c>
      <c r="J89" s="971" t="s">
        <v>239</v>
      </c>
      <c r="K89" s="971"/>
      <c r="L89" s="971" t="e">
        <v>#N/A</v>
      </c>
      <c r="M89" s="971"/>
      <c r="N89" s="971"/>
      <c r="O89" s="971"/>
      <c r="P89" s="971"/>
      <c r="Q89" s="971" t="s">
        <v>240</v>
      </c>
      <c r="R89" s="1266" t="s">
        <v>241</v>
      </c>
      <c r="S89" s="2106">
        <v>1</v>
      </c>
      <c r="T89" s="1266" t="s">
        <v>242</v>
      </c>
      <c r="U89" s="1742" t="s">
        <v>6588</v>
      </c>
      <c r="V89" s="1742" t="s">
        <v>6588</v>
      </c>
      <c r="W89" s="1742" t="s">
        <v>6588</v>
      </c>
      <c r="X89" s="1742" t="s">
        <v>6588</v>
      </c>
      <c r="Y89" s="2106" t="s">
        <v>6588</v>
      </c>
      <c r="Z89" s="2106">
        <v>0</v>
      </c>
      <c r="AA89" s="2106">
        <v>0</v>
      </c>
      <c r="AB89" s="2106">
        <v>0</v>
      </c>
      <c r="AC89" s="2106">
        <v>0</v>
      </c>
      <c r="AD89" s="1744">
        <v>0</v>
      </c>
      <c r="AE89" s="2126">
        <v>0</v>
      </c>
      <c r="AF89" s="2126">
        <v>0</v>
      </c>
      <c r="AG89" s="1212">
        <v>1</v>
      </c>
      <c r="AH89" s="1212">
        <v>0</v>
      </c>
      <c r="AI89" s="1212">
        <v>0</v>
      </c>
      <c r="AJ89" s="1212">
        <v>1</v>
      </c>
      <c r="AK89" s="2126">
        <v>0</v>
      </c>
      <c r="AL89" s="2126">
        <v>0</v>
      </c>
      <c r="AM89" s="2126">
        <v>0</v>
      </c>
      <c r="AN89" s="2126">
        <v>0</v>
      </c>
      <c r="AO89" s="1743" t="s">
        <v>131</v>
      </c>
      <c r="AP89" s="1743"/>
      <c r="AQ89" s="1764">
        <v>2014</v>
      </c>
      <c r="AR89" s="1743" t="s">
        <v>87</v>
      </c>
      <c r="AS89" s="2135"/>
      <c r="AT89" s="2135"/>
      <c r="AU89" s="1212">
        <v>0.33333333333333331</v>
      </c>
      <c r="AV89" s="1212">
        <v>0.33333333333333331</v>
      </c>
      <c r="AW89" s="1212">
        <v>0.33333333333333331</v>
      </c>
      <c r="AX89" s="1212"/>
      <c r="AY89" s="1212"/>
      <c r="AZ89" s="1212"/>
      <c r="BA89" s="1212"/>
      <c r="BB89" s="1212"/>
      <c r="BC89" s="1212"/>
      <c r="BD89" s="1212"/>
      <c r="BE89" s="1212"/>
      <c r="BF89" s="2126">
        <v>0</v>
      </c>
      <c r="BG89" s="2126">
        <v>0</v>
      </c>
      <c r="BH89" s="2126">
        <v>0</v>
      </c>
      <c r="BI89" s="2126">
        <v>0</v>
      </c>
      <c r="BJ89" s="2126">
        <v>0</v>
      </c>
      <c r="BK89" s="2126">
        <v>0</v>
      </c>
      <c r="BL89" s="2126">
        <v>0</v>
      </c>
      <c r="BM89" s="2126">
        <v>0</v>
      </c>
      <c r="BN89" s="2126">
        <v>0</v>
      </c>
      <c r="BO89" s="2126">
        <v>0</v>
      </c>
      <c r="BP89" s="2126">
        <v>0</v>
      </c>
      <c r="BQ89" s="2126">
        <v>0</v>
      </c>
      <c r="BR89" s="2126">
        <v>0</v>
      </c>
    </row>
    <row r="90" spans="1:70" s="1765" customFormat="1" ht="33">
      <c r="A90" s="1272">
        <v>2000</v>
      </c>
      <c r="B90" s="971" t="s">
        <v>119</v>
      </c>
      <c r="C90" s="1272">
        <v>2300</v>
      </c>
      <c r="D90" s="971" t="s">
        <v>222</v>
      </c>
      <c r="E90" s="971" t="s">
        <v>223</v>
      </c>
      <c r="F90" s="971" t="s">
        <v>224</v>
      </c>
      <c r="G90" s="971" t="s">
        <v>225</v>
      </c>
      <c r="H90" s="971" t="s">
        <v>226</v>
      </c>
      <c r="I90" s="1273" t="s">
        <v>227</v>
      </c>
      <c r="J90" s="971" t="s">
        <v>228</v>
      </c>
      <c r="K90" s="971" t="s">
        <v>229</v>
      </c>
      <c r="L90" s="971" t="s">
        <v>230</v>
      </c>
      <c r="M90" s="971" t="s">
        <v>229</v>
      </c>
      <c r="N90" s="971" t="s">
        <v>179</v>
      </c>
      <c r="O90" s="971" t="s">
        <v>230</v>
      </c>
      <c r="P90" s="971"/>
      <c r="Q90" s="971" t="s">
        <v>243</v>
      </c>
      <c r="R90" s="1266"/>
      <c r="S90" s="2106">
        <v>0.16666666666666666</v>
      </c>
      <c r="T90" s="1266" t="s">
        <v>242</v>
      </c>
      <c r="U90" s="1742">
        <v>5018.3999999999996</v>
      </c>
      <c r="V90" s="1742">
        <v>62730</v>
      </c>
      <c r="W90" s="1742">
        <v>442321.77599999995</v>
      </c>
      <c r="X90" s="1742">
        <v>691886.80799999996</v>
      </c>
      <c r="Y90" s="2106">
        <v>1196938.5839999998</v>
      </c>
      <c r="Z90" s="2106">
        <v>836.39999999999986</v>
      </c>
      <c r="AA90" s="2106">
        <v>10455</v>
      </c>
      <c r="AB90" s="2106">
        <v>73720.295999999988</v>
      </c>
      <c r="AC90" s="2106">
        <v>115314.46799999999</v>
      </c>
      <c r="AD90" s="1744">
        <v>199489.76399999997</v>
      </c>
      <c r="AE90" s="2126">
        <v>1020</v>
      </c>
      <c r="AF90" s="2126">
        <v>170</v>
      </c>
      <c r="AG90" s="1212">
        <v>1</v>
      </c>
      <c r="AH90" s="1212">
        <v>0</v>
      </c>
      <c r="AI90" s="1212">
        <v>0</v>
      </c>
      <c r="AJ90" s="1212">
        <v>1</v>
      </c>
      <c r="AK90" s="2126">
        <v>199489.76399999997</v>
      </c>
      <c r="AL90" s="2126">
        <v>0</v>
      </c>
      <c r="AM90" s="2126">
        <v>0</v>
      </c>
      <c r="AN90" s="2126">
        <v>199489.76399999997</v>
      </c>
      <c r="AO90" s="1743" t="s">
        <v>85</v>
      </c>
      <c r="AP90" s="1743" t="s">
        <v>90</v>
      </c>
      <c r="AQ90" s="1764">
        <v>2017</v>
      </c>
      <c r="AR90" s="1743" t="s">
        <v>87</v>
      </c>
      <c r="AS90" s="2135"/>
      <c r="AT90" s="2135"/>
      <c r="AU90" s="1212">
        <v>0.33333333333333331</v>
      </c>
      <c r="AV90" s="1212">
        <v>0.33333333333333331</v>
      </c>
      <c r="AW90" s="1212">
        <v>0.33333333333333331</v>
      </c>
      <c r="AX90" s="1212"/>
      <c r="AY90" s="1212"/>
      <c r="AZ90" s="1212"/>
      <c r="BA90" s="1212"/>
      <c r="BB90" s="1212"/>
      <c r="BC90" s="1212"/>
      <c r="BD90" s="1212"/>
      <c r="BE90" s="1212"/>
      <c r="BF90" s="2126">
        <v>0</v>
      </c>
      <c r="BG90" s="2126">
        <v>0</v>
      </c>
      <c r="BH90" s="2126">
        <v>66496.587999999989</v>
      </c>
      <c r="BI90" s="2126">
        <v>66496.587999999989</v>
      </c>
      <c r="BJ90" s="2126">
        <v>66496.587999999989</v>
      </c>
      <c r="BK90" s="2126">
        <v>0</v>
      </c>
      <c r="BL90" s="2126">
        <v>0</v>
      </c>
      <c r="BM90" s="2126">
        <v>0</v>
      </c>
      <c r="BN90" s="2126">
        <v>0</v>
      </c>
      <c r="BO90" s="2126">
        <v>0</v>
      </c>
      <c r="BP90" s="2126">
        <v>0</v>
      </c>
      <c r="BQ90" s="2126">
        <v>0</v>
      </c>
      <c r="BR90" s="2126">
        <v>0</v>
      </c>
    </row>
    <row r="91" spans="1:70" s="1765" customFormat="1" ht="33">
      <c r="A91" s="1272">
        <v>2000</v>
      </c>
      <c r="B91" s="971" t="s">
        <v>119</v>
      </c>
      <c r="C91" s="1272">
        <v>2300</v>
      </c>
      <c r="D91" s="971" t="s">
        <v>222</v>
      </c>
      <c r="E91" s="971" t="s">
        <v>223</v>
      </c>
      <c r="F91" s="971" t="s">
        <v>224</v>
      </c>
      <c r="G91" s="971" t="s">
        <v>225</v>
      </c>
      <c r="H91" s="971" t="s">
        <v>226</v>
      </c>
      <c r="I91" s="1273" t="s">
        <v>227</v>
      </c>
      <c r="J91" s="971" t="s">
        <v>228</v>
      </c>
      <c r="K91" s="971" t="s">
        <v>229</v>
      </c>
      <c r="L91" s="971" t="s">
        <v>230</v>
      </c>
      <c r="M91" s="971" t="s">
        <v>229</v>
      </c>
      <c r="N91" s="971" t="s">
        <v>179</v>
      </c>
      <c r="O91" s="971" t="s">
        <v>230</v>
      </c>
      <c r="P91" s="971"/>
      <c r="Q91" s="971" t="s">
        <v>243</v>
      </c>
      <c r="R91" s="1266"/>
      <c r="S91" s="2106">
        <v>-0.16666666666666666</v>
      </c>
      <c r="T91" s="1266" t="s">
        <v>242</v>
      </c>
      <c r="U91" s="1742">
        <v>5018.3999999999996</v>
      </c>
      <c r="V91" s="1742">
        <v>62730</v>
      </c>
      <c r="W91" s="1742">
        <v>442321.77599999995</v>
      </c>
      <c r="X91" s="1742">
        <v>691886.80799999996</v>
      </c>
      <c r="Y91" s="2106">
        <v>1196938.5839999998</v>
      </c>
      <c r="Z91" s="2106">
        <v>-836.39999999999986</v>
      </c>
      <c r="AA91" s="2106">
        <v>-10455</v>
      </c>
      <c r="AB91" s="2106">
        <v>-73720.295999999988</v>
      </c>
      <c r="AC91" s="2106">
        <v>-115314.46799999999</v>
      </c>
      <c r="AD91" s="1744">
        <v>-199489.76399999997</v>
      </c>
      <c r="AE91" s="2126">
        <v>1020</v>
      </c>
      <c r="AF91" s="2126">
        <v>-170</v>
      </c>
      <c r="AG91" s="1212">
        <v>1</v>
      </c>
      <c r="AH91" s="1212">
        <v>0</v>
      </c>
      <c r="AI91" s="1212">
        <v>0</v>
      </c>
      <c r="AJ91" s="1212">
        <v>1</v>
      </c>
      <c r="AK91" s="2126">
        <v>-199489.76399999997</v>
      </c>
      <c r="AL91" s="2126">
        <v>0</v>
      </c>
      <c r="AM91" s="2126">
        <v>0</v>
      </c>
      <c r="AN91" s="2126">
        <v>-199489.76399999997</v>
      </c>
      <c r="AO91" s="1743" t="s">
        <v>85</v>
      </c>
      <c r="AP91" s="1743" t="s">
        <v>96</v>
      </c>
      <c r="AQ91" s="1764" t="s">
        <v>202</v>
      </c>
      <c r="AR91" s="1743" t="s">
        <v>87</v>
      </c>
      <c r="AS91" s="2135"/>
      <c r="AT91" s="2135"/>
      <c r="AU91" s="1212">
        <v>0.33333333333333331</v>
      </c>
      <c r="AV91" s="1212">
        <v>0.33333333333333331</v>
      </c>
      <c r="AW91" s="1212">
        <v>0.33333333333333331</v>
      </c>
      <c r="AX91" s="1212"/>
      <c r="AY91" s="1212"/>
      <c r="AZ91" s="1212"/>
      <c r="BA91" s="1212"/>
      <c r="BB91" s="1212"/>
      <c r="BC91" s="1212"/>
      <c r="BD91" s="1212"/>
      <c r="BE91" s="1212"/>
      <c r="BF91" s="2126">
        <v>0</v>
      </c>
      <c r="BG91" s="2126">
        <v>0</v>
      </c>
      <c r="BH91" s="2126">
        <v>-66496.587999999989</v>
      </c>
      <c r="BI91" s="2126">
        <v>-66496.587999999989</v>
      </c>
      <c r="BJ91" s="2126">
        <v>-66496.587999999989</v>
      </c>
      <c r="BK91" s="2126">
        <v>0</v>
      </c>
      <c r="BL91" s="2126">
        <v>0</v>
      </c>
      <c r="BM91" s="2126">
        <v>0</v>
      </c>
      <c r="BN91" s="2126">
        <v>0</v>
      </c>
      <c r="BO91" s="2126">
        <v>0</v>
      </c>
      <c r="BP91" s="2126">
        <v>0</v>
      </c>
      <c r="BQ91" s="2126">
        <v>0</v>
      </c>
      <c r="BR91" s="2126">
        <v>0</v>
      </c>
    </row>
    <row r="92" spans="1:70" s="1765" customFormat="1" ht="33">
      <c r="A92" s="1272">
        <v>2000</v>
      </c>
      <c r="B92" s="971" t="s">
        <v>119</v>
      </c>
      <c r="C92" s="1272">
        <v>2300</v>
      </c>
      <c r="D92" s="971" t="s">
        <v>222</v>
      </c>
      <c r="E92" s="971">
        <v>2340</v>
      </c>
      <c r="F92" s="971" t="s">
        <v>224</v>
      </c>
      <c r="G92" s="971" t="s">
        <v>244</v>
      </c>
      <c r="H92" s="971" t="s">
        <v>245</v>
      </c>
      <c r="I92" s="1273"/>
      <c r="J92" s="971" t="s">
        <v>121</v>
      </c>
      <c r="K92" s="971" t="s">
        <v>150</v>
      </c>
      <c r="L92" s="971" t="s">
        <v>2800</v>
      </c>
      <c r="M92" s="971" t="s">
        <v>80</v>
      </c>
      <c r="N92" s="971" t="s">
        <v>83</v>
      </c>
      <c r="O92" s="971" t="s">
        <v>151</v>
      </c>
      <c r="P92" s="971" t="s">
        <v>152</v>
      </c>
      <c r="Q92" s="971" t="s">
        <v>246</v>
      </c>
      <c r="R92" s="1266"/>
      <c r="S92" s="2106">
        <v>230545.88</v>
      </c>
      <c r="T92" s="1266" t="s">
        <v>136</v>
      </c>
      <c r="U92" s="1742">
        <v>1.2691883296460175E-2</v>
      </c>
      <c r="V92" s="1742">
        <v>0.14624999999999999</v>
      </c>
      <c r="W92" s="1742">
        <v>1.1186625937499999</v>
      </c>
      <c r="X92" s="1742">
        <v>0.4015178457754629</v>
      </c>
      <c r="Y92" s="2106">
        <v>1.6649423457754629</v>
      </c>
      <c r="Z92" s="2106">
        <v>2926.0614034397122</v>
      </c>
      <c r="AA92" s="2106">
        <v>33717.334949999997</v>
      </c>
      <c r="AB92" s="2106">
        <v>257903.05209917622</v>
      </c>
      <c r="AC92" s="2106">
        <v>92568.285090008372</v>
      </c>
      <c r="AD92" s="1744">
        <v>384188.67213918455</v>
      </c>
      <c r="AE92" s="2126">
        <v>0</v>
      </c>
      <c r="AF92" s="2126">
        <v>0</v>
      </c>
      <c r="AG92" s="1212">
        <v>1</v>
      </c>
      <c r="AH92" s="1212">
        <v>0</v>
      </c>
      <c r="AI92" s="1212">
        <v>0</v>
      </c>
      <c r="AJ92" s="1212">
        <v>1</v>
      </c>
      <c r="AK92" s="2126">
        <v>384188.67213918455</v>
      </c>
      <c r="AL92" s="2126">
        <v>0</v>
      </c>
      <c r="AM92" s="2126">
        <v>0</v>
      </c>
      <c r="AN92" s="2126">
        <v>384188.67213918455</v>
      </c>
      <c r="AO92" s="1743" t="s">
        <v>131</v>
      </c>
      <c r="AP92" s="1743"/>
      <c r="AQ92" s="1764">
        <v>2014</v>
      </c>
      <c r="AR92" s="1743" t="s">
        <v>87</v>
      </c>
      <c r="AS92" s="2135"/>
      <c r="AT92" s="2135"/>
      <c r="AU92" s="1212">
        <v>0.33333333333333331</v>
      </c>
      <c r="AV92" s="1212">
        <v>0.33333333333333331</v>
      </c>
      <c r="AW92" s="1212">
        <v>0.33333333333333331</v>
      </c>
      <c r="AX92" s="1212"/>
      <c r="AY92" s="1212"/>
      <c r="AZ92" s="1212"/>
      <c r="BA92" s="1212"/>
      <c r="BB92" s="1212"/>
      <c r="BC92" s="1212"/>
      <c r="BD92" s="1212"/>
      <c r="BE92" s="1212"/>
      <c r="BF92" s="2126">
        <v>0</v>
      </c>
      <c r="BG92" s="2126">
        <v>0</v>
      </c>
      <c r="BH92" s="2126">
        <v>128062.89071306151</v>
      </c>
      <c r="BI92" s="2126">
        <v>128062.89071306151</v>
      </c>
      <c r="BJ92" s="2126">
        <v>128062.89071306151</v>
      </c>
      <c r="BK92" s="2126">
        <v>0</v>
      </c>
      <c r="BL92" s="2126">
        <v>0</v>
      </c>
      <c r="BM92" s="2126">
        <v>0</v>
      </c>
      <c r="BN92" s="2126">
        <v>0</v>
      </c>
      <c r="BO92" s="2126">
        <v>0</v>
      </c>
      <c r="BP92" s="2126">
        <v>0</v>
      </c>
      <c r="BQ92" s="2126">
        <v>0</v>
      </c>
      <c r="BR92" s="2126">
        <v>0</v>
      </c>
    </row>
    <row r="93" spans="1:70" s="1765" customFormat="1" ht="33">
      <c r="A93" s="1272">
        <v>2000</v>
      </c>
      <c r="B93" s="971" t="s">
        <v>119</v>
      </c>
      <c r="C93" s="1272">
        <v>2300</v>
      </c>
      <c r="D93" s="971" t="s">
        <v>222</v>
      </c>
      <c r="E93" s="971">
        <v>2340</v>
      </c>
      <c r="F93" s="971" t="s">
        <v>224</v>
      </c>
      <c r="G93" s="971" t="s">
        <v>244</v>
      </c>
      <c r="H93" s="971" t="s">
        <v>245</v>
      </c>
      <c r="I93" s="1273"/>
      <c r="J93" s="971" t="s">
        <v>121</v>
      </c>
      <c r="K93" s="971" t="s">
        <v>150</v>
      </c>
      <c r="L93" s="971" t="s">
        <v>2800</v>
      </c>
      <c r="M93" s="971" t="s">
        <v>80</v>
      </c>
      <c r="N93" s="971" t="s">
        <v>83</v>
      </c>
      <c r="O93" s="971" t="s">
        <v>151</v>
      </c>
      <c r="P93" s="971" t="s">
        <v>152</v>
      </c>
      <c r="Q93" s="971" t="s">
        <v>247</v>
      </c>
      <c r="R93" s="1266"/>
      <c r="S93" s="2106">
        <v>128865.8</v>
      </c>
      <c r="T93" s="1266" t="s">
        <v>136</v>
      </c>
      <c r="U93" s="1742">
        <v>1.2691883296460175E-2</v>
      </c>
      <c r="V93" s="1742">
        <v>0.14624999999999999</v>
      </c>
      <c r="W93" s="1742">
        <v>1.1186625937499999</v>
      </c>
      <c r="X93" s="1742">
        <v>0.4015178457754629</v>
      </c>
      <c r="Y93" s="2106">
        <v>1.6649423457754629</v>
      </c>
      <c r="Z93" s="2106">
        <v>1635.5496945049777</v>
      </c>
      <c r="AA93" s="2106">
        <v>18846.623250000001</v>
      </c>
      <c r="AB93" s="2106">
        <v>144157.35007366873</v>
      </c>
      <c r="AC93" s="2106">
        <v>51741.91841013165</v>
      </c>
      <c r="AD93" s="1744">
        <v>214745.89173380038</v>
      </c>
      <c r="AE93" s="2126">
        <v>0</v>
      </c>
      <c r="AF93" s="2126">
        <v>0</v>
      </c>
      <c r="AG93" s="1212">
        <v>1</v>
      </c>
      <c r="AH93" s="1212">
        <v>0</v>
      </c>
      <c r="AI93" s="1212">
        <v>0</v>
      </c>
      <c r="AJ93" s="1212">
        <v>1</v>
      </c>
      <c r="AK93" s="2126">
        <v>214745.89173380038</v>
      </c>
      <c r="AL93" s="2126">
        <v>0</v>
      </c>
      <c r="AM93" s="2126">
        <v>0</v>
      </c>
      <c r="AN93" s="2126">
        <v>214745.89173380038</v>
      </c>
      <c r="AO93" s="1743" t="s">
        <v>131</v>
      </c>
      <c r="AP93" s="1743"/>
      <c r="AQ93" s="1764">
        <v>2014</v>
      </c>
      <c r="AR93" s="1743" t="s">
        <v>87</v>
      </c>
      <c r="AS93" s="2135"/>
      <c r="AT93" s="2135"/>
      <c r="AU93" s="1212">
        <v>0.33333333333333331</v>
      </c>
      <c r="AV93" s="1212">
        <v>0.33333333333333331</v>
      </c>
      <c r="AW93" s="1212">
        <v>0.33333333333333331</v>
      </c>
      <c r="AX93" s="1212"/>
      <c r="AY93" s="1212"/>
      <c r="AZ93" s="1212"/>
      <c r="BA93" s="1212"/>
      <c r="BB93" s="1212"/>
      <c r="BC93" s="1212"/>
      <c r="BD93" s="1212"/>
      <c r="BE93" s="1212"/>
      <c r="BF93" s="2126">
        <v>0</v>
      </c>
      <c r="BG93" s="2126">
        <v>0</v>
      </c>
      <c r="BH93" s="2126">
        <v>71581.963911266794</v>
      </c>
      <c r="BI93" s="2126">
        <v>71581.963911266794</v>
      </c>
      <c r="BJ93" s="2126">
        <v>71581.963911266794</v>
      </c>
      <c r="BK93" s="2126">
        <v>0</v>
      </c>
      <c r="BL93" s="2126">
        <v>0</v>
      </c>
      <c r="BM93" s="2126">
        <v>0</v>
      </c>
      <c r="BN93" s="2126">
        <v>0</v>
      </c>
      <c r="BO93" s="2126">
        <v>0</v>
      </c>
      <c r="BP93" s="2126">
        <v>0</v>
      </c>
      <c r="BQ93" s="2126">
        <v>0</v>
      </c>
      <c r="BR93" s="2126">
        <v>0</v>
      </c>
    </row>
    <row r="94" spans="1:70" s="1765" customFormat="1" ht="33">
      <c r="A94" s="1272">
        <v>2000</v>
      </c>
      <c r="B94" s="971" t="s">
        <v>119</v>
      </c>
      <c r="C94" s="1272">
        <v>2300</v>
      </c>
      <c r="D94" s="971" t="s">
        <v>222</v>
      </c>
      <c r="E94" s="971">
        <v>2340</v>
      </c>
      <c r="F94" s="971" t="s">
        <v>224</v>
      </c>
      <c r="G94" s="971" t="s">
        <v>244</v>
      </c>
      <c r="H94" s="971" t="s">
        <v>245</v>
      </c>
      <c r="I94" s="1273"/>
      <c r="J94" s="971" t="s">
        <v>121</v>
      </c>
      <c r="K94" s="971" t="s">
        <v>150</v>
      </c>
      <c r="L94" s="971" t="s">
        <v>2800</v>
      </c>
      <c r="M94" s="971" t="s">
        <v>80</v>
      </c>
      <c r="N94" s="971" t="s">
        <v>83</v>
      </c>
      <c r="O94" s="971" t="s">
        <v>151</v>
      </c>
      <c r="P94" s="971" t="s">
        <v>152</v>
      </c>
      <c r="Q94" s="971" t="s">
        <v>249</v>
      </c>
      <c r="R94" s="1266"/>
      <c r="S94" s="2106">
        <v>82000</v>
      </c>
      <c r="T94" s="1266" t="s">
        <v>136</v>
      </c>
      <c r="U94" s="1742">
        <v>1.2691883296460175E-2</v>
      </c>
      <c r="V94" s="1742">
        <v>0.14624999999999999</v>
      </c>
      <c r="W94" s="1742">
        <v>1.1186625937499999</v>
      </c>
      <c r="X94" s="1742">
        <v>0.4015178457754629</v>
      </c>
      <c r="Y94" s="2106">
        <v>1.6649423457754629</v>
      </c>
      <c r="Z94" s="2106">
        <v>1040.7344303097343</v>
      </c>
      <c r="AA94" s="2106">
        <v>11992.5</v>
      </c>
      <c r="AB94" s="2106">
        <v>91730.332687499991</v>
      </c>
      <c r="AC94" s="2106">
        <v>32924.463353587955</v>
      </c>
      <c r="AD94" s="1744">
        <v>136647.29604108795</v>
      </c>
      <c r="AE94" s="2126">
        <v>0</v>
      </c>
      <c r="AF94" s="2126">
        <v>0</v>
      </c>
      <c r="AG94" s="1212">
        <v>1</v>
      </c>
      <c r="AH94" s="1212">
        <v>0</v>
      </c>
      <c r="AI94" s="1212">
        <v>0</v>
      </c>
      <c r="AJ94" s="1212">
        <v>1</v>
      </c>
      <c r="AK94" s="2126">
        <v>136647.29604108795</v>
      </c>
      <c r="AL94" s="2126">
        <v>0</v>
      </c>
      <c r="AM94" s="2126">
        <v>0</v>
      </c>
      <c r="AN94" s="2126">
        <v>136647.29604108795</v>
      </c>
      <c r="AO94" s="1743" t="s">
        <v>131</v>
      </c>
      <c r="AP94" s="1743" t="s">
        <v>90</v>
      </c>
      <c r="AQ94" s="1764">
        <v>2017</v>
      </c>
      <c r="AR94" s="1743" t="s">
        <v>87</v>
      </c>
      <c r="AS94" s="2135"/>
      <c r="AT94" s="2135"/>
      <c r="AU94" s="1212">
        <v>0.33333333333333331</v>
      </c>
      <c r="AV94" s="1212">
        <v>0.33333333333333331</v>
      </c>
      <c r="AW94" s="1212">
        <v>0.33333333333333331</v>
      </c>
      <c r="AX94" s="1212"/>
      <c r="AY94" s="1212"/>
      <c r="AZ94" s="1212"/>
      <c r="BA94" s="1212"/>
      <c r="BB94" s="1212"/>
      <c r="BC94" s="1212"/>
      <c r="BD94" s="1212"/>
      <c r="BE94" s="1212"/>
      <c r="BF94" s="2126">
        <v>0</v>
      </c>
      <c r="BG94" s="2126">
        <v>0</v>
      </c>
      <c r="BH94" s="2126">
        <v>45549.098680362644</v>
      </c>
      <c r="BI94" s="2126">
        <v>45549.098680362644</v>
      </c>
      <c r="BJ94" s="2126">
        <v>45549.098680362644</v>
      </c>
      <c r="BK94" s="2126">
        <v>0</v>
      </c>
      <c r="BL94" s="2126">
        <v>0</v>
      </c>
      <c r="BM94" s="2126">
        <v>0</v>
      </c>
      <c r="BN94" s="2126">
        <v>0</v>
      </c>
      <c r="BO94" s="2126">
        <v>0</v>
      </c>
      <c r="BP94" s="2126">
        <v>0</v>
      </c>
      <c r="BQ94" s="2126">
        <v>0</v>
      </c>
      <c r="BR94" s="2126">
        <v>0</v>
      </c>
    </row>
    <row r="95" spans="1:70" s="1765" customFormat="1" ht="33">
      <c r="A95" s="1272">
        <v>2000</v>
      </c>
      <c r="B95" s="971" t="s">
        <v>119</v>
      </c>
      <c r="C95" s="1272">
        <v>2300</v>
      </c>
      <c r="D95" s="971" t="s">
        <v>222</v>
      </c>
      <c r="E95" s="971">
        <v>2340</v>
      </c>
      <c r="F95" s="971" t="s">
        <v>224</v>
      </c>
      <c r="G95" s="971" t="s">
        <v>244</v>
      </c>
      <c r="H95" s="971" t="s">
        <v>245</v>
      </c>
      <c r="I95" s="1273"/>
      <c r="J95" s="971" t="s">
        <v>121</v>
      </c>
      <c r="K95" s="971" t="s">
        <v>150</v>
      </c>
      <c r="L95" s="971" t="s">
        <v>2800</v>
      </c>
      <c r="M95" s="971" t="s">
        <v>80</v>
      </c>
      <c r="N95" s="971" t="s">
        <v>83</v>
      </c>
      <c r="O95" s="971" t="s">
        <v>151</v>
      </c>
      <c r="P95" s="971" t="s">
        <v>152</v>
      </c>
      <c r="Q95" s="971" t="s">
        <v>250</v>
      </c>
      <c r="R95" s="1266" t="s">
        <v>251</v>
      </c>
      <c r="S95" s="2106">
        <v>140000</v>
      </c>
      <c r="T95" s="1266" t="s">
        <v>136</v>
      </c>
      <c r="U95" s="1742">
        <v>1.2691883296460175E-2</v>
      </c>
      <c r="V95" s="1742">
        <v>0.14624999999999999</v>
      </c>
      <c r="W95" s="1742">
        <v>1.1186625937499999</v>
      </c>
      <c r="X95" s="1742">
        <v>0.4015178457754629</v>
      </c>
      <c r="Y95" s="2106">
        <v>1.6649423457754629</v>
      </c>
      <c r="Z95" s="2106">
        <v>1776.8636615044245</v>
      </c>
      <c r="AA95" s="2106">
        <v>20475</v>
      </c>
      <c r="AB95" s="2106">
        <v>156612.76312499997</v>
      </c>
      <c r="AC95" s="2106">
        <v>56212.498408564803</v>
      </c>
      <c r="AD95" s="1744">
        <v>233300.26153356477</v>
      </c>
      <c r="AE95" s="2126">
        <v>0</v>
      </c>
      <c r="AF95" s="2126">
        <v>0</v>
      </c>
      <c r="AG95" s="1212">
        <v>1</v>
      </c>
      <c r="AH95" s="1212">
        <v>0</v>
      </c>
      <c r="AI95" s="1212">
        <v>0</v>
      </c>
      <c r="AJ95" s="1212">
        <v>1</v>
      </c>
      <c r="AK95" s="2126">
        <v>233300.26153356477</v>
      </c>
      <c r="AL95" s="2126">
        <v>0</v>
      </c>
      <c r="AM95" s="2126">
        <v>0</v>
      </c>
      <c r="AN95" s="2126">
        <v>233300.26153356477</v>
      </c>
      <c r="AO95" s="1743" t="s">
        <v>85</v>
      </c>
      <c r="AP95" s="1743" t="s">
        <v>90</v>
      </c>
      <c r="AQ95" s="1764">
        <v>2019</v>
      </c>
      <c r="AR95" s="1743" t="s">
        <v>87</v>
      </c>
      <c r="AS95" s="2135"/>
      <c r="AT95" s="2135"/>
      <c r="AU95" s="1212">
        <v>0.33333333333333331</v>
      </c>
      <c r="AV95" s="1212">
        <v>0.33333333333333331</v>
      </c>
      <c r="AW95" s="1212">
        <v>0.33333333333333331</v>
      </c>
      <c r="AX95" s="1212"/>
      <c r="AY95" s="1212"/>
      <c r="AZ95" s="1212"/>
      <c r="BA95" s="1212"/>
      <c r="BB95" s="1212"/>
      <c r="BC95" s="1212"/>
      <c r="BD95" s="1212"/>
      <c r="BE95" s="1212"/>
      <c r="BF95" s="2126">
        <v>0</v>
      </c>
      <c r="BG95" s="2126">
        <v>0</v>
      </c>
      <c r="BH95" s="2126">
        <v>77766.753844521591</v>
      </c>
      <c r="BI95" s="2126">
        <v>77766.753844521591</v>
      </c>
      <c r="BJ95" s="2126">
        <v>77766.753844521591</v>
      </c>
      <c r="BK95" s="2126">
        <v>0</v>
      </c>
      <c r="BL95" s="2126">
        <v>0</v>
      </c>
      <c r="BM95" s="2126">
        <v>0</v>
      </c>
      <c r="BN95" s="2126">
        <v>0</v>
      </c>
      <c r="BO95" s="2126">
        <v>0</v>
      </c>
      <c r="BP95" s="2126">
        <v>0</v>
      </c>
      <c r="BQ95" s="2126">
        <v>0</v>
      </c>
      <c r="BR95" s="2126">
        <v>0</v>
      </c>
    </row>
    <row r="96" spans="1:70" s="1765" customFormat="1" ht="33">
      <c r="A96" s="1272">
        <v>2000</v>
      </c>
      <c r="B96" s="971" t="s">
        <v>119</v>
      </c>
      <c r="C96" s="1272">
        <v>2300</v>
      </c>
      <c r="D96" s="971" t="s">
        <v>222</v>
      </c>
      <c r="E96" s="971">
        <v>2340</v>
      </c>
      <c r="F96" s="971" t="s">
        <v>224</v>
      </c>
      <c r="G96" s="971" t="s">
        <v>244</v>
      </c>
      <c r="H96" s="971" t="s">
        <v>245</v>
      </c>
      <c r="I96" s="1273"/>
      <c r="J96" s="971" t="s">
        <v>121</v>
      </c>
      <c r="K96" s="971" t="s">
        <v>150</v>
      </c>
      <c r="L96" s="971" t="s">
        <v>2800</v>
      </c>
      <c r="M96" s="971" t="s">
        <v>80</v>
      </c>
      <c r="N96" s="971" t="s">
        <v>83</v>
      </c>
      <c r="O96" s="971" t="s">
        <v>151</v>
      </c>
      <c r="P96" s="971" t="s">
        <v>152</v>
      </c>
      <c r="Q96" s="971" t="s">
        <v>250</v>
      </c>
      <c r="R96" s="1266" t="s">
        <v>251</v>
      </c>
      <c r="S96" s="2106">
        <v>-140000</v>
      </c>
      <c r="T96" s="1266" t="s">
        <v>136</v>
      </c>
      <c r="U96" s="1742">
        <v>1.2691883296460175E-2</v>
      </c>
      <c r="V96" s="1742">
        <v>0.14624999999999999</v>
      </c>
      <c r="W96" s="1742">
        <v>1.1186625937499999</v>
      </c>
      <c r="X96" s="1742">
        <v>0.4015178457754629</v>
      </c>
      <c r="Y96" s="2106">
        <v>1.6649423457754629</v>
      </c>
      <c r="Z96" s="2106">
        <v>-1776.8636615044245</v>
      </c>
      <c r="AA96" s="2106">
        <v>-20475</v>
      </c>
      <c r="AB96" s="2106">
        <v>-156612.76312499997</v>
      </c>
      <c r="AC96" s="2106">
        <v>-56212.498408564803</v>
      </c>
      <c r="AD96" s="1744">
        <v>-233300.26153356477</v>
      </c>
      <c r="AE96" s="2126">
        <v>0</v>
      </c>
      <c r="AF96" s="2126">
        <v>0</v>
      </c>
      <c r="AG96" s="1212">
        <v>1</v>
      </c>
      <c r="AH96" s="1212">
        <v>0</v>
      </c>
      <c r="AI96" s="1212">
        <v>0</v>
      </c>
      <c r="AJ96" s="1212">
        <v>1</v>
      </c>
      <c r="AK96" s="2126">
        <v>-233300.26153356477</v>
      </c>
      <c r="AL96" s="2126">
        <v>0</v>
      </c>
      <c r="AM96" s="2126">
        <v>0</v>
      </c>
      <c r="AN96" s="2126">
        <v>-233300.26153356477</v>
      </c>
      <c r="AO96" s="1743" t="s">
        <v>85</v>
      </c>
      <c r="AP96" s="1743" t="s">
        <v>96</v>
      </c>
      <c r="AQ96" s="1764" t="s">
        <v>118</v>
      </c>
      <c r="AR96" s="1743" t="s">
        <v>87</v>
      </c>
      <c r="AS96" s="2135"/>
      <c r="AT96" s="2135"/>
      <c r="AU96" s="1212">
        <v>0.33333333333333331</v>
      </c>
      <c r="AV96" s="1212">
        <v>0.33333333333333331</v>
      </c>
      <c r="AW96" s="1212">
        <v>0.33333333333333331</v>
      </c>
      <c r="AX96" s="1212"/>
      <c r="AY96" s="1212"/>
      <c r="AZ96" s="1212"/>
      <c r="BA96" s="1212"/>
      <c r="BB96" s="1212"/>
      <c r="BC96" s="1212"/>
      <c r="BD96" s="1212"/>
      <c r="BE96" s="1212"/>
      <c r="BF96" s="2126">
        <v>0</v>
      </c>
      <c r="BG96" s="2126">
        <v>0</v>
      </c>
      <c r="BH96" s="2126">
        <v>-77766.753844521591</v>
      </c>
      <c r="BI96" s="2126">
        <v>-77766.753844521591</v>
      </c>
      <c r="BJ96" s="2126">
        <v>-77766.753844521591</v>
      </c>
      <c r="BK96" s="2126">
        <v>0</v>
      </c>
      <c r="BL96" s="2126">
        <v>0</v>
      </c>
      <c r="BM96" s="2126">
        <v>0</v>
      </c>
      <c r="BN96" s="2126">
        <v>0</v>
      </c>
      <c r="BO96" s="2126">
        <v>0</v>
      </c>
      <c r="BP96" s="2126">
        <v>0</v>
      </c>
      <c r="BQ96" s="2126">
        <v>0</v>
      </c>
      <c r="BR96" s="2126">
        <v>0</v>
      </c>
    </row>
    <row r="97" spans="1:70" s="1765" customFormat="1" ht="33">
      <c r="A97" s="1272">
        <v>2000</v>
      </c>
      <c r="B97" s="971" t="s">
        <v>119</v>
      </c>
      <c r="C97" s="1272">
        <v>2300</v>
      </c>
      <c r="D97" s="971" t="s">
        <v>222</v>
      </c>
      <c r="E97" s="971">
        <v>2340</v>
      </c>
      <c r="F97" s="971" t="s">
        <v>224</v>
      </c>
      <c r="G97" s="971" t="s">
        <v>244</v>
      </c>
      <c r="H97" s="971" t="s">
        <v>245</v>
      </c>
      <c r="I97" s="1273"/>
      <c r="J97" s="971" t="s">
        <v>121</v>
      </c>
      <c r="K97" s="971" t="s">
        <v>150</v>
      </c>
      <c r="L97" s="971" t="s">
        <v>2800</v>
      </c>
      <c r="M97" s="971" t="s">
        <v>80</v>
      </c>
      <c r="N97" s="971" t="s">
        <v>83</v>
      </c>
      <c r="O97" s="971" t="s">
        <v>151</v>
      </c>
      <c r="P97" s="971" t="s">
        <v>152</v>
      </c>
      <c r="Q97" s="971" t="s">
        <v>252</v>
      </c>
      <c r="R97" s="1266"/>
      <c r="S97" s="2106">
        <v>26000</v>
      </c>
      <c r="T97" s="1266" t="s">
        <v>136</v>
      </c>
      <c r="U97" s="1742">
        <v>1.2691883296460175E-2</v>
      </c>
      <c r="V97" s="1742">
        <v>0.14624999999999999</v>
      </c>
      <c r="W97" s="1742">
        <v>1.1186625937499999</v>
      </c>
      <c r="X97" s="1742">
        <v>0.4015178457754629</v>
      </c>
      <c r="Y97" s="2106">
        <v>1.6649423457754629</v>
      </c>
      <c r="Z97" s="2106">
        <v>329.98896570796455</v>
      </c>
      <c r="AA97" s="2106">
        <v>3802.4999999999995</v>
      </c>
      <c r="AB97" s="2106">
        <v>29085.227437499998</v>
      </c>
      <c r="AC97" s="2106">
        <v>10439.463990162036</v>
      </c>
      <c r="AD97" s="1744">
        <v>43327.191427662037</v>
      </c>
      <c r="AE97" s="2126">
        <v>0</v>
      </c>
      <c r="AF97" s="2126">
        <v>0</v>
      </c>
      <c r="AG97" s="1212">
        <v>1</v>
      </c>
      <c r="AH97" s="1212">
        <v>0</v>
      </c>
      <c r="AI97" s="1212">
        <v>0</v>
      </c>
      <c r="AJ97" s="1212">
        <v>1</v>
      </c>
      <c r="AK97" s="2126">
        <v>43327.191427662037</v>
      </c>
      <c r="AL97" s="2126">
        <v>0</v>
      </c>
      <c r="AM97" s="2126">
        <v>0</v>
      </c>
      <c r="AN97" s="2126">
        <v>43327.191427662037</v>
      </c>
      <c r="AO97" s="1743" t="s">
        <v>85</v>
      </c>
      <c r="AP97" s="1743" t="s">
        <v>90</v>
      </c>
      <c r="AQ97" s="1764" t="s">
        <v>103</v>
      </c>
      <c r="AR97" s="1743" t="s">
        <v>87</v>
      </c>
      <c r="AS97" s="2135"/>
      <c r="AT97" s="2135"/>
      <c r="AU97" s="1212">
        <v>0.33333333333333331</v>
      </c>
      <c r="AV97" s="1212">
        <v>0.33333333333333331</v>
      </c>
      <c r="AW97" s="1212">
        <v>0.33333333333333331</v>
      </c>
      <c r="AX97" s="1212"/>
      <c r="AY97" s="1212"/>
      <c r="AZ97" s="1212"/>
      <c r="BA97" s="1212"/>
      <c r="BB97" s="1212"/>
      <c r="BC97" s="1212"/>
      <c r="BD97" s="1212"/>
      <c r="BE97" s="1212"/>
      <c r="BF97" s="2126">
        <v>0</v>
      </c>
      <c r="BG97" s="2126">
        <v>0</v>
      </c>
      <c r="BH97" s="2126">
        <v>14442.397142554011</v>
      </c>
      <c r="BI97" s="2126">
        <v>14442.397142554011</v>
      </c>
      <c r="BJ97" s="2126">
        <v>14442.397142554011</v>
      </c>
      <c r="BK97" s="2126">
        <v>0</v>
      </c>
      <c r="BL97" s="2126">
        <v>0</v>
      </c>
      <c r="BM97" s="2126">
        <v>0</v>
      </c>
      <c r="BN97" s="2126">
        <v>0</v>
      </c>
      <c r="BO97" s="2126">
        <v>0</v>
      </c>
      <c r="BP97" s="2126">
        <v>0</v>
      </c>
      <c r="BQ97" s="2126">
        <v>0</v>
      </c>
      <c r="BR97" s="2126">
        <v>0</v>
      </c>
    </row>
    <row r="98" spans="1:70" s="1765" customFormat="1" ht="33">
      <c r="A98" s="1272">
        <v>2000</v>
      </c>
      <c r="B98" s="971" t="s">
        <v>119</v>
      </c>
      <c r="C98" s="1272">
        <v>2300</v>
      </c>
      <c r="D98" s="971" t="s">
        <v>222</v>
      </c>
      <c r="E98" s="971">
        <v>2340</v>
      </c>
      <c r="F98" s="971" t="s">
        <v>224</v>
      </c>
      <c r="G98" s="971" t="s">
        <v>244</v>
      </c>
      <c r="H98" s="971" t="s">
        <v>245</v>
      </c>
      <c r="I98" s="1273"/>
      <c r="J98" s="971" t="s">
        <v>121</v>
      </c>
      <c r="K98" s="971" t="s">
        <v>150</v>
      </c>
      <c r="L98" s="971" t="s">
        <v>2800</v>
      </c>
      <c r="M98" s="971" t="s">
        <v>80</v>
      </c>
      <c r="N98" s="971" t="s">
        <v>83</v>
      </c>
      <c r="O98" s="971" t="s">
        <v>151</v>
      </c>
      <c r="P98" s="971" t="s">
        <v>152</v>
      </c>
      <c r="Q98" s="971" t="s">
        <v>253</v>
      </c>
      <c r="R98" s="1266"/>
      <c r="S98" s="2106">
        <v>0</v>
      </c>
      <c r="T98" s="1266" t="s">
        <v>136</v>
      </c>
      <c r="U98" s="1742">
        <v>1.2691883296460175E-2</v>
      </c>
      <c r="V98" s="1742">
        <v>0.14624999999999999</v>
      </c>
      <c r="W98" s="1742">
        <v>1.1186625937499999</v>
      </c>
      <c r="X98" s="1742">
        <v>0.4015178457754629</v>
      </c>
      <c r="Y98" s="2106">
        <v>1.6649423457754629</v>
      </c>
      <c r="Z98" s="2106">
        <v>0</v>
      </c>
      <c r="AA98" s="2106">
        <v>0</v>
      </c>
      <c r="AB98" s="2106">
        <v>0</v>
      </c>
      <c r="AC98" s="2106">
        <v>0</v>
      </c>
      <c r="AD98" s="1744">
        <v>0</v>
      </c>
      <c r="AE98" s="2126">
        <v>0</v>
      </c>
      <c r="AF98" s="2126">
        <v>0</v>
      </c>
      <c r="AG98" s="1212">
        <v>1</v>
      </c>
      <c r="AH98" s="1212">
        <v>0</v>
      </c>
      <c r="AI98" s="1212">
        <v>0</v>
      </c>
      <c r="AJ98" s="1212">
        <v>1</v>
      </c>
      <c r="AK98" s="2126">
        <v>0</v>
      </c>
      <c r="AL98" s="2126">
        <v>0</v>
      </c>
      <c r="AM98" s="2126">
        <v>0</v>
      </c>
      <c r="AN98" s="2126">
        <v>0</v>
      </c>
      <c r="AO98" s="1743" t="s">
        <v>131</v>
      </c>
      <c r="AP98" s="1743" t="s">
        <v>96</v>
      </c>
      <c r="AQ98" s="1764" t="s">
        <v>107</v>
      </c>
      <c r="AR98" s="1743" t="s">
        <v>87</v>
      </c>
      <c r="AS98" s="2135"/>
      <c r="AT98" s="2135"/>
      <c r="AU98" s="1212">
        <v>0.33333333333333331</v>
      </c>
      <c r="AV98" s="1212">
        <v>0.33333333333333331</v>
      </c>
      <c r="AW98" s="1212">
        <v>0.33333333333333331</v>
      </c>
      <c r="AX98" s="1212"/>
      <c r="AY98" s="1212"/>
      <c r="AZ98" s="1212"/>
      <c r="BA98" s="1212"/>
      <c r="BB98" s="1212"/>
      <c r="BC98" s="1212"/>
      <c r="BD98" s="1212"/>
      <c r="BE98" s="1212"/>
      <c r="BF98" s="2126">
        <v>0</v>
      </c>
      <c r="BG98" s="2126">
        <v>0</v>
      </c>
      <c r="BH98" s="2126">
        <v>0</v>
      </c>
      <c r="BI98" s="2126">
        <v>0</v>
      </c>
      <c r="BJ98" s="2126">
        <v>0</v>
      </c>
      <c r="BK98" s="2126">
        <v>0</v>
      </c>
      <c r="BL98" s="2126">
        <v>0</v>
      </c>
      <c r="BM98" s="2126">
        <v>0</v>
      </c>
      <c r="BN98" s="2126">
        <v>0</v>
      </c>
      <c r="BO98" s="2126">
        <v>0</v>
      </c>
      <c r="BP98" s="2126">
        <v>0</v>
      </c>
      <c r="BQ98" s="2126">
        <v>0</v>
      </c>
      <c r="BR98" s="2126">
        <v>0</v>
      </c>
    </row>
    <row r="99" spans="1:70" s="1765" customFormat="1" ht="49.5">
      <c r="A99" s="1272">
        <v>2000</v>
      </c>
      <c r="B99" s="971" t="s">
        <v>119</v>
      </c>
      <c r="C99" s="1272">
        <v>2300</v>
      </c>
      <c r="D99" s="971" t="s">
        <v>222</v>
      </c>
      <c r="E99" s="971">
        <v>2340</v>
      </c>
      <c r="F99" s="971" t="s">
        <v>224</v>
      </c>
      <c r="G99" s="971">
        <v>2345</v>
      </c>
      <c r="H99" s="971" t="s">
        <v>254</v>
      </c>
      <c r="I99" s="1273"/>
      <c r="J99" s="971" t="s">
        <v>121</v>
      </c>
      <c r="K99" s="971" t="s">
        <v>255</v>
      </c>
      <c r="L99" s="971" t="s">
        <v>2802</v>
      </c>
      <c r="M99" s="971" t="s">
        <v>255</v>
      </c>
      <c r="N99" s="971" t="s">
        <v>83</v>
      </c>
      <c r="O99" s="971" t="s">
        <v>256</v>
      </c>
      <c r="P99" s="971"/>
      <c r="Q99" s="971" t="s">
        <v>257</v>
      </c>
      <c r="R99" s="1266"/>
      <c r="S99" s="2106">
        <v>11423.76</v>
      </c>
      <c r="T99" s="1266" t="s">
        <v>136</v>
      </c>
      <c r="U99" s="1742">
        <v>4.4491883296460179E-2</v>
      </c>
      <c r="V99" s="1742">
        <v>0.1701</v>
      </c>
      <c r="W99" s="1742">
        <v>3.92151459375</v>
      </c>
      <c r="X99" s="1742">
        <v>0.68180304577546291</v>
      </c>
      <c r="Y99" s="2106">
        <v>4.7480795457754628</v>
      </c>
      <c r="Z99" s="2106">
        <v>508.26459672676992</v>
      </c>
      <c r="AA99" s="2106">
        <v>1943.1815759999999</v>
      </c>
      <c r="AB99" s="2106">
        <v>44798.441555497498</v>
      </c>
      <c r="AC99" s="2106">
        <v>7788.754362207902</v>
      </c>
      <c r="AD99" s="1744">
        <v>54530.377493705404</v>
      </c>
      <c r="AE99" s="2126">
        <v>0</v>
      </c>
      <c r="AF99" s="2126">
        <v>0</v>
      </c>
      <c r="AG99" s="1212">
        <v>1</v>
      </c>
      <c r="AH99" s="1212">
        <v>0</v>
      </c>
      <c r="AI99" s="1212">
        <v>0</v>
      </c>
      <c r="AJ99" s="1212">
        <v>1</v>
      </c>
      <c r="AK99" s="2126">
        <v>54530.377493705404</v>
      </c>
      <c r="AL99" s="2126">
        <v>0</v>
      </c>
      <c r="AM99" s="2126">
        <v>0</v>
      </c>
      <c r="AN99" s="2126">
        <v>54530.377493705404</v>
      </c>
      <c r="AO99" s="1743" t="s">
        <v>131</v>
      </c>
      <c r="AP99" s="1743"/>
      <c r="AQ99" s="1764">
        <v>2014</v>
      </c>
      <c r="AR99" s="1743" t="s">
        <v>87</v>
      </c>
      <c r="AS99" s="2135"/>
      <c r="AT99" s="2135"/>
      <c r="AU99" s="1212">
        <v>0.33333333333333331</v>
      </c>
      <c r="AV99" s="1212">
        <v>0.33333333333333331</v>
      </c>
      <c r="AW99" s="1212">
        <v>0.33333333333333331</v>
      </c>
      <c r="AX99" s="1212"/>
      <c r="AY99" s="1212"/>
      <c r="AZ99" s="1212"/>
      <c r="BA99" s="1212"/>
      <c r="BB99" s="1212"/>
      <c r="BC99" s="1212"/>
      <c r="BD99" s="1212"/>
      <c r="BE99" s="1212"/>
      <c r="BF99" s="2126">
        <v>0</v>
      </c>
      <c r="BG99" s="2126">
        <v>0</v>
      </c>
      <c r="BH99" s="2126">
        <v>18176.792497901799</v>
      </c>
      <c r="BI99" s="2126">
        <v>18176.792497901799</v>
      </c>
      <c r="BJ99" s="2126">
        <v>18176.792497901799</v>
      </c>
      <c r="BK99" s="2126">
        <v>0</v>
      </c>
      <c r="BL99" s="2126">
        <v>0</v>
      </c>
      <c r="BM99" s="2126">
        <v>0</v>
      </c>
      <c r="BN99" s="2126">
        <v>0</v>
      </c>
      <c r="BO99" s="2126">
        <v>0</v>
      </c>
      <c r="BP99" s="2126">
        <v>0</v>
      </c>
      <c r="BQ99" s="2126">
        <v>0</v>
      </c>
      <c r="BR99" s="2126">
        <v>0</v>
      </c>
    </row>
    <row r="100" spans="1:70" s="1765" customFormat="1" ht="49.5">
      <c r="A100" s="1272">
        <v>2000</v>
      </c>
      <c r="B100" s="971" t="s">
        <v>119</v>
      </c>
      <c r="C100" s="1272">
        <v>2300</v>
      </c>
      <c r="D100" s="971" t="s">
        <v>222</v>
      </c>
      <c r="E100" s="971">
        <v>2340</v>
      </c>
      <c r="F100" s="971" t="s">
        <v>224</v>
      </c>
      <c r="G100" s="971">
        <v>2345</v>
      </c>
      <c r="H100" s="971" t="s">
        <v>254</v>
      </c>
      <c r="I100" s="1273"/>
      <c r="J100" s="971" t="s">
        <v>121</v>
      </c>
      <c r="K100" s="971" t="s">
        <v>255</v>
      </c>
      <c r="L100" s="971" t="s">
        <v>2802</v>
      </c>
      <c r="M100" s="971" t="s">
        <v>255</v>
      </c>
      <c r="N100" s="971" t="s">
        <v>83</v>
      </c>
      <c r="O100" s="971" t="s">
        <v>256</v>
      </c>
      <c r="P100" s="971"/>
      <c r="Q100" s="971" t="s">
        <v>259</v>
      </c>
      <c r="R100" s="1266" t="s">
        <v>251</v>
      </c>
      <c r="S100" s="2106">
        <v>15000</v>
      </c>
      <c r="T100" s="1266" t="s">
        <v>136</v>
      </c>
      <c r="U100" s="1742">
        <v>4.4491883296460179E-2</v>
      </c>
      <c r="V100" s="1742">
        <v>0.1701</v>
      </c>
      <c r="W100" s="1742">
        <v>3.92151459375</v>
      </c>
      <c r="X100" s="1742">
        <v>0.68180304577546291</v>
      </c>
      <c r="Y100" s="2106">
        <v>4.7480795457754628</v>
      </c>
      <c r="Z100" s="2106">
        <v>667.37824944690271</v>
      </c>
      <c r="AA100" s="2106">
        <v>2551.5</v>
      </c>
      <c r="AB100" s="2106">
        <v>58822.718906249997</v>
      </c>
      <c r="AC100" s="2106">
        <v>10227.045686631944</v>
      </c>
      <c r="AD100" s="1744">
        <v>71601.26459288194</v>
      </c>
      <c r="AE100" s="2126">
        <v>0</v>
      </c>
      <c r="AF100" s="2126">
        <v>0</v>
      </c>
      <c r="AG100" s="1212">
        <v>1</v>
      </c>
      <c r="AH100" s="1212">
        <v>0</v>
      </c>
      <c r="AI100" s="1212">
        <v>0</v>
      </c>
      <c r="AJ100" s="1212">
        <v>1</v>
      </c>
      <c r="AK100" s="2126">
        <v>71601.26459288194</v>
      </c>
      <c r="AL100" s="2126">
        <v>0</v>
      </c>
      <c r="AM100" s="2126">
        <v>0</v>
      </c>
      <c r="AN100" s="2126">
        <v>71601.26459288194</v>
      </c>
      <c r="AO100" s="1743" t="s">
        <v>85</v>
      </c>
      <c r="AP100" s="1743" t="s">
        <v>90</v>
      </c>
      <c r="AQ100" s="1764">
        <v>2019</v>
      </c>
      <c r="AR100" s="1743" t="s">
        <v>87</v>
      </c>
      <c r="AS100" s="2135"/>
      <c r="AT100" s="2135"/>
      <c r="AU100" s="1212">
        <v>0.33333333333333331</v>
      </c>
      <c r="AV100" s="1212">
        <v>0.33333333333333331</v>
      </c>
      <c r="AW100" s="1212">
        <v>0.33333333333333331</v>
      </c>
      <c r="AX100" s="1212"/>
      <c r="AY100" s="1212"/>
      <c r="AZ100" s="1212"/>
      <c r="BA100" s="1212"/>
      <c r="BB100" s="1212"/>
      <c r="BC100" s="1212"/>
      <c r="BD100" s="1212"/>
      <c r="BE100" s="1212"/>
      <c r="BF100" s="2126">
        <v>0</v>
      </c>
      <c r="BG100" s="2126">
        <v>0</v>
      </c>
      <c r="BH100" s="2126">
        <v>23867.088197627312</v>
      </c>
      <c r="BI100" s="2126">
        <v>23867.088197627312</v>
      </c>
      <c r="BJ100" s="2126">
        <v>23867.088197627312</v>
      </c>
      <c r="BK100" s="2126">
        <v>0</v>
      </c>
      <c r="BL100" s="2126">
        <v>0</v>
      </c>
      <c r="BM100" s="2126">
        <v>0</v>
      </c>
      <c r="BN100" s="2126">
        <v>0</v>
      </c>
      <c r="BO100" s="2126">
        <v>0</v>
      </c>
      <c r="BP100" s="2126">
        <v>0</v>
      </c>
      <c r="BQ100" s="2126">
        <v>0</v>
      </c>
      <c r="BR100" s="2126">
        <v>0</v>
      </c>
    </row>
    <row r="101" spans="1:70" s="1765" customFormat="1" ht="49.5">
      <c r="A101" s="1272">
        <v>2000</v>
      </c>
      <c r="B101" s="971" t="s">
        <v>119</v>
      </c>
      <c r="C101" s="1272">
        <v>2300</v>
      </c>
      <c r="D101" s="971" t="s">
        <v>222</v>
      </c>
      <c r="E101" s="971">
        <v>2340</v>
      </c>
      <c r="F101" s="971" t="s">
        <v>224</v>
      </c>
      <c r="G101" s="971">
        <v>2345</v>
      </c>
      <c r="H101" s="971" t="s">
        <v>254</v>
      </c>
      <c r="I101" s="1273"/>
      <c r="J101" s="971" t="s">
        <v>121</v>
      </c>
      <c r="K101" s="971" t="s">
        <v>255</v>
      </c>
      <c r="L101" s="971" t="s">
        <v>2802</v>
      </c>
      <c r="M101" s="971" t="s">
        <v>255</v>
      </c>
      <c r="N101" s="971" t="s">
        <v>83</v>
      </c>
      <c r="O101" s="971" t="s">
        <v>256</v>
      </c>
      <c r="P101" s="971"/>
      <c r="Q101" s="971" t="s">
        <v>259</v>
      </c>
      <c r="R101" s="1266" t="s">
        <v>251</v>
      </c>
      <c r="S101" s="2106">
        <v>-15000</v>
      </c>
      <c r="T101" s="1266" t="s">
        <v>136</v>
      </c>
      <c r="U101" s="1742">
        <v>4.4491883296460179E-2</v>
      </c>
      <c r="V101" s="1742">
        <v>0.1701</v>
      </c>
      <c r="W101" s="1742">
        <v>3.92151459375</v>
      </c>
      <c r="X101" s="1742">
        <v>0.68180304577546291</v>
      </c>
      <c r="Y101" s="2106">
        <v>4.7480795457754628</v>
      </c>
      <c r="Z101" s="2106">
        <v>-667.37824944690271</v>
      </c>
      <c r="AA101" s="2106">
        <v>-2551.5</v>
      </c>
      <c r="AB101" s="2106">
        <v>-58822.718906249997</v>
      </c>
      <c r="AC101" s="2106">
        <v>-10227.045686631944</v>
      </c>
      <c r="AD101" s="1744">
        <v>-71601.26459288194</v>
      </c>
      <c r="AE101" s="2126">
        <v>0</v>
      </c>
      <c r="AF101" s="2126">
        <v>0</v>
      </c>
      <c r="AG101" s="1212">
        <v>1</v>
      </c>
      <c r="AH101" s="1212">
        <v>0</v>
      </c>
      <c r="AI101" s="1212">
        <v>0</v>
      </c>
      <c r="AJ101" s="1212">
        <v>1</v>
      </c>
      <c r="AK101" s="2126">
        <v>-71601.26459288194</v>
      </c>
      <c r="AL101" s="2126">
        <v>0</v>
      </c>
      <c r="AM101" s="2126">
        <v>0</v>
      </c>
      <c r="AN101" s="2126">
        <v>-71601.26459288194</v>
      </c>
      <c r="AO101" s="1743" t="s">
        <v>85</v>
      </c>
      <c r="AP101" s="1743" t="s">
        <v>96</v>
      </c>
      <c r="AQ101" s="1764" t="s">
        <v>118</v>
      </c>
      <c r="AR101" s="1743" t="s">
        <v>87</v>
      </c>
      <c r="AS101" s="2135"/>
      <c r="AT101" s="2135"/>
      <c r="AU101" s="1212">
        <v>0.33333333333333331</v>
      </c>
      <c r="AV101" s="1212">
        <v>0.33333333333333331</v>
      </c>
      <c r="AW101" s="1212">
        <v>0.33333333333333331</v>
      </c>
      <c r="AX101" s="1212"/>
      <c r="AY101" s="1212"/>
      <c r="AZ101" s="1212"/>
      <c r="BA101" s="1212"/>
      <c r="BB101" s="1212"/>
      <c r="BC101" s="1212"/>
      <c r="BD101" s="1212"/>
      <c r="BE101" s="1212"/>
      <c r="BF101" s="2126">
        <v>0</v>
      </c>
      <c r="BG101" s="2126">
        <v>0</v>
      </c>
      <c r="BH101" s="2126">
        <v>-23867.088197627312</v>
      </c>
      <c r="BI101" s="2126">
        <v>-23867.088197627312</v>
      </c>
      <c r="BJ101" s="2126">
        <v>-23867.088197627312</v>
      </c>
      <c r="BK101" s="2126">
        <v>0</v>
      </c>
      <c r="BL101" s="2126">
        <v>0</v>
      </c>
      <c r="BM101" s="2126">
        <v>0</v>
      </c>
      <c r="BN101" s="2126">
        <v>0</v>
      </c>
      <c r="BO101" s="2126">
        <v>0</v>
      </c>
      <c r="BP101" s="2126">
        <v>0</v>
      </c>
      <c r="BQ101" s="2126">
        <v>0</v>
      </c>
      <c r="BR101" s="2126">
        <v>0</v>
      </c>
    </row>
    <row r="102" spans="1:70" s="1765" customFormat="1" ht="49.5">
      <c r="A102" s="1272">
        <v>2000</v>
      </c>
      <c r="B102" s="971" t="s">
        <v>119</v>
      </c>
      <c r="C102" s="1272">
        <v>2300</v>
      </c>
      <c r="D102" s="971" t="s">
        <v>222</v>
      </c>
      <c r="E102" s="971">
        <v>2340</v>
      </c>
      <c r="F102" s="971" t="s">
        <v>224</v>
      </c>
      <c r="G102" s="971">
        <v>2345</v>
      </c>
      <c r="H102" s="971" t="s">
        <v>254</v>
      </c>
      <c r="I102" s="1273"/>
      <c r="J102" s="971" t="s">
        <v>121</v>
      </c>
      <c r="K102" s="971" t="s">
        <v>255</v>
      </c>
      <c r="L102" s="971" t="s">
        <v>2802</v>
      </c>
      <c r="M102" s="971" t="s">
        <v>255</v>
      </c>
      <c r="N102" s="971" t="s">
        <v>83</v>
      </c>
      <c r="O102" s="971" t="s">
        <v>256</v>
      </c>
      <c r="P102" s="971"/>
      <c r="Q102" s="971" t="s">
        <v>260</v>
      </c>
      <c r="R102" s="1266" t="s">
        <v>261</v>
      </c>
      <c r="S102" s="2106">
        <v>4400</v>
      </c>
      <c r="T102" s="1266" t="s">
        <v>136</v>
      </c>
      <c r="U102" s="1742">
        <v>4.4491883296460179E-2</v>
      </c>
      <c r="V102" s="1742">
        <v>0.1701</v>
      </c>
      <c r="W102" s="1742">
        <v>3.92151459375</v>
      </c>
      <c r="X102" s="1742">
        <v>0.68180304577546291</v>
      </c>
      <c r="Y102" s="2106">
        <v>4.7480795457754628</v>
      </c>
      <c r="Z102" s="2106">
        <v>195.76428650442477</v>
      </c>
      <c r="AA102" s="2106">
        <v>748.44</v>
      </c>
      <c r="AB102" s="2106">
        <v>17254.6642125</v>
      </c>
      <c r="AC102" s="2106">
        <v>2999.9334014120368</v>
      </c>
      <c r="AD102" s="1744">
        <v>21003.037613912034</v>
      </c>
      <c r="AE102" s="2126">
        <v>0</v>
      </c>
      <c r="AF102" s="2126">
        <v>0</v>
      </c>
      <c r="AG102" s="1212">
        <v>1</v>
      </c>
      <c r="AH102" s="1212">
        <v>0</v>
      </c>
      <c r="AI102" s="1212">
        <v>0</v>
      </c>
      <c r="AJ102" s="1212">
        <v>1</v>
      </c>
      <c r="AK102" s="2126">
        <v>21003.037613912034</v>
      </c>
      <c r="AL102" s="2126">
        <v>0</v>
      </c>
      <c r="AM102" s="2126">
        <v>0</v>
      </c>
      <c r="AN102" s="2126">
        <v>21003.037613912034</v>
      </c>
      <c r="AO102" s="1743" t="s">
        <v>85</v>
      </c>
      <c r="AP102" s="1743" t="s">
        <v>90</v>
      </c>
      <c r="AQ102" s="1764">
        <v>2019</v>
      </c>
      <c r="AR102" s="1743" t="s">
        <v>87</v>
      </c>
      <c r="AS102" s="2135"/>
      <c r="AT102" s="2135"/>
      <c r="AU102" s="1212">
        <v>0.33333333333333331</v>
      </c>
      <c r="AV102" s="1212">
        <v>0.33333333333333331</v>
      </c>
      <c r="AW102" s="1212">
        <v>0.33333333333333331</v>
      </c>
      <c r="AX102" s="1212"/>
      <c r="AY102" s="1212"/>
      <c r="AZ102" s="1212"/>
      <c r="BA102" s="1212"/>
      <c r="BB102" s="1212"/>
      <c r="BC102" s="1212"/>
      <c r="BD102" s="1212"/>
      <c r="BE102" s="1212"/>
      <c r="BF102" s="2126">
        <v>0</v>
      </c>
      <c r="BG102" s="2126">
        <v>0</v>
      </c>
      <c r="BH102" s="2126">
        <v>7001.0125379706778</v>
      </c>
      <c r="BI102" s="2126">
        <v>7001.0125379706778</v>
      </c>
      <c r="BJ102" s="2126">
        <v>7001.0125379706778</v>
      </c>
      <c r="BK102" s="2126">
        <v>0</v>
      </c>
      <c r="BL102" s="2126">
        <v>0</v>
      </c>
      <c r="BM102" s="2126">
        <v>0</v>
      </c>
      <c r="BN102" s="2126">
        <v>0</v>
      </c>
      <c r="BO102" s="2126">
        <v>0</v>
      </c>
      <c r="BP102" s="2126">
        <v>0</v>
      </c>
      <c r="BQ102" s="2126">
        <v>0</v>
      </c>
      <c r="BR102" s="2126">
        <v>0</v>
      </c>
    </row>
    <row r="103" spans="1:70" s="1765" customFormat="1" ht="49.5">
      <c r="A103" s="1272">
        <v>2000</v>
      </c>
      <c r="B103" s="971" t="s">
        <v>119</v>
      </c>
      <c r="C103" s="1272">
        <v>2300</v>
      </c>
      <c r="D103" s="971" t="s">
        <v>222</v>
      </c>
      <c r="E103" s="971">
        <v>2340</v>
      </c>
      <c r="F103" s="971" t="s">
        <v>224</v>
      </c>
      <c r="G103" s="971">
        <v>2345</v>
      </c>
      <c r="H103" s="971" t="s">
        <v>254</v>
      </c>
      <c r="I103" s="1273"/>
      <c r="J103" s="971" t="s">
        <v>121</v>
      </c>
      <c r="K103" s="971" t="s">
        <v>255</v>
      </c>
      <c r="L103" s="971" t="s">
        <v>2802</v>
      </c>
      <c r="M103" s="971" t="s">
        <v>255</v>
      </c>
      <c r="N103" s="971" t="s">
        <v>83</v>
      </c>
      <c r="O103" s="971" t="s">
        <v>256</v>
      </c>
      <c r="P103" s="971"/>
      <c r="Q103" s="971" t="s">
        <v>260</v>
      </c>
      <c r="R103" s="1266" t="s">
        <v>261</v>
      </c>
      <c r="S103" s="2106">
        <v>-4400</v>
      </c>
      <c r="T103" s="1266" t="s">
        <v>136</v>
      </c>
      <c r="U103" s="1742">
        <v>4.4491883296460179E-2</v>
      </c>
      <c r="V103" s="1742">
        <v>0.1701</v>
      </c>
      <c r="W103" s="1742">
        <v>3.92151459375</v>
      </c>
      <c r="X103" s="1742">
        <v>0.68180304577546291</v>
      </c>
      <c r="Y103" s="2106">
        <v>4.7480795457754628</v>
      </c>
      <c r="Z103" s="2106">
        <v>-195.76428650442477</v>
      </c>
      <c r="AA103" s="2106">
        <v>-748.44</v>
      </c>
      <c r="AB103" s="2106">
        <v>-17254.6642125</v>
      </c>
      <c r="AC103" s="2106">
        <v>-2999.9334014120368</v>
      </c>
      <c r="AD103" s="1744">
        <v>-21003.037613912034</v>
      </c>
      <c r="AE103" s="2126">
        <v>0</v>
      </c>
      <c r="AF103" s="2126">
        <v>0</v>
      </c>
      <c r="AG103" s="1212">
        <v>1</v>
      </c>
      <c r="AH103" s="1212">
        <v>0</v>
      </c>
      <c r="AI103" s="1212">
        <v>0</v>
      </c>
      <c r="AJ103" s="1212">
        <v>1</v>
      </c>
      <c r="AK103" s="2126">
        <v>-21003.037613912034</v>
      </c>
      <c r="AL103" s="2126">
        <v>0</v>
      </c>
      <c r="AM103" s="2126">
        <v>0</v>
      </c>
      <c r="AN103" s="2126">
        <v>-21003.037613912034</v>
      </c>
      <c r="AO103" s="1743" t="s">
        <v>85</v>
      </c>
      <c r="AP103" s="1743" t="s">
        <v>96</v>
      </c>
      <c r="AQ103" s="1764" t="s">
        <v>118</v>
      </c>
      <c r="AR103" s="1743" t="s">
        <v>87</v>
      </c>
      <c r="AS103" s="2135"/>
      <c r="AT103" s="2135"/>
      <c r="AU103" s="1212">
        <v>0.33333333333333331</v>
      </c>
      <c r="AV103" s="1212">
        <v>0.33333333333333331</v>
      </c>
      <c r="AW103" s="1212">
        <v>0.33333333333333331</v>
      </c>
      <c r="AX103" s="1212"/>
      <c r="AY103" s="1212"/>
      <c r="AZ103" s="1212"/>
      <c r="BA103" s="1212"/>
      <c r="BB103" s="1212"/>
      <c r="BC103" s="1212"/>
      <c r="BD103" s="1212"/>
      <c r="BE103" s="1212"/>
      <c r="BF103" s="2126">
        <v>0</v>
      </c>
      <c r="BG103" s="2126">
        <v>0</v>
      </c>
      <c r="BH103" s="2126">
        <v>-7001.0125379706778</v>
      </c>
      <c r="BI103" s="2126">
        <v>-7001.0125379706778</v>
      </c>
      <c r="BJ103" s="2126">
        <v>-7001.0125379706778</v>
      </c>
      <c r="BK103" s="2126">
        <v>0</v>
      </c>
      <c r="BL103" s="2126">
        <v>0</v>
      </c>
      <c r="BM103" s="2126">
        <v>0</v>
      </c>
      <c r="BN103" s="2126">
        <v>0</v>
      </c>
      <c r="BO103" s="2126">
        <v>0</v>
      </c>
      <c r="BP103" s="2126">
        <v>0</v>
      </c>
      <c r="BQ103" s="2126">
        <v>0</v>
      </c>
      <c r="BR103" s="2126">
        <v>0</v>
      </c>
    </row>
    <row r="104" spans="1:70" s="1765" customFormat="1" ht="49.5">
      <c r="A104" s="1272">
        <v>2000</v>
      </c>
      <c r="B104" s="971" t="s">
        <v>119</v>
      </c>
      <c r="C104" s="1272">
        <v>2300</v>
      </c>
      <c r="D104" s="971" t="s">
        <v>222</v>
      </c>
      <c r="E104" s="971">
        <v>2340</v>
      </c>
      <c r="F104" s="971" t="s">
        <v>224</v>
      </c>
      <c r="G104" s="971">
        <v>2345</v>
      </c>
      <c r="H104" s="971" t="s">
        <v>254</v>
      </c>
      <c r="I104" s="1273"/>
      <c r="J104" s="971" t="s">
        <v>121</v>
      </c>
      <c r="K104" s="971" t="s">
        <v>255</v>
      </c>
      <c r="L104" s="971" t="s">
        <v>2802</v>
      </c>
      <c r="M104" s="971" t="s">
        <v>255</v>
      </c>
      <c r="N104" s="971" t="s">
        <v>83</v>
      </c>
      <c r="O104" s="971" t="s">
        <v>256</v>
      </c>
      <c r="P104" s="971"/>
      <c r="Q104" s="971" t="s">
        <v>262</v>
      </c>
      <c r="R104" s="1266"/>
      <c r="S104" s="2106">
        <v>5000</v>
      </c>
      <c r="T104" s="1266" t="s">
        <v>136</v>
      </c>
      <c r="U104" s="1742">
        <v>4.4491883296460179E-2</v>
      </c>
      <c r="V104" s="1742">
        <v>0.1701</v>
      </c>
      <c r="W104" s="1742">
        <v>3.92151459375</v>
      </c>
      <c r="X104" s="1742">
        <v>0.68180304577546291</v>
      </c>
      <c r="Y104" s="2106">
        <v>4.7480795457754628</v>
      </c>
      <c r="Z104" s="2106">
        <v>222.4594164823009</v>
      </c>
      <c r="AA104" s="2106">
        <v>850.5</v>
      </c>
      <c r="AB104" s="2106">
        <v>19607.572968749999</v>
      </c>
      <c r="AC104" s="2106">
        <v>3409.0152288773147</v>
      </c>
      <c r="AD104" s="1744">
        <v>23867.088197627312</v>
      </c>
      <c r="AE104" s="2126">
        <v>0</v>
      </c>
      <c r="AF104" s="2126">
        <v>0</v>
      </c>
      <c r="AG104" s="1212">
        <v>1</v>
      </c>
      <c r="AH104" s="1212">
        <v>0</v>
      </c>
      <c r="AI104" s="1212">
        <v>0</v>
      </c>
      <c r="AJ104" s="1212">
        <v>1</v>
      </c>
      <c r="AK104" s="2126">
        <v>23867.088197627312</v>
      </c>
      <c r="AL104" s="2126">
        <v>0</v>
      </c>
      <c r="AM104" s="2126">
        <v>0</v>
      </c>
      <c r="AN104" s="2126">
        <v>23867.088197627312</v>
      </c>
      <c r="AO104" s="1743" t="s">
        <v>85</v>
      </c>
      <c r="AP104" s="1743"/>
      <c r="AQ104" s="1764" t="s">
        <v>105</v>
      </c>
      <c r="AR104" s="1743" t="s">
        <v>87</v>
      </c>
      <c r="AS104" s="2135"/>
      <c r="AT104" s="2135"/>
      <c r="AU104" s="1212">
        <v>0.33333333333333331</v>
      </c>
      <c r="AV104" s="1212">
        <v>0.33333333333333331</v>
      </c>
      <c r="AW104" s="1212">
        <v>0.33333333333333331</v>
      </c>
      <c r="AX104" s="1212"/>
      <c r="AY104" s="1212"/>
      <c r="AZ104" s="1212"/>
      <c r="BA104" s="1212"/>
      <c r="BB104" s="1212"/>
      <c r="BC104" s="1212"/>
      <c r="BD104" s="1212"/>
      <c r="BE104" s="1212"/>
      <c r="BF104" s="2126">
        <v>0</v>
      </c>
      <c r="BG104" s="2126">
        <v>0</v>
      </c>
      <c r="BH104" s="2126">
        <v>7955.6960658757707</v>
      </c>
      <c r="BI104" s="2126">
        <v>7955.6960658757707</v>
      </c>
      <c r="BJ104" s="2126">
        <v>7955.6960658757707</v>
      </c>
      <c r="BK104" s="2126">
        <v>0</v>
      </c>
      <c r="BL104" s="2126">
        <v>0</v>
      </c>
      <c r="BM104" s="2126">
        <v>0</v>
      </c>
      <c r="BN104" s="2126">
        <v>0</v>
      </c>
      <c r="BO104" s="2126">
        <v>0</v>
      </c>
      <c r="BP104" s="2126">
        <v>0</v>
      </c>
      <c r="BQ104" s="2126">
        <v>0</v>
      </c>
      <c r="BR104" s="2126">
        <v>0</v>
      </c>
    </row>
    <row r="105" spans="1:70" s="1765" customFormat="1" ht="33">
      <c r="A105" s="1272">
        <v>2000</v>
      </c>
      <c r="B105" s="971" t="s">
        <v>119</v>
      </c>
      <c r="C105" s="1272">
        <v>2300</v>
      </c>
      <c r="D105" s="971" t="s">
        <v>222</v>
      </c>
      <c r="E105" s="971" t="s">
        <v>263</v>
      </c>
      <c r="F105" s="971" t="s">
        <v>264</v>
      </c>
      <c r="G105" s="971" t="s">
        <v>265</v>
      </c>
      <c r="H105" s="971" t="s">
        <v>266</v>
      </c>
      <c r="I105" s="1273"/>
      <c r="J105" s="971" t="s">
        <v>267</v>
      </c>
      <c r="K105" s="971" t="s">
        <v>268</v>
      </c>
      <c r="L105" s="971" t="s">
        <v>2904</v>
      </c>
      <c r="M105" s="971" t="s">
        <v>268</v>
      </c>
      <c r="N105" s="971" t="s">
        <v>269</v>
      </c>
      <c r="O105" s="971" t="s">
        <v>270</v>
      </c>
      <c r="P105" s="971"/>
      <c r="Q105" s="971" t="s">
        <v>271</v>
      </c>
      <c r="R105" s="1266" t="s">
        <v>272</v>
      </c>
      <c r="S105" s="2106">
        <v>0</v>
      </c>
      <c r="T105" s="1266" t="s">
        <v>2700</v>
      </c>
      <c r="U105" s="1742">
        <v>14448</v>
      </c>
      <c r="V105" s="1742">
        <v>180600</v>
      </c>
      <c r="W105" s="1742">
        <v>1273446.72</v>
      </c>
      <c r="X105" s="1742">
        <v>1991945.76</v>
      </c>
      <c r="Y105" s="2106">
        <v>3445992.48</v>
      </c>
      <c r="Z105" s="2106">
        <v>0</v>
      </c>
      <c r="AA105" s="2106">
        <v>0</v>
      </c>
      <c r="AB105" s="2106">
        <v>0</v>
      </c>
      <c r="AC105" s="2106">
        <v>0</v>
      </c>
      <c r="AD105" s="1744">
        <v>0</v>
      </c>
      <c r="AE105" s="2126">
        <v>30295</v>
      </c>
      <c r="AF105" s="2126">
        <v>0</v>
      </c>
      <c r="AG105" s="1212">
        <v>0</v>
      </c>
      <c r="AH105" s="1212">
        <v>1</v>
      </c>
      <c r="AI105" s="1212">
        <v>0</v>
      </c>
      <c r="AJ105" s="1212">
        <v>1</v>
      </c>
      <c r="AK105" s="2126">
        <v>0</v>
      </c>
      <c r="AL105" s="2126">
        <v>0</v>
      </c>
      <c r="AM105" s="2126">
        <v>0</v>
      </c>
      <c r="AN105" s="2126">
        <v>0</v>
      </c>
      <c r="AO105" s="1743" t="s">
        <v>131</v>
      </c>
      <c r="AP105" s="1743" t="s">
        <v>96</v>
      </c>
      <c r="AQ105" s="1764">
        <v>2014</v>
      </c>
      <c r="AR105" s="1743" t="s">
        <v>87</v>
      </c>
      <c r="AS105" s="2135"/>
      <c r="AT105" s="2135"/>
      <c r="AU105" s="1212">
        <v>0.33333333333333331</v>
      </c>
      <c r="AV105" s="1212">
        <v>0.33333333333333331</v>
      </c>
      <c r="AW105" s="1212">
        <v>0.33333333333333331</v>
      </c>
      <c r="AX105" s="1212"/>
      <c r="AY105" s="1212"/>
      <c r="AZ105" s="1212"/>
      <c r="BA105" s="1212"/>
      <c r="BB105" s="1212"/>
      <c r="BC105" s="1212"/>
      <c r="BD105" s="1212"/>
      <c r="BE105" s="1212"/>
      <c r="BF105" s="2126">
        <v>0</v>
      </c>
      <c r="BG105" s="2126">
        <v>0</v>
      </c>
      <c r="BH105" s="2126">
        <v>0</v>
      </c>
      <c r="BI105" s="2126">
        <v>0</v>
      </c>
      <c r="BJ105" s="2126">
        <v>0</v>
      </c>
      <c r="BK105" s="2126">
        <v>0</v>
      </c>
      <c r="BL105" s="2126">
        <v>0</v>
      </c>
      <c r="BM105" s="2126">
        <v>0</v>
      </c>
      <c r="BN105" s="2126">
        <v>0</v>
      </c>
      <c r="BO105" s="2126">
        <v>0</v>
      </c>
      <c r="BP105" s="2126">
        <v>0</v>
      </c>
      <c r="BQ105" s="2126">
        <v>0</v>
      </c>
      <c r="BR105" s="2126">
        <v>0</v>
      </c>
    </row>
    <row r="106" spans="1:70" s="1765" customFormat="1" ht="33">
      <c r="A106" s="1272">
        <v>2000</v>
      </c>
      <c r="B106" s="971" t="s">
        <v>119</v>
      </c>
      <c r="C106" s="1272">
        <v>2300</v>
      </c>
      <c r="D106" s="971" t="s">
        <v>222</v>
      </c>
      <c r="E106" s="971" t="s">
        <v>263</v>
      </c>
      <c r="F106" s="971" t="s">
        <v>264</v>
      </c>
      <c r="G106" s="971" t="s">
        <v>265</v>
      </c>
      <c r="H106" s="971" t="s">
        <v>266</v>
      </c>
      <c r="I106" s="1273"/>
      <c r="J106" s="971" t="s">
        <v>267</v>
      </c>
      <c r="K106" s="971"/>
      <c r="L106" s="971"/>
      <c r="M106" s="971"/>
      <c r="N106" s="971"/>
      <c r="O106" s="971"/>
      <c r="P106" s="971"/>
      <c r="Q106" s="971" t="s">
        <v>273</v>
      </c>
      <c r="R106" s="1266" t="s">
        <v>272</v>
      </c>
      <c r="S106" s="2106">
        <v>0</v>
      </c>
      <c r="T106" s="1266" t="s">
        <v>136</v>
      </c>
      <c r="U106" s="1742" t="s">
        <v>6588</v>
      </c>
      <c r="V106" s="1742" t="s">
        <v>6588</v>
      </c>
      <c r="W106" s="1742" t="s">
        <v>6588</v>
      </c>
      <c r="X106" s="1742" t="s">
        <v>6588</v>
      </c>
      <c r="Y106" s="2106" t="s">
        <v>6588</v>
      </c>
      <c r="Z106" s="2106">
        <v>0</v>
      </c>
      <c r="AA106" s="2106">
        <v>0</v>
      </c>
      <c r="AB106" s="2106">
        <v>0</v>
      </c>
      <c r="AC106" s="2106">
        <v>0</v>
      </c>
      <c r="AD106" s="1744">
        <v>0</v>
      </c>
      <c r="AE106" s="2126">
        <v>0</v>
      </c>
      <c r="AF106" s="2126">
        <v>0</v>
      </c>
      <c r="AG106" s="1212">
        <v>0</v>
      </c>
      <c r="AH106" s="1212">
        <v>1</v>
      </c>
      <c r="AI106" s="1212">
        <v>0</v>
      </c>
      <c r="AJ106" s="1212">
        <v>1</v>
      </c>
      <c r="AK106" s="2126">
        <v>0</v>
      </c>
      <c r="AL106" s="2126">
        <v>0</v>
      </c>
      <c r="AM106" s="2126">
        <v>0</v>
      </c>
      <c r="AN106" s="2126">
        <v>0</v>
      </c>
      <c r="AO106" s="1743" t="s">
        <v>131</v>
      </c>
      <c r="AP106" s="1743" t="s">
        <v>96</v>
      </c>
      <c r="AQ106" s="1764">
        <v>2014</v>
      </c>
      <c r="AR106" s="1743" t="s">
        <v>87</v>
      </c>
      <c r="AS106" s="2135"/>
      <c r="AT106" s="2135"/>
      <c r="AU106" s="1212">
        <v>0.33333333333333331</v>
      </c>
      <c r="AV106" s="1212">
        <v>0.33333333333333331</v>
      </c>
      <c r="AW106" s="1212">
        <v>0.33333333333333331</v>
      </c>
      <c r="AX106" s="1212"/>
      <c r="AY106" s="1212"/>
      <c r="AZ106" s="1212"/>
      <c r="BA106" s="1212"/>
      <c r="BB106" s="1212"/>
      <c r="BC106" s="1212"/>
      <c r="BD106" s="1212"/>
      <c r="BE106" s="1212"/>
      <c r="BF106" s="2126">
        <v>0</v>
      </c>
      <c r="BG106" s="2126">
        <v>0</v>
      </c>
      <c r="BH106" s="2126">
        <v>0</v>
      </c>
      <c r="BI106" s="2126">
        <v>0</v>
      </c>
      <c r="BJ106" s="2126">
        <v>0</v>
      </c>
      <c r="BK106" s="2126">
        <v>0</v>
      </c>
      <c r="BL106" s="2126">
        <v>0</v>
      </c>
      <c r="BM106" s="2126">
        <v>0</v>
      </c>
      <c r="BN106" s="2126">
        <v>0</v>
      </c>
      <c r="BO106" s="2126">
        <v>0</v>
      </c>
      <c r="BP106" s="2126">
        <v>0</v>
      </c>
      <c r="BQ106" s="2126">
        <v>0</v>
      </c>
      <c r="BR106" s="2126">
        <v>0</v>
      </c>
    </row>
    <row r="107" spans="1:70" s="1765" customFormat="1" ht="33">
      <c r="A107" s="1272">
        <v>2000</v>
      </c>
      <c r="B107" s="971" t="s">
        <v>119</v>
      </c>
      <c r="C107" s="1272">
        <v>2300</v>
      </c>
      <c r="D107" s="971" t="s">
        <v>222</v>
      </c>
      <c r="E107" s="971" t="s">
        <v>263</v>
      </c>
      <c r="F107" s="971" t="s">
        <v>264</v>
      </c>
      <c r="G107" s="971" t="s">
        <v>265</v>
      </c>
      <c r="H107" s="971" t="s">
        <v>266</v>
      </c>
      <c r="I107" s="1273"/>
      <c r="J107" s="971" t="s">
        <v>267</v>
      </c>
      <c r="K107" s="971"/>
      <c r="L107" s="971"/>
      <c r="M107" s="971"/>
      <c r="N107" s="971"/>
      <c r="O107" s="971"/>
      <c r="P107" s="971"/>
      <c r="Q107" s="971" t="s">
        <v>274</v>
      </c>
      <c r="R107" s="1266" t="s">
        <v>272</v>
      </c>
      <c r="S107" s="2106">
        <v>0</v>
      </c>
      <c r="T107" s="1266" t="s">
        <v>136</v>
      </c>
      <c r="U107" s="1742" t="s">
        <v>6588</v>
      </c>
      <c r="V107" s="1742" t="s">
        <v>6588</v>
      </c>
      <c r="W107" s="1742" t="s">
        <v>6588</v>
      </c>
      <c r="X107" s="1742" t="s">
        <v>6588</v>
      </c>
      <c r="Y107" s="2106" t="s">
        <v>6588</v>
      </c>
      <c r="Z107" s="2106">
        <v>0</v>
      </c>
      <c r="AA107" s="2106">
        <v>0</v>
      </c>
      <c r="AB107" s="2106">
        <v>0</v>
      </c>
      <c r="AC107" s="2106">
        <v>0</v>
      </c>
      <c r="AD107" s="1744">
        <v>0</v>
      </c>
      <c r="AE107" s="2126">
        <v>0</v>
      </c>
      <c r="AF107" s="2126">
        <v>0</v>
      </c>
      <c r="AG107" s="1212">
        <v>0</v>
      </c>
      <c r="AH107" s="1212">
        <v>1</v>
      </c>
      <c r="AI107" s="1212">
        <v>0</v>
      </c>
      <c r="AJ107" s="1212">
        <v>1</v>
      </c>
      <c r="AK107" s="2126">
        <v>0</v>
      </c>
      <c r="AL107" s="2126">
        <v>0</v>
      </c>
      <c r="AM107" s="2126">
        <v>0</v>
      </c>
      <c r="AN107" s="2126">
        <v>0</v>
      </c>
      <c r="AO107" s="1743" t="s">
        <v>131</v>
      </c>
      <c r="AP107" s="1743" t="s">
        <v>96</v>
      </c>
      <c r="AQ107" s="1764">
        <v>2014</v>
      </c>
      <c r="AR107" s="1743" t="s">
        <v>87</v>
      </c>
      <c r="AS107" s="2135"/>
      <c r="AT107" s="2135"/>
      <c r="AU107" s="1212">
        <v>0.33333333333333331</v>
      </c>
      <c r="AV107" s="1212">
        <v>0.33333333333333331</v>
      </c>
      <c r="AW107" s="1212">
        <v>0.33333333333333331</v>
      </c>
      <c r="AX107" s="1212"/>
      <c r="AY107" s="1212"/>
      <c r="AZ107" s="1212"/>
      <c r="BA107" s="1212"/>
      <c r="BB107" s="1212"/>
      <c r="BC107" s="1212"/>
      <c r="BD107" s="1212"/>
      <c r="BE107" s="1212"/>
      <c r="BF107" s="2126">
        <v>0</v>
      </c>
      <c r="BG107" s="2126">
        <v>0</v>
      </c>
      <c r="BH107" s="2126">
        <v>0</v>
      </c>
      <c r="BI107" s="2126">
        <v>0</v>
      </c>
      <c r="BJ107" s="2126">
        <v>0</v>
      </c>
      <c r="BK107" s="2126">
        <v>0</v>
      </c>
      <c r="BL107" s="2126">
        <v>0</v>
      </c>
      <c r="BM107" s="2126">
        <v>0</v>
      </c>
      <c r="BN107" s="2126">
        <v>0</v>
      </c>
      <c r="BO107" s="2126">
        <v>0</v>
      </c>
      <c r="BP107" s="2126">
        <v>0</v>
      </c>
      <c r="BQ107" s="2126">
        <v>0</v>
      </c>
      <c r="BR107" s="2126">
        <v>0</v>
      </c>
    </row>
    <row r="108" spans="1:70" s="1765" customFormat="1" ht="33">
      <c r="A108" s="1272">
        <v>2000</v>
      </c>
      <c r="B108" s="971" t="s">
        <v>119</v>
      </c>
      <c r="C108" s="1272">
        <v>2300</v>
      </c>
      <c r="D108" s="971" t="s">
        <v>222</v>
      </c>
      <c r="E108" s="971" t="s">
        <v>263</v>
      </c>
      <c r="F108" s="971" t="s">
        <v>264</v>
      </c>
      <c r="G108" s="971" t="s">
        <v>265</v>
      </c>
      <c r="H108" s="971" t="s">
        <v>266</v>
      </c>
      <c r="I108" s="1273"/>
      <c r="J108" s="971" t="s">
        <v>267</v>
      </c>
      <c r="K108" s="971"/>
      <c r="L108" s="971"/>
      <c r="M108" s="971"/>
      <c r="N108" s="971"/>
      <c r="O108" s="971"/>
      <c r="P108" s="971"/>
      <c r="Q108" s="971" t="s">
        <v>275</v>
      </c>
      <c r="R108" s="1266" t="s">
        <v>272</v>
      </c>
      <c r="S108" s="2106">
        <v>0</v>
      </c>
      <c r="T108" s="1266" t="s">
        <v>136</v>
      </c>
      <c r="U108" s="1742" t="s">
        <v>6588</v>
      </c>
      <c r="V108" s="1742" t="s">
        <v>6588</v>
      </c>
      <c r="W108" s="1742" t="s">
        <v>6588</v>
      </c>
      <c r="X108" s="1742" t="s">
        <v>6588</v>
      </c>
      <c r="Y108" s="2106" t="s">
        <v>6588</v>
      </c>
      <c r="Z108" s="2106">
        <v>0</v>
      </c>
      <c r="AA108" s="2106">
        <v>0</v>
      </c>
      <c r="AB108" s="2106">
        <v>0</v>
      </c>
      <c r="AC108" s="2106">
        <v>0</v>
      </c>
      <c r="AD108" s="1744">
        <v>0</v>
      </c>
      <c r="AE108" s="2126">
        <v>0</v>
      </c>
      <c r="AF108" s="2126">
        <v>0</v>
      </c>
      <c r="AG108" s="1212">
        <v>0</v>
      </c>
      <c r="AH108" s="1212">
        <v>1</v>
      </c>
      <c r="AI108" s="1212">
        <v>0</v>
      </c>
      <c r="AJ108" s="1212">
        <v>1</v>
      </c>
      <c r="AK108" s="2126">
        <v>0</v>
      </c>
      <c r="AL108" s="2126">
        <v>0</v>
      </c>
      <c r="AM108" s="2126">
        <v>0</v>
      </c>
      <c r="AN108" s="2126">
        <v>0</v>
      </c>
      <c r="AO108" s="1743" t="s">
        <v>131</v>
      </c>
      <c r="AP108" s="1743" t="s">
        <v>96</v>
      </c>
      <c r="AQ108" s="1764">
        <v>2014</v>
      </c>
      <c r="AR108" s="1743" t="s">
        <v>87</v>
      </c>
      <c r="AS108" s="2135"/>
      <c r="AT108" s="2135"/>
      <c r="AU108" s="1212">
        <v>0.33333333333333331</v>
      </c>
      <c r="AV108" s="1212">
        <v>0.33333333333333331</v>
      </c>
      <c r="AW108" s="1212">
        <v>0.33333333333333331</v>
      </c>
      <c r="AX108" s="1212"/>
      <c r="AY108" s="1212"/>
      <c r="AZ108" s="1212"/>
      <c r="BA108" s="1212"/>
      <c r="BB108" s="1212"/>
      <c r="BC108" s="1212"/>
      <c r="BD108" s="1212"/>
      <c r="BE108" s="1212"/>
      <c r="BF108" s="2126">
        <v>0</v>
      </c>
      <c r="BG108" s="2126">
        <v>0</v>
      </c>
      <c r="BH108" s="2126">
        <v>0</v>
      </c>
      <c r="BI108" s="2126">
        <v>0</v>
      </c>
      <c r="BJ108" s="2126">
        <v>0</v>
      </c>
      <c r="BK108" s="2126">
        <v>0</v>
      </c>
      <c r="BL108" s="2126">
        <v>0</v>
      </c>
      <c r="BM108" s="2126">
        <v>0</v>
      </c>
      <c r="BN108" s="2126">
        <v>0</v>
      </c>
      <c r="BO108" s="2126">
        <v>0</v>
      </c>
      <c r="BP108" s="2126">
        <v>0</v>
      </c>
      <c r="BQ108" s="2126">
        <v>0</v>
      </c>
      <c r="BR108" s="2126">
        <v>0</v>
      </c>
    </row>
    <row r="109" spans="1:70" s="1765" customFormat="1" ht="33">
      <c r="A109" s="1272">
        <v>2000</v>
      </c>
      <c r="B109" s="971" t="s">
        <v>119</v>
      </c>
      <c r="C109" s="1272">
        <v>2300</v>
      </c>
      <c r="D109" s="971" t="s">
        <v>222</v>
      </c>
      <c r="E109" s="971" t="s">
        <v>263</v>
      </c>
      <c r="F109" s="971" t="s">
        <v>264</v>
      </c>
      <c r="G109" s="971" t="s">
        <v>265</v>
      </c>
      <c r="H109" s="971" t="s">
        <v>266</v>
      </c>
      <c r="I109" s="1273"/>
      <c r="J109" s="971" t="s">
        <v>267</v>
      </c>
      <c r="K109" s="971"/>
      <c r="L109" s="971"/>
      <c r="M109" s="971"/>
      <c r="N109" s="971"/>
      <c r="O109" s="971"/>
      <c r="P109" s="971"/>
      <c r="Q109" s="971" t="s">
        <v>276</v>
      </c>
      <c r="R109" s="1266" t="s">
        <v>277</v>
      </c>
      <c r="S109" s="2106">
        <v>0</v>
      </c>
      <c r="T109" s="1266" t="s">
        <v>136</v>
      </c>
      <c r="U109" s="1742" t="s">
        <v>6588</v>
      </c>
      <c r="V109" s="1742" t="s">
        <v>6588</v>
      </c>
      <c r="W109" s="1742" t="s">
        <v>6588</v>
      </c>
      <c r="X109" s="1742" t="s">
        <v>6588</v>
      </c>
      <c r="Y109" s="2106" t="s">
        <v>6588</v>
      </c>
      <c r="Z109" s="2106">
        <v>0</v>
      </c>
      <c r="AA109" s="2106">
        <v>0</v>
      </c>
      <c r="AB109" s="2106">
        <v>0</v>
      </c>
      <c r="AC109" s="2106">
        <v>0</v>
      </c>
      <c r="AD109" s="1744">
        <v>0</v>
      </c>
      <c r="AE109" s="2126">
        <v>0</v>
      </c>
      <c r="AF109" s="2126">
        <v>0</v>
      </c>
      <c r="AG109" s="1212">
        <v>0</v>
      </c>
      <c r="AH109" s="1212">
        <v>1</v>
      </c>
      <c r="AI109" s="1212">
        <v>0</v>
      </c>
      <c r="AJ109" s="1212">
        <v>1</v>
      </c>
      <c r="AK109" s="2126">
        <v>0</v>
      </c>
      <c r="AL109" s="2126">
        <v>0</v>
      </c>
      <c r="AM109" s="2126">
        <v>0</v>
      </c>
      <c r="AN109" s="2126">
        <v>0</v>
      </c>
      <c r="AO109" s="1743" t="s">
        <v>131</v>
      </c>
      <c r="AP109" s="1743" t="s">
        <v>96</v>
      </c>
      <c r="AQ109" s="1764">
        <v>2014</v>
      </c>
      <c r="AR109" s="1743" t="s">
        <v>87</v>
      </c>
      <c r="AS109" s="2135"/>
      <c r="AT109" s="2135"/>
      <c r="AU109" s="1212">
        <v>0.33333333333333331</v>
      </c>
      <c r="AV109" s="1212">
        <v>0.33333333333333331</v>
      </c>
      <c r="AW109" s="1212">
        <v>0.33333333333333331</v>
      </c>
      <c r="AX109" s="1212"/>
      <c r="AY109" s="1212"/>
      <c r="AZ109" s="1212"/>
      <c r="BA109" s="1212"/>
      <c r="BB109" s="1212"/>
      <c r="BC109" s="1212"/>
      <c r="BD109" s="1212"/>
      <c r="BE109" s="1212"/>
      <c r="BF109" s="2126">
        <v>0</v>
      </c>
      <c r="BG109" s="2126">
        <v>0</v>
      </c>
      <c r="BH109" s="2126">
        <v>0</v>
      </c>
      <c r="BI109" s="2126">
        <v>0</v>
      </c>
      <c r="BJ109" s="2126">
        <v>0</v>
      </c>
      <c r="BK109" s="2126">
        <v>0</v>
      </c>
      <c r="BL109" s="2126">
        <v>0</v>
      </c>
      <c r="BM109" s="2126">
        <v>0</v>
      </c>
      <c r="BN109" s="2126">
        <v>0</v>
      </c>
      <c r="BO109" s="2126">
        <v>0</v>
      </c>
      <c r="BP109" s="2126">
        <v>0</v>
      </c>
      <c r="BQ109" s="2126">
        <v>0</v>
      </c>
      <c r="BR109" s="2126">
        <v>0</v>
      </c>
    </row>
    <row r="110" spans="1:70" s="1765" customFormat="1" ht="33">
      <c r="A110" s="1272">
        <v>2000</v>
      </c>
      <c r="B110" s="971" t="s">
        <v>119</v>
      </c>
      <c r="C110" s="1272">
        <v>2300</v>
      </c>
      <c r="D110" s="971" t="s">
        <v>222</v>
      </c>
      <c r="E110" s="971" t="s">
        <v>263</v>
      </c>
      <c r="F110" s="971" t="s">
        <v>264</v>
      </c>
      <c r="G110" s="971" t="s">
        <v>265</v>
      </c>
      <c r="H110" s="971" t="s">
        <v>266</v>
      </c>
      <c r="I110" s="1273"/>
      <c r="J110" s="971" t="s">
        <v>267</v>
      </c>
      <c r="K110" s="971"/>
      <c r="L110" s="971"/>
      <c r="M110" s="971"/>
      <c r="N110" s="971"/>
      <c r="O110" s="971"/>
      <c r="P110" s="971"/>
      <c r="Q110" s="971" t="s">
        <v>278</v>
      </c>
      <c r="R110" s="1266" t="s">
        <v>277</v>
      </c>
      <c r="S110" s="2106">
        <v>0</v>
      </c>
      <c r="T110" s="1266" t="s">
        <v>136</v>
      </c>
      <c r="U110" s="1742" t="s">
        <v>6588</v>
      </c>
      <c r="V110" s="1742" t="s">
        <v>6588</v>
      </c>
      <c r="W110" s="1742" t="s">
        <v>6588</v>
      </c>
      <c r="X110" s="1742" t="s">
        <v>6588</v>
      </c>
      <c r="Y110" s="2106" t="s">
        <v>6588</v>
      </c>
      <c r="Z110" s="2106">
        <v>0</v>
      </c>
      <c r="AA110" s="2106">
        <v>0</v>
      </c>
      <c r="AB110" s="2106">
        <v>0</v>
      </c>
      <c r="AC110" s="2106">
        <v>0</v>
      </c>
      <c r="AD110" s="1744">
        <v>0</v>
      </c>
      <c r="AE110" s="2126">
        <v>0</v>
      </c>
      <c r="AF110" s="2126">
        <v>0</v>
      </c>
      <c r="AG110" s="1212">
        <v>0</v>
      </c>
      <c r="AH110" s="1212">
        <v>1</v>
      </c>
      <c r="AI110" s="1212">
        <v>0</v>
      </c>
      <c r="AJ110" s="1212">
        <v>1</v>
      </c>
      <c r="AK110" s="2126">
        <v>0</v>
      </c>
      <c r="AL110" s="2126">
        <v>0</v>
      </c>
      <c r="AM110" s="2126">
        <v>0</v>
      </c>
      <c r="AN110" s="2126">
        <v>0</v>
      </c>
      <c r="AO110" s="1743" t="s">
        <v>131</v>
      </c>
      <c r="AP110" s="1743" t="s">
        <v>96</v>
      </c>
      <c r="AQ110" s="1764">
        <v>2014</v>
      </c>
      <c r="AR110" s="1743" t="s">
        <v>87</v>
      </c>
      <c r="AS110" s="2135"/>
      <c r="AT110" s="2135"/>
      <c r="AU110" s="1212">
        <v>0.33333333333333331</v>
      </c>
      <c r="AV110" s="1212">
        <v>0.33333333333333331</v>
      </c>
      <c r="AW110" s="1212">
        <v>0.33333333333333331</v>
      </c>
      <c r="AX110" s="1212"/>
      <c r="AY110" s="1212"/>
      <c r="AZ110" s="1212"/>
      <c r="BA110" s="1212"/>
      <c r="BB110" s="1212"/>
      <c r="BC110" s="1212"/>
      <c r="BD110" s="1212"/>
      <c r="BE110" s="1212"/>
      <c r="BF110" s="2126">
        <v>0</v>
      </c>
      <c r="BG110" s="2126">
        <v>0</v>
      </c>
      <c r="BH110" s="2126">
        <v>0</v>
      </c>
      <c r="BI110" s="2126">
        <v>0</v>
      </c>
      <c r="BJ110" s="2126">
        <v>0</v>
      </c>
      <c r="BK110" s="2126">
        <v>0</v>
      </c>
      <c r="BL110" s="2126">
        <v>0</v>
      </c>
      <c r="BM110" s="2126">
        <v>0</v>
      </c>
      <c r="BN110" s="2126">
        <v>0</v>
      </c>
      <c r="BO110" s="2126">
        <v>0</v>
      </c>
      <c r="BP110" s="2126">
        <v>0</v>
      </c>
      <c r="BQ110" s="2126">
        <v>0</v>
      </c>
      <c r="BR110" s="2126">
        <v>0</v>
      </c>
    </row>
    <row r="111" spans="1:70" s="1765" customFormat="1" ht="33">
      <c r="A111" s="1272">
        <v>2000</v>
      </c>
      <c r="B111" s="971" t="s">
        <v>119</v>
      </c>
      <c r="C111" s="1272">
        <v>2300</v>
      </c>
      <c r="D111" s="971" t="s">
        <v>222</v>
      </c>
      <c r="E111" s="971" t="s">
        <v>263</v>
      </c>
      <c r="F111" s="971" t="s">
        <v>264</v>
      </c>
      <c r="G111" s="971" t="s">
        <v>265</v>
      </c>
      <c r="H111" s="971" t="s">
        <v>266</v>
      </c>
      <c r="I111" s="1273"/>
      <c r="J111" s="971" t="s">
        <v>267</v>
      </c>
      <c r="K111" s="971"/>
      <c r="L111" s="971"/>
      <c r="M111" s="971"/>
      <c r="N111" s="971"/>
      <c r="O111" s="971"/>
      <c r="P111" s="971"/>
      <c r="Q111" s="971" t="s">
        <v>279</v>
      </c>
      <c r="R111" s="1266" t="s">
        <v>277</v>
      </c>
      <c r="S111" s="2106">
        <v>0</v>
      </c>
      <c r="T111" s="1266" t="s">
        <v>136</v>
      </c>
      <c r="U111" s="1742" t="s">
        <v>6588</v>
      </c>
      <c r="V111" s="1742" t="s">
        <v>6588</v>
      </c>
      <c r="W111" s="1742" t="s">
        <v>6588</v>
      </c>
      <c r="X111" s="1742" t="s">
        <v>6588</v>
      </c>
      <c r="Y111" s="2106" t="s">
        <v>6588</v>
      </c>
      <c r="Z111" s="2106">
        <v>0</v>
      </c>
      <c r="AA111" s="2106">
        <v>0</v>
      </c>
      <c r="AB111" s="2106">
        <v>0</v>
      </c>
      <c r="AC111" s="2106">
        <v>0</v>
      </c>
      <c r="AD111" s="1744">
        <v>0</v>
      </c>
      <c r="AE111" s="2126">
        <v>0</v>
      </c>
      <c r="AF111" s="2126">
        <v>0</v>
      </c>
      <c r="AG111" s="1212">
        <v>0</v>
      </c>
      <c r="AH111" s="1212">
        <v>1</v>
      </c>
      <c r="AI111" s="1212">
        <v>0</v>
      </c>
      <c r="AJ111" s="1212">
        <v>1</v>
      </c>
      <c r="AK111" s="2126">
        <v>0</v>
      </c>
      <c r="AL111" s="2126">
        <v>0</v>
      </c>
      <c r="AM111" s="2126">
        <v>0</v>
      </c>
      <c r="AN111" s="2126">
        <v>0</v>
      </c>
      <c r="AO111" s="1743" t="s">
        <v>131</v>
      </c>
      <c r="AP111" s="1743" t="s">
        <v>96</v>
      </c>
      <c r="AQ111" s="1764">
        <v>2014</v>
      </c>
      <c r="AR111" s="1743" t="s">
        <v>87</v>
      </c>
      <c r="AS111" s="2135"/>
      <c r="AT111" s="2135"/>
      <c r="AU111" s="1212">
        <v>0.33333333333333331</v>
      </c>
      <c r="AV111" s="1212">
        <v>0.33333333333333331</v>
      </c>
      <c r="AW111" s="1212">
        <v>0.33333333333333331</v>
      </c>
      <c r="AX111" s="1212"/>
      <c r="AY111" s="1212"/>
      <c r="AZ111" s="1212"/>
      <c r="BA111" s="1212"/>
      <c r="BB111" s="1212"/>
      <c r="BC111" s="1212"/>
      <c r="BD111" s="1212"/>
      <c r="BE111" s="1212"/>
      <c r="BF111" s="2126">
        <v>0</v>
      </c>
      <c r="BG111" s="2126">
        <v>0</v>
      </c>
      <c r="BH111" s="2126">
        <v>0</v>
      </c>
      <c r="BI111" s="2126">
        <v>0</v>
      </c>
      <c r="BJ111" s="2126">
        <v>0</v>
      </c>
      <c r="BK111" s="2126">
        <v>0</v>
      </c>
      <c r="BL111" s="2126">
        <v>0</v>
      </c>
      <c r="BM111" s="2126">
        <v>0</v>
      </c>
      <c r="BN111" s="2126">
        <v>0</v>
      </c>
      <c r="BO111" s="2126">
        <v>0</v>
      </c>
      <c r="BP111" s="2126">
        <v>0</v>
      </c>
      <c r="BQ111" s="2126">
        <v>0</v>
      </c>
      <c r="BR111" s="2126">
        <v>0</v>
      </c>
    </row>
    <row r="112" spans="1:70" s="1765" customFormat="1" ht="33">
      <c r="A112" s="1272">
        <v>2000</v>
      </c>
      <c r="B112" s="971" t="s">
        <v>119</v>
      </c>
      <c r="C112" s="1272">
        <v>2300</v>
      </c>
      <c r="D112" s="971" t="s">
        <v>222</v>
      </c>
      <c r="E112" s="971" t="s">
        <v>263</v>
      </c>
      <c r="F112" s="971" t="s">
        <v>264</v>
      </c>
      <c r="G112" s="971" t="s">
        <v>280</v>
      </c>
      <c r="H112" s="971" t="s">
        <v>266</v>
      </c>
      <c r="I112" s="1273" t="s">
        <v>281</v>
      </c>
      <c r="J112" s="971" t="s">
        <v>282</v>
      </c>
      <c r="K112" s="971"/>
      <c r="L112" s="971" t="s">
        <v>270</v>
      </c>
      <c r="M112" s="971" t="s">
        <v>270</v>
      </c>
      <c r="N112" s="971" t="s">
        <v>179</v>
      </c>
      <c r="O112" s="971" t="s">
        <v>270</v>
      </c>
      <c r="P112" s="971"/>
      <c r="Q112" s="971" t="s">
        <v>283</v>
      </c>
      <c r="R112" s="1266" t="s">
        <v>284</v>
      </c>
      <c r="S112" s="2106">
        <v>0</v>
      </c>
      <c r="T112" s="1266" t="s">
        <v>242</v>
      </c>
      <c r="U112" s="1742" t="s">
        <v>6588</v>
      </c>
      <c r="V112" s="1742" t="s">
        <v>6588</v>
      </c>
      <c r="W112" s="1742" t="s">
        <v>6588</v>
      </c>
      <c r="X112" s="1742" t="s">
        <v>6588</v>
      </c>
      <c r="Y112" s="2106" t="s">
        <v>6588</v>
      </c>
      <c r="Z112" s="2106">
        <v>0</v>
      </c>
      <c r="AA112" s="2106">
        <v>0</v>
      </c>
      <c r="AB112" s="2106">
        <v>0</v>
      </c>
      <c r="AC112" s="2106">
        <v>0</v>
      </c>
      <c r="AD112" s="1744">
        <v>0</v>
      </c>
      <c r="AE112" s="2126">
        <v>0</v>
      </c>
      <c r="AF112" s="2126">
        <v>0</v>
      </c>
      <c r="AG112" s="1212">
        <v>0</v>
      </c>
      <c r="AH112" s="1212">
        <v>1</v>
      </c>
      <c r="AI112" s="1212">
        <v>0</v>
      </c>
      <c r="AJ112" s="1212">
        <v>1</v>
      </c>
      <c r="AK112" s="2126">
        <v>0</v>
      </c>
      <c r="AL112" s="2126">
        <v>0</v>
      </c>
      <c r="AM112" s="2126">
        <v>0</v>
      </c>
      <c r="AN112" s="2126">
        <v>0</v>
      </c>
      <c r="AO112" s="1743" t="s">
        <v>131</v>
      </c>
      <c r="AP112" s="1743" t="s">
        <v>96</v>
      </c>
      <c r="AQ112" s="1764">
        <v>2014</v>
      </c>
      <c r="AR112" s="1743" t="s">
        <v>87</v>
      </c>
      <c r="AS112" s="2135"/>
      <c r="AT112" s="2135"/>
      <c r="AU112" s="1212">
        <v>0.33333333333333331</v>
      </c>
      <c r="AV112" s="1212">
        <v>0.33333333333333331</v>
      </c>
      <c r="AW112" s="1212">
        <v>0.33333333333333331</v>
      </c>
      <c r="AX112" s="1212"/>
      <c r="AY112" s="1212"/>
      <c r="AZ112" s="1212"/>
      <c r="BA112" s="1212"/>
      <c r="BB112" s="1212"/>
      <c r="BC112" s="1212"/>
      <c r="BD112" s="1212"/>
      <c r="BE112" s="1212"/>
      <c r="BF112" s="2126">
        <v>0</v>
      </c>
      <c r="BG112" s="2126">
        <v>0</v>
      </c>
      <c r="BH112" s="2126">
        <v>0</v>
      </c>
      <c r="BI112" s="2126">
        <v>0</v>
      </c>
      <c r="BJ112" s="2126">
        <v>0</v>
      </c>
      <c r="BK112" s="2126">
        <v>0</v>
      </c>
      <c r="BL112" s="2126">
        <v>0</v>
      </c>
      <c r="BM112" s="2126">
        <v>0</v>
      </c>
      <c r="BN112" s="2126">
        <v>0</v>
      </c>
      <c r="BO112" s="2126">
        <v>0</v>
      </c>
      <c r="BP112" s="2126">
        <v>0</v>
      </c>
      <c r="BQ112" s="2126">
        <v>0</v>
      </c>
      <c r="BR112" s="2126">
        <v>0</v>
      </c>
    </row>
    <row r="113" spans="1:70" s="1765" customFormat="1" ht="49.5">
      <c r="A113" s="1272">
        <v>2000</v>
      </c>
      <c r="B113" s="971" t="s">
        <v>119</v>
      </c>
      <c r="C113" s="1272">
        <v>2300</v>
      </c>
      <c r="D113" s="971" t="s">
        <v>222</v>
      </c>
      <c r="E113" s="971" t="s">
        <v>263</v>
      </c>
      <c r="F113" s="971" t="s">
        <v>264</v>
      </c>
      <c r="G113" s="971" t="s">
        <v>280</v>
      </c>
      <c r="H113" s="971" t="s">
        <v>266</v>
      </c>
      <c r="I113" s="1273" t="s">
        <v>285</v>
      </c>
      <c r="J113" s="971" t="s">
        <v>282</v>
      </c>
      <c r="K113" s="971"/>
      <c r="L113" s="971" t="s">
        <v>270</v>
      </c>
      <c r="M113" s="971" t="s">
        <v>270</v>
      </c>
      <c r="N113" s="971" t="s">
        <v>179</v>
      </c>
      <c r="O113" s="971" t="s">
        <v>270</v>
      </c>
      <c r="P113" s="971"/>
      <c r="Q113" s="971" t="s">
        <v>286</v>
      </c>
      <c r="R113" s="1266" t="s">
        <v>287</v>
      </c>
      <c r="S113" s="2106">
        <v>0</v>
      </c>
      <c r="T113" s="1266" t="s">
        <v>242</v>
      </c>
      <c r="U113" s="1742" t="s">
        <v>6588</v>
      </c>
      <c r="V113" s="1742" t="s">
        <v>6588</v>
      </c>
      <c r="W113" s="1742" t="s">
        <v>6588</v>
      </c>
      <c r="X113" s="1742" t="s">
        <v>6588</v>
      </c>
      <c r="Y113" s="2106" t="s">
        <v>6588</v>
      </c>
      <c r="Z113" s="2106">
        <v>0</v>
      </c>
      <c r="AA113" s="2106">
        <v>0</v>
      </c>
      <c r="AB113" s="2106">
        <v>0</v>
      </c>
      <c r="AC113" s="2106">
        <v>0</v>
      </c>
      <c r="AD113" s="1744">
        <v>0</v>
      </c>
      <c r="AE113" s="2126">
        <v>0</v>
      </c>
      <c r="AF113" s="2126">
        <v>0</v>
      </c>
      <c r="AG113" s="1212">
        <v>1</v>
      </c>
      <c r="AH113" s="1212">
        <v>0</v>
      </c>
      <c r="AI113" s="1212">
        <v>0</v>
      </c>
      <c r="AJ113" s="1212">
        <v>1</v>
      </c>
      <c r="AK113" s="2126">
        <v>0</v>
      </c>
      <c r="AL113" s="2126">
        <v>0</v>
      </c>
      <c r="AM113" s="2126">
        <v>0</v>
      </c>
      <c r="AN113" s="2126">
        <v>0</v>
      </c>
      <c r="AO113" s="1743" t="s">
        <v>131</v>
      </c>
      <c r="AP113" s="1743" t="s">
        <v>96</v>
      </c>
      <c r="AQ113" s="1764">
        <v>2014</v>
      </c>
      <c r="AR113" s="1743" t="s">
        <v>87</v>
      </c>
      <c r="AS113" s="2135"/>
      <c r="AT113" s="2135"/>
      <c r="AU113" s="1212">
        <v>0.33333333333333331</v>
      </c>
      <c r="AV113" s="1212">
        <v>0.33333333333333331</v>
      </c>
      <c r="AW113" s="1212">
        <v>0.33333333333333331</v>
      </c>
      <c r="AX113" s="1212"/>
      <c r="AY113" s="1212"/>
      <c r="AZ113" s="1212"/>
      <c r="BA113" s="1212"/>
      <c r="BB113" s="1212"/>
      <c r="BC113" s="1212"/>
      <c r="BD113" s="1212"/>
      <c r="BE113" s="1212"/>
      <c r="BF113" s="2126">
        <v>0</v>
      </c>
      <c r="BG113" s="2126">
        <v>0</v>
      </c>
      <c r="BH113" s="2126">
        <v>0</v>
      </c>
      <c r="BI113" s="2126">
        <v>0</v>
      </c>
      <c r="BJ113" s="2126">
        <v>0</v>
      </c>
      <c r="BK113" s="2126">
        <v>0</v>
      </c>
      <c r="BL113" s="2126">
        <v>0</v>
      </c>
      <c r="BM113" s="2126">
        <v>0</v>
      </c>
      <c r="BN113" s="2126">
        <v>0</v>
      </c>
      <c r="BO113" s="2126">
        <v>0</v>
      </c>
      <c r="BP113" s="2126">
        <v>0</v>
      </c>
      <c r="BQ113" s="2126">
        <v>0</v>
      </c>
      <c r="BR113" s="2126">
        <v>0</v>
      </c>
    </row>
    <row r="114" spans="1:70" s="1765" customFormat="1" ht="49.5">
      <c r="A114" s="1272">
        <v>2000</v>
      </c>
      <c r="B114" s="971" t="s">
        <v>119</v>
      </c>
      <c r="C114" s="1272">
        <v>2300</v>
      </c>
      <c r="D114" s="971" t="s">
        <v>222</v>
      </c>
      <c r="E114" s="971" t="s">
        <v>263</v>
      </c>
      <c r="F114" s="971" t="s">
        <v>264</v>
      </c>
      <c r="G114" s="971" t="s">
        <v>280</v>
      </c>
      <c r="H114" s="971" t="s">
        <v>266</v>
      </c>
      <c r="I114" s="1273" t="s">
        <v>288</v>
      </c>
      <c r="J114" s="971" t="s">
        <v>282</v>
      </c>
      <c r="K114" s="971"/>
      <c r="L114" s="971" t="s">
        <v>270</v>
      </c>
      <c r="M114" s="971" t="s">
        <v>270</v>
      </c>
      <c r="N114" s="971" t="s">
        <v>179</v>
      </c>
      <c r="O114" s="971" t="s">
        <v>270</v>
      </c>
      <c r="P114" s="971"/>
      <c r="Q114" s="971" t="s">
        <v>286</v>
      </c>
      <c r="R114" s="1266" t="s">
        <v>289</v>
      </c>
      <c r="S114" s="2106">
        <v>0</v>
      </c>
      <c r="T114" s="1266" t="s">
        <v>242</v>
      </c>
      <c r="U114" s="1742" t="s">
        <v>6588</v>
      </c>
      <c r="V114" s="1742" t="s">
        <v>6588</v>
      </c>
      <c r="W114" s="1742" t="s">
        <v>6588</v>
      </c>
      <c r="X114" s="1742" t="s">
        <v>6588</v>
      </c>
      <c r="Y114" s="2106" t="s">
        <v>6588</v>
      </c>
      <c r="Z114" s="2106">
        <v>0</v>
      </c>
      <c r="AA114" s="2106">
        <v>0</v>
      </c>
      <c r="AB114" s="2106">
        <v>0</v>
      </c>
      <c r="AC114" s="2106">
        <v>0</v>
      </c>
      <c r="AD114" s="1744">
        <v>0</v>
      </c>
      <c r="AE114" s="2126">
        <v>0</v>
      </c>
      <c r="AF114" s="2126">
        <v>0</v>
      </c>
      <c r="AG114" s="1212">
        <v>1</v>
      </c>
      <c r="AH114" s="1212">
        <v>0</v>
      </c>
      <c r="AI114" s="1212">
        <v>0</v>
      </c>
      <c r="AJ114" s="1212">
        <v>1</v>
      </c>
      <c r="AK114" s="2126">
        <v>0</v>
      </c>
      <c r="AL114" s="2126">
        <v>0</v>
      </c>
      <c r="AM114" s="2126">
        <v>0</v>
      </c>
      <c r="AN114" s="2126">
        <v>0</v>
      </c>
      <c r="AO114" s="1743" t="s">
        <v>131</v>
      </c>
      <c r="AP114" s="1743" t="s">
        <v>96</v>
      </c>
      <c r="AQ114" s="1764">
        <v>2014</v>
      </c>
      <c r="AR114" s="1743" t="s">
        <v>87</v>
      </c>
      <c r="AS114" s="2135"/>
      <c r="AT114" s="2135"/>
      <c r="AU114" s="1212">
        <v>0.33333333333333331</v>
      </c>
      <c r="AV114" s="1212">
        <v>0.33333333333333331</v>
      </c>
      <c r="AW114" s="1212">
        <v>0.33333333333333331</v>
      </c>
      <c r="AX114" s="1212"/>
      <c r="AY114" s="1212"/>
      <c r="AZ114" s="1212"/>
      <c r="BA114" s="1212"/>
      <c r="BB114" s="1212"/>
      <c r="BC114" s="1212"/>
      <c r="BD114" s="1212"/>
      <c r="BE114" s="1212"/>
      <c r="BF114" s="2126">
        <v>0</v>
      </c>
      <c r="BG114" s="2126">
        <v>0</v>
      </c>
      <c r="BH114" s="2126">
        <v>0</v>
      </c>
      <c r="BI114" s="2126">
        <v>0</v>
      </c>
      <c r="BJ114" s="2126">
        <v>0</v>
      </c>
      <c r="BK114" s="2126">
        <v>0</v>
      </c>
      <c r="BL114" s="2126">
        <v>0</v>
      </c>
      <c r="BM114" s="2126">
        <v>0</v>
      </c>
      <c r="BN114" s="2126">
        <v>0</v>
      </c>
      <c r="BO114" s="2126">
        <v>0</v>
      </c>
      <c r="BP114" s="2126">
        <v>0</v>
      </c>
      <c r="BQ114" s="2126">
        <v>0</v>
      </c>
      <c r="BR114" s="2126">
        <v>0</v>
      </c>
    </row>
    <row r="115" spans="1:70" s="1765" customFormat="1" ht="33">
      <c r="A115" s="1272">
        <v>2000</v>
      </c>
      <c r="B115" s="971" t="s">
        <v>119</v>
      </c>
      <c r="C115" s="1272">
        <v>2300</v>
      </c>
      <c r="D115" s="971" t="s">
        <v>222</v>
      </c>
      <c r="E115" s="971" t="s">
        <v>263</v>
      </c>
      <c r="F115" s="971" t="s">
        <v>264</v>
      </c>
      <c r="G115" s="971" t="s">
        <v>280</v>
      </c>
      <c r="H115" s="971" t="s">
        <v>266</v>
      </c>
      <c r="I115" s="1273" t="s">
        <v>290</v>
      </c>
      <c r="J115" s="971" t="s">
        <v>282</v>
      </c>
      <c r="K115" s="971"/>
      <c r="L115" s="971" t="s">
        <v>270</v>
      </c>
      <c r="M115" s="971" t="s">
        <v>270</v>
      </c>
      <c r="N115" s="971" t="s">
        <v>179</v>
      </c>
      <c r="O115" s="971" t="s">
        <v>270</v>
      </c>
      <c r="P115" s="971"/>
      <c r="Q115" s="971" t="s">
        <v>291</v>
      </c>
      <c r="R115" s="1266" t="s">
        <v>292</v>
      </c>
      <c r="S115" s="2106">
        <v>0</v>
      </c>
      <c r="T115" s="1266" t="s">
        <v>242</v>
      </c>
      <c r="U115" s="1742" t="s">
        <v>6588</v>
      </c>
      <c r="V115" s="1742" t="s">
        <v>6588</v>
      </c>
      <c r="W115" s="1742" t="s">
        <v>6588</v>
      </c>
      <c r="X115" s="1742" t="s">
        <v>6588</v>
      </c>
      <c r="Y115" s="2106" t="s">
        <v>6588</v>
      </c>
      <c r="Z115" s="2106">
        <v>0</v>
      </c>
      <c r="AA115" s="2106">
        <v>0</v>
      </c>
      <c r="AB115" s="2106">
        <v>0</v>
      </c>
      <c r="AC115" s="2106">
        <v>0</v>
      </c>
      <c r="AD115" s="1744">
        <v>0</v>
      </c>
      <c r="AE115" s="2126">
        <v>0</v>
      </c>
      <c r="AF115" s="2126">
        <v>0</v>
      </c>
      <c r="AG115" s="1212">
        <v>0</v>
      </c>
      <c r="AH115" s="1212">
        <v>1</v>
      </c>
      <c r="AI115" s="1212">
        <v>0</v>
      </c>
      <c r="AJ115" s="1212">
        <v>1</v>
      </c>
      <c r="AK115" s="2126">
        <v>0</v>
      </c>
      <c r="AL115" s="2126">
        <v>0</v>
      </c>
      <c r="AM115" s="2126">
        <v>0</v>
      </c>
      <c r="AN115" s="2126">
        <v>0</v>
      </c>
      <c r="AO115" s="1743" t="s">
        <v>131</v>
      </c>
      <c r="AP115" s="1743" t="s">
        <v>96</v>
      </c>
      <c r="AQ115" s="1764">
        <v>2014</v>
      </c>
      <c r="AR115" s="1743" t="s">
        <v>87</v>
      </c>
      <c r="AS115" s="2135"/>
      <c r="AT115" s="2135"/>
      <c r="AU115" s="1212">
        <v>0.33333333333333331</v>
      </c>
      <c r="AV115" s="1212">
        <v>0.33333333333333331</v>
      </c>
      <c r="AW115" s="1212">
        <v>0.33333333333333331</v>
      </c>
      <c r="AX115" s="1212"/>
      <c r="AY115" s="1212"/>
      <c r="AZ115" s="1212"/>
      <c r="BA115" s="1212"/>
      <c r="BB115" s="1212"/>
      <c r="BC115" s="1212"/>
      <c r="BD115" s="1212"/>
      <c r="BE115" s="1212"/>
      <c r="BF115" s="2126">
        <v>0</v>
      </c>
      <c r="BG115" s="2126">
        <v>0</v>
      </c>
      <c r="BH115" s="2126">
        <v>0</v>
      </c>
      <c r="BI115" s="2126">
        <v>0</v>
      </c>
      <c r="BJ115" s="2126">
        <v>0</v>
      </c>
      <c r="BK115" s="2126">
        <v>0</v>
      </c>
      <c r="BL115" s="2126">
        <v>0</v>
      </c>
      <c r="BM115" s="2126">
        <v>0</v>
      </c>
      <c r="BN115" s="2126">
        <v>0</v>
      </c>
      <c r="BO115" s="2126">
        <v>0</v>
      </c>
      <c r="BP115" s="2126">
        <v>0</v>
      </c>
      <c r="BQ115" s="2126">
        <v>0</v>
      </c>
      <c r="BR115" s="2126">
        <v>0</v>
      </c>
    </row>
    <row r="116" spans="1:70" s="1765" customFormat="1" ht="33">
      <c r="A116" s="1272">
        <v>2000</v>
      </c>
      <c r="B116" s="971" t="s">
        <v>119</v>
      </c>
      <c r="C116" s="1272">
        <v>2300</v>
      </c>
      <c r="D116" s="971" t="s">
        <v>222</v>
      </c>
      <c r="E116" s="971" t="s">
        <v>263</v>
      </c>
      <c r="F116" s="971" t="s">
        <v>264</v>
      </c>
      <c r="G116" s="971" t="s">
        <v>280</v>
      </c>
      <c r="H116" s="971" t="s">
        <v>266</v>
      </c>
      <c r="I116" s="1273" t="s">
        <v>293</v>
      </c>
      <c r="J116" s="971" t="s">
        <v>282</v>
      </c>
      <c r="K116" s="971"/>
      <c r="L116" s="971" t="s">
        <v>270</v>
      </c>
      <c r="M116" s="971" t="s">
        <v>270</v>
      </c>
      <c r="N116" s="971" t="s">
        <v>179</v>
      </c>
      <c r="O116" s="971" t="s">
        <v>270</v>
      </c>
      <c r="P116" s="971"/>
      <c r="Q116" s="971" t="s">
        <v>294</v>
      </c>
      <c r="R116" s="1266" t="s">
        <v>295</v>
      </c>
      <c r="S116" s="2106">
        <v>0</v>
      </c>
      <c r="T116" s="1266" t="s">
        <v>242</v>
      </c>
      <c r="U116" s="1742" t="s">
        <v>6588</v>
      </c>
      <c r="V116" s="1742" t="s">
        <v>6588</v>
      </c>
      <c r="W116" s="1742" t="s">
        <v>6588</v>
      </c>
      <c r="X116" s="1742" t="s">
        <v>6588</v>
      </c>
      <c r="Y116" s="2106" t="s">
        <v>6588</v>
      </c>
      <c r="Z116" s="2106">
        <v>0</v>
      </c>
      <c r="AA116" s="2106">
        <v>0</v>
      </c>
      <c r="AB116" s="2106">
        <v>0</v>
      </c>
      <c r="AC116" s="2106">
        <v>0</v>
      </c>
      <c r="AD116" s="1744">
        <v>0</v>
      </c>
      <c r="AE116" s="2126">
        <v>0</v>
      </c>
      <c r="AF116" s="2126">
        <v>0</v>
      </c>
      <c r="AG116" s="1212">
        <v>1</v>
      </c>
      <c r="AH116" s="1212">
        <v>0</v>
      </c>
      <c r="AI116" s="1212">
        <v>0</v>
      </c>
      <c r="AJ116" s="1212">
        <v>1</v>
      </c>
      <c r="AK116" s="2126">
        <v>0</v>
      </c>
      <c r="AL116" s="2126">
        <v>0</v>
      </c>
      <c r="AM116" s="2126">
        <v>0</v>
      </c>
      <c r="AN116" s="2126">
        <v>0</v>
      </c>
      <c r="AO116" s="1743" t="s">
        <v>131</v>
      </c>
      <c r="AP116" s="1743" t="s">
        <v>96</v>
      </c>
      <c r="AQ116" s="1764">
        <v>2014</v>
      </c>
      <c r="AR116" s="1743" t="s">
        <v>87</v>
      </c>
      <c r="AS116" s="2135"/>
      <c r="AT116" s="2135"/>
      <c r="AU116" s="1212">
        <v>0.33333333333333331</v>
      </c>
      <c r="AV116" s="1212">
        <v>0.33333333333333331</v>
      </c>
      <c r="AW116" s="1212">
        <v>0.33333333333333331</v>
      </c>
      <c r="AX116" s="1212"/>
      <c r="AY116" s="1212"/>
      <c r="AZ116" s="1212"/>
      <c r="BA116" s="1212"/>
      <c r="BB116" s="1212"/>
      <c r="BC116" s="1212"/>
      <c r="BD116" s="1212"/>
      <c r="BE116" s="1212"/>
      <c r="BF116" s="2126">
        <v>0</v>
      </c>
      <c r="BG116" s="2126">
        <v>0</v>
      </c>
      <c r="BH116" s="2126">
        <v>0</v>
      </c>
      <c r="BI116" s="2126">
        <v>0</v>
      </c>
      <c r="BJ116" s="2126">
        <v>0</v>
      </c>
      <c r="BK116" s="2126">
        <v>0</v>
      </c>
      <c r="BL116" s="2126">
        <v>0</v>
      </c>
      <c r="BM116" s="2126">
        <v>0</v>
      </c>
      <c r="BN116" s="2126">
        <v>0</v>
      </c>
      <c r="BO116" s="2126">
        <v>0</v>
      </c>
      <c r="BP116" s="2126">
        <v>0</v>
      </c>
      <c r="BQ116" s="2126">
        <v>0</v>
      </c>
      <c r="BR116" s="2126">
        <v>0</v>
      </c>
    </row>
    <row r="117" spans="1:70" s="1765" customFormat="1" ht="33">
      <c r="A117" s="1272">
        <v>2000</v>
      </c>
      <c r="B117" s="971" t="s">
        <v>119</v>
      </c>
      <c r="C117" s="1272">
        <v>2300</v>
      </c>
      <c r="D117" s="971" t="s">
        <v>222</v>
      </c>
      <c r="E117" s="971" t="s">
        <v>263</v>
      </c>
      <c r="F117" s="971" t="s">
        <v>264</v>
      </c>
      <c r="G117" s="971" t="s">
        <v>280</v>
      </c>
      <c r="H117" s="971" t="s">
        <v>266</v>
      </c>
      <c r="I117" s="1273" t="s">
        <v>296</v>
      </c>
      <c r="J117" s="971" t="s">
        <v>282</v>
      </c>
      <c r="K117" s="971"/>
      <c r="L117" s="971" t="s">
        <v>270</v>
      </c>
      <c r="M117" s="971" t="s">
        <v>270</v>
      </c>
      <c r="N117" s="971" t="s">
        <v>179</v>
      </c>
      <c r="O117" s="971" t="s">
        <v>270</v>
      </c>
      <c r="P117" s="971"/>
      <c r="Q117" s="971" t="s">
        <v>291</v>
      </c>
      <c r="R117" s="1266" t="s">
        <v>297</v>
      </c>
      <c r="S117" s="2106">
        <v>0</v>
      </c>
      <c r="T117" s="1266" t="s">
        <v>242</v>
      </c>
      <c r="U117" s="1742" t="s">
        <v>6588</v>
      </c>
      <c r="V117" s="1742" t="s">
        <v>6588</v>
      </c>
      <c r="W117" s="1742" t="s">
        <v>6588</v>
      </c>
      <c r="X117" s="1742" t="s">
        <v>6588</v>
      </c>
      <c r="Y117" s="2106" t="s">
        <v>6588</v>
      </c>
      <c r="Z117" s="2106">
        <v>0</v>
      </c>
      <c r="AA117" s="2106">
        <v>0</v>
      </c>
      <c r="AB117" s="2106">
        <v>0</v>
      </c>
      <c r="AC117" s="2106">
        <v>0</v>
      </c>
      <c r="AD117" s="1744">
        <v>0</v>
      </c>
      <c r="AE117" s="2126">
        <v>0</v>
      </c>
      <c r="AF117" s="2126">
        <v>0</v>
      </c>
      <c r="AG117" s="1212">
        <v>0</v>
      </c>
      <c r="AH117" s="1212">
        <v>1</v>
      </c>
      <c r="AI117" s="1212">
        <v>0</v>
      </c>
      <c r="AJ117" s="1212">
        <v>1</v>
      </c>
      <c r="AK117" s="2126">
        <v>0</v>
      </c>
      <c r="AL117" s="2126">
        <v>0</v>
      </c>
      <c r="AM117" s="2126">
        <v>0</v>
      </c>
      <c r="AN117" s="2126">
        <v>0</v>
      </c>
      <c r="AO117" s="1743" t="s">
        <v>131</v>
      </c>
      <c r="AP117" s="1743" t="s">
        <v>96</v>
      </c>
      <c r="AQ117" s="1764">
        <v>2014</v>
      </c>
      <c r="AR117" s="1743" t="s">
        <v>87</v>
      </c>
      <c r="AS117" s="2135"/>
      <c r="AT117" s="2135"/>
      <c r="AU117" s="1212">
        <v>0.33333333333333331</v>
      </c>
      <c r="AV117" s="1212">
        <v>0.33333333333333331</v>
      </c>
      <c r="AW117" s="1212">
        <v>0.33333333333333331</v>
      </c>
      <c r="AX117" s="1212"/>
      <c r="AY117" s="1212"/>
      <c r="AZ117" s="1212"/>
      <c r="BA117" s="1212"/>
      <c r="BB117" s="1212"/>
      <c r="BC117" s="1212"/>
      <c r="BD117" s="1212"/>
      <c r="BE117" s="1212"/>
      <c r="BF117" s="2126">
        <v>0</v>
      </c>
      <c r="BG117" s="2126">
        <v>0</v>
      </c>
      <c r="BH117" s="2126">
        <v>0</v>
      </c>
      <c r="BI117" s="2126">
        <v>0</v>
      </c>
      <c r="BJ117" s="2126">
        <v>0</v>
      </c>
      <c r="BK117" s="2126">
        <v>0</v>
      </c>
      <c r="BL117" s="2126">
        <v>0</v>
      </c>
      <c r="BM117" s="2126">
        <v>0</v>
      </c>
      <c r="BN117" s="2126">
        <v>0</v>
      </c>
      <c r="BO117" s="2126">
        <v>0</v>
      </c>
      <c r="BP117" s="2126">
        <v>0</v>
      </c>
      <c r="BQ117" s="2126">
        <v>0</v>
      </c>
      <c r="BR117" s="2126">
        <v>0</v>
      </c>
    </row>
    <row r="118" spans="1:70" s="1765" customFormat="1" ht="33">
      <c r="A118" s="1272">
        <v>2000</v>
      </c>
      <c r="B118" s="971" t="s">
        <v>119</v>
      </c>
      <c r="C118" s="1272">
        <v>2300</v>
      </c>
      <c r="D118" s="971" t="s">
        <v>222</v>
      </c>
      <c r="E118" s="971" t="s">
        <v>263</v>
      </c>
      <c r="F118" s="971" t="s">
        <v>264</v>
      </c>
      <c r="G118" s="971" t="s">
        <v>280</v>
      </c>
      <c r="H118" s="971" t="s">
        <v>266</v>
      </c>
      <c r="I118" s="1273" t="s">
        <v>298</v>
      </c>
      <c r="J118" s="971" t="s">
        <v>228</v>
      </c>
      <c r="K118" s="971"/>
      <c r="L118" s="971" t="s">
        <v>270</v>
      </c>
      <c r="M118" s="971" t="s">
        <v>270</v>
      </c>
      <c r="N118" s="971" t="s">
        <v>179</v>
      </c>
      <c r="O118" s="971" t="s">
        <v>270</v>
      </c>
      <c r="P118" s="971"/>
      <c r="Q118" s="971" t="s">
        <v>299</v>
      </c>
      <c r="R118" s="1266" t="s">
        <v>300</v>
      </c>
      <c r="S118" s="2106">
        <v>0</v>
      </c>
      <c r="T118" s="1266" t="s">
        <v>242</v>
      </c>
      <c r="U118" s="1742" t="s">
        <v>6588</v>
      </c>
      <c r="V118" s="1742" t="s">
        <v>6588</v>
      </c>
      <c r="W118" s="1742" t="s">
        <v>6588</v>
      </c>
      <c r="X118" s="1742" t="s">
        <v>6588</v>
      </c>
      <c r="Y118" s="2106" t="s">
        <v>6588</v>
      </c>
      <c r="Z118" s="2106">
        <v>0</v>
      </c>
      <c r="AA118" s="2106">
        <v>0</v>
      </c>
      <c r="AB118" s="2106">
        <v>0</v>
      </c>
      <c r="AC118" s="2106">
        <v>0</v>
      </c>
      <c r="AD118" s="1744">
        <v>0</v>
      </c>
      <c r="AE118" s="2126">
        <v>0</v>
      </c>
      <c r="AF118" s="2126">
        <v>0</v>
      </c>
      <c r="AG118" s="1212">
        <v>1</v>
      </c>
      <c r="AH118" s="1212">
        <v>0</v>
      </c>
      <c r="AI118" s="1212">
        <v>0</v>
      </c>
      <c r="AJ118" s="1212">
        <v>1</v>
      </c>
      <c r="AK118" s="2126">
        <v>0</v>
      </c>
      <c r="AL118" s="2126">
        <v>0</v>
      </c>
      <c r="AM118" s="2126">
        <v>0</v>
      </c>
      <c r="AN118" s="2126">
        <v>0</v>
      </c>
      <c r="AO118" s="1743" t="s">
        <v>131</v>
      </c>
      <c r="AP118" s="1743" t="s">
        <v>96</v>
      </c>
      <c r="AQ118" s="1764">
        <v>2014</v>
      </c>
      <c r="AR118" s="1743" t="s">
        <v>87</v>
      </c>
      <c r="AS118" s="2135"/>
      <c r="AT118" s="2135"/>
      <c r="AU118" s="1212">
        <v>0.33333333333333331</v>
      </c>
      <c r="AV118" s="1212">
        <v>0.33333333333333331</v>
      </c>
      <c r="AW118" s="1212">
        <v>0.33333333333333331</v>
      </c>
      <c r="AX118" s="1212"/>
      <c r="AY118" s="1212"/>
      <c r="AZ118" s="1212"/>
      <c r="BA118" s="1212"/>
      <c r="BB118" s="1212"/>
      <c r="BC118" s="1212"/>
      <c r="BD118" s="1212"/>
      <c r="BE118" s="1212"/>
      <c r="BF118" s="2126">
        <v>0</v>
      </c>
      <c r="BG118" s="2126">
        <v>0</v>
      </c>
      <c r="BH118" s="2126">
        <v>0</v>
      </c>
      <c r="BI118" s="2126">
        <v>0</v>
      </c>
      <c r="BJ118" s="2126">
        <v>0</v>
      </c>
      <c r="BK118" s="2126">
        <v>0</v>
      </c>
      <c r="BL118" s="2126">
        <v>0</v>
      </c>
      <c r="BM118" s="2126">
        <v>0</v>
      </c>
      <c r="BN118" s="2126">
        <v>0</v>
      </c>
      <c r="BO118" s="2126">
        <v>0</v>
      </c>
      <c r="BP118" s="2126">
        <v>0</v>
      </c>
      <c r="BQ118" s="2126">
        <v>0</v>
      </c>
      <c r="BR118" s="2126">
        <v>0</v>
      </c>
    </row>
    <row r="119" spans="1:70" s="1765" customFormat="1" ht="33">
      <c r="A119" s="1272">
        <v>2000</v>
      </c>
      <c r="B119" s="971" t="s">
        <v>119</v>
      </c>
      <c r="C119" s="1272">
        <v>2300</v>
      </c>
      <c r="D119" s="971" t="s">
        <v>222</v>
      </c>
      <c r="E119" s="971" t="s">
        <v>263</v>
      </c>
      <c r="F119" s="971" t="s">
        <v>264</v>
      </c>
      <c r="G119" s="971" t="s">
        <v>280</v>
      </c>
      <c r="H119" s="971" t="s">
        <v>266</v>
      </c>
      <c r="I119" s="1273" t="s">
        <v>301</v>
      </c>
      <c r="J119" s="971" t="s">
        <v>239</v>
      </c>
      <c r="K119" s="971"/>
      <c r="L119" s="971" t="s">
        <v>270</v>
      </c>
      <c r="M119" s="971" t="s">
        <v>270</v>
      </c>
      <c r="N119" s="971"/>
      <c r="O119" s="971" t="s">
        <v>270</v>
      </c>
      <c r="P119" s="971"/>
      <c r="Q119" s="971" t="s">
        <v>302</v>
      </c>
      <c r="R119" s="1266" t="s">
        <v>303</v>
      </c>
      <c r="S119" s="2106">
        <v>0</v>
      </c>
      <c r="T119" s="1266" t="s">
        <v>242</v>
      </c>
      <c r="U119" s="1742" t="s">
        <v>6588</v>
      </c>
      <c r="V119" s="1742" t="s">
        <v>6588</v>
      </c>
      <c r="W119" s="1742" t="s">
        <v>6588</v>
      </c>
      <c r="X119" s="1742" t="s">
        <v>6588</v>
      </c>
      <c r="Y119" s="2106" t="s">
        <v>6588</v>
      </c>
      <c r="Z119" s="2106">
        <v>0</v>
      </c>
      <c r="AA119" s="2106">
        <v>0</v>
      </c>
      <c r="AB119" s="2106">
        <v>0</v>
      </c>
      <c r="AC119" s="2106">
        <v>0</v>
      </c>
      <c r="AD119" s="1744">
        <v>0</v>
      </c>
      <c r="AE119" s="2126">
        <v>0</v>
      </c>
      <c r="AF119" s="2126">
        <v>0</v>
      </c>
      <c r="AG119" s="1212">
        <v>1</v>
      </c>
      <c r="AH119" s="1212">
        <v>0</v>
      </c>
      <c r="AI119" s="1212">
        <v>0</v>
      </c>
      <c r="AJ119" s="1212">
        <v>1</v>
      </c>
      <c r="AK119" s="2126">
        <v>0</v>
      </c>
      <c r="AL119" s="2126">
        <v>0</v>
      </c>
      <c r="AM119" s="2126">
        <v>0</v>
      </c>
      <c r="AN119" s="2126">
        <v>0</v>
      </c>
      <c r="AO119" s="1743" t="s">
        <v>131</v>
      </c>
      <c r="AP119" s="1743" t="s">
        <v>96</v>
      </c>
      <c r="AQ119" s="1764">
        <v>2014</v>
      </c>
      <c r="AR119" s="1743" t="s">
        <v>87</v>
      </c>
      <c r="AS119" s="2135"/>
      <c r="AT119" s="2135"/>
      <c r="AU119" s="1212">
        <v>0.33333333333333331</v>
      </c>
      <c r="AV119" s="1212">
        <v>0.33333333333333331</v>
      </c>
      <c r="AW119" s="1212">
        <v>0.33333333333333331</v>
      </c>
      <c r="AX119" s="1212"/>
      <c r="AY119" s="1212"/>
      <c r="AZ119" s="1212"/>
      <c r="BA119" s="1212"/>
      <c r="BB119" s="1212"/>
      <c r="BC119" s="1212"/>
      <c r="BD119" s="1212"/>
      <c r="BE119" s="1212"/>
      <c r="BF119" s="2126">
        <v>0</v>
      </c>
      <c r="BG119" s="2126">
        <v>0</v>
      </c>
      <c r="BH119" s="2126">
        <v>0</v>
      </c>
      <c r="BI119" s="2126">
        <v>0</v>
      </c>
      <c r="BJ119" s="2126">
        <v>0</v>
      </c>
      <c r="BK119" s="2126">
        <v>0</v>
      </c>
      <c r="BL119" s="2126">
        <v>0</v>
      </c>
      <c r="BM119" s="2126">
        <v>0</v>
      </c>
      <c r="BN119" s="2126">
        <v>0</v>
      </c>
      <c r="BO119" s="2126">
        <v>0</v>
      </c>
      <c r="BP119" s="2126">
        <v>0</v>
      </c>
      <c r="BQ119" s="2126">
        <v>0</v>
      </c>
      <c r="BR119" s="2126">
        <v>0</v>
      </c>
    </row>
    <row r="120" spans="1:70" s="1765" customFormat="1" ht="33">
      <c r="A120" s="1272">
        <v>2000</v>
      </c>
      <c r="B120" s="971" t="s">
        <v>119</v>
      </c>
      <c r="C120" s="1272">
        <v>2300</v>
      </c>
      <c r="D120" s="971" t="s">
        <v>222</v>
      </c>
      <c r="E120" s="971" t="s">
        <v>263</v>
      </c>
      <c r="F120" s="971" t="s">
        <v>264</v>
      </c>
      <c r="G120" s="971" t="s">
        <v>280</v>
      </c>
      <c r="H120" s="971" t="s">
        <v>266</v>
      </c>
      <c r="I120" s="1273" t="s">
        <v>304</v>
      </c>
      <c r="J120" s="971" t="s">
        <v>239</v>
      </c>
      <c r="K120" s="971"/>
      <c r="L120" s="971" t="s">
        <v>270</v>
      </c>
      <c r="M120" s="971" t="s">
        <v>270</v>
      </c>
      <c r="N120" s="971"/>
      <c r="O120" s="971" t="s">
        <v>270</v>
      </c>
      <c r="P120" s="971"/>
      <c r="Q120" s="971" t="s">
        <v>305</v>
      </c>
      <c r="R120" s="1266" t="s">
        <v>306</v>
      </c>
      <c r="S120" s="2106">
        <v>0</v>
      </c>
      <c r="T120" s="1266" t="s">
        <v>242</v>
      </c>
      <c r="U120" s="1742" t="s">
        <v>6588</v>
      </c>
      <c r="V120" s="1742" t="s">
        <v>6588</v>
      </c>
      <c r="W120" s="1742" t="s">
        <v>6588</v>
      </c>
      <c r="X120" s="1742" t="s">
        <v>6588</v>
      </c>
      <c r="Y120" s="2106" t="s">
        <v>6588</v>
      </c>
      <c r="Z120" s="2106">
        <v>0</v>
      </c>
      <c r="AA120" s="2106">
        <v>0</v>
      </c>
      <c r="AB120" s="2106">
        <v>0</v>
      </c>
      <c r="AC120" s="2106">
        <v>0</v>
      </c>
      <c r="AD120" s="1744">
        <v>0</v>
      </c>
      <c r="AE120" s="2126">
        <v>0</v>
      </c>
      <c r="AF120" s="2126">
        <v>0</v>
      </c>
      <c r="AG120" s="1212">
        <v>1</v>
      </c>
      <c r="AH120" s="1212">
        <v>0</v>
      </c>
      <c r="AI120" s="1212">
        <v>0</v>
      </c>
      <c r="AJ120" s="1212">
        <v>1</v>
      </c>
      <c r="AK120" s="2126">
        <v>0</v>
      </c>
      <c r="AL120" s="2126">
        <v>0</v>
      </c>
      <c r="AM120" s="2126">
        <v>0</v>
      </c>
      <c r="AN120" s="2126">
        <v>0</v>
      </c>
      <c r="AO120" s="1743" t="s">
        <v>131</v>
      </c>
      <c r="AP120" s="1743" t="s">
        <v>96</v>
      </c>
      <c r="AQ120" s="1764">
        <v>2014</v>
      </c>
      <c r="AR120" s="1743" t="s">
        <v>87</v>
      </c>
      <c r="AS120" s="2135"/>
      <c r="AT120" s="2135"/>
      <c r="AU120" s="1212">
        <v>0.33333333333333331</v>
      </c>
      <c r="AV120" s="1212">
        <v>0.33333333333333331</v>
      </c>
      <c r="AW120" s="1212">
        <v>0.33333333333333331</v>
      </c>
      <c r="AX120" s="1212"/>
      <c r="AY120" s="1212"/>
      <c r="AZ120" s="1212"/>
      <c r="BA120" s="1212"/>
      <c r="BB120" s="1212"/>
      <c r="BC120" s="1212"/>
      <c r="BD120" s="1212"/>
      <c r="BE120" s="1212"/>
      <c r="BF120" s="2126">
        <v>0</v>
      </c>
      <c r="BG120" s="2126">
        <v>0</v>
      </c>
      <c r="BH120" s="2126">
        <v>0</v>
      </c>
      <c r="BI120" s="2126">
        <v>0</v>
      </c>
      <c r="BJ120" s="2126">
        <v>0</v>
      </c>
      <c r="BK120" s="2126">
        <v>0</v>
      </c>
      <c r="BL120" s="2126">
        <v>0</v>
      </c>
      <c r="BM120" s="2126">
        <v>0</v>
      </c>
      <c r="BN120" s="2126">
        <v>0</v>
      </c>
      <c r="BO120" s="2126">
        <v>0</v>
      </c>
      <c r="BP120" s="2126">
        <v>0</v>
      </c>
      <c r="BQ120" s="2126">
        <v>0</v>
      </c>
      <c r="BR120" s="2126">
        <v>0</v>
      </c>
    </row>
    <row r="121" spans="1:70" s="1765" customFormat="1" ht="33">
      <c r="A121" s="1272">
        <v>2000</v>
      </c>
      <c r="B121" s="971" t="s">
        <v>119</v>
      </c>
      <c r="C121" s="1272">
        <v>2300</v>
      </c>
      <c r="D121" s="971" t="s">
        <v>222</v>
      </c>
      <c r="E121" s="971" t="s">
        <v>263</v>
      </c>
      <c r="F121" s="971" t="s">
        <v>264</v>
      </c>
      <c r="G121" s="971" t="s">
        <v>280</v>
      </c>
      <c r="H121" s="971" t="s">
        <v>266</v>
      </c>
      <c r="I121" s="1273" t="s">
        <v>307</v>
      </c>
      <c r="J121" s="971" t="s">
        <v>239</v>
      </c>
      <c r="K121" s="971"/>
      <c r="L121" s="971" t="s">
        <v>270</v>
      </c>
      <c r="M121" s="971" t="s">
        <v>270</v>
      </c>
      <c r="N121" s="971"/>
      <c r="O121" s="971" t="s">
        <v>270</v>
      </c>
      <c r="P121" s="971"/>
      <c r="Q121" s="971" t="s">
        <v>308</v>
      </c>
      <c r="R121" s="1266" t="s">
        <v>309</v>
      </c>
      <c r="S121" s="2106">
        <v>0</v>
      </c>
      <c r="T121" s="1266" t="s">
        <v>242</v>
      </c>
      <c r="U121" s="1742" t="s">
        <v>6588</v>
      </c>
      <c r="V121" s="1742" t="s">
        <v>6588</v>
      </c>
      <c r="W121" s="1742" t="s">
        <v>6588</v>
      </c>
      <c r="X121" s="1742" t="s">
        <v>6588</v>
      </c>
      <c r="Y121" s="2106" t="s">
        <v>6588</v>
      </c>
      <c r="Z121" s="2106">
        <v>0</v>
      </c>
      <c r="AA121" s="2106">
        <v>0</v>
      </c>
      <c r="AB121" s="2106">
        <v>0</v>
      </c>
      <c r="AC121" s="2106">
        <v>0</v>
      </c>
      <c r="AD121" s="1744">
        <v>0</v>
      </c>
      <c r="AE121" s="2126">
        <v>0</v>
      </c>
      <c r="AF121" s="2126">
        <v>0</v>
      </c>
      <c r="AG121" s="1212">
        <v>1</v>
      </c>
      <c r="AH121" s="1212">
        <v>0</v>
      </c>
      <c r="AI121" s="1212">
        <v>0</v>
      </c>
      <c r="AJ121" s="1212">
        <v>1</v>
      </c>
      <c r="AK121" s="2126">
        <v>0</v>
      </c>
      <c r="AL121" s="2126">
        <v>0</v>
      </c>
      <c r="AM121" s="2126">
        <v>0</v>
      </c>
      <c r="AN121" s="2126">
        <v>0</v>
      </c>
      <c r="AO121" s="1743" t="s">
        <v>131</v>
      </c>
      <c r="AP121" s="1743" t="s">
        <v>96</v>
      </c>
      <c r="AQ121" s="1764">
        <v>2014</v>
      </c>
      <c r="AR121" s="1743" t="s">
        <v>87</v>
      </c>
      <c r="AS121" s="2135"/>
      <c r="AT121" s="2135"/>
      <c r="AU121" s="1212">
        <v>0.33333333333333331</v>
      </c>
      <c r="AV121" s="1212">
        <v>0.33333333333333331</v>
      </c>
      <c r="AW121" s="1212">
        <v>0.33333333333333331</v>
      </c>
      <c r="AX121" s="1212"/>
      <c r="AY121" s="1212"/>
      <c r="AZ121" s="1212"/>
      <c r="BA121" s="1212"/>
      <c r="BB121" s="1212"/>
      <c r="BC121" s="1212"/>
      <c r="BD121" s="1212"/>
      <c r="BE121" s="1212"/>
      <c r="BF121" s="2126">
        <v>0</v>
      </c>
      <c r="BG121" s="2126">
        <v>0</v>
      </c>
      <c r="BH121" s="2126">
        <v>0</v>
      </c>
      <c r="BI121" s="2126">
        <v>0</v>
      </c>
      <c r="BJ121" s="2126">
        <v>0</v>
      </c>
      <c r="BK121" s="2126">
        <v>0</v>
      </c>
      <c r="BL121" s="2126">
        <v>0</v>
      </c>
      <c r="BM121" s="2126">
        <v>0</v>
      </c>
      <c r="BN121" s="2126">
        <v>0</v>
      </c>
      <c r="BO121" s="2126">
        <v>0</v>
      </c>
      <c r="BP121" s="2126">
        <v>0</v>
      </c>
      <c r="BQ121" s="2126">
        <v>0</v>
      </c>
      <c r="BR121" s="2126">
        <v>0</v>
      </c>
    </row>
    <row r="122" spans="1:70" s="1765" customFormat="1" ht="33">
      <c r="A122" s="1272">
        <v>2000</v>
      </c>
      <c r="B122" s="971" t="s">
        <v>119</v>
      </c>
      <c r="C122" s="1272">
        <v>2300</v>
      </c>
      <c r="D122" s="971" t="s">
        <v>222</v>
      </c>
      <c r="E122" s="971" t="s">
        <v>263</v>
      </c>
      <c r="F122" s="971" t="s">
        <v>264</v>
      </c>
      <c r="G122" s="971" t="s">
        <v>280</v>
      </c>
      <c r="H122" s="971" t="s">
        <v>266</v>
      </c>
      <c r="I122" s="1273" t="s">
        <v>310</v>
      </c>
      <c r="J122" s="971" t="s">
        <v>239</v>
      </c>
      <c r="K122" s="971"/>
      <c r="L122" s="971" t="s">
        <v>270</v>
      </c>
      <c r="M122" s="971" t="s">
        <v>270</v>
      </c>
      <c r="N122" s="971"/>
      <c r="O122" s="971" t="s">
        <v>270</v>
      </c>
      <c r="P122" s="971"/>
      <c r="Q122" s="971" t="s">
        <v>311</v>
      </c>
      <c r="R122" s="1266" t="s">
        <v>312</v>
      </c>
      <c r="S122" s="2106">
        <v>0</v>
      </c>
      <c r="T122" s="1266" t="s">
        <v>242</v>
      </c>
      <c r="U122" s="1742" t="s">
        <v>6588</v>
      </c>
      <c r="V122" s="1742" t="s">
        <v>6588</v>
      </c>
      <c r="W122" s="1742" t="s">
        <v>6588</v>
      </c>
      <c r="X122" s="1742" t="s">
        <v>6588</v>
      </c>
      <c r="Y122" s="2106" t="s">
        <v>6588</v>
      </c>
      <c r="Z122" s="2106">
        <v>0</v>
      </c>
      <c r="AA122" s="2106">
        <v>0</v>
      </c>
      <c r="AB122" s="2106">
        <v>0</v>
      </c>
      <c r="AC122" s="2106">
        <v>0</v>
      </c>
      <c r="AD122" s="1744">
        <v>0</v>
      </c>
      <c r="AE122" s="2126">
        <v>0</v>
      </c>
      <c r="AF122" s="2126">
        <v>0</v>
      </c>
      <c r="AG122" s="1212">
        <v>1</v>
      </c>
      <c r="AH122" s="1212">
        <v>0</v>
      </c>
      <c r="AI122" s="1212">
        <v>0</v>
      </c>
      <c r="AJ122" s="1212">
        <v>1</v>
      </c>
      <c r="AK122" s="2126">
        <v>0</v>
      </c>
      <c r="AL122" s="2126">
        <v>0</v>
      </c>
      <c r="AM122" s="2126">
        <v>0</v>
      </c>
      <c r="AN122" s="2126">
        <v>0</v>
      </c>
      <c r="AO122" s="1743" t="s">
        <v>131</v>
      </c>
      <c r="AP122" s="1743" t="s">
        <v>96</v>
      </c>
      <c r="AQ122" s="1764">
        <v>2014</v>
      </c>
      <c r="AR122" s="1743" t="s">
        <v>87</v>
      </c>
      <c r="AS122" s="2135"/>
      <c r="AT122" s="2135"/>
      <c r="AU122" s="1212">
        <v>0.33333333333333331</v>
      </c>
      <c r="AV122" s="1212">
        <v>0.33333333333333331</v>
      </c>
      <c r="AW122" s="1212">
        <v>0.33333333333333331</v>
      </c>
      <c r="AX122" s="1212"/>
      <c r="AY122" s="1212"/>
      <c r="AZ122" s="1212"/>
      <c r="BA122" s="1212"/>
      <c r="BB122" s="1212"/>
      <c r="BC122" s="1212"/>
      <c r="BD122" s="1212"/>
      <c r="BE122" s="1212"/>
      <c r="BF122" s="2126">
        <v>0</v>
      </c>
      <c r="BG122" s="2126">
        <v>0</v>
      </c>
      <c r="BH122" s="2126">
        <v>0</v>
      </c>
      <c r="BI122" s="2126">
        <v>0</v>
      </c>
      <c r="BJ122" s="2126">
        <v>0</v>
      </c>
      <c r="BK122" s="2126">
        <v>0</v>
      </c>
      <c r="BL122" s="2126">
        <v>0</v>
      </c>
      <c r="BM122" s="2126">
        <v>0</v>
      </c>
      <c r="BN122" s="2126">
        <v>0</v>
      </c>
      <c r="BO122" s="2126">
        <v>0</v>
      </c>
      <c r="BP122" s="2126">
        <v>0</v>
      </c>
      <c r="BQ122" s="2126">
        <v>0</v>
      </c>
      <c r="BR122" s="2126">
        <v>0</v>
      </c>
    </row>
    <row r="123" spans="1:70" s="1765" customFormat="1" ht="33">
      <c r="A123" s="1272">
        <v>2000</v>
      </c>
      <c r="B123" s="971" t="s">
        <v>119</v>
      </c>
      <c r="C123" s="1272">
        <v>2300</v>
      </c>
      <c r="D123" s="971" t="s">
        <v>222</v>
      </c>
      <c r="E123" s="971" t="s">
        <v>263</v>
      </c>
      <c r="F123" s="971" t="s">
        <v>264</v>
      </c>
      <c r="G123" s="971" t="s">
        <v>280</v>
      </c>
      <c r="H123" s="971" t="s">
        <v>266</v>
      </c>
      <c r="I123" s="1273" t="s">
        <v>313</v>
      </c>
      <c r="J123" s="971" t="s">
        <v>239</v>
      </c>
      <c r="K123" s="971"/>
      <c r="L123" s="971" t="s">
        <v>270</v>
      </c>
      <c r="M123" s="971" t="s">
        <v>270</v>
      </c>
      <c r="N123" s="971"/>
      <c r="O123" s="971" t="s">
        <v>270</v>
      </c>
      <c r="P123" s="971"/>
      <c r="Q123" s="971" t="s">
        <v>314</v>
      </c>
      <c r="R123" s="1266" t="s">
        <v>315</v>
      </c>
      <c r="S123" s="2106">
        <v>0</v>
      </c>
      <c r="T123" s="1266" t="s">
        <v>242</v>
      </c>
      <c r="U123" s="1742" t="s">
        <v>6588</v>
      </c>
      <c r="V123" s="1742" t="s">
        <v>6588</v>
      </c>
      <c r="W123" s="1742" t="s">
        <v>6588</v>
      </c>
      <c r="X123" s="1742" t="s">
        <v>6588</v>
      </c>
      <c r="Y123" s="2106" t="s">
        <v>6588</v>
      </c>
      <c r="Z123" s="2106">
        <v>0</v>
      </c>
      <c r="AA123" s="2106">
        <v>0</v>
      </c>
      <c r="AB123" s="2106">
        <v>0</v>
      </c>
      <c r="AC123" s="2106">
        <v>0</v>
      </c>
      <c r="AD123" s="1744">
        <v>0</v>
      </c>
      <c r="AE123" s="2126">
        <v>0</v>
      </c>
      <c r="AF123" s="2126">
        <v>0</v>
      </c>
      <c r="AG123" s="1212">
        <v>1</v>
      </c>
      <c r="AH123" s="1212">
        <v>0</v>
      </c>
      <c r="AI123" s="1212">
        <v>0</v>
      </c>
      <c r="AJ123" s="1212">
        <v>1</v>
      </c>
      <c r="AK123" s="2126">
        <v>0</v>
      </c>
      <c r="AL123" s="2126">
        <v>0</v>
      </c>
      <c r="AM123" s="2126">
        <v>0</v>
      </c>
      <c r="AN123" s="2126">
        <v>0</v>
      </c>
      <c r="AO123" s="1743" t="s">
        <v>131</v>
      </c>
      <c r="AP123" s="1743" t="s">
        <v>96</v>
      </c>
      <c r="AQ123" s="1764">
        <v>2014</v>
      </c>
      <c r="AR123" s="1743" t="s">
        <v>87</v>
      </c>
      <c r="AS123" s="2135"/>
      <c r="AT123" s="2135"/>
      <c r="AU123" s="1212">
        <v>0.33333333333333331</v>
      </c>
      <c r="AV123" s="1212">
        <v>0.33333333333333331</v>
      </c>
      <c r="AW123" s="1212">
        <v>0.33333333333333331</v>
      </c>
      <c r="AX123" s="1212"/>
      <c r="AY123" s="1212"/>
      <c r="AZ123" s="1212"/>
      <c r="BA123" s="1212"/>
      <c r="BB123" s="1212"/>
      <c r="BC123" s="1212"/>
      <c r="BD123" s="1212"/>
      <c r="BE123" s="1212"/>
      <c r="BF123" s="2126">
        <v>0</v>
      </c>
      <c r="BG123" s="2126">
        <v>0</v>
      </c>
      <c r="BH123" s="2126">
        <v>0</v>
      </c>
      <c r="BI123" s="2126">
        <v>0</v>
      </c>
      <c r="BJ123" s="2126">
        <v>0</v>
      </c>
      <c r="BK123" s="2126">
        <v>0</v>
      </c>
      <c r="BL123" s="2126">
        <v>0</v>
      </c>
      <c r="BM123" s="2126">
        <v>0</v>
      </c>
      <c r="BN123" s="2126">
        <v>0</v>
      </c>
      <c r="BO123" s="2126">
        <v>0</v>
      </c>
      <c r="BP123" s="2126">
        <v>0</v>
      </c>
      <c r="BQ123" s="2126">
        <v>0</v>
      </c>
      <c r="BR123" s="2126">
        <v>0</v>
      </c>
    </row>
    <row r="124" spans="1:70" s="1765" customFormat="1" ht="33">
      <c r="A124" s="1272">
        <v>2000</v>
      </c>
      <c r="B124" s="971" t="s">
        <v>119</v>
      </c>
      <c r="C124" s="1272">
        <v>2300</v>
      </c>
      <c r="D124" s="971" t="s">
        <v>222</v>
      </c>
      <c r="E124" s="971" t="s">
        <v>263</v>
      </c>
      <c r="F124" s="971" t="s">
        <v>264</v>
      </c>
      <c r="G124" s="971" t="s">
        <v>280</v>
      </c>
      <c r="H124" s="971" t="s">
        <v>266</v>
      </c>
      <c r="I124" s="1273" t="s">
        <v>316</v>
      </c>
      <c r="J124" s="971" t="s">
        <v>239</v>
      </c>
      <c r="K124" s="971"/>
      <c r="L124" s="971" t="s">
        <v>270</v>
      </c>
      <c r="M124" s="971" t="s">
        <v>270</v>
      </c>
      <c r="N124" s="971"/>
      <c r="O124" s="971" t="s">
        <v>270</v>
      </c>
      <c r="P124" s="971"/>
      <c r="Q124" s="971" t="s">
        <v>317</v>
      </c>
      <c r="R124" s="1266" t="s">
        <v>318</v>
      </c>
      <c r="S124" s="2106">
        <v>0</v>
      </c>
      <c r="T124" s="1266" t="s">
        <v>242</v>
      </c>
      <c r="U124" s="1742" t="s">
        <v>6588</v>
      </c>
      <c r="V124" s="1742" t="s">
        <v>6588</v>
      </c>
      <c r="W124" s="1742" t="s">
        <v>6588</v>
      </c>
      <c r="X124" s="1742" t="s">
        <v>6588</v>
      </c>
      <c r="Y124" s="2106" t="s">
        <v>6588</v>
      </c>
      <c r="Z124" s="2106">
        <v>0</v>
      </c>
      <c r="AA124" s="2106">
        <v>0</v>
      </c>
      <c r="AB124" s="2106">
        <v>0</v>
      </c>
      <c r="AC124" s="2106">
        <v>0</v>
      </c>
      <c r="AD124" s="1744">
        <v>0</v>
      </c>
      <c r="AE124" s="2126">
        <v>0</v>
      </c>
      <c r="AF124" s="2126">
        <v>0</v>
      </c>
      <c r="AG124" s="1212">
        <v>1</v>
      </c>
      <c r="AH124" s="1212">
        <v>0</v>
      </c>
      <c r="AI124" s="1212">
        <v>0</v>
      </c>
      <c r="AJ124" s="1212">
        <v>1</v>
      </c>
      <c r="AK124" s="2126">
        <v>0</v>
      </c>
      <c r="AL124" s="2126">
        <v>0</v>
      </c>
      <c r="AM124" s="2126">
        <v>0</v>
      </c>
      <c r="AN124" s="2126">
        <v>0</v>
      </c>
      <c r="AO124" s="1743" t="s">
        <v>131</v>
      </c>
      <c r="AP124" s="1743" t="s">
        <v>96</v>
      </c>
      <c r="AQ124" s="1764">
        <v>2014</v>
      </c>
      <c r="AR124" s="1743" t="s">
        <v>87</v>
      </c>
      <c r="AS124" s="2135"/>
      <c r="AT124" s="2135"/>
      <c r="AU124" s="1212">
        <v>0.33333333333333331</v>
      </c>
      <c r="AV124" s="1212">
        <v>0.33333333333333331</v>
      </c>
      <c r="AW124" s="1212">
        <v>0.33333333333333331</v>
      </c>
      <c r="AX124" s="1212"/>
      <c r="AY124" s="1212"/>
      <c r="AZ124" s="1212"/>
      <c r="BA124" s="1212"/>
      <c r="BB124" s="1212"/>
      <c r="BC124" s="1212"/>
      <c r="BD124" s="1212"/>
      <c r="BE124" s="1212"/>
      <c r="BF124" s="2126">
        <v>0</v>
      </c>
      <c r="BG124" s="2126">
        <v>0</v>
      </c>
      <c r="BH124" s="2126">
        <v>0</v>
      </c>
      <c r="BI124" s="2126">
        <v>0</v>
      </c>
      <c r="BJ124" s="2126">
        <v>0</v>
      </c>
      <c r="BK124" s="2126">
        <v>0</v>
      </c>
      <c r="BL124" s="2126">
        <v>0</v>
      </c>
      <c r="BM124" s="2126">
        <v>0</v>
      </c>
      <c r="BN124" s="2126">
        <v>0</v>
      </c>
      <c r="BO124" s="2126">
        <v>0</v>
      </c>
      <c r="BP124" s="2126">
        <v>0</v>
      </c>
      <c r="BQ124" s="2126">
        <v>0</v>
      </c>
      <c r="BR124" s="2126">
        <v>0</v>
      </c>
    </row>
    <row r="125" spans="1:70" s="1765" customFormat="1" ht="33">
      <c r="A125" s="1272">
        <v>2000</v>
      </c>
      <c r="B125" s="971" t="s">
        <v>119</v>
      </c>
      <c r="C125" s="1272">
        <v>2300</v>
      </c>
      <c r="D125" s="971" t="s">
        <v>222</v>
      </c>
      <c r="E125" s="971" t="s">
        <v>263</v>
      </c>
      <c r="F125" s="971" t="s">
        <v>264</v>
      </c>
      <c r="G125" s="971" t="s">
        <v>280</v>
      </c>
      <c r="H125" s="971" t="s">
        <v>266</v>
      </c>
      <c r="I125" s="1273" t="s">
        <v>319</v>
      </c>
      <c r="J125" s="971" t="s">
        <v>239</v>
      </c>
      <c r="K125" s="971"/>
      <c r="L125" s="971" t="s">
        <v>270</v>
      </c>
      <c r="M125" s="971" t="s">
        <v>270</v>
      </c>
      <c r="N125" s="971"/>
      <c r="O125" s="971" t="s">
        <v>270</v>
      </c>
      <c r="P125" s="971"/>
      <c r="Q125" s="971" t="s">
        <v>317</v>
      </c>
      <c r="R125" s="1266" t="s">
        <v>320</v>
      </c>
      <c r="S125" s="2106">
        <v>0</v>
      </c>
      <c r="T125" s="1266" t="s">
        <v>242</v>
      </c>
      <c r="U125" s="1742" t="s">
        <v>6588</v>
      </c>
      <c r="V125" s="1742" t="s">
        <v>6588</v>
      </c>
      <c r="W125" s="1742" t="s">
        <v>6588</v>
      </c>
      <c r="X125" s="1742" t="s">
        <v>6588</v>
      </c>
      <c r="Y125" s="2106" t="s">
        <v>6588</v>
      </c>
      <c r="Z125" s="2106">
        <v>0</v>
      </c>
      <c r="AA125" s="2106">
        <v>0</v>
      </c>
      <c r="AB125" s="2106">
        <v>0</v>
      </c>
      <c r="AC125" s="2106">
        <v>0</v>
      </c>
      <c r="AD125" s="1744">
        <v>0</v>
      </c>
      <c r="AE125" s="2126">
        <v>0</v>
      </c>
      <c r="AF125" s="2126">
        <v>0</v>
      </c>
      <c r="AG125" s="1212">
        <v>1</v>
      </c>
      <c r="AH125" s="1212">
        <v>0</v>
      </c>
      <c r="AI125" s="1212">
        <v>0</v>
      </c>
      <c r="AJ125" s="1212">
        <v>1</v>
      </c>
      <c r="AK125" s="2126">
        <v>0</v>
      </c>
      <c r="AL125" s="2126">
        <v>0</v>
      </c>
      <c r="AM125" s="2126">
        <v>0</v>
      </c>
      <c r="AN125" s="2126">
        <v>0</v>
      </c>
      <c r="AO125" s="1743" t="s">
        <v>131</v>
      </c>
      <c r="AP125" s="1743" t="s">
        <v>96</v>
      </c>
      <c r="AQ125" s="1764">
        <v>2014</v>
      </c>
      <c r="AR125" s="1743" t="s">
        <v>87</v>
      </c>
      <c r="AS125" s="2135"/>
      <c r="AT125" s="2135"/>
      <c r="AU125" s="1212">
        <v>0.33333333333333331</v>
      </c>
      <c r="AV125" s="1212">
        <v>0.33333333333333331</v>
      </c>
      <c r="AW125" s="1212">
        <v>0.33333333333333331</v>
      </c>
      <c r="AX125" s="1212"/>
      <c r="AY125" s="1212"/>
      <c r="AZ125" s="1212"/>
      <c r="BA125" s="1212"/>
      <c r="BB125" s="1212"/>
      <c r="BC125" s="1212"/>
      <c r="BD125" s="1212"/>
      <c r="BE125" s="1212"/>
      <c r="BF125" s="2126">
        <v>0</v>
      </c>
      <c r="BG125" s="2126">
        <v>0</v>
      </c>
      <c r="BH125" s="2126">
        <v>0</v>
      </c>
      <c r="BI125" s="2126">
        <v>0</v>
      </c>
      <c r="BJ125" s="2126">
        <v>0</v>
      </c>
      <c r="BK125" s="2126">
        <v>0</v>
      </c>
      <c r="BL125" s="2126">
        <v>0</v>
      </c>
      <c r="BM125" s="2126">
        <v>0</v>
      </c>
      <c r="BN125" s="2126">
        <v>0</v>
      </c>
      <c r="BO125" s="2126">
        <v>0</v>
      </c>
      <c r="BP125" s="2126">
        <v>0</v>
      </c>
      <c r="BQ125" s="2126">
        <v>0</v>
      </c>
      <c r="BR125" s="2126">
        <v>0</v>
      </c>
    </row>
    <row r="126" spans="1:70" s="1765" customFormat="1" ht="33">
      <c r="A126" s="1272">
        <v>2000</v>
      </c>
      <c r="B126" s="971" t="s">
        <v>119</v>
      </c>
      <c r="C126" s="1272">
        <v>2300</v>
      </c>
      <c r="D126" s="971" t="s">
        <v>222</v>
      </c>
      <c r="E126" s="971" t="s">
        <v>263</v>
      </c>
      <c r="F126" s="971" t="s">
        <v>264</v>
      </c>
      <c r="G126" s="971" t="s">
        <v>280</v>
      </c>
      <c r="H126" s="971" t="s">
        <v>266</v>
      </c>
      <c r="I126" s="1273" t="s">
        <v>321</v>
      </c>
      <c r="J126" s="971" t="s">
        <v>267</v>
      </c>
      <c r="K126" s="971"/>
      <c r="L126" s="971" t="s">
        <v>270</v>
      </c>
      <c r="M126" s="971" t="s">
        <v>270</v>
      </c>
      <c r="N126" s="971"/>
      <c r="O126" s="971" t="s">
        <v>270</v>
      </c>
      <c r="P126" s="971"/>
      <c r="Q126" s="971" t="s">
        <v>322</v>
      </c>
      <c r="R126" s="1266" t="s">
        <v>272</v>
      </c>
      <c r="S126" s="2106">
        <v>0</v>
      </c>
      <c r="T126" s="1266" t="s">
        <v>242</v>
      </c>
      <c r="U126" s="1742" t="s">
        <v>6588</v>
      </c>
      <c r="V126" s="1742" t="s">
        <v>6588</v>
      </c>
      <c r="W126" s="1742" t="s">
        <v>6588</v>
      </c>
      <c r="X126" s="1742" t="s">
        <v>6588</v>
      </c>
      <c r="Y126" s="2106" t="s">
        <v>6588</v>
      </c>
      <c r="Z126" s="2106">
        <v>0</v>
      </c>
      <c r="AA126" s="2106">
        <v>0</v>
      </c>
      <c r="AB126" s="2106">
        <v>0</v>
      </c>
      <c r="AC126" s="2106">
        <v>0</v>
      </c>
      <c r="AD126" s="1744">
        <v>0</v>
      </c>
      <c r="AE126" s="2126">
        <v>0</v>
      </c>
      <c r="AF126" s="2126">
        <v>0</v>
      </c>
      <c r="AG126" s="1212">
        <v>0</v>
      </c>
      <c r="AH126" s="1212">
        <v>1</v>
      </c>
      <c r="AI126" s="1212">
        <v>0</v>
      </c>
      <c r="AJ126" s="1212">
        <v>1</v>
      </c>
      <c r="AK126" s="2126">
        <v>0</v>
      </c>
      <c r="AL126" s="2126">
        <v>0</v>
      </c>
      <c r="AM126" s="2126">
        <v>0</v>
      </c>
      <c r="AN126" s="2126">
        <v>0</v>
      </c>
      <c r="AO126" s="1743" t="s">
        <v>131</v>
      </c>
      <c r="AP126" s="1743" t="s">
        <v>96</v>
      </c>
      <c r="AQ126" s="1764">
        <v>2014</v>
      </c>
      <c r="AR126" s="1743" t="s">
        <v>87</v>
      </c>
      <c r="AS126" s="2135"/>
      <c r="AT126" s="2135"/>
      <c r="AU126" s="1212">
        <v>0.33333333333333331</v>
      </c>
      <c r="AV126" s="1212">
        <v>0.33333333333333331</v>
      </c>
      <c r="AW126" s="1212">
        <v>0.33333333333333331</v>
      </c>
      <c r="AX126" s="1212"/>
      <c r="AY126" s="1212"/>
      <c r="AZ126" s="1212"/>
      <c r="BA126" s="1212"/>
      <c r="BB126" s="1212"/>
      <c r="BC126" s="1212"/>
      <c r="BD126" s="1212"/>
      <c r="BE126" s="1212"/>
      <c r="BF126" s="2126">
        <v>0</v>
      </c>
      <c r="BG126" s="2126">
        <v>0</v>
      </c>
      <c r="BH126" s="2126">
        <v>0</v>
      </c>
      <c r="BI126" s="2126">
        <v>0</v>
      </c>
      <c r="BJ126" s="2126">
        <v>0</v>
      </c>
      <c r="BK126" s="2126">
        <v>0</v>
      </c>
      <c r="BL126" s="2126">
        <v>0</v>
      </c>
      <c r="BM126" s="2126">
        <v>0</v>
      </c>
      <c r="BN126" s="2126">
        <v>0</v>
      </c>
      <c r="BO126" s="2126">
        <v>0</v>
      </c>
      <c r="BP126" s="2126">
        <v>0</v>
      </c>
      <c r="BQ126" s="2126">
        <v>0</v>
      </c>
      <c r="BR126" s="2126">
        <v>0</v>
      </c>
    </row>
    <row r="127" spans="1:70" s="1765" customFormat="1" ht="33">
      <c r="A127" s="1272">
        <v>2000</v>
      </c>
      <c r="B127" s="971" t="s">
        <v>119</v>
      </c>
      <c r="C127" s="1272">
        <v>2300</v>
      </c>
      <c r="D127" s="971" t="s">
        <v>222</v>
      </c>
      <c r="E127" s="971" t="s">
        <v>263</v>
      </c>
      <c r="F127" s="971" t="s">
        <v>264</v>
      </c>
      <c r="G127" s="971" t="s">
        <v>280</v>
      </c>
      <c r="H127" s="971" t="s">
        <v>266</v>
      </c>
      <c r="I127" s="1273" t="s">
        <v>323</v>
      </c>
      <c r="J127" s="971" t="s">
        <v>239</v>
      </c>
      <c r="K127" s="971"/>
      <c r="L127" s="971" t="s">
        <v>270</v>
      </c>
      <c r="M127" s="971" t="s">
        <v>270</v>
      </c>
      <c r="N127" s="971"/>
      <c r="O127" s="971" t="s">
        <v>270</v>
      </c>
      <c r="P127" s="971"/>
      <c r="Q127" s="971" t="s">
        <v>324</v>
      </c>
      <c r="R127" s="1266" t="s">
        <v>325</v>
      </c>
      <c r="S127" s="2106">
        <v>0</v>
      </c>
      <c r="T127" s="1266" t="s">
        <v>242</v>
      </c>
      <c r="U127" s="1742" t="s">
        <v>6588</v>
      </c>
      <c r="V127" s="1742" t="s">
        <v>6588</v>
      </c>
      <c r="W127" s="1742" t="s">
        <v>6588</v>
      </c>
      <c r="X127" s="1742" t="s">
        <v>6588</v>
      </c>
      <c r="Y127" s="2106" t="s">
        <v>6588</v>
      </c>
      <c r="Z127" s="2106">
        <v>0</v>
      </c>
      <c r="AA127" s="2106">
        <v>0</v>
      </c>
      <c r="AB127" s="2106">
        <v>0</v>
      </c>
      <c r="AC127" s="2106">
        <v>0</v>
      </c>
      <c r="AD127" s="1744">
        <v>0</v>
      </c>
      <c r="AE127" s="2126">
        <v>0</v>
      </c>
      <c r="AF127" s="2126">
        <v>0</v>
      </c>
      <c r="AG127" s="1212">
        <v>1</v>
      </c>
      <c r="AH127" s="1212">
        <v>0</v>
      </c>
      <c r="AI127" s="1212">
        <v>0</v>
      </c>
      <c r="AJ127" s="1212">
        <v>1</v>
      </c>
      <c r="AK127" s="2126">
        <v>0</v>
      </c>
      <c r="AL127" s="2126">
        <v>0</v>
      </c>
      <c r="AM127" s="2126">
        <v>0</v>
      </c>
      <c r="AN127" s="2126">
        <v>0</v>
      </c>
      <c r="AO127" s="1743" t="s">
        <v>131</v>
      </c>
      <c r="AP127" s="1743" t="s">
        <v>96</v>
      </c>
      <c r="AQ127" s="1764">
        <v>2014</v>
      </c>
      <c r="AR127" s="1743" t="s">
        <v>87</v>
      </c>
      <c r="AS127" s="2135"/>
      <c r="AT127" s="2135"/>
      <c r="AU127" s="1212">
        <v>0.33333333333333331</v>
      </c>
      <c r="AV127" s="1212">
        <v>0.33333333333333331</v>
      </c>
      <c r="AW127" s="1212">
        <v>0.33333333333333331</v>
      </c>
      <c r="AX127" s="1212"/>
      <c r="AY127" s="1212"/>
      <c r="AZ127" s="1212"/>
      <c r="BA127" s="1212"/>
      <c r="BB127" s="1212"/>
      <c r="BC127" s="1212"/>
      <c r="BD127" s="1212"/>
      <c r="BE127" s="1212"/>
      <c r="BF127" s="2126">
        <v>0</v>
      </c>
      <c r="BG127" s="2126">
        <v>0</v>
      </c>
      <c r="BH127" s="2126">
        <v>0</v>
      </c>
      <c r="BI127" s="2126">
        <v>0</v>
      </c>
      <c r="BJ127" s="2126">
        <v>0</v>
      </c>
      <c r="BK127" s="2126">
        <v>0</v>
      </c>
      <c r="BL127" s="2126">
        <v>0</v>
      </c>
      <c r="BM127" s="2126">
        <v>0</v>
      </c>
      <c r="BN127" s="2126">
        <v>0</v>
      </c>
      <c r="BO127" s="2126">
        <v>0</v>
      </c>
      <c r="BP127" s="2126">
        <v>0</v>
      </c>
      <c r="BQ127" s="2126">
        <v>0</v>
      </c>
      <c r="BR127" s="2126">
        <v>0</v>
      </c>
    </row>
    <row r="128" spans="1:70" s="1765" customFormat="1" ht="33">
      <c r="A128" s="1272">
        <v>2000</v>
      </c>
      <c r="B128" s="971" t="s">
        <v>119</v>
      </c>
      <c r="C128" s="1272">
        <v>2300</v>
      </c>
      <c r="D128" s="971" t="s">
        <v>222</v>
      </c>
      <c r="E128" s="971" t="s">
        <v>263</v>
      </c>
      <c r="F128" s="971" t="s">
        <v>264</v>
      </c>
      <c r="G128" s="971" t="s">
        <v>280</v>
      </c>
      <c r="H128" s="971" t="s">
        <v>266</v>
      </c>
      <c r="I128" s="1273" t="s">
        <v>326</v>
      </c>
      <c r="J128" s="971" t="s">
        <v>239</v>
      </c>
      <c r="K128" s="971"/>
      <c r="L128" s="971" t="s">
        <v>270</v>
      </c>
      <c r="M128" s="971" t="s">
        <v>270</v>
      </c>
      <c r="N128" s="971"/>
      <c r="O128" s="971" t="s">
        <v>270</v>
      </c>
      <c r="P128" s="971"/>
      <c r="Q128" s="971" t="s">
        <v>327</v>
      </c>
      <c r="R128" s="1266" t="s">
        <v>328</v>
      </c>
      <c r="S128" s="2106">
        <v>0</v>
      </c>
      <c r="T128" s="1266" t="s">
        <v>242</v>
      </c>
      <c r="U128" s="1742" t="s">
        <v>6588</v>
      </c>
      <c r="V128" s="1742" t="s">
        <v>6588</v>
      </c>
      <c r="W128" s="1742" t="s">
        <v>6588</v>
      </c>
      <c r="X128" s="1742" t="s">
        <v>6588</v>
      </c>
      <c r="Y128" s="2106" t="s">
        <v>6588</v>
      </c>
      <c r="Z128" s="2106">
        <v>0</v>
      </c>
      <c r="AA128" s="2106">
        <v>0</v>
      </c>
      <c r="AB128" s="2106">
        <v>0</v>
      </c>
      <c r="AC128" s="2106">
        <v>0</v>
      </c>
      <c r="AD128" s="1744">
        <v>0</v>
      </c>
      <c r="AE128" s="2126">
        <v>0</v>
      </c>
      <c r="AF128" s="2126">
        <v>0</v>
      </c>
      <c r="AG128" s="1212">
        <v>1</v>
      </c>
      <c r="AH128" s="1212">
        <v>0</v>
      </c>
      <c r="AI128" s="1212">
        <v>0</v>
      </c>
      <c r="AJ128" s="1212">
        <v>1</v>
      </c>
      <c r="AK128" s="2126">
        <v>0</v>
      </c>
      <c r="AL128" s="2126">
        <v>0</v>
      </c>
      <c r="AM128" s="2126">
        <v>0</v>
      </c>
      <c r="AN128" s="2126">
        <v>0</v>
      </c>
      <c r="AO128" s="1743" t="s">
        <v>131</v>
      </c>
      <c r="AP128" s="1743" t="s">
        <v>96</v>
      </c>
      <c r="AQ128" s="1764">
        <v>2014</v>
      </c>
      <c r="AR128" s="1743" t="s">
        <v>87</v>
      </c>
      <c r="AS128" s="2135"/>
      <c r="AT128" s="2135"/>
      <c r="AU128" s="1212">
        <v>0.33333333333333331</v>
      </c>
      <c r="AV128" s="1212">
        <v>0.33333333333333331</v>
      </c>
      <c r="AW128" s="1212">
        <v>0.33333333333333331</v>
      </c>
      <c r="AX128" s="1212"/>
      <c r="AY128" s="1212"/>
      <c r="AZ128" s="1212"/>
      <c r="BA128" s="1212"/>
      <c r="BB128" s="1212"/>
      <c r="BC128" s="1212"/>
      <c r="BD128" s="1212"/>
      <c r="BE128" s="1212"/>
      <c r="BF128" s="2126">
        <v>0</v>
      </c>
      <c r="BG128" s="2126">
        <v>0</v>
      </c>
      <c r="BH128" s="2126">
        <v>0</v>
      </c>
      <c r="BI128" s="2126">
        <v>0</v>
      </c>
      <c r="BJ128" s="2126">
        <v>0</v>
      </c>
      <c r="BK128" s="2126">
        <v>0</v>
      </c>
      <c r="BL128" s="2126">
        <v>0</v>
      </c>
      <c r="BM128" s="2126">
        <v>0</v>
      </c>
      <c r="BN128" s="2126">
        <v>0</v>
      </c>
      <c r="BO128" s="2126">
        <v>0</v>
      </c>
      <c r="BP128" s="2126">
        <v>0</v>
      </c>
      <c r="BQ128" s="2126">
        <v>0</v>
      </c>
      <c r="BR128" s="2126">
        <v>0</v>
      </c>
    </row>
    <row r="129" spans="1:70" s="1765" customFormat="1" ht="33">
      <c r="A129" s="1272">
        <v>2000</v>
      </c>
      <c r="B129" s="971" t="s">
        <v>119</v>
      </c>
      <c r="C129" s="1272">
        <v>2300</v>
      </c>
      <c r="D129" s="971" t="s">
        <v>222</v>
      </c>
      <c r="E129" s="971" t="s">
        <v>263</v>
      </c>
      <c r="F129" s="971" t="s">
        <v>264</v>
      </c>
      <c r="G129" s="971" t="s">
        <v>280</v>
      </c>
      <c r="H129" s="971" t="s">
        <v>266</v>
      </c>
      <c r="I129" s="1273" t="s">
        <v>329</v>
      </c>
      <c r="J129" s="971" t="s">
        <v>239</v>
      </c>
      <c r="K129" s="971"/>
      <c r="L129" s="971" t="s">
        <v>270</v>
      </c>
      <c r="M129" s="971" t="s">
        <v>270</v>
      </c>
      <c r="N129" s="971"/>
      <c r="O129" s="971" t="s">
        <v>270</v>
      </c>
      <c r="P129" s="971"/>
      <c r="Q129" s="971" t="s">
        <v>330</v>
      </c>
      <c r="R129" s="1266" t="s">
        <v>331</v>
      </c>
      <c r="S129" s="2106">
        <v>0</v>
      </c>
      <c r="T129" s="1266" t="s">
        <v>242</v>
      </c>
      <c r="U129" s="1742" t="s">
        <v>6588</v>
      </c>
      <c r="V129" s="1742" t="s">
        <v>6588</v>
      </c>
      <c r="W129" s="1742" t="s">
        <v>6588</v>
      </c>
      <c r="X129" s="1742" t="s">
        <v>6588</v>
      </c>
      <c r="Y129" s="2106" t="s">
        <v>6588</v>
      </c>
      <c r="Z129" s="2106">
        <v>0</v>
      </c>
      <c r="AA129" s="2106">
        <v>0</v>
      </c>
      <c r="AB129" s="2106">
        <v>0</v>
      </c>
      <c r="AC129" s="2106">
        <v>0</v>
      </c>
      <c r="AD129" s="1744">
        <v>0</v>
      </c>
      <c r="AE129" s="2126">
        <v>0</v>
      </c>
      <c r="AF129" s="2126">
        <v>0</v>
      </c>
      <c r="AG129" s="1212">
        <v>0</v>
      </c>
      <c r="AH129" s="1212">
        <v>1</v>
      </c>
      <c r="AI129" s="1212">
        <v>0</v>
      </c>
      <c r="AJ129" s="1212">
        <v>1</v>
      </c>
      <c r="AK129" s="2126">
        <v>0</v>
      </c>
      <c r="AL129" s="2126">
        <v>0</v>
      </c>
      <c r="AM129" s="2126">
        <v>0</v>
      </c>
      <c r="AN129" s="2126">
        <v>0</v>
      </c>
      <c r="AO129" s="1743" t="s">
        <v>131</v>
      </c>
      <c r="AP129" s="1743" t="s">
        <v>96</v>
      </c>
      <c r="AQ129" s="1764">
        <v>2014</v>
      </c>
      <c r="AR129" s="1743" t="s">
        <v>87</v>
      </c>
      <c r="AS129" s="2135"/>
      <c r="AT129" s="2135"/>
      <c r="AU129" s="1212">
        <v>0.33333333333333331</v>
      </c>
      <c r="AV129" s="1212">
        <v>0.33333333333333331</v>
      </c>
      <c r="AW129" s="1212">
        <v>0.33333333333333331</v>
      </c>
      <c r="AX129" s="1212"/>
      <c r="AY129" s="1212"/>
      <c r="AZ129" s="1212"/>
      <c r="BA129" s="1212"/>
      <c r="BB129" s="1212"/>
      <c r="BC129" s="1212"/>
      <c r="BD129" s="1212"/>
      <c r="BE129" s="1212"/>
      <c r="BF129" s="2126">
        <v>0</v>
      </c>
      <c r="BG129" s="2126">
        <v>0</v>
      </c>
      <c r="BH129" s="2126">
        <v>0</v>
      </c>
      <c r="BI129" s="2126">
        <v>0</v>
      </c>
      <c r="BJ129" s="2126">
        <v>0</v>
      </c>
      <c r="BK129" s="2126">
        <v>0</v>
      </c>
      <c r="BL129" s="2126">
        <v>0</v>
      </c>
      <c r="BM129" s="2126">
        <v>0</v>
      </c>
      <c r="BN129" s="2126">
        <v>0</v>
      </c>
      <c r="BO129" s="2126">
        <v>0</v>
      </c>
      <c r="BP129" s="2126">
        <v>0</v>
      </c>
      <c r="BQ129" s="2126">
        <v>0</v>
      </c>
      <c r="BR129" s="2126">
        <v>0</v>
      </c>
    </row>
    <row r="130" spans="1:70" s="1765" customFormat="1" ht="33">
      <c r="A130" s="1272">
        <v>2000</v>
      </c>
      <c r="B130" s="971" t="s">
        <v>119</v>
      </c>
      <c r="C130" s="1272">
        <v>2300</v>
      </c>
      <c r="D130" s="971" t="s">
        <v>222</v>
      </c>
      <c r="E130" s="971" t="s">
        <v>263</v>
      </c>
      <c r="F130" s="971" t="s">
        <v>264</v>
      </c>
      <c r="G130" s="971" t="s">
        <v>280</v>
      </c>
      <c r="H130" s="971" t="s">
        <v>266</v>
      </c>
      <c r="I130" s="1273" t="s">
        <v>332</v>
      </c>
      <c r="J130" s="971" t="s">
        <v>239</v>
      </c>
      <c r="K130" s="971"/>
      <c r="L130" s="971" t="s">
        <v>270</v>
      </c>
      <c r="M130" s="971" t="s">
        <v>270</v>
      </c>
      <c r="N130" s="971"/>
      <c r="O130" s="971" t="s">
        <v>270</v>
      </c>
      <c r="P130" s="971"/>
      <c r="Q130" s="971" t="s">
        <v>333</v>
      </c>
      <c r="R130" s="1266" t="s">
        <v>334</v>
      </c>
      <c r="S130" s="2106">
        <v>0</v>
      </c>
      <c r="T130" s="1266" t="s">
        <v>242</v>
      </c>
      <c r="U130" s="1742" t="s">
        <v>6588</v>
      </c>
      <c r="V130" s="1742" t="s">
        <v>6588</v>
      </c>
      <c r="W130" s="1742" t="s">
        <v>6588</v>
      </c>
      <c r="X130" s="1742" t="s">
        <v>6588</v>
      </c>
      <c r="Y130" s="2106" t="s">
        <v>6588</v>
      </c>
      <c r="Z130" s="2106">
        <v>0</v>
      </c>
      <c r="AA130" s="2106">
        <v>0</v>
      </c>
      <c r="AB130" s="2106">
        <v>0</v>
      </c>
      <c r="AC130" s="2106">
        <v>0</v>
      </c>
      <c r="AD130" s="1744">
        <v>0</v>
      </c>
      <c r="AE130" s="2126">
        <v>0</v>
      </c>
      <c r="AF130" s="2126">
        <v>0</v>
      </c>
      <c r="AG130" s="1212">
        <v>0</v>
      </c>
      <c r="AH130" s="1212">
        <v>1</v>
      </c>
      <c r="AI130" s="1212">
        <v>0</v>
      </c>
      <c r="AJ130" s="1212">
        <v>1</v>
      </c>
      <c r="AK130" s="2126">
        <v>0</v>
      </c>
      <c r="AL130" s="2126">
        <v>0</v>
      </c>
      <c r="AM130" s="2126">
        <v>0</v>
      </c>
      <c r="AN130" s="2126">
        <v>0</v>
      </c>
      <c r="AO130" s="1743" t="s">
        <v>131</v>
      </c>
      <c r="AP130" s="1743" t="s">
        <v>96</v>
      </c>
      <c r="AQ130" s="1764">
        <v>2014</v>
      </c>
      <c r="AR130" s="1743" t="s">
        <v>87</v>
      </c>
      <c r="AS130" s="2135"/>
      <c r="AT130" s="2135"/>
      <c r="AU130" s="1212">
        <v>0.33333333333333331</v>
      </c>
      <c r="AV130" s="1212">
        <v>0.33333333333333331</v>
      </c>
      <c r="AW130" s="1212">
        <v>0.33333333333333331</v>
      </c>
      <c r="AX130" s="1212"/>
      <c r="AY130" s="1212"/>
      <c r="AZ130" s="1212"/>
      <c r="BA130" s="1212"/>
      <c r="BB130" s="1212"/>
      <c r="BC130" s="1212"/>
      <c r="BD130" s="1212"/>
      <c r="BE130" s="1212"/>
      <c r="BF130" s="2126">
        <v>0</v>
      </c>
      <c r="BG130" s="2126">
        <v>0</v>
      </c>
      <c r="BH130" s="2126">
        <v>0</v>
      </c>
      <c r="BI130" s="2126">
        <v>0</v>
      </c>
      <c r="BJ130" s="2126">
        <v>0</v>
      </c>
      <c r="BK130" s="2126">
        <v>0</v>
      </c>
      <c r="BL130" s="2126">
        <v>0</v>
      </c>
      <c r="BM130" s="2126">
        <v>0</v>
      </c>
      <c r="BN130" s="2126">
        <v>0</v>
      </c>
      <c r="BO130" s="2126">
        <v>0</v>
      </c>
      <c r="BP130" s="2126">
        <v>0</v>
      </c>
      <c r="BQ130" s="2126">
        <v>0</v>
      </c>
      <c r="BR130" s="2126">
        <v>0</v>
      </c>
    </row>
    <row r="131" spans="1:70" s="1765" customFormat="1" ht="33">
      <c r="A131" s="1272">
        <v>2000</v>
      </c>
      <c r="B131" s="971" t="s">
        <v>119</v>
      </c>
      <c r="C131" s="1272">
        <v>2300</v>
      </c>
      <c r="D131" s="971" t="s">
        <v>222</v>
      </c>
      <c r="E131" s="971" t="s">
        <v>263</v>
      </c>
      <c r="F131" s="971" t="s">
        <v>264</v>
      </c>
      <c r="G131" s="971" t="s">
        <v>280</v>
      </c>
      <c r="H131" s="971" t="s">
        <v>266</v>
      </c>
      <c r="I131" s="1273" t="s">
        <v>335</v>
      </c>
      <c r="J131" s="971" t="s">
        <v>239</v>
      </c>
      <c r="K131" s="971"/>
      <c r="L131" s="971" t="s">
        <v>270</v>
      </c>
      <c r="M131" s="971" t="s">
        <v>270</v>
      </c>
      <c r="N131" s="971"/>
      <c r="O131" s="971" t="s">
        <v>270</v>
      </c>
      <c r="P131" s="971"/>
      <c r="Q131" s="971" t="s">
        <v>333</v>
      </c>
      <c r="R131" s="1266" t="s">
        <v>336</v>
      </c>
      <c r="S131" s="2106">
        <v>0</v>
      </c>
      <c r="T131" s="1266" t="s">
        <v>242</v>
      </c>
      <c r="U131" s="1742" t="s">
        <v>6588</v>
      </c>
      <c r="V131" s="1742" t="s">
        <v>6588</v>
      </c>
      <c r="W131" s="1742" t="s">
        <v>6588</v>
      </c>
      <c r="X131" s="1742" t="s">
        <v>6588</v>
      </c>
      <c r="Y131" s="2106" t="s">
        <v>6588</v>
      </c>
      <c r="Z131" s="2106">
        <v>0</v>
      </c>
      <c r="AA131" s="2106">
        <v>0</v>
      </c>
      <c r="AB131" s="2106">
        <v>0</v>
      </c>
      <c r="AC131" s="2106">
        <v>0</v>
      </c>
      <c r="AD131" s="1744">
        <v>0</v>
      </c>
      <c r="AE131" s="2126">
        <v>0</v>
      </c>
      <c r="AF131" s="2126">
        <v>0</v>
      </c>
      <c r="AG131" s="1212">
        <v>0</v>
      </c>
      <c r="AH131" s="1212">
        <v>1</v>
      </c>
      <c r="AI131" s="1212">
        <v>0</v>
      </c>
      <c r="AJ131" s="1212">
        <v>1</v>
      </c>
      <c r="AK131" s="2126">
        <v>0</v>
      </c>
      <c r="AL131" s="2126">
        <v>0</v>
      </c>
      <c r="AM131" s="2126">
        <v>0</v>
      </c>
      <c r="AN131" s="2126">
        <v>0</v>
      </c>
      <c r="AO131" s="1743" t="s">
        <v>131</v>
      </c>
      <c r="AP131" s="1743" t="s">
        <v>96</v>
      </c>
      <c r="AQ131" s="1764">
        <v>2014</v>
      </c>
      <c r="AR131" s="1743" t="s">
        <v>87</v>
      </c>
      <c r="AS131" s="2135"/>
      <c r="AT131" s="2135"/>
      <c r="AU131" s="1212">
        <v>0.33333333333333331</v>
      </c>
      <c r="AV131" s="1212">
        <v>0.33333333333333331</v>
      </c>
      <c r="AW131" s="1212">
        <v>0.33333333333333331</v>
      </c>
      <c r="AX131" s="1212"/>
      <c r="AY131" s="1212"/>
      <c r="AZ131" s="1212"/>
      <c r="BA131" s="1212"/>
      <c r="BB131" s="1212"/>
      <c r="BC131" s="1212"/>
      <c r="BD131" s="1212"/>
      <c r="BE131" s="1212"/>
      <c r="BF131" s="2126">
        <v>0</v>
      </c>
      <c r="BG131" s="2126">
        <v>0</v>
      </c>
      <c r="BH131" s="2126">
        <v>0</v>
      </c>
      <c r="BI131" s="2126">
        <v>0</v>
      </c>
      <c r="BJ131" s="2126">
        <v>0</v>
      </c>
      <c r="BK131" s="2126">
        <v>0</v>
      </c>
      <c r="BL131" s="2126">
        <v>0</v>
      </c>
      <c r="BM131" s="2126">
        <v>0</v>
      </c>
      <c r="BN131" s="2126">
        <v>0</v>
      </c>
      <c r="BO131" s="2126">
        <v>0</v>
      </c>
      <c r="BP131" s="2126">
        <v>0</v>
      </c>
      <c r="BQ131" s="2126">
        <v>0</v>
      </c>
      <c r="BR131" s="2126">
        <v>0</v>
      </c>
    </row>
    <row r="132" spans="1:70" s="1765" customFormat="1" ht="33">
      <c r="A132" s="1272">
        <v>2000</v>
      </c>
      <c r="B132" s="971" t="s">
        <v>119</v>
      </c>
      <c r="C132" s="1272">
        <v>2300</v>
      </c>
      <c r="D132" s="971" t="s">
        <v>222</v>
      </c>
      <c r="E132" s="971" t="s">
        <v>263</v>
      </c>
      <c r="F132" s="971" t="s">
        <v>264</v>
      </c>
      <c r="G132" s="971" t="s">
        <v>280</v>
      </c>
      <c r="H132" s="971" t="s">
        <v>266</v>
      </c>
      <c r="I132" s="1273" t="s">
        <v>337</v>
      </c>
      <c r="J132" s="971" t="s">
        <v>239</v>
      </c>
      <c r="K132" s="971"/>
      <c r="L132" s="971" t="s">
        <v>270</v>
      </c>
      <c r="M132" s="971" t="s">
        <v>270</v>
      </c>
      <c r="N132" s="971"/>
      <c r="O132" s="971" t="s">
        <v>270</v>
      </c>
      <c r="P132" s="971"/>
      <c r="Q132" s="971" t="s">
        <v>338</v>
      </c>
      <c r="R132" s="1266" t="s">
        <v>339</v>
      </c>
      <c r="S132" s="2106">
        <v>0</v>
      </c>
      <c r="T132" s="1266" t="s">
        <v>242</v>
      </c>
      <c r="U132" s="1742" t="s">
        <v>6588</v>
      </c>
      <c r="V132" s="1742" t="s">
        <v>6588</v>
      </c>
      <c r="W132" s="1742" t="s">
        <v>6588</v>
      </c>
      <c r="X132" s="1742" t="s">
        <v>6588</v>
      </c>
      <c r="Y132" s="2106" t="s">
        <v>6588</v>
      </c>
      <c r="Z132" s="2106">
        <v>0</v>
      </c>
      <c r="AA132" s="2106">
        <v>0</v>
      </c>
      <c r="AB132" s="2106">
        <v>0</v>
      </c>
      <c r="AC132" s="2106">
        <v>0</v>
      </c>
      <c r="AD132" s="1744">
        <v>0</v>
      </c>
      <c r="AE132" s="2126">
        <v>0</v>
      </c>
      <c r="AF132" s="2126">
        <v>0</v>
      </c>
      <c r="AG132" s="1212">
        <v>0</v>
      </c>
      <c r="AH132" s="1212">
        <v>1</v>
      </c>
      <c r="AI132" s="1212">
        <v>0</v>
      </c>
      <c r="AJ132" s="1212">
        <v>1</v>
      </c>
      <c r="AK132" s="2126">
        <v>0</v>
      </c>
      <c r="AL132" s="2126">
        <v>0</v>
      </c>
      <c r="AM132" s="2126">
        <v>0</v>
      </c>
      <c r="AN132" s="2126">
        <v>0</v>
      </c>
      <c r="AO132" s="1743" t="s">
        <v>131</v>
      </c>
      <c r="AP132" s="1743" t="s">
        <v>96</v>
      </c>
      <c r="AQ132" s="1764">
        <v>2014</v>
      </c>
      <c r="AR132" s="1743" t="s">
        <v>87</v>
      </c>
      <c r="AS132" s="2135"/>
      <c r="AT132" s="2135"/>
      <c r="AU132" s="1212">
        <v>0.33333333333333331</v>
      </c>
      <c r="AV132" s="1212">
        <v>0.33333333333333331</v>
      </c>
      <c r="AW132" s="1212">
        <v>0.33333333333333331</v>
      </c>
      <c r="AX132" s="1212"/>
      <c r="AY132" s="1212"/>
      <c r="AZ132" s="1212"/>
      <c r="BA132" s="1212"/>
      <c r="BB132" s="1212"/>
      <c r="BC132" s="1212"/>
      <c r="BD132" s="1212"/>
      <c r="BE132" s="1212"/>
      <c r="BF132" s="2126">
        <v>0</v>
      </c>
      <c r="BG132" s="2126">
        <v>0</v>
      </c>
      <c r="BH132" s="2126">
        <v>0</v>
      </c>
      <c r="BI132" s="2126">
        <v>0</v>
      </c>
      <c r="BJ132" s="2126">
        <v>0</v>
      </c>
      <c r="BK132" s="2126">
        <v>0</v>
      </c>
      <c r="BL132" s="2126">
        <v>0</v>
      </c>
      <c r="BM132" s="2126">
        <v>0</v>
      </c>
      <c r="BN132" s="2126">
        <v>0</v>
      </c>
      <c r="BO132" s="2126">
        <v>0</v>
      </c>
      <c r="BP132" s="2126">
        <v>0</v>
      </c>
      <c r="BQ132" s="2126">
        <v>0</v>
      </c>
      <c r="BR132" s="2126">
        <v>0</v>
      </c>
    </row>
    <row r="133" spans="1:70" s="1765" customFormat="1" ht="33">
      <c r="A133" s="1272">
        <v>2000</v>
      </c>
      <c r="B133" s="971" t="s">
        <v>119</v>
      </c>
      <c r="C133" s="1272">
        <v>2300</v>
      </c>
      <c r="D133" s="971" t="s">
        <v>222</v>
      </c>
      <c r="E133" s="971" t="s">
        <v>263</v>
      </c>
      <c r="F133" s="971" t="s">
        <v>264</v>
      </c>
      <c r="G133" s="971" t="s">
        <v>280</v>
      </c>
      <c r="H133" s="971" t="s">
        <v>266</v>
      </c>
      <c r="I133" s="1273" t="s">
        <v>340</v>
      </c>
      <c r="J133" s="971" t="s">
        <v>239</v>
      </c>
      <c r="K133" s="971"/>
      <c r="L133" s="971" t="s">
        <v>270</v>
      </c>
      <c r="M133" s="971" t="s">
        <v>270</v>
      </c>
      <c r="N133" s="971"/>
      <c r="O133" s="971" t="s">
        <v>270</v>
      </c>
      <c r="P133" s="971"/>
      <c r="Q133" s="971" t="s">
        <v>338</v>
      </c>
      <c r="R133" s="1266" t="s">
        <v>341</v>
      </c>
      <c r="S133" s="2106">
        <v>0</v>
      </c>
      <c r="T133" s="1266" t="s">
        <v>242</v>
      </c>
      <c r="U133" s="1742" t="s">
        <v>6588</v>
      </c>
      <c r="V133" s="1742" t="s">
        <v>6588</v>
      </c>
      <c r="W133" s="1742" t="s">
        <v>6588</v>
      </c>
      <c r="X133" s="1742" t="s">
        <v>6588</v>
      </c>
      <c r="Y133" s="2106" t="s">
        <v>6588</v>
      </c>
      <c r="Z133" s="2106">
        <v>0</v>
      </c>
      <c r="AA133" s="2106">
        <v>0</v>
      </c>
      <c r="AB133" s="2106">
        <v>0</v>
      </c>
      <c r="AC133" s="2106">
        <v>0</v>
      </c>
      <c r="AD133" s="1744">
        <v>0</v>
      </c>
      <c r="AE133" s="2126">
        <v>0</v>
      </c>
      <c r="AF133" s="2126">
        <v>0</v>
      </c>
      <c r="AG133" s="1212">
        <v>0</v>
      </c>
      <c r="AH133" s="1212">
        <v>1</v>
      </c>
      <c r="AI133" s="1212">
        <v>0</v>
      </c>
      <c r="AJ133" s="1212">
        <v>1</v>
      </c>
      <c r="AK133" s="2126">
        <v>0</v>
      </c>
      <c r="AL133" s="2126">
        <v>0</v>
      </c>
      <c r="AM133" s="2126">
        <v>0</v>
      </c>
      <c r="AN133" s="2126">
        <v>0</v>
      </c>
      <c r="AO133" s="1743" t="s">
        <v>131</v>
      </c>
      <c r="AP133" s="1743" t="s">
        <v>96</v>
      </c>
      <c r="AQ133" s="1764">
        <v>2014</v>
      </c>
      <c r="AR133" s="1743" t="s">
        <v>87</v>
      </c>
      <c r="AS133" s="2135"/>
      <c r="AT133" s="2135"/>
      <c r="AU133" s="1212">
        <v>0.33333333333333331</v>
      </c>
      <c r="AV133" s="1212">
        <v>0.33333333333333331</v>
      </c>
      <c r="AW133" s="1212">
        <v>0.33333333333333331</v>
      </c>
      <c r="AX133" s="1212"/>
      <c r="AY133" s="1212"/>
      <c r="AZ133" s="1212"/>
      <c r="BA133" s="1212"/>
      <c r="BB133" s="1212"/>
      <c r="BC133" s="1212"/>
      <c r="BD133" s="1212"/>
      <c r="BE133" s="1212"/>
      <c r="BF133" s="2126">
        <v>0</v>
      </c>
      <c r="BG133" s="2126">
        <v>0</v>
      </c>
      <c r="BH133" s="2126">
        <v>0</v>
      </c>
      <c r="BI133" s="2126">
        <v>0</v>
      </c>
      <c r="BJ133" s="2126">
        <v>0</v>
      </c>
      <c r="BK133" s="2126">
        <v>0</v>
      </c>
      <c r="BL133" s="2126">
        <v>0</v>
      </c>
      <c r="BM133" s="2126">
        <v>0</v>
      </c>
      <c r="BN133" s="2126">
        <v>0</v>
      </c>
      <c r="BO133" s="2126">
        <v>0</v>
      </c>
      <c r="BP133" s="2126">
        <v>0</v>
      </c>
      <c r="BQ133" s="2126">
        <v>0</v>
      </c>
      <c r="BR133" s="2126">
        <v>0</v>
      </c>
    </row>
    <row r="134" spans="1:70" s="1765" customFormat="1" ht="33">
      <c r="A134" s="1272">
        <v>2000</v>
      </c>
      <c r="B134" s="971" t="s">
        <v>119</v>
      </c>
      <c r="C134" s="1272">
        <v>2300</v>
      </c>
      <c r="D134" s="971" t="s">
        <v>222</v>
      </c>
      <c r="E134" s="971" t="s">
        <v>263</v>
      </c>
      <c r="F134" s="971" t="s">
        <v>264</v>
      </c>
      <c r="G134" s="971" t="s">
        <v>280</v>
      </c>
      <c r="H134" s="971" t="s">
        <v>266</v>
      </c>
      <c r="I134" s="1273" t="s">
        <v>342</v>
      </c>
      <c r="J134" s="971" t="s">
        <v>239</v>
      </c>
      <c r="K134" s="971"/>
      <c r="L134" s="971" t="s">
        <v>270</v>
      </c>
      <c r="M134" s="971" t="s">
        <v>270</v>
      </c>
      <c r="N134" s="971"/>
      <c r="O134" s="971" t="s">
        <v>270</v>
      </c>
      <c r="P134" s="971"/>
      <c r="Q134" s="971" t="s">
        <v>343</v>
      </c>
      <c r="R134" s="1266" t="s">
        <v>344</v>
      </c>
      <c r="S134" s="2106">
        <v>0</v>
      </c>
      <c r="T134" s="1266" t="s">
        <v>242</v>
      </c>
      <c r="U134" s="1742" t="s">
        <v>6588</v>
      </c>
      <c r="V134" s="1742" t="s">
        <v>6588</v>
      </c>
      <c r="W134" s="1742" t="s">
        <v>6588</v>
      </c>
      <c r="X134" s="1742" t="s">
        <v>6588</v>
      </c>
      <c r="Y134" s="2106" t="s">
        <v>6588</v>
      </c>
      <c r="Z134" s="2106">
        <v>0</v>
      </c>
      <c r="AA134" s="2106">
        <v>0</v>
      </c>
      <c r="AB134" s="2106">
        <v>0</v>
      </c>
      <c r="AC134" s="2106">
        <v>0</v>
      </c>
      <c r="AD134" s="1744">
        <v>0</v>
      </c>
      <c r="AE134" s="2126">
        <v>0</v>
      </c>
      <c r="AF134" s="2126">
        <v>0</v>
      </c>
      <c r="AG134" s="1212">
        <v>0</v>
      </c>
      <c r="AH134" s="1212">
        <v>1</v>
      </c>
      <c r="AI134" s="1212">
        <v>0</v>
      </c>
      <c r="AJ134" s="1212">
        <v>1</v>
      </c>
      <c r="AK134" s="2126">
        <v>0</v>
      </c>
      <c r="AL134" s="2126">
        <v>0</v>
      </c>
      <c r="AM134" s="2126">
        <v>0</v>
      </c>
      <c r="AN134" s="2126">
        <v>0</v>
      </c>
      <c r="AO134" s="1743" t="s">
        <v>131</v>
      </c>
      <c r="AP134" s="1743" t="s">
        <v>96</v>
      </c>
      <c r="AQ134" s="1764">
        <v>2014</v>
      </c>
      <c r="AR134" s="1743" t="s">
        <v>87</v>
      </c>
      <c r="AS134" s="2135"/>
      <c r="AT134" s="2135"/>
      <c r="AU134" s="1212">
        <v>0.33333333333333331</v>
      </c>
      <c r="AV134" s="1212">
        <v>0.33333333333333331</v>
      </c>
      <c r="AW134" s="1212">
        <v>0.33333333333333331</v>
      </c>
      <c r="AX134" s="1212"/>
      <c r="AY134" s="1212"/>
      <c r="AZ134" s="1212"/>
      <c r="BA134" s="1212"/>
      <c r="BB134" s="1212"/>
      <c r="BC134" s="1212"/>
      <c r="BD134" s="1212"/>
      <c r="BE134" s="1212"/>
      <c r="BF134" s="2126">
        <v>0</v>
      </c>
      <c r="BG134" s="2126">
        <v>0</v>
      </c>
      <c r="BH134" s="2126">
        <v>0</v>
      </c>
      <c r="BI134" s="2126">
        <v>0</v>
      </c>
      <c r="BJ134" s="2126">
        <v>0</v>
      </c>
      <c r="BK134" s="2126">
        <v>0</v>
      </c>
      <c r="BL134" s="2126">
        <v>0</v>
      </c>
      <c r="BM134" s="2126">
        <v>0</v>
      </c>
      <c r="BN134" s="2126">
        <v>0</v>
      </c>
      <c r="BO134" s="2126">
        <v>0</v>
      </c>
      <c r="BP134" s="2126">
        <v>0</v>
      </c>
      <c r="BQ134" s="2126">
        <v>0</v>
      </c>
      <c r="BR134" s="2126">
        <v>0</v>
      </c>
    </row>
    <row r="135" spans="1:70" s="1765" customFormat="1" ht="33">
      <c r="A135" s="1272">
        <v>2000</v>
      </c>
      <c r="B135" s="971" t="s">
        <v>119</v>
      </c>
      <c r="C135" s="1272">
        <v>2300</v>
      </c>
      <c r="D135" s="971" t="s">
        <v>222</v>
      </c>
      <c r="E135" s="971" t="s">
        <v>263</v>
      </c>
      <c r="F135" s="971" t="s">
        <v>264</v>
      </c>
      <c r="G135" s="971" t="s">
        <v>280</v>
      </c>
      <c r="H135" s="971" t="s">
        <v>266</v>
      </c>
      <c r="I135" s="1273" t="s">
        <v>345</v>
      </c>
      <c r="J135" s="971" t="s">
        <v>239</v>
      </c>
      <c r="K135" s="971"/>
      <c r="L135" s="971" t="s">
        <v>270</v>
      </c>
      <c r="M135" s="971" t="s">
        <v>270</v>
      </c>
      <c r="N135" s="971"/>
      <c r="O135" s="971" t="s">
        <v>270</v>
      </c>
      <c r="P135" s="971"/>
      <c r="Q135" s="971" t="s">
        <v>346</v>
      </c>
      <c r="R135" s="1266" t="s">
        <v>347</v>
      </c>
      <c r="S135" s="2106">
        <v>0</v>
      </c>
      <c r="T135" s="1266" t="s">
        <v>242</v>
      </c>
      <c r="U135" s="1742" t="s">
        <v>6588</v>
      </c>
      <c r="V135" s="1742" t="s">
        <v>6588</v>
      </c>
      <c r="W135" s="1742" t="s">
        <v>6588</v>
      </c>
      <c r="X135" s="1742" t="s">
        <v>6588</v>
      </c>
      <c r="Y135" s="2106" t="s">
        <v>6588</v>
      </c>
      <c r="Z135" s="2106">
        <v>0</v>
      </c>
      <c r="AA135" s="2106">
        <v>0</v>
      </c>
      <c r="AB135" s="2106">
        <v>0</v>
      </c>
      <c r="AC135" s="2106">
        <v>0</v>
      </c>
      <c r="AD135" s="1744">
        <v>0</v>
      </c>
      <c r="AE135" s="2126">
        <v>0</v>
      </c>
      <c r="AF135" s="2126">
        <v>0</v>
      </c>
      <c r="AG135" s="1212">
        <v>0</v>
      </c>
      <c r="AH135" s="1212">
        <v>1</v>
      </c>
      <c r="AI135" s="1212">
        <v>0</v>
      </c>
      <c r="AJ135" s="1212">
        <v>1</v>
      </c>
      <c r="AK135" s="2126">
        <v>0</v>
      </c>
      <c r="AL135" s="2126">
        <v>0</v>
      </c>
      <c r="AM135" s="2126">
        <v>0</v>
      </c>
      <c r="AN135" s="2126">
        <v>0</v>
      </c>
      <c r="AO135" s="1743" t="s">
        <v>131</v>
      </c>
      <c r="AP135" s="1743" t="s">
        <v>96</v>
      </c>
      <c r="AQ135" s="1764">
        <v>2014</v>
      </c>
      <c r="AR135" s="1743" t="s">
        <v>87</v>
      </c>
      <c r="AS135" s="2135"/>
      <c r="AT135" s="2135"/>
      <c r="AU135" s="1212">
        <v>0.33333333333333331</v>
      </c>
      <c r="AV135" s="1212">
        <v>0.33333333333333331</v>
      </c>
      <c r="AW135" s="1212">
        <v>0.33333333333333331</v>
      </c>
      <c r="AX135" s="1212"/>
      <c r="AY135" s="1212"/>
      <c r="AZ135" s="1212"/>
      <c r="BA135" s="1212"/>
      <c r="BB135" s="1212"/>
      <c r="BC135" s="1212"/>
      <c r="BD135" s="1212"/>
      <c r="BE135" s="1212"/>
      <c r="BF135" s="2126">
        <v>0</v>
      </c>
      <c r="BG135" s="2126">
        <v>0</v>
      </c>
      <c r="BH135" s="2126">
        <v>0</v>
      </c>
      <c r="BI135" s="2126">
        <v>0</v>
      </c>
      <c r="BJ135" s="2126">
        <v>0</v>
      </c>
      <c r="BK135" s="2126">
        <v>0</v>
      </c>
      <c r="BL135" s="2126">
        <v>0</v>
      </c>
      <c r="BM135" s="2126">
        <v>0</v>
      </c>
      <c r="BN135" s="2126">
        <v>0</v>
      </c>
      <c r="BO135" s="2126">
        <v>0</v>
      </c>
      <c r="BP135" s="2126">
        <v>0</v>
      </c>
      <c r="BQ135" s="2126">
        <v>0</v>
      </c>
      <c r="BR135" s="2126">
        <v>0</v>
      </c>
    </row>
    <row r="136" spans="1:70" s="1765" customFormat="1" ht="33">
      <c r="A136" s="1272">
        <v>2000</v>
      </c>
      <c r="B136" s="971" t="s">
        <v>119</v>
      </c>
      <c r="C136" s="1272">
        <v>2300</v>
      </c>
      <c r="D136" s="971" t="s">
        <v>222</v>
      </c>
      <c r="E136" s="971" t="s">
        <v>263</v>
      </c>
      <c r="F136" s="971" t="s">
        <v>264</v>
      </c>
      <c r="G136" s="971" t="s">
        <v>280</v>
      </c>
      <c r="H136" s="971" t="s">
        <v>266</v>
      </c>
      <c r="I136" s="1273" t="s">
        <v>348</v>
      </c>
      <c r="J136" s="971" t="s">
        <v>239</v>
      </c>
      <c r="K136" s="971"/>
      <c r="L136" s="971" t="s">
        <v>270</v>
      </c>
      <c r="M136" s="971" t="s">
        <v>270</v>
      </c>
      <c r="N136" s="971"/>
      <c r="O136" s="971" t="s">
        <v>270</v>
      </c>
      <c r="P136" s="971"/>
      <c r="Q136" s="971" t="s">
        <v>349</v>
      </c>
      <c r="R136" s="1266" t="s">
        <v>350</v>
      </c>
      <c r="S136" s="2106">
        <v>0</v>
      </c>
      <c r="T136" s="1266" t="s">
        <v>242</v>
      </c>
      <c r="U136" s="1742" t="s">
        <v>6588</v>
      </c>
      <c r="V136" s="1742" t="s">
        <v>6588</v>
      </c>
      <c r="W136" s="1742" t="s">
        <v>6588</v>
      </c>
      <c r="X136" s="1742" t="s">
        <v>6588</v>
      </c>
      <c r="Y136" s="2106" t="s">
        <v>6588</v>
      </c>
      <c r="Z136" s="2106">
        <v>0</v>
      </c>
      <c r="AA136" s="2106">
        <v>0</v>
      </c>
      <c r="AB136" s="2106">
        <v>0</v>
      </c>
      <c r="AC136" s="2106">
        <v>0</v>
      </c>
      <c r="AD136" s="1744">
        <v>0</v>
      </c>
      <c r="AE136" s="2126">
        <v>0</v>
      </c>
      <c r="AF136" s="2126">
        <v>0</v>
      </c>
      <c r="AG136" s="1212">
        <v>1</v>
      </c>
      <c r="AH136" s="1212">
        <v>0</v>
      </c>
      <c r="AI136" s="1212">
        <v>0</v>
      </c>
      <c r="AJ136" s="1212">
        <v>1</v>
      </c>
      <c r="AK136" s="2126">
        <v>0</v>
      </c>
      <c r="AL136" s="2126">
        <v>0</v>
      </c>
      <c r="AM136" s="2126">
        <v>0</v>
      </c>
      <c r="AN136" s="2126">
        <v>0</v>
      </c>
      <c r="AO136" s="1743" t="s">
        <v>131</v>
      </c>
      <c r="AP136" s="1743" t="s">
        <v>96</v>
      </c>
      <c r="AQ136" s="1764">
        <v>2014</v>
      </c>
      <c r="AR136" s="1743" t="s">
        <v>87</v>
      </c>
      <c r="AS136" s="2135"/>
      <c r="AT136" s="2135"/>
      <c r="AU136" s="1212">
        <v>0.33333333333333331</v>
      </c>
      <c r="AV136" s="1212">
        <v>0.33333333333333331</v>
      </c>
      <c r="AW136" s="1212">
        <v>0.33333333333333331</v>
      </c>
      <c r="AX136" s="1212"/>
      <c r="AY136" s="1212"/>
      <c r="AZ136" s="1212"/>
      <c r="BA136" s="1212"/>
      <c r="BB136" s="1212"/>
      <c r="BC136" s="1212"/>
      <c r="BD136" s="1212"/>
      <c r="BE136" s="1212"/>
      <c r="BF136" s="2126">
        <v>0</v>
      </c>
      <c r="BG136" s="2126">
        <v>0</v>
      </c>
      <c r="BH136" s="2126">
        <v>0</v>
      </c>
      <c r="BI136" s="2126">
        <v>0</v>
      </c>
      <c r="BJ136" s="2126">
        <v>0</v>
      </c>
      <c r="BK136" s="2126">
        <v>0</v>
      </c>
      <c r="BL136" s="2126">
        <v>0</v>
      </c>
      <c r="BM136" s="2126">
        <v>0</v>
      </c>
      <c r="BN136" s="2126">
        <v>0</v>
      </c>
      <c r="BO136" s="2126">
        <v>0</v>
      </c>
      <c r="BP136" s="2126">
        <v>0</v>
      </c>
      <c r="BQ136" s="2126">
        <v>0</v>
      </c>
      <c r="BR136" s="2126">
        <v>0</v>
      </c>
    </row>
    <row r="137" spans="1:70" s="1765" customFormat="1" ht="33">
      <c r="A137" s="1272">
        <v>2000</v>
      </c>
      <c r="B137" s="971" t="s">
        <v>119</v>
      </c>
      <c r="C137" s="1272">
        <v>2300</v>
      </c>
      <c r="D137" s="971" t="s">
        <v>222</v>
      </c>
      <c r="E137" s="971" t="s">
        <v>263</v>
      </c>
      <c r="F137" s="971" t="s">
        <v>264</v>
      </c>
      <c r="G137" s="971" t="s">
        <v>280</v>
      </c>
      <c r="H137" s="971" t="s">
        <v>266</v>
      </c>
      <c r="I137" s="1273" t="s">
        <v>351</v>
      </c>
      <c r="J137" s="971" t="s">
        <v>239</v>
      </c>
      <c r="K137" s="971"/>
      <c r="L137" s="971" t="s">
        <v>270</v>
      </c>
      <c r="M137" s="971" t="s">
        <v>270</v>
      </c>
      <c r="N137" s="971"/>
      <c r="O137" s="971" t="s">
        <v>270</v>
      </c>
      <c r="P137" s="971"/>
      <c r="Q137" s="971" t="s">
        <v>352</v>
      </c>
      <c r="R137" s="1266" t="s">
        <v>353</v>
      </c>
      <c r="S137" s="2106">
        <v>0</v>
      </c>
      <c r="T137" s="1266" t="s">
        <v>242</v>
      </c>
      <c r="U137" s="1742" t="s">
        <v>6588</v>
      </c>
      <c r="V137" s="1742" t="s">
        <v>6588</v>
      </c>
      <c r="W137" s="1742" t="s">
        <v>6588</v>
      </c>
      <c r="X137" s="1742" t="s">
        <v>6588</v>
      </c>
      <c r="Y137" s="2106" t="s">
        <v>6588</v>
      </c>
      <c r="Z137" s="2106">
        <v>0</v>
      </c>
      <c r="AA137" s="2106">
        <v>0</v>
      </c>
      <c r="AB137" s="2106">
        <v>0</v>
      </c>
      <c r="AC137" s="2106">
        <v>0</v>
      </c>
      <c r="AD137" s="1744">
        <v>0</v>
      </c>
      <c r="AE137" s="2126">
        <v>0</v>
      </c>
      <c r="AF137" s="2126">
        <v>0</v>
      </c>
      <c r="AG137" s="1212">
        <v>0</v>
      </c>
      <c r="AH137" s="1212">
        <v>1</v>
      </c>
      <c r="AI137" s="1212">
        <v>0</v>
      </c>
      <c r="AJ137" s="1212">
        <v>1</v>
      </c>
      <c r="AK137" s="2126">
        <v>0</v>
      </c>
      <c r="AL137" s="2126">
        <v>0</v>
      </c>
      <c r="AM137" s="2126">
        <v>0</v>
      </c>
      <c r="AN137" s="2126">
        <v>0</v>
      </c>
      <c r="AO137" s="1743" t="s">
        <v>131</v>
      </c>
      <c r="AP137" s="1743" t="s">
        <v>96</v>
      </c>
      <c r="AQ137" s="1764">
        <v>2014</v>
      </c>
      <c r="AR137" s="1743" t="s">
        <v>87</v>
      </c>
      <c r="AS137" s="2135"/>
      <c r="AT137" s="2135"/>
      <c r="AU137" s="1212">
        <v>0.33333333333333331</v>
      </c>
      <c r="AV137" s="1212">
        <v>0.33333333333333331</v>
      </c>
      <c r="AW137" s="1212">
        <v>0.33333333333333331</v>
      </c>
      <c r="AX137" s="1212"/>
      <c r="AY137" s="1212"/>
      <c r="AZ137" s="1212"/>
      <c r="BA137" s="1212"/>
      <c r="BB137" s="1212"/>
      <c r="BC137" s="1212"/>
      <c r="BD137" s="1212"/>
      <c r="BE137" s="1212"/>
      <c r="BF137" s="2126">
        <v>0</v>
      </c>
      <c r="BG137" s="2126">
        <v>0</v>
      </c>
      <c r="BH137" s="2126">
        <v>0</v>
      </c>
      <c r="BI137" s="2126">
        <v>0</v>
      </c>
      <c r="BJ137" s="2126">
        <v>0</v>
      </c>
      <c r="BK137" s="2126">
        <v>0</v>
      </c>
      <c r="BL137" s="2126">
        <v>0</v>
      </c>
      <c r="BM137" s="2126">
        <v>0</v>
      </c>
      <c r="BN137" s="2126">
        <v>0</v>
      </c>
      <c r="BO137" s="2126">
        <v>0</v>
      </c>
      <c r="BP137" s="2126">
        <v>0</v>
      </c>
      <c r="BQ137" s="2126">
        <v>0</v>
      </c>
      <c r="BR137" s="2126">
        <v>0</v>
      </c>
    </row>
    <row r="138" spans="1:70" s="1765" customFormat="1" ht="33">
      <c r="A138" s="1272">
        <v>2000</v>
      </c>
      <c r="B138" s="971" t="s">
        <v>119</v>
      </c>
      <c r="C138" s="1272">
        <v>2300</v>
      </c>
      <c r="D138" s="971" t="s">
        <v>222</v>
      </c>
      <c r="E138" s="971" t="s">
        <v>263</v>
      </c>
      <c r="F138" s="971" t="s">
        <v>264</v>
      </c>
      <c r="G138" s="971" t="s">
        <v>280</v>
      </c>
      <c r="H138" s="971" t="s">
        <v>266</v>
      </c>
      <c r="I138" s="1273" t="s">
        <v>354</v>
      </c>
      <c r="J138" s="971" t="s">
        <v>239</v>
      </c>
      <c r="K138" s="971"/>
      <c r="L138" s="971" t="s">
        <v>270</v>
      </c>
      <c r="M138" s="971" t="s">
        <v>270</v>
      </c>
      <c r="N138" s="971"/>
      <c r="O138" s="971" t="s">
        <v>270</v>
      </c>
      <c r="P138" s="971"/>
      <c r="Q138" s="971" t="s">
        <v>355</v>
      </c>
      <c r="R138" s="1266" t="s">
        <v>356</v>
      </c>
      <c r="S138" s="2106">
        <v>0</v>
      </c>
      <c r="T138" s="1266" t="s">
        <v>242</v>
      </c>
      <c r="U138" s="1742" t="s">
        <v>6588</v>
      </c>
      <c r="V138" s="1742" t="s">
        <v>6588</v>
      </c>
      <c r="W138" s="1742" t="s">
        <v>6588</v>
      </c>
      <c r="X138" s="1742" t="s">
        <v>6588</v>
      </c>
      <c r="Y138" s="2106" t="s">
        <v>6588</v>
      </c>
      <c r="Z138" s="2106">
        <v>0</v>
      </c>
      <c r="AA138" s="2106">
        <v>0</v>
      </c>
      <c r="AB138" s="2106">
        <v>0</v>
      </c>
      <c r="AC138" s="2106">
        <v>0</v>
      </c>
      <c r="AD138" s="1744">
        <v>0</v>
      </c>
      <c r="AE138" s="2126">
        <v>0</v>
      </c>
      <c r="AF138" s="2126">
        <v>0</v>
      </c>
      <c r="AG138" s="1212">
        <v>0</v>
      </c>
      <c r="AH138" s="1212">
        <v>1</v>
      </c>
      <c r="AI138" s="1212">
        <v>0</v>
      </c>
      <c r="AJ138" s="1212">
        <v>1</v>
      </c>
      <c r="AK138" s="2126">
        <v>0</v>
      </c>
      <c r="AL138" s="2126">
        <v>0</v>
      </c>
      <c r="AM138" s="2126">
        <v>0</v>
      </c>
      <c r="AN138" s="2126">
        <v>0</v>
      </c>
      <c r="AO138" s="1743" t="s">
        <v>131</v>
      </c>
      <c r="AP138" s="1743" t="s">
        <v>96</v>
      </c>
      <c r="AQ138" s="1764">
        <v>2014</v>
      </c>
      <c r="AR138" s="1743" t="s">
        <v>87</v>
      </c>
      <c r="AS138" s="2135"/>
      <c r="AT138" s="2135"/>
      <c r="AU138" s="1212">
        <v>0.33333333333333331</v>
      </c>
      <c r="AV138" s="1212">
        <v>0.33333333333333331</v>
      </c>
      <c r="AW138" s="1212">
        <v>0.33333333333333331</v>
      </c>
      <c r="AX138" s="1212"/>
      <c r="AY138" s="1212"/>
      <c r="AZ138" s="1212"/>
      <c r="BA138" s="1212"/>
      <c r="BB138" s="1212"/>
      <c r="BC138" s="1212"/>
      <c r="BD138" s="1212"/>
      <c r="BE138" s="1212"/>
      <c r="BF138" s="2126">
        <v>0</v>
      </c>
      <c r="BG138" s="2126">
        <v>0</v>
      </c>
      <c r="BH138" s="2126">
        <v>0</v>
      </c>
      <c r="BI138" s="2126">
        <v>0</v>
      </c>
      <c r="BJ138" s="2126">
        <v>0</v>
      </c>
      <c r="BK138" s="2126">
        <v>0</v>
      </c>
      <c r="BL138" s="2126">
        <v>0</v>
      </c>
      <c r="BM138" s="2126">
        <v>0</v>
      </c>
      <c r="BN138" s="2126">
        <v>0</v>
      </c>
      <c r="BO138" s="2126">
        <v>0</v>
      </c>
      <c r="BP138" s="2126">
        <v>0</v>
      </c>
      <c r="BQ138" s="2126">
        <v>0</v>
      </c>
      <c r="BR138" s="2126">
        <v>0</v>
      </c>
    </row>
    <row r="139" spans="1:70" s="1765" customFormat="1" ht="33">
      <c r="A139" s="1272">
        <v>2000</v>
      </c>
      <c r="B139" s="971" t="s">
        <v>119</v>
      </c>
      <c r="C139" s="1272">
        <v>2300</v>
      </c>
      <c r="D139" s="971" t="s">
        <v>222</v>
      </c>
      <c r="E139" s="971" t="s">
        <v>263</v>
      </c>
      <c r="F139" s="971" t="s">
        <v>264</v>
      </c>
      <c r="G139" s="971" t="s">
        <v>280</v>
      </c>
      <c r="H139" s="971" t="s">
        <v>266</v>
      </c>
      <c r="I139" s="1273" t="s">
        <v>357</v>
      </c>
      <c r="J139" s="971" t="s">
        <v>239</v>
      </c>
      <c r="K139" s="971"/>
      <c r="L139" s="971" t="s">
        <v>270</v>
      </c>
      <c r="M139" s="971" t="s">
        <v>270</v>
      </c>
      <c r="N139" s="971"/>
      <c r="O139" s="971" t="s">
        <v>270</v>
      </c>
      <c r="P139" s="971"/>
      <c r="Q139" s="971" t="s">
        <v>358</v>
      </c>
      <c r="R139" s="1266" t="s">
        <v>359</v>
      </c>
      <c r="S139" s="2106">
        <v>0</v>
      </c>
      <c r="T139" s="1266" t="s">
        <v>242</v>
      </c>
      <c r="U139" s="1742" t="s">
        <v>6588</v>
      </c>
      <c r="V139" s="1742" t="s">
        <v>6588</v>
      </c>
      <c r="W139" s="1742" t="s">
        <v>6588</v>
      </c>
      <c r="X139" s="1742" t="s">
        <v>6588</v>
      </c>
      <c r="Y139" s="2106" t="s">
        <v>6588</v>
      </c>
      <c r="Z139" s="2106">
        <v>0</v>
      </c>
      <c r="AA139" s="2106">
        <v>0</v>
      </c>
      <c r="AB139" s="2106">
        <v>0</v>
      </c>
      <c r="AC139" s="2106">
        <v>0</v>
      </c>
      <c r="AD139" s="1744">
        <v>0</v>
      </c>
      <c r="AE139" s="2126">
        <v>0</v>
      </c>
      <c r="AF139" s="2126">
        <v>0</v>
      </c>
      <c r="AG139" s="1212">
        <v>0</v>
      </c>
      <c r="AH139" s="1212">
        <v>1</v>
      </c>
      <c r="AI139" s="1212">
        <v>0</v>
      </c>
      <c r="AJ139" s="1212">
        <v>1</v>
      </c>
      <c r="AK139" s="2126">
        <v>0</v>
      </c>
      <c r="AL139" s="2126">
        <v>0</v>
      </c>
      <c r="AM139" s="2126">
        <v>0</v>
      </c>
      <c r="AN139" s="2126">
        <v>0</v>
      </c>
      <c r="AO139" s="1743" t="s">
        <v>131</v>
      </c>
      <c r="AP139" s="1743" t="s">
        <v>96</v>
      </c>
      <c r="AQ139" s="1764">
        <v>2014</v>
      </c>
      <c r="AR139" s="1743" t="s">
        <v>87</v>
      </c>
      <c r="AS139" s="2135"/>
      <c r="AT139" s="2135"/>
      <c r="AU139" s="1212">
        <v>0.33333333333333331</v>
      </c>
      <c r="AV139" s="1212">
        <v>0.33333333333333331</v>
      </c>
      <c r="AW139" s="1212">
        <v>0.33333333333333331</v>
      </c>
      <c r="AX139" s="1212"/>
      <c r="AY139" s="1212"/>
      <c r="AZ139" s="1212"/>
      <c r="BA139" s="1212"/>
      <c r="BB139" s="1212"/>
      <c r="BC139" s="1212"/>
      <c r="BD139" s="1212"/>
      <c r="BE139" s="1212"/>
      <c r="BF139" s="2126">
        <v>0</v>
      </c>
      <c r="BG139" s="2126">
        <v>0</v>
      </c>
      <c r="BH139" s="2126">
        <v>0</v>
      </c>
      <c r="BI139" s="2126">
        <v>0</v>
      </c>
      <c r="BJ139" s="2126">
        <v>0</v>
      </c>
      <c r="BK139" s="2126">
        <v>0</v>
      </c>
      <c r="BL139" s="2126">
        <v>0</v>
      </c>
      <c r="BM139" s="2126">
        <v>0</v>
      </c>
      <c r="BN139" s="2126">
        <v>0</v>
      </c>
      <c r="BO139" s="2126">
        <v>0</v>
      </c>
      <c r="BP139" s="2126">
        <v>0</v>
      </c>
      <c r="BQ139" s="2126">
        <v>0</v>
      </c>
      <c r="BR139" s="2126">
        <v>0</v>
      </c>
    </row>
    <row r="140" spans="1:70" s="1765" customFormat="1" ht="33">
      <c r="A140" s="1272">
        <v>2000</v>
      </c>
      <c r="B140" s="971" t="s">
        <v>119</v>
      </c>
      <c r="C140" s="1272">
        <v>2300</v>
      </c>
      <c r="D140" s="971" t="s">
        <v>222</v>
      </c>
      <c r="E140" s="971" t="s">
        <v>263</v>
      </c>
      <c r="F140" s="971" t="s">
        <v>264</v>
      </c>
      <c r="G140" s="971" t="s">
        <v>280</v>
      </c>
      <c r="H140" s="971" t="s">
        <v>266</v>
      </c>
      <c r="I140" s="1273" t="s">
        <v>360</v>
      </c>
      <c r="J140" s="971" t="s">
        <v>239</v>
      </c>
      <c r="K140" s="971"/>
      <c r="L140" s="971" t="s">
        <v>270</v>
      </c>
      <c r="M140" s="971" t="s">
        <v>270</v>
      </c>
      <c r="N140" s="971"/>
      <c r="O140" s="971" t="s">
        <v>270</v>
      </c>
      <c r="P140" s="971"/>
      <c r="Q140" s="971" t="s">
        <v>361</v>
      </c>
      <c r="R140" s="1266" t="s">
        <v>362</v>
      </c>
      <c r="S140" s="2106">
        <v>0</v>
      </c>
      <c r="T140" s="1266" t="s">
        <v>242</v>
      </c>
      <c r="U140" s="1742" t="s">
        <v>6588</v>
      </c>
      <c r="V140" s="1742" t="s">
        <v>6588</v>
      </c>
      <c r="W140" s="1742" t="s">
        <v>6588</v>
      </c>
      <c r="X140" s="1742" t="s">
        <v>6588</v>
      </c>
      <c r="Y140" s="2106" t="s">
        <v>6588</v>
      </c>
      <c r="Z140" s="2106">
        <v>0</v>
      </c>
      <c r="AA140" s="2106">
        <v>0</v>
      </c>
      <c r="AB140" s="2106">
        <v>0</v>
      </c>
      <c r="AC140" s="2106">
        <v>0</v>
      </c>
      <c r="AD140" s="1744">
        <v>0</v>
      </c>
      <c r="AE140" s="2126">
        <v>0</v>
      </c>
      <c r="AF140" s="2126">
        <v>0</v>
      </c>
      <c r="AG140" s="1212">
        <v>0</v>
      </c>
      <c r="AH140" s="1212">
        <v>1</v>
      </c>
      <c r="AI140" s="1212">
        <v>0</v>
      </c>
      <c r="AJ140" s="1212">
        <v>1</v>
      </c>
      <c r="AK140" s="2126">
        <v>0</v>
      </c>
      <c r="AL140" s="2126">
        <v>0</v>
      </c>
      <c r="AM140" s="2126">
        <v>0</v>
      </c>
      <c r="AN140" s="2126">
        <v>0</v>
      </c>
      <c r="AO140" s="1743" t="s">
        <v>131</v>
      </c>
      <c r="AP140" s="1743" t="s">
        <v>96</v>
      </c>
      <c r="AQ140" s="1764">
        <v>2014</v>
      </c>
      <c r="AR140" s="1743" t="s">
        <v>87</v>
      </c>
      <c r="AS140" s="2135"/>
      <c r="AT140" s="2135"/>
      <c r="AU140" s="1212">
        <v>0.33333333333333331</v>
      </c>
      <c r="AV140" s="1212">
        <v>0.33333333333333331</v>
      </c>
      <c r="AW140" s="1212">
        <v>0.33333333333333331</v>
      </c>
      <c r="AX140" s="1212"/>
      <c r="AY140" s="1212"/>
      <c r="AZ140" s="1212"/>
      <c r="BA140" s="1212"/>
      <c r="BB140" s="1212"/>
      <c r="BC140" s="1212"/>
      <c r="BD140" s="1212"/>
      <c r="BE140" s="1212"/>
      <c r="BF140" s="2126">
        <v>0</v>
      </c>
      <c r="BG140" s="2126">
        <v>0</v>
      </c>
      <c r="BH140" s="2126">
        <v>0</v>
      </c>
      <c r="BI140" s="2126">
        <v>0</v>
      </c>
      <c r="BJ140" s="2126">
        <v>0</v>
      </c>
      <c r="BK140" s="2126">
        <v>0</v>
      </c>
      <c r="BL140" s="2126">
        <v>0</v>
      </c>
      <c r="BM140" s="2126">
        <v>0</v>
      </c>
      <c r="BN140" s="2126">
        <v>0</v>
      </c>
      <c r="BO140" s="2126">
        <v>0</v>
      </c>
      <c r="BP140" s="2126">
        <v>0</v>
      </c>
      <c r="BQ140" s="2126">
        <v>0</v>
      </c>
      <c r="BR140" s="2126">
        <v>0</v>
      </c>
    </row>
    <row r="141" spans="1:70" s="1765" customFormat="1" ht="33">
      <c r="A141" s="1272">
        <v>2000</v>
      </c>
      <c r="B141" s="971" t="s">
        <v>119</v>
      </c>
      <c r="C141" s="1272">
        <v>2300</v>
      </c>
      <c r="D141" s="971" t="s">
        <v>222</v>
      </c>
      <c r="E141" s="971" t="s">
        <v>263</v>
      </c>
      <c r="F141" s="971" t="s">
        <v>264</v>
      </c>
      <c r="G141" s="971" t="s">
        <v>280</v>
      </c>
      <c r="H141" s="971" t="s">
        <v>266</v>
      </c>
      <c r="I141" s="1273" t="s">
        <v>363</v>
      </c>
      <c r="J141" s="971" t="s">
        <v>239</v>
      </c>
      <c r="K141" s="971"/>
      <c r="L141" s="971" t="s">
        <v>270</v>
      </c>
      <c r="M141" s="971" t="s">
        <v>270</v>
      </c>
      <c r="N141" s="971"/>
      <c r="O141" s="971" t="s">
        <v>270</v>
      </c>
      <c r="P141" s="971"/>
      <c r="Q141" s="971" t="s">
        <v>364</v>
      </c>
      <c r="R141" s="1266" t="s">
        <v>365</v>
      </c>
      <c r="S141" s="2106">
        <v>0</v>
      </c>
      <c r="T141" s="1266" t="s">
        <v>242</v>
      </c>
      <c r="U141" s="1742" t="s">
        <v>6588</v>
      </c>
      <c r="V141" s="1742" t="s">
        <v>6588</v>
      </c>
      <c r="W141" s="1742" t="s">
        <v>6588</v>
      </c>
      <c r="X141" s="1742" t="s">
        <v>6588</v>
      </c>
      <c r="Y141" s="2106" t="s">
        <v>6588</v>
      </c>
      <c r="Z141" s="2106">
        <v>0</v>
      </c>
      <c r="AA141" s="2106">
        <v>0</v>
      </c>
      <c r="AB141" s="2106">
        <v>0</v>
      </c>
      <c r="AC141" s="2106">
        <v>0</v>
      </c>
      <c r="AD141" s="1744">
        <v>0</v>
      </c>
      <c r="AE141" s="2126">
        <v>0</v>
      </c>
      <c r="AF141" s="2126">
        <v>0</v>
      </c>
      <c r="AG141" s="1212">
        <v>0</v>
      </c>
      <c r="AH141" s="1212">
        <v>1</v>
      </c>
      <c r="AI141" s="1212">
        <v>0</v>
      </c>
      <c r="AJ141" s="1212">
        <v>1</v>
      </c>
      <c r="AK141" s="2126">
        <v>0</v>
      </c>
      <c r="AL141" s="2126">
        <v>0</v>
      </c>
      <c r="AM141" s="2126">
        <v>0</v>
      </c>
      <c r="AN141" s="2126">
        <v>0</v>
      </c>
      <c r="AO141" s="1743" t="s">
        <v>131</v>
      </c>
      <c r="AP141" s="1743" t="s">
        <v>96</v>
      </c>
      <c r="AQ141" s="1764">
        <v>2014</v>
      </c>
      <c r="AR141" s="1743" t="s">
        <v>87</v>
      </c>
      <c r="AS141" s="2135"/>
      <c r="AT141" s="2135"/>
      <c r="AU141" s="1212">
        <v>0.33333333333333331</v>
      </c>
      <c r="AV141" s="1212">
        <v>0.33333333333333331</v>
      </c>
      <c r="AW141" s="1212">
        <v>0.33333333333333331</v>
      </c>
      <c r="AX141" s="1212"/>
      <c r="AY141" s="1212"/>
      <c r="AZ141" s="1212"/>
      <c r="BA141" s="1212"/>
      <c r="BB141" s="1212"/>
      <c r="BC141" s="1212"/>
      <c r="BD141" s="1212"/>
      <c r="BE141" s="1212"/>
      <c r="BF141" s="2126">
        <v>0</v>
      </c>
      <c r="BG141" s="2126">
        <v>0</v>
      </c>
      <c r="BH141" s="2126">
        <v>0</v>
      </c>
      <c r="BI141" s="2126">
        <v>0</v>
      </c>
      <c r="BJ141" s="2126">
        <v>0</v>
      </c>
      <c r="BK141" s="2126">
        <v>0</v>
      </c>
      <c r="BL141" s="2126">
        <v>0</v>
      </c>
      <c r="BM141" s="2126">
        <v>0</v>
      </c>
      <c r="BN141" s="2126">
        <v>0</v>
      </c>
      <c r="BO141" s="2126">
        <v>0</v>
      </c>
      <c r="BP141" s="2126">
        <v>0</v>
      </c>
      <c r="BQ141" s="2126">
        <v>0</v>
      </c>
      <c r="BR141" s="2126">
        <v>0</v>
      </c>
    </row>
    <row r="142" spans="1:70" s="1765" customFormat="1" ht="33">
      <c r="A142" s="1272">
        <v>2000</v>
      </c>
      <c r="B142" s="971" t="s">
        <v>119</v>
      </c>
      <c r="C142" s="1272">
        <v>2300</v>
      </c>
      <c r="D142" s="971" t="s">
        <v>222</v>
      </c>
      <c r="E142" s="971" t="s">
        <v>263</v>
      </c>
      <c r="F142" s="971" t="s">
        <v>264</v>
      </c>
      <c r="G142" s="971" t="s">
        <v>280</v>
      </c>
      <c r="H142" s="971" t="s">
        <v>266</v>
      </c>
      <c r="I142" s="1273" t="s">
        <v>366</v>
      </c>
      <c r="J142" s="971" t="s">
        <v>239</v>
      </c>
      <c r="K142" s="971"/>
      <c r="L142" s="971" t="s">
        <v>270</v>
      </c>
      <c r="M142" s="971" t="s">
        <v>270</v>
      </c>
      <c r="N142" s="971"/>
      <c r="O142" s="971" t="s">
        <v>270</v>
      </c>
      <c r="P142" s="971"/>
      <c r="Q142" s="971" t="s">
        <v>361</v>
      </c>
      <c r="R142" s="1266" t="s">
        <v>367</v>
      </c>
      <c r="S142" s="2106">
        <v>0</v>
      </c>
      <c r="T142" s="1266" t="s">
        <v>242</v>
      </c>
      <c r="U142" s="1742" t="s">
        <v>6588</v>
      </c>
      <c r="V142" s="1742" t="s">
        <v>6588</v>
      </c>
      <c r="W142" s="1742" t="s">
        <v>6588</v>
      </c>
      <c r="X142" s="1742" t="s">
        <v>6588</v>
      </c>
      <c r="Y142" s="2106" t="s">
        <v>6588</v>
      </c>
      <c r="Z142" s="2106">
        <v>0</v>
      </c>
      <c r="AA142" s="2106">
        <v>0</v>
      </c>
      <c r="AB142" s="2106">
        <v>0</v>
      </c>
      <c r="AC142" s="2106">
        <v>0</v>
      </c>
      <c r="AD142" s="1744">
        <v>0</v>
      </c>
      <c r="AE142" s="2126">
        <v>0</v>
      </c>
      <c r="AF142" s="2126">
        <v>0</v>
      </c>
      <c r="AG142" s="1212">
        <v>0</v>
      </c>
      <c r="AH142" s="1212">
        <v>1</v>
      </c>
      <c r="AI142" s="1212">
        <v>0</v>
      </c>
      <c r="AJ142" s="1212">
        <v>1</v>
      </c>
      <c r="AK142" s="2126">
        <v>0</v>
      </c>
      <c r="AL142" s="2126">
        <v>0</v>
      </c>
      <c r="AM142" s="2126">
        <v>0</v>
      </c>
      <c r="AN142" s="2126">
        <v>0</v>
      </c>
      <c r="AO142" s="1743" t="s">
        <v>131</v>
      </c>
      <c r="AP142" s="1743" t="s">
        <v>96</v>
      </c>
      <c r="AQ142" s="1764">
        <v>2014</v>
      </c>
      <c r="AR142" s="1743" t="s">
        <v>87</v>
      </c>
      <c r="AS142" s="2135"/>
      <c r="AT142" s="2135"/>
      <c r="AU142" s="1212">
        <v>0.33333333333333331</v>
      </c>
      <c r="AV142" s="1212">
        <v>0.33333333333333331</v>
      </c>
      <c r="AW142" s="1212">
        <v>0.33333333333333331</v>
      </c>
      <c r="AX142" s="1212"/>
      <c r="AY142" s="1212"/>
      <c r="AZ142" s="1212"/>
      <c r="BA142" s="1212"/>
      <c r="BB142" s="1212"/>
      <c r="BC142" s="1212"/>
      <c r="BD142" s="1212"/>
      <c r="BE142" s="1212"/>
      <c r="BF142" s="2126">
        <v>0</v>
      </c>
      <c r="BG142" s="2126">
        <v>0</v>
      </c>
      <c r="BH142" s="2126">
        <v>0</v>
      </c>
      <c r="BI142" s="2126">
        <v>0</v>
      </c>
      <c r="BJ142" s="2126">
        <v>0</v>
      </c>
      <c r="BK142" s="2126">
        <v>0</v>
      </c>
      <c r="BL142" s="2126">
        <v>0</v>
      </c>
      <c r="BM142" s="2126">
        <v>0</v>
      </c>
      <c r="BN142" s="2126">
        <v>0</v>
      </c>
      <c r="BO142" s="2126">
        <v>0</v>
      </c>
      <c r="BP142" s="2126">
        <v>0</v>
      </c>
      <c r="BQ142" s="2126">
        <v>0</v>
      </c>
      <c r="BR142" s="2126">
        <v>0</v>
      </c>
    </row>
    <row r="143" spans="1:70" s="1765" customFormat="1" ht="33">
      <c r="A143" s="1272">
        <v>2000</v>
      </c>
      <c r="B143" s="971" t="s">
        <v>119</v>
      </c>
      <c r="C143" s="1272">
        <v>2300</v>
      </c>
      <c r="D143" s="971" t="s">
        <v>222</v>
      </c>
      <c r="E143" s="971" t="s">
        <v>263</v>
      </c>
      <c r="F143" s="971" t="s">
        <v>264</v>
      </c>
      <c r="G143" s="971" t="s">
        <v>280</v>
      </c>
      <c r="H143" s="971" t="s">
        <v>266</v>
      </c>
      <c r="I143" s="1273" t="s">
        <v>368</v>
      </c>
      <c r="J143" s="971" t="s">
        <v>239</v>
      </c>
      <c r="K143" s="971"/>
      <c r="L143" s="971" t="s">
        <v>270</v>
      </c>
      <c r="M143" s="971" t="s">
        <v>270</v>
      </c>
      <c r="N143" s="971"/>
      <c r="O143" s="971" t="s">
        <v>270</v>
      </c>
      <c r="P143" s="971"/>
      <c r="Q143" s="971" t="s">
        <v>364</v>
      </c>
      <c r="R143" s="1266" t="s">
        <v>369</v>
      </c>
      <c r="S143" s="2106">
        <v>0</v>
      </c>
      <c r="T143" s="1266" t="s">
        <v>242</v>
      </c>
      <c r="U143" s="1742" t="s">
        <v>6588</v>
      </c>
      <c r="V143" s="1742" t="s">
        <v>6588</v>
      </c>
      <c r="W143" s="1742" t="s">
        <v>6588</v>
      </c>
      <c r="X143" s="1742" t="s">
        <v>6588</v>
      </c>
      <c r="Y143" s="2106" t="s">
        <v>6588</v>
      </c>
      <c r="Z143" s="2106">
        <v>0</v>
      </c>
      <c r="AA143" s="2106">
        <v>0</v>
      </c>
      <c r="AB143" s="2106">
        <v>0</v>
      </c>
      <c r="AC143" s="2106">
        <v>0</v>
      </c>
      <c r="AD143" s="1744">
        <v>0</v>
      </c>
      <c r="AE143" s="2126">
        <v>0</v>
      </c>
      <c r="AF143" s="2126">
        <v>0</v>
      </c>
      <c r="AG143" s="1212">
        <v>0</v>
      </c>
      <c r="AH143" s="1212">
        <v>1</v>
      </c>
      <c r="AI143" s="1212">
        <v>0</v>
      </c>
      <c r="AJ143" s="1212">
        <v>1</v>
      </c>
      <c r="AK143" s="2126">
        <v>0</v>
      </c>
      <c r="AL143" s="2126">
        <v>0</v>
      </c>
      <c r="AM143" s="2126">
        <v>0</v>
      </c>
      <c r="AN143" s="2126">
        <v>0</v>
      </c>
      <c r="AO143" s="1743" t="s">
        <v>131</v>
      </c>
      <c r="AP143" s="1743" t="s">
        <v>96</v>
      </c>
      <c r="AQ143" s="1764">
        <v>2014</v>
      </c>
      <c r="AR143" s="1743" t="s">
        <v>87</v>
      </c>
      <c r="AS143" s="2135"/>
      <c r="AT143" s="2135"/>
      <c r="AU143" s="1212">
        <v>0.33333333333333331</v>
      </c>
      <c r="AV143" s="1212">
        <v>0.33333333333333331</v>
      </c>
      <c r="AW143" s="1212">
        <v>0.33333333333333331</v>
      </c>
      <c r="AX143" s="1212"/>
      <c r="AY143" s="1212"/>
      <c r="AZ143" s="1212"/>
      <c r="BA143" s="1212"/>
      <c r="BB143" s="1212"/>
      <c r="BC143" s="1212"/>
      <c r="BD143" s="1212"/>
      <c r="BE143" s="1212"/>
      <c r="BF143" s="2126">
        <v>0</v>
      </c>
      <c r="BG143" s="2126">
        <v>0</v>
      </c>
      <c r="BH143" s="2126">
        <v>0</v>
      </c>
      <c r="BI143" s="2126">
        <v>0</v>
      </c>
      <c r="BJ143" s="2126">
        <v>0</v>
      </c>
      <c r="BK143" s="2126">
        <v>0</v>
      </c>
      <c r="BL143" s="2126">
        <v>0</v>
      </c>
      <c r="BM143" s="2126">
        <v>0</v>
      </c>
      <c r="BN143" s="2126">
        <v>0</v>
      </c>
      <c r="BO143" s="2126">
        <v>0</v>
      </c>
      <c r="BP143" s="2126">
        <v>0</v>
      </c>
      <c r="BQ143" s="2126">
        <v>0</v>
      </c>
      <c r="BR143" s="2126">
        <v>0</v>
      </c>
    </row>
    <row r="144" spans="1:70" s="1765" customFormat="1" ht="33">
      <c r="A144" s="1272">
        <v>2000</v>
      </c>
      <c r="B144" s="971" t="s">
        <v>119</v>
      </c>
      <c r="C144" s="1272">
        <v>2300</v>
      </c>
      <c r="D144" s="971" t="s">
        <v>222</v>
      </c>
      <c r="E144" s="971" t="s">
        <v>263</v>
      </c>
      <c r="F144" s="971" t="s">
        <v>264</v>
      </c>
      <c r="G144" s="971" t="s">
        <v>280</v>
      </c>
      <c r="H144" s="971" t="s">
        <v>266</v>
      </c>
      <c r="I144" s="1273" t="s">
        <v>370</v>
      </c>
      <c r="J144" s="971" t="s">
        <v>239</v>
      </c>
      <c r="K144" s="971"/>
      <c r="L144" s="971" t="s">
        <v>270</v>
      </c>
      <c r="M144" s="971" t="s">
        <v>270</v>
      </c>
      <c r="N144" s="971"/>
      <c r="O144" s="971" t="s">
        <v>270</v>
      </c>
      <c r="P144" s="971"/>
      <c r="Q144" s="971" t="s">
        <v>371</v>
      </c>
      <c r="R144" s="1266" t="s">
        <v>372</v>
      </c>
      <c r="S144" s="2106">
        <v>0</v>
      </c>
      <c r="T144" s="1266" t="s">
        <v>242</v>
      </c>
      <c r="U144" s="1742" t="s">
        <v>6588</v>
      </c>
      <c r="V144" s="1742" t="s">
        <v>6588</v>
      </c>
      <c r="W144" s="1742" t="s">
        <v>6588</v>
      </c>
      <c r="X144" s="1742" t="s">
        <v>6588</v>
      </c>
      <c r="Y144" s="2106" t="s">
        <v>6588</v>
      </c>
      <c r="Z144" s="2106">
        <v>0</v>
      </c>
      <c r="AA144" s="2106">
        <v>0</v>
      </c>
      <c r="AB144" s="2106">
        <v>0</v>
      </c>
      <c r="AC144" s="2106">
        <v>0</v>
      </c>
      <c r="AD144" s="1744">
        <v>0</v>
      </c>
      <c r="AE144" s="2126">
        <v>0</v>
      </c>
      <c r="AF144" s="2126">
        <v>0</v>
      </c>
      <c r="AG144" s="1212">
        <v>0</v>
      </c>
      <c r="AH144" s="1212">
        <v>1</v>
      </c>
      <c r="AI144" s="1212">
        <v>0</v>
      </c>
      <c r="AJ144" s="1212">
        <v>1</v>
      </c>
      <c r="AK144" s="2126">
        <v>0</v>
      </c>
      <c r="AL144" s="2126">
        <v>0</v>
      </c>
      <c r="AM144" s="2126">
        <v>0</v>
      </c>
      <c r="AN144" s="2126">
        <v>0</v>
      </c>
      <c r="AO144" s="1743" t="s">
        <v>131</v>
      </c>
      <c r="AP144" s="1743" t="s">
        <v>96</v>
      </c>
      <c r="AQ144" s="1764">
        <v>2014</v>
      </c>
      <c r="AR144" s="1743" t="s">
        <v>87</v>
      </c>
      <c r="AS144" s="2135"/>
      <c r="AT144" s="2135"/>
      <c r="AU144" s="1212">
        <v>0.33333333333333331</v>
      </c>
      <c r="AV144" s="1212">
        <v>0.33333333333333331</v>
      </c>
      <c r="AW144" s="1212">
        <v>0.33333333333333331</v>
      </c>
      <c r="AX144" s="1212"/>
      <c r="AY144" s="1212"/>
      <c r="AZ144" s="1212"/>
      <c r="BA144" s="1212"/>
      <c r="BB144" s="1212"/>
      <c r="BC144" s="1212"/>
      <c r="BD144" s="1212"/>
      <c r="BE144" s="1212"/>
      <c r="BF144" s="2126">
        <v>0</v>
      </c>
      <c r="BG144" s="2126">
        <v>0</v>
      </c>
      <c r="BH144" s="2126">
        <v>0</v>
      </c>
      <c r="BI144" s="2126">
        <v>0</v>
      </c>
      <c r="BJ144" s="2126">
        <v>0</v>
      </c>
      <c r="BK144" s="2126">
        <v>0</v>
      </c>
      <c r="BL144" s="2126">
        <v>0</v>
      </c>
      <c r="BM144" s="2126">
        <v>0</v>
      </c>
      <c r="BN144" s="2126">
        <v>0</v>
      </c>
      <c r="BO144" s="2126">
        <v>0</v>
      </c>
      <c r="BP144" s="2126">
        <v>0</v>
      </c>
      <c r="BQ144" s="2126">
        <v>0</v>
      </c>
      <c r="BR144" s="2126">
        <v>0</v>
      </c>
    </row>
    <row r="145" spans="1:70" s="1765" customFormat="1" ht="33">
      <c r="A145" s="1272">
        <v>2000</v>
      </c>
      <c r="B145" s="971" t="s">
        <v>119</v>
      </c>
      <c r="C145" s="1272">
        <v>2300</v>
      </c>
      <c r="D145" s="971" t="s">
        <v>222</v>
      </c>
      <c r="E145" s="971" t="s">
        <v>263</v>
      </c>
      <c r="F145" s="971" t="s">
        <v>264</v>
      </c>
      <c r="G145" s="971" t="s">
        <v>280</v>
      </c>
      <c r="H145" s="971" t="s">
        <v>266</v>
      </c>
      <c r="I145" s="1273" t="s">
        <v>373</v>
      </c>
      <c r="J145" s="971" t="s">
        <v>239</v>
      </c>
      <c r="K145" s="971"/>
      <c r="L145" s="971" t="s">
        <v>270</v>
      </c>
      <c r="M145" s="971" t="s">
        <v>270</v>
      </c>
      <c r="N145" s="971"/>
      <c r="O145" s="971" t="s">
        <v>270</v>
      </c>
      <c r="P145" s="971"/>
      <c r="Q145" s="971" t="s">
        <v>371</v>
      </c>
      <c r="R145" s="1266" t="s">
        <v>374</v>
      </c>
      <c r="S145" s="2106">
        <v>0</v>
      </c>
      <c r="T145" s="1266" t="s">
        <v>242</v>
      </c>
      <c r="U145" s="1742" t="s">
        <v>6588</v>
      </c>
      <c r="V145" s="1742" t="s">
        <v>6588</v>
      </c>
      <c r="W145" s="1742" t="s">
        <v>6588</v>
      </c>
      <c r="X145" s="1742" t="s">
        <v>6588</v>
      </c>
      <c r="Y145" s="2106" t="s">
        <v>6588</v>
      </c>
      <c r="Z145" s="2106">
        <v>0</v>
      </c>
      <c r="AA145" s="2106">
        <v>0</v>
      </c>
      <c r="AB145" s="2106">
        <v>0</v>
      </c>
      <c r="AC145" s="2106">
        <v>0</v>
      </c>
      <c r="AD145" s="1744">
        <v>0</v>
      </c>
      <c r="AE145" s="2126">
        <v>0</v>
      </c>
      <c r="AF145" s="2126">
        <v>0</v>
      </c>
      <c r="AG145" s="1212">
        <v>0</v>
      </c>
      <c r="AH145" s="1212">
        <v>1</v>
      </c>
      <c r="AI145" s="1212">
        <v>0</v>
      </c>
      <c r="AJ145" s="1212">
        <v>1</v>
      </c>
      <c r="AK145" s="2126">
        <v>0</v>
      </c>
      <c r="AL145" s="2126">
        <v>0</v>
      </c>
      <c r="AM145" s="2126">
        <v>0</v>
      </c>
      <c r="AN145" s="2126">
        <v>0</v>
      </c>
      <c r="AO145" s="1743" t="s">
        <v>131</v>
      </c>
      <c r="AP145" s="1743" t="s">
        <v>96</v>
      </c>
      <c r="AQ145" s="1764">
        <v>2014</v>
      </c>
      <c r="AR145" s="1743" t="s">
        <v>87</v>
      </c>
      <c r="AS145" s="2135"/>
      <c r="AT145" s="2135"/>
      <c r="AU145" s="1212">
        <v>0.33333333333333331</v>
      </c>
      <c r="AV145" s="1212">
        <v>0.33333333333333331</v>
      </c>
      <c r="AW145" s="1212">
        <v>0.33333333333333331</v>
      </c>
      <c r="AX145" s="1212"/>
      <c r="AY145" s="1212"/>
      <c r="AZ145" s="1212"/>
      <c r="BA145" s="1212"/>
      <c r="BB145" s="1212"/>
      <c r="BC145" s="1212"/>
      <c r="BD145" s="1212"/>
      <c r="BE145" s="1212"/>
      <c r="BF145" s="2126">
        <v>0</v>
      </c>
      <c r="BG145" s="2126">
        <v>0</v>
      </c>
      <c r="BH145" s="2126">
        <v>0</v>
      </c>
      <c r="BI145" s="2126">
        <v>0</v>
      </c>
      <c r="BJ145" s="2126">
        <v>0</v>
      </c>
      <c r="BK145" s="2126">
        <v>0</v>
      </c>
      <c r="BL145" s="2126">
        <v>0</v>
      </c>
      <c r="BM145" s="2126">
        <v>0</v>
      </c>
      <c r="BN145" s="2126">
        <v>0</v>
      </c>
      <c r="BO145" s="2126">
        <v>0</v>
      </c>
      <c r="BP145" s="2126">
        <v>0</v>
      </c>
      <c r="BQ145" s="2126">
        <v>0</v>
      </c>
      <c r="BR145" s="2126">
        <v>0</v>
      </c>
    </row>
    <row r="146" spans="1:70" s="1765" customFormat="1" ht="33">
      <c r="A146" s="1272">
        <v>2000</v>
      </c>
      <c r="B146" s="971" t="s">
        <v>119</v>
      </c>
      <c r="C146" s="1272">
        <v>2300</v>
      </c>
      <c r="D146" s="971" t="s">
        <v>222</v>
      </c>
      <c r="E146" s="971" t="s">
        <v>263</v>
      </c>
      <c r="F146" s="971" t="s">
        <v>264</v>
      </c>
      <c r="G146" s="971" t="s">
        <v>280</v>
      </c>
      <c r="H146" s="971" t="s">
        <v>266</v>
      </c>
      <c r="I146" s="1273" t="s">
        <v>375</v>
      </c>
      <c r="J146" s="971" t="s">
        <v>267</v>
      </c>
      <c r="K146" s="971"/>
      <c r="L146" s="971" t="s">
        <v>270</v>
      </c>
      <c r="M146" s="971" t="s">
        <v>270</v>
      </c>
      <c r="N146" s="971"/>
      <c r="O146" s="971" t="s">
        <v>270</v>
      </c>
      <c r="P146" s="971"/>
      <c r="Q146" s="971" t="s">
        <v>376</v>
      </c>
      <c r="R146" s="1266" t="s">
        <v>277</v>
      </c>
      <c r="S146" s="2106">
        <v>0</v>
      </c>
      <c r="T146" s="1266" t="s">
        <v>242</v>
      </c>
      <c r="U146" s="1742" t="s">
        <v>6588</v>
      </c>
      <c r="V146" s="1742" t="s">
        <v>6588</v>
      </c>
      <c r="W146" s="1742" t="s">
        <v>6588</v>
      </c>
      <c r="X146" s="1742" t="s">
        <v>6588</v>
      </c>
      <c r="Y146" s="2106" t="s">
        <v>6588</v>
      </c>
      <c r="Z146" s="2106">
        <v>0</v>
      </c>
      <c r="AA146" s="2106">
        <v>0</v>
      </c>
      <c r="AB146" s="2106">
        <v>0</v>
      </c>
      <c r="AC146" s="2106">
        <v>0</v>
      </c>
      <c r="AD146" s="1744">
        <v>0</v>
      </c>
      <c r="AE146" s="2126">
        <v>0</v>
      </c>
      <c r="AF146" s="2126">
        <v>0</v>
      </c>
      <c r="AG146" s="1212">
        <v>0</v>
      </c>
      <c r="AH146" s="1212">
        <v>1</v>
      </c>
      <c r="AI146" s="1212">
        <v>0</v>
      </c>
      <c r="AJ146" s="1212">
        <v>1</v>
      </c>
      <c r="AK146" s="2126">
        <v>0</v>
      </c>
      <c r="AL146" s="2126">
        <v>0</v>
      </c>
      <c r="AM146" s="2126">
        <v>0</v>
      </c>
      <c r="AN146" s="2126">
        <v>0</v>
      </c>
      <c r="AO146" s="1743" t="s">
        <v>131</v>
      </c>
      <c r="AP146" s="1743" t="s">
        <v>96</v>
      </c>
      <c r="AQ146" s="1764">
        <v>2014</v>
      </c>
      <c r="AR146" s="1743" t="s">
        <v>87</v>
      </c>
      <c r="AS146" s="2135"/>
      <c r="AT146" s="2135"/>
      <c r="AU146" s="1212">
        <v>0.33333333333333331</v>
      </c>
      <c r="AV146" s="1212">
        <v>0.33333333333333331</v>
      </c>
      <c r="AW146" s="1212">
        <v>0.33333333333333331</v>
      </c>
      <c r="AX146" s="1212"/>
      <c r="AY146" s="1212"/>
      <c r="AZ146" s="1212"/>
      <c r="BA146" s="1212"/>
      <c r="BB146" s="1212"/>
      <c r="BC146" s="1212"/>
      <c r="BD146" s="1212"/>
      <c r="BE146" s="1212"/>
      <c r="BF146" s="2126">
        <v>0</v>
      </c>
      <c r="BG146" s="2126">
        <v>0</v>
      </c>
      <c r="BH146" s="2126">
        <v>0</v>
      </c>
      <c r="BI146" s="2126">
        <v>0</v>
      </c>
      <c r="BJ146" s="2126">
        <v>0</v>
      </c>
      <c r="BK146" s="2126">
        <v>0</v>
      </c>
      <c r="BL146" s="2126">
        <v>0</v>
      </c>
      <c r="BM146" s="2126">
        <v>0</v>
      </c>
      <c r="BN146" s="2126">
        <v>0</v>
      </c>
      <c r="BO146" s="2126">
        <v>0</v>
      </c>
      <c r="BP146" s="2126">
        <v>0</v>
      </c>
      <c r="BQ146" s="2126">
        <v>0</v>
      </c>
      <c r="BR146" s="2126">
        <v>0</v>
      </c>
    </row>
    <row r="147" spans="1:70" s="1765" customFormat="1" ht="33">
      <c r="A147" s="1272">
        <v>2000</v>
      </c>
      <c r="B147" s="971" t="s">
        <v>119</v>
      </c>
      <c r="C147" s="1272">
        <v>2300</v>
      </c>
      <c r="D147" s="971" t="s">
        <v>222</v>
      </c>
      <c r="E147" s="971" t="s">
        <v>263</v>
      </c>
      <c r="F147" s="971" t="s">
        <v>264</v>
      </c>
      <c r="G147" s="971" t="s">
        <v>280</v>
      </c>
      <c r="H147" s="971" t="s">
        <v>266</v>
      </c>
      <c r="I147" s="1273" t="s">
        <v>377</v>
      </c>
      <c r="J147" s="971" t="s">
        <v>239</v>
      </c>
      <c r="K147" s="971"/>
      <c r="L147" s="971" t="s">
        <v>270</v>
      </c>
      <c r="M147" s="971" t="s">
        <v>270</v>
      </c>
      <c r="N147" s="971"/>
      <c r="O147" s="971" t="s">
        <v>270</v>
      </c>
      <c r="P147" s="971"/>
      <c r="Q147" s="971" t="s">
        <v>324</v>
      </c>
      <c r="R147" s="1266" t="s">
        <v>378</v>
      </c>
      <c r="S147" s="2106">
        <v>0</v>
      </c>
      <c r="T147" s="1266" t="s">
        <v>242</v>
      </c>
      <c r="U147" s="1742" t="s">
        <v>6588</v>
      </c>
      <c r="V147" s="1742" t="s">
        <v>6588</v>
      </c>
      <c r="W147" s="1742" t="s">
        <v>6588</v>
      </c>
      <c r="X147" s="1742" t="s">
        <v>6588</v>
      </c>
      <c r="Y147" s="2106" t="s">
        <v>6588</v>
      </c>
      <c r="Z147" s="2106">
        <v>0</v>
      </c>
      <c r="AA147" s="2106">
        <v>0</v>
      </c>
      <c r="AB147" s="2106">
        <v>0</v>
      </c>
      <c r="AC147" s="2106">
        <v>0</v>
      </c>
      <c r="AD147" s="1744">
        <v>0</v>
      </c>
      <c r="AE147" s="2126">
        <v>0</v>
      </c>
      <c r="AF147" s="2126">
        <v>0</v>
      </c>
      <c r="AG147" s="1212">
        <v>1</v>
      </c>
      <c r="AH147" s="1212">
        <v>0</v>
      </c>
      <c r="AI147" s="1212">
        <v>0</v>
      </c>
      <c r="AJ147" s="1212">
        <v>1</v>
      </c>
      <c r="AK147" s="2126">
        <v>0</v>
      </c>
      <c r="AL147" s="2126">
        <v>0</v>
      </c>
      <c r="AM147" s="2126">
        <v>0</v>
      </c>
      <c r="AN147" s="2126">
        <v>0</v>
      </c>
      <c r="AO147" s="1743" t="s">
        <v>131</v>
      </c>
      <c r="AP147" s="1743" t="s">
        <v>96</v>
      </c>
      <c r="AQ147" s="1764">
        <v>2014</v>
      </c>
      <c r="AR147" s="1743" t="s">
        <v>87</v>
      </c>
      <c r="AS147" s="2135"/>
      <c r="AT147" s="2135"/>
      <c r="AU147" s="1212">
        <v>0.33333333333333331</v>
      </c>
      <c r="AV147" s="1212">
        <v>0.33333333333333331</v>
      </c>
      <c r="AW147" s="1212">
        <v>0.33333333333333331</v>
      </c>
      <c r="AX147" s="1212"/>
      <c r="AY147" s="1212"/>
      <c r="AZ147" s="1212"/>
      <c r="BA147" s="1212"/>
      <c r="BB147" s="1212"/>
      <c r="BC147" s="1212"/>
      <c r="BD147" s="1212"/>
      <c r="BE147" s="1212"/>
      <c r="BF147" s="2126">
        <v>0</v>
      </c>
      <c r="BG147" s="2126">
        <v>0</v>
      </c>
      <c r="BH147" s="2126">
        <v>0</v>
      </c>
      <c r="BI147" s="2126">
        <v>0</v>
      </c>
      <c r="BJ147" s="2126">
        <v>0</v>
      </c>
      <c r="BK147" s="2126">
        <v>0</v>
      </c>
      <c r="BL147" s="2126">
        <v>0</v>
      </c>
      <c r="BM147" s="2126">
        <v>0</v>
      </c>
      <c r="BN147" s="2126">
        <v>0</v>
      </c>
      <c r="BO147" s="2126">
        <v>0</v>
      </c>
      <c r="BP147" s="2126">
        <v>0</v>
      </c>
      <c r="BQ147" s="2126">
        <v>0</v>
      </c>
      <c r="BR147" s="2126">
        <v>0</v>
      </c>
    </row>
    <row r="148" spans="1:70" s="1765" customFormat="1" ht="33">
      <c r="A148" s="1272">
        <v>2000</v>
      </c>
      <c r="B148" s="971" t="s">
        <v>119</v>
      </c>
      <c r="C148" s="1272">
        <v>2300</v>
      </c>
      <c r="D148" s="971" t="s">
        <v>222</v>
      </c>
      <c r="E148" s="971" t="s">
        <v>263</v>
      </c>
      <c r="F148" s="971" t="s">
        <v>264</v>
      </c>
      <c r="G148" s="971" t="s">
        <v>280</v>
      </c>
      <c r="H148" s="971" t="s">
        <v>266</v>
      </c>
      <c r="I148" s="1273" t="s">
        <v>379</v>
      </c>
      <c r="J148" s="971" t="s">
        <v>239</v>
      </c>
      <c r="K148" s="971"/>
      <c r="L148" s="971" t="s">
        <v>270</v>
      </c>
      <c r="M148" s="971" t="s">
        <v>270</v>
      </c>
      <c r="N148" s="971"/>
      <c r="O148" s="971" t="s">
        <v>270</v>
      </c>
      <c r="P148" s="971"/>
      <c r="Q148" s="971" t="s">
        <v>327</v>
      </c>
      <c r="R148" s="1266" t="s">
        <v>380</v>
      </c>
      <c r="S148" s="2106">
        <v>0</v>
      </c>
      <c r="T148" s="1266" t="s">
        <v>242</v>
      </c>
      <c r="U148" s="1742" t="s">
        <v>6588</v>
      </c>
      <c r="V148" s="1742" t="s">
        <v>6588</v>
      </c>
      <c r="W148" s="1742" t="s">
        <v>6588</v>
      </c>
      <c r="X148" s="1742" t="s">
        <v>6588</v>
      </c>
      <c r="Y148" s="2106" t="s">
        <v>6588</v>
      </c>
      <c r="Z148" s="2106">
        <v>0</v>
      </c>
      <c r="AA148" s="2106">
        <v>0</v>
      </c>
      <c r="AB148" s="2106">
        <v>0</v>
      </c>
      <c r="AC148" s="2106">
        <v>0</v>
      </c>
      <c r="AD148" s="1744">
        <v>0</v>
      </c>
      <c r="AE148" s="2126">
        <v>0</v>
      </c>
      <c r="AF148" s="2126">
        <v>0</v>
      </c>
      <c r="AG148" s="1212">
        <v>1</v>
      </c>
      <c r="AH148" s="1212">
        <v>0</v>
      </c>
      <c r="AI148" s="1212">
        <v>0</v>
      </c>
      <c r="AJ148" s="1212">
        <v>1</v>
      </c>
      <c r="AK148" s="2126">
        <v>0</v>
      </c>
      <c r="AL148" s="2126">
        <v>0</v>
      </c>
      <c r="AM148" s="2126">
        <v>0</v>
      </c>
      <c r="AN148" s="2126">
        <v>0</v>
      </c>
      <c r="AO148" s="1743" t="s">
        <v>131</v>
      </c>
      <c r="AP148" s="1743" t="s">
        <v>96</v>
      </c>
      <c r="AQ148" s="1764">
        <v>2014</v>
      </c>
      <c r="AR148" s="1743" t="s">
        <v>87</v>
      </c>
      <c r="AS148" s="2135"/>
      <c r="AT148" s="2135"/>
      <c r="AU148" s="1212">
        <v>0.33333333333333331</v>
      </c>
      <c r="AV148" s="1212">
        <v>0.33333333333333331</v>
      </c>
      <c r="AW148" s="1212">
        <v>0.33333333333333331</v>
      </c>
      <c r="AX148" s="1212"/>
      <c r="AY148" s="1212"/>
      <c r="AZ148" s="1212"/>
      <c r="BA148" s="1212"/>
      <c r="BB148" s="1212"/>
      <c r="BC148" s="1212"/>
      <c r="BD148" s="1212"/>
      <c r="BE148" s="1212"/>
      <c r="BF148" s="2126">
        <v>0</v>
      </c>
      <c r="BG148" s="2126">
        <v>0</v>
      </c>
      <c r="BH148" s="2126">
        <v>0</v>
      </c>
      <c r="BI148" s="2126">
        <v>0</v>
      </c>
      <c r="BJ148" s="2126">
        <v>0</v>
      </c>
      <c r="BK148" s="2126">
        <v>0</v>
      </c>
      <c r="BL148" s="2126">
        <v>0</v>
      </c>
      <c r="BM148" s="2126">
        <v>0</v>
      </c>
      <c r="BN148" s="2126">
        <v>0</v>
      </c>
      <c r="BO148" s="2126">
        <v>0</v>
      </c>
      <c r="BP148" s="2126">
        <v>0</v>
      </c>
      <c r="BQ148" s="2126">
        <v>0</v>
      </c>
      <c r="BR148" s="2126">
        <v>0</v>
      </c>
    </row>
    <row r="149" spans="1:70" s="1765" customFormat="1" ht="33">
      <c r="A149" s="1272">
        <v>2000</v>
      </c>
      <c r="B149" s="971" t="s">
        <v>119</v>
      </c>
      <c r="C149" s="1272">
        <v>2300</v>
      </c>
      <c r="D149" s="971" t="s">
        <v>222</v>
      </c>
      <c r="E149" s="971" t="s">
        <v>263</v>
      </c>
      <c r="F149" s="971" t="s">
        <v>264</v>
      </c>
      <c r="G149" s="971" t="s">
        <v>280</v>
      </c>
      <c r="H149" s="971" t="s">
        <v>266</v>
      </c>
      <c r="I149" s="1273" t="s">
        <v>381</v>
      </c>
      <c r="J149" s="971" t="s">
        <v>239</v>
      </c>
      <c r="K149" s="971"/>
      <c r="L149" s="971" t="s">
        <v>270</v>
      </c>
      <c r="M149" s="971" t="s">
        <v>270</v>
      </c>
      <c r="N149" s="971"/>
      <c r="O149" s="971" t="s">
        <v>270</v>
      </c>
      <c r="P149" s="971"/>
      <c r="Q149" s="971" t="s">
        <v>330</v>
      </c>
      <c r="R149" s="1266" t="s">
        <v>382</v>
      </c>
      <c r="S149" s="2106">
        <v>0</v>
      </c>
      <c r="T149" s="1266" t="s">
        <v>242</v>
      </c>
      <c r="U149" s="1742" t="s">
        <v>6588</v>
      </c>
      <c r="V149" s="1742" t="s">
        <v>6588</v>
      </c>
      <c r="W149" s="1742" t="s">
        <v>6588</v>
      </c>
      <c r="X149" s="1742" t="s">
        <v>6588</v>
      </c>
      <c r="Y149" s="2106" t="s">
        <v>6588</v>
      </c>
      <c r="Z149" s="2106">
        <v>0</v>
      </c>
      <c r="AA149" s="2106">
        <v>0</v>
      </c>
      <c r="AB149" s="2106">
        <v>0</v>
      </c>
      <c r="AC149" s="2106">
        <v>0</v>
      </c>
      <c r="AD149" s="1744">
        <v>0</v>
      </c>
      <c r="AE149" s="2126">
        <v>0</v>
      </c>
      <c r="AF149" s="2126">
        <v>0</v>
      </c>
      <c r="AG149" s="1212">
        <v>0</v>
      </c>
      <c r="AH149" s="1212">
        <v>1</v>
      </c>
      <c r="AI149" s="1212">
        <v>0</v>
      </c>
      <c r="AJ149" s="1212">
        <v>1</v>
      </c>
      <c r="AK149" s="2126">
        <v>0</v>
      </c>
      <c r="AL149" s="2126">
        <v>0</v>
      </c>
      <c r="AM149" s="2126">
        <v>0</v>
      </c>
      <c r="AN149" s="2126">
        <v>0</v>
      </c>
      <c r="AO149" s="1743" t="s">
        <v>131</v>
      </c>
      <c r="AP149" s="1743" t="s">
        <v>96</v>
      </c>
      <c r="AQ149" s="1764">
        <v>2014</v>
      </c>
      <c r="AR149" s="1743" t="s">
        <v>87</v>
      </c>
      <c r="AS149" s="2135"/>
      <c r="AT149" s="2135"/>
      <c r="AU149" s="1212">
        <v>0.33333333333333331</v>
      </c>
      <c r="AV149" s="1212">
        <v>0.33333333333333331</v>
      </c>
      <c r="AW149" s="1212">
        <v>0.33333333333333331</v>
      </c>
      <c r="AX149" s="1212"/>
      <c r="AY149" s="1212"/>
      <c r="AZ149" s="1212"/>
      <c r="BA149" s="1212"/>
      <c r="BB149" s="1212"/>
      <c r="BC149" s="1212"/>
      <c r="BD149" s="1212"/>
      <c r="BE149" s="1212"/>
      <c r="BF149" s="2126">
        <v>0</v>
      </c>
      <c r="BG149" s="2126">
        <v>0</v>
      </c>
      <c r="BH149" s="2126">
        <v>0</v>
      </c>
      <c r="BI149" s="2126">
        <v>0</v>
      </c>
      <c r="BJ149" s="2126">
        <v>0</v>
      </c>
      <c r="BK149" s="2126">
        <v>0</v>
      </c>
      <c r="BL149" s="2126">
        <v>0</v>
      </c>
      <c r="BM149" s="2126">
        <v>0</v>
      </c>
      <c r="BN149" s="2126">
        <v>0</v>
      </c>
      <c r="BO149" s="2126">
        <v>0</v>
      </c>
      <c r="BP149" s="2126">
        <v>0</v>
      </c>
      <c r="BQ149" s="2126">
        <v>0</v>
      </c>
      <c r="BR149" s="2126">
        <v>0</v>
      </c>
    </row>
    <row r="150" spans="1:70" s="1765" customFormat="1" ht="33">
      <c r="A150" s="1272">
        <v>2000</v>
      </c>
      <c r="B150" s="971" t="s">
        <v>119</v>
      </c>
      <c r="C150" s="1272">
        <v>2300</v>
      </c>
      <c r="D150" s="971" t="s">
        <v>222</v>
      </c>
      <c r="E150" s="971" t="s">
        <v>263</v>
      </c>
      <c r="F150" s="971" t="s">
        <v>264</v>
      </c>
      <c r="G150" s="971" t="s">
        <v>280</v>
      </c>
      <c r="H150" s="971" t="s">
        <v>266</v>
      </c>
      <c r="I150" s="1273" t="s">
        <v>383</v>
      </c>
      <c r="J150" s="971" t="s">
        <v>239</v>
      </c>
      <c r="K150" s="971"/>
      <c r="L150" s="971" t="s">
        <v>270</v>
      </c>
      <c r="M150" s="971" t="s">
        <v>270</v>
      </c>
      <c r="N150" s="971"/>
      <c r="O150" s="971" t="s">
        <v>270</v>
      </c>
      <c r="P150" s="971"/>
      <c r="Q150" s="971" t="s">
        <v>333</v>
      </c>
      <c r="R150" s="1266" t="s">
        <v>384</v>
      </c>
      <c r="S150" s="2106">
        <v>0</v>
      </c>
      <c r="T150" s="1266" t="s">
        <v>242</v>
      </c>
      <c r="U150" s="1742" t="s">
        <v>6588</v>
      </c>
      <c r="V150" s="1742" t="s">
        <v>6588</v>
      </c>
      <c r="W150" s="1742" t="s">
        <v>6588</v>
      </c>
      <c r="X150" s="1742" t="s">
        <v>6588</v>
      </c>
      <c r="Y150" s="2106" t="s">
        <v>6588</v>
      </c>
      <c r="Z150" s="2106">
        <v>0</v>
      </c>
      <c r="AA150" s="2106">
        <v>0</v>
      </c>
      <c r="AB150" s="2106">
        <v>0</v>
      </c>
      <c r="AC150" s="2106">
        <v>0</v>
      </c>
      <c r="AD150" s="1744">
        <v>0</v>
      </c>
      <c r="AE150" s="2126">
        <v>0</v>
      </c>
      <c r="AF150" s="2126">
        <v>0</v>
      </c>
      <c r="AG150" s="1212">
        <v>0</v>
      </c>
      <c r="AH150" s="1212">
        <v>1</v>
      </c>
      <c r="AI150" s="1212">
        <v>0</v>
      </c>
      <c r="AJ150" s="1212">
        <v>1</v>
      </c>
      <c r="AK150" s="2126">
        <v>0</v>
      </c>
      <c r="AL150" s="2126">
        <v>0</v>
      </c>
      <c r="AM150" s="2126">
        <v>0</v>
      </c>
      <c r="AN150" s="2126">
        <v>0</v>
      </c>
      <c r="AO150" s="1743" t="s">
        <v>131</v>
      </c>
      <c r="AP150" s="1743" t="s">
        <v>96</v>
      </c>
      <c r="AQ150" s="1764">
        <v>2014</v>
      </c>
      <c r="AR150" s="1743" t="s">
        <v>87</v>
      </c>
      <c r="AS150" s="2135"/>
      <c r="AT150" s="2135"/>
      <c r="AU150" s="1212">
        <v>0.33333333333333331</v>
      </c>
      <c r="AV150" s="1212">
        <v>0.33333333333333331</v>
      </c>
      <c r="AW150" s="1212">
        <v>0.33333333333333331</v>
      </c>
      <c r="AX150" s="1212"/>
      <c r="AY150" s="1212"/>
      <c r="AZ150" s="1212"/>
      <c r="BA150" s="1212"/>
      <c r="BB150" s="1212"/>
      <c r="BC150" s="1212"/>
      <c r="BD150" s="1212"/>
      <c r="BE150" s="1212"/>
      <c r="BF150" s="2126">
        <v>0</v>
      </c>
      <c r="BG150" s="2126">
        <v>0</v>
      </c>
      <c r="BH150" s="2126">
        <v>0</v>
      </c>
      <c r="BI150" s="2126">
        <v>0</v>
      </c>
      <c r="BJ150" s="2126">
        <v>0</v>
      </c>
      <c r="BK150" s="2126">
        <v>0</v>
      </c>
      <c r="BL150" s="2126">
        <v>0</v>
      </c>
      <c r="BM150" s="2126">
        <v>0</v>
      </c>
      <c r="BN150" s="2126">
        <v>0</v>
      </c>
      <c r="BO150" s="2126">
        <v>0</v>
      </c>
      <c r="BP150" s="2126">
        <v>0</v>
      </c>
      <c r="BQ150" s="2126">
        <v>0</v>
      </c>
      <c r="BR150" s="2126">
        <v>0</v>
      </c>
    </row>
    <row r="151" spans="1:70" s="1765" customFormat="1" ht="33">
      <c r="A151" s="1272">
        <v>2000</v>
      </c>
      <c r="B151" s="971" t="s">
        <v>119</v>
      </c>
      <c r="C151" s="1272">
        <v>2300</v>
      </c>
      <c r="D151" s="971" t="s">
        <v>222</v>
      </c>
      <c r="E151" s="971" t="s">
        <v>263</v>
      </c>
      <c r="F151" s="971" t="s">
        <v>264</v>
      </c>
      <c r="G151" s="971" t="s">
        <v>280</v>
      </c>
      <c r="H151" s="971" t="s">
        <v>266</v>
      </c>
      <c r="I151" s="1273" t="s">
        <v>385</v>
      </c>
      <c r="J151" s="971" t="s">
        <v>239</v>
      </c>
      <c r="K151" s="971"/>
      <c r="L151" s="971" t="s">
        <v>270</v>
      </c>
      <c r="M151" s="971" t="s">
        <v>270</v>
      </c>
      <c r="N151" s="971"/>
      <c r="O151" s="971" t="s">
        <v>270</v>
      </c>
      <c r="P151" s="971"/>
      <c r="Q151" s="971" t="s">
        <v>333</v>
      </c>
      <c r="R151" s="1266" t="s">
        <v>386</v>
      </c>
      <c r="S151" s="2106">
        <v>0</v>
      </c>
      <c r="T151" s="1266" t="s">
        <v>242</v>
      </c>
      <c r="U151" s="1742" t="s">
        <v>6588</v>
      </c>
      <c r="V151" s="1742" t="s">
        <v>6588</v>
      </c>
      <c r="W151" s="1742" t="s">
        <v>6588</v>
      </c>
      <c r="X151" s="1742" t="s">
        <v>6588</v>
      </c>
      <c r="Y151" s="2106" t="s">
        <v>6588</v>
      </c>
      <c r="Z151" s="2106">
        <v>0</v>
      </c>
      <c r="AA151" s="2106">
        <v>0</v>
      </c>
      <c r="AB151" s="2106">
        <v>0</v>
      </c>
      <c r="AC151" s="2106">
        <v>0</v>
      </c>
      <c r="AD151" s="1744">
        <v>0</v>
      </c>
      <c r="AE151" s="2126">
        <v>0</v>
      </c>
      <c r="AF151" s="2126">
        <v>0</v>
      </c>
      <c r="AG151" s="1212">
        <v>0</v>
      </c>
      <c r="AH151" s="1212">
        <v>1</v>
      </c>
      <c r="AI151" s="1212">
        <v>0</v>
      </c>
      <c r="AJ151" s="1212">
        <v>1</v>
      </c>
      <c r="AK151" s="2126">
        <v>0</v>
      </c>
      <c r="AL151" s="2126">
        <v>0</v>
      </c>
      <c r="AM151" s="2126">
        <v>0</v>
      </c>
      <c r="AN151" s="2126">
        <v>0</v>
      </c>
      <c r="AO151" s="1743" t="s">
        <v>131</v>
      </c>
      <c r="AP151" s="1743" t="s">
        <v>96</v>
      </c>
      <c r="AQ151" s="1764">
        <v>2014</v>
      </c>
      <c r="AR151" s="1743" t="s">
        <v>87</v>
      </c>
      <c r="AS151" s="2135"/>
      <c r="AT151" s="2135"/>
      <c r="AU151" s="1212">
        <v>0.33333333333333331</v>
      </c>
      <c r="AV151" s="1212">
        <v>0.33333333333333331</v>
      </c>
      <c r="AW151" s="1212">
        <v>0.33333333333333331</v>
      </c>
      <c r="AX151" s="1212"/>
      <c r="AY151" s="1212"/>
      <c r="AZ151" s="1212"/>
      <c r="BA151" s="1212"/>
      <c r="BB151" s="1212"/>
      <c r="BC151" s="1212"/>
      <c r="BD151" s="1212"/>
      <c r="BE151" s="1212"/>
      <c r="BF151" s="2126">
        <v>0</v>
      </c>
      <c r="BG151" s="2126">
        <v>0</v>
      </c>
      <c r="BH151" s="2126">
        <v>0</v>
      </c>
      <c r="BI151" s="2126">
        <v>0</v>
      </c>
      <c r="BJ151" s="2126">
        <v>0</v>
      </c>
      <c r="BK151" s="2126">
        <v>0</v>
      </c>
      <c r="BL151" s="2126">
        <v>0</v>
      </c>
      <c r="BM151" s="2126">
        <v>0</v>
      </c>
      <c r="BN151" s="2126">
        <v>0</v>
      </c>
      <c r="BO151" s="2126">
        <v>0</v>
      </c>
      <c r="BP151" s="2126">
        <v>0</v>
      </c>
      <c r="BQ151" s="2126">
        <v>0</v>
      </c>
      <c r="BR151" s="2126">
        <v>0</v>
      </c>
    </row>
    <row r="152" spans="1:70" s="1765" customFormat="1" ht="33">
      <c r="A152" s="1272">
        <v>2000</v>
      </c>
      <c r="B152" s="971" t="s">
        <v>119</v>
      </c>
      <c r="C152" s="1272">
        <v>2300</v>
      </c>
      <c r="D152" s="971" t="s">
        <v>222</v>
      </c>
      <c r="E152" s="971" t="s">
        <v>263</v>
      </c>
      <c r="F152" s="971" t="s">
        <v>264</v>
      </c>
      <c r="G152" s="971" t="s">
        <v>280</v>
      </c>
      <c r="H152" s="971" t="s">
        <v>266</v>
      </c>
      <c r="I152" s="1273" t="s">
        <v>387</v>
      </c>
      <c r="J152" s="971" t="s">
        <v>239</v>
      </c>
      <c r="K152" s="971"/>
      <c r="L152" s="971" t="s">
        <v>270</v>
      </c>
      <c r="M152" s="971" t="s">
        <v>270</v>
      </c>
      <c r="N152" s="971"/>
      <c r="O152" s="971" t="s">
        <v>270</v>
      </c>
      <c r="P152" s="971"/>
      <c r="Q152" s="971" t="s">
        <v>338</v>
      </c>
      <c r="R152" s="1266" t="s">
        <v>388</v>
      </c>
      <c r="S152" s="2106">
        <v>0</v>
      </c>
      <c r="T152" s="1266" t="s">
        <v>242</v>
      </c>
      <c r="U152" s="1742" t="s">
        <v>6588</v>
      </c>
      <c r="V152" s="1742" t="s">
        <v>6588</v>
      </c>
      <c r="W152" s="1742" t="s">
        <v>6588</v>
      </c>
      <c r="X152" s="1742" t="s">
        <v>6588</v>
      </c>
      <c r="Y152" s="2106" t="s">
        <v>6588</v>
      </c>
      <c r="Z152" s="2106">
        <v>0</v>
      </c>
      <c r="AA152" s="2106">
        <v>0</v>
      </c>
      <c r="AB152" s="2106">
        <v>0</v>
      </c>
      <c r="AC152" s="2106">
        <v>0</v>
      </c>
      <c r="AD152" s="1744">
        <v>0</v>
      </c>
      <c r="AE152" s="2126">
        <v>0</v>
      </c>
      <c r="AF152" s="2126">
        <v>0</v>
      </c>
      <c r="AG152" s="1212">
        <v>0</v>
      </c>
      <c r="AH152" s="1212">
        <v>1</v>
      </c>
      <c r="AI152" s="1212">
        <v>0</v>
      </c>
      <c r="AJ152" s="1212">
        <v>1</v>
      </c>
      <c r="AK152" s="2126">
        <v>0</v>
      </c>
      <c r="AL152" s="2126">
        <v>0</v>
      </c>
      <c r="AM152" s="2126">
        <v>0</v>
      </c>
      <c r="AN152" s="2126">
        <v>0</v>
      </c>
      <c r="AO152" s="1743" t="s">
        <v>131</v>
      </c>
      <c r="AP152" s="1743" t="s">
        <v>96</v>
      </c>
      <c r="AQ152" s="1764">
        <v>2014</v>
      </c>
      <c r="AR152" s="1743" t="s">
        <v>87</v>
      </c>
      <c r="AS152" s="2135"/>
      <c r="AT152" s="2135"/>
      <c r="AU152" s="1212">
        <v>0.33333333333333331</v>
      </c>
      <c r="AV152" s="1212">
        <v>0.33333333333333331</v>
      </c>
      <c r="AW152" s="1212">
        <v>0.33333333333333331</v>
      </c>
      <c r="AX152" s="1212"/>
      <c r="AY152" s="1212"/>
      <c r="AZ152" s="1212"/>
      <c r="BA152" s="1212"/>
      <c r="BB152" s="1212"/>
      <c r="BC152" s="1212"/>
      <c r="BD152" s="1212"/>
      <c r="BE152" s="1212"/>
      <c r="BF152" s="2126">
        <v>0</v>
      </c>
      <c r="BG152" s="2126">
        <v>0</v>
      </c>
      <c r="BH152" s="2126">
        <v>0</v>
      </c>
      <c r="BI152" s="2126">
        <v>0</v>
      </c>
      <c r="BJ152" s="2126">
        <v>0</v>
      </c>
      <c r="BK152" s="2126">
        <v>0</v>
      </c>
      <c r="BL152" s="2126">
        <v>0</v>
      </c>
      <c r="BM152" s="2126">
        <v>0</v>
      </c>
      <c r="BN152" s="2126">
        <v>0</v>
      </c>
      <c r="BO152" s="2126">
        <v>0</v>
      </c>
      <c r="BP152" s="2126">
        <v>0</v>
      </c>
      <c r="BQ152" s="2126">
        <v>0</v>
      </c>
      <c r="BR152" s="2126">
        <v>0</v>
      </c>
    </row>
    <row r="153" spans="1:70" s="1765" customFormat="1" ht="33">
      <c r="A153" s="1272">
        <v>2000</v>
      </c>
      <c r="B153" s="971" t="s">
        <v>119</v>
      </c>
      <c r="C153" s="1272">
        <v>2300</v>
      </c>
      <c r="D153" s="971" t="s">
        <v>222</v>
      </c>
      <c r="E153" s="971" t="s">
        <v>263</v>
      </c>
      <c r="F153" s="971" t="s">
        <v>264</v>
      </c>
      <c r="G153" s="971" t="s">
        <v>280</v>
      </c>
      <c r="H153" s="971" t="s">
        <v>266</v>
      </c>
      <c r="I153" s="1273" t="s">
        <v>389</v>
      </c>
      <c r="J153" s="971" t="s">
        <v>239</v>
      </c>
      <c r="K153" s="971"/>
      <c r="L153" s="971" t="s">
        <v>270</v>
      </c>
      <c r="M153" s="971" t="s">
        <v>270</v>
      </c>
      <c r="N153" s="971"/>
      <c r="O153" s="971" t="s">
        <v>270</v>
      </c>
      <c r="P153" s="971"/>
      <c r="Q153" s="971" t="s">
        <v>338</v>
      </c>
      <c r="R153" s="1266" t="s">
        <v>390</v>
      </c>
      <c r="S153" s="2106">
        <v>0</v>
      </c>
      <c r="T153" s="1266" t="s">
        <v>242</v>
      </c>
      <c r="U153" s="1742" t="s">
        <v>6588</v>
      </c>
      <c r="V153" s="1742" t="s">
        <v>6588</v>
      </c>
      <c r="W153" s="1742" t="s">
        <v>6588</v>
      </c>
      <c r="X153" s="1742" t="s">
        <v>6588</v>
      </c>
      <c r="Y153" s="2106" t="s">
        <v>6588</v>
      </c>
      <c r="Z153" s="2106">
        <v>0</v>
      </c>
      <c r="AA153" s="2106">
        <v>0</v>
      </c>
      <c r="AB153" s="2106">
        <v>0</v>
      </c>
      <c r="AC153" s="2106">
        <v>0</v>
      </c>
      <c r="AD153" s="1744">
        <v>0</v>
      </c>
      <c r="AE153" s="2126">
        <v>0</v>
      </c>
      <c r="AF153" s="2126">
        <v>0</v>
      </c>
      <c r="AG153" s="1212">
        <v>0</v>
      </c>
      <c r="AH153" s="1212">
        <v>1</v>
      </c>
      <c r="AI153" s="1212">
        <v>0</v>
      </c>
      <c r="AJ153" s="1212">
        <v>1</v>
      </c>
      <c r="AK153" s="2126">
        <v>0</v>
      </c>
      <c r="AL153" s="2126">
        <v>0</v>
      </c>
      <c r="AM153" s="2126">
        <v>0</v>
      </c>
      <c r="AN153" s="2126">
        <v>0</v>
      </c>
      <c r="AO153" s="1743" t="s">
        <v>131</v>
      </c>
      <c r="AP153" s="1743" t="s">
        <v>96</v>
      </c>
      <c r="AQ153" s="1764">
        <v>2014</v>
      </c>
      <c r="AR153" s="1743" t="s">
        <v>87</v>
      </c>
      <c r="AS153" s="2135"/>
      <c r="AT153" s="2135"/>
      <c r="AU153" s="1212">
        <v>0.33333333333333331</v>
      </c>
      <c r="AV153" s="1212">
        <v>0.33333333333333331</v>
      </c>
      <c r="AW153" s="1212">
        <v>0.33333333333333331</v>
      </c>
      <c r="AX153" s="1212"/>
      <c r="AY153" s="1212"/>
      <c r="AZ153" s="1212"/>
      <c r="BA153" s="1212"/>
      <c r="BB153" s="1212"/>
      <c r="BC153" s="1212"/>
      <c r="BD153" s="1212"/>
      <c r="BE153" s="1212"/>
      <c r="BF153" s="2126">
        <v>0</v>
      </c>
      <c r="BG153" s="2126">
        <v>0</v>
      </c>
      <c r="BH153" s="2126">
        <v>0</v>
      </c>
      <c r="BI153" s="2126">
        <v>0</v>
      </c>
      <c r="BJ153" s="2126">
        <v>0</v>
      </c>
      <c r="BK153" s="2126">
        <v>0</v>
      </c>
      <c r="BL153" s="2126">
        <v>0</v>
      </c>
      <c r="BM153" s="2126">
        <v>0</v>
      </c>
      <c r="BN153" s="2126">
        <v>0</v>
      </c>
      <c r="BO153" s="2126">
        <v>0</v>
      </c>
      <c r="BP153" s="2126">
        <v>0</v>
      </c>
      <c r="BQ153" s="2126">
        <v>0</v>
      </c>
      <c r="BR153" s="2126">
        <v>0</v>
      </c>
    </row>
    <row r="154" spans="1:70" s="1765" customFormat="1" ht="33">
      <c r="A154" s="1272">
        <v>2000</v>
      </c>
      <c r="B154" s="971" t="s">
        <v>119</v>
      </c>
      <c r="C154" s="1272">
        <v>2300</v>
      </c>
      <c r="D154" s="971" t="s">
        <v>222</v>
      </c>
      <c r="E154" s="971" t="s">
        <v>263</v>
      </c>
      <c r="F154" s="971" t="s">
        <v>264</v>
      </c>
      <c r="G154" s="971" t="s">
        <v>280</v>
      </c>
      <c r="H154" s="971" t="s">
        <v>266</v>
      </c>
      <c r="I154" s="1273" t="s">
        <v>391</v>
      </c>
      <c r="J154" s="971" t="s">
        <v>239</v>
      </c>
      <c r="K154" s="971"/>
      <c r="L154" s="971" t="s">
        <v>270</v>
      </c>
      <c r="M154" s="971" t="s">
        <v>270</v>
      </c>
      <c r="N154" s="971"/>
      <c r="O154" s="971" t="s">
        <v>270</v>
      </c>
      <c r="P154" s="971"/>
      <c r="Q154" s="971" t="s">
        <v>343</v>
      </c>
      <c r="R154" s="1266" t="s">
        <v>392</v>
      </c>
      <c r="S154" s="2106">
        <v>0</v>
      </c>
      <c r="T154" s="1266" t="s">
        <v>242</v>
      </c>
      <c r="U154" s="1742" t="s">
        <v>6588</v>
      </c>
      <c r="V154" s="1742" t="s">
        <v>6588</v>
      </c>
      <c r="W154" s="1742" t="s">
        <v>6588</v>
      </c>
      <c r="X154" s="1742" t="s">
        <v>6588</v>
      </c>
      <c r="Y154" s="2106" t="s">
        <v>6588</v>
      </c>
      <c r="Z154" s="2106">
        <v>0</v>
      </c>
      <c r="AA154" s="2106">
        <v>0</v>
      </c>
      <c r="AB154" s="2106">
        <v>0</v>
      </c>
      <c r="AC154" s="2106">
        <v>0</v>
      </c>
      <c r="AD154" s="1744">
        <v>0</v>
      </c>
      <c r="AE154" s="2126">
        <v>0</v>
      </c>
      <c r="AF154" s="2126">
        <v>0</v>
      </c>
      <c r="AG154" s="1212">
        <v>0</v>
      </c>
      <c r="AH154" s="1212">
        <v>1</v>
      </c>
      <c r="AI154" s="1212">
        <v>0</v>
      </c>
      <c r="AJ154" s="1212">
        <v>1</v>
      </c>
      <c r="AK154" s="2126">
        <v>0</v>
      </c>
      <c r="AL154" s="2126">
        <v>0</v>
      </c>
      <c r="AM154" s="2126">
        <v>0</v>
      </c>
      <c r="AN154" s="2126">
        <v>0</v>
      </c>
      <c r="AO154" s="1743" t="s">
        <v>131</v>
      </c>
      <c r="AP154" s="1743" t="s">
        <v>96</v>
      </c>
      <c r="AQ154" s="1764">
        <v>2014</v>
      </c>
      <c r="AR154" s="1743" t="s">
        <v>87</v>
      </c>
      <c r="AS154" s="2135"/>
      <c r="AT154" s="2135"/>
      <c r="AU154" s="1212">
        <v>0.33333333333333331</v>
      </c>
      <c r="AV154" s="1212">
        <v>0.33333333333333331</v>
      </c>
      <c r="AW154" s="1212">
        <v>0.33333333333333331</v>
      </c>
      <c r="AX154" s="1212"/>
      <c r="AY154" s="1212"/>
      <c r="AZ154" s="1212"/>
      <c r="BA154" s="1212"/>
      <c r="BB154" s="1212"/>
      <c r="BC154" s="1212"/>
      <c r="BD154" s="1212"/>
      <c r="BE154" s="1212"/>
      <c r="BF154" s="2126">
        <v>0</v>
      </c>
      <c r="BG154" s="2126">
        <v>0</v>
      </c>
      <c r="BH154" s="2126">
        <v>0</v>
      </c>
      <c r="BI154" s="2126">
        <v>0</v>
      </c>
      <c r="BJ154" s="2126">
        <v>0</v>
      </c>
      <c r="BK154" s="2126">
        <v>0</v>
      </c>
      <c r="BL154" s="2126">
        <v>0</v>
      </c>
      <c r="BM154" s="2126">
        <v>0</v>
      </c>
      <c r="BN154" s="2126">
        <v>0</v>
      </c>
      <c r="BO154" s="2126">
        <v>0</v>
      </c>
      <c r="BP154" s="2126">
        <v>0</v>
      </c>
      <c r="BQ154" s="2126">
        <v>0</v>
      </c>
      <c r="BR154" s="2126">
        <v>0</v>
      </c>
    </row>
    <row r="155" spans="1:70" s="1765" customFormat="1" ht="33">
      <c r="A155" s="1272">
        <v>2000</v>
      </c>
      <c r="B155" s="971" t="s">
        <v>119</v>
      </c>
      <c r="C155" s="1272">
        <v>2300</v>
      </c>
      <c r="D155" s="971" t="s">
        <v>222</v>
      </c>
      <c r="E155" s="971" t="s">
        <v>263</v>
      </c>
      <c r="F155" s="971" t="s">
        <v>264</v>
      </c>
      <c r="G155" s="971" t="s">
        <v>280</v>
      </c>
      <c r="H155" s="971" t="s">
        <v>266</v>
      </c>
      <c r="I155" s="1273" t="s">
        <v>393</v>
      </c>
      <c r="J155" s="971" t="s">
        <v>239</v>
      </c>
      <c r="K155" s="971"/>
      <c r="L155" s="971" t="s">
        <v>270</v>
      </c>
      <c r="M155" s="971" t="s">
        <v>270</v>
      </c>
      <c r="N155" s="971"/>
      <c r="O155" s="971" t="s">
        <v>270</v>
      </c>
      <c r="P155" s="971"/>
      <c r="Q155" s="971" t="s">
        <v>346</v>
      </c>
      <c r="R155" s="1266" t="s">
        <v>394</v>
      </c>
      <c r="S155" s="2106">
        <v>0</v>
      </c>
      <c r="T155" s="1266" t="s">
        <v>242</v>
      </c>
      <c r="U155" s="1742" t="s">
        <v>6588</v>
      </c>
      <c r="V155" s="1742" t="s">
        <v>6588</v>
      </c>
      <c r="W155" s="1742" t="s">
        <v>6588</v>
      </c>
      <c r="X155" s="1742" t="s">
        <v>6588</v>
      </c>
      <c r="Y155" s="2106" t="s">
        <v>6588</v>
      </c>
      <c r="Z155" s="2106">
        <v>0</v>
      </c>
      <c r="AA155" s="2106">
        <v>0</v>
      </c>
      <c r="AB155" s="2106">
        <v>0</v>
      </c>
      <c r="AC155" s="2106">
        <v>0</v>
      </c>
      <c r="AD155" s="1744">
        <v>0</v>
      </c>
      <c r="AE155" s="2126">
        <v>0</v>
      </c>
      <c r="AF155" s="2126">
        <v>0</v>
      </c>
      <c r="AG155" s="1212">
        <v>0</v>
      </c>
      <c r="AH155" s="1212">
        <v>1</v>
      </c>
      <c r="AI155" s="1212">
        <v>0</v>
      </c>
      <c r="AJ155" s="1212">
        <v>1</v>
      </c>
      <c r="AK155" s="2126">
        <v>0</v>
      </c>
      <c r="AL155" s="2126">
        <v>0</v>
      </c>
      <c r="AM155" s="2126">
        <v>0</v>
      </c>
      <c r="AN155" s="2126">
        <v>0</v>
      </c>
      <c r="AO155" s="1743" t="s">
        <v>131</v>
      </c>
      <c r="AP155" s="1743" t="s">
        <v>96</v>
      </c>
      <c r="AQ155" s="1764">
        <v>2014</v>
      </c>
      <c r="AR155" s="1743" t="s">
        <v>87</v>
      </c>
      <c r="AS155" s="2135"/>
      <c r="AT155" s="2135"/>
      <c r="AU155" s="1212">
        <v>0.33333333333333331</v>
      </c>
      <c r="AV155" s="1212">
        <v>0.33333333333333331</v>
      </c>
      <c r="AW155" s="1212">
        <v>0.33333333333333331</v>
      </c>
      <c r="AX155" s="1212"/>
      <c r="AY155" s="1212"/>
      <c r="AZ155" s="1212"/>
      <c r="BA155" s="1212"/>
      <c r="BB155" s="1212"/>
      <c r="BC155" s="1212"/>
      <c r="BD155" s="1212"/>
      <c r="BE155" s="1212"/>
      <c r="BF155" s="2126">
        <v>0</v>
      </c>
      <c r="BG155" s="2126">
        <v>0</v>
      </c>
      <c r="BH155" s="2126">
        <v>0</v>
      </c>
      <c r="BI155" s="2126">
        <v>0</v>
      </c>
      <c r="BJ155" s="2126">
        <v>0</v>
      </c>
      <c r="BK155" s="2126">
        <v>0</v>
      </c>
      <c r="BL155" s="2126">
        <v>0</v>
      </c>
      <c r="BM155" s="2126">
        <v>0</v>
      </c>
      <c r="BN155" s="2126">
        <v>0</v>
      </c>
      <c r="BO155" s="2126">
        <v>0</v>
      </c>
      <c r="BP155" s="2126">
        <v>0</v>
      </c>
      <c r="BQ155" s="2126">
        <v>0</v>
      </c>
      <c r="BR155" s="2126">
        <v>0</v>
      </c>
    </row>
    <row r="156" spans="1:70" s="1765" customFormat="1" ht="33">
      <c r="A156" s="1272">
        <v>2000</v>
      </c>
      <c r="B156" s="971" t="s">
        <v>119</v>
      </c>
      <c r="C156" s="1272">
        <v>2300</v>
      </c>
      <c r="D156" s="971" t="s">
        <v>222</v>
      </c>
      <c r="E156" s="971" t="s">
        <v>263</v>
      </c>
      <c r="F156" s="971" t="s">
        <v>264</v>
      </c>
      <c r="G156" s="971" t="s">
        <v>280</v>
      </c>
      <c r="H156" s="971" t="s">
        <v>266</v>
      </c>
      <c r="I156" s="1273" t="s">
        <v>395</v>
      </c>
      <c r="J156" s="971" t="s">
        <v>239</v>
      </c>
      <c r="K156" s="971"/>
      <c r="L156" s="971" t="s">
        <v>270</v>
      </c>
      <c r="M156" s="971" t="s">
        <v>270</v>
      </c>
      <c r="N156" s="971"/>
      <c r="O156" s="971" t="s">
        <v>270</v>
      </c>
      <c r="P156" s="971"/>
      <c r="Q156" s="971" t="s">
        <v>349</v>
      </c>
      <c r="R156" s="1266" t="s">
        <v>396</v>
      </c>
      <c r="S156" s="2106">
        <v>0</v>
      </c>
      <c r="T156" s="1266" t="s">
        <v>242</v>
      </c>
      <c r="U156" s="1742" t="s">
        <v>6588</v>
      </c>
      <c r="V156" s="1742" t="s">
        <v>6588</v>
      </c>
      <c r="W156" s="1742" t="s">
        <v>6588</v>
      </c>
      <c r="X156" s="1742" t="s">
        <v>6588</v>
      </c>
      <c r="Y156" s="2106" t="s">
        <v>6588</v>
      </c>
      <c r="Z156" s="2106">
        <v>0</v>
      </c>
      <c r="AA156" s="2106">
        <v>0</v>
      </c>
      <c r="AB156" s="2106">
        <v>0</v>
      </c>
      <c r="AC156" s="2106">
        <v>0</v>
      </c>
      <c r="AD156" s="1744">
        <v>0</v>
      </c>
      <c r="AE156" s="2126">
        <v>0</v>
      </c>
      <c r="AF156" s="2126">
        <v>0</v>
      </c>
      <c r="AG156" s="1212">
        <v>1</v>
      </c>
      <c r="AH156" s="1212">
        <v>0</v>
      </c>
      <c r="AI156" s="1212">
        <v>0</v>
      </c>
      <c r="AJ156" s="1212">
        <v>1</v>
      </c>
      <c r="AK156" s="2126">
        <v>0</v>
      </c>
      <c r="AL156" s="2126">
        <v>0</v>
      </c>
      <c r="AM156" s="2126">
        <v>0</v>
      </c>
      <c r="AN156" s="2126">
        <v>0</v>
      </c>
      <c r="AO156" s="1743" t="s">
        <v>131</v>
      </c>
      <c r="AP156" s="1743" t="s">
        <v>96</v>
      </c>
      <c r="AQ156" s="1764">
        <v>2014</v>
      </c>
      <c r="AR156" s="1743" t="s">
        <v>87</v>
      </c>
      <c r="AS156" s="2135"/>
      <c r="AT156" s="2135"/>
      <c r="AU156" s="1212">
        <v>0.33333333333333331</v>
      </c>
      <c r="AV156" s="1212">
        <v>0.33333333333333331</v>
      </c>
      <c r="AW156" s="1212">
        <v>0.33333333333333331</v>
      </c>
      <c r="AX156" s="1212"/>
      <c r="AY156" s="1212"/>
      <c r="AZ156" s="1212"/>
      <c r="BA156" s="1212"/>
      <c r="BB156" s="1212"/>
      <c r="BC156" s="1212"/>
      <c r="BD156" s="1212"/>
      <c r="BE156" s="1212"/>
      <c r="BF156" s="2126">
        <v>0</v>
      </c>
      <c r="BG156" s="2126">
        <v>0</v>
      </c>
      <c r="BH156" s="2126">
        <v>0</v>
      </c>
      <c r="BI156" s="2126">
        <v>0</v>
      </c>
      <c r="BJ156" s="2126">
        <v>0</v>
      </c>
      <c r="BK156" s="2126">
        <v>0</v>
      </c>
      <c r="BL156" s="2126">
        <v>0</v>
      </c>
      <c r="BM156" s="2126">
        <v>0</v>
      </c>
      <c r="BN156" s="2126">
        <v>0</v>
      </c>
      <c r="BO156" s="2126">
        <v>0</v>
      </c>
      <c r="BP156" s="2126">
        <v>0</v>
      </c>
      <c r="BQ156" s="2126">
        <v>0</v>
      </c>
      <c r="BR156" s="2126">
        <v>0</v>
      </c>
    </row>
    <row r="157" spans="1:70" s="1765" customFormat="1" ht="33">
      <c r="A157" s="1272">
        <v>2000</v>
      </c>
      <c r="B157" s="971" t="s">
        <v>119</v>
      </c>
      <c r="C157" s="1272">
        <v>2300</v>
      </c>
      <c r="D157" s="971" t="s">
        <v>222</v>
      </c>
      <c r="E157" s="971" t="s">
        <v>263</v>
      </c>
      <c r="F157" s="971" t="s">
        <v>264</v>
      </c>
      <c r="G157" s="971" t="s">
        <v>280</v>
      </c>
      <c r="H157" s="971" t="s">
        <v>266</v>
      </c>
      <c r="I157" s="1273" t="s">
        <v>397</v>
      </c>
      <c r="J157" s="971" t="s">
        <v>239</v>
      </c>
      <c r="K157" s="971"/>
      <c r="L157" s="971" t="s">
        <v>270</v>
      </c>
      <c r="M157" s="971" t="s">
        <v>270</v>
      </c>
      <c r="N157" s="971"/>
      <c r="O157" s="971" t="s">
        <v>270</v>
      </c>
      <c r="P157" s="971"/>
      <c r="Q157" s="971" t="s">
        <v>398</v>
      </c>
      <c r="R157" s="1266" t="s">
        <v>399</v>
      </c>
      <c r="S157" s="2106">
        <v>0</v>
      </c>
      <c r="T157" s="1266" t="s">
        <v>242</v>
      </c>
      <c r="U157" s="1742" t="s">
        <v>6588</v>
      </c>
      <c r="V157" s="1742" t="s">
        <v>6588</v>
      </c>
      <c r="W157" s="1742" t="s">
        <v>6588</v>
      </c>
      <c r="X157" s="1742" t="s">
        <v>6588</v>
      </c>
      <c r="Y157" s="2106" t="s">
        <v>6588</v>
      </c>
      <c r="Z157" s="2106">
        <v>0</v>
      </c>
      <c r="AA157" s="2106">
        <v>0</v>
      </c>
      <c r="AB157" s="2106">
        <v>0</v>
      </c>
      <c r="AC157" s="2106">
        <v>0</v>
      </c>
      <c r="AD157" s="1744">
        <v>0</v>
      </c>
      <c r="AE157" s="2126">
        <v>0</v>
      </c>
      <c r="AF157" s="2126">
        <v>0</v>
      </c>
      <c r="AG157" s="1212">
        <v>0</v>
      </c>
      <c r="AH157" s="1212">
        <v>1</v>
      </c>
      <c r="AI157" s="1212">
        <v>0</v>
      </c>
      <c r="AJ157" s="1212">
        <v>1</v>
      </c>
      <c r="AK157" s="2126">
        <v>0</v>
      </c>
      <c r="AL157" s="2126">
        <v>0</v>
      </c>
      <c r="AM157" s="2126">
        <v>0</v>
      </c>
      <c r="AN157" s="2126">
        <v>0</v>
      </c>
      <c r="AO157" s="1743" t="s">
        <v>131</v>
      </c>
      <c r="AP157" s="1743" t="s">
        <v>96</v>
      </c>
      <c r="AQ157" s="1764">
        <v>2014</v>
      </c>
      <c r="AR157" s="1743" t="s">
        <v>87</v>
      </c>
      <c r="AS157" s="2135"/>
      <c r="AT157" s="2135"/>
      <c r="AU157" s="1212">
        <v>0.33333333333333331</v>
      </c>
      <c r="AV157" s="1212">
        <v>0.33333333333333331</v>
      </c>
      <c r="AW157" s="1212">
        <v>0.33333333333333331</v>
      </c>
      <c r="AX157" s="1212"/>
      <c r="AY157" s="1212"/>
      <c r="AZ157" s="1212"/>
      <c r="BA157" s="1212"/>
      <c r="BB157" s="1212"/>
      <c r="BC157" s="1212"/>
      <c r="BD157" s="1212"/>
      <c r="BE157" s="1212"/>
      <c r="BF157" s="2126">
        <v>0</v>
      </c>
      <c r="BG157" s="2126">
        <v>0</v>
      </c>
      <c r="BH157" s="2126">
        <v>0</v>
      </c>
      <c r="BI157" s="2126">
        <v>0</v>
      </c>
      <c r="BJ157" s="2126">
        <v>0</v>
      </c>
      <c r="BK157" s="2126">
        <v>0</v>
      </c>
      <c r="BL157" s="2126">
        <v>0</v>
      </c>
      <c r="BM157" s="2126">
        <v>0</v>
      </c>
      <c r="BN157" s="2126">
        <v>0</v>
      </c>
      <c r="BO157" s="2126">
        <v>0</v>
      </c>
      <c r="BP157" s="2126">
        <v>0</v>
      </c>
      <c r="BQ157" s="2126">
        <v>0</v>
      </c>
      <c r="BR157" s="2126">
        <v>0</v>
      </c>
    </row>
    <row r="158" spans="1:70" s="1765" customFormat="1" ht="33">
      <c r="A158" s="1272">
        <v>2000</v>
      </c>
      <c r="B158" s="971" t="s">
        <v>119</v>
      </c>
      <c r="C158" s="1272">
        <v>2300</v>
      </c>
      <c r="D158" s="971" t="s">
        <v>222</v>
      </c>
      <c r="E158" s="971" t="s">
        <v>263</v>
      </c>
      <c r="F158" s="971" t="s">
        <v>264</v>
      </c>
      <c r="G158" s="971" t="s">
        <v>280</v>
      </c>
      <c r="H158" s="971" t="s">
        <v>266</v>
      </c>
      <c r="I158" s="1273" t="s">
        <v>400</v>
      </c>
      <c r="J158" s="971" t="s">
        <v>239</v>
      </c>
      <c r="K158" s="971"/>
      <c r="L158" s="971" t="s">
        <v>270</v>
      </c>
      <c r="M158" s="971" t="s">
        <v>270</v>
      </c>
      <c r="N158" s="971"/>
      <c r="O158" s="971" t="s">
        <v>270</v>
      </c>
      <c r="P158" s="971"/>
      <c r="Q158" s="971" t="s">
        <v>355</v>
      </c>
      <c r="R158" s="1266" t="s">
        <v>401</v>
      </c>
      <c r="S158" s="2106">
        <v>0</v>
      </c>
      <c r="T158" s="1266" t="s">
        <v>242</v>
      </c>
      <c r="U158" s="1742" t="s">
        <v>6588</v>
      </c>
      <c r="V158" s="1742" t="s">
        <v>6588</v>
      </c>
      <c r="W158" s="1742" t="s">
        <v>6588</v>
      </c>
      <c r="X158" s="1742" t="s">
        <v>6588</v>
      </c>
      <c r="Y158" s="2106" t="s">
        <v>6588</v>
      </c>
      <c r="Z158" s="2106">
        <v>0</v>
      </c>
      <c r="AA158" s="2106">
        <v>0</v>
      </c>
      <c r="AB158" s="2106">
        <v>0</v>
      </c>
      <c r="AC158" s="2106">
        <v>0</v>
      </c>
      <c r="AD158" s="1744">
        <v>0</v>
      </c>
      <c r="AE158" s="2126">
        <v>0</v>
      </c>
      <c r="AF158" s="2126">
        <v>0</v>
      </c>
      <c r="AG158" s="1212">
        <v>0</v>
      </c>
      <c r="AH158" s="1212">
        <v>1</v>
      </c>
      <c r="AI158" s="1212">
        <v>0</v>
      </c>
      <c r="AJ158" s="1212">
        <v>1</v>
      </c>
      <c r="AK158" s="2126">
        <v>0</v>
      </c>
      <c r="AL158" s="2126">
        <v>0</v>
      </c>
      <c r="AM158" s="2126">
        <v>0</v>
      </c>
      <c r="AN158" s="2126">
        <v>0</v>
      </c>
      <c r="AO158" s="1743" t="s">
        <v>131</v>
      </c>
      <c r="AP158" s="1743" t="s">
        <v>96</v>
      </c>
      <c r="AQ158" s="1764">
        <v>2014</v>
      </c>
      <c r="AR158" s="1743" t="s">
        <v>87</v>
      </c>
      <c r="AS158" s="2135"/>
      <c r="AT158" s="2135"/>
      <c r="AU158" s="1212">
        <v>0.33333333333333331</v>
      </c>
      <c r="AV158" s="1212">
        <v>0.33333333333333331</v>
      </c>
      <c r="AW158" s="1212">
        <v>0.33333333333333331</v>
      </c>
      <c r="AX158" s="1212"/>
      <c r="AY158" s="1212"/>
      <c r="AZ158" s="1212"/>
      <c r="BA158" s="1212"/>
      <c r="BB158" s="1212"/>
      <c r="BC158" s="1212"/>
      <c r="BD158" s="1212"/>
      <c r="BE158" s="1212"/>
      <c r="BF158" s="2126">
        <v>0</v>
      </c>
      <c r="BG158" s="2126">
        <v>0</v>
      </c>
      <c r="BH158" s="2126">
        <v>0</v>
      </c>
      <c r="BI158" s="2126">
        <v>0</v>
      </c>
      <c r="BJ158" s="2126">
        <v>0</v>
      </c>
      <c r="BK158" s="2126">
        <v>0</v>
      </c>
      <c r="BL158" s="2126">
        <v>0</v>
      </c>
      <c r="BM158" s="2126">
        <v>0</v>
      </c>
      <c r="BN158" s="2126">
        <v>0</v>
      </c>
      <c r="BO158" s="2126">
        <v>0</v>
      </c>
      <c r="BP158" s="2126">
        <v>0</v>
      </c>
      <c r="BQ158" s="2126">
        <v>0</v>
      </c>
      <c r="BR158" s="2126">
        <v>0</v>
      </c>
    </row>
    <row r="159" spans="1:70" s="1765" customFormat="1" ht="33">
      <c r="A159" s="1272">
        <v>2000</v>
      </c>
      <c r="B159" s="971" t="s">
        <v>119</v>
      </c>
      <c r="C159" s="1272">
        <v>2300</v>
      </c>
      <c r="D159" s="971" t="s">
        <v>222</v>
      </c>
      <c r="E159" s="971" t="s">
        <v>263</v>
      </c>
      <c r="F159" s="971" t="s">
        <v>264</v>
      </c>
      <c r="G159" s="971" t="s">
        <v>280</v>
      </c>
      <c r="H159" s="971" t="s">
        <v>266</v>
      </c>
      <c r="I159" s="1273" t="s">
        <v>402</v>
      </c>
      <c r="J159" s="971" t="s">
        <v>239</v>
      </c>
      <c r="K159" s="971"/>
      <c r="L159" s="971" t="s">
        <v>270</v>
      </c>
      <c r="M159" s="971" t="s">
        <v>270</v>
      </c>
      <c r="N159" s="971"/>
      <c r="O159" s="971" t="s">
        <v>270</v>
      </c>
      <c r="P159" s="971"/>
      <c r="Q159" s="971" t="s">
        <v>358</v>
      </c>
      <c r="R159" s="1266" t="s">
        <v>403</v>
      </c>
      <c r="S159" s="2106">
        <v>0</v>
      </c>
      <c r="T159" s="1266" t="s">
        <v>242</v>
      </c>
      <c r="U159" s="1742" t="s">
        <v>6588</v>
      </c>
      <c r="V159" s="1742" t="s">
        <v>6588</v>
      </c>
      <c r="W159" s="1742" t="s">
        <v>6588</v>
      </c>
      <c r="X159" s="1742" t="s">
        <v>6588</v>
      </c>
      <c r="Y159" s="2106" t="s">
        <v>6588</v>
      </c>
      <c r="Z159" s="2106">
        <v>0</v>
      </c>
      <c r="AA159" s="2106">
        <v>0</v>
      </c>
      <c r="AB159" s="2106">
        <v>0</v>
      </c>
      <c r="AC159" s="2106">
        <v>0</v>
      </c>
      <c r="AD159" s="1744">
        <v>0</v>
      </c>
      <c r="AE159" s="2126">
        <v>0</v>
      </c>
      <c r="AF159" s="2126">
        <v>0</v>
      </c>
      <c r="AG159" s="1212">
        <v>0</v>
      </c>
      <c r="AH159" s="1212">
        <v>1</v>
      </c>
      <c r="AI159" s="1212">
        <v>0</v>
      </c>
      <c r="AJ159" s="1212">
        <v>1</v>
      </c>
      <c r="AK159" s="2126">
        <v>0</v>
      </c>
      <c r="AL159" s="2126">
        <v>0</v>
      </c>
      <c r="AM159" s="2126">
        <v>0</v>
      </c>
      <c r="AN159" s="2126">
        <v>0</v>
      </c>
      <c r="AO159" s="1743" t="s">
        <v>131</v>
      </c>
      <c r="AP159" s="1743" t="s">
        <v>96</v>
      </c>
      <c r="AQ159" s="1764">
        <v>2014</v>
      </c>
      <c r="AR159" s="1743" t="s">
        <v>87</v>
      </c>
      <c r="AS159" s="2135"/>
      <c r="AT159" s="2135"/>
      <c r="AU159" s="1212">
        <v>0.33333333333333331</v>
      </c>
      <c r="AV159" s="1212">
        <v>0.33333333333333331</v>
      </c>
      <c r="AW159" s="1212">
        <v>0.33333333333333331</v>
      </c>
      <c r="AX159" s="1212"/>
      <c r="AY159" s="1212"/>
      <c r="AZ159" s="1212"/>
      <c r="BA159" s="1212"/>
      <c r="BB159" s="1212"/>
      <c r="BC159" s="1212"/>
      <c r="BD159" s="1212"/>
      <c r="BE159" s="1212"/>
      <c r="BF159" s="2126">
        <v>0</v>
      </c>
      <c r="BG159" s="2126">
        <v>0</v>
      </c>
      <c r="BH159" s="2126">
        <v>0</v>
      </c>
      <c r="BI159" s="2126">
        <v>0</v>
      </c>
      <c r="BJ159" s="2126">
        <v>0</v>
      </c>
      <c r="BK159" s="2126">
        <v>0</v>
      </c>
      <c r="BL159" s="2126">
        <v>0</v>
      </c>
      <c r="BM159" s="2126">
        <v>0</v>
      </c>
      <c r="BN159" s="2126">
        <v>0</v>
      </c>
      <c r="BO159" s="2126">
        <v>0</v>
      </c>
      <c r="BP159" s="2126">
        <v>0</v>
      </c>
      <c r="BQ159" s="2126">
        <v>0</v>
      </c>
      <c r="BR159" s="2126">
        <v>0</v>
      </c>
    </row>
    <row r="160" spans="1:70" s="1765" customFormat="1" ht="33">
      <c r="A160" s="1272">
        <v>2000</v>
      </c>
      <c r="B160" s="971" t="s">
        <v>119</v>
      </c>
      <c r="C160" s="1272">
        <v>2300</v>
      </c>
      <c r="D160" s="971" t="s">
        <v>222</v>
      </c>
      <c r="E160" s="971" t="s">
        <v>263</v>
      </c>
      <c r="F160" s="971" t="s">
        <v>264</v>
      </c>
      <c r="G160" s="971" t="s">
        <v>280</v>
      </c>
      <c r="H160" s="971" t="s">
        <v>266</v>
      </c>
      <c r="I160" s="1273" t="s">
        <v>404</v>
      </c>
      <c r="J160" s="971" t="s">
        <v>239</v>
      </c>
      <c r="K160" s="971"/>
      <c r="L160" s="971" t="s">
        <v>270</v>
      </c>
      <c r="M160" s="971" t="s">
        <v>270</v>
      </c>
      <c r="N160" s="971"/>
      <c r="O160" s="971" t="s">
        <v>270</v>
      </c>
      <c r="P160" s="971"/>
      <c r="Q160" s="971" t="s">
        <v>361</v>
      </c>
      <c r="R160" s="1266" t="s">
        <v>405</v>
      </c>
      <c r="S160" s="2106">
        <v>0</v>
      </c>
      <c r="T160" s="1266" t="s">
        <v>242</v>
      </c>
      <c r="U160" s="1742" t="s">
        <v>6588</v>
      </c>
      <c r="V160" s="1742" t="s">
        <v>6588</v>
      </c>
      <c r="W160" s="1742" t="s">
        <v>6588</v>
      </c>
      <c r="X160" s="1742" t="s">
        <v>6588</v>
      </c>
      <c r="Y160" s="2106" t="s">
        <v>6588</v>
      </c>
      <c r="Z160" s="2106">
        <v>0</v>
      </c>
      <c r="AA160" s="2106">
        <v>0</v>
      </c>
      <c r="AB160" s="2106">
        <v>0</v>
      </c>
      <c r="AC160" s="2106">
        <v>0</v>
      </c>
      <c r="AD160" s="1744">
        <v>0</v>
      </c>
      <c r="AE160" s="2126">
        <v>0</v>
      </c>
      <c r="AF160" s="2126">
        <v>0</v>
      </c>
      <c r="AG160" s="1212">
        <v>0</v>
      </c>
      <c r="AH160" s="1212">
        <v>1</v>
      </c>
      <c r="AI160" s="1212">
        <v>0</v>
      </c>
      <c r="AJ160" s="1212">
        <v>1</v>
      </c>
      <c r="AK160" s="2126">
        <v>0</v>
      </c>
      <c r="AL160" s="2126">
        <v>0</v>
      </c>
      <c r="AM160" s="2126">
        <v>0</v>
      </c>
      <c r="AN160" s="2126">
        <v>0</v>
      </c>
      <c r="AO160" s="1743" t="s">
        <v>131</v>
      </c>
      <c r="AP160" s="1743" t="s">
        <v>96</v>
      </c>
      <c r="AQ160" s="1764">
        <v>2014</v>
      </c>
      <c r="AR160" s="1743" t="s">
        <v>87</v>
      </c>
      <c r="AS160" s="2135"/>
      <c r="AT160" s="2135"/>
      <c r="AU160" s="1212">
        <v>0.33333333333333331</v>
      </c>
      <c r="AV160" s="1212">
        <v>0.33333333333333331</v>
      </c>
      <c r="AW160" s="1212">
        <v>0.33333333333333331</v>
      </c>
      <c r="AX160" s="1212"/>
      <c r="AY160" s="1212"/>
      <c r="AZ160" s="1212"/>
      <c r="BA160" s="1212"/>
      <c r="BB160" s="1212"/>
      <c r="BC160" s="1212"/>
      <c r="BD160" s="1212"/>
      <c r="BE160" s="1212"/>
      <c r="BF160" s="2126">
        <v>0</v>
      </c>
      <c r="BG160" s="2126">
        <v>0</v>
      </c>
      <c r="BH160" s="2126">
        <v>0</v>
      </c>
      <c r="BI160" s="2126">
        <v>0</v>
      </c>
      <c r="BJ160" s="2126">
        <v>0</v>
      </c>
      <c r="BK160" s="2126">
        <v>0</v>
      </c>
      <c r="BL160" s="2126">
        <v>0</v>
      </c>
      <c r="BM160" s="2126">
        <v>0</v>
      </c>
      <c r="BN160" s="2126">
        <v>0</v>
      </c>
      <c r="BO160" s="2126">
        <v>0</v>
      </c>
      <c r="BP160" s="2126">
        <v>0</v>
      </c>
      <c r="BQ160" s="2126">
        <v>0</v>
      </c>
      <c r="BR160" s="2126">
        <v>0</v>
      </c>
    </row>
    <row r="161" spans="1:70" s="1765" customFormat="1" ht="33">
      <c r="A161" s="1272">
        <v>2000</v>
      </c>
      <c r="B161" s="971" t="s">
        <v>119</v>
      </c>
      <c r="C161" s="1272">
        <v>2300</v>
      </c>
      <c r="D161" s="971" t="s">
        <v>222</v>
      </c>
      <c r="E161" s="971" t="s">
        <v>263</v>
      </c>
      <c r="F161" s="971" t="s">
        <v>264</v>
      </c>
      <c r="G161" s="971" t="s">
        <v>280</v>
      </c>
      <c r="H161" s="971" t="s">
        <v>266</v>
      </c>
      <c r="I161" s="1273" t="s">
        <v>406</v>
      </c>
      <c r="J161" s="971" t="s">
        <v>239</v>
      </c>
      <c r="K161" s="971"/>
      <c r="L161" s="971" t="s">
        <v>270</v>
      </c>
      <c r="M161" s="971" t="s">
        <v>270</v>
      </c>
      <c r="N161" s="971"/>
      <c r="O161" s="971" t="s">
        <v>270</v>
      </c>
      <c r="P161" s="971"/>
      <c r="Q161" s="971" t="s">
        <v>364</v>
      </c>
      <c r="R161" s="1266" t="s">
        <v>407</v>
      </c>
      <c r="S161" s="2106">
        <v>0</v>
      </c>
      <c r="T161" s="1266" t="s">
        <v>242</v>
      </c>
      <c r="U161" s="1742" t="s">
        <v>6588</v>
      </c>
      <c r="V161" s="1742" t="s">
        <v>6588</v>
      </c>
      <c r="W161" s="1742" t="s">
        <v>6588</v>
      </c>
      <c r="X161" s="1742" t="s">
        <v>6588</v>
      </c>
      <c r="Y161" s="2106" t="s">
        <v>6588</v>
      </c>
      <c r="Z161" s="2106">
        <v>0</v>
      </c>
      <c r="AA161" s="2106">
        <v>0</v>
      </c>
      <c r="AB161" s="2106">
        <v>0</v>
      </c>
      <c r="AC161" s="2106">
        <v>0</v>
      </c>
      <c r="AD161" s="1744">
        <v>0</v>
      </c>
      <c r="AE161" s="2126">
        <v>0</v>
      </c>
      <c r="AF161" s="2126">
        <v>0</v>
      </c>
      <c r="AG161" s="1212">
        <v>0</v>
      </c>
      <c r="AH161" s="1212">
        <v>1</v>
      </c>
      <c r="AI161" s="1212">
        <v>0</v>
      </c>
      <c r="AJ161" s="1212">
        <v>1</v>
      </c>
      <c r="AK161" s="2126">
        <v>0</v>
      </c>
      <c r="AL161" s="2126">
        <v>0</v>
      </c>
      <c r="AM161" s="2126">
        <v>0</v>
      </c>
      <c r="AN161" s="2126">
        <v>0</v>
      </c>
      <c r="AO161" s="1743" t="s">
        <v>131</v>
      </c>
      <c r="AP161" s="1743" t="s">
        <v>96</v>
      </c>
      <c r="AQ161" s="1764">
        <v>2014</v>
      </c>
      <c r="AR161" s="1743" t="s">
        <v>87</v>
      </c>
      <c r="AS161" s="2135"/>
      <c r="AT161" s="2135"/>
      <c r="AU161" s="1212">
        <v>0.33333333333333331</v>
      </c>
      <c r="AV161" s="1212">
        <v>0.33333333333333331</v>
      </c>
      <c r="AW161" s="1212">
        <v>0.33333333333333331</v>
      </c>
      <c r="AX161" s="1212"/>
      <c r="AY161" s="1212"/>
      <c r="AZ161" s="1212"/>
      <c r="BA161" s="1212"/>
      <c r="BB161" s="1212"/>
      <c r="BC161" s="1212"/>
      <c r="BD161" s="1212"/>
      <c r="BE161" s="1212"/>
      <c r="BF161" s="2126">
        <v>0</v>
      </c>
      <c r="BG161" s="2126">
        <v>0</v>
      </c>
      <c r="BH161" s="2126">
        <v>0</v>
      </c>
      <c r="BI161" s="2126">
        <v>0</v>
      </c>
      <c r="BJ161" s="2126">
        <v>0</v>
      </c>
      <c r="BK161" s="2126">
        <v>0</v>
      </c>
      <c r="BL161" s="2126">
        <v>0</v>
      </c>
      <c r="BM161" s="2126">
        <v>0</v>
      </c>
      <c r="BN161" s="2126">
        <v>0</v>
      </c>
      <c r="BO161" s="2126">
        <v>0</v>
      </c>
      <c r="BP161" s="2126">
        <v>0</v>
      </c>
      <c r="BQ161" s="2126">
        <v>0</v>
      </c>
      <c r="BR161" s="2126">
        <v>0</v>
      </c>
    </row>
    <row r="162" spans="1:70" s="1765" customFormat="1" ht="33">
      <c r="A162" s="1272">
        <v>2000</v>
      </c>
      <c r="B162" s="971" t="s">
        <v>119</v>
      </c>
      <c r="C162" s="1272">
        <v>2300</v>
      </c>
      <c r="D162" s="971" t="s">
        <v>222</v>
      </c>
      <c r="E162" s="971" t="s">
        <v>263</v>
      </c>
      <c r="F162" s="971" t="s">
        <v>264</v>
      </c>
      <c r="G162" s="971" t="s">
        <v>280</v>
      </c>
      <c r="H162" s="971" t="s">
        <v>266</v>
      </c>
      <c r="I162" s="1273" t="s">
        <v>408</v>
      </c>
      <c r="J162" s="971" t="s">
        <v>239</v>
      </c>
      <c r="K162" s="971"/>
      <c r="L162" s="971" t="s">
        <v>270</v>
      </c>
      <c r="M162" s="971" t="s">
        <v>270</v>
      </c>
      <c r="N162" s="971"/>
      <c r="O162" s="971" t="s">
        <v>270</v>
      </c>
      <c r="P162" s="971"/>
      <c r="Q162" s="971" t="s">
        <v>361</v>
      </c>
      <c r="R162" s="1266" t="s">
        <v>409</v>
      </c>
      <c r="S162" s="2106">
        <v>0</v>
      </c>
      <c r="T162" s="1266" t="s">
        <v>242</v>
      </c>
      <c r="U162" s="1742" t="s">
        <v>6588</v>
      </c>
      <c r="V162" s="1742" t="s">
        <v>6588</v>
      </c>
      <c r="W162" s="1742" t="s">
        <v>6588</v>
      </c>
      <c r="X162" s="1742" t="s">
        <v>6588</v>
      </c>
      <c r="Y162" s="2106" t="s">
        <v>6588</v>
      </c>
      <c r="Z162" s="2106">
        <v>0</v>
      </c>
      <c r="AA162" s="2106">
        <v>0</v>
      </c>
      <c r="AB162" s="2106">
        <v>0</v>
      </c>
      <c r="AC162" s="2106">
        <v>0</v>
      </c>
      <c r="AD162" s="1744">
        <v>0</v>
      </c>
      <c r="AE162" s="2126">
        <v>0</v>
      </c>
      <c r="AF162" s="2126">
        <v>0</v>
      </c>
      <c r="AG162" s="1212">
        <v>0</v>
      </c>
      <c r="AH162" s="1212">
        <v>1</v>
      </c>
      <c r="AI162" s="1212">
        <v>0</v>
      </c>
      <c r="AJ162" s="1212">
        <v>1</v>
      </c>
      <c r="AK162" s="2126">
        <v>0</v>
      </c>
      <c r="AL162" s="2126">
        <v>0</v>
      </c>
      <c r="AM162" s="2126">
        <v>0</v>
      </c>
      <c r="AN162" s="2126">
        <v>0</v>
      </c>
      <c r="AO162" s="1743" t="s">
        <v>131</v>
      </c>
      <c r="AP162" s="1743" t="s">
        <v>96</v>
      </c>
      <c r="AQ162" s="1764">
        <v>2014</v>
      </c>
      <c r="AR162" s="1743" t="s">
        <v>87</v>
      </c>
      <c r="AS162" s="2135"/>
      <c r="AT162" s="2135"/>
      <c r="AU162" s="1212">
        <v>0.33333333333333331</v>
      </c>
      <c r="AV162" s="1212">
        <v>0.33333333333333331</v>
      </c>
      <c r="AW162" s="1212">
        <v>0.33333333333333331</v>
      </c>
      <c r="AX162" s="1212"/>
      <c r="AY162" s="1212"/>
      <c r="AZ162" s="1212"/>
      <c r="BA162" s="1212"/>
      <c r="BB162" s="1212"/>
      <c r="BC162" s="1212"/>
      <c r="BD162" s="1212"/>
      <c r="BE162" s="1212"/>
      <c r="BF162" s="2126">
        <v>0</v>
      </c>
      <c r="BG162" s="2126">
        <v>0</v>
      </c>
      <c r="BH162" s="2126">
        <v>0</v>
      </c>
      <c r="BI162" s="2126">
        <v>0</v>
      </c>
      <c r="BJ162" s="2126">
        <v>0</v>
      </c>
      <c r="BK162" s="2126">
        <v>0</v>
      </c>
      <c r="BL162" s="2126">
        <v>0</v>
      </c>
      <c r="BM162" s="2126">
        <v>0</v>
      </c>
      <c r="BN162" s="2126">
        <v>0</v>
      </c>
      <c r="BO162" s="2126">
        <v>0</v>
      </c>
      <c r="BP162" s="2126">
        <v>0</v>
      </c>
      <c r="BQ162" s="2126">
        <v>0</v>
      </c>
      <c r="BR162" s="2126">
        <v>0</v>
      </c>
    </row>
    <row r="163" spans="1:70" s="1765" customFormat="1" ht="33">
      <c r="A163" s="1272">
        <v>2000</v>
      </c>
      <c r="B163" s="971" t="s">
        <v>119</v>
      </c>
      <c r="C163" s="1272">
        <v>2300</v>
      </c>
      <c r="D163" s="971" t="s">
        <v>222</v>
      </c>
      <c r="E163" s="971" t="s">
        <v>263</v>
      </c>
      <c r="F163" s="971" t="s">
        <v>264</v>
      </c>
      <c r="G163" s="971" t="s">
        <v>280</v>
      </c>
      <c r="H163" s="971" t="s">
        <v>266</v>
      </c>
      <c r="I163" s="1273" t="s">
        <v>410</v>
      </c>
      <c r="J163" s="971" t="s">
        <v>239</v>
      </c>
      <c r="K163" s="971"/>
      <c r="L163" s="971" t="s">
        <v>270</v>
      </c>
      <c r="M163" s="971" t="s">
        <v>270</v>
      </c>
      <c r="N163" s="971"/>
      <c r="O163" s="971" t="s">
        <v>270</v>
      </c>
      <c r="P163" s="971"/>
      <c r="Q163" s="971" t="s">
        <v>364</v>
      </c>
      <c r="R163" s="1266" t="s">
        <v>411</v>
      </c>
      <c r="S163" s="2106">
        <v>0</v>
      </c>
      <c r="T163" s="1266" t="s">
        <v>242</v>
      </c>
      <c r="U163" s="1742" t="s">
        <v>6588</v>
      </c>
      <c r="V163" s="1742" t="s">
        <v>6588</v>
      </c>
      <c r="W163" s="1742" t="s">
        <v>6588</v>
      </c>
      <c r="X163" s="1742" t="s">
        <v>6588</v>
      </c>
      <c r="Y163" s="2106" t="s">
        <v>6588</v>
      </c>
      <c r="Z163" s="2106">
        <v>0</v>
      </c>
      <c r="AA163" s="2106">
        <v>0</v>
      </c>
      <c r="AB163" s="2106">
        <v>0</v>
      </c>
      <c r="AC163" s="2106">
        <v>0</v>
      </c>
      <c r="AD163" s="1744">
        <v>0</v>
      </c>
      <c r="AE163" s="2126">
        <v>0</v>
      </c>
      <c r="AF163" s="2126">
        <v>0</v>
      </c>
      <c r="AG163" s="1212">
        <v>0</v>
      </c>
      <c r="AH163" s="1212">
        <v>1</v>
      </c>
      <c r="AI163" s="1212">
        <v>0</v>
      </c>
      <c r="AJ163" s="1212">
        <v>1</v>
      </c>
      <c r="AK163" s="2126">
        <v>0</v>
      </c>
      <c r="AL163" s="2126">
        <v>0</v>
      </c>
      <c r="AM163" s="2126">
        <v>0</v>
      </c>
      <c r="AN163" s="2126">
        <v>0</v>
      </c>
      <c r="AO163" s="1743" t="s">
        <v>131</v>
      </c>
      <c r="AP163" s="1743" t="s">
        <v>96</v>
      </c>
      <c r="AQ163" s="1764">
        <v>2014</v>
      </c>
      <c r="AR163" s="1743" t="s">
        <v>87</v>
      </c>
      <c r="AS163" s="2135"/>
      <c r="AT163" s="2135"/>
      <c r="AU163" s="1212">
        <v>0.33333333333333331</v>
      </c>
      <c r="AV163" s="1212">
        <v>0.33333333333333331</v>
      </c>
      <c r="AW163" s="1212">
        <v>0.33333333333333331</v>
      </c>
      <c r="AX163" s="1212"/>
      <c r="AY163" s="1212"/>
      <c r="AZ163" s="1212"/>
      <c r="BA163" s="1212"/>
      <c r="BB163" s="1212"/>
      <c r="BC163" s="1212"/>
      <c r="BD163" s="1212"/>
      <c r="BE163" s="1212"/>
      <c r="BF163" s="2126">
        <v>0</v>
      </c>
      <c r="BG163" s="2126">
        <v>0</v>
      </c>
      <c r="BH163" s="2126">
        <v>0</v>
      </c>
      <c r="BI163" s="2126">
        <v>0</v>
      </c>
      <c r="BJ163" s="2126">
        <v>0</v>
      </c>
      <c r="BK163" s="2126">
        <v>0</v>
      </c>
      <c r="BL163" s="2126">
        <v>0</v>
      </c>
      <c r="BM163" s="2126">
        <v>0</v>
      </c>
      <c r="BN163" s="2126">
        <v>0</v>
      </c>
      <c r="BO163" s="2126">
        <v>0</v>
      </c>
      <c r="BP163" s="2126">
        <v>0</v>
      </c>
      <c r="BQ163" s="2126">
        <v>0</v>
      </c>
      <c r="BR163" s="2126">
        <v>0</v>
      </c>
    </row>
    <row r="164" spans="1:70" s="1765" customFormat="1" ht="33">
      <c r="A164" s="1272">
        <v>2000</v>
      </c>
      <c r="B164" s="971" t="s">
        <v>119</v>
      </c>
      <c r="C164" s="1272">
        <v>2300</v>
      </c>
      <c r="D164" s="971" t="s">
        <v>222</v>
      </c>
      <c r="E164" s="971" t="s">
        <v>263</v>
      </c>
      <c r="F164" s="971" t="s">
        <v>264</v>
      </c>
      <c r="G164" s="971" t="s">
        <v>280</v>
      </c>
      <c r="H164" s="971" t="s">
        <v>266</v>
      </c>
      <c r="I164" s="1273" t="s">
        <v>412</v>
      </c>
      <c r="J164" s="971" t="s">
        <v>239</v>
      </c>
      <c r="K164" s="971"/>
      <c r="L164" s="971" t="s">
        <v>270</v>
      </c>
      <c r="M164" s="971" t="s">
        <v>270</v>
      </c>
      <c r="N164" s="971"/>
      <c r="O164" s="971" t="s">
        <v>270</v>
      </c>
      <c r="P164" s="971"/>
      <c r="Q164" s="971" t="s">
        <v>371</v>
      </c>
      <c r="R164" s="1266" t="s">
        <v>413</v>
      </c>
      <c r="S164" s="2106">
        <v>0</v>
      </c>
      <c r="T164" s="1266" t="s">
        <v>242</v>
      </c>
      <c r="U164" s="1742" t="s">
        <v>6588</v>
      </c>
      <c r="V164" s="1742" t="s">
        <v>6588</v>
      </c>
      <c r="W164" s="1742" t="s">
        <v>6588</v>
      </c>
      <c r="X164" s="1742" t="s">
        <v>6588</v>
      </c>
      <c r="Y164" s="2106" t="s">
        <v>6588</v>
      </c>
      <c r="Z164" s="2106">
        <v>0</v>
      </c>
      <c r="AA164" s="2106">
        <v>0</v>
      </c>
      <c r="AB164" s="2106">
        <v>0</v>
      </c>
      <c r="AC164" s="2106">
        <v>0</v>
      </c>
      <c r="AD164" s="1744">
        <v>0</v>
      </c>
      <c r="AE164" s="2126">
        <v>0</v>
      </c>
      <c r="AF164" s="2126">
        <v>0</v>
      </c>
      <c r="AG164" s="1212">
        <v>0</v>
      </c>
      <c r="AH164" s="1212">
        <v>1</v>
      </c>
      <c r="AI164" s="1212">
        <v>0</v>
      </c>
      <c r="AJ164" s="1212">
        <v>1</v>
      </c>
      <c r="AK164" s="2126">
        <v>0</v>
      </c>
      <c r="AL164" s="2126">
        <v>0</v>
      </c>
      <c r="AM164" s="2126">
        <v>0</v>
      </c>
      <c r="AN164" s="2126">
        <v>0</v>
      </c>
      <c r="AO164" s="1743" t="s">
        <v>131</v>
      </c>
      <c r="AP164" s="1743" t="s">
        <v>96</v>
      </c>
      <c r="AQ164" s="1764">
        <v>2014</v>
      </c>
      <c r="AR164" s="1743" t="s">
        <v>87</v>
      </c>
      <c r="AS164" s="2135"/>
      <c r="AT164" s="2135"/>
      <c r="AU164" s="1212">
        <v>0.33333333333333331</v>
      </c>
      <c r="AV164" s="1212">
        <v>0.33333333333333331</v>
      </c>
      <c r="AW164" s="1212">
        <v>0.33333333333333331</v>
      </c>
      <c r="AX164" s="1212"/>
      <c r="AY164" s="1212"/>
      <c r="AZ164" s="1212"/>
      <c r="BA164" s="1212"/>
      <c r="BB164" s="1212"/>
      <c r="BC164" s="1212"/>
      <c r="BD164" s="1212"/>
      <c r="BE164" s="1212"/>
      <c r="BF164" s="2126">
        <v>0</v>
      </c>
      <c r="BG164" s="2126">
        <v>0</v>
      </c>
      <c r="BH164" s="2126">
        <v>0</v>
      </c>
      <c r="BI164" s="2126">
        <v>0</v>
      </c>
      <c r="BJ164" s="2126">
        <v>0</v>
      </c>
      <c r="BK164" s="2126">
        <v>0</v>
      </c>
      <c r="BL164" s="2126">
        <v>0</v>
      </c>
      <c r="BM164" s="2126">
        <v>0</v>
      </c>
      <c r="BN164" s="2126">
        <v>0</v>
      </c>
      <c r="BO164" s="2126">
        <v>0</v>
      </c>
      <c r="BP164" s="2126">
        <v>0</v>
      </c>
      <c r="BQ164" s="2126">
        <v>0</v>
      </c>
      <c r="BR164" s="2126">
        <v>0</v>
      </c>
    </row>
    <row r="165" spans="1:70" s="1765" customFormat="1" ht="33">
      <c r="A165" s="1272">
        <v>2000</v>
      </c>
      <c r="B165" s="971" t="s">
        <v>119</v>
      </c>
      <c r="C165" s="1272">
        <v>2300</v>
      </c>
      <c r="D165" s="971" t="s">
        <v>222</v>
      </c>
      <c r="E165" s="971" t="s">
        <v>263</v>
      </c>
      <c r="F165" s="971" t="s">
        <v>264</v>
      </c>
      <c r="G165" s="971" t="s">
        <v>280</v>
      </c>
      <c r="H165" s="971" t="s">
        <v>266</v>
      </c>
      <c r="I165" s="1273" t="s">
        <v>414</v>
      </c>
      <c r="J165" s="971" t="s">
        <v>239</v>
      </c>
      <c r="K165" s="971"/>
      <c r="L165" s="971" t="s">
        <v>270</v>
      </c>
      <c r="M165" s="971" t="s">
        <v>270</v>
      </c>
      <c r="N165" s="971"/>
      <c r="O165" s="971" t="s">
        <v>270</v>
      </c>
      <c r="P165" s="971"/>
      <c r="Q165" s="971" t="s">
        <v>371</v>
      </c>
      <c r="R165" s="1266" t="s">
        <v>415</v>
      </c>
      <c r="S165" s="2106">
        <v>0</v>
      </c>
      <c r="T165" s="1266" t="s">
        <v>242</v>
      </c>
      <c r="U165" s="1742" t="s">
        <v>6588</v>
      </c>
      <c r="V165" s="1742" t="s">
        <v>6588</v>
      </c>
      <c r="W165" s="1742" t="s">
        <v>6588</v>
      </c>
      <c r="X165" s="1742" t="s">
        <v>6588</v>
      </c>
      <c r="Y165" s="2106" t="s">
        <v>6588</v>
      </c>
      <c r="Z165" s="2106">
        <v>0</v>
      </c>
      <c r="AA165" s="2106">
        <v>0</v>
      </c>
      <c r="AB165" s="2106">
        <v>0</v>
      </c>
      <c r="AC165" s="2106">
        <v>0</v>
      </c>
      <c r="AD165" s="1744">
        <v>0</v>
      </c>
      <c r="AE165" s="2126">
        <v>0</v>
      </c>
      <c r="AF165" s="2126">
        <v>0</v>
      </c>
      <c r="AG165" s="1212">
        <v>0</v>
      </c>
      <c r="AH165" s="1212">
        <v>1</v>
      </c>
      <c r="AI165" s="1212">
        <v>0</v>
      </c>
      <c r="AJ165" s="1212">
        <v>1</v>
      </c>
      <c r="AK165" s="2126">
        <v>0</v>
      </c>
      <c r="AL165" s="2126">
        <v>0</v>
      </c>
      <c r="AM165" s="2126">
        <v>0</v>
      </c>
      <c r="AN165" s="2126">
        <v>0</v>
      </c>
      <c r="AO165" s="1743" t="s">
        <v>131</v>
      </c>
      <c r="AP165" s="1743" t="s">
        <v>96</v>
      </c>
      <c r="AQ165" s="1764">
        <v>2014</v>
      </c>
      <c r="AR165" s="1743" t="s">
        <v>87</v>
      </c>
      <c r="AS165" s="2135"/>
      <c r="AT165" s="2135"/>
      <c r="AU165" s="1212">
        <v>0.33333333333333331</v>
      </c>
      <c r="AV165" s="1212">
        <v>0.33333333333333331</v>
      </c>
      <c r="AW165" s="1212">
        <v>0.33333333333333331</v>
      </c>
      <c r="AX165" s="1212"/>
      <c r="AY165" s="1212"/>
      <c r="AZ165" s="1212"/>
      <c r="BA165" s="1212"/>
      <c r="BB165" s="1212"/>
      <c r="BC165" s="1212"/>
      <c r="BD165" s="1212"/>
      <c r="BE165" s="1212"/>
      <c r="BF165" s="2126">
        <v>0</v>
      </c>
      <c r="BG165" s="2126">
        <v>0</v>
      </c>
      <c r="BH165" s="2126">
        <v>0</v>
      </c>
      <c r="BI165" s="2126">
        <v>0</v>
      </c>
      <c r="BJ165" s="2126">
        <v>0</v>
      </c>
      <c r="BK165" s="2126">
        <v>0</v>
      </c>
      <c r="BL165" s="2126">
        <v>0</v>
      </c>
      <c r="BM165" s="2126">
        <v>0</v>
      </c>
      <c r="BN165" s="2126">
        <v>0</v>
      </c>
      <c r="BO165" s="2126">
        <v>0</v>
      </c>
      <c r="BP165" s="2126">
        <v>0</v>
      </c>
      <c r="BQ165" s="2126">
        <v>0</v>
      </c>
      <c r="BR165" s="2126">
        <v>0</v>
      </c>
    </row>
    <row r="166" spans="1:70" s="1765" customFormat="1" ht="33">
      <c r="A166" s="1272">
        <v>2000</v>
      </c>
      <c r="B166" s="971" t="s">
        <v>119</v>
      </c>
      <c r="C166" s="1272">
        <v>2300</v>
      </c>
      <c r="D166" s="971" t="s">
        <v>222</v>
      </c>
      <c r="E166" s="971" t="s">
        <v>263</v>
      </c>
      <c r="F166" s="971" t="s">
        <v>264</v>
      </c>
      <c r="G166" s="971" t="s">
        <v>280</v>
      </c>
      <c r="H166" s="971" t="s">
        <v>266</v>
      </c>
      <c r="I166" s="1273" t="s">
        <v>416</v>
      </c>
      <c r="J166" s="971" t="s">
        <v>239</v>
      </c>
      <c r="K166" s="971"/>
      <c r="L166" s="971" t="s">
        <v>270</v>
      </c>
      <c r="M166" s="971" t="s">
        <v>270</v>
      </c>
      <c r="N166" s="971"/>
      <c r="O166" s="971" t="s">
        <v>270</v>
      </c>
      <c r="P166" s="971"/>
      <c r="Q166" s="971" t="s">
        <v>417</v>
      </c>
      <c r="R166" s="1266" t="s">
        <v>418</v>
      </c>
      <c r="S166" s="2106">
        <v>1</v>
      </c>
      <c r="T166" s="1266" t="s">
        <v>242</v>
      </c>
      <c r="U166" s="1742" t="s">
        <v>6588</v>
      </c>
      <c r="V166" s="1742" t="s">
        <v>6588</v>
      </c>
      <c r="W166" s="1742" t="s">
        <v>6588</v>
      </c>
      <c r="X166" s="1742" t="s">
        <v>6588</v>
      </c>
      <c r="Y166" s="2106" t="s">
        <v>6588</v>
      </c>
      <c r="Z166" s="2106">
        <v>0</v>
      </c>
      <c r="AA166" s="2106">
        <v>0</v>
      </c>
      <c r="AB166" s="2106">
        <v>0</v>
      </c>
      <c r="AC166" s="2106">
        <v>0</v>
      </c>
      <c r="AD166" s="1744">
        <v>0</v>
      </c>
      <c r="AE166" s="2126">
        <v>0</v>
      </c>
      <c r="AF166" s="2126">
        <v>0</v>
      </c>
      <c r="AG166" s="1212">
        <v>1</v>
      </c>
      <c r="AH166" s="1212">
        <v>0</v>
      </c>
      <c r="AI166" s="1212">
        <v>0</v>
      </c>
      <c r="AJ166" s="1212">
        <v>1</v>
      </c>
      <c r="AK166" s="2126">
        <v>0</v>
      </c>
      <c r="AL166" s="2126">
        <v>0</v>
      </c>
      <c r="AM166" s="2126">
        <v>0</v>
      </c>
      <c r="AN166" s="2126">
        <v>0</v>
      </c>
      <c r="AO166" s="1743" t="s">
        <v>131</v>
      </c>
      <c r="AP166" s="1743"/>
      <c r="AQ166" s="1764">
        <v>2014</v>
      </c>
      <c r="AR166" s="1743" t="s">
        <v>87</v>
      </c>
      <c r="AS166" s="2135"/>
      <c r="AT166" s="2135"/>
      <c r="AU166" s="1212">
        <v>0.33333333333333331</v>
      </c>
      <c r="AV166" s="1212">
        <v>0.33333333333333331</v>
      </c>
      <c r="AW166" s="1212">
        <v>0.33333333333333331</v>
      </c>
      <c r="AX166" s="1212"/>
      <c r="AY166" s="1212"/>
      <c r="AZ166" s="1212"/>
      <c r="BA166" s="1212"/>
      <c r="BB166" s="1212"/>
      <c r="BC166" s="1212"/>
      <c r="BD166" s="1212"/>
      <c r="BE166" s="1212"/>
      <c r="BF166" s="2126">
        <v>0</v>
      </c>
      <c r="BG166" s="2126">
        <v>0</v>
      </c>
      <c r="BH166" s="2126">
        <v>0</v>
      </c>
      <c r="BI166" s="2126">
        <v>0</v>
      </c>
      <c r="BJ166" s="2126">
        <v>0</v>
      </c>
      <c r="BK166" s="2126">
        <v>0</v>
      </c>
      <c r="BL166" s="2126">
        <v>0</v>
      </c>
      <c r="BM166" s="2126">
        <v>0</v>
      </c>
      <c r="BN166" s="2126">
        <v>0</v>
      </c>
      <c r="BO166" s="2126">
        <v>0</v>
      </c>
      <c r="BP166" s="2126">
        <v>0</v>
      </c>
      <c r="BQ166" s="2126">
        <v>0</v>
      </c>
      <c r="BR166" s="2126">
        <v>0</v>
      </c>
    </row>
    <row r="167" spans="1:70" s="1765" customFormat="1" ht="33">
      <c r="A167" s="1272">
        <v>2000</v>
      </c>
      <c r="B167" s="971" t="s">
        <v>119</v>
      </c>
      <c r="C167" s="1272">
        <v>2300</v>
      </c>
      <c r="D167" s="971" t="s">
        <v>222</v>
      </c>
      <c r="E167" s="971" t="s">
        <v>263</v>
      </c>
      <c r="F167" s="971" t="s">
        <v>264</v>
      </c>
      <c r="G167" s="971" t="s">
        <v>280</v>
      </c>
      <c r="H167" s="971" t="s">
        <v>266</v>
      </c>
      <c r="I167" s="1273" t="s">
        <v>419</v>
      </c>
      <c r="J167" s="971" t="s">
        <v>239</v>
      </c>
      <c r="K167" s="971"/>
      <c r="L167" s="971" t="s">
        <v>270</v>
      </c>
      <c r="M167" s="971" t="s">
        <v>270</v>
      </c>
      <c r="N167" s="971"/>
      <c r="O167" s="971" t="s">
        <v>270</v>
      </c>
      <c r="P167" s="971"/>
      <c r="Q167" s="971" t="s">
        <v>420</v>
      </c>
      <c r="R167" s="1266" t="s">
        <v>421</v>
      </c>
      <c r="S167" s="2106">
        <v>1</v>
      </c>
      <c r="T167" s="1266" t="s">
        <v>242</v>
      </c>
      <c r="U167" s="1742" t="s">
        <v>6588</v>
      </c>
      <c r="V167" s="1742" t="s">
        <v>6588</v>
      </c>
      <c r="W167" s="1742" t="s">
        <v>6588</v>
      </c>
      <c r="X167" s="1742" t="s">
        <v>6588</v>
      </c>
      <c r="Y167" s="2106" t="s">
        <v>6588</v>
      </c>
      <c r="Z167" s="2106">
        <v>0</v>
      </c>
      <c r="AA167" s="2106">
        <v>0</v>
      </c>
      <c r="AB167" s="2106">
        <v>0</v>
      </c>
      <c r="AC167" s="2106">
        <v>0</v>
      </c>
      <c r="AD167" s="1744">
        <v>0</v>
      </c>
      <c r="AE167" s="2126">
        <v>0</v>
      </c>
      <c r="AF167" s="2126">
        <v>0</v>
      </c>
      <c r="AG167" s="1212">
        <v>1</v>
      </c>
      <c r="AH167" s="1212">
        <v>0</v>
      </c>
      <c r="AI167" s="1212">
        <v>0</v>
      </c>
      <c r="AJ167" s="1212">
        <v>1</v>
      </c>
      <c r="AK167" s="2126">
        <v>0</v>
      </c>
      <c r="AL167" s="2126">
        <v>0</v>
      </c>
      <c r="AM167" s="2126">
        <v>0</v>
      </c>
      <c r="AN167" s="2126">
        <v>0</v>
      </c>
      <c r="AO167" s="1743" t="s">
        <v>131</v>
      </c>
      <c r="AP167" s="1743"/>
      <c r="AQ167" s="1764">
        <v>2014</v>
      </c>
      <c r="AR167" s="1743" t="s">
        <v>87</v>
      </c>
      <c r="AS167" s="2135"/>
      <c r="AT167" s="2135"/>
      <c r="AU167" s="1212">
        <v>0.33333333333333331</v>
      </c>
      <c r="AV167" s="1212">
        <v>0.33333333333333331</v>
      </c>
      <c r="AW167" s="1212">
        <v>0.33333333333333331</v>
      </c>
      <c r="AX167" s="1212"/>
      <c r="AY167" s="1212"/>
      <c r="AZ167" s="1212"/>
      <c r="BA167" s="1212"/>
      <c r="BB167" s="1212"/>
      <c r="BC167" s="1212"/>
      <c r="BD167" s="1212"/>
      <c r="BE167" s="1212"/>
      <c r="BF167" s="2126">
        <v>0</v>
      </c>
      <c r="BG167" s="2126">
        <v>0</v>
      </c>
      <c r="BH167" s="2126">
        <v>0</v>
      </c>
      <c r="BI167" s="2126">
        <v>0</v>
      </c>
      <c r="BJ167" s="2126">
        <v>0</v>
      </c>
      <c r="BK167" s="2126">
        <v>0</v>
      </c>
      <c r="BL167" s="2126">
        <v>0</v>
      </c>
      <c r="BM167" s="2126">
        <v>0</v>
      </c>
      <c r="BN167" s="2126">
        <v>0</v>
      </c>
      <c r="BO167" s="2126">
        <v>0</v>
      </c>
      <c r="BP167" s="2126">
        <v>0</v>
      </c>
      <c r="BQ167" s="2126">
        <v>0</v>
      </c>
      <c r="BR167" s="2126">
        <v>0</v>
      </c>
    </row>
    <row r="168" spans="1:70" s="1765" customFormat="1" ht="33">
      <c r="A168" s="1272">
        <v>2000</v>
      </c>
      <c r="B168" s="971" t="s">
        <v>119</v>
      </c>
      <c r="C168" s="1272">
        <v>2300</v>
      </c>
      <c r="D168" s="971" t="s">
        <v>222</v>
      </c>
      <c r="E168" s="971" t="s">
        <v>263</v>
      </c>
      <c r="F168" s="971" t="s">
        <v>264</v>
      </c>
      <c r="G168" s="971" t="s">
        <v>280</v>
      </c>
      <c r="H168" s="971" t="s">
        <v>266</v>
      </c>
      <c r="I168" s="1273" t="s">
        <v>422</v>
      </c>
      <c r="J168" s="971" t="s">
        <v>239</v>
      </c>
      <c r="K168" s="971"/>
      <c r="L168" s="971" t="s">
        <v>270</v>
      </c>
      <c r="M168" s="971" t="s">
        <v>270</v>
      </c>
      <c r="N168" s="971"/>
      <c r="O168" s="971" t="s">
        <v>270</v>
      </c>
      <c r="P168" s="971"/>
      <c r="Q168" s="971" t="s">
        <v>423</v>
      </c>
      <c r="R168" s="1266" t="s">
        <v>424</v>
      </c>
      <c r="S168" s="2106">
        <v>1</v>
      </c>
      <c r="T168" s="1266" t="s">
        <v>242</v>
      </c>
      <c r="U168" s="1742" t="s">
        <v>6588</v>
      </c>
      <c r="V168" s="1742" t="s">
        <v>6588</v>
      </c>
      <c r="W168" s="1742" t="s">
        <v>6588</v>
      </c>
      <c r="X168" s="1742" t="s">
        <v>6588</v>
      </c>
      <c r="Y168" s="2106" t="s">
        <v>6588</v>
      </c>
      <c r="Z168" s="2106">
        <v>0</v>
      </c>
      <c r="AA168" s="2106">
        <v>0</v>
      </c>
      <c r="AB168" s="2106">
        <v>0</v>
      </c>
      <c r="AC168" s="2106">
        <v>0</v>
      </c>
      <c r="AD168" s="1744">
        <v>0</v>
      </c>
      <c r="AE168" s="2126">
        <v>0</v>
      </c>
      <c r="AF168" s="2126">
        <v>0</v>
      </c>
      <c r="AG168" s="1212">
        <v>1</v>
      </c>
      <c r="AH168" s="1212">
        <v>0</v>
      </c>
      <c r="AI168" s="1212">
        <v>0</v>
      </c>
      <c r="AJ168" s="1212">
        <v>1</v>
      </c>
      <c r="AK168" s="2126">
        <v>0</v>
      </c>
      <c r="AL168" s="2126">
        <v>0</v>
      </c>
      <c r="AM168" s="2126">
        <v>0</v>
      </c>
      <c r="AN168" s="2126">
        <v>0</v>
      </c>
      <c r="AO168" s="1743" t="s">
        <v>131</v>
      </c>
      <c r="AP168" s="1743"/>
      <c r="AQ168" s="1764">
        <v>2014</v>
      </c>
      <c r="AR168" s="1743" t="s">
        <v>87</v>
      </c>
      <c r="AS168" s="2135"/>
      <c r="AT168" s="2135"/>
      <c r="AU168" s="1212">
        <v>0.33333333333333331</v>
      </c>
      <c r="AV168" s="1212">
        <v>0.33333333333333331</v>
      </c>
      <c r="AW168" s="1212">
        <v>0.33333333333333331</v>
      </c>
      <c r="AX168" s="1212"/>
      <c r="AY168" s="1212"/>
      <c r="AZ168" s="1212"/>
      <c r="BA168" s="1212"/>
      <c r="BB168" s="1212"/>
      <c r="BC168" s="1212"/>
      <c r="BD168" s="1212"/>
      <c r="BE168" s="1212"/>
      <c r="BF168" s="2126">
        <v>0</v>
      </c>
      <c r="BG168" s="2126">
        <v>0</v>
      </c>
      <c r="BH168" s="2126">
        <v>0</v>
      </c>
      <c r="BI168" s="2126">
        <v>0</v>
      </c>
      <c r="BJ168" s="2126">
        <v>0</v>
      </c>
      <c r="BK168" s="2126">
        <v>0</v>
      </c>
      <c r="BL168" s="2126">
        <v>0</v>
      </c>
      <c r="BM168" s="2126">
        <v>0</v>
      </c>
      <c r="BN168" s="2126">
        <v>0</v>
      </c>
      <c r="BO168" s="2126">
        <v>0</v>
      </c>
      <c r="BP168" s="2126">
        <v>0</v>
      </c>
      <c r="BQ168" s="2126">
        <v>0</v>
      </c>
      <c r="BR168" s="2126">
        <v>0</v>
      </c>
    </row>
    <row r="169" spans="1:70" s="1765" customFormat="1" ht="33">
      <c r="A169" s="1272">
        <v>2000</v>
      </c>
      <c r="B169" s="971" t="s">
        <v>119</v>
      </c>
      <c r="C169" s="1272">
        <v>2300</v>
      </c>
      <c r="D169" s="971" t="s">
        <v>222</v>
      </c>
      <c r="E169" s="971" t="s">
        <v>263</v>
      </c>
      <c r="F169" s="971" t="s">
        <v>264</v>
      </c>
      <c r="G169" s="971" t="s">
        <v>280</v>
      </c>
      <c r="H169" s="971" t="s">
        <v>266</v>
      </c>
      <c r="I169" s="1273" t="s">
        <v>425</v>
      </c>
      <c r="J169" s="971" t="s">
        <v>239</v>
      </c>
      <c r="K169" s="971"/>
      <c r="L169" s="971" t="s">
        <v>270</v>
      </c>
      <c r="M169" s="971" t="s">
        <v>270</v>
      </c>
      <c r="N169" s="971"/>
      <c r="O169" s="971" t="s">
        <v>270</v>
      </c>
      <c r="P169" s="971"/>
      <c r="Q169" s="971" t="s">
        <v>426</v>
      </c>
      <c r="R169" s="1266" t="s">
        <v>427</v>
      </c>
      <c r="S169" s="2106">
        <v>1</v>
      </c>
      <c r="T169" s="1266" t="s">
        <v>242</v>
      </c>
      <c r="U169" s="1742" t="s">
        <v>6588</v>
      </c>
      <c r="V169" s="1742" t="s">
        <v>6588</v>
      </c>
      <c r="W169" s="1742" t="s">
        <v>6588</v>
      </c>
      <c r="X169" s="1742" t="s">
        <v>6588</v>
      </c>
      <c r="Y169" s="2106" t="s">
        <v>6588</v>
      </c>
      <c r="Z169" s="2106">
        <v>0</v>
      </c>
      <c r="AA169" s="2106">
        <v>0</v>
      </c>
      <c r="AB169" s="2106">
        <v>0</v>
      </c>
      <c r="AC169" s="2106">
        <v>0</v>
      </c>
      <c r="AD169" s="1744">
        <v>0</v>
      </c>
      <c r="AE169" s="2126">
        <v>0</v>
      </c>
      <c r="AF169" s="2126">
        <v>0</v>
      </c>
      <c r="AG169" s="1212">
        <v>1</v>
      </c>
      <c r="AH169" s="1212">
        <v>0</v>
      </c>
      <c r="AI169" s="1212">
        <v>0</v>
      </c>
      <c r="AJ169" s="1212">
        <v>1</v>
      </c>
      <c r="AK169" s="2126">
        <v>0</v>
      </c>
      <c r="AL169" s="2126">
        <v>0</v>
      </c>
      <c r="AM169" s="2126">
        <v>0</v>
      </c>
      <c r="AN169" s="2126">
        <v>0</v>
      </c>
      <c r="AO169" s="1743" t="s">
        <v>131</v>
      </c>
      <c r="AP169" s="1743"/>
      <c r="AQ169" s="1764">
        <v>2014</v>
      </c>
      <c r="AR169" s="1743" t="s">
        <v>87</v>
      </c>
      <c r="AS169" s="2135"/>
      <c r="AT169" s="2135"/>
      <c r="AU169" s="1212">
        <v>0.33333333333333331</v>
      </c>
      <c r="AV169" s="1212">
        <v>0.33333333333333331</v>
      </c>
      <c r="AW169" s="1212">
        <v>0.33333333333333331</v>
      </c>
      <c r="AX169" s="1212"/>
      <c r="AY169" s="1212"/>
      <c r="AZ169" s="1212"/>
      <c r="BA169" s="1212"/>
      <c r="BB169" s="1212"/>
      <c r="BC169" s="1212"/>
      <c r="BD169" s="1212"/>
      <c r="BE169" s="1212"/>
      <c r="BF169" s="2126">
        <v>0</v>
      </c>
      <c r="BG169" s="2126">
        <v>0</v>
      </c>
      <c r="BH169" s="2126">
        <v>0</v>
      </c>
      <c r="BI169" s="2126">
        <v>0</v>
      </c>
      <c r="BJ169" s="2126">
        <v>0</v>
      </c>
      <c r="BK169" s="2126">
        <v>0</v>
      </c>
      <c r="BL169" s="2126">
        <v>0</v>
      </c>
      <c r="BM169" s="2126">
        <v>0</v>
      </c>
      <c r="BN169" s="2126">
        <v>0</v>
      </c>
      <c r="BO169" s="2126">
        <v>0</v>
      </c>
      <c r="BP169" s="2126">
        <v>0</v>
      </c>
      <c r="BQ169" s="2126">
        <v>0</v>
      </c>
      <c r="BR169" s="2126">
        <v>0</v>
      </c>
    </row>
    <row r="170" spans="1:70" s="1765" customFormat="1" ht="33">
      <c r="A170" s="1272">
        <v>2000</v>
      </c>
      <c r="B170" s="971" t="s">
        <v>119</v>
      </c>
      <c r="C170" s="1272">
        <v>2300</v>
      </c>
      <c r="D170" s="971" t="s">
        <v>222</v>
      </c>
      <c r="E170" s="971" t="s">
        <v>263</v>
      </c>
      <c r="F170" s="971" t="s">
        <v>264</v>
      </c>
      <c r="G170" s="971" t="s">
        <v>280</v>
      </c>
      <c r="H170" s="971" t="s">
        <v>266</v>
      </c>
      <c r="I170" s="1273" t="s">
        <v>428</v>
      </c>
      <c r="J170" s="971" t="s">
        <v>239</v>
      </c>
      <c r="K170" s="971"/>
      <c r="L170" s="971" t="s">
        <v>270</v>
      </c>
      <c r="M170" s="971" t="s">
        <v>270</v>
      </c>
      <c r="N170" s="971"/>
      <c r="O170" s="971" t="s">
        <v>270</v>
      </c>
      <c r="P170" s="971"/>
      <c r="Q170" s="971" t="s">
        <v>429</v>
      </c>
      <c r="R170" s="1266" t="s">
        <v>430</v>
      </c>
      <c r="S170" s="2106">
        <v>1</v>
      </c>
      <c r="T170" s="1266" t="s">
        <v>242</v>
      </c>
      <c r="U170" s="1742" t="s">
        <v>6588</v>
      </c>
      <c r="V170" s="1742" t="s">
        <v>6588</v>
      </c>
      <c r="W170" s="1742" t="s">
        <v>6588</v>
      </c>
      <c r="X170" s="1742" t="s">
        <v>6588</v>
      </c>
      <c r="Y170" s="2106" t="s">
        <v>6588</v>
      </c>
      <c r="Z170" s="2106">
        <v>0</v>
      </c>
      <c r="AA170" s="2106">
        <v>0</v>
      </c>
      <c r="AB170" s="2106">
        <v>0</v>
      </c>
      <c r="AC170" s="2106">
        <v>0</v>
      </c>
      <c r="AD170" s="1744">
        <v>0</v>
      </c>
      <c r="AE170" s="2126">
        <v>0</v>
      </c>
      <c r="AF170" s="2126">
        <v>0</v>
      </c>
      <c r="AG170" s="1212">
        <v>1</v>
      </c>
      <c r="AH170" s="1212">
        <v>0</v>
      </c>
      <c r="AI170" s="1212">
        <v>0</v>
      </c>
      <c r="AJ170" s="1212">
        <v>1</v>
      </c>
      <c r="AK170" s="2126">
        <v>0</v>
      </c>
      <c r="AL170" s="2126">
        <v>0</v>
      </c>
      <c r="AM170" s="2126">
        <v>0</v>
      </c>
      <c r="AN170" s="2126">
        <v>0</v>
      </c>
      <c r="AO170" s="1743" t="s">
        <v>131</v>
      </c>
      <c r="AP170" s="1743"/>
      <c r="AQ170" s="1764">
        <v>2014</v>
      </c>
      <c r="AR170" s="1743" t="s">
        <v>87</v>
      </c>
      <c r="AS170" s="2135"/>
      <c r="AT170" s="2135"/>
      <c r="AU170" s="1212">
        <v>0.33333333333333331</v>
      </c>
      <c r="AV170" s="1212">
        <v>0.33333333333333331</v>
      </c>
      <c r="AW170" s="1212">
        <v>0.33333333333333331</v>
      </c>
      <c r="AX170" s="1212"/>
      <c r="AY170" s="1212"/>
      <c r="AZ170" s="1212"/>
      <c r="BA170" s="1212"/>
      <c r="BB170" s="1212"/>
      <c r="BC170" s="1212"/>
      <c r="BD170" s="1212"/>
      <c r="BE170" s="1212"/>
      <c r="BF170" s="2126">
        <v>0</v>
      </c>
      <c r="BG170" s="2126">
        <v>0</v>
      </c>
      <c r="BH170" s="2126">
        <v>0</v>
      </c>
      <c r="BI170" s="2126">
        <v>0</v>
      </c>
      <c r="BJ170" s="2126">
        <v>0</v>
      </c>
      <c r="BK170" s="2126">
        <v>0</v>
      </c>
      <c r="BL170" s="2126">
        <v>0</v>
      </c>
      <c r="BM170" s="2126">
        <v>0</v>
      </c>
      <c r="BN170" s="2126">
        <v>0</v>
      </c>
      <c r="BO170" s="2126">
        <v>0</v>
      </c>
      <c r="BP170" s="2126">
        <v>0</v>
      </c>
      <c r="BQ170" s="2126">
        <v>0</v>
      </c>
      <c r="BR170" s="2126">
        <v>0</v>
      </c>
    </row>
    <row r="171" spans="1:70" s="1765" customFormat="1" ht="33">
      <c r="A171" s="1272">
        <v>2000</v>
      </c>
      <c r="B171" s="971" t="s">
        <v>119</v>
      </c>
      <c r="C171" s="1272">
        <v>2300</v>
      </c>
      <c r="D171" s="971" t="s">
        <v>222</v>
      </c>
      <c r="E171" s="971" t="s">
        <v>263</v>
      </c>
      <c r="F171" s="971" t="s">
        <v>264</v>
      </c>
      <c r="G171" s="971" t="s">
        <v>280</v>
      </c>
      <c r="H171" s="971" t="s">
        <v>266</v>
      </c>
      <c r="I171" s="1273" t="s">
        <v>431</v>
      </c>
      <c r="J171" s="971" t="s">
        <v>239</v>
      </c>
      <c r="K171" s="971"/>
      <c r="L171" s="971" t="s">
        <v>270</v>
      </c>
      <c r="M171" s="971" t="s">
        <v>270</v>
      </c>
      <c r="N171" s="971"/>
      <c r="O171" s="971" t="s">
        <v>270</v>
      </c>
      <c r="P171" s="971"/>
      <c r="Q171" s="971" t="s">
        <v>432</v>
      </c>
      <c r="R171" s="1266" t="s">
        <v>433</v>
      </c>
      <c r="S171" s="2106">
        <v>1</v>
      </c>
      <c r="T171" s="1266" t="s">
        <v>242</v>
      </c>
      <c r="U171" s="1742" t="s">
        <v>6588</v>
      </c>
      <c r="V171" s="1742" t="s">
        <v>6588</v>
      </c>
      <c r="W171" s="1742" t="s">
        <v>6588</v>
      </c>
      <c r="X171" s="1742" t="s">
        <v>6588</v>
      </c>
      <c r="Y171" s="2106" t="s">
        <v>6588</v>
      </c>
      <c r="Z171" s="2106">
        <v>0</v>
      </c>
      <c r="AA171" s="2106">
        <v>0</v>
      </c>
      <c r="AB171" s="2106">
        <v>0</v>
      </c>
      <c r="AC171" s="2106">
        <v>0</v>
      </c>
      <c r="AD171" s="1744">
        <v>0</v>
      </c>
      <c r="AE171" s="2126">
        <v>0</v>
      </c>
      <c r="AF171" s="2126">
        <v>0</v>
      </c>
      <c r="AG171" s="1212">
        <v>1</v>
      </c>
      <c r="AH171" s="1212">
        <v>0</v>
      </c>
      <c r="AI171" s="1212">
        <v>0</v>
      </c>
      <c r="AJ171" s="1212">
        <v>1</v>
      </c>
      <c r="AK171" s="2126">
        <v>0</v>
      </c>
      <c r="AL171" s="2126">
        <v>0</v>
      </c>
      <c r="AM171" s="2126">
        <v>0</v>
      </c>
      <c r="AN171" s="2126">
        <v>0</v>
      </c>
      <c r="AO171" s="1743" t="s">
        <v>131</v>
      </c>
      <c r="AP171" s="1743"/>
      <c r="AQ171" s="1764">
        <v>2014</v>
      </c>
      <c r="AR171" s="1743" t="s">
        <v>87</v>
      </c>
      <c r="AS171" s="2135"/>
      <c r="AT171" s="2135"/>
      <c r="AU171" s="1212">
        <v>0.33333333333333331</v>
      </c>
      <c r="AV171" s="1212">
        <v>0.33333333333333331</v>
      </c>
      <c r="AW171" s="1212">
        <v>0.33333333333333331</v>
      </c>
      <c r="AX171" s="1212"/>
      <c r="AY171" s="1212"/>
      <c r="AZ171" s="1212"/>
      <c r="BA171" s="1212"/>
      <c r="BB171" s="1212"/>
      <c r="BC171" s="1212"/>
      <c r="BD171" s="1212"/>
      <c r="BE171" s="1212"/>
      <c r="BF171" s="2126">
        <v>0</v>
      </c>
      <c r="BG171" s="2126">
        <v>0</v>
      </c>
      <c r="BH171" s="2126">
        <v>0</v>
      </c>
      <c r="BI171" s="2126">
        <v>0</v>
      </c>
      <c r="BJ171" s="2126">
        <v>0</v>
      </c>
      <c r="BK171" s="2126">
        <v>0</v>
      </c>
      <c r="BL171" s="2126">
        <v>0</v>
      </c>
      <c r="BM171" s="2126">
        <v>0</v>
      </c>
      <c r="BN171" s="2126">
        <v>0</v>
      </c>
      <c r="BO171" s="2126">
        <v>0</v>
      </c>
      <c r="BP171" s="2126">
        <v>0</v>
      </c>
      <c r="BQ171" s="2126">
        <v>0</v>
      </c>
      <c r="BR171" s="2126">
        <v>0</v>
      </c>
    </row>
    <row r="172" spans="1:70" s="1765" customFormat="1" ht="33">
      <c r="A172" s="1272">
        <v>2000</v>
      </c>
      <c r="B172" s="971" t="s">
        <v>119</v>
      </c>
      <c r="C172" s="1272">
        <v>2300</v>
      </c>
      <c r="D172" s="971" t="s">
        <v>222</v>
      </c>
      <c r="E172" s="971" t="s">
        <v>263</v>
      </c>
      <c r="F172" s="971" t="s">
        <v>264</v>
      </c>
      <c r="G172" s="971" t="s">
        <v>280</v>
      </c>
      <c r="H172" s="971" t="s">
        <v>266</v>
      </c>
      <c r="I172" s="1273" t="s">
        <v>434</v>
      </c>
      <c r="J172" s="971" t="s">
        <v>239</v>
      </c>
      <c r="K172" s="971"/>
      <c r="L172" s="971" t="s">
        <v>270</v>
      </c>
      <c r="M172" s="971" t="s">
        <v>270</v>
      </c>
      <c r="N172" s="971"/>
      <c r="O172" s="971" t="s">
        <v>270</v>
      </c>
      <c r="P172" s="971"/>
      <c r="Q172" s="971" t="s">
        <v>435</v>
      </c>
      <c r="R172" s="1266" t="s">
        <v>436</v>
      </c>
      <c r="S172" s="2106">
        <v>1</v>
      </c>
      <c r="T172" s="1266" t="s">
        <v>242</v>
      </c>
      <c r="U172" s="1742" t="s">
        <v>6588</v>
      </c>
      <c r="V172" s="1742" t="s">
        <v>6588</v>
      </c>
      <c r="W172" s="1742" t="s">
        <v>6588</v>
      </c>
      <c r="X172" s="1742" t="s">
        <v>6588</v>
      </c>
      <c r="Y172" s="2106" t="s">
        <v>6588</v>
      </c>
      <c r="Z172" s="2106">
        <v>0</v>
      </c>
      <c r="AA172" s="2106">
        <v>0</v>
      </c>
      <c r="AB172" s="2106">
        <v>0</v>
      </c>
      <c r="AC172" s="2106">
        <v>0</v>
      </c>
      <c r="AD172" s="1744">
        <v>0</v>
      </c>
      <c r="AE172" s="2126">
        <v>0</v>
      </c>
      <c r="AF172" s="2126">
        <v>0</v>
      </c>
      <c r="AG172" s="1212">
        <v>1</v>
      </c>
      <c r="AH172" s="1212">
        <v>0</v>
      </c>
      <c r="AI172" s="1212">
        <v>0</v>
      </c>
      <c r="AJ172" s="1212">
        <v>1</v>
      </c>
      <c r="AK172" s="2126">
        <v>0</v>
      </c>
      <c r="AL172" s="2126">
        <v>0</v>
      </c>
      <c r="AM172" s="2126">
        <v>0</v>
      </c>
      <c r="AN172" s="2126">
        <v>0</v>
      </c>
      <c r="AO172" s="1743" t="s">
        <v>131</v>
      </c>
      <c r="AP172" s="1743"/>
      <c r="AQ172" s="1764">
        <v>2014</v>
      </c>
      <c r="AR172" s="1743" t="s">
        <v>87</v>
      </c>
      <c r="AS172" s="2135"/>
      <c r="AT172" s="2135"/>
      <c r="AU172" s="1212">
        <v>0.33333333333333331</v>
      </c>
      <c r="AV172" s="1212">
        <v>0.33333333333333331</v>
      </c>
      <c r="AW172" s="1212">
        <v>0.33333333333333331</v>
      </c>
      <c r="AX172" s="1212"/>
      <c r="AY172" s="1212"/>
      <c r="AZ172" s="1212"/>
      <c r="BA172" s="1212"/>
      <c r="BB172" s="1212"/>
      <c r="BC172" s="1212"/>
      <c r="BD172" s="1212"/>
      <c r="BE172" s="1212"/>
      <c r="BF172" s="2126">
        <v>0</v>
      </c>
      <c r="BG172" s="2126">
        <v>0</v>
      </c>
      <c r="BH172" s="2126">
        <v>0</v>
      </c>
      <c r="BI172" s="2126">
        <v>0</v>
      </c>
      <c r="BJ172" s="2126">
        <v>0</v>
      </c>
      <c r="BK172" s="2126">
        <v>0</v>
      </c>
      <c r="BL172" s="2126">
        <v>0</v>
      </c>
      <c r="BM172" s="2126">
        <v>0</v>
      </c>
      <c r="BN172" s="2126">
        <v>0</v>
      </c>
      <c r="BO172" s="2126">
        <v>0</v>
      </c>
      <c r="BP172" s="2126">
        <v>0</v>
      </c>
      <c r="BQ172" s="2126">
        <v>0</v>
      </c>
      <c r="BR172" s="2126">
        <v>0</v>
      </c>
    </row>
    <row r="173" spans="1:70" s="1765" customFormat="1" ht="33">
      <c r="A173" s="1272">
        <v>2000</v>
      </c>
      <c r="B173" s="971" t="s">
        <v>119</v>
      </c>
      <c r="C173" s="1272">
        <v>2300</v>
      </c>
      <c r="D173" s="971" t="s">
        <v>222</v>
      </c>
      <c r="E173" s="971" t="s">
        <v>263</v>
      </c>
      <c r="F173" s="971" t="s">
        <v>264</v>
      </c>
      <c r="G173" s="971" t="s">
        <v>280</v>
      </c>
      <c r="H173" s="971" t="s">
        <v>266</v>
      </c>
      <c r="I173" s="1273" t="s">
        <v>437</v>
      </c>
      <c r="J173" s="971" t="s">
        <v>239</v>
      </c>
      <c r="K173" s="971"/>
      <c r="L173" s="971" t="s">
        <v>270</v>
      </c>
      <c r="M173" s="971" t="s">
        <v>270</v>
      </c>
      <c r="N173" s="971"/>
      <c r="O173" s="971" t="s">
        <v>270</v>
      </c>
      <c r="P173" s="971"/>
      <c r="Q173" s="971" t="s">
        <v>417</v>
      </c>
      <c r="R173" s="1266" t="s">
        <v>438</v>
      </c>
      <c r="S173" s="2106">
        <v>1</v>
      </c>
      <c r="T173" s="1266" t="s">
        <v>242</v>
      </c>
      <c r="U173" s="1742" t="s">
        <v>6588</v>
      </c>
      <c r="V173" s="1742" t="s">
        <v>6588</v>
      </c>
      <c r="W173" s="1742" t="s">
        <v>6588</v>
      </c>
      <c r="X173" s="1742" t="s">
        <v>6588</v>
      </c>
      <c r="Y173" s="2106" t="s">
        <v>6588</v>
      </c>
      <c r="Z173" s="2106">
        <v>0</v>
      </c>
      <c r="AA173" s="2106">
        <v>0</v>
      </c>
      <c r="AB173" s="2106">
        <v>0</v>
      </c>
      <c r="AC173" s="2106">
        <v>0</v>
      </c>
      <c r="AD173" s="1744">
        <v>0</v>
      </c>
      <c r="AE173" s="2126">
        <v>0</v>
      </c>
      <c r="AF173" s="2126">
        <v>0</v>
      </c>
      <c r="AG173" s="1212">
        <v>1</v>
      </c>
      <c r="AH173" s="1212">
        <v>0</v>
      </c>
      <c r="AI173" s="1212">
        <v>0</v>
      </c>
      <c r="AJ173" s="1212">
        <v>1</v>
      </c>
      <c r="AK173" s="2126">
        <v>0</v>
      </c>
      <c r="AL173" s="2126">
        <v>0</v>
      </c>
      <c r="AM173" s="2126">
        <v>0</v>
      </c>
      <c r="AN173" s="2126">
        <v>0</v>
      </c>
      <c r="AO173" s="1743" t="s">
        <v>131</v>
      </c>
      <c r="AP173" s="1743"/>
      <c r="AQ173" s="1764">
        <v>2014</v>
      </c>
      <c r="AR173" s="1743" t="s">
        <v>87</v>
      </c>
      <c r="AS173" s="2135"/>
      <c r="AT173" s="2135"/>
      <c r="AU173" s="1212">
        <v>0.33333333333333331</v>
      </c>
      <c r="AV173" s="1212">
        <v>0.33333333333333331</v>
      </c>
      <c r="AW173" s="1212">
        <v>0.33333333333333331</v>
      </c>
      <c r="AX173" s="1212"/>
      <c r="AY173" s="1212"/>
      <c r="AZ173" s="1212"/>
      <c r="BA173" s="1212"/>
      <c r="BB173" s="1212"/>
      <c r="BC173" s="1212"/>
      <c r="BD173" s="1212"/>
      <c r="BE173" s="1212"/>
      <c r="BF173" s="2126">
        <v>0</v>
      </c>
      <c r="BG173" s="2126">
        <v>0</v>
      </c>
      <c r="BH173" s="2126">
        <v>0</v>
      </c>
      <c r="BI173" s="2126">
        <v>0</v>
      </c>
      <c r="BJ173" s="2126">
        <v>0</v>
      </c>
      <c r="BK173" s="2126">
        <v>0</v>
      </c>
      <c r="BL173" s="2126">
        <v>0</v>
      </c>
      <c r="BM173" s="2126">
        <v>0</v>
      </c>
      <c r="BN173" s="2126">
        <v>0</v>
      </c>
      <c r="BO173" s="2126">
        <v>0</v>
      </c>
      <c r="BP173" s="2126">
        <v>0</v>
      </c>
      <c r="BQ173" s="2126">
        <v>0</v>
      </c>
      <c r="BR173" s="2126">
        <v>0</v>
      </c>
    </row>
    <row r="174" spans="1:70" s="1765" customFormat="1" ht="33">
      <c r="A174" s="1272">
        <v>2000</v>
      </c>
      <c r="B174" s="971" t="s">
        <v>119</v>
      </c>
      <c r="C174" s="1272">
        <v>2300</v>
      </c>
      <c r="D174" s="971" t="s">
        <v>222</v>
      </c>
      <c r="E174" s="971" t="s">
        <v>263</v>
      </c>
      <c r="F174" s="971" t="s">
        <v>264</v>
      </c>
      <c r="G174" s="971" t="s">
        <v>280</v>
      </c>
      <c r="H174" s="971" t="s">
        <v>266</v>
      </c>
      <c r="I174" s="1273" t="s">
        <v>439</v>
      </c>
      <c r="J174" s="971" t="s">
        <v>239</v>
      </c>
      <c r="K174" s="971"/>
      <c r="L174" s="971" t="s">
        <v>270</v>
      </c>
      <c r="M174" s="971" t="s">
        <v>270</v>
      </c>
      <c r="N174" s="971"/>
      <c r="O174" s="971" t="s">
        <v>270</v>
      </c>
      <c r="P174" s="971"/>
      <c r="Q174" s="971" t="s">
        <v>420</v>
      </c>
      <c r="R174" s="1266" t="s">
        <v>440</v>
      </c>
      <c r="S174" s="2106">
        <v>1</v>
      </c>
      <c r="T174" s="1266" t="s">
        <v>242</v>
      </c>
      <c r="U174" s="1742" t="s">
        <v>6588</v>
      </c>
      <c r="V174" s="1742" t="s">
        <v>6588</v>
      </c>
      <c r="W174" s="1742" t="s">
        <v>6588</v>
      </c>
      <c r="X174" s="1742" t="s">
        <v>6588</v>
      </c>
      <c r="Y174" s="2106" t="s">
        <v>6588</v>
      </c>
      <c r="Z174" s="2106">
        <v>0</v>
      </c>
      <c r="AA174" s="2106">
        <v>0</v>
      </c>
      <c r="AB174" s="2106">
        <v>0</v>
      </c>
      <c r="AC174" s="2106">
        <v>0</v>
      </c>
      <c r="AD174" s="1744">
        <v>0</v>
      </c>
      <c r="AE174" s="2126">
        <v>0</v>
      </c>
      <c r="AF174" s="2126">
        <v>0</v>
      </c>
      <c r="AG174" s="1212">
        <v>1</v>
      </c>
      <c r="AH174" s="1212">
        <v>0</v>
      </c>
      <c r="AI174" s="1212">
        <v>0</v>
      </c>
      <c r="AJ174" s="1212">
        <v>1</v>
      </c>
      <c r="AK174" s="2126">
        <v>0</v>
      </c>
      <c r="AL174" s="2126">
        <v>0</v>
      </c>
      <c r="AM174" s="2126">
        <v>0</v>
      </c>
      <c r="AN174" s="2126">
        <v>0</v>
      </c>
      <c r="AO174" s="1743" t="s">
        <v>131</v>
      </c>
      <c r="AP174" s="1743"/>
      <c r="AQ174" s="1764">
        <v>2014</v>
      </c>
      <c r="AR174" s="1743" t="s">
        <v>87</v>
      </c>
      <c r="AS174" s="2135"/>
      <c r="AT174" s="2135"/>
      <c r="AU174" s="1212">
        <v>0.33333333333333331</v>
      </c>
      <c r="AV174" s="1212">
        <v>0.33333333333333331</v>
      </c>
      <c r="AW174" s="1212">
        <v>0.33333333333333331</v>
      </c>
      <c r="AX174" s="1212"/>
      <c r="AY174" s="1212"/>
      <c r="AZ174" s="1212"/>
      <c r="BA174" s="1212"/>
      <c r="BB174" s="1212"/>
      <c r="BC174" s="1212"/>
      <c r="BD174" s="1212"/>
      <c r="BE174" s="1212"/>
      <c r="BF174" s="2126">
        <v>0</v>
      </c>
      <c r="BG174" s="2126">
        <v>0</v>
      </c>
      <c r="BH174" s="2126">
        <v>0</v>
      </c>
      <c r="BI174" s="2126">
        <v>0</v>
      </c>
      <c r="BJ174" s="2126">
        <v>0</v>
      </c>
      <c r="BK174" s="2126">
        <v>0</v>
      </c>
      <c r="BL174" s="2126">
        <v>0</v>
      </c>
      <c r="BM174" s="2126">
        <v>0</v>
      </c>
      <c r="BN174" s="2126">
        <v>0</v>
      </c>
      <c r="BO174" s="2126">
        <v>0</v>
      </c>
      <c r="BP174" s="2126">
        <v>0</v>
      </c>
      <c r="BQ174" s="2126">
        <v>0</v>
      </c>
      <c r="BR174" s="2126">
        <v>0</v>
      </c>
    </row>
    <row r="175" spans="1:70" s="1765" customFormat="1" ht="33">
      <c r="A175" s="1272">
        <v>2000</v>
      </c>
      <c r="B175" s="971" t="s">
        <v>119</v>
      </c>
      <c r="C175" s="1272">
        <v>2300</v>
      </c>
      <c r="D175" s="971" t="s">
        <v>222</v>
      </c>
      <c r="E175" s="971" t="s">
        <v>263</v>
      </c>
      <c r="F175" s="971" t="s">
        <v>264</v>
      </c>
      <c r="G175" s="971" t="s">
        <v>280</v>
      </c>
      <c r="H175" s="971" t="s">
        <v>266</v>
      </c>
      <c r="I175" s="1273" t="s">
        <v>441</v>
      </c>
      <c r="J175" s="971" t="s">
        <v>239</v>
      </c>
      <c r="K175" s="971"/>
      <c r="L175" s="971" t="s">
        <v>270</v>
      </c>
      <c r="M175" s="971" t="s">
        <v>270</v>
      </c>
      <c r="N175" s="971"/>
      <c r="O175" s="971" t="s">
        <v>270</v>
      </c>
      <c r="P175" s="971"/>
      <c r="Q175" s="971" t="s">
        <v>423</v>
      </c>
      <c r="R175" s="1266" t="s">
        <v>442</v>
      </c>
      <c r="S175" s="2106">
        <v>1</v>
      </c>
      <c r="T175" s="1266" t="s">
        <v>242</v>
      </c>
      <c r="U175" s="1742" t="s">
        <v>6588</v>
      </c>
      <c r="V175" s="1742" t="s">
        <v>6588</v>
      </c>
      <c r="W175" s="1742" t="s">
        <v>6588</v>
      </c>
      <c r="X175" s="1742" t="s">
        <v>6588</v>
      </c>
      <c r="Y175" s="2106" t="s">
        <v>6588</v>
      </c>
      <c r="Z175" s="2106">
        <v>0</v>
      </c>
      <c r="AA175" s="2106">
        <v>0</v>
      </c>
      <c r="AB175" s="2106">
        <v>0</v>
      </c>
      <c r="AC175" s="2106">
        <v>0</v>
      </c>
      <c r="AD175" s="1744">
        <v>0</v>
      </c>
      <c r="AE175" s="2126">
        <v>0</v>
      </c>
      <c r="AF175" s="2126">
        <v>0</v>
      </c>
      <c r="AG175" s="1212">
        <v>1</v>
      </c>
      <c r="AH175" s="1212">
        <v>0</v>
      </c>
      <c r="AI175" s="1212">
        <v>0</v>
      </c>
      <c r="AJ175" s="1212">
        <v>1</v>
      </c>
      <c r="AK175" s="2126">
        <v>0</v>
      </c>
      <c r="AL175" s="2126">
        <v>0</v>
      </c>
      <c r="AM175" s="2126">
        <v>0</v>
      </c>
      <c r="AN175" s="2126">
        <v>0</v>
      </c>
      <c r="AO175" s="1743" t="s">
        <v>131</v>
      </c>
      <c r="AP175" s="1743"/>
      <c r="AQ175" s="1764">
        <v>2014</v>
      </c>
      <c r="AR175" s="1743" t="s">
        <v>87</v>
      </c>
      <c r="AS175" s="2135"/>
      <c r="AT175" s="2135"/>
      <c r="AU175" s="1212">
        <v>0.33333333333333331</v>
      </c>
      <c r="AV175" s="1212">
        <v>0.33333333333333331</v>
      </c>
      <c r="AW175" s="1212">
        <v>0.33333333333333331</v>
      </c>
      <c r="AX175" s="1212"/>
      <c r="AY175" s="1212"/>
      <c r="AZ175" s="1212"/>
      <c r="BA175" s="1212"/>
      <c r="BB175" s="1212"/>
      <c r="BC175" s="1212"/>
      <c r="BD175" s="1212"/>
      <c r="BE175" s="1212"/>
      <c r="BF175" s="2126">
        <v>0</v>
      </c>
      <c r="BG175" s="2126">
        <v>0</v>
      </c>
      <c r="BH175" s="2126">
        <v>0</v>
      </c>
      <c r="BI175" s="2126">
        <v>0</v>
      </c>
      <c r="BJ175" s="2126">
        <v>0</v>
      </c>
      <c r="BK175" s="2126">
        <v>0</v>
      </c>
      <c r="BL175" s="2126">
        <v>0</v>
      </c>
      <c r="BM175" s="2126">
        <v>0</v>
      </c>
      <c r="BN175" s="2126">
        <v>0</v>
      </c>
      <c r="BO175" s="2126">
        <v>0</v>
      </c>
      <c r="BP175" s="2126">
        <v>0</v>
      </c>
      <c r="BQ175" s="2126">
        <v>0</v>
      </c>
      <c r="BR175" s="2126">
        <v>0</v>
      </c>
    </row>
    <row r="176" spans="1:70" s="1765" customFormat="1" ht="33">
      <c r="A176" s="1272">
        <v>2000</v>
      </c>
      <c r="B176" s="971" t="s">
        <v>119</v>
      </c>
      <c r="C176" s="1272">
        <v>2300</v>
      </c>
      <c r="D176" s="971" t="s">
        <v>222</v>
      </c>
      <c r="E176" s="971" t="s">
        <v>263</v>
      </c>
      <c r="F176" s="971" t="s">
        <v>264</v>
      </c>
      <c r="G176" s="971" t="s">
        <v>280</v>
      </c>
      <c r="H176" s="971" t="s">
        <v>266</v>
      </c>
      <c r="I176" s="1273" t="s">
        <v>443</v>
      </c>
      <c r="J176" s="971" t="s">
        <v>239</v>
      </c>
      <c r="K176" s="971"/>
      <c r="L176" s="971" t="s">
        <v>270</v>
      </c>
      <c r="M176" s="971" t="s">
        <v>270</v>
      </c>
      <c r="N176" s="971"/>
      <c r="O176" s="971" t="s">
        <v>270</v>
      </c>
      <c r="P176" s="971"/>
      <c r="Q176" s="971" t="s">
        <v>426</v>
      </c>
      <c r="R176" s="1266" t="s">
        <v>444</v>
      </c>
      <c r="S176" s="2106">
        <v>1</v>
      </c>
      <c r="T176" s="1266" t="s">
        <v>242</v>
      </c>
      <c r="U176" s="1742" t="s">
        <v>6588</v>
      </c>
      <c r="V176" s="1742" t="s">
        <v>6588</v>
      </c>
      <c r="W176" s="1742" t="s">
        <v>6588</v>
      </c>
      <c r="X176" s="1742" t="s">
        <v>6588</v>
      </c>
      <c r="Y176" s="2106" t="s">
        <v>6588</v>
      </c>
      <c r="Z176" s="2106">
        <v>0</v>
      </c>
      <c r="AA176" s="2106">
        <v>0</v>
      </c>
      <c r="AB176" s="2106">
        <v>0</v>
      </c>
      <c r="AC176" s="2106">
        <v>0</v>
      </c>
      <c r="AD176" s="1744">
        <v>0</v>
      </c>
      <c r="AE176" s="2126">
        <v>0</v>
      </c>
      <c r="AF176" s="2126">
        <v>0</v>
      </c>
      <c r="AG176" s="1212">
        <v>1</v>
      </c>
      <c r="AH176" s="1212">
        <v>0</v>
      </c>
      <c r="AI176" s="1212">
        <v>0</v>
      </c>
      <c r="AJ176" s="1212">
        <v>1</v>
      </c>
      <c r="AK176" s="2126">
        <v>0</v>
      </c>
      <c r="AL176" s="2126">
        <v>0</v>
      </c>
      <c r="AM176" s="2126">
        <v>0</v>
      </c>
      <c r="AN176" s="2126">
        <v>0</v>
      </c>
      <c r="AO176" s="1743" t="s">
        <v>131</v>
      </c>
      <c r="AP176" s="1743"/>
      <c r="AQ176" s="1764">
        <v>2014</v>
      </c>
      <c r="AR176" s="1743" t="s">
        <v>87</v>
      </c>
      <c r="AS176" s="2135"/>
      <c r="AT176" s="2135"/>
      <c r="AU176" s="1212">
        <v>0.33333333333333331</v>
      </c>
      <c r="AV176" s="1212">
        <v>0.33333333333333331</v>
      </c>
      <c r="AW176" s="1212">
        <v>0.33333333333333331</v>
      </c>
      <c r="AX176" s="1212"/>
      <c r="AY176" s="1212"/>
      <c r="AZ176" s="1212"/>
      <c r="BA176" s="1212"/>
      <c r="BB176" s="1212"/>
      <c r="BC176" s="1212"/>
      <c r="BD176" s="1212"/>
      <c r="BE176" s="1212"/>
      <c r="BF176" s="2126">
        <v>0</v>
      </c>
      <c r="BG176" s="2126">
        <v>0</v>
      </c>
      <c r="BH176" s="2126">
        <v>0</v>
      </c>
      <c r="BI176" s="2126">
        <v>0</v>
      </c>
      <c r="BJ176" s="2126">
        <v>0</v>
      </c>
      <c r="BK176" s="2126">
        <v>0</v>
      </c>
      <c r="BL176" s="2126">
        <v>0</v>
      </c>
      <c r="BM176" s="2126">
        <v>0</v>
      </c>
      <c r="BN176" s="2126">
        <v>0</v>
      </c>
      <c r="BO176" s="2126">
        <v>0</v>
      </c>
      <c r="BP176" s="2126">
        <v>0</v>
      </c>
      <c r="BQ176" s="2126">
        <v>0</v>
      </c>
      <c r="BR176" s="2126">
        <v>0</v>
      </c>
    </row>
    <row r="177" spans="1:76" s="1765" customFormat="1" ht="33">
      <c r="A177" s="1272">
        <v>2000</v>
      </c>
      <c r="B177" s="971" t="s">
        <v>119</v>
      </c>
      <c r="C177" s="1272">
        <v>2300</v>
      </c>
      <c r="D177" s="971" t="s">
        <v>222</v>
      </c>
      <c r="E177" s="971" t="s">
        <v>263</v>
      </c>
      <c r="F177" s="971" t="s">
        <v>264</v>
      </c>
      <c r="G177" s="971" t="s">
        <v>280</v>
      </c>
      <c r="H177" s="971" t="s">
        <v>266</v>
      </c>
      <c r="I177" s="1273" t="s">
        <v>445</v>
      </c>
      <c r="J177" s="971" t="s">
        <v>239</v>
      </c>
      <c r="K177" s="971"/>
      <c r="L177" s="971" t="s">
        <v>270</v>
      </c>
      <c r="M177" s="971" t="s">
        <v>270</v>
      </c>
      <c r="N177" s="971"/>
      <c r="O177" s="971" t="s">
        <v>270</v>
      </c>
      <c r="P177" s="971"/>
      <c r="Q177" s="971" t="s">
        <v>429</v>
      </c>
      <c r="R177" s="1266" t="s">
        <v>446</v>
      </c>
      <c r="S177" s="2106">
        <v>1</v>
      </c>
      <c r="T177" s="1266" t="s">
        <v>242</v>
      </c>
      <c r="U177" s="1742" t="s">
        <v>6588</v>
      </c>
      <c r="V177" s="1742" t="s">
        <v>6588</v>
      </c>
      <c r="W177" s="1742" t="s">
        <v>6588</v>
      </c>
      <c r="X177" s="1742" t="s">
        <v>6588</v>
      </c>
      <c r="Y177" s="2106" t="s">
        <v>6588</v>
      </c>
      <c r="Z177" s="2106">
        <v>0</v>
      </c>
      <c r="AA177" s="2106">
        <v>0</v>
      </c>
      <c r="AB177" s="2106">
        <v>0</v>
      </c>
      <c r="AC177" s="2106">
        <v>0</v>
      </c>
      <c r="AD177" s="1744">
        <v>0</v>
      </c>
      <c r="AE177" s="2126">
        <v>0</v>
      </c>
      <c r="AF177" s="2126">
        <v>0</v>
      </c>
      <c r="AG177" s="1212">
        <v>1</v>
      </c>
      <c r="AH177" s="1212">
        <v>0</v>
      </c>
      <c r="AI177" s="1212">
        <v>0</v>
      </c>
      <c r="AJ177" s="1212">
        <v>1</v>
      </c>
      <c r="AK177" s="2126">
        <v>0</v>
      </c>
      <c r="AL177" s="2126">
        <v>0</v>
      </c>
      <c r="AM177" s="2126">
        <v>0</v>
      </c>
      <c r="AN177" s="2126">
        <v>0</v>
      </c>
      <c r="AO177" s="1743" t="s">
        <v>131</v>
      </c>
      <c r="AP177" s="1743"/>
      <c r="AQ177" s="1764">
        <v>2014</v>
      </c>
      <c r="AR177" s="1743" t="s">
        <v>87</v>
      </c>
      <c r="AS177" s="2135"/>
      <c r="AT177" s="2135"/>
      <c r="AU177" s="1212">
        <v>0.33333333333333331</v>
      </c>
      <c r="AV177" s="1212">
        <v>0.33333333333333331</v>
      </c>
      <c r="AW177" s="1212">
        <v>0.33333333333333331</v>
      </c>
      <c r="AX177" s="1212"/>
      <c r="AY177" s="1212"/>
      <c r="AZ177" s="1212"/>
      <c r="BA177" s="1212"/>
      <c r="BB177" s="1212"/>
      <c r="BC177" s="1212"/>
      <c r="BD177" s="1212"/>
      <c r="BE177" s="1212"/>
      <c r="BF177" s="2126">
        <v>0</v>
      </c>
      <c r="BG177" s="2126">
        <v>0</v>
      </c>
      <c r="BH177" s="2126">
        <v>0</v>
      </c>
      <c r="BI177" s="2126">
        <v>0</v>
      </c>
      <c r="BJ177" s="2126">
        <v>0</v>
      </c>
      <c r="BK177" s="2126">
        <v>0</v>
      </c>
      <c r="BL177" s="2126">
        <v>0</v>
      </c>
      <c r="BM177" s="2126">
        <v>0</v>
      </c>
      <c r="BN177" s="2126">
        <v>0</v>
      </c>
      <c r="BO177" s="2126">
        <v>0</v>
      </c>
      <c r="BP177" s="2126">
        <v>0</v>
      </c>
      <c r="BQ177" s="2126">
        <v>0</v>
      </c>
      <c r="BR177" s="2126">
        <v>0</v>
      </c>
    </row>
    <row r="178" spans="1:76" s="1765" customFormat="1" ht="33">
      <c r="A178" s="1272">
        <v>2000</v>
      </c>
      <c r="B178" s="971" t="s">
        <v>119</v>
      </c>
      <c r="C178" s="1272">
        <v>2300</v>
      </c>
      <c r="D178" s="971" t="s">
        <v>222</v>
      </c>
      <c r="E178" s="971" t="s">
        <v>263</v>
      </c>
      <c r="F178" s="971" t="s">
        <v>264</v>
      </c>
      <c r="G178" s="971" t="s">
        <v>280</v>
      </c>
      <c r="H178" s="971" t="s">
        <v>266</v>
      </c>
      <c r="I178" s="1273" t="s">
        <v>447</v>
      </c>
      <c r="J178" s="971" t="s">
        <v>239</v>
      </c>
      <c r="K178" s="971"/>
      <c r="L178" s="971" t="s">
        <v>270</v>
      </c>
      <c r="M178" s="971" t="s">
        <v>270</v>
      </c>
      <c r="N178" s="971"/>
      <c r="O178" s="971" t="s">
        <v>270</v>
      </c>
      <c r="P178" s="971"/>
      <c r="Q178" s="971" t="s">
        <v>432</v>
      </c>
      <c r="R178" s="1266" t="s">
        <v>448</v>
      </c>
      <c r="S178" s="2106">
        <v>1</v>
      </c>
      <c r="T178" s="1266" t="s">
        <v>242</v>
      </c>
      <c r="U178" s="1742" t="s">
        <v>6588</v>
      </c>
      <c r="V178" s="1742" t="s">
        <v>6588</v>
      </c>
      <c r="W178" s="1742" t="s">
        <v>6588</v>
      </c>
      <c r="X178" s="1742" t="s">
        <v>6588</v>
      </c>
      <c r="Y178" s="2106" t="s">
        <v>6588</v>
      </c>
      <c r="Z178" s="2106">
        <v>0</v>
      </c>
      <c r="AA178" s="2106">
        <v>0</v>
      </c>
      <c r="AB178" s="2106">
        <v>0</v>
      </c>
      <c r="AC178" s="2106">
        <v>0</v>
      </c>
      <c r="AD178" s="1744">
        <v>0</v>
      </c>
      <c r="AE178" s="2126">
        <v>0</v>
      </c>
      <c r="AF178" s="2126">
        <v>0</v>
      </c>
      <c r="AG178" s="1212">
        <v>1</v>
      </c>
      <c r="AH178" s="1212">
        <v>0</v>
      </c>
      <c r="AI178" s="1212">
        <v>0</v>
      </c>
      <c r="AJ178" s="1212">
        <v>1</v>
      </c>
      <c r="AK178" s="2126">
        <v>0</v>
      </c>
      <c r="AL178" s="2126">
        <v>0</v>
      </c>
      <c r="AM178" s="2126">
        <v>0</v>
      </c>
      <c r="AN178" s="2126">
        <v>0</v>
      </c>
      <c r="AO178" s="1743" t="s">
        <v>131</v>
      </c>
      <c r="AP178" s="1743"/>
      <c r="AQ178" s="1764">
        <v>2014</v>
      </c>
      <c r="AR178" s="1743" t="s">
        <v>87</v>
      </c>
      <c r="AS178" s="2135"/>
      <c r="AT178" s="2135"/>
      <c r="AU178" s="1212">
        <v>0.33333333333333331</v>
      </c>
      <c r="AV178" s="1212">
        <v>0.33333333333333331</v>
      </c>
      <c r="AW178" s="1212">
        <v>0.33333333333333331</v>
      </c>
      <c r="AX178" s="1212"/>
      <c r="AY178" s="1212"/>
      <c r="AZ178" s="1212"/>
      <c r="BA178" s="1212"/>
      <c r="BB178" s="1212"/>
      <c r="BC178" s="1212"/>
      <c r="BD178" s="1212"/>
      <c r="BE178" s="1212"/>
      <c r="BF178" s="2126">
        <v>0</v>
      </c>
      <c r="BG178" s="2126">
        <v>0</v>
      </c>
      <c r="BH178" s="2126">
        <v>0</v>
      </c>
      <c r="BI178" s="2126">
        <v>0</v>
      </c>
      <c r="BJ178" s="2126">
        <v>0</v>
      </c>
      <c r="BK178" s="2126">
        <v>0</v>
      </c>
      <c r="BL178" s="2126">
        <v>0</v>
      </c>
      <c r="BM178" s="2126">
        <v>0</v>
      </c>
      <c r="BN178" s="2126">
        <v>0</v>
      </c>
      <c r="BO178" s="2126">
        <v>0</v>
      </c>
      <c r="BP178" s="2126">
        <v>0</v>
      </c>
      <c r="BQ178" s="2126">
        <v>0</v>
      </c>
      <c r="BR178" s="2126">
        <v>0</v>
      </c>
    </row>
    <row r="179" spans="1:76" s="1765" customFormat="1" ht="33">
      <c r="A179" s="1272">
        <v>2000</v>
      </c>
      <c r="B179" s="971" t="s">
        <v>119</v>
      </c>
      <c r="C179" s="1272">
        <v>2300</v>
      </c>
      <c r="D179" s="971" t="s">
        <v>222</v>
      </c>
      <c r="E179" s="971" t="s">
        <v>263</v>
      </c>
      <c r="F179" s="971" t="s">
        <v>264</v>
      </c>
      <c r="G179" s="971" t="s">
        <v>280</v>
      </c>
      <c r="H179" s="971" t="s">
        <v>266</v>
      </c>
      <c r="I179" s="1273" t="s">
        <v>449</v>
      </c>
      <c r="J179" s="971" t="s">
        <v>239</v>
      </c>
      <c r="K179" s="971"/>
      <c r="L179" s="971" t="s">
        <v>270</v>
      </c>
      <c r="M179" s="971" t="s">
        <v>270</v>
      </c>
      <c r="N179" s="971"/>
      <c r="O179" s="971" t="s">
        <v>270</v>
      </c>
      <c r="P179" s="971"/>
      <c r="Q179" s="971" t="s">
        <v>435</v>
      </c>
      <c r="R179" s="1266" t="s">
        <v>450</v>
      </c>
      <c r="S179" s="2106">
        <v>1</v>
      </c>
      <c r="T179" s="1266" t="s">
        <v>242</v>
      </c>
      <c r="U179" s="1742" t="s">
        <v>6588</v>
      </c>
      <c r="V179" s="1742" t="s">
        <v>6588</v>
      </c>
      <c r="W179" s="1742" t="s">
        <v>6588</v>
      </c>
      <c r="X179" s="1742" t="s">
        <v>6588</v>
      </c>
      <c r="Y179" s="2106" t="s">
        <v>6588</v>
      </c>
      <c r="Z179" s="2106">
        <v>0</v>
      </c>
      <c r="AA179" s="2106">
        <v>0</v>
      </c>
      <c r="AB179" s="2106">
        <v>0</v>
      </c>
      <c r="AC179" s="2106">
        <v>0</v>
      </c>
      <c r="AD179" s="1744">
        <v>0</v>
      </c>
      <c r="AE179" s="2126">
        <v>0</v>
      </c>
      <c r="AF179" s="2126">
        <v>0</v>
      </c>
      <c r="AG179" s="1212">
        <v>1</v>
      </c>
      <c r="AH179" s="1212">
        <v>0</v>
      </c>
      <c r="AI179" s="1212">
        <v>0</v>
      </c>
      <c r="AJ179" s="1212">
        <v>1</v>
      </c>
      <c r="AK179" s="2126">
        <v>0</v>
      </c>
      <c r="AL179" s="2126">
        <v>0</v>
      </c>
      <c r="AM179" s="2126">
        <v>0</v>
      </c>
      <c r="AN179" s="2126">
        <v>0</v>
      </c>
      <c r="AO179" s="1743" t="s">
        <v>131</v>
      </c>
      <c r="AP179" s="1743"/>
      <c r="AQ179" s="1764">
        <v>2014</v>
      </c>
      <c r="AR179" s="1743" t="s">
        <v>87</v>
      </c>
      <c r="AS179" s="2135"/>
      <c r="AT179" s="2135"/>
      <c r="AU179" s="1212">
        <v>0.33333333333333331</v>
      </c>
      <c r="AV179" s="1212">
        <v>0.33333333333333331</v>
      </c>
      <c r="AW179" s="1212">
        <v>0.33333333333333331</v>
      </c>
      <c r="AX179" s="1212"/>
      <c r="AY179" s="1212"/>
      <c r="AZ179" s="1212"/>
      <c r="BA179" s="1212"/>
      <c r="BB179" s="1212"/>
      <c r="BC179" s="1212"/>
      <c r="BD179" s="1212"/>
      <c r="BE179" s="1212"/>
      <c r="BF179" s="2126">
        <v>0</v>
      </c>
      <c r="BG179" s="2126">
        <v>0</v>
      </c>
      <c r="BH179" s="2126">
        <v>0</v>
      </c>
      <c r="BI179" s="2126">
        <v>0</v>
      </c>
      <c r="BJ179" s="2126">
        <v>0</v>
      </c>
      <c r="BK179" s="2126">
        <v>0</v>
      </c>
      <c r="BL179" s="2126">
        <v>0</v>
      </c>
      <c r="BM179" s="2126">
        <v>0</v>
      </c>
      <c r="BN179" s="2126">
        <v>0</v>
      </c>
      <c r="BO179" s="2126">
        <v>0</v>
      </c>
      <c r="BP179" s="2126">
        <v>0</v>
      </c>
      <c r="BQ179" s="2126">
        <v>0</v>
      </c>
      <c r="BR179" s="2126">
        <v>0</v>
      </c>
    </row>
    <row r="180" spans="1:76" s="1765" customFormat="1">
      <c r="A180" s="1802">
        <v>2000</v>
      </c>
      <c r="B180" s="1803" t="s">
        <v>119</v>
      </c>
      <c r="C180" s="1802">
        <v>2400</v>
      </c>
      <c r="D180" s="1803" t="s">
        <v>451</v>
      </c>
      <c r="E180" s="1803"/>
      <c r="F180" s="1803"/>
      <c r="G180" s="1803"/>
      <c r="H180" s="1803"/>
      <c r="I180" s="1803"/>
      <c r="J180" s="1803" t="s">
        <v>121</v>
      </c>
      <c r="K180" s="1803"/>
      <c r="L180" s="1803"/>
      <c r="M180" s="1803"/>
      <c r="N180" s="1803"/>
      <c r="O180" s="1803"/>
      <c r="P180" s="1803"/>
      <c r="Q180" s="1803"/>
      <c r="R180" s="1774"/>
      <c r="S180" s="2107"/>
      <c r="T180" s="1774"/>
      <c r="U180" s="1776"/>
      <c r="V180" s="1776"/>
      <c r="W180" s="1776"/>
      <c r="X180" s="1776"/>
      <c r="Y180" s="2107"/>
      <c r="Z180" s="2107"/>
      <c r="AA180" s="2107"/>
      <c r="AB180" s="2107"/>
      <c r="AC180" s="2107"/>
      <c r="AD180" s="1775"/>
      <c r="AE180" s="2127"/>
      <c r="AF180" s="2127"/>
      <c r="AG180" s="1777"/>
      <c r="AH180" s="1777"/>
      <c r="AI180" s="1777"/>
      <c r="AJ180" s="1777"/>
      <c r="AK180" s="2127"/>
      <c r="AL180" s="2127"/>
      <c r="AM180" s="2127"/>
      <c r="AN180" s="2127"/>
      <c r="AO180" s="1775"/>
      <c r="AP180" s="1775"/>
      <c r="AQ180" s="1773"/>
      <c r="AR180" s="1775"/>
      <c r="AS180" s="1777"/>
      <c r="AT180" s="1777"/>
      <c r="AU180" s="1777"/>
      <c r="AV180" s="1777"/>
      <c r="AW180" s="1777"/>
      <c r="AX180" s="1777"/>
      <c r="AY180" s="1777"/>
      <c r="AZ180" s="1777"/>
      <c r="BA180" s="1777"/>
      <c r="BB180" s="1777"/>
      <c r="BC180" s="1777"/>
      <c r="BD180" s="1777"/>
      <c r="BE180" s="1777"/>
      <c r="BF180" s="2127"/>
      <c r="BG180" s="2127"/>
      <c r="BH180" s="2127"/>
      <c r="BI180" s="2127"/>
      <c r="BJ180" s="2127"/>
      <c r="BK180" s="2127"/>
      <c r="BL180" s="2127"/>
      <c r="BM180" s="2127"/>
      <c r="BN180" s="2127"/>
      <c r="BO180" s="2127"/>
      <c r="BP180" s="2127"/>
      <c r="BQ180" s="2127"/>
      <c r="BR180" s="2127"/>
    </row>
    <row r="181" spans="1:76" s="1761" customFormat="1" ht="33">
      <c r="A181" s="1802">
        <v>2000</v>
      </c>
      <c r="B181" s="1803" t="s">
        <v>119</v>
      </c>
      <c r="C181" s="1802">
        <v>2500</v>
      </c>
      <c r="D181" s="1803" t="s">
        <v>452</v>
      </c>
      <c r="E181" s="1803"/>
      <c r="F181" s="1803"/>
      <c r="G181" s="1803"/>
      <c r="H181" s="1803"/>
      <c r="I181" s="1803"/>
      <c r="J181" s="1803" t="s">
        <v>121</v>
      </c>
      <c r="K181" s="1803"/>
      <c r="L181" s="1803"/>
      <c r="M181" s="1803"/>
      <c r="N181" s="1803"/>
      <c r="O181" s="1803"/>
      <c r="P181" s="1803"/>
      <c r="Q181" s="1803"/>
      <c r="R181" s="1774"/>
      <c r="S181" s="2107"/>
      <c r="T181" s="1774"/>
      <c r="U181" s="1776"/>
      <c r="V181" s="1776"/>
      <c r="W181" s="1776"/>
      <c r="X181" s="1776"/>
      <c r="Y181" s="2107"/>
      <c r="Z181" s="2107"/>
      <c r="AA181" s="2107"/>
      <c r="AB181" s="2107"/>
      <c r="AC181" s="2107"/>
      <c r="AD181" s="1775"/>
      <c r="AE181" s="2127"/>
      <c r="AF181" s="2127"/>
      <c r="AG181" s="1777"/>
      <c r="AH181" s="1777"/>
      <c r="AI181" s="1777"/>
      <c r="AJ181" s="1777"/>
      <c r="AK181" s="2127"/>
      <c r="AL181" s="2127"/>
      <c r="AM181" s="2127"/>
      <c r="AN181" s="2127"/>
      <c r="AO181" s="1775"/>
      <c r="AP181" s="1775"/>
      <c r="AQ181" s="1773"/>
      <c r="AR181" s="1775"/>
      <c r="AS181" s="1777"/>
      <c r="AT181" s="1777"/>
      <c r="AU181" s="1777"/>
      <c r="AV181" s="1777"/>
      <c r="AW181" s="1777"/>
      <c r="AX181" s="1777"/>
      <c r="AY181" s="1777"/>
      <c r="AZ181" s="1777"/>
      <c r="BA181" s="1777"/>
      <c r="BB181" s="1777"/>
      <c r="BC181" s="1777"/>
      <c r="BD181" s="1777"/>
      <c r="BE181" s="1777"/>
      <c r="BF181" s="2127"/>
      <c r="BG181" s="2127"/>
      <c r="BH181" s="2127"/>
      <c r="BI181" s="2127"/>
      <c r="BJ181" s="2127"/>
      <c r="BK181" s="2127"/>
      <c r="BL181" s="2127"/>
      <c r="BM181" s="2127"/>
      <c r="BN181" s="2127"/>
      <c r="BO181" s="2127"/>
      <c r="BP181" s="2127"/>
      <c r="BQ181" s="2127"/>
      <c r="BR181" s="2127"/>
      <c r="BS181" s="1765"/>
      <c r="BT181" s="1765"/>
      <c r="BU181" s="1765"/>
      <c r="BV181" s="1765"/>
      <c r="BW181" s="1765"/>
      <c r="BX181" s="1765"/>
    </row>
    <row r="182" spans="1:76" s="1765" customFormat="1" ht="49.5">
      <c r="A182" s="1272">
        <v>2000</v>
      </c>
      <c r="B182" s="971" t="s">
        <v>119</v>
      </c>
      <c r="C182" s="1272">
        <v>2500</v>
      </c>
      <c r="D182" s="971" t="s">
        <v>452</v>
      </c>
      <c r="E182" s="971" t="s">
        <v>453</v>
      </c>
      <c r="F182" s="971" t="s">
        <v>454</v>
      </c>
      <c r="G182" s="971" t="s">
        <v>455</v>
      </c>
      <c r="H182" s="971" t="s">
        <v>456</v>
      </c>
      <c r="I182" s="1273" t="s">
        <v>457</v>
      </c>
      <c r="J182" s="971" t="s">
        <v>124</v>
      </c>
      <c r="K182" s="971" t="s">
        <v>784</v>
      </c>
      <c r="L182" s="971" t="s">
        <v>2852</v>
      </c>
      <c r="M182" s="971" t="s">
        <v>458</v>
      </c>
      <c r="N182" s="971" t="s">
        <v>127</v>
      </c>
      <c r="O182" s="971" t="s">
        <v>459</v>
      </c>
      <c r="P182" s="971"/>
      <c r="Q182" s="971" t="s">
        <v>460</v>
      </c>
      <c r="R182" s="1266" t="s">
        <v>461</v>
      </c>
      <c r="S182" s="2106">
        <v>611.80297397769516</v>
      </c>
      <c r="T182" s="1266" t="s">
        <v>136</v>
      </c>
      <c r="U182" s="1742">
        <v>0.22416666666666665</v>
      </c>
      <c r="V182" s="1742">
        <v>2.8020833333333335</v>
      </c>
      <c r="W182" s="1742">
        <v>19.758049999999997</v>
      </c>
      <c r="X182" s="1742">
        <v>30.905858333333335</v>
      </c>
      <c r="Y182" s="2106">
        <v>53.46599166666666</v>
      </c>
      <c r="Z182" s="2106">
        <v>137.14583333333331</v>
      </c>
      <c r="AA182" s="2106">
        <v>1714.3229166666667</v>
      </c>
      <c r="AB182" s="2106">
        <v>12088.033749999999</v>
      </c>
      <c r="AC182" s="2106">
        <v>18908.296041666668</v>
      </c>
      <c r="AD182" s="1744">
        <v>32710.652708333335</v>
      </c>
      <c r="AE182" s="2126">
        <v>1</v>
      </c>
      <c r="AF182" s="2126">
        <v>611.80297397769516</v>
      </c>
      <c r="AG182" s="1212">
        <v>1</v>
      </c>
      <c r="AH182" s="1212">
        <v>0</v>
      </c>
      <c r="AI182" s="1212">
        <v>0</v>
      </c>
      <c r="AJ182" s="1212">
        <v>1</v>
      </c>
      <c r="AK182" s="2126">
        <v>32710.652708333335</v>
      </c>
      <c r="AL182" s="2126">
        <v>0</v>
      </c>
      <c r="AM182" s="2126">
        <v>0</v>
      </c>
      <c r="AN182" s="2126">
        <v>32710.652708333335</v>
      </c>
      <c r="AO182" s="1743" t="s">
        <v>131</v>
      </c>
      <c r="AP182" s="1743"/>
      <c r="AQ182" s="1764">
        <v>2014</v>
      </c>
      <c r="AR182" s="1743" t="s">
        <v>87</v>
      </c>
      <c r="AS182" s="2135"/>
      <c r="AT182" s="2135"/>
      <c r="AU182" s="1212">
        <v>0.33333333333333331</v>
      </c>
      <c r="AV182" s="1212">
        <v>0.33333333333333331</v>
      </c>
      <c r="AW182" s="1212">
        <v>0.33333333333333331</v>
      </c>
      <c r="AX182" s="1212"/>
      <c r="AY182" s="1212"/>
      <c r="AZ182" s="1212"/>
      <c r="BA182" s="1212"/>
      <c r="BB182" s="1212"/>
      <c r="BC182" s="1212"/>
      <c r="BD182" s="1212"/>
      <c r="BE182" s="1212"/>
      <c r="BF182" s="2126">
        <v>0</v>
      </c>
      <c r="BG182" s="2126">
        <v>0</v>
      </c>
      <c r="BH182" s="2126">
        <v>10903.550902777777</v>
      </c>
      <c r="BI182" s="2126">
        <v>10903.550902777777</v>
      </c>
      <c r="BJ182" s="2126">
        <v>10903.550902777777</v>
      </c>
      <c r="BK182" s="2126">
        <v>0</v>
      </c>
      <c r="BL182" s="2126">
        <v>0</v>
      </c>
      <c r="BM182" s="2126">
        <v>0</v>
      </c>
      <c r="BN182" s="2126">
        <v>0</v>
      </c>
      <c r="BO182" s="2126">
        <v>0</v>
      </c>
      <c r="BP182" s="2126">
        <v>0</v>
      </c>
      <c r="BQ182" s="2126">
        <v>0</v>
      </c>
      <c r="BR182" s="2126">
        <v>0</v>
      </c>
    </row>
    <row r="183" spans="1:76" s="1765" customFormat="1" ht="49.5">
      <c r="A183" s="1272">
        <v>2000</v>
      </c>
      <c r="B183" s="971" t="s">
        <v>119</v>
      </c>
      <c r="C183" s="1272">
        <v>2500</v>
      </c>
      <c r="D183" s="971" t="s">
        <v>452</v>
      </c>
      <c r="E183" s="971" t="s">
        <v>453</v>
      </c>
      <c r="F183" s="971" t="s">
        <v>454</v>
      </c>
      <c r="G183" s="971" t="s">
        <v>455</v>
      </c>
      <c r="H183" s="971" t="s">
        <v>456</v>
      </c>
      <c r="I183" s="1273" t="s">
        <v>462</v>
      </c>
      <c r="J183" s="971" t="s">
        <v>124</v>
      </c>
      <c r="K183" s="971" t="s">
        <v>784</v>
      </c>
      <c r="L183" s="971" t="s">
        <v>2852</v>
      </c>
      <c r="M183" s="971" t="s">
        <v>458</v>
      </c>
      <c r="N183" s="971" t="s">
        <v>127</v>
      </c>
      <c r="O183" s="971" t="s">
        <v>459</v>
      </c>
      <c r="P183" s="971"/>
      <c r="Q183" s="971" t="s">
        <v>463</v>
      </c>
      <c r="R183" s="1266" t="s">
        <v>464</v>
      </c>
      <c r="S183" s="2106">
        <v>611.80297397769516</v>
      </c>
      <c r="T183" s="1266" t="s">
        <v>136</v>
      </c>
      <c r="U183" s="1742">
        <v>0.22416666666666665</v>
      </c>
      <c r="V183" s="1742">
        <v>2.8020833333333335</v>
      </c>
      <c r="W183" s="1742">
        <v>19.758049999999997</v>
      </c>
      <c r="X183" s="1742">
        <v>30.905858333333335</v>
      </c>
      <c r="Y183" s="2106">
        <v>53.46599166666666</v>
      </c>
      <c r="Z183" s="2106">
        <v>137.14583333333331</v>
      </c>
      <c r="AA183" s="2106">
        <v>1714.3229166666667</v>
      </c>
      <c r="AB183" s="2106">
        <v>12088.033749999999</v>
      </c>
      <c r="AC183" s="2106">
        <v>18908.296041666668</v>
      </c>
      <c r="AD183" s="1744">
        <v>32710.652708333335</v>
      </c>
      <c r="AE183" s="2126">
        <v>1</v>
      </c>
      <c r="AF183" s="2126">
        <v>611.80297397769516</v>
      </c>
      <c r="AG183" s="1212">
        <v>1</v>
      </c>
      <c r="AH183" s="1212">
        <v>0</v>
      </c>
      <c r="AI183" s="1212">
        <v>0</v>
      </c>
      <c r="AJ183" s="1212">
        <v>1</v>
      </c>
      <c r="AK183" s="2126">
        <v>32710.652708333335</v>
      </c>
      <c r="AL183" s="2126">
        <v>0</v>
      </c>
      <c r="AM183" s="2126">
        <v>0</v>
      </c>
      <c r="AN183" s="2126">
        <v>32710.652708333335</v>
      </c>
      <c r="AO183" s="1743" t="s">
        <v>131</v>
      </c>
      <c r="AP183" s="1743"/>
      <c r="AQ183" s="1764">
        <v>2014</v>
      </c>
      <c r="AR183" s="1743" t="s">
        <v>87</v>
      </c>
      <c r="AS183" s="2135"/>
      <c r="AT183" s="2135"/>
      <c r="AU183" s="1212">
        <v>0.33333333333333331</v>
      </c>
      <c r="AV183" s="1212">
        <v>0.33333333333333331</v>
      </c>
      <c r="AW183" s="1212">
        <v>0.33333333333333331</v>
      </c>
      <c r="AX183" s="1212"/>
      <c r="AY183" s="1212"/>
      <c r="AZ183" s="1212"/>
      <c r="BA183" s="1212"/>
      <c r="BB183" s="1212"/>
      <c r="BC183" s="1212"/>
      <c r="BD183" s="1212"/>
      <c r="BE183" s="1212"/>
      <c r="BF183" s="2126">
        <v>0</v>
      </c>
      <c r="BG183" s="2126">
        <v>0</v>
      </c>
      <c r="BH183" s="2126">
        <v>10903.550902777777</v>
      </c>
      <c r="BI183" s="2126">
        <v>10903.550902777777</v>
      </c>
      <c r="BJ183" s="2126">
        <v>10903.550902777777</v>
      </c>
      <c r="BK183" s="2126">
        <v>0</v>
      </c>
      <c r="BL183" s="2126">
        <v>0</v>
      </c>
      <c r="BM183" s="2126">
        <v>0</v>
      </c>
      <c r="BN183" s="2126">
        <v>0</v>
      </c>
      <c r="BO183" s="2126">
        <v>0</v>
      </c>
      <c r="BP183" s="2126">
        <v>0</v>
      </c>
      <c r="BQ183" s="2126">
        <v>0</v>
      </c>
      <c r="BR183" s="2126">
        <v>0</v>
      </c>
    </row>
    <row r="184" spans="1:76" s="1765" customFormat="1" ht="49.5">
      <c r="A184" s="1272">
        <v>2000</v>
      </c>
      <c r="B184" s="971" t="s">
        <v>119</v>
      </c>
      <c r="C184" s="1272">
        <v>2500</v>
      </c>
      <c r="D184" s="971" t="s">
        <v>452</v>
      </c>
      <c r="E184" s="971" t="s">
        <v>453</v>
      </c>
      <c r="F184" s="971" t="s">
        <v>454</v>
      </c>
      <c r="G184" s="971" t="s">
        <v>455</v>
      </c>
      <c r="H184" s="971" t="s">
        <v>456</v>
      </c>
      <c r="I184" s="1273" t="s">
        <v>465</v>
      </c>
      <c r="J184" s="971" t="s">
        <v>124</v>
      </c>
      <c r="K184" s="971" t="s">
        <v>784</v>
      </c>
      <c r="L184" s="971" t="s">
        <v>2852</v>
      </c>
      <c r="M184" s="971" t="s">
        <v>458</v>
      </c>
      <c r="N184" s="971" t="s">
        <v>127</v>
      </c>
      <c r="O184" s="971" t="s">
        <v>459</v>
      </c>
      <c r="P184" s="971"/>
      <c r="Q184" s="971" t="s">
        <v>466</v>
      </c>
      <c r="R184" s="1266" t="s">
        <v>467</v>
      </c>
      <c r="S184" s="2106">
        <v>611.80297397769516</v>
      </c>
      <c r="T184" s="1266" t="s">
        <v>136</v>
      </c>
      <c r="U184" s="1742">
        <v>0.22416666666666665</v>
      </c>
      <c r="V184" s="1742">
        <v>2.8020833333333335</v>
      </c>
      <c r="W184" s="1742">
        <v>19.758049999999997</v>
      </c>
      <c r="X184" s="1742">
        <v>30.905858333333335</v>
      </c>
      <c r="Y184" s="2106">
        <v>53.46599166666666</v>
      </c>
      <c r="Z184" s="2106">
        <v>137.14583333333331</v>
      </c>
      <c r="AA184" s="2106">
        <v>1714.3229166666667</v>
      </c>
      <c r="AB184" s="2106">
        <v>12088.033749999999</v>
      </c>
      <c r="AC184" s="2106">
        <v>18908.296041666668</v>
      </c>
      <c r="AD184" s="1744">
        <v>32710.652708333335</v>
      </c>
      <c r="AE184" s="2126">
        <v>1</v>
      </c>
      <c r="AF184" s="2126">
        <v>611.80297397769516</v>
      </c>
      <c r="AG184" s="1212">
        <v>1</v>
      </c>
      <c r="AH184" s="1212">
        <v>0</v>
      </c>
      <c r="AI184" s="1212">
        <v>0</v>
      </c>
      <c r="AJ184" s="1212">
        <v>1</v>
      </c>
      <c r="AK184" s="2126">
        <v>32710.652708333335</v>
      </c>
      <c r="AL184" s="2126">
        <v>0</v>
      </c>
      <c r="AM184" s="2126">
        <v>0</v>
      </c>
      <c r="AN184" s="2126">
        <v>32710.652708333335</v>
      </c>
      <c r="AO184" s="1743" t="s">
        <v>131</v>
      </c>
      <c r="AP184" s="1743"/>
      <c r="AQ184" s="1764">
        <v>2014</v>
      </c>
      <c r="AR184" s="1743" t="s">
        <v>87</v>
      </c>
      <c r="AS184" s="2135"/>
      <c r="AT184" s="2135"/>
      <c r="AU184" s="1212">
        <v>0.33333333333333331</v>
      </c>
      <c r="AV184" s="1212">
        <v>0.33333333333333331</v>
      </c>
      <c r="AW184" s="1212">
        <v>0.33333333333333331</v>
      </c>
      <c r="AX184" s="1212"/>
      <c r="AY184" s="1212"/>
      <c r="AZ184" s="1212"/>
      <c r="BA184" s="1212"/>
      <c r="BB184" s="1212"/>
      <c r="BC184" s="1212"/>
      <c r="BD184" s="1212"/>
      <c r="BE184" s="1212"/>
      <c r="BF184" s="2126">
        <v>0</v>
      </c>
      <c r="BG184" s="2126">
        <v>0</v>
      </c>
      <c r="BH184" s="2126">
        <v>10903.550902777777</v>
      </c>
      <c r="BI184" s="2126">
        <v>10903.550902777777</v>
      </c>
      <c r="BJ184" s="2126">
        <v>10903.550902777777</v>
      </c>
      <c r="BK184" s="2126">
        <v>0</v>
      </c>
      <c r="BL184" s="2126">
        <v>0</v>
      </c>
      <c r="BM184" s="2126">
        <v>0</v>
      </c>
      <c r="BN184" s="2126">
        <v>0</v>
      </c>
      <c r="BO184" s="2126">
        <v>0</v>
      </c>
      <c r="BP184" s="2126">
        <v>0</v>
      </c>
      <c r="BQ184" s="2126">
        <v>0</v>
      </c>
      <c r="BR184" s="2126">
        <v>0</v>
      </c>
    </row>
    <row r="185" spans="1:76" s="1765" customFormat="1" ht="49.5">
      <c r="A185" s="1272">
        <v>2000</v>
      </c>
      <c r="B185" s="971" t="s">
        <v>119</v>
      </c>
      <c r="C185" s="1272">
        <v>2500</v>
      </c>
      <c r="D185" s="971" t="s">
        <v>452</v>
      </c>
      <c r="E185" s="971" t="s">
        <v>453</v>
      </c>
      <c r="F185" s="971" t="s">
        <v>454</v>
      </c>
      <c r="G185" s="971" t="s">
        <v>455</v>
      </c>
      <c r="H185" s="971" t="s">
        <v>456</v>
      </c>
      <c r="I185" s="1273" t="s">
        <v>468</v>
      </c>
      <c r="J185" s="971" t="s">
        <v>124</v>
      </c>
      <c r="K185" s="971" t="s">
        <v>784</v>
      </c>
      <c r="L185" s="971" t="s">
        <v>2852</v>
      </c>
      <c r="M185" s="971" t="s">
        <v>458</v>
      </c>
      <c r="N185" s="971" t="s">
        <v>127</v>
      </c>
      <c r="O185" s="971" t="s">
        <v>459</v>
      </c>
      <c r="P185" s="971"/>
      <c r="Q185" s="971" t="s">
        <v>469</v>
      </c>
      <c r="R185" s="1266" t="s">
        <v>470</v>
      </c>
      <c r="S185" s="2106">
        <v>611.80297397769516</v>
      </c>
      <c r="T185" s="1266" t="s">
        <v>136</v>
      </c>
      <c r="U185" s="1742">
        <v>0.22416666666666665</v>
      </c>
      <c r="V185" s="1742">
        <v>2.8020833333333335</v>
      </c>
      <c r="W185" s="1742">
        <v>19.758049999999997</v>
      </c>
      <c r="X185" s="1742">
        <v>30.905858333333335</v>
      </c>
      <c r="Y185" s="2106">
        <v>53.46599166666666</v>
      </c>
      <c r="Z185" s="2106">
        <v>137.14583333333331</v>
      </c>
      <c r="AA185" s="2106">
        <v>1714.3229166666667</v>
      </c>
      <c r="AB185" s="2106">
        <v>12088.033749999999</v>
      </c>
      <c r="AC185" s="2106">
        <v>18908.296041666668</v>
      </c>
      <c r="AD185" s="1744">
        <v>32710.652708333335</v>
      </c>
      <c r="AE185" s="2126">
        <v>1</v>
      </c>
      <c r="AF185" s="2126">
        <v>611.80297397769516</v>
      </c>
      <c r="AG185" s="1212">
        <v>1</v>
      </c>
      <c r="AH185" s="1212">
        <v>0</v>
      </c>
      <c r="AI185" s="1212">
        <v>0</v>
      </c>
      <c r="AJ185" s="1212">
        <v>1</v>
      </c>
      <c r="AK185" s="2126">
        <v>32710.652708333335</v>
      </c>
      <c r="AL185" s="2126">
        <v>0</v>
      </c>
      <c r="AM185" s="2126">
        <v>0</v>
      </c>
      <c r="AN185" s="2126">
        <v>32710.652708333335</v>
      </c>
      <c r="AO185" s="1743" t="s">
        <v>131</v>
      </c>
      <c r="AP185" s="1743"/>
      <c r="AQ185" s="1764">
        <v>2014</v>
      </c>
      <c r="AR185" s="1743" t="s">
        <v>87</v>
      </c>
      <c r="AS185" s="2135"/>
      <c r="AT185" s="2135"/>
      <c r="AU185" s="1212">
        <v>0.33333333333333331</v>
      </c>
      <c r="AV185" s="1212">
        <v>0.33333333333333331</v>
      </c>
      <c r="AW185" s="1212">
        <v>0.33333333333333331</v>
      </c>
      <c r="AX185" s="1212"/>
      <c r="AY185" s="1212"/>
      <c r="AZ185" s="1212"/>
      <c r="BA185" s="1212"/>
      <c r="BB185" s="1212"/>
      <c r="BC185" s="1212"/>
      <c r="BD185" s="1212"/>
      <c r="BE185" s="1212"/>
      <c r="BF185" s="2126">
        <v>0</v>
      </c>
      <c r="BG185" s="2126">
        <v>0</v>
      </c>
      <c r="BH185" s="2126">
        <v>10903.550902777777</v>
      </c>
      <c r="BI185" s="2126">
        <v>10903.550902777777</v>
      </c>
      <c r="BJ185" s="2126">
        <v>10903.550902777777</v>
      </c>
      <c r="BK185" s="2126">
        <v>0</v>
      </c>
      <c r="BL185" s="2126">
        <v>0</v>
      </c>
      <c r="BM185" s="2126">
        <v>0</v>
      </c>
      <c r="BN185" s="2126">
        <v>0</v>
      </c>
      <c r="BO185" s="2126">
        <v>0</v>
      </c>
      <c r="BP185" s="2126">
        <v>0</v>
      </c>
      <c r="BQ185" s="2126">
        <v>0</v>
      </c>
      <c r="BR185" s="2126">
        <v>0</v>
      </c>
    </row>
    <row r="186" spans="1:76" s="1765" customFormat="1" ht="33">
      <c r="A186" s="1272">
        <v>2000</v>
      </c>
      <c r="B186" s="971" t="s">
        <v>119</v>
      </c>
      <c r="C186" s="1272">
        <v>2500</v>
      </c>
      <c r="D186" s="971" t="s">
        <v>452</v>
      </c>
      <c r="E186" s="971" t="s">
        <v>453</v>
      </c>
      <c r="F186" s="971" t="s">
        <v>454</v>
      </c>
      <c r="G186" s="971" t="s">
        <v>455</v>
      </c>
      <c r="H186" s="971" t="s">
        <v>456</v>
      </c>
      <c r="I186" s="1273" t="s">
        <v>471</v>
      </c>
      <c r="J186" s="971" t="s">
        <v>124</v>
      </c>
      <c r="K186" s="971" t="s">
        <v>140</v>
      </c>
      <c r="L186" s="971" t="s">
        <v>2909</v>
      </c>
      <c r="M186" s="971" t="s">
        <v>140</v>
      </c>
      <c r="N186" s="971" t="s">
        <v>141</v>
      </c>
      <c r="O186" s="971" t="s">
        <v>142</v>
      </c>
      <c r="P186" s="971"/>
      <c r="Q186" s="971" t="s">
        <v>472</v>
      </c>
      <c r="R186" s="1266" t="s">
        <v>461</v>
      </c>
      <c r="S186" s="2106">
        <v>611.80297397769516</v>
      </c>
      <c r="T186" s="1266" t="s">
        <v>136</v>
      </c>
      <c r="U186" s="1742">
        <v>0</v>
      </c>
      <c r="V186" s="1742">
        <v>0</v>
      </c>
      <c r="W186" s="1742">
        <v>0</v>
      </c>
      <c r="X186" s="1742">
        <v>0</v>
      </c>
      <c r="Y186" s="2106">
        <v>0</v>
      </c>
      <c r="Z186" s="2106">
        <v>0</v>
      </c>
      <c r="AA186" s="2106">
        <v>0</v>
      </c>
      <c r="AB186" s="2106">
        <v>0</v>
      </c>
      <c r="AC186" s="2106">
        <v>0</v>
      </c>
      <c r="AD186" s="1744">
        <v>0</v>
      </c>
      <c r="AE186" s="2126">
        <v>0</v>
      </c>
      <c r="AF186" s="2126">
        <v>0</v>
      </c>
      <c r="AG186" s="1212">
        <v>1</v>
      </c>
      <c r="AH186" s="1212">
        <v>0</v>
      </c>
      <c r="AI186" s="1212">
        <v>0</v>
      </c>
      <c r="AJ186" s="1212">
        <v>1</v>
      </c>
      <c r="AK186" s="2126">
        <v>0</v>
      </c>
      <c r="AL186" s="2126">
        <v>0</v>
      </c>
      <c r="AM186" s="2126">
        <v>0</v>
      </c>
      <c r="AN186" s="2126">
        <v>0</v>
      </c>
      <c r="AO186" s="1743" t="s">
        <v>131</v>
      </c>
      <c r="AP186" s="1743"/>
      <c r="AQ186" s="1764">
        <v>2014</v>
      </c>
      <c r="AR186" s="1743" t="s">
        <v>87</v>
      </c>
      <c r="AS186" s="2135"/>
      <c r="AT186" s="2135"/>
      <c r="AU186" s="1212">
        <v>0.33333333333333331</v>
      </c>
      <c r="AV186" s="1212">
        <v>0.33333333333333331</v>
      </c>
      <c r="AW186" s="1212">
        <v>0.33333333333333331</v>
      </c>
      <c r="AX186" s="1212"/>
      <c r="AY186" s="1212"/>
      <c r="AZ186" s="1212"/>
      <c r="BA186" s="1212"/>
      <c r="BB186" s="1212"/>
      <c r="BC186" s="1212"/>
      <c r="BD186" s="1212"/>
      <c r="BE186" s="1212"/>
      <c r="BF186" s="2126">
        <v>0</v>
      </c>
      <c r="BG186" s="2126">
        <v>0</v>
      </c>
      <c r="BH186" s="2126">
        <v>0</v>
      </c>
      <c r="BI186" s="2126">
        <v>0</v>
      </c>
      <c r="BJ186" s="2126">
        <v>0</v>
      </c>
      <c r="BK186" s="2126">
        <v>0</v>
      </c>
      <c r="BL186" s="2126">
        <v>0</v>
      </c>
      <c r="BM186" s="2126">
        <v>0</v>
      </c>
      <c r="BN186" s="2126">
        <v>0</v>
      </c>
      <c r="BO186" s="2126">
        <v>0</v>
      </c>
      <c r="BP186" s="2126">
        <v>0</v>
      </c>
      <c r="BQ186" s="2126">
        <v>0</v>
      </c>
      <c r="BR186" s="2126">
        <v>0</v>
      </c>
    </row>
    <row r="187" spans="1:76" s="1765" customFormat="1" ht="33">
      <c r="A187" s="1272">
        <v>2000</v>
      </c>
      <c r="B187" s="971" t="s">
        <v>119</v>
      </c>
      <c r="C187" s="1272">
        <v>2500</v>
      </c>
      <c r="D187" s="971" t="s">
        <v>452</v>
      </c>
      <c r="E187" s="971" t="s">
        <v>453</v>
      </c>
      <c r="F187" s="971" t="s">
        <v>454</v>
      </c>
      <c r="G187" s="971" t="s">
        <v>455</v>
      </c>
      <c r="H187" s="971" t="s">
        <v>456</v>
      </c>
      <c r="I187" s="1273" t="s">
        <v>473</v>
      </c>
      <c r="J187" s="971" t="s">
        <v>124</v>
      </c>
      <c r="K187" s="971"/>
      <c r="L187" s="971" t="e">
        <v>#N/A</v>
      </c>
      <c r="M187" s="971" t="s">
        <v>145</v>
      </c>
      <c r="N187" s="971" t="s">
        <v>141</v>
      </c>
      <c r="O187" s="971" t="s">
        <v>146</v>
      </c>
      <c r="P187" s="971"/>
      <c r="Q187" s="971" t="s">
        <v>474</v>
      </c>
      <c r="R187" s="1266" t="s">
        <v>461</v>
      </c>
      <c r="S187" s="2106">
        <v>611.80297397769516</v>
      </c>
      <c r="T187" s="1266" t="s">
        <v>136</v>
      </c>
      <c r="U187" s="1742" t="s">
        <v>6588</v>
      </c>
      <c r="V187" s="1742" t="s">
        <v>6588</v>
      </c>
      <c r="W187" s="1742" t="s">
        <v>6588</v>
      </c>
      <c r="X187" s="1742" t="s">
        <v>6588</v>
      </c>
      <c r="Y187" s="2106" t="s">
        <v>6588</v>
      </c>
      <c r="Z187" s="2106">
        <v>0</v>
      </c>
      <c r="AA187" s="2106">
        <v>0</v>
      </c>
      <c r="AB187" s="2106">
        <v>0</v>
      </c>
      <c r="AC187" s="2106">
        <v>0</v>
      </c>
      <c r="AD187" s="1744">
        <v>0</v>
      </c>
      <c r="AE187" s="2126">
        <v>0</v>
      </c>
      <c r="AF187" s="2126">
        <v>0</v>
      </c>
      <c r="AG187" s="1212">
        <v>1</v>
      </c>
      <c r="AH187" s="1212">
        <v>0</v>
      </c>
      <c r="AI187" s="1212">
        <v>0</v>
      </c>
      <c r="AJ187" s="1212">
        <v>1</v>
      </c>
      <c r="AK187" s="2126">
        <v>0</v>
      </c>
      <c r="AL187" s="2126">
        <v>0</v>
      </c>
      <c r="AM187" s="2126">
        <v>0</v>
      </c>
      <c r="AN187" s="2126">
        <v>0</v>
      </c>
      <c r="AO187" s="1743" t="s">
        <v>131</v>
      </c>
      <c r="AP187" s="1743"/>
      <c r="AQ187" s="1764">
        <v>2014</v>
      </c>
      <c r="AR187" s="1743" t="s">
        <v>87</v>
      </c>
      <c r="AS187" s="2135"/>
      <c r="AT187" s="2135"/>
      <c r="AU187" s="1212">
        <v>0.33333333333333331</v>
      </c>
      <c r="AV187" s="1212">
        <v>0.33333333333333331</v>
      </c>
      <c r="AW187" s="1212">
        <v>0.33333333333333331</v>
      </c>
      <c r="AX187" s="1212"/>
      <c r="AY187" s="1212"/>
      <c r="AZ187" s="1212"/>
      <c r="BA187" s="1212"/>
      <c r="BB187" s="1212"/>
      <c r="BC187" s="1212"/>
      <c r="BD187" s="1212"/>
      <c r="BE187" s="1212"/>
      <c r="BF187" s="2126">
        <v>0</v>
      </c>
      <c r="BG187" s="2126">
        <v>0</v>
      </c>
      <c r="BH187" s="2126">
        <v>0</v>
      </c>
      <c r="BI187" s="2126">
        <v>0</v>
      </c>
      <c r="BJ187" s="2126">
        <v>0</v>
      </c>
      <c r="BK187" s="2126">
        <v>0</v>
      </c>
      <c r="BL187" s="2126">
        <v>0</v>
      </c>
      <c r="BM187" s="2126">
        <v>0</v>
      </c>
      <c r="BN187" s="2126">
        <v>0</v>
      </c>
      <c r="BO187" s="2126">
        <v>0</v>
      </c>
      <c r="BP187" s="2126">
        <v>0</v>
      </c>
      <c r="BQ187" s="2126">
        <v>0</v>
      </c>
      <c r="BR187" s="2126">
        <v>0</v>
      </c>
    </row>
    <row r="188" spans="1:76" s="1765" customFormat="1" ht="33">
      <c r="A188" s="1272">
        <v>2000</v>
      </c>
      <c r="B188" s="971" t="s">
        <v>119</v>
      </c>
      <c r="C188" s="1272">
        <v>2500</v>
      </c>
      <c r="D188" s="971" t="s">
        <v>452</v>
      </c>
      <c r="E188" s="971" t="s">
        <v>453</v>
      </c>
      <c r="F188" s="971" t="s">
        <v>454</v>
      </c>
      <c r="G188" s="971" t="s">
        <v>455</v>
      </c>
      <c r="H188" s="971" t="s">
        <v>456</v>
      </c>
      <c r="I188" s="1273" t="s">
        <v>475</v>
      </c>
      <c r="J188" s="971" t="s">
        <v>124</v>
      </c>
      <c r="K188" s="971" t="s">
        <v>140</v>
      </c>
      <c r="L188" s="971" t="s">
        <v>2909</v>
      </c>
      <c r="M188" s="971" t="s">
        <v>140</v>
      </c>
      <c r="N188" s="971" t="s">
        <v>141</v>
      </c>
      <c r="O188" s="971" t="s">
        <v>142</v>
      </c>
      <c r="P188" s="971"/>
      <c r="Q188" s="971" t="s">
        <v>476</v>
      </c>
      <c r="R188" s="1266" t="s">
        <v>464</v>
      </c>
      <c r="S188" s="2106">
        <v>611.80297397769516</v>
      </c>
      <c r="T188" s="1266" t="s">
        <v>136</v>
      </c>
      <c r="U188" s="1742">
        <v>0</v>
      </c>
      <c r="V188" s="1742">
        <v>0</v>
      </c>
      <c r="W188" s="1742">
        <v>0</v>
      </c>
      <c r="X188" s="1742">
        <v>0</v>
      </c>
      <c r="Y188" s="2106">
        <v>0</v>
      </c>
      <c r="Z188" s="2106">
        <v>0</v>
      </c>
      <c r="AA188" s="2106">
        <v>0</v>
      </c>
      <c r="AB188" s="2106">
        <v>0</v>
      </c>
      <c r="AC188" s="2106">
        <v>0</v>
      </c>
      <c r="AD188" s="1744">
        <v>0</v>
      </c>
      <c r="AE188" s="2126">
        <v>0</v>
      </c>
      <c r="AF188" s="2126">
        <v>0</v>
      </c>
      <c r="AG188" s="1212">
        <v>1</v>
      </c>
      <c r="AH188" s="1212">
        <v>0</v>
      </c>
      <c r="AI188" s="1212">
        <v>0</v>
      </c>
      <c r="AJ188" s="1212">
        <v>1</v>
      </c>
      <c r="AK188" s="2126">
        <v>0</v>
      </c>
      <c r="AL188" s="2126">
        <v>0</v>
      </c>
      <c r="AM188" s="2126">
        <v>0</v>
      </c>
      <c r="AN188" s="2126">
        <v>0</v>
      </c>
      <c r="AO188" s="1743" t="s">
        <v>131</v>
      </c>
      <c r="AP188" s="1743"/>
      <c r="AQ188" s="1764">
        <v>2014</v>
      </c>
      <c r="AR188" s="1743" t="s">
        <v>87</v>
      </c>
      <c r="AS188" s="2135"/>
      <c r="AT188" s="2135"/>
      <c r="AU188" s="1212">
        <v>0.33333333333333331</v>
      </c>
      <c r="AV188" s="1212">
        <v>0.33333333333333331</v>
      </c>
      <c r="AW188" s="1212">
        <v>0.33333333333333331</v>
      </c>
      <c r="AX188" s="1212"/>
      <c r="AY188" s="1212"/>
      <c r="AZ188" s="1212"/>
      <c r="BA188" s="1212"/>
      <c r="BB188" s="1212"/>
      <c r="BC188" s="1212"/>
      <c r="BD188" s="1212"/>
      <c r="BE188" s="1212"/>
      <c r="BF188" s="2126">
        <v>0</v>
      </c>
      <c r="BG188" s="2126">
        <v>0</v>
      </c>
      <c r="BH188" s="2126">
        <v>0</v>
      </c>
      <c r="BI188" s="2126">
        <v>0</v>
      </c>
      <c r="BJ188" s="2126">
        <v>0</v>
      </c>
      <c r="BK188" s="2126">
        <v>0</v>
      </c>
      <c r="BL188" s="2126">
        <v>0</v>
      </c>
      <c r="BM188" s="2126">
        <v>0</v>
      </c>
      <c r="BN188" s="2126">
        <v>0</v>
      </c>
      <c r="BO188" s="2126">
        <v>0</v>
      </c>
      <c r="BP188" s="2126">
        <v>0</v>
      </c>
      <c r="BQ188" s="2126">
        <v>0</v>
      </c>
      <c r="BR188" s="2126">
        <v>0</v>
      </c>
    </row>
    <row r="189" spans="1:76" s="1765" customFormat="1" ht="33">
      <c r="A189" s="1272">
        <v>2000</v>
      </c>
      <c r="B189" s="971" t="s">
        <v>119</v>
      </c>
      <c r="C189" s="1272">
        <v>2500</v>
      </c>
      <c r="D189" s="971" t="s">
        <v>452</v>
      </c>
      <c r="E189" s="971" t="s">
        <v>453</v>
      </c>
      <c r="F189" s="971" t="s">
        <v>454</v>
      </c>
      <c r="G189" s="971" t="s">
        <v>455</v>
      </c>
      <c r="H189" s="971" t="s">
        <v>456</v>
      </c>
      <c r="I189" s="1273" t="s">
        <v>477</v>
      </c>
      <c r="J189" s="971" t="s">
        <v>124</v>
      </c>
      <c r="K189" s="971"/>
      <c r="L189" s="971" t="e">
        <v>#N/A</v>
      </c>
      <c r="M189" s="971" t="s">
        <v>145</v>
      </c>
      <c r="N189" s="971" t="s">
        <v>141</v>
      </c>
      <c r="O189" s="971" t="s">
        <v>146</v>
      </c>
      <c r="P189" s="971"/>
      <c r="Q189" s="971" t="s">
        <v>478</v>
      </c>
      <c r="R189" s="1266" t="s">
        <v>464</v>
      </c>
      <c r="S189" s="2106">
        <v>611.80297397769516</v>
      </c>
      <c r="T189" s="1266" t="s">
        <v>136</v>
      </c>
      <c r="U189" s="1742" t="s">
        <v>6588</v>
      </c>
      <c r="V189" s="1742" t="s">
        <v>6588</v>
      </c>
      <c r="W189" s="1742" t="s">
        <v>6588</v>
      </c>
      <c r="X189" s="1742" t="s">
        <v>6588</v>
      </c>
      <c r="Y189" s="2106" t="s">
        <v>6588</v>
      </c>
      <c r="Z189" s="2106">
        <v>0</v>
      </c>
      <c r="AA189" s="2106">
        <v>0</v>
      </c>
      <c r="AB189" s="2106">
        <v>0</v>
      </c>
      <c r="AC189" s="2106">
        <v>0</v>
      </c>
      <c r="AD189" s="1744">
        <v>0</v>
      </c>
      <c r="AE189" s="2126">
        <v>0</v>
      </c>
      <c r="AF189" s="2126">
        <v>0</v>
      </c>
      <c r="AG189" s="1212">
        <v>1</v>
      </c>
      <c r="AH189" s="1212">
        <v>0</v>
      </c>
      <c r="AI189" s="1212">
        <v>0</v>
      </c>
      <c r="AJ189" s="1212">
        <v>1</v>
      </c>
      <c r="AK189" s="2126">
        <v>0</v>
      </c>
      <c r="AL189" s="2126">
        <v>0</v>
      </c>
      <c r="AM189" s="2126">
        <v>0</v>
      </c>
      <c r="AN189" s="2126">
        <v>0</v>
      </c>
      <c r="AO189" s="1743" t="s">
        <v>131</v>
      </c>
      <c r="AP189" s="1743"/>
      <c r="AQ189" s="1764">
        <v>2014</v>
      </c>
      <c r="AR189" s="1743" t="s">
        <v>87</v>
      </c>
      <c r="AS189" s="2135"/>
      <c r="AT189" s="2135"/>
      <c r="AU189" s="1212">
        <v>0.33333333333333331</v>
      </c>
      <c r="AV189" s="1212">
        <v>0.33333333333333331</v>
      </c>
      <c r="AW189" s="1212">
        <v>0.33333333333333331</v>
      </c>
      <c r="AX189" s="1212"/>
      <c r="AY189" s="1212"/>
      <c r="AZ189" s="1212"/>
      <c r="BA189" s="1212"/>
      <c r="BB189" s="1212"/>
      <c r="BC189" s="1212"/>
      <c r="BD189" s="1212"/>
      <c r="BE189" s="1212"/>
      <c r="BF189" s="2126">
        <v>0</v>
      </c>
      <c r="BG189" s="2126">
        <v>0</v>
      </c>
      <c r="BH189" s="2126">
        <v>0</v>
      </c>
      <c r="BI189" s="2126">
        <v>0</v>
      </c>
      <c r="BJ189" s="2126">
        <v>0</v>
      </c>
      <c r="BK189" s="2126">
        <v>0</v>
      </c>
      <c r="BL189" s="2126">
        <v>0</v>
      </c>
      <c r="BM189" s="2126">
        <v>0</v>
      </c>
      <c r="BN189" s="2126">
        <v>0</v>
      </c>
      <c r="BO189" s="2126">
        <v>0</v>
      </c>
      <c r="BP189" s="2126">
        <v>0</v>
      </c>
      <c r="BQ189" s="2126">
        <v>0</v>
      </c>
      <c r="BR189" s="2126">
        <v>0</v>
      </c>
    </row>
    <row r="190" spans="1:76" s="1765" customFormat="1" ht="33">
      <c r="A190" s="1272">
        <v>2000</v>
      </c>
      <c r="B190" s="971" t="s">
        <v>119</v>
      </c>
      <c r="C190" s="1272">
        <v>2500</v>
      </c>
      <c r="D190" s="971" t="s">
        <v>452</v>
      </c>
      <c r="E190" s="971" t="s">
        <v>453</v>
      </c>
      <c r="F190" s="971" t="s">
        <v>454</v>
      </c>
      <c r="G190" s="971" t="s">
        <v>455</v>
      </c>
      <c r="H190" s="971" t="s">
        <v>456</v>
      </c>
      <c r="I190" s="1273" t="s">
        <v>479</v>
      </c>
      <c r="J190" s="971" t="s">
        <v>124</v>
      </c>
      <c r="K190" s="971" t="s">
        <v>140</v>
      </c>
      <c r="L190" s="971" t="s">
        <v>2909</v>
      </c>
      <c r="M190" s="971" t="s">
        <v>140</v>
      </c>
      <c r="N190" s="971" t="s">
        <v>141</v>
      </c>
      <c r="O190" s="971" t="s">
        <v>142</v>
      </c>
      <c r="P190" s="971"/>
      <c r="Q190" s="971" t="s">
        <v>480</v>
      </c>
      <c r="R190" s="1266" t="s">
        <v>467</v>
      </c>
      <c r="S190" s="2106">
        <v>611.80297397769516</v>
      </c>
      <c r="T190" s="1266" t="s">
        <v>136</v>
      </c>
      <c r="U190" s="1742">
        <v>0</v>
      </c>
      <c r="V190" s="1742">
        <v>0</v>
      </c>
      <c r="W190" s="1742">
        <v>0</v>
      </c>
      <c r="X190" s="1742">
        <v>0</v>
      </c>
      <c r="Y190" s="2106">
        <v>0</v>
      </c>
      <c r="Z190" s="2106">
        <v>0</v>
      </c>
      <c r="AA190" s="2106">
        <v>0</v>
      </c>
      <c r="AB190" s="2106">
        <v>0</v>
      </c>
      <c r="AC190" s="2106">
        <v>0</v>
      </c>
      <c r="AD190" s="1744">
        <v>0</v>
      </c>
      <c r="AE190" s="2126">
        <v>0</v>
      </c>
      <c r="AF190" s="2126">
        <v>0</v>
      </c>
      <c r="AG190" s="1212">
        <v>1</v>
      </c>
      <c r="AH190" s="1212">
        <v>0</v>
      </c>
      <c r="AI190" s="1212">
        <v>0</v>
      </c>
      <c r="AJ190" s="1212">
        <v>1</v>
      </c>
      <c r="AK190" s="2126">
        <v>0</v>
      </c>
      <c r="AL190" s="2126">
        <v>0</v>
      </c>
      <c r="AM190" s="2126">
        <v>0</v>
      </c>
      <c r="AN190" s="2126">
        <v>0</v>
      </c>
      <c r="AO190" s="1743" t="s">
        <v>131</v>
      </c>
      <c r="AP190" s="1743"/>
      <c r="AQ190" s="1764">
        <v>2014</v>
      </c>
      <c r="AR190" s="1743" t="s">
        <v>87</v>
      </c>
      <c r="AS190" s="2135"/>
      <c r="AT190" s="2135"/>
      <c r="AU190" s="1212">
        <v>0.33333333333333331</v>
      </c>
      <c r="AV190" s="1212">
        <v>0.33333333333333331</v>
      </c>
      <c r="AW190" s="1212">
        <v>0.33333333333333331</v>
      </c>
      <c r="AX190" s="1212"/>
      <c r="AY190" s="1212"/>
      <c r="AZ190" s="1212"/>
      <c r="BA190" s="1212"/>
      <c r="BB190" s="1212"/>
      <c r="BC190" s="1212"/>
      <c r="BD190" s="1212"/>
      <c r="BE190" s="1212"/>
      <c r="BF190" s="2126">
        <v>0</v>
      </c>
      <c r="BG190" s="2126">
        <v>0</v>
      </c>
      <c r="BH190" s="2126">
        <v>0</v>
      </c>
      <c r="BI190" s="2126">
        <v>0</v>
      </c>
      <c r="BJ190" s="2126">
        <v>0</v>
      </c>
      <c r="BK190" s="2126">
        <v>0</v>
      </c>
      <c r="BL190" s="2126">
        <v>0</v>
      </c>
      <c r="BM190" s="2126">
        <v>0</v>
      </c>
      <c r="BN190" s="2126">
        <v>0</v>
      </c>
      <c r="BO190" s="2126">
        <v>0</v>
      </c>
      <c r="BP190" s="2126">
        <v>0</v>
      </c>
      <c r="BQ190" s="2126">
        <v>0</v>
      </c>
      <c r="BR190" s="2126">
        <v>0</v>
      </c>
    </row>
    <row r="191" spans="1:76" s="1765" customFormat="1" ht="33">
      <c r="A191" s="1272">
        <v>2000</v>
      </c>
      <c r="B191" s="971" t="s">
        <v>119</v>
      </c>
      <c r="C191" s="1272">
        <v>2500</v>
      </c>
      <c r="D191" s="971" t="s">
        <v>452</v>
      </c>
      <c r="E191" s="971" t="s">
        <v>453</v>
      </c>
      <c r="F191" s="971" t="s">
        <v>454</v>
      </c>
      <c r="G191" s="971" t="s">
        <v>455</v>
      </c>
      <c r="H191" s="971" t="s">
        <v>456</v>
      </c>
      <c r="I191" s="1273" t="s">
        <v>481</v>
      </c>
      <c r="J191" s="971" t="s">
        <v>124</v>
      </c>
      <c r="K191" s="971"/>
      <c r="L191" s="971" t="e">
        <v>#N/A</v>
      </c>
      <c r="M191" s="971" t="s">
        <v>145</v>
      </c>
      <c r="N191" s="971" t="s">
        <v>141</v>
      </c>
      <c r="O191" s="971" t="s">
        <v>146</v>
      </c>
      <c r="P191" s="971"/>
      <c r="Q191" s="971" t="s">
        <v>482</v>
      </c>
      <c r="R191" s="1266" t="s">
        <v>467</v>
      </c>
      <c r="S191" s="2106">
        <v>611.80297397769516</v>
      </c>
      <c r="T191" s="1266" t="s">
        <v>136</v>
      </c>
      <c r="U191" s="1742" t="s">
        <v>6588</v>
      </c>
      <c r="V191" s="1742" t="s">
        <v>6588</v>
      </c>
      <c r="W191" s="1742" t="s">
        <v>6588</v>
      </c>
      <c r="X191" s="1742" t="s">
        <v>6588</v>
      </c>
      <c r="Y191" s="2106" t="s">
        <v>6588</v>
      </c>
      <c r="Z191" s="2106">
        <v>0</v>
      </c>
      <c r="AA191" s="2106">
        <v>0</v>
      </c>
      <c r="AB191" s="2106">
        <v>0</v>
      </c>
      <c r="AC191" s="2106">
        <v>0</v>
      </c>
      <c r="AD191" s="1744">
        <v>0</v>
      </c>
      <c r="AE191" s="2126">
        <v>0</v>
      </c>
      <c r="AF191" s="2126">
        <v>0</v>
      </c>
      <c r="AG191" s="1212">
        <v>1</v>
      </c>
      <c r="AH191" s="1212">
        <v>0</v>
      </c>
      <c r="AI191" s="1212">
        <v>0</v>
      </c>
      <c r="AJ191" s="1212">
        <v>1</v>
      </c>
      <c r="AK191" s="2126">
        <v>0</v>
      </c>
      <c r="AL191" s="2126">
        <v>0</v>
      </c>
      <c r="AM191" s="2126">
        <v>0</v>
      </c>
      <c r="AN191" s="2126">
        <v>0</v>
      </c>
      <c r="AO191" s="1743" t="s">
        <v>131</v>
      </c>
      <c r="AP191" s="1743"/>
      <c r="AQ191" s="1764">
        <v>2014</v>
      </c>
      <c r="AR191" s="1743" t="s">
        <v>87</v>
      </c>
      <c r="AS191" s="2135"/>
      <c r="AT191" s="2135"/>
      <c r="AU191" s="1212">
        <v>0.33333333333333331</v>
      </c>
      <c r="AV191" s="1212">
        <v>0.33333333333333331</v>
      </c>
      <c r="AW191" s="1212">
        <v>0.33333333333333331</v>
      </c>
      <c r="AX191" s="1212"/>
      <c r="AY191" s="1212"/>
      <c r="AZ191" s="1212"/>
      <c r="BA191" s="1212"/>
      <c r="BB191" s="1212"/>
      <c r="BC191" s="1212"/>
      <c r="BD191" s="1212"/>
      <c r="BE191" s="1212"/>
      <c r="BF191" s="2126">
        <v>0</v>
      </c>
      <c r="BG191" s="2126">
        <v>0</v>
      </c>
      <c r="BH191" s="2126">
        <v>0</v>
      </c>
      <c r="BI191" s="2126">
        <v>0</v>
      </c>
      <c r="BJ191" s="2126">
        <v>0</v>
      </c>
      <c r="BK191" s="2126">
        <v>0</v>
      </c>
      <c r="BL191" s="2126">
        <v>0</v>
      </c>
      <c r="BM191" s="2126">
        <v>0</v>
      </c>
      <c r="BN191" s="2126">
        <v>0</v>
      </c>
      <c r="BO191" s="2126">
        <v>0</v>
      </c>
      <c r="BP191" s="2126">
        <v>0</v>
      </c>
      <c r="BQ191" s="2126">
        <v>0</v>
      </c>
      <c r="BR191" s="2126">
        <v>0</v>
      </c>
    </row>
    <row r="192" spans="1:76" s="1765" customFormat="1" ht="33">
      <c r="A192" s="1272">
        <v>2000</v>
      </c>
      <c r="B192" s="971" t="s">
        <v>119</v>
      </c>
      <c r="C192" s="1272">
        <v>2500</v>
      </c>
      <c r="D192" s="971" t="s">
        <v>452</v>
      </c>
      <c r="E192" s="971" t="s">
        <v>453</v>
      </c>
      <c r="F192" s="971" t="s">
        <v>454</v>
      </c>
      <c r="G192" s="971" t="s">
        <v>455</v>
      </c>
      <c r="H192" s="971" t="s">
        <v>456</v>
      </c>
      <c r="I192" s="1273" t="s">
        <v>483</v>
      </c>
      <c r="J192" s="971" t="s">
        <v>124</v>
      </c>
      <c r="K192" s="971" t="s">
        <v>140</v>
      </c>
      <c r="L192" s="971" t="s">
        <v>2909</v>
      </c>
      <c r="M192" s="971" t="s">
        <v>140</v>
      </c>
      <c r="N192" s="971" t="s">
        <v>141</v>
      </c>
      <c r="O192" s="971" t="s">
        <v>142</v>
      </c>
      <c r="P192" s="971"/>
      <c r="Q192" s="971" t="s">
        <v>484</v>
      </c>
      <c r="R192" s="1266" t="s">
        <v>470</v>
      </c>
      <c r="S192" s="2106">
        <v>611.80297397769516</v>
      </c>
      <c r="T192" s="1266" t="s">
        <v>136</v>
      </c>
      <c r="U192" s="1742">
        <v>0</v>
      </c>
      <c r="V192" s="1742">
        <v>0</v>
      </c>
      <c r="W192" s="1742">
        <v>0</v>
      </c>
      <c r="X192" s="1742">
        <v>0</v>
      </c>
      <c r="Y192" s="2106">
        <v>0</v>
      </c>
      <c r="Z192" s="2106">
        <v>0</v>
      </c>
      <c r="AA192" s="2106">
        <v>0</v>
      </c>
      <c r="AB192" s="2106">
        <v>0</v>
      </c>
      <c r="AC192" s="2106">
        <v>0</v>
      </c>
      <c r="AD192" s="1744">
        <v>0</v>
      </c>
      <c r="AE192" s="2126">
        <v>0</v>
      </c>
      <c r="AF192" s="2126">
        <v>0</v>
      </c>
      <c r="AG192" s="1212">
        <v>1</v>
      </c>
      <c r="AH192" s="1212">
        <v>0</v>
      </c>
      <c r="AI192" s="1212">
        <v>0</v>
      </c>
      <c r="AJ192" s="1212">
        <v>1</v>
      </c>
      <c r="AK192" s="2126">
        <v>0</v>
      </c>
      <c r="AL192" s="2126">
        <v>0</v>
      </c>
      <c r="AM192" s="2126">
        <v>0</v>
      </c>
      <c r="AN192" s="2126">
        <v>0</v>
      </c>
      <c r="AO192" s="1743" t="s">
        <v>131</v>
      </c>
      <c r="AP192" s="1743"/>
      <c r="AQ192" s="1764">
        <v>2014</v>
      </c>
      <c r="AR192" s="1743" t="s">
        <v>87</v>
      </c>
      <c r="AS192" s="2135"/>
      <c r="AT192" s="2135"/>
      <c r="AU192" s="1212">
        <v>0.33333333333333331</v>
      </c>
      <c r="AV192" s="1212">
        <v>0.33333333333333331</v>
      </c>
      <c r="AW192" s="1212">
        <v>0.33333333333333331</v>
      </c>
      <c r="AX192" s="1212"/>
      <c r="AY192" s="1212"/>
      <c r="AZ192" s="1212"/>
      <c r="BA192" s="1212"/>
      <c r="BB192" s="1212"/>
      <c r="BC192" s="1212"/>
      <c r="BD192" s="1212"/>
      <c r="BE192" s="1212"/>
      <c r="BF192" s="2126">
        <v>0</v>
      </c>
      <c r="BG192" s="2126">
        <v>0</v>
      </c>
      <c r="BH192" s="2126">
        <v>0</v>
      </c>
      <c r="BI192" s="2126">
        <v>0</v>
      </c>
      <c r="BJ192" s="2126">
        <v>0</v>
      </c>
      <c r="BK192" s="2126">
        <v>0</v>
      </c>
      <c r="BL192" s="2126">
        <v>0</v>
      </c>
      <c r="BM192" s="2126">
        <v>0</v>
      </c>
      <c r="BN192" s="2126">
        <v>0</v>
      </c>
      <c r="BO192" s="2126">
        <v>0</v>
      </c>
      <c r="BP192" s="2126">
        <v>0</v>
      </c>
      <c r="BQ192" s="2126">
        <v>0</v>
      </c>
      <c r="BR192" s="2126">
        <v>0</v>
      </c>
    </row>
    <row r="193" spans="1:70" s="1765" customFormat="1" ht="33">
      <c r="A193" s="1272">
        <v>2000</v>
      </c>
      <c r="B193" s="971" t="s">
        <v>119</v>
      </c>
      <c r="C193" s="1272">
        <v>2500</v>
      </c>
      <c r="D193" s="971" t="s">
        <v>452</v>
      </c>
      <c r="E193" s="971" t="s">
        <v>453</v>
      </c>
      <c r="F193" s="971" t="s">
        <v>454</v>
      </c>
      <c r="G193" s="971" t="s">
        <v>455</v>
      </c>
      <c r="H193" s="971" t="s">
        <v>456</v>
      </c>
      <c r="I193" s="1273" t="s">
        <v>485</v>
      </c>
      <c r="J193" s="971" t="s">
        <v>124</v>
      </c>
      <c r="K193" s="971"/>
      <c r="L193" s="971" t="e">
        <v>#N/A</v>
      </c>
      <c r="M193" s="971" t="s">
        <v>145</v>
      </c>
      <c r="N193" s="971" t="s">
        <v>141</v>
      </c>
      <c r="O193" s="971" t="s">
        <v>146</v>
      </c>
      <c r="P193" s="971"/>
      <c r="Q193" s="971" t="s">
        <v>486</v>
      </c>
      <c r="R193" s="1266" t="s">
        <v>470</v>
      </c>
      <c r="S193" s="2106">
        <v>611.80297397769516</v>
      </c>
      <c r="T193" s="1266" t="s">
        <v>136</v>
      </c>
      <c r="U193" s="1742" t="s">
        <v>6588</v>
      </c>
      <c r="V193" s="1742" t="s">
        <v>6588</v>
      </c>
      <c r="W193" s="1742" t="s">
        <v>6588</v>
      </c>
      <c r="X193" s="1742" t="s">
        <v>6588</v>
      </c>
      <c r="Y193" s="2106" t="s">
        <v>6588</v>
      </c>
      <c r="Z193" s="2106">
        <v>0</v>
      </c>
      <c r="AA193" s="2106">
        <v>0</v>
      </c>
      <c r="AB193" s="2106">
        <v>0</v>
      </c>
      <c r="AC193" s="2106">
        <v>0</v>
      </c>
      <c r="AD193" s="1744">
        <v>0</v>
      </c>
      <c r="AE193" s="2126">
        <v>0</v>
      </c>
      <c r="AF193" s="2126">
        <v>0</v>
      </c>
      <c r="AG193" s="1212">
        <v>1</v>
      </c>
      <c r="AH193" s="1212">
        <v>0</v>
      </c>
      <c r="AI193" s="1212">
        <v>0</v>
      </c>
      <c r="AJ193" s="1212">
        <v>1</v>
      </c>
      <c r="AK193" s="2126">
        <v>0</v>
      </c>
      <c r="AL193" s="2126">
        <v>0</v>
      </c>
      <c r="AM193" s="2126">
        <v>0</v>
      </c>
      <c r="AN193" s="2126">
        <v>0</v>
      </c>
      <c r="AO193" s="1743" t="s">
        <v>131</v>
      </c>
      <c r="AP193" s="1743"/>
      <c r="AQ193" s="1764">
        <v>2014</v>
      </c>
      <c r="AR193" s="1743" t="s">
        <v>87</v>
      </c>
      <c r="AS193" s="2135"/>
      <c r="AT193" s="2135"/>
      <c r="AU193" s="1212">
        <v>0.33333333333333331</v>
      </c>
      <c r="AV193" s="1212">
        <v>0.33333333333333331</v>
      </c>
      <c r="AW193" s="1212">
        <v>0.33333333333333331</v>
      </c>
      <c r="AX193" s="1212"/>
      <c r="AY193" s="1212"/>
      <c r="AZ193" s="1212"/>
      <c r="BA193" s="1212"/>
      <c r="BB193" s="1212"/>
      <c r="BC193" s="1212"/>
      <c r="BD193" s="1212"/>
      <c r="BE193" s="1212"/>
      <c r="BF193" s="2126">
        <v>0</v>
      </c>
      <c r="BG193" s="2126">
        <v>0</v>
      </c>
      <c r="BH193" s="2126">
        <v>0</v>
      </c>
      <c r="BI193" s="2126">
        <v>0</v>
      </c>
      <c r="BJ193" s="2126">
        <v>0</v>
      </c>
      <c r="BK193" s="2126">
        <v>0</v>
      </c>
      <c r="BL193" s="2126">
        <v>0</v>
      </c>
      <c r="BM193" s="2126">
        <v>0</v>
      </c>
      <c r="BN193" s="2126">
        <v>0</v>
      </c>
      <c r="BO193" s="2126">
        <v>0</v>
      </c>
      <c r="BP193" s="2126">
        <v>0</v>
      </c>
      <c r="BQ193" s="2126">
        <v>0</v>
      </c>
      <c r="BR193" s="2126">
        <v>0</v>
      </c>
    </row>
    <row r="194" spans="1:70" s="1765" customFormat="1" ht="66">
      <c r="A194" s="1272">
        <v>2000</v>
      </c>
      <c r="B194" s="971" t="s">
        <v>119</v>
      </c>
      <c r="C194" s="1272">
        <v>2500</v>
      </c>
      <c r="D194" s="971" t="s">
        <v>452</v>
      </c>
      <c r="E194" s="971" t="s">
        <v>453</v>
      </c>
      <c r="F194" s="971" t="s">
        <v>454</v>
      </c>
      <c r="G194" s="971" t="s">
        <v>455</v>
      </c>
      <c r="H194" s="971" t="s">
        <v>456</v>
      </c>
      <c r="I194" s="1273"/>
      <c r="J194" s="971" t="s">
        <v>124</v>
      </c>
      <c r="K194" s="971" t="s">
        <v>2857</v>
      </c>
      <c r="L194" s="971" t="s">
        <v>2858</v>
      </c>
      <c r="M194" s="971" t="s">
        <v>487</v>
      </c>
      <c r="N194" s="971" t="s">
        <v>488</v>
      </c>
      <c r="O194" s="971" t="s">
        <v>215</v>
      </c>
      <c r="P194" s="971"/>
      <c r="Q194" s="971" t="s">
        <v>489</v>
      </c>
      <c r="R194" s="1266"/>
      <c r="S194" s="2106">
        <v>1218</v>
      </c>
      <c r="T194" s="1266" t="s">
        <v>136</v>
      </c>
      <c r="U194" s="1742">
        <v>0.56041666666666667</v>
      </c>
      <c r="V194" s="1742">
        <v>2.8020833333333335</v>
      </c>
      <c r="W194" s="1742">
        <v>49.395125</v>
      </c>
      <c r="X194" s="1742">
        <v>77.264645833333333</v>
      </c>
      <c r="Y194" s="2106">
        <v>129.46185416666665</v>
      </c>
      <c r="Z194" s="2106">
        <v>682.58749999999998</v>
      </c>
      <c r="AA194" s="2106">
        <v>3412.9375</v>
      </c>
      <c r="AB194" s="2106">
        <v>60163.26225</v>
      </c>
      <c r="AC194" s="2106">
        <v>94108.338625000004</v>
      </c>
      <c r="AD194" s="1744">
        <v>157684.538375</v>
      </c>
      <c r="AE194" s="2126">
        <v>1</v>
      </c>
      <c r="AF194" s="2126">
        <v>1218</v>
      </c>
      <c r="AG194" s="1212">
        <v>1</v>
      </c>
      <c r="AH194" s="1212">
        <v>0</v>
      </c>
      <c r="AI194" s="1212">
        <v>0</v>
      </c>
      <c r="AJ194" s="1212">
        <v>1</v>
      </c>
      <c r="AK194" s="2126">
        <v>157684.538375</v>
      </c>
      <c r="AL194" s="2126">
        <v>0</v>
      </c>
      <c r="AM194" s="2126">
        <v>0</v>
      </c>
      <c r="AN194" s="2126">
        <v>157684.538375</v>
      </c>
      <c r="AO194" s="1743" t="s">
        <v>85</v>
      </c>
      <c r="AP194" s="1743" t="s">
        <v>90</v>
      </c>
      <c r="AQ194" s="1764" t="s">
        <v>103</v>
      </c>
      <c r="AR194" s="1743" t="s">
        <v>87</v>
      </c>
      <c r="AS194" s="2135"/>
      <c r="AT194" s="2135"/>
      <c r="AU194" s="1212">
        <v>0.33333333333333331</v>
      </c>
      <c r="AV194" s="1212">
        <v>0.33333333333333331</v>
      </c>
      <c r="AW194" s="1212">
        <v>0.33333333333333331</v>
      </c>
      <c r="AX194" s="1212"/>
      <c r="AY194" s="1212"/>
      <c r="AZ194" s="1212"/>
      <c r="BA194" s="1212"/>
      <c r="BB194" s="1212"/>
      <c r="BC194" s="1212"/>
      <c r="BD194" s="1212"/>
      <c r="BE194" s="1212"/>
      <c r="BF194" s="2126">
        <v>0</v>
      </c>
      <c r="BG194" s="2126">
        <v>0</v>
      </c>
      <c r="BH194" s="2126">
        <v>52561.512791666668</v>
      </c>
      <c r="BI194" s="2126">
        <v>52561.512791666668</v>
      </c>
      <c r="BJ194" s="2126">
        <v>52561.512791666668</v>
      </c>
      <c r="BK194" s="2126">
        <v>0</v>
      </c>
      <c r="BL194" s="2126">
        <v>0</v>
      </c>
      <c r="BM194" s="2126">
        <v>0</v>
      </c>
      <c r="BN194" s="2126">
        <v>0</v>
      </c>
      <c r="BO194" s="2126">
        <v>0</v>
      </c>
      <c r="BP194" s="2126">
        <v>0</v>
      </c>
      <c r="BQ194" s="2126">
        <v>0</v>
      </c>
      <c r="BR194" s="2126">
        <v>0</v>
      </c>
    </row>
    <row r="195" spans="1:70" s="1765" customFormat="1" ht="49.5">
      <c r="A195" s="1272">
        <v>2000</v>
      </c>
      <c r="B195" s="971" t="s">
        <v>119</v>
      </c>
      <c r="C195" s="1272">
        <v>2500</v>
      </c>
      <c r="D195" s="971" t="s">
        <v>452</v>
      </c>
      <c r="E195" s="971" t="s">
        <v>453</v>
      </c>
      <c r="F195" s="971" t="s">
        <v>454</v>
      </c>
      <c r="G195" s="971">
        <v>2512</v>
      </c>
      <c r="H195" s="971" t="s">
        <v>456</v>
      </c>
      <c r="I195" s="1273" t="s">
        <v>490</v>
      </c>
      <c r="J195" s="971" t="s">
        <v>124</v>
      </c>
      <c r="K195" s="971" t="s">
        <v>784</v>
      </c>
      <c r="L195" s="971" t="s">
        <v>2852</v>
      </c>
      <c r="M195" s="971" t="s">
        <v>458</v>
      </c>
      <c r="N195" s="971" t="s">
        <v>127</v>
      </c>
      <c r="O195" s="971" t="s">
        <v>459</v>
      </c>
      <c r="P195" s="971"/>
      <c r="Q195" s="971" t="s">
        <v>491</v>
      </c>
      <c r="R195" s="1266" t="s">
        <v>492</v>
      </c>
      <c r="S195" s="2106">
        <v>0</v>
      </c>
      <c r="T195" s="1266" t="s">
        <v>136</v>
      </c>
      <c r="U195" s="1742">
        <v>0.22416666666666665</v>
      </c>
      <c r="V195" s="1742">
        <v>2.8020833333333335</v>
      </c>
      <c r="W195" s="1742">
        <v>19.758049999999997</v>
      </c>
      <c r="X195" s="1742">
        <v>30.905858333333335</v>
      </c>
      <c r="Y195" s="2106">
        <v>53.46599166666666</v>
      </c>
      <c r="Z195" s="2106">
        <v>0</v>
      </c>
      <c r="AA195" s="2106">
        <v>0</v>
      </c>
      <c r="AB195" s="2106">
        <v>0</v>
      </c>
      <c r="AC195" s="2106">
        <v>0</v>
      </c>
      <c r="AD195" s="1744">
        <v>0</v>
      </c>
      <c r="AE195" s="2126">
        <v>1</v>
      </c>
      <c r="AF195" s="2126">
        <v>0</v>
      </c>
      <c r="AG195" s="1212">
        <v>1</v>
      </c>
      <c r="AH195" s="1212">
        <v>0</v>
      </c>
      <c r="AI195" s="1212">
        <v>0</v>
      </c>
      <c r="AJ195" s="1212">
        <v>1</v>
      </c>
      <c r="AK195" s="2126">
        <v>0</v>
      </c>
      <c r="AL195" s="2126">
        <v>0</v>
      </c>
      <c r="AM195" s="2126">
        <v>0</v>
      </c>
      <c r="AN195" s="2126">
        <v>0</v>
      </c>
      <c r="AO195" s="1743" t="s">
        <v>85</v>
      </c>
      <c r="AP195" s="1743" t="s">
        <v>96</v>
      </c>
      <c r="AQ195" s="1764" t="s">
        <v>107</v>
      </c>
      <c r="AR195" s="1743" t="s">
        <v>87</v>
      </c>
      <c r="AS195" s="2135"/>
      <c r="AT195" s="2135"/>
      <c r="AU195" s="1212">
        <v>0.33333333333333331</v>
      </c>
      <c r="AV195" s="1212">
        <v>0.33333333333333331</v>
      </c>
      <c r="AW195" s="1212">
        <v>0.33333333333333331</v>
      </c>
      <c r="AX195" s="1212"/>
      <c r="AY195" s="1212"/>
      <c r="AZ195" s="1212"/>
      <c r="BA195" s="1212"/>
      <c r="BB195" s="1212"/>
      <c r="BC195" s="1212"/>
      <c r="BD195" s="1212"/>
      <c r="BE195" s="1212"/>
      <c r="BF195" s="2126">
        <v>0</v>
      </c>
      <c r="BG195" s="2126">
        <v>0</v>
      </c>
      <c r="BH195" s="2126">
        <v>0</v>
      </c>
      <c r="BI195" s="2126">
        <v>0</v>
      </c>
      <c r="BJ195" s="2126">
        <v>0</v>
      </c>
      <c r="BK195" s="2126">
        <v>0</v>
      </c>
      <c r="BL195" s="2126">
        <v>0</v>
      </c>
      <c r="BM195" s="2126">
        <v>0</v>
      </c>
      <c r="BN195" s="2126">
        <v>0</v>
      </c>
      <c r="BO195" s="2126">
        <v>0</v>
      </c>
      <c r="BP195" s="2126">
        <v>0</v>
      </c>
      <c r="BQ195" s="2126">
        <v>0</v>
      </c>
      <c r="BR195" s="2126">
        <v>0</v>
      </c>
    </row>
    <row r="196" spans="1:70" s="1765" customFormat="1" ht="33">
      <c r="A196" s="1272">
        <v>2000</v>
      </c>
      <c r="B196" s="971" t="s">
        <v>119</v>
      </c>
      <c r="C196" s="1272">
        <v>2500</v>
      </c>
      <c r="D196" s="971" t="s">
        <v>452</v>
      </c>
      <c r="E196" s="971" t="s">
        <v>453</v>
      </c>
      <c r="F196" s="971" t="s">
        <v>454</v>
      </c>
      <c r="G196" s="971">
        <v>2512</v>
      </c>
      <c r="H196" s="971" t="s">
        <v>456</v>
      </c>
      <c r="I196" s="1273" t="s">
        <v>490</v>
      </c>
      <c r="J196" s="971" t="s">
        <v>124</v>
      </c>
      <c r="K196" s="971" t="s">
        <v>140</v>
      </c>
      <c r="L196" s="971" t="s">
        <v>2909</v>
      </c>
      <c r="M196" s="971" t="s">
        <v>140</v>
      </c>
      <c r="N196" s="971" t="s">
        <v>141</v>
      </c>
      <c r="O196" s="971" t="s">
        <v>142</v>
      </c>
      <c r="P196" s="971"/>
      <c r="Q196" s="971" t="s">
        <v>493</v>
      </c>
      <c r="R196" s="1266" t="s">
        <v>492</v>
      </c>
      <c r="S196" s="2106">
        <v>0</v>
      </c>
      <c r="T196" s="1266" t="s">
        <v>136</v>
      </c>
      <c r="U196" s="1742">
        <v>0</v>
      </c>
      <c r="V196" s="1742">
        <v>0</v>
      </c>
      <c r="W196" s="1742">
        <v>0</v>
      </c>
      <c r="X196" s="1742">
        <v>0</v>
      </c>
      <c r="Y196" s="2106">
        <v>0</v>
      </c>
      <c r="Z196" s="2106">
        <v>0</v>
      </c>
      <c r="AA196" s="2106">
        <v>0</v>
      </c>
      <c r="AB196" s="2106">
        <v>0</v>
      </c>
      <c r="AC196" s="2106">
        <v>0</v>
      </c>
      <c r="AD196" s="1744">
        <v>0</v>
      </c>
      <c r="AE196" s="2126">
        <v>0</v>
      </c>
      <c r="AF196" s="2126">
        <v>0</v>
      </c>
      <c r="AG196" s="1212">
        <v>1</v>
      </c>
      <c r="AH196" s="1212">
        <v>0</v>
      </c>
      <c r="AI196" s="1212">
        <v>0</v>
      </c>
      <c r="AJ196" s="1212">
        <v>1</v>
      </c>
      <c r="AK196" s="2126">
        <v>0</v>
      </c>
      <c r="AL196" s="2126">
        <v>0</v>
      </c>
      <c r="AM196" s="2126">
        <v>0</v>
      </c>
      <c r="AN196" s="2126">
        <v>0</v>
      </c>
      <c r="AO196" s="1743" t="s">
        <v>85</v>
      </c>
      <c r="AP196" s="1743" t="s">
        <v>96</v>
      </c>
      <c r="AQ196" s="1764" t="s">
        <v>107</v>
      </c>
      <c r="AR196" s="1743" t="s">
        <v>87</v>
      </c>
      <c r="AS196" s="2135"/>
      <c r="AT196" s="2135"/>
      <c r="AU196" s="1212">
        <v>0.33333333333333331</v>
      </c>
      <c r="AV196" s="1212">
        <v>0.33333333333333331</v>
      </c>
      <c r="AW196" s="1212">
        <v>0.33333333333333331</v>
      </c>
      <c r="AX196" s="1212"/>
      <c r="AY196" s="1212"/>
      <c r="AZ196" s="1212"/>
      <c r="BA196" s="1212"/>
      <c r="BB196" s="1212"/>
      <c r="BC196" s="1212"/>
      <c r="BD196" s="1212"/>
      <c r="BE196" s="1212"/>
      <c r="BF196" s="2126">
        <v>0</v>
      </c>
      <c r="BG196" s="2126">
        <v>0</v>
      </c>
      <c r="BH196" s="2126">
        <v>0</v>
      </c>
      <c r="BI196" s="2126">
        <v>0</v>
      </c>
      <c r="BJ196" s="2126">
        <v>0</v>
      </c>
      <c r="BK196" s="2126">
        <v>0</v>
      </c>
      <c r="BL196" s="2126">
        <v>0</v>
      </c>
      <c r="BM196" s="2126">
        <v>0</v>
      </c>
      <c r="BN196" s="2126">
        <v>0</v>
      </c>
      <c r="BO196" s="2126">
        <v>0</v>
      </c>
      <c r="BP196" s="2126">
        <v>0</v>
      </c>
      <c r="BQ196" s="2126">
        <v>0</v>
      </c>
      <c r="BR196" s="2126">
        <v>0</v>
      </c>
    </row>
    <row r="197" spans="1:70" s="1765" customFormat="1" ht="33">
      <c r="A197" s="1272">
        <v>2000</v>
      </c>
      <c r="B197" s="971" t="s">
        <v>119</v>
      </c>
      <c r="C197" s="1272">
        <v>2500</v>
      </c>
      <c r="D197" s="971" t="s">
        <v>452</v>
      </c>
      <c r="E197" s="971" t="s">
        <v>453</v>
      </c>
      <c r="F197" s="971" t="s">
        <v>454</v>
      </c>
      <c r="G197" s="971">
        <v>2512</v>
      </c>
      <c r="H197" s="971" t="s">
        <v>456</v>
      </c>
      <c r="I197" s="1273" t="s">
        <v>490</v>
      </c>
      <c r="J197" s="971" t="s">
        <v>124</v>
      </c>
      <c r="K197" s="971"/>
      <c r="L197" s="971" t="e">
        <v>#N/A</v>
      </c>
      <c r="M197" s="971" t="s">
        <v>145</v>
      </c>
      <c r="N197" s="971" t="s">
        <v>141</v>
      </c>
      <c r="O197" s="971" t="s">
        <v>146</v>
      </c>
      <c r="P197" s="971"/>
      <c r="Q197" s="971" t="s">
        <v>494</v>
      </c>
      <c r="R197" s="1266" t="s">
        <v>492</v>
      </c>
      <c r="S197" s="2106">
        <v>0</v>
      </c>
      <c r="T197" s="1266" t="s">
        <v>136</v>
      </c>
      <c r="U197" s="1742" t="s">
        <v>6588</v>
      </c>
      <c r="V197" s="1742" t="s">
        <v>6588</v>
      </c>
      <c r="W197" s="1742" t="s">
        <v>6588</v>
      </c>
      <c r="X197" s="1742" t="s">
        <v>6588</v>
      </c>
      <c r="Y197" s="2106" t="s">
        <v>6588</v>
      </c>
      <c r="Z197" s="2106">
        <v>0</v>
      </c>
      <c r="AA197" s="2106">
        <v>0</v>
      </c>
      <c r="AB197" s="2106">
        <v>0</v>
      </c>
      <c r="AC197" s="2106">
        <v>0</v>
      </c>
      <c r="AD197" s="1744">
        <v>0</v>
      </c>
      <c r="AE197" s="2126">
        <v>0</v>
      </c>
      <c r="AF197" s="2126">
        <v>0</v>
      </c>
      <c r="AG197" s="1212">
        <v>1</v>
      </c>
      <c r="AH197" s="1212">
        <v>0</v>
      </c>
      <c r="AI197" s="1212">
        <v>0</v>
      </c>
      <c r="AJ197" s="1212">
        <v>1</v>
      </c>
      <c r="AK197" s="2126">
        <v>0</v>
      </c>
      <c r="AL197" s="2126">
        <v>0</v>
      </c>
      <c r="AM197" s="2126">
        <v>0</v>
      </c>
      <c r="AN197" s="2126">
        <v>0</v>
      </c>
      <c r="AO197" s="1743" t="s">
        <v>85</v>
      </c>
      <c r="AP197" s="1743" t="s">
        <v>96</v>
      </c>
      <c r="AQ197" s="1764" t="s">
        <v>107</v>
      </c>
      <c r="AR197" s="1743" t="s">
        <v>87</v>
      </c>
      <c r="AS197" s="2135"/>
      <c r="AT197" s="2135"/>
      <c r="AU197" s="1212">
        <v>0.33333333333333331</v>
      </c>
      <c r="AV197" s="1212">
        <v>0.33333333333333331</v>
      </c>
      <c r="AW197" s="1212">
        <v>0.33333333333333331</v>
      </c>
      <c r="AX197" s="1212"/>
      <c r="AY197" s="1212"/>
      <c r="AZ197" s="1212"/>
      <c r="BA197" s="1212"/>
      <c r="BB197" s="1212"/>
      <c r="BC197" s="1212"/>
      <c r="BD197" s="1212"/>
      <c r="BE197" s="1212"/>
      <c r="BF197" s="2126">
        <v>0</v>
      </c>
      <c r="BG197" s="2126">
        <v>0</v>
      </c>
      <c r="BH197" s="2126">
        <v>0</v>
      </c>
      <c r="BI197" s="2126">
        <v>0</v>
      </c>
      <c r="BJ197" s="2126">
        <v>0</v>
      </c>
      <c r="BK197" s="2126">
        <v>0</v>
      </c>
      <c r="BL197" s="2126">
        <v>0</v>
      </c>
      <c r="BM197" s="2126">
        <v>0</v>
      </c>
      <c r="BN197" s="2126">
        <v>0</v>
      </c>
      <c r="BO197" s="2126">
        <v>0</v>
      </c>
      <c r="BP197" s="2126">
        <v>0</v>
      </c>
      <c r="BQ197" s="2126">
        <v>0</v>
      </c>
      <c r="BR197" s="2126">
        <v>0</v>
      </c>
    </row>
    <row r="198" spans="1:70" s="1765" customFormat="1" ht="49.5">
      <c r="A198" s="1272">
        <v>2000</v>
      </c>
      <c r="B198" s="971" t="s">
        <v>119</v>
      </c>
      <c r="C198" s="1272">
        <v>2500</v>
      </c>
      <c r="D198" s="971" t="s">
        <v>452</v>
      </c>
      <c r="E198" s="971" t="s">
        <v>453</v>
      </c>
      <c r="F198" s="971" t="s">
        <v>454</v>
      </c>
      <c r="G198" s="971">
        <v>2512</v>
      </c>
      <c r="H198" s="971" t="s">
        <v>456</v>
      </c>
      <c r="I198" s="1273" t="s">
        <v>495</v>
      </c>
      <c r="J198" s="971" t="s">
        <v>124</v>
      </c>
      <c r="K198" s="971" t="s">
        <v>784</v>
      </c>
      <c r="L198" s="971" t="s">
        <v>2852</v>
      </c>
      <c r="M198" s="971" t="s">
        <v>458</v>
      </c>
      <c r="N198" s="971" t="s">
        <v>127</v>
      </c>
      <c r="O198" s="971" t="s">
        <v>459</v>
      </c>
      <c r="P198" s="971"/>
      <c r="Q198" s="971" t="s">
        <v>496</v>
      </c>
      <c r="R198" s="1266" t="s">
        <v>497</v>
      </c>
      <c r="S198" s="2106">
        <v>0</v>
      </c>
      <c r="T198" s="1266" t="s">
        <v>136</v>
      </c>
      <c r="U198" s="1742">
        <v>0.22416666666666665</v>
      </c>
      <c r="V198" s="1742">
        <v>2.8020833333333335</v>
      </c>
      <c r="W198" s="1742">
        <v>19.758049999999997</v>
      </c>
      <c r="X198" s="1742">
        <v>30.905858333333335</v>
      </c>
      <c r="Y198" s="2106">
        <v>53.46599166666666</v>
      </c>
      <c r="Z198" s="2106">
        <v>0</v>
      </c>
      <c r="AA198" s="2106">
        <v>0</v>
      </c>
      <c r="AB198" s="2106">
        <v>0</v>
      </c>
      <c r="AC198" s="2106">
        <v>0</v>
      </c>
      <c r="AD198" s="1744">
        <v>0</v>
      </c>
      <c r="AE198" s="2126">
        <v>1</v>
      </c>
      <c r="AF198" s="2126">
        <v>0</v>
      </c>
      <c r="AG198" s="1212">
        <v>1</v>
      </c>
      <c r="AH198" s="1212">
        <v>0</v>
      </c>
      <c r="AI198" s="1212">
        <v>0</v>
      </c>
      <c r="AJ198" s="1212">
        <v>1</v>
      </c>
      <c r="AK198" s="2126">
        <v>0</v>
      </c>
      <c r="AL198" s="2126">
        <v>0</v>
      </c>
      <c r="AM198" s="2126">
        <v>0</v>
      </c>
      <c r="AN198" s="2126">
        <v>0</v>
      </c>
      <c r="AO198" s="1743" t="s">
        <v>85</v>
      </c>
      <c r="AP198" s="1743" t="s">
        <v>96</v>
      </c>
      <c r="AQ198" s="1764" t="s">
        <v>107</v>
      </c>
      <c r="AR198" s="1743" t="s">
        <v>87</v>
      </c>
      <c r="AS198" s="2135"/>
      <c r="AT198" s="2135"/>
      <c r="AU198" s="1212">
        <v>0.33333333333333331</v>
      </c>
      <c r="AV198" s="1212">
        <v>0.33333333333333331</v>
      </c>
      <c r="AW198" s="1212">
        <v>0.33333333333333331</v>
      </c>
      <c r="AX198" s="1212"/>
      <c r="AY198" s="1212"/>
      <c r="AZ198" s="1212"/>
      <c r="BA198" s="1212"/>
      <c r="BB198" s="1212"/>
      <c r="BC198" s="1212"/>
      <c r="BD198" s="1212"/>
      <c r="BE198" s="1212"/>
      <c r="BF198" s="2126">
        <v>0</v>
      </c>
      <c r="BG198" s="2126">
        <v>0</v>
      </c>
      <c r="BH198" s="2126">
        <v>0</v>
      </c>
      <c r="BI198" s="2126">
        <v>0</v>
      </c>
      <c r="BJ198" s="2126">
        <v>0</v>
      </c>
      <c r="BK198" s="2126">
        <v>0</v>
      </c>
      <c r="BL198" s="2126">
        <v>0</v>
      </c>
      <c r="BM198" s="2126">
        <v>0</v>
      </c>
      <c r="BN198" s="2126">
        <v>0</v>
      </c>
      <c r="BO198" s="2126">
        <v>0</v>
      </c>
      <c r="BP198" s="2126">
        <v>0</v>
      </c>
      <c r="BQ198" s="2126">
        <v>0</v>
      </c>
      <c r="BR198" s="2126">
        <v>0</v>
      </c>
    </row>
    <row r="199" spans="1:70" s="1765" customFormat="1" ht="33">
      <c r="A199" s="1272">
        <v>2000</v>
      </c>
      <c r="B199" s="971" t="s">
        <v>119</v>
      </c>
      <c r="C199" s="1272">
        <v>2500</v>
      </c>
      <c r="D199" s="971" t="s">
        <v>452</v>
      </c>
      <c r="E199" s="971" t="s">
        <v>453</v>
      </c>
      <c r="F199" s="971" t="s">
        <v>454</v>
      </c>
      <c r="G199" s="971">
        <v>2512</v>
      </c>
      <c r="H199" s="971" t="s">
        <v>456</v>
      </c>
      <c r="I199" s="1273" t="s">
        <v>495</v>
      </c>
      <c r="J199" s="971" t="s">
        <v>124</v>
      </c>
      <c r="K199" s="971" t="s">
        <v>140</v>
      </c>
      <c r="L199" s="971" t="s">
        <v>2909</v>
      </c>
      <c r="M199" s="971" t="s">
        <v>140</v>
      </c>
      <c r="N199" s="971" t="s">
        <v>141</v>
      </c>
      <c r="O199" s="971" t="s">
        <v>142</v>
      </c>
      <c r="P199" s="971"/>
      <c r="Q199" s="971" t="s">
        <v>498</v>
      </c>
      <c r="R199" s="1266" t="s">
        <v>497</v>
      </c>
      <c r="S199" s="2106">
        <v>0</v>
      </c>
      <c r="T199" s="1266" t="s">
        <v>136</v>
      </c>
      <c r="U199" s="1742">
        <v>0</v>
      </c>
      <c r="V199" s="1742">
        <v>0</v>
      </c>
      <c r="W199" s="1742">
        <v>0</v>
      </c>
      <c r="X199" s="1742">
        <v>0</v>
      </c>
      <c r="Y199" s="2106">
        <v>0</v>
      </c>
      <c r="Z199" s="2106">
        <v>0</v>
      </c>
      <c r="AA199" s="2106">
        <v>0</v>
      </c>
      <c r="AB199" s="2106">
        <v>0</v>
      </c>
      <c r="AC199" s="2106">
        <v>0</v>
      </c>
      <c r="AD199" s="1744">
        <v>0</v>
      </c>
      <c r="AE199" s="2126">
        <v>0</v>
      </c>
      <c r="AF199" s="2126">
        <v>0</v>
      </c>
      <c r="AG199" s="1212">
        <v>1</v>
      </c>
      <c r="AH199" s="1212">
        <v>0</v>
      </c>
      <c r="AI199" s="1212">
        <v>0</v>
      </c>
      <c r="AJ199" s="1212">
        <v>1</v>
      </c>
      <c r="AK199" s="2126">
        <v>0</v>
      </c>
      <c r="AL199" s="2126">
        <v>0</v>
      </c>
      <c r="AM199" s="2126">
        <v>0</v>
      </c>
      <c r="AN199" s="2126">
        <v>0</v>
      </c>
      <c r="AO199" s="1743" t="s">
        <v>85</v>
      </c>
      <c r="AP199" s="1743" t="s">
        <v>96</v>
      </c>
      <c r="AQ199" s="1764" t="s">
        <v>107</v>
      </c>
      <c r="AR199" s="1743" t="s">
        <v>87</v>
      </c>
      <c r="AS199" s="2135"/>
      <c r="AT199" s="2135"/>
      <c r="AU199" s="1212">
        <v>0.33333333333333331</v>
      </c>
      <c r="AV199" s="1212">
        <v>0.33333333333333331</v>
      </c>
      <c r="AW199" s="1212">
        <v>0.33333333333333331</v>
      </c>
      <c r="AX199" s="1212"/>
      <c r="AY199" s="1212"/>
      <c r="AZ199" s="1212"/>
      <c r="BA199" s="1212"/>
      <c r="BB199" s="1212"/>
      <c r="BC199" s="1212"/>
      <c r="BD199" s="1212"/>
      <c r="BE199" s="1212"/>
      <c r="BF199" s="2126">
        <v>0</v>
      </c>
      <c r="BG199" s="2126">
        <v>0</v>
      </c>
      <c r="BH199" s="2126">
        <v>0</v>
      </c>
      <c r="BI199" s="2126">
        <v>0</v>
      </c>
      <c r="BJ199" s="2126">
        <v>0</v>
      </c>
      <c r="BK199" s="2126">
        <v>0</v>
      </c>
      <c r="BL199" s="2126">
        <v>0</v>
      </c>
      <c r="BM199" s="2126">
        <v>0</v>
      </c>
      <c r="BN199" s="2126">
        <v>0</v>
      </c>
      <c r="BO199" s="2126">
        <v>0</v>
      </c>
      <c r="BP199" s="2126">
        <v>0</v>
      </c>
      <c r="BQ199" s="2126">
        <v>0</v>
      </c>
      <c r="BR199" s="2126">
        <v>0</v>
      </c>
    </row>
    <row r="200" spans="1:70" s="1765" customFormat="1" ht="33">
      <c r="A200" s="1272">
        <v>2000</v>
      </c>
      <c r="B200" s="971" t="s">
        <v>119</v>
      </c>
      <c r="C200" s="1272">
        <v>2500</v>
      </c>
      <c r="D200" s="971" t="s">
        <v>452</v>
      </c>
      <c r="E200" s="971" t="s">
        <v>453</v>
      </c>
      <c r="F200" s="971" t="s">
        <v>454</v>
      </c>
      <c r="G200" s="971">
        <v>2512</v>
      </c>
      <c r="H200" s="971" t="s">
        <v>456</v>
      </c>
      <c r="I200" s="1273" t="s">
        <v>495</v>
      </c>
      <c r="J200" s="971" t="s">
        <v>124</v>
      </c>
      <c r="K200" s="971"/>
      <c r="L200" s="971" t="e">
        <v>#N/A</v>
      </c>
      <c r="M200" s="971" t="s">
        <v>145</v>
      </c>
      <c r="N200" s="971" t="s">
        <v>141</v>
      </c>
      <c r="O200" s="971" t="s">
        <v>146</v>
      </c>
      <c r="P200" s="971"/>
      <c r="Q200" s="971" t="s">
        <v>499</v>
      </c>
      <c r="R200" s="1266" t="s">
        <v>497</v>
      </c>
      <c r="S200" s="2106">
        <v>0</v>
      </c>
      <c r="T200" s="1266" t="s">
        <v>136</v>
      </c>
      <c r="U200" s="1742" t="s">
        <v>6588</v>
      </c>
      <c r="V200" s="1742" t="s">
        <v>6588</v>
      </c>
      <c r="W200" s="1742" t="s">
        <v>6588</v>
      </c>
      <c r="X200" s="1742" t="s">
        <v>6588</v>
      </c>
      <c r="Y200" s="2106" t="s">
        <v>6588</v>
      </c>
      <c r="Z200" s="2106">
        <v>0</v>
      </c>
      <c r="AA200" s="2106">
        <v>0</v>
      </c>
      <c r="AB200" s="2106">
        <v>0</v>
      </c>
      <c r="AC200" s="2106">
        <v>0</v>
      </c>
      <c r="AD200" s="1744">
        <v>0</v>
      </c>
      <c r="AE200" s="2126">
        <v>0</v>
      </c>
      <c r="AF200" s="2126">
        <v>0</v>
      </c>
      <c r="AG200" s="1212">
        <v>1</v>
      </c>
      <c r="AH200" s="1212">
        <v>0</v>
      </c>
      <c r="AI200" s="1212">
        <v>0</v>
      </c>
      <c r="AJ200" s="1212">
        <v>1</v>
      </c>
      <c r="AK200" s="2126">
        <v>0</v>
      </c>
      <c r="AL200" s="2126">
        <v>0</v>
      </c>
      <c r="AM200" s="2126">
        <v>0</v>
      </c>
      <c r="AN200" s="2126">
        <v>0</v>
      </c>
      <c r="AO200" s="1743" t="s">
        <v>85</v>
      </c>
      <c r="AP200" s="1743" t="s">
        <v>96</v>
      </c>
      <c r="AQ200" s="1764" t="s">
        <v>107</v>
      </c>
      <c r="AR200" s="1743" t="s">
        <v>87</v>
      </c>
      <c r="AS200" s="2135"/>
      <c r="AT200" s="2135"/>
      <c r="AU200" s="1212">
        <v>0.33333333333333331</v>
      </c>
      <c r="AV200" s="1212">
        <v>0.33333333333333331</v>
      </c>
      <c r="AW200" s="1212">
        <v>0.33333333333333331</v>
      </c>
      <c r="AX200" s="1212"/>
      <c r="AY200" s="1212"/>
      <c r="AZ200" s="1212"/>
      <c r="BA200" s="1212"/>
      <c r="BB200" s="1212"/>
      <c r="BC200" s="1212"/>
      <c r="BD200" s="1212"/>
      <c r="BE200" s="1212"/>
      <c r="BF200" s="2126">
        <v>0</v>
      </c>
      <c r="BG200" s="2126">
        <v>0</v>
      </c>
      <c r="BH200" s="2126">
        <v>0</v>
      </c>
      <c r="BI200" s="2126">
        <v>0</v>
      </c>
      <c r="BJ200" s="2126">
        <v>0</v>
      </c>
      <c r="BK200" s="2126">
        <v>0</v>
      </c>
      <c r="BL200" s="2126">
        <v>0</v>
      </c>
      <c r="BM200" s="2126">
        <v>0</v>
      </c>
      <c r="BN200" s="2126">
        <v>0</v>
      </c>
      <c r="BO200" s="2126">
        <v>0</v>
      </c>
      <c r="BP200" s="2126">
        <v>0</v>
      </c>
      <c r="BQ200" s="2126">
        <v>0</v>
      </c>
      <c r="BR200" s="2126">
        <v>0</v>
      </c>
    </row>
    <row r="201" spans="1:70" s="1765" customFormat="1" ht="49.5">
      <c r="A201" s="1272">
        <v>2000</v>
      </c>
      <c r="B201" s="971" t="s">
        <v>119</v>
      </c>
      <c r="C201" s="1272">
        <v>2500</v>
      </c>
      <c r="D201" s="971" t="s">
        <v>452</v>
      </c>
      <c r="E201" s="971" t="s">
        <v>453</v>
      </c>
      <c r="F201" s="971" t="s">
        <v>454</v>
      </c>
      <c r="G201" s="971">
        <v>2512</v>
      </c>
      <c r="H201" s="971" t="s">
        <v>456</v>
      </c>
      <c r="I201" s="1273" t="s">
        <v>500</v>
      </c>
      <c r="J201" s="971" t="s">
        <v>124</v>
      </c>
      <c r="K201" s="971" t="s">
        <v>784</v>
      </c>
      <c r="L201" s="971" t="s">
        <v>2852</v>
      </c>
      <c r="M201" s="971" t="s">
        <v>458</v>
      </c>
      <c r="N201" s="971" t="s">
        <v>127</v>
      </c>
      <c r="O201" s="971" t="s">
        <v>459</v>
      </c>
      <c r="P201" s="971"/>
      <c r="Q201" s="971" t="s">
        <v>501</v>
      </c>
      <c r="R201" s="1266" t="s">
        <v>502</v>
      </c>
      <c r="S201" s="2106">
        <v>0</v>
      </c>
      <c r="T201" s="1266" t="s">
        <v>136</v>
      </c>
      <c r="U201" s="1742">
        <v>0.22416666666666665</v>
      </c>
      <c r="V201" s="1742">
        <v>2.8020833333333335</v>
      </c>
      <c r="W201" s="1742">
        <v>19.758049999999997</v>
      </c>
      <c r="X201" s="1742">
        <v>30.905858333333335</v>
      </c>
      <c r="Y201" s="2106">
        <v>53.46599166666666</v>
      </c>
      <c r="Z201" s="2106">
        <v>0</v>
      </c>
      <c r="AA201" s="2106">
        <v>0</v>
      </c>
      <c r="AB201" s="2106">
        <v>0</v>
      </c>
      <c r="AC201" s="2106">
        <v>0</v>
      </c>
      <c r="AD201" s="1744">
        <v>0</v>
      </c>
      <c r="AE201" s="2126">
        <v>1</v>
      </c>
      <c r="AF201" s="2126">
        <v>0</v>
      </c>
      <c r="AG201" s="1212">
        <v>1</v>
      </c>
      <c r="AH201" s="1212">
        <v>0</v>
      </c>
      <c r="AI201" s="1212">
        <v>0</v>
      </c>
      <c r="AJ201" s="1212">
        <v>1</v>
      </c>
      <c r="AK201" s="2126">
        <v>0</v>
      </c>
      <c r="AL201" s="2126">
        <v>0</v>
      </c>
      <c r="AM201" s="2126">
        <v>0</v>
      </c>
      <c r="AN201" s="2126">
        <v>0</v>
      </c>
      <c r="AO201" s="1743" t="s">
        <v>85</v>
      </c>
      <c r="AP201" s="1743" t="s">
        <v>96</v>
      </c>
      <c r="AQ201" s="1764" t="s">
        <v>107</v>
      </c>
      <c r="AR201" s="1743" t="s">
        <v>87</v>
      </c>
      <c r="AS201" s="2135"/>
      <c r="AT201" s="2135"/>
      <c r="AU201" s="1212">
        <v>0.33333333333333331</v>
      </c>
      <c r="AV201" s="1212">
        <v>0.33333333333333331</v>
      </c>
      <c r="AW201" s="1212">
        <v>0.33333333333333331</v>
      </c>
      <c r="AX201" s="1212"/>
      <c r="AY201" s="1212"/>
      <c r="AZ201" s="1212"/>
      <c r="BA201" s="1212"/>
      <c r="BB201" s="1212"/>
      <c r="BC201" s="1212"/>
      <c r="BD201" s="1212"/>
      <c r="BE201" s="1212"/>
      <c r="BF201" s="2126">
        <v>0</v>
      </c>
      <c r="BG201" s="2126">
        <v>0</v>
      </c>
      <c r="BH201" s="2126">
        <v>0</v>
      </c>
      <c r="BI201" s="2126">
        <v>0</v>
      </c>
      <c r="BJ201" s="2126">
        <v>0</v>
      </c>
      <c r="BK201" s="2126">
        <v>0</v>
      </c>
      <c r="BL201" s="2126">
        <v>0</v>
      </c>
      <c r="BM201" s="2126">
        <v>0</v>
      </c>
      <c r="BN201" s="2126">
        <v>0</v>
      </c>
      <c r="BO201" s="2126">
        <v>0</v>
      </c>
      <c r="BP201" s="2126">
        <v>0</v>
      </c>
      <c r="BQ201" s="2126">
        <v>0</v>
      </c>
      <c r="BR201" s="2126">
        <v>0</v>
      </c>
    </row>
    <row r="202" spans="1:70" s="1765" customFormat="1" ht="49.5">
      <c r="A202" s="1272">
        <v>2000</v>
      </c>
      <c r="B202" s="971" t="s">
        <v>119</v>
      </c>
      <c r="C202" s="1272">
        <v>2500</v>
      </c>
      <c r="D202" s="971" t="s">
        <v>452</v>
      </c>
      <c r="E202" s="971" t="s">
        <v>453</v>
      </c>
      <c r="F202" s="971" t="s">
        <v>454</v>
      </c>
      <c r="G202" s="971">
        <v>2512</v>
      </c>
      <c r="H202" s="971" t="s">
        <v>456</v>
      </c>
      <c r="I202" s="1273" t="s">
        <v>500</v>
      </c>
      <c r="J202" s="971" t="s">
        <v>124</v>
      </c>
      <c r="K202" s="971" t="s">
        <v>140</v>
      </c>
      <c r="L202" s="971" t="s">
        <v>2909</v>
      </c>
      <c r="M202" s="971" t="s">
        <v>140</v>
      </c>
      <c r="N202" s="971" t="s">
        <v>141</v>
      </c>
      <c r="O202" s="971" t="s">
        <v>142</v>
      </c>
      <c r="P202" s="971"/>
      <c r="Q202" s="971" t="s">
        <v>501</v>
      </c>
      <c r="R202" s="1266" t="s">
        <v>502</v>
      </c>
      <c r="S202" s="2106">
        <v>0</v>
      </c>
      <c r="T202" s="1266" t="s">
        <v>136</v>
      </c>
      <c r="U202" s="1742">
        <v>0</v>
      </c>
      <c r="V202" s="1742">
        <v>0</v>
      </c>
      <c r="W202" s="1742">
        <v>0</v>
      </c>
      <c r="X202" s="1742">
        <v>0</v>
      </c>
      <c r="Y202" s="2106">
        <v>0</v>
      </c>
      <c r="Z202" s="2106">
        <v>0</v>
      </c>
      <c r="AA202" s="2106">
        <v>0</v>
      </c>
      <c r="AB202" s="2106">
        <v>0</v>
      </c>
      <c r="AC202" s="2106">
        <v>0</v>
      </c>
      <c r="AD202" s="1744">
        <v>0</v>
      </c>
      <c r="AE202" s="2126">
        <v>0</v>
      </c>
      <c r="AF202" s="2126">
        <v>0</v>
      </c>
      <c r="AG202" s="1212">
        <v>1</v>
      </c>
      <c r="AH202" s="1212">
        <v>0</v>
      </c>
      <c r="AI202" s="1212">
        <v>0</v>
      </c>
      <c r="AJ202" s="1212">
        <v>1</v>
      </c>
      <c r="AK202" s="2126">
        <v>0</v>
      </c>
      <c r="AL202" s="2126">
        <v>0</v>
      </c>
      <c r="AM202" s="2126">
        <v>0</v>
      </c>
      <c r="AN202" s="2126">
        <v>0</v>
      </c>
      <c r="AO202" s="1743" t="s">
        <v>85</v>
      </c>
      <c r="AP202" s="1743" t="s">
        <v>96</v>
      </c>
      <c r="AQ202" s="1764" t="s">
        <v>107</v>
      </c>
      <c r="AR202" s="1743" t="s">
        <v>87</v>
      </c>
      <c r="AS202" s="2135"/>
      <c r="AT202" s="2135"/>
      <c r="AU202" s="1212">
        <v>0.33333333333333331</v>
      </c>
      <c r="AV202" s="1212">
        <v>0.33333333333333331</v>
      </c>
      <c r="AW202" s="1212">
        <v>0.33333333333333331</v>
      </c>
      <c r="AX202" s="1212"/>
      <c r="AY202" s="1212"/>
      <c r="AZ202" s="1212"/>
      <c r="BA202" s="1212"/>
      <c r="BB202" s="1212"/>
      <c r="BC202" s="1212"/>
      <c r="BD202" s="1212"/>
      <c r="BE202" s="1212"/>
      <c r="BF202" s="2126">
        <v>0</v>
      </c>
      <c r="BG202" s="2126">
        <v>0</v>
      </c>
      <c r="BH202" s="2126">
        <v>0</v>
      </c>
      <c r="BI202" s="2126">
        <v>0</v>
      </c>
      <c r="BJ202" s="2126">
        <v>0</v>
      </c>
      <c r="BK202" s="2126">
        <v>0</v>
      </c>
      <c r="BL202" s="2126">
        <v>0</v>
      </c>
      <c r="BM202" s="2126">
        <v>0</v>
      </c>
      <c r="BN202" s="2126">
        <v>0</v>
      </c>
      <c r="BO202" s="2126">
        <v>0</v>
      </c>
      <c r="BP202" s="2126">
        <v>0</v>
      </c>
      <c r="BQ202" s="2126">
        <v>0</v>
      </c>
      <c r="BR202" s="2126">
        <v>0</v>
      </c>
    </row>
    <row r="203" spans="1:70" s="1765" customFormat="1" ht="49.5">
      <c r="A203" s="1272">
        <v>2000</v>
      </c>
      <c r="B203" s="971" t="s">
        <v>119</v>
      </c>
      <c r="C203" s="1272">
        <v>2500</v>
      </c>
      <c r="D203" s="971" t="s">
        <v>452</v>
      </c>
      <c r="E203" s="971" t="s">
        <v>453</v>
      </c>
      <c r="F203" s="971" t="s">
        <v>454</v>
      </c>
      <c r="G203" s="971">
        <v>2512</v>
      </c>
      <c r="H203" s="971" t="s">
        <v>456</v>
      </c>
      <c r="I203" s="1273" t="s">
        <v>500</v>
      </c>
      <c r="J203" s="971" t="s">
        <v>124</v>
      </c>
      <c r="K203" s="971"/>
      <c r="L203" s="971" t="e">
        <v>#N/A</v>
      </c>
      <c r="M203" s="971" t="s">
        <v>145</v>
      </c>
      <c r="N203" s="971" t="s">
        <v>141</v>
      </c>
      <c r="O203" s="971" t="s">
        <v>146</v>
      </c>
      <c r="P203" s="971"/>
      <c r="Q203" s="971" t="s">
        <v>501</v>
      </c>
      <c r="R203" s="1266" t="s">
        <v>502</v>
      </c>
      <c r="S203" s="2106">
        <v>0</v>
      </c>
      <c r="T203" s="1266" t="s">
        <v>136</v>
      </c>
      <c r="U203" s="1742" t="s">
        <v>6588</v>
      </c>
      <c r="V203" s="1742" t="s">
        <v>6588</v>
      </c>
      <c r="W203" s="1742" t="s">
        <v>6588</v>
      </c>
      <c r="X203" s="1742" t="s">
        <v>6588</v>
      </c>
      <c r="Y203" s="2106" t="s">
        <v>6588</v>
      </c>
      <c r="Z203" s="2106">
        <v>0</v>
      </c>
      <c r="AA203" s="2106">
        <v>0</v>
      </c>
      <c r="AB203" s="2106">
        <v>0</v>
      </c>
      <c r="AC203" s="2106">
        <v>0</v>
      </c>
      <c r="AD203" s="1744">
        <v>0</v>
      </c>
      <c r="AE203" s="2126">
        <v>0</v>
      </c>
      <c r="AF203" s="2126">
        <v>0</v>
      </c>
      <c r="AG203" s="1212">
        <v>1</v>
      </c>
      <c r="AH203" s="1212">
        <v>0</v>
      </c>
      <c r="AI203" s="1212">
        <v>0</v>
      </c>
      <c r="AJ203" s="1212">
        <v>1</v>
      </c>
      <c r="AK203" s="2126">
        <v>0</v>
      </c>
      <c r="AL203" s="2126">
        <v>0</v>
      </c>
      <c r="AM203" s="2126">
        <v>0</v>
      </c>
      <c r="AN203" s="2126">
        <v>0</v>
      </c>
      <c r="AO203" s="1743" t="s">
        <v>85</v>
      </c>
      <c r="AP203" s="1743" t="s">
        <v>96</v>
      </c>
      <c r="AQ203" s="1764" t="s">
        <v>107</v>
      </c>
      <c r="AR203" s="1743" t="s">
        <v>87</v>
      </c>
      <c r="AS203" s="2135"/>
      <c r="AT203" s="2135"/>
      <c r="AU203" s="1212">
        <v>0.33333333333333331</v>
      </c>
      <c r="AV203" s="1212">
        <v>0.33333333333333331</v>
      </c>
      <c r="AW203" s="1212">
        <v>0.33333333333333331</v>
      </c>
      <c r="AX203" s="1212"/>
      <c r="AY203" s="1212"/>
      <c r="AZ203" s="1212"/>
      <c r="BA203" s="1212"/>
      <c r="BB203" s="1212"/>
      <c r="BC203" s="1212"/>
      <c r="BD203" s="1212"/>
      <c r="BE203" s="1212"/>
      <c r="BF203" s="2126">
        <v>0</v>
      </c>
      <c r="BG203" s="2126">
        <v>0</v>
      </c>
      <c r="BH203" s="2126">
        <v>0</v>
      </c>
      <c r="BI203" s="2126">
        <v>0</v>
      </c>
      <c r="BJ203" s="2126">
        <v>0</v>
      </c>
      <c r="BK203" s="2126">
        <v>0</v>
      </c>
      <c r="BL203" s="2126">
        <v>0</v>
      </c>
      <c r="BM203" s="2126">
        <v>0</v>
      </c>
      <c r="BN203" s="2126">
        <v>0</v>
      </c>
      <c r="BO203" s="2126">
        <v>0</v>
      </c>
      <c r="BP203" s="2126">
        <v>0</v>
      </c>
      <c r="BQ203" s="2126">
        <v>0</v>
      </c>
      <c r="BR203" s="2126">
        <v>0</v>
      </c>
    </row>
    <row r="204" spans="1:70" s="1765" customFormat="1" ht="49.5">
      <c r="A204" s="1272">
        <v>2000</v>
      </c>
      <c r="B204" s="971" t="s">
        <v>119</v>
      </c>
      <c r="C204" s="1272">
        <v>2500</v>
      </c>
      <c r="D204" s="971" t="s">
        <v>452</v>
      </c>
      <c r="E204" s="971" t="s">
        <v>453</v>
      </c>
      <c r="F204" s="971" t="s">
        <v>454</v>
      </c>
      <c r="G204" s="971">
        <v>2512</v>
      </c>
      <c r="H204" s="971" t="s">
        <v>456</v>
      </c>
      <c r="I204" s="1273" t="s">
        <v>503</v>
      </c>
      <c r="J204" s="971" t="s">
        <v>124</v>
      </c>
      <c r="K204" s="971" t="s">
        <v>784</v>
      </c>
      <c r="L204" s="971" t="s">
        <v>2852</v>
      </c>
      <c r="M204" s="971" t="s">
        <v>458</v>
      </c>
      <c r="N204" s="971" t="s">
        <v>127</v>
      </c>
      <c r="O204" s="971" t="s">
        <v>459</v>
      </c>
      <c r="P204" s="971"/>
      <c r="Q204" s="971" t="s">
        <v>504</v>
      </c>
      <c r="R204" s="1266" t="s">
        <v>505</v>
      </c>
      <c r="S204" s="2106">
        <v>0</v>
      </c>
      <c r="T204" s="1266" t="s">
        <v>136</v>
      </c>
      <c r="U204" s="1742">
        <v>0.22416666666666665</v>
      </c>
      <c r="V204" s="1742">
        <v>2.8020833333333335</v>
      </c>
      <c r="W204" s="1742">
        <v>19.758049999999997</v>
      </c>
      <c r="X204" s="1742">
        <v>30.905858333333335</v>
      </c>
      <c r="Y204" s="2106">
        <v>53.46599166666666</v>
      </c>
      <c r="Z204" s="2106">
        <v>0</v>
      </c>
      <c r="AA204" s="2106">
        <v>0</v>
      </c>
      <c r="AB204" s="2106">
        <v>0</v>
      </c>
      <c r="AC204" s="2106">
        <v>0</v>
      </c>
      <c r="AD204" s="1744">
        <v>0</v>
      </c>
      <c r="AE204" s="2126">
        <v>1</v>
      </c>
      <c r="AF204" s="2126">
        <v>0</v>
      </c>
      <c r="AG204" s="1212">
        <v>1</v>
      </c>
      <c r="AH204" s="1212">
        <v>0</v>
      </c>
      <c r="AI204" s="1212">
        <v>0</v>
      </c>
      <c r="AJ204" s="1212">
        <v>1</v>
      </c>
      <c r="AK204" s="2126">
        <v>0</v>
      </c>
      <c r="AL204" s="2126">
        <v>0</v>
      </c>
      <c r="AM204" s="2126">
        <v>0</v>
      </c>
      <c r="AN204" s="2126">
        <v>0</v>
      </c>
      <c r="AO204" s="1743" t="s">
        <v>85</v>
      </c>
      <c r="AP204" s="1743" t="s">
        <v>96</v>
      </c>
      <c r="AQ204" s="1764" t="s">
        <v>107</v>
      </c>
      <c r="AR204" s="1743" t="s">
        <v>87</v>
      </c>
      <c r="AS204" s="2135"/>
      <c r="AT204" s="2135"/>
      <c r="AU204" s="1212">
        <v>0.33333333333333331</v>
      </c>
      <c r="AV204" s="1212">
        <v>0.33333333333333331</v>
      </c>
      <c r="AW204" s="1212">
        <v>0.33333333333333331</v>
      </c>
      <c r="AX204" s="1212"/>
      <c r="AY204" s="1212"/>
      <c r="AZ204" s="1212"/>
      <c r="BA204" s="1212"/>
      <c r="BB204" s="1212"/>
      <c r="BC204" s="1212"/>
      <c r="BD204" s="1212"/>
      <c r="BE204" s="1212"/>
      <c r="BF204" s="2126">
        <v>0</v>
      </c>
      <c r="BG204" s="2126">
        <v>0</v>
      </c>
      <c r="BH204" s="2126">
        <v>0</v>
      </c>
      <c r="BI204" s="2126">
        <v>0</v>
      </c>
      <c r="BJ204" s="2126">
        <v>0</v>
      </c>
      <c r="BK204" s="2126">
        <v>0</v>
      </c>
      <c r="BL204" s="2126">
        <v>0</v>
      </c>
      <c r="BM204" s="2126">
        <v>0</v>
      </c>
      <c r="BN204" s="2126">
        <v>0</v>
      </c>
      <c r="BO204" s="2126">
        <v>0</v>
      </c>
      <c r="BP204" s="2126">
        <v>0</v>
      </c>
      <c r="BQ204" s="2126">
        <v>0</v>
      </c>
      <c r="BR204" s="2126">
        <v>0</v>
      </c>
    </row>
    <row r="205" spans="1:70" s="1765" customFormat="1" ht="49.5">
      <c r="A205" s="1272">
        <v>2000</v>
      </c>
      <c r="B205" s="971" t="s">
        <v>119</v>
      </c>
      <c r="C205" s="1272">
        <v>2500</v>
      </c>
      <c r="D205" s="971" t="s">
        <v>452</v>
      </c>
      <c r="E205" s="971" t="s">
        <v>453</v>
      </c>
      <c r="F205" s="971" t="s">
        <v>454</v>
      </c>
      <c r="G205" s="971">
        <v>2512</v>
      </c>
      <c r="H205" s="971" t="s">
        <v>456</v>
      </c>
      <c r="I205" s="1273" t="s">
        <v>503</v>
      </c>
      <c r="J205" s="971" t="s">
        <v>124</v>
      </c>
      <c r="K205" s="971" t="s">
        <v>140</v>
      </c>
      <c r="L205" s="971" t="s">
        <v>2909</v>
      </c>
      <c r="M205" s="971" t="s">
        <v>140</v>
      </c>
      <c r="N205" s="971" t="s">
        <v>141</v>
      </c>
      <c r="O205" s="971" t="s">
        <v>142</v>
      </c>
      <c r="P205" s="971"/>
      <c r="Q205" s="971" t="s">
        <v>504</v>
      </c>
      <c r="R205" s="1266" t="s">
        <v>505</v>
      </c>
      <c r="S205" s="2106">
        <v>0</v>
      </c>
      <c r="T205" s="1266" t="s">
        <v>136</v>
      </c>
      <c r="U205" s="1742">
        <v>0</v>
      </c>
      <c r="V205" s="1742">
        <v>0</v>
      </c>
      <c r="W205" s="1742">
        <v>0</v>
      </c>
      <c r="X205" s="1742">
        <v>0</v>
      </c>
      <c r="Y205" s="2106">
        <v>0</v>
      </c>
      <c r="Z205" s="2106">
        <v>0</v>
      </c>
      <c r="AA205" s="2106">
        <v>0</v>
      </c>
      <c r="AB205" s="2106">
        <v>0</v>
      </c>
      <c r="AC205" s="2106">
        <v>0</v>
      </c>
      <c r="AD205" s="1744">
        <v>0</v>
      </c>
      <c r="AE205" s="2126">
        <v>0</v>
      </c>
      <c r="AF205" s="2126">
        <v>0</v>
      </c>
      <c r="AG205" s="1212">
        <v>1</v>
      </c>
      <c r="AH205" s="1212">
        <v>0</v>
      </c>
      <c r="AI205" s="1212">
        <v>0</v>
      </c>
      <c r="AJ205" s="1212">
        <v>1</v>
      </c>
      <c r="AK205" s="2126">
        <v>0</v>
      </c>
      <c r="AL205" s="2126">
        <v>0</v>
      </c>
      <c r="AM205" s="2126">
        <v>0</v>
      </c>
      <c r="AN205" s="2126">
        <v>0</v>
      </c>
      <c r="AO205" s="1743" t="s">
        <v>85</v>
      </c>
      <c r="AP205" s="1743" t="s">
        <v>96</v>
      </c>
      <c r="AQ205" s="1764" t="s">
        <v>107</v>
      </c>
      <c r="AR205" s="1743" t="s">
        <v>87</v>
      </c>
      <c r="AS205" s="2135"/>
      <c r="AT205" s="2135"/>
      <c r="AU205" s="1212">
        <v>0.33333333333333331</v>
      </c>
      <c r="AV205" s="1212">
        <v>0.33333333333333331</v>
      </c>
      <c r="AW205" s="1212">
        <v>0.33333333333333331</v>
      </c>
      <c r="AX205" s="1212"/>
      <c r="AY205" s="1212"/>
      <c r="AZ205" s="1212"/>
      <c r="BA205" s="1212"/>
      <c r="BB205" s="1212"/>
      <c r="BC205" s="1212"/>
      <c r="BD205" s="1212"/>
      <c r="BE205" s="1212"/>
      <c r="BF205" s="2126">
        <v>0</v>
      </c>
      <c r="BG205" s="2126">
        <v>0</v>
      </c>
      <c r="BH205" s="2126">
        <v>0</v>
      </c>
      <c r="BI205" s="2126">
        <v>0</v>
      </c>
      <c r="BJ205" s="2126">
        <v>0</v>
      </c>
      <c r="BK205" s="2126">
        <v>0</v>
      </c>
      <c r="BL205" s="2126">
        <v>0</v>
      </c>
      <c r="BM205" s="2126">
        <v>0</v>
      </c>
      <c r="BN205" s="2126">
        <v>0</v>
      </c>
      <c r="BO205" s="2126">
        <v>0</v>
      </c>
      <c r="BP205" s="2126">
        <v>0</v>
      </c>
      <c r="BQ205" s="2126">
        <v>0</v>
      </c>
      <c r="BR205" s="2126">
        <v>0</v>
      </c>
    </row>
    <row r="206" spans="1:70" s="1765" customFormat="1" ht="49.5">
      <c r="A206" s="1272">
        <v>2000</v>
      </c>
      <c r="B206" s="971" t="s">
        <v>119</v>
      </c>
      <c r="C206" s="1272">
        <v>2500</v>
      </c>
      <c r="D206" s="971" t="s">
        <v>452</v>
      </c>
      <c r="E206" s="971" t="s">
        <v>453</v>
      </c>
      <c r="F206" s="971" t="s">
        <v>454</v>
      </c>
      <c r="G206" s="971">
        <v>2512</v>
      </c>
      <c r="H206" s="971" t="s">
        <v>456</v>
      </c>
      <c r="I206" s="1273" t="s">
        <v>503</v>
      </c>
      <c r="J206" s="971" t="s">
        <v>124</v>
      </c>
      <c r="K206" s="971"/>
      <c r="L206" s="971" t="e">
        <v>#N/A</v>
      </c>
      <c r="M206" s="971" t="s">
        <v>145</v>
      </c>
      <c r="N206" s="971" t="s">
        <v>141</v>
      </c>
      <c r="O206" s="971" t="s">
        <v>146</v>
      </c>
      <c r="P206" s="971"/>
      <c r="Q206" s="971" t="s">
        <v>504</v>
      </c>
      <c r="R206" s="1266" t="s">
        <v>505</v>
      </c>
      <c r="S206" s="2106">
        <v>0</v>
      </c>
      <c r="T206" s="1266" t="s">
        <v>136</v>
      </c>
      <c r="U206" s="1742" t="s">
        <v>6588</v>
      </c>
      <c r="V206" s="1742" t="s">
        <v>6588</v>
      </c>
      <c r="W206" s="1742" t="s">
        <v>6588</v>
      </c>
      <c r="X206" s="1742" t="s">
        <v>6588</v>
      </c>
      <c r="Y206" s="2106" t="s">
        <v>6588</v>
      </c>
      <c r="Z206" s="2106">
        <v>0</v>
      </c>
      <c r="AA206" s="2106">
        <v>0</v>
      </c>
      <c r="AB206" s="2106">
        <v>0</v>
      </c>
      <c r="AC206" s="2106">
        <v>0</v>
      </c>
      <c r="AD206" s="1744">
        <v>0</v>
      </c>
      <c r="AE206" s="2126">
        <v>0</v>
      </c>
      <c r="AF206" s="2126">
        <v>0</v>
      </c>
      <c r="AG206" s="1212">
        <v>1</v>
      </c>
      <c r="AH206" s="1212">
        <v>0</v>
      </c>
      <c r="AI206" s="1212">
        <v>0</v>
      </c>
      <c r="AJ206" s="1212">
        <v>1</v>
      </c>
      <c r="AK206" s="2126">
        <v>0</v>
      </c>
      <c r="AL206" s="2126">
        <v>0</v>
      </c>
      <c r="AM206" s="2126">
        <v>0</v>
      </c>
      <c r="AN206" s="2126">
        <v>0</v>
      </c>
      <c r="AO206" s="1743" t="s">
        <v>85</v>
      </c>
      <c r="AP206" s="1743" t="s">
        <v>96</v>
      </c>
      <c r="AQ206" s="1764" t="s">
        <v>107</v>
      </c>
      <c r="AR206" s="1743" t="s">
        <v>87</v>
      </c>
      <c r="AS206" s="2135"/>
      <c r="AT206" s="2135"/>
      <c r="AU206" s="1212">
        <v>0.33333333333333331</v>
      </c>
      <c r="AV206" s="1212">
        <v>0.33333333333333331</v>
      </c>
      <c r="AW206" s="1212">
        <v>0.33333333333333331</v>
      </c>
      <c r="AX206" s="1212"/>
      <c r="AY206" s="1212"/>
      <c r="AZ206" s="1212"/>
      <c r="BA206" s="1212"/>
      <c r="BB206" s="1212"/>
      <c r="BC206" s="1212"/>
      <c r="BD206" s="1212"/>
      <c r="BE206" s="1212"/>
      <c r="BF206" s="2126">
        <v>0</v>
      </c>
      <c r="BG206" s="2126">
        <v>0</v>
      </c>
      <c r="BH206" s="2126">
        <v>0</v>
      </c>
      <c r="BI206" s="2126">
        <v>0</v>
      </c>
      <c r="BJ206" s="2126">
        <v>0</v>
      </c>
      <c r="BK206" s="2126">
        <v>0</v>
      </c>
      <c r="BL206" s="2126">
        <v>0</v>
      </c>
      <c r="BM206" s="2126">
        <v>0</v>
      </c>
      <c r="BN206" s="2126">
        <v>0</v>
      </c>
      <c r="BO206" s="2126">
        <v>0</v>
      </c>
      <c r="BP206" s="2126">
        <v>0</v>
      </c>
      <c r="BQ206" s="2126">
        <v>0</v>
      </c>
      <c r="BR206" s="2126">
        <v>0</v>
      </c>
    </row>
    <row r="207" spans="1:70" s="1765" customFormat="1" ht="49.5">
      <c r="A207" s="1272">
        <v>2000</v>
      </c>
      <c r="B207" s="971" t="s">
        <v>119</v>
      </c>
      <c r="C207" s="1272">
        <v>2500</v>
      </c>
      <c r="D207" s="971" t="s">
        <v>452</v>
      </c>
      <c r="E207" s="971" t="s">
        <v>453</v>
      </c>
      <c r="F207" s="971" t="s">
        <v>454</v>
      </c>
      <c r="G207" s="971" t="s">
        <v>455</v>
      </c>
      <c r="H207" s="971" t="s">
        <v>456</v>
      </c>
      <c r="I207" s="1273"/>
      <c r="J207" s="971" t="s">
        <v>124</v>
      </c>
      <c r="K207" s="971" t="s">
        <v>506</v>
      </c>
      <c r="L207" s="971" t="s">
        <v>6608</v>
      </c>
      <c r="M207" s="971" t="s">
        <v>506</v>
      </c>
      <c r="N207" s="971" t="s">
        <v>141</v>
      </c>
      <c r="O207" s="971" t="s">
        <v>507</v>
      </c>
      <c r="P207" s="971"/>
      <c r="Q207" s="971" t="s">
        <v>508</v>
      </c>
      <c r="R207" s="1266"/>
      <c r="S207" s="2106">
        <v>8000</v>
      </c>
      <c r="T207" s="1266" t="s">
        <v>136</v>
      </c>
      <c r="U207" s="1742">
        <v>0.125</v>
      </c>
      <c r="V207" s="1742">
        <v>1.875</v>
      </c>
      <c r="W207" s="1742">
        <v>11.0175</v>
      </c>
      <c r="X207" s="1742">
        <v>18.75</v>
      </c>
      <c r="Y207" s="2106">
        <v>31.642499999999998</v>
      </c>
      <c r="Z207" s="2106">
        <v>1000</v>
      </c>
      <c r="AA207" s="2106">
        <v>15000</v>
      </c>
      <c r="AB207" s="2106">
        <v>88140</v>
      </c>
      <c r="AC207" s="2106">
        <v>150000</v>
      </c>
      <c r="AD207" s="1744">
        <v>253140</v>
      </c>
      <c r="AE207" s="2126">
        <v>0</v>
      </c>
      <c r="AF207" s="2126">
        <v>0</v>
      </c>
      <c r="AG207" s="1212">
        <v>1</v>
      </c>
      <c r="AH207" s="1212">
        <v>0</v>
      </c>
      <c r="AI207" s="1212">
        <v>0</v>
      </c>
      <c r="AJ207" s="1212">
        <v>1</v>
      </c>
      <c r="AK207" s="2126">
        <v>253140</v>
      </c>
      <c r="AL207" s="2126">
        <v>0</v>
      </c>
      <c r="AM207" s="2126">
        <v>0</v>
      </c>
      <c r="AN207" s="2126">
        <v>253140</v>
      </c>
      <c r="AO207" s="1743" t="s">
        <v>131</v>
      </c>
      <c r="AP207" s="1743" t="s">
        <v>90</v>
      </c>
      <c r="AQ207" s="1764" t="s">
        <v>112</v>
      </c>
      <c r="AR207" s="1743" t="s">
        <v>87</v>
      </c>
      <c r="AS207" s="2135"/>
      <c r="AT207" s="2135"/>
      <c r="AU207" s="1212">
        <v>0.33333333333333331</v>
      </c>
      <c r="AV207" s="1212">
        <v>0.33333333333333331</v>
      </c>
      <c r="AW207" s="1212">
        <v>0.33333333333333331</v>
      </c>
      <c r="AX207" s="1212"/>
      <c r="AY207" s="1212"/>
      <c r="AZ207" s="1212"/>
      <c r="BA207" s="1212"/>
      <c r="BB207" s="1212"/>
      <c r="BC207" s="1212"/>
      <c r="BD207" s="1212"/>
      <c r="BE207" s="1212"/>
      <c r="BF207" s="2126">
        <v>0</v>
      </c>
      <c r="BG207" s="2126">
        <v>0</v>
      </c>
      <c r="BH207" s="2126">
        <v>84380</v>
      </c>
      <c r="BI207" s="2126">
        <v>84380</v>
      </c>
      <c r="BJ207" s="2126">
        <v>84380</v>
      </c>
      <c r="BK207" s="2126">
        <v>0</v>
      </c>
      <c r="BL207" s="2126">
        <v>0</v>
      </c>
      <c r="BM207" s="2126">
        <v>0</v>
      </c>
      <c r="BN207" s="2126">
        <v>0</v>
      </c>
      <c r="BO207" s="2126">
        <v>0</v>
      </c>
      <c r="BP207" s="2126">
        <v>0</v>
      </c>
      <c r="BQ207" s="2126">
        <v>0</v>
      </c>
      <c r="BR207" s="2126">
        <v>0</v>
      </c>
    </row>
    <row r="208" spans="1:70" s="1765" customFormat="1" ht="49.5">
      <c r="A208" s="1272">
        <v>2000</v>
      </c>
      <c r="B208" s="971" t="s">
        <v>119</v>
      </c>
      <c r="C208" s="1272">
        <v>2500</v>
      </c>
      <c r="D208" s="971" t="s">
        <v>452</v>
      </c>
      <c r="E208" s="971" t="s">
        <v>453</v>
      </c>
      <c r="F208" s="971" t="s">
        <v>454</v>
      </c>
      <c r="G208" s="971" t="s">
        <v>455</v>
      </c>
      <c r="H208" s="971" t="s">
        <v>456</v>
      </c>
      <c r="I208" s="1273"/>
      <c r="J208" s="971" t="s">
        <v>124</v>
      </c>
      <c r="K208" s="971" t="s">
        <v>784</v>
      </c>
      <c r="L208" s="971" t="s">
        <v>2852</v>
      </c>
      <c r="M208" s="971" t="s">
        <v>458</v>
      </c>
      <c r="N208" s="971" t="s">
        <v>127</v>
      </c>
      <c r="O208" s="971" t="s">
        <v>459</v>
      </c>
      <c r="P208" s="971"/>
      <c r="Q208" s="971" t="s">
        <v>509</v>
      </c>
      <c r="R208" s="1266"/>
      <c r="S208" s="2106">
        <v>216</v>
      </c>
      <c r="T208" s="1266" t="s">
        <v>136</v>
      </c>
      <c r="U208" s="1742">
        <v>0.22416666666666665</v>
      </c>
      <c r="V208" s="1742">
        <v>2.8020833333333335</v>
      </c>
      <c r="W208" s="1742">
        <v>19.758049999999997</v>
      </c>
      <c r="X208" s="1742">
        <v>30.905858333333335</v>
      </c>
      <c r="Y208" s="2106">
        <v>53.46599166666666</v>
      </c>
      <c r="Z208" s="2106">
        <v>48.419999999999995</v>
      </c>
      <c r="AA208" s="2106">
        <v>605.25</v>
      </c>
      <c r="AB208" s="2106">
        <v>4267.7387999999992</v>
      </c>
      <c r="AC208" s="2106">
        <v>6675.6653999999999</v>
      </c>
      <c r="AD208" s="1744">
        <v>11548.654199999999</v>
      </c>
      <c r="AE208" s="2126">
        <v>1</v>
      </c>
      <c r="AF208" s="2126">
        <v>216</v>
      </c>
      <c r="AG208" s="1212">
        <v>1</v>
      </c>
      <c r="AH208" s="1212">
        <v>0</v>
      </c>
      <c r="AI208" s="1212">
        <v>0</v>
      </c>
      <c r="AJ208" s="1212">
        <v>1</v>
      </c>
      <c r="AK208" s="2126">
        <v>11548.654199999999</v>
      </c>
      <c r="AL208" s="2126">
        <v>0</v>
      </c>
      <c r="AM208" s="2126">
        <v>0</v>
      </c>
      <c r="AN208" s="2126">
        <v>11548.654199999999</v>
      </c>
      <c r="AO208" s="1743" t="s">
        <v>131</v>
      </c>
      <c r="AP208" s="1743" t="s">
        <v>90</v>
      </c>
      <c r="AQ208" s="1764" t="s">
        <v>112</v>
      </c>
      <c r="AR208" s="1743" t="s">
        <v>87</v>
      </c>
      <c r="AS208" s="2135"/>
      <c r="AT208" s="2135"/>
      <c r="AU208" s="1212">
        <v>0.33333333333333331</v>
      </c>
      <c r="AV208" s="1212">
        <v>0.33333333333333331</v>
      </c>
      <c r="AW208" s="1212">
        <v>0.33333333333333331</v>
      </c>
      <c r="AX208" s="1212"/>
      <c r="AY208" s="1212"/>
      <c r="AZ208" s="1212"/>
      <c r="BA208" s="1212"/>
      <c r="BB208" s="1212"/>
      <c r="BC208" s="1212"/>
      <c r="BD208" s="1212"/>
      <c r="BE208" s="1212"/>
      <c r="BF208" s="2126">
        <v>0</v>
      </c>
      <c r="BG208" s="2126">
        <v>0</v>
      </c>
      <c r="BH208" s="2126">
        <v>3849.5513999999994</v>
      </c>
      <c r="BI208" s="2126">
        <v>3849.5513999999994</v>
      </c>
      <c r="BJ208" s="2126">
        <v>3849.5513999999994</v>
      </c>
      <c r="BK208" s="2126">
        <v>0</v>
      </c>
      <c r="BL208" s="2126">
        <v>0</v>
      </c>
      <c r="BM208" s="2126">
        <v>0</v>
      </c>
      <c r="BN208" s="2126">
        <v>0</v>
      </c>
      <c r="BO208" s="2126">
        <v>0</v>
      </c>
      <c r="BP208" s="2126">
        <v>0</v>
      </c>
      <c r="BQ208" s="2126">
        <v>0</v>
      </c>
      <c r="BR208" s="2126">
        <v>0</v>
      </c>
    </row>
    <row r="209" spans="1:70" s="1765" customFormat="1" ht="33">
      <c r="A209" s="1272">
        <v>2000</v>
      </c>
      <c r="B209" s="971" t="s">
        <v>119</v>
      </c>
      <c r="C209" s="1272">
        <v>2500</v>
      </c>
      <c r="D209" s="971" t="s">
        <v>452</v>
      </c>
      <c r="E209" s="971" t="s">
        <v>453</v>
      </c>
      <c r="F209" s="971" t="s">
        <v>454</v>
      </c>
      <c r="G209" s="971">
        <v>2512</v>
      </c>
      <c r="H209" s="971" t="s">
        <v>456</v>
      </c>
      <c r="I209" s="1273"/>
      <c r="J209" s="971"/>
      <c r="K209" s="971" t="s">
        <v>91</v>
      </c>
      <c r="L209" s="971" t="s">
        <v>92</v>
      </c>
      <c r="M209" s="971" t="s">
        <v>91</v>
      </c>
      <c r="N209" s="971"/>
      <c r="O209" s="971" t="s">
        <v>92</v>
      </c>
      <c r="P209" s="971"/>
      <c r="Q209" s="971" t="s">
        <v>510</v>
      </c>
      <c r="R209" s="1266"/>
      <c r="S209" s="2106">
        <v>380</v>
      </c>
      <c r="T209" s="1266" t="s">
        <v>2922</v>
      </c>
      <c r="U209" s="1742">
        <v>0</v>
      </c>
      <c r="V209" s="1742">
        <v>700.80090909090916</v>
      </c>
      <c r="W209" s="1742">
        <v>0</v>
      </c>
      <c r="X209" s="1742">
        <v>0</v>
      </c>
      <c r="Y209" s="2106">
        <v>790.30078422782049</v>
      </c>
      <c r="Z209" s="2106">
        <v>0</v>
      </c>
      <c r="AA209" s="2106">
        <v>266304.34545454546</v>
      </c>
      <c r="AB209" s="2106">
        <v>0</v>
      </c>
      <c r="AC209" s="2106">
        <v>0</v>
      </c>
      <c r="AD209" s="1744">
        <v>266304.34545454546</v>
      </c>
      <c r="AE209" s="2126">
        <v>0</v>
      </c>
      <c r="AF209" s="2126">
        <v>0</v>
      </c>
      <c r="AG209" s="1212">
        <v>1</v>
      </c>
      <c r="AH209" s="1212">
        <v>0</v>
      </c>
      <c r="AI209" s="1212">
        <v>0</v>
      </c>
      <c r="AJ209" s="1212">
        <v>1</v>
      </c>
      <c r="AK209" s="2126">
        <v>266304.34545454546</v>
      </c>
      <c r="AL209" s="2126">
        <v>0</v>
      </c>
      <c r="AM209" s="2126">
        <v>0</v>
      </c>
      <c r="AN209" s="2126">
        <v>266304.34545454546</v>
      </c>
      <c r="AO209" s="1743" t="s">
        <v>85</v>
      </c>
      <c r="AP209" s="1743" t="s">
        <v>90</v>
      </c>
      <c r="AQ209" s="1764" t="s">
        <v>112</v>
      </c>
      <c r="AR209" s="1743" t="s">
        <v>87</v>
      </c>
      <c r="AS209" s="2135"/>
      <c r="AT209" s="2135"/>
      <c r="AU209" s="1212"/>
      <c r="AV209" s="1212"/>
      <c r="AW209" s="1212">
        <v>1</v>
      </c>
      <c r="AX209" s="1212"/>
      <c r="AY209" s="1212"/>
      <c r="AZ209" s="1212"/>
      <c r="BA209" s="1212"/>
      <c r="BB209" s="1212"/>
      <c r="BC209" s="1212"/>
      <c r="BD209" s="1212"/>
      <c r="BE209" s="1212"/>
      <c r="BF209" s="2126">
        <v>0</v>
      </c>
      <c r="BG209" s="2126">
        <v>0</v>
      </c>
      <c r="BH209" s="2126">
        <v>0</v>
      </c>
      <c r="BI209" s="2126">
        <v>0</v>
      </c>
      <c r="BJ209" s="2126">
        <v>266304.34545454546</v>
      </c>
      <c r="BK209" s="2126">
        <v>0</v>
      </c>
      <c r="BL209" s="2126">
        <v>0</v>
      </c>
      <c r="BM209" s="2126">
        <v>0</v>
      </c>
      <c r="BN209" s="2126">
        <v>0</v>
      </c>
      <c r="BO209" s="2126">
        <v>0</v>
      </c>
      <c r="BP209" s="2126">
        <v>0</v>
      </c>
      <c r="BQ209" s="2126">
        <v>0</v>
      </c>
      <c r="BR209" s="2126">
        <v>0</v>
      </c>
    </row>
    <row r="210" spans="1:70" s="1765" customFormat="1" ht="49.5">
      <c r="A210" s="1272">
        <v>2000</v>
      </c>
      <c r="B210" s="971" t="s">
        <v>119</v>
      </c>
      <c r="C210" s="1272">
        <v>2500</v>
      </c>
      <c r="D210" s="971" t="s">
        <v>452</v>
      </c>
      <c r="E210" s="971" t="s">
        <v>453</v>
      </c>
      <c r="F210" s="971" t="s">
        <v>454</v>
      </c>
      <c r="G210" s="971" t="s">
        <v>455</v>
      </c>
      <c r="H210" s="971" t="s">
        <v>456</v>
      </c>
      <c r="I210" s="1273"/>
      <c r="J210" s="971" t="s">
        <v>124</v>
      </c>
      <c r="K210" s="971" t="s">
        <v>784</v>
      </c>
      <c r="L210" s="971" t="s">
        <v>2852</v>
      </c>
      <c r="M210" s="971" t="s">
        <v>458</v>
      </c>
      <c r="N210" s="971" t="s">
        <v>127</v>
      </c>
      <c r="O210" s="971" t="s">
        <v>459</v>
      </c>
      <c r="P210" s="971"/>
      <c r="Q210" s="971" t="s">
        <v>511</v>
      </c>
      <c r="R210" s="1266"/>
      <c r="S210" s="2106">
        <v>10720</v>
      </c>
      <c r="T210" s="1266" t="s">
        <v>136</v>
      </c>
      <c r="U210" s="1742">
        <v>0.22416666666666665</v>
      </c>
      <c r="V210" s="1742">
        <v>2.8020833333333335</v>
      </c>
      <c r="W210" s="1742">
        <v>19.758049999999997</v>
      </c>
      <c r="X210" s="1742">
        <v>30.905858333333335</v>
      </c>
      <c r="Y210" s="2106">
        <v>53.46599166666666</v>
      </c>
      <c r="Z210" s="2106">
        <v>2403.0666666666666</v>
      </c>
      <c r="AA210" s="2106">
        <v>30038.333333333336</v>
      </c>
      <c r="AB210" s="2106">
        <v>211806.29599999997</v>
      </c>
      <c r="AC210" s="2106">
        <v>331310.80133333337</v>
      </c>
      <c r="AD210" s="1744">
        <v>573155.43066666671</v>
      </c>
      <c r="AE210" s="2126">
        <v>1</v>
      </c>
      <c r="AF210" s="2126">
        <v>10720</v>
      </c>
      <c r="AG210" s="1212">
        <v>1</v>
      </c>
      <c r="AH210" s="1212">
        <v>0</v>
      </c>
      <c r="AI210" s="1212">
        <v>0</v>
      </c>
      <c r="AJ210" s="1212">
        <v>1</v>
      </c>
      <c r="AK210" s="2126">
        <v>573155.43066666671</v>
      </c>
      <c r="AL210" s="2126">
        <v>0</v>
      </c>
      <c r="AM210" s="2126">
        <v>0</v>
      </c>
      <c r="AN210" s="2126">
        <v>573155.43066666671</v>
      </c>
      <c r="AO210" s="1743" t="s">
        <v>131</v>
      </c>
      <c r="AP210" s="1743" t="s">
        <v>90</v>
      </c>
      <c r="AQ210" s="1764" t="s">
        <v>112</v>
      </c>
      <c r="AR210" s="1743" t="s">
        <v>87</v>
      </c>
      <c r="AS210" s="2135"/>
      <c r="AT210" s="2135"/>
      <c r="AU210" s="1212">
        <v>0.33333333333333331</v>
      </c>
      <c r="AV210" s="1212">
        <v>0.33333333333333331</v>
      </c>
      <c r="AW210" s="1212">
        <v>0.33333333333333331</v>
      </c>
      <c r="AX210" s="1212"/>
      <c r="AY210" s="1212"/>
      <c r="AZ210" s="1212"/>
      <c r="BA210" s="1212"/>
      <c r="BB210" s="1212"/>
      <c r="BC210" s="1212"/>
      <c r="BD210" s="1212"/>
      <c r="BE210" s="1212"/>
      <c r="BF210" s="2126">
        <v>0</v>
      </c>
      <c r="BG210" s="2126">
        <v>0</v>
      </c>
      <c r="BH210" s="2126">
        <v>191051.81022222224</v>
      </c>
      <c r="BI210" s="2126">
        <v>191051.81022222224</v>
      </c>
      <c r="BJ210" s="2126">
        <v>191051.81022222224</v>
      </c>
      <c r="BK210" s="2126">
        <v>0</v>
      </c>
      <c r="BL210" s="2126">
        <v>0</v>
      </c>
      <c r="BM210" s="2126">
        <v>0</v>
      </c>
      <c r="BN210" s="2126">
        <v>0</v>
      </c>
      <c r="BO210" s="2126">
        <v>0</v>
      </c>
      <c r="BP210" s="2126">
        <v>0</v>
      </c>
      <c r="BQ210" s="2126">
        <v>0</v>
      </c>
      <c r="BR210" s="2126">
        <v>0</v>
      </c>
    </row>
    <row r="211" spans="1:70" s="1765" customFormat="1" ht="49.5">
      <c r="A211" s="1272">
        <v>2000</v>
      </c>
      <c r="B211" s="971" t="s">
        <v>119</v>
      </c>
      <c r="C211" s="1272">
        <v>2500</v>
      </c>
      <c r="D211" s="971" t="s">
        <v>452</v>
      </c>
      <c r="E211" s="971" t="s">
        <v>453</v>
      </c>
      <c r="F211" s="971" t="s">
        <v>454</v>
      </c>
      <c r="G211" s="971" t="s">
        <v>455</v>
      </c>
      <c r="H211" s="971" t="s">
        <v>456</v>
      </c>
      <c r="I211" s="1273"/>
      <c r="J211" s="971" t="s">
        <v>124</v>
      </c>
      <c r="K211" s="971" t="s">
        <v>784</v>
      </c>
      <c r="L211" s="971" t="s">
        <v>2852</v>
      </c>
      <c r="M211" s="971" t="s">
        <v>458</v>
      </c>
      <c r="N211" s="971" t="s">
        <v>127</v>
      </c>
      <c r="O211" s="971" t="s">
        <v>459</v>
      </c>
      <c r="P211" s="971"/>
      <c r="Q211" s="971" t="s">
        <v>512</v>
      </c>
      <c r="R211" s="1266"/>
      <c r="S211" s="2106">
        <v>576</v>
      </c>
      <c r="T211" s="1266" t="s">
        <v>136</v>
      </c>
      <c r="U211" s="1742">
        <v>0.22416666666666665</v>
      </c>
      <c r="V211" s="1742">
        <v>2.8020833333333335</v>
      </c>
      <c r="W211" s="1742">
        <v>19.758049999999997</v>
      </c>
      <c r="X211" s="1742">
        <v>30.905858333333335</v>
      </c>
      <c r="Y211" s="2106">
        <v>53.46599166666666</v>
      </c>
      <c r="Z211" s="2106">
        <v>129.12</v>
      </c>
      <c r="AA211" s="2106">
        <v>1614</v>
      </c>
      <c r="AB211" s="2106">
        <v>11380.636799999998</v>
      </c>
      <c r="AC211" s="2106">
        <v>17801.774400000002</v>
      </c>
      <c r="AD211" s="1744">
        <v>30796.411200000002</v>
      </c>
      <c r="AE211" s="2126">
        <v>1</v>
      </c>
      <c r="AF211" s="2126">
        <v>576</v>
      </c>
      <c r="AG211" s="1212">
        <v>1</v>
      </c>
      <c r="AH211" s="1212">
        <v>0</v>
      </c>
      <c r="AI211" s="1212">
        <v>0</v>
      </c>
      <c r="AJ211" s="1212">
        <v>1</v>
      </c>
      <c r="AK211" s="2126">
        <v>30796.411200000002</v>
      </c>
      <c r="AL211" s="2126">
        <v>0</v>
      </c>
      <c r="AM211" s="2126">
        <v>0</v>
      </c>
      <c r="AN211" s="2126">
        <v>30796.411200000002</v>
      </c>
      <c r="AO211" s="1743" t="s">
        <v>85</v>
      </c>
      <c r="AP211" s="1743" t="s">
        <v>90</v>
      </c>
      <c r="AQ211" s="1764" t="s">
        <v>202</v>
      </c>
      <c r="AR211" s="1743" t="s">
        <v>87</v>
      </c>
      <c r="AS211" s="2135"/>
      <c r="AT211" s="2135"/>
      <c r="AU211" s="1212">
        <v>0.33333333333333331</v>
      </c>
      <c r="AV211" s="1212">
        <v>0.33333333333333331</v>
      </c>
      <c r="AW211" s="1212">
        <v>0.33333333333333331</v>
      </c>
      <c r="AX211" s="1212"/>
      <c r="AY211" s="1212"/>
      <c r="AZ211" s="1212"/>
      <c r="BA211" s="1212"/>
      <c r="BB211" s="1212"/>
      <c r="BC211" s="1212"/>
      <c r="BD211" s="1212"/>
      <c r="BE211" s="1212"/>
      <c r="BF211" s="2126">
        <v>0</v>
      </c>
      <c r="BG211" s="2126">
        <v>0</v>
      </c>
      <c r="BH211" s="2126">
        <v>10265.4704</v>
      </c>
      <c r="BI211" s="2126">
        <v>10265.4704</v>
      </c>
      <c r="BJ211" s="2126">
        <v>10265.4704</v>
      </c>
      <c r="BK211" s="2126">
        <v>0</v>
      </c>
      <c r="BL211" s="2126">
        <v>0</v>
      </c>
      <c r="BM211" s="2126">
        <v>0</v>
      </c>
      <c r="BN211" s="2126">
        <v>0</v>
      </c>
      <c r="BO211" s="2126">
        <v>0</v>
      </c>
      <c r="BP211" s="2126">
        <v>0</v>
      </c>
      <c r="BQ211" s="2126">
        <v>0</v>
      </c>
      <c r="BR211" s="2126">
        <v>0</v>
      </c>
    </row>
    <row r="212" spans="1:70" s="1765" customFormat="1" ht="66">
      <c r="A212" s="1272">
        <v>2000</v>
      </c>
      <c r="B212" s="971" t="s">
        <v>119</v>
      </c>
      <c r="C212" s="1272">
        <v>2500</v>
      </c>
      <c r="D212" s="971" t="s">
        <v>452</v>
      </c>
      <c r="E212" s="971" t="s">
        <v>453</v>
      </c>
      <c r="F212" s="971" t="s">
        <v>454</v>
      </c>
      <c r="G212" s="971" t="s">
        <v>513</v>
      </c>
      <c r="H212" s="971" t="s">
        <v>514</v>
      </c>
      <c r="I212" s="1273" t="s">
        <v>515</v>
      </c>
      <c r="J212" s="971" t="s">
        <v>124</v>
      </c>
      <c r="K212" s="971" t="s">
        <v>516</v>
      </c>
      <c r="L212" s="971" t="s">
        <v>2860</v>
      </c>
      <c r="M212" s="971" t="s">
        <v>517</v>
      </c>
      <c r="N212" s="971" t="s">
        <v>127</v>
      </c>
      <c r="O212" s="971" t="s">
        <v>518</v>
      </c>
      <c r="P212" s="971"/>
      <c r="Q212" s="971" t="s">
        <v>519</v>
      </c>
      <c r="R212" s="1266"/>
      <c r="S212" s="2106">
        <v>100</v>
      </c>
      <c r="T212" s="1266" t="s">
        <v>136</v>
      </c>
      <c r="U212" s="1742">
        <v>0.15691666666666668</v>
      </c>
      <c r="V212" s="1742">
        <v>1.9614583333333333</v>
      </c>
      <c r="W212" s="1742">
        <v>13.830634999999999</v>
      </c>
      <c r="X212" s="1742">
        <v>21.634100833333331</v>
      </c>
      <c r="Y212" s="2106">
        <v>37.426194166666662</v>
      </c>
      <c r="Z212" s="2106">
        <v>15.691666666666668</v>
      </c>
      <c r="AA212" s="2106">
        <v>196.14583333333334</v>
      </c>
      <c r="AB212" s="2106">
        <v>1383.0635</v>
      </c>
      <c r="AC212" s="2106">
        <v>2163.4100833333332</v>
      </c>
      <c r="AD212" s="1744">
        <v>3742.6194166666664</v>
      </c>
      <c r="AE212" s="2126">
        <v>1</v>
      </c>
      <c r="AF212" s="2126">
        <v>100</v>
      </c>
      <c r="AG212" s="1212">
        <v>1</v>
      </c>
      <c r="AH212" s="1212">
        <v>0</v>
      </c>
      <c r="AI212" s="1212">
        <v>0</v>
      </c>
      <c r="AJ212" s="1212">
        <v>1</v>
      </c>
      <c r="AK212" s="2126">
        <v>3742.6194166666664</v>
      </c>
      <c r="AL212" s="2126">
        <v>0</v>
      </c>
      <c r="AM212" s="2126">
        <v>0</v>
      </c>
      <c r="AN212" s="2126">
        <v>3742.6194166666664</v>
      </c>
      <c r="AO212" s="1743" t="s">
        <v>85</v>
      </c>
      <c r="AP212" s="1743" t="s">
        <v>90</v>
      </c>
      <c r="AQ212" s="1764" t="s">
        <v>192</v>
      </c>
      <c r="AR212" s="1743" t="s">
        <v>87</v>
      </c>
      <c r="AS212" s="2135"/>
      <c r="AT212" s="2135"/>
      <c r="AU212" s="1212">
        <v>0.33333333333333331</v>
      </c>
      <c r="AV212" s="1212">
        <v>0.33333333333333331</v>
      </c>
      <c r="AW212" s="1212">
        <v>0.33333333333333331</v>
      </c>
      <c r="AX212" s="1212"/>
      <c r="AY212" s="1212"/>
      <c r="AZ212" s="1212"/>
      <c r="BA212" s="1212"/>
      <c r="BB212" s="1212"/>
      <c r="BC212" s="1212"/>
      <c r="BD212" s="1212"/>
      <c r="BE212" s="1212"/>
      <c r="BF212" s="2126">
        <v>0</v>
      </c>
      <c r="BG212" s="2126">
        <v>0</v>
      </c>
      <c r="BH212" s="2126">
        <v>1247.5398055555554</v>
      </c>
      <c r="BI212" s="2126">
        <v>1247.5398055555554</v>
      </c>
      <c r="BJ212" s="2126">
        <v>1247.5398055555554</v>
      </c>
      <c r="BK212" s="2126">
        <v>0</v>
      </c>
      <c r="BL212" s="2126">
        <v>0</v>
      </c>
      <c r="BM212" s="2126">
        <v>0</v>
      </c>
      <c r="BN212" s="2126">
        <v>0</v>
      </c>
      <c r="BO212" s="2126">
        <v>0</v>
      </c>
      <c r="BP212" s="2126">
        <v>0</v>
      </c>
      <c r="BQ212" s="2126">
        <v>0</v>
      </c>
      <c r="BR212" s="2126">
        <v>0</v>
      </c>
    </row>
    <row r="213" spans="1:70" s="1765" customFormat="1" ht="66">
      <c r="A213" s="1272">
        <v>2000</v>
      </c>
      <c r="B213" s="971" t="s">
        <v>119</v>
      </c>
      <c r="C213" s="1272">
        <v>2500</v>
      </c>
      <c r="D213" s="971" t="s">
        <v>452</v>
      </c>
      <c r="E213" s="971" t="s">
        <v>453</v>
      </c>
      <c r="F213" s="971" t="s">
        <v>454</v>
      </c>
      <c r="G213" s="971" t="s">
        <v>513</v>
      </c>
      <c r="H213" s="971" t="s">
        <v>514</v>
      </c>
      <c r="I213" s="1273" t="s">
        <v>515</v>
      </c>
      <c r="J213" s="971" t="s">
        <v>124</v>
      </c>
      <c r="K213" s="971" t="s">
        <v>516</v>
      </c>
      <c r="L213" s="971" t="s">
        <v>2860</v>
      </c>
      <c r="M213" s="971" t="s">
        <v>517</v>
      </c>
      <c r="N213" s="971" t="s">
        <v>127</v>
      </c>
      <c r="O213" s="971" t="s">
        <v>518</v>
      </c>
      <c r="P213" s="971"/>
      <c r="Q213" s="971" t="s">
        <v>520</v>
      </c>
      <c r="R213" s="1266" t="s">
        <v>521</v>
      </c>
      <c r="S213" s="2106">
        <v>278.81040892193312</v>
      </c>
      <c r="T213" s="1266" t="s">
        <v>136</v>
      </c>
      <c r="U213" s="1742">
        <v>0.15691666666666668</v>
      </c>
      <c r="V213" s="1742">
        <v>1.9614583333333333</v>
      </c>
      <c r="W213" s="1742">
        <v>13.830634999999999</v>
      </c>
      <c r="X213" s="1742">
        <v>21.634100833333331</v>
      </c>
      <c r="Y213" s="2106">
        <v>37.426194166666662</v>
      </c>
      <c r="Z213" s="2106">
        <v>43.750000000000007</v>
      </c>
      <c r="AA213" s="2106">
        <v>546.875</v>
      </c>
      <c r="AB213" s="2106">
        <v>3856.125</v>
      </c>
      <c r="AC213" s="2106">
        <v>6031.8125</v>
      </c>
      <c r="AD213" s="1744">
        <v>10434.8125</v>
      </c>
      <c r="AE213" s="2126">
        <v>1</v>
      </c>
      <c r="AF213" s="2126">
        <v>278.81040892193312</v>
      </c>
      <c r="AG213" s="1212">
        <v>1</v>
      </c>
      <c r="AH213" s="1212">
        <v>0</v>
      </c>
      <c r="AI213" s="1212">
        <v>0</v>
      </c>
      <c r="AJ213" s="1212">
        <v>1</v>
      </c>
      <c r="AK213" s="2126">
        <v>10434.8125</v>
      </c>
      <c r="AL213" s="2126">
        <v>0</v>
      </c>
      <c r="AM213" s="2126">
        <v>0</v>
      </c>
      <c r="AN213" s="2126">
        <v>10434.8125</v>
      </c>
      <c r="AO213" s="1743" t="s">
        <v>131</v>
      </c>
      <c r="AP213" s="1743"/>
      <c r="AQ213" s="1764">
        <v>2014</v>
      </c>
      <c r="AR213" s="1743" t="s">
        <v>87</v>
      </c>
      <c r="AS213" s="2135"/>
      <c r="AT213" s="2135"/>
      <c r="AU213" s="1212">
        <v>0.33333333333333331</v>
      </c>
      <c r="AV213" s="1212">
        <v>0.33333333333333331</v>
      </c>
      <c r="AW213" s="1212">
        <v>0.33333333333333331</v>
      </c>
      <c r="AX213" s="1212"/>
      <c r="AY213" s="1212"/>
      <c r="AZ213" s="1212"/>
      <c r="BA213" s="1212"/>
      <c r="BB213" s="1212"/>
      <c r="BC213" s="1212"/>
      <c r="BD213" s="1212"/>
      <c r="BE213" s="1212"/>
      <c r="BF213" s="2126">
        <v>0</v>
      </c>
      <c r="BG213" s="2126">
        <v>0</v>
      </c>
      <c r="BH213" s="2126">
        <v>3478.270833333333</v>
      </c>
      <c r="BI213" s="2126">
        <v>3478.270833333333</v>
      </c>
      <c r="BJ213" s="2126">
        <v>3478.270833333333</v>
      </c>
      <c r="BK213" s="2126">
        <v>0</v>
      </c>
      <c r="BL213" s="2126">
        <v>0</v>
      </c>
      <c r="BM213" s="2126">
        <v>0</v>
      </c>
      <c r="BN213" s="2126">
        <v>0</v>
      </c>
      <c r="BO213" s="2126">
        <v>0</v>
      </c>
      <c r="BP213" s="2126">
        <v>0</v>
      </c>
      <c r="BQ213" s="2126">
        <v>0</v>
      </c>
      <c r="BR213" s="2126">
        <v>0</v>
      </c>
    </row>
    <row r="214" spans="1:70" s="1765" customFormat="1" ht="49.5">
      <c r="A214" s="1272">
        <v>2000</v>
      </c>
      <c r="B214" s="971" t="s">
        <v>119</v>
      </c>
      <c r="C214" s="1272">
        <v>2500</v>
      </c>
      <c r="D214" s="971" t="s">
        <v>452</v>
      </c>
      <c r="E214" s="971" t="s">
        <v>453</v>
      </c>
      <c r="F214" s="971" t="s">
        <v>454</v>
      </c>
      <c r="G214" s="971" t="s">
        <v>513</v>
      </c>
      <c r="H214" s="971" t="s">
        <v>514</v>
      </c>
      <c r="I214" s="1273" t="s">
        <v>522</v>
      </c>
      <c r="J214" s="971" t="s">
        <v>124</v>
      </c>
      <c r="K214" s="971" t="s">
        <v>523</v>
      </c>
      <c r="L214" s="971" t="s">
        <v>6607</v>
      </c>
      <c r="M214" s="971" t="s">
        <v>523</v>
      </c>
      <c r="N214" s="971" t="s">
        <v>141</v>
      </c>
      <c r="O214" s="971" t="s">
        <v>524</v>
      </c>
      <c r="P214" s="971"/>
      <c r="Q214" s="971" t="s">
        <v>525</v>
      </c>
      <c r="R214" s="1266" t="s">
        <v>521</v>
      </c>
      <c r="S214" s="2106">
        <v>278.81040892193312</v>
      </c>
      <c r="T214" s="1266" t="s">
        <v>136</v>
      </c>
      <c r="U214" s="1742">
        <v>0.14520631503408685</v>
      </c>
      <c r="V214" s="1742">
        <v>1.8150789379260854</v>
      </c>
      <c r="W214" s="1742">
        <v>12.798484607104415</v>
      </c>
      <c r="X214" s="1742">
        <v>20.019594653749554</v>
      </c>
      <c r="Y214" s="2106">
        <v>34.633158198780052</v>
      </c>
      <c r="Z214" s="2106">
        <v>40.485032072700797</v>
      </c>
      <c r="AA214" s="2106">
        <v>506.06290090875996</v>
      </c>
      <c r="AB214" s="2106">
        <v>3568.3507268878484</v>
      </c>
      <c r="AC214" s="2106">
        <v>5581.6713718632591</v>
      </c>
      <c r="AD214" s="1744">
        <v>9656.0849996598663</v>
      </c>
      <c r="AE214" s="2126">
        <v>0.75</v>
      </c>
      <c r="AF214" s="2126">
        <v>209.10780669144984</v>
      </c>
      <c r="AG214" s="1212">
        <v>1</v>
      </c>
      <c r="AH214" s="1212">
        <v>0</v>
      </c>
      <c r="AI214" s="1212">
        <v>0</v>
      </c>
      <c r="AJ214" s="1212">
        <v>1</v>
      </c>
      <c r="AK214" s="2126">
        <v>9656.0849996598663</v>
      </c>
      <c r="AL214" s="2126">
        <v>0</v>
      </c>
      <c r="AM214" s="2126">
        <v>0</v>
      </c>
      <c r="AN214" s="2126">
        <v>9656.0849996598663</v>
      </c>
      <c r="AO214" s="1743" t="s">
        <v>131</v>
      </c>
      <c r="AP214" s="1743"/>
      <c r="AQ214" s="1764">
        <v>2014</v>
      </c>
      <c r="AR214" s="1743" t="s">
        <v>87</v>
      </c>
      <c r="AS214" s="2135"/>
      <c r="AT214" s="2135"/>
      <c r="AU214" s="1212">
        <v>0.33333333333333331</v>
      </c>
      <c r="AV214" s="1212">
        <v>0.33333333333333331</v>
      </c>
      <c r="AW214" s="1212">
        <v>0.33333333333333331</v>
      </c>
      <c r="AX214" s="1212"/>
      <c r="AY214" s="1212"/>
      <c r="AZ214" s="1212"/>
      <c r="BA214" s="1212"/>
      <c r="BB214" s="1212"/>
      <c r="BC214" s="1212"/>
      <c r="BD214" s="1212"/>
      <c r="BE214" s="1212"/>
      <c r="BF214" s="2126">
        <v>0</v>
      </c>
      <c r="BG214" s="2126">
        <v>0</v>
      </c>
      <c r="BH214" s="2126">
        <v>3218.6949998866221</v>
      </c>
      <c r="BI214" s="2126">
        <v>3218.6949998866221</v>
      </c>
      <c r="BJ214" s="2126">
        <v>3218.6949998866221</v>
      </c>
      <c r="BK214" s="2126">
        <v>0</v>
      </c>
      <c r="BL214" s="2126">
        <v>0</v>
      </c>
      <c r="BM214" s="2126">
        <v>0</v>
      </c>
      <c r="BN214" s="2126">
        <v>0</v>
      </c>
      <c r="BO214" s="2126">
        <v>0</v>
      </c>
      <c r="BP214" s="2126">
        <v>0</v>
      </c>
      <c r="BQ214" s="2126">
        <v>0</v>
      </c>
      <c r="BR214" s="2126">
        <v>0</v>
      </c>
    </row>
    <row r="215" spans="1:70" s="1765" customFormat="1" ht="49.5">
      <c r="A215" s="1272">
        <v>2000</v>
      </c>
      <c r="B215" s="971" t="s">
        <v>119</v>
      </c>
      <c r="C215" s="1272">
        <v>2500</v>
      </c>
      <c r="D215" s="971" t="s">
        <v>452</v>
      </c>
      <c r="E215" s="971" t="s">
        <v>453</v>
      </c>
      <c r="F215" s="971" t="s">
        <v>454</v>
      </c>
      <c r="G215" s="971" t="s">
        <v>513</v>
      </c>
      <c r="H215" s="971" t="s">
        <v>514</v>
      </c>
      <c r="I215" s="1273" t="s">
        <v>526</v>
      </c>
      <c r="J215" s="971" t="s">
        <v>124</v>
      </c>
      <c r="K215" s="971" t="s">
        <v>506</v>
      </c>
      <c r="L215" s="971" t="s">
        <v>6608</v>
      </c>
      <c r="M215" s="971" t="s">
        <v>506</v>
      </c>
      <c r="N215" s="971" t="s">
        <v>141</v>
      </c>
      <c r="O215" s="971" t="s">
        <v>507</v>
      </c>
      <c r="P215" s="971"/>
      <c r="Q215" s="971" t="s">
        <v>527</v>
      </c>
      <c r="R215" s="1266" t="s">
        <v>521</v>
      </c>
      <c r="S215" s="2106">
        <v>278.81040892193312</v>
      </c>
      <c r="T215" s="1266" t="s">
        <v>136</v>
      </c>
      <c r="U215" s="1742">
        <v>0.125</v>
      </c>
      <c r="V215" s="1742">
        <v>1.875</v>
      </c>
      <c r="W215" s="1742">
        <v>11.0175</v>
      </c>
      <c r="X215" s="1742">
        <v>18.75</v>
      </c>
      <c r="Y215" s="2106">
        <v>31.642499999999998</v>
      </c>
      <c r="Z215" s="2106">
        <v>34.85130111524164</v>
      </c>
      <c r="AA215" s="2106">
        <v>522.76951672862458</v>
      </c>
      <c r="AB215" s="2106">
        <v>3071.7936802973982</v>
      </c>
      <c r="AC215" s="2106">
        <v>5227.695167286246</v>
      </c>
      <c r="AD215" s="1744">
        <v>8822.2583643122689</v>
      </c>
      <c r="AE215" s="2126">
        <v>0</v>
      </c>
      <c r="AF215" s="2126">
        <v>0</v>
      </c>
      <c r="AG215" s="1212">
        <v>1</v>
      </c>
      <c r="AH215" s="1212">
        <v>0</v>
      </c>
      <c r="AI215" s="1212">
        <v>0</v>
      </c>
      <c r="AJ215" s="1212">
        <v>1</v>
      </c>
      <c r="AK215" s="2126">
        <v>8822.2583643122689</v>
      </c>
      <c r="AL215" s="2126">
        <v>0</v>
      </c>
      <c r="AM215" s="2126">
        <v>0</v>
      </c>
      <c r="AN215" s="2126">
        <v>8822.2583643122689</v>
      </c>
      <c r="AO215" s="1743" t="s">
        <v>131</v>
      </c>
      <c r="AP215" s="1743"/>
      <c r="AQ215" s="1764">
        <v>2014</v>
      </c>
      <c r="AR215" s="1743" t="s">
        <v>87</v>
      </c>
      <c r="AS215" s="2135"/>
      <c r="AT215" s="2135"/>
      <c r="AU215" s="1212">
        <v>0.33333333333333331</v>
      </c>
      <c r="AV215" s="1212">
        <v>0.33333333333333331</v>
      </c>
      <c r="AW215" s="1212">
        <v>0.33333333333333331</v>
      </c>
      <c r="AX215" s="1212"/>
      <c r="AY215" s="1212"/>
      <c r="AZ215" s="1212"/>
      <c r="BA215" s="1212"/>
      <c r="BB215" s="1212"/>
      <c r="BC215" s="1212"/>
      <c r="BD215" s="1212"/>
      <c r="BE215" s="1212"/>
      <c r="BF215" s="2126">
        <v>0</v>
      </c>
      <c r="BG215" s="2126">
        <v>0</v>
      </c>
      <c r="BH215" s="2126">
        <v>2940.7527881040896</v>
      </c>
      <c r="BI215" s="2126">
        <v>2940.7527881040896</v>
      </c>
      <c r="BJ215" s="2126">
        <v>2940.7527881040896</v>
      </c>
      <c r="BK215" s="2126">
        <v>0</v>
      </c>
      <c r="BL215" s="2126">
        <v>0</v>
      </c>
      <c r="BM215" s="2126">
        <v>0</v>
      </c>
      <c r="BN215" s="2126">
        <v>0</v>
      </c>
      <c r="BO215" s="2126">
        <v>0</v>
      </c>
      <c r="BP215" s="2126">
        <v>0</v>
      </c>
      <c r="BQ215" s="2126">
        <v>0</v>
      </c>
      <c r="BR215" s="2126">
        <v>0</v>
      </c>
    </row>
    <row r="216" spans="1:70" s="1765" customFormat="1" ht="66">
      <c r="A216" s="1272">
        <v>2000</v>
      </c>
      <c r="B216" s="971" t="s">
        <v>119</v>
      </c>
      <c r="C216" s="1272">
        <v>2500</v>
      </c>
      <c r="D216" s="971" t="s">
        <v>452</v>
      </c>
      <c r="E216" s="971" t="s">
        <v>453</v>
      </c>
      <c r="F216" s="971" t="s">
        <v>454</v>
      </c>
      <c r="G216" s="971" t="s">
        <v>528</v>
      </c>
      <c r="H216" s="971" t="s">
        <v>514</v>
      </c>
      <c r="I216" s="1273" t="s">
        <v>529</v>
      </c>
      <c r="J216" s="971" t="s">
        <v>177</v>
      </c>
      <c r="K216" s="971" t="s">
        <v>530</v>
      </c>
      <c r="L216" s="971" t="s">
        <v>531</v>
      </c>
      <c r="M216" s="971" t="s">
        <v>530</v>
      </c>
      <c r="N216" s="971" t="s">
        <v>179</v>
      </c>
      <c r="O216" s="971" t="s">
        <v>531</v>
      </c>
      <c r="P216" s="971"/>
      <c r="Q216" s="971" t="s">
        <v>532</v>
      </c>
      <c r="R216" s="1266" t="s">
        <v>533</v>
      </c>
      <c r="S216" s="2106">
        <v>1</v>
      </c>
      <c r="T216" s="1266" t="s">
        <v>242</v>
      </c>
      <c r="U216" s="1742">
        <v>31</v>
      </c>
      <c r="V216" s="1742">
        <v>325</v>
      </c>
      <c r="W216" s="1742">
        <v>2732.34</v>
      </c>
      <c r="X216" s="1742">
        <v>3584.62</v>
      </c>
      <c r="Y216" s="2106">
        <v>6641.9599999999991</v>
      </c>
      <c r="Z216" s="2106">
        <v>31</v>
      </c>
      <c r="AA216" s="2106">
        <v>325</v>
      </c>
      <c r="AB216" s="2106">
        <v>2732.34</v>
      </c>
      <c r="AC216" s="2106">
        <v>3584.62</v>
      </c>
      <c r="AD216" s="1744">
        <v>6641.96</v>
      </c>
      <c r="AE216" s="2126">
        <v>2</v>
      </c>
      <c r="AF216" s="2126">
        <v>2</v>
      </c>
      <c r="AG216" s="1212">
        <v>1</v>
      </c>
      <c r="AH216" s="1212">
        <v>0</v>
      </c>
      <c r="AI216" s="1212">
        <v>0</v>
      </c>
      <c r="AJ216" s="1212">
        <v>1</v>
      </c>
      <c r="AK216" s="2126">
        <v>6641.96</v>
      </c>
      <c r="AL216" s="2126">
        <v>0</v>
      </c>
      <c r="AM216" s="2126">
        <v>0</v>
      </c>
      <c r="AN216" s="2126">
        <v>6641.96</v>
      </c>
      <c r="AO216" s="1743" t="s">
        <v>131</v>
      </c>
      <c r="AP216" s="1743"/>
      <c r="AQ216" s="1764">
        <v>2014</v>
      </c>
      <c r="AR216" s="1743" t="s">
        <v>87</v>
      </c>
      <c r="AS216" s="2135"/>
      <c r="AT216" s="2135"/>
      <c r="AU216" s="1212">
        <v>0.5</v>
      </c>
      <c r="AV216" s="1212">
        <v>0.5</v>
      </c>
      <c r="AW216" s="1212"/>
      <c r="AX216" s="1212"/>
      <c r="AY216" s="1212"/>
      <c r="AZ216" s="1212"/>
      <c r="BA216" s="1212"/>
      <c r="BB216" s="1212"/>
      <c r="BC216" s="1212"/>
      <c r="BD216" s="1212"/>
      <c r="BE216" s="1212"/>
      <c r="BF216" s="2126">
        <v>0</v>
      </c>
      <c r="BG216" s="2126">
        <v>0</v>
      </c>
      <c r="BH216" s="2126">
        <v>3320.98</v>
      </c>
      <c r="BI216" s="2126">
        <v>3320.98</v>
      </c>
      <c r="BJ216" s="2126">
        <v>0</v>
      </c>
      <c r="BK216" s="2126">
        <v>0</v>
      </c>
      <c r="BL216" s="2126">
        <v>0</v>
      </c>
      <c r="BM216" s="2126">
        <v>0</v>
      </c>
      <c r="BN216" s="2126">
        <v>0</v>
      </c>
      <c r="BO216" s="2126">
        <v>0</v>
      </c>
      <c r="BP216" s="2126">
        <v>0</v>
      </c>
      <c r="BQ216" s="2126">
        <v>0</v>
      </c>
      <c r="BR216" s="2126">
        <v>0</v>
      </c>
    </row>
    <row r="217" spans="1:70" s="1765" customFormat="1" ht="66">
      <c r="A217" s="1272">
        <v>2000</v>
      </c>
      <c r="B217" s="971" t="s">
        <v>119</v>
      </c>
      <c r="C217" s="1272">
        <v>2500</v>
      </c>
      <c r="D217" s="971" t="s">
        <v>452</v>
      </c>
      <c r="E217" s="971" t="s">
        <v>453</v>
      </c>
      <c r="F217" s="971" t="s">
        <v>454</v>
      </c>
      <c r="G217" s="971" t="s">
        <v>513</v>
      </c>
      <c r="H217" s="971" t="s">
        <v>534</v>
      </c>
      <c r="I217" s="1273" t="s">
        <v>535</v>
      </c>
      <c r="J217" s="971" t="s">
        <v>124</v>
      </c>
      <c r="K217" s="971" t="s">
        <v>536</v>
      </c>
      <c r="L217" s="971" t="s">
        <v>2866</v>
      </c>
      <c r="M217" s="971" t="s">
        <v>537</v>
      </c>
      <c r="N217" s="971" t="s">
        <v>127</v>
      </c>
      <c r="O217" s="971"/>
      <c r="P217" s="971"/>
      <c r="Q217" s="971" t="s">
        <v>538</v>
      </c>
      <c r="R217" s="1266"/>
      <c r="S217" s="2106">
        <v>1650</v>
      </c>
      <c r="T217" s="1266" t="s">
        <v>136</v>
      </c>
      <c r="U217" s="1742">
        <v>0.17933333333333332</v>
      </c>
      <c r="V217" s="1742">
        <v>2.2416666666666667</v>
      </c>
      <c r="W217" s="1742">
        <v>15.80644</v>
      </c>
      <c r="X217" s="1742">
        <v>24.72468666666667</v>
      </c>
      <c r="Y217" s="2106">
        <v>42.772793333333333</v>
      </c>
      <c r="Z217" s="2106">
        <v>295.89999999999998</v>
      </c>
      <c r="AA217" s="2106">
        <v>3698.75</v>
      </c>
      <c r="AB217" s="2106">
        <v>26080.626</v>
      </c>
      <c r="AC217" s="2106">
        <v>40795.733000000007</v>
      </c>
      <c r="AD217" s="1744">
        <v>70575.109000000011</v>
      </c>
      <c r="AE217" s="2126">
        <v>0.5</v>
      </c>
      <c r="AF217" s="2126">
        <v>825</v>
      </c>
      <c r="AG217" s="1212">
        <v>1</v>
      </c>
      <c r="AH217" s="1212">
        <v>0</v>
      </c>
      <c r="AI217" s="1212">
        <v>0</v>
      </c>
      <c r="AJ217" s="1212">
        <v>1</v>
      </c>
      <c r="AK217" s="2126">
        <v>70575.109000000011</v>
      </c>
      <c r="AL217" s="2126">
        <v>0</v>
      </c>
      <c r="AM217" s="2126">
        <v>0</v>
      </c>
      <c r="AN217" s="2126">
        <v>70575.109000000011</v>
      </c>
      <c r="AO217" s="1743" t="s">
        <v>85</v>
      </c>
      <c r="AP217" s="1743" t="s">
        <v>90</v>
      </c>
      <c r="AQ217" s="1764" t="s">
        <v>192</v>
      </c>
      <c r="AR217" s="1743" t="s">
        <v>87</v>
      </c>
      <c r="AS217" s="2135"/>
      <c r="AT217" s="2135"/>
      <c r="AU217" s="1212">
        <v>0.33333333333333331</v>
      </c>
      <c r="AV217" s="1212">
        <v>0.33333333333333331</v>
      </c>
      <c r="AW217" s="1212">
        <v>0.33333333333333331</v>
      </c>
      <c r="AX217" s="1212"/>
      <c r="AY217" s="1212"/>
      <c r="AZ217" s="1212"/>
      <c r="BA217" s="1212"/>
      <c r="BB217" s="1212"/>
      <c r="BC217" s="1212"/>
      <c r="BD217" s="1212"/>
      <c r="BE217" s="1212"/>
      <c r="BF217" s="2126">
        <v>0</v>
      </c>
      <c r="BG217" s="2126">
        <v>0</v>
      </c>
      <c r="BH217" s="2126">
        <v>23525.036333333337</v>
      </c>
      <c r="BI217" s="2126">
        <v>23525.036333333337</v>
      </c>
      <c r="BJ217" s="2126">
        <v>23525.036333333337</v>
      </c>
      <c r="BK217" s="2126">
        <v>0</v>
      </c>
      <c r="BL217" s="2126">
        <v>0</v>
      </c>
      <c r="BM217" s="2126">
        <v>0</v>
      </c>
      <c r="BN217" s="2126">
        <v>0</v>
      </c>
      <c r="BO217" s="2126">
        <v>0</v>
      </c>
      <c r="BP217" s="2126">
        <v>0</v>
      </c>
      <c r="BQ217" s="2126">
        <v>0</v>
      </c>
      <c r="BR217" s="2126">
        <v>0</v>
      </c>
    </row>
    <row r="218" spans="1:70" s="1765" customFormat="1" ht="49.5">
      <c r="A218" s="1272">
        <v>2000</v>
      </c>
      <c r="B218" s="971" t="s">
        <v>119</v>
      </c>
      <c r="C218" s="1272">
        <v>2500</v>
      </c>
      <c r="D218" s="971" t="s">
        <v>452</v>
      </c>
      <c r="E218" s="971" t="s">
        <v>453</v>
      </c>
      <c r="F218" s="971" t="s">
        <v>454</v>
      </c>
      <c r="G218" s="971" t="s">
        <v>513</v>
      </c>
      <c r="H218" s="971" t="s">
        <v>534</v>
      </c>
      <c r="I218" s="1273" t="s">
        <v>535</v>
      </c>
      <c r="J218" s="971" t="s">
        <v>124</v>
      </c>
      <c r="K218" s="971" t="s">
        <v>784</v>
      </c>
      <c r="L218" s="971" t="s">
        <v>2852</v>
      </c>
      <c r="M218" s="971" t="s">
        <v>537</v>
      </c>
      <c r="N218" s="971" t="s">
        <v>127</v>
      </c>
      <c r="O218" s="971" t="s">
        <v>539</v>
      </c>
      <c r="P218" s="971"/>
      <c r="Q218" s="971" t="s">
        <v>540</v>
      </c>
      <c r="R218" s="1266" t="s">
        <v>541</v>
      </c>
      <c r="S218" s="2106">
        <v>500</v>
      </c>
      <c r="T218" s="1266" t="s">
        <v>136</v>
      </c>
      <c r="U218" s="1742">
        <v>0.22416666666666665</v>
      </c>
      <c r="V218" s="1742">
        <v>2.8020833333333335</v>
      </c>
      <c r="W218" s="1742">
        <v>19.758049999999997</v>
      </c>
      <c r="X218" s="1742">
        <v>30.905858333333335</v>
      </c>
      <c r="Y218" s="2106">
        <v>53.46599166666666</v>
      </c>
      <c r="Z218" s="2106">
        <v>112.08333333333333</v>
      </c>
      <c r="AA218" s="2106">
        <v>1401.0416666666667</v>
      </c>
      <c r="AB218" s="2106">
        <v>9879.0249999999978</v>
      </c>
      <c r="AC218" s="2106">
        <v>15452.929166666667</v>
      </c>
      <c r="AD218" s="1744">
        <v>26732.995833333331</v>
      </c>
      <c r="AE218" s="2126">
        <v>1</v>
      </c>
      <c r="AF218" s="2126">
        <v>500</v>
      </c>
      <c r="AG218" s="1212">
        <v>1</v>
      </c>
      <c r="AH218" s="1212">
        <v>0</v>
      </c>
      <c r="AI218" s="1212">
        <v>0</v>
      </c>
      <c r="AJ218" s="1212">
        <v>1</v>
      </c>
      <c r="AK218" s="2126">
        <v>26732.995833333331</v>
      </c>
      <c r="AL218" s="2126">
        <v>0</v>
      </c>
      <c r="AM218" s="2126">
        <v>0</v>
      </c>
      <c r="AN218" s="2126">
        <v>26732.995833333331</v>
      </c>
      <c r="AO218" s="1743" t="s">
        <v>85</v>
      </c>
      <c r="AP218" s="1743" t="s">
        <v>90</v>
      </c>
      <c r="AQ218" s="1764" t="s">
        <v>192</v>
      </c>
      <c r="AR218" s="1743" t="s">
        <v>87</v>
      </c>
      <c r="AS218" s="2135"/>
      <c r="AT218" s="2135"/>
      <c r="AU218" s="1212">
        <v>0.33333333333333331</v>
      </c>
      <c r="AV218" s="1212">
        <v>0.33333333333333331</v>
      </c>
      <c r="AW218" s="1212">
        <v>0.33333333333333331</v>
      </c>
      <c r="AX218" s="1212"/>
      <c r="AY218" s="1212"/>
      <c r="AZ218" s="1212"/>
      <c r="BA218" s="1212"/>
      <c r="BB218" s="1212"/>
      <c r="BC218" s="1212"/>
      <c r="BD218" s="1212"/>
      <c r="BE218" s="1212"/>
      <c r="BF218" s="2126">
        <v>0</v>
      </c>
      <c r="BG218" s="2126">
        <v>0</v>
      </c>
      <c r="BH218" s="2126">
        <v>8910.9986111111102</v>
      </c>
      <c r="BI218" s="2126">
        <v>8910.9986111111102</v>
      </c>
      <c r="BJ218" s="2126">
        <v>8910.9986111111102</v>
      </c>
      <c r="BK218" s="2126">
        <v>0</v>
      </c>
      <c r="BL218" s="2126">
        <v>0</v>
      </c>
      <c r="BM218" s="2126">
        <v>0</v>
      </c>
      <c r="BN218" s="2126">
        <v>0</v>
      </c>
      <c r="BO218" s="2126">
        <v>0</v>
      </c>
      <c r="BP218" s="2126">
        <v>0</v>
      </c>
      <c r="BQ218" s="2126">
        <v>0</v>
      </c>
      <c r="BR218" s="2126">
        <v>0</v>
      </c>
    </row>
    <row r="219" spans="1:70" s="1765" customFormat="1" ht="49.5">
      <c r="A219" s="1272">
        <v>2000</v>
      </c>
      <c r="B219" s="971" t="s">
        <v>119</v>
      </c>
      <c r="C219" s="1272">
        <v>2500</v>
      </c>
      <c r="D219" s="971" t="s">
        <v>452</v>
      </c>
      <c r="E219" s="971" t="s">
        <v>453</v>
      </c>
      <c r="F219" s="971" t="s">
        <v>454</v>
      </c>
      <c r="G219" s="971" t="s">
        <v>513</v>
      </c>
      <c r="H219" s="971" t="s">
        <v>534</v>
      </c>
      <c r="I219" s="1273" t="s">
        <v>535</v>
      </c>
      <c r="J219" s="971" t="s">
        <v>124</v>
      </c>
      <c r="K219" s="971" t="s">
        <v>784</v>
      </c>
      <c r="L219" s="971" t="s">
        <v>2852</v>
      </c>
      <c r="M219" s="971" t="s">
        <v>537</v>
      </c>
      <c r="N219" s="971" t="s">
        <v>127</v>
      </c>
      <c r="O219" s="971" t="s">
        <v>539</v>
      </c>
      <c r="P219" s="971"/>
      <c r="Q219" s="971" t="s">
        <v>540</v>
      </c>
      <c r="R219" s="1266" t="s">
        <v>541</v>
      </c>
      <c r="S219" s="2106">
        <v>-500</v>
      </c>
      <c r="T219" s="1266" t="s">
        <v>136</v>
      </c>
      <c r="U219" s="1742">
        <v>0.22416666666666665</v>
      </c>
      <c r="V219" s="1742">
        <v>2.8020833333333335</v>
      </c>
      <c r="W219" s="1742">
        <v>19.758049999999997</v>
      </c>
      <c r="X219" s="1742">
        <v>30.905858333333335</v>
      </c>
      <c r="Y219" s="2106">
        <v>53.46599166666666</v>
      </c>
      <c r="Z219" s="2106">
        <v>-112.08333333333333</v>
      </c>
      <c r="AA219" s="2106">
        <v>-1401.0416666666667</v>
      </c>
      <c r="AB219" s="2106">
        <v>-9879.0249999999978</v>
      </c>
      <c r="AC219" s="2106">
        <v>-15452.929166666667</v>
      </c>
      <c r="AD219" s="1744">
        <v>-26732.995833333331</v>
      </c>
      <c r="AE219" s="2126">
        <v>1</v>
      </c>
      <c r="AF219" s="2126">
        <v>-500</v>
      </c>
      <c r="AG219" s="1212">
        <v>1</v>
      </c>
      <c r="AH219" s="1212">
        <v>0</v>
      </c>
      <c r="AI219" s="1212">
        <v>0</v>
      </c>
      <c r="AJ219" s="1212">
        <v>1</v>
      </c>
      <c r="AK219" s="2126">
        <v>-26732.995833333331</v>
      </c>
      <c r="AL219" s="2126">
        <v>0</v>
      </c>
      <c r="AM219" s="2126">
        <v>0</v>
      </c>
      <c r="AN219" s="2126">
        <v>-26732.995833333331</v>
      </c>
      <c r="AO219" s="1743" t="s">
        <v>85</v>
      </c>
      <c r="AP219" s="1743" t="s">
        <v>96</v>
      </c>
      <c r="AQ219" s="1764" t="s">
        <v>118</v>
      </c>
      <c r="AR219" s="1743" t="s">
        <v>87</v>
      </c>
      <c r="AS219" s="2135"/>
      <c r="AT219" s="2135"/>
      <c r="AU219" s="1212">
        <v>0.33333333333333331</v>
      </c>
      <c r="AV219" s="1212">
        <v>0.33333333333333331</v>
      </c>
      <c r="AW219" s="1212">
        <v>0.33333333333333331</v>
      </c>
      <c r="AX219" s="1212"/>
      <c r="AY219" s="1212"/>
      <c r="AZ219" s="1212"/>
      <c r="BA219" s="1212"/>
      <c r="BB219" s="1212"/>
      <c r="BC219" s="1212"/>
      <c r="BD219" s="1212"/>
      <c r="BE219" s="1212"/>
      <c r="BF219" s="2126">
        <v>0</v>
      </c>
      <c r="BG219" s="2126">
        <v>0</v>
      </c>
      <c r="BH219" s="2126">
        <v>-8910.9986111111102</v>
      </c>
      <c r="BI219" s="2126">
        <v>-8910.9986111111102</v>
      </c>
      <c r="BJ219" s="2126">
        <v>-8910.9986111111102</v>
      </c>
      <c r="BK219" s="2126">
        <v>0</v>
      </c>
      <c r="BL219" s="2126">
        <v>0</v>
      </c>
      <c r="BM219" s="2126">
        <v>0</v>
      </c>
      <c r="BN219" s="2126">
        <v>0</v>
      </c>
      <c r="BO219" s="2126">
        <v>0</v>
      </c>
      <c r="BP219" s="2126">
        <v>0</v>
      </c>
      <c r="BQ219" s="2126">
        <v>0</v>
      </c>
      <c r="BR219" s="2126">
        <v>0</v>
      </c>
    </row>
    <row r="220" spans="1:70" s="1765" customFormat="1" ht="49.5">
      <c r="A220" s="1272">
        <v>2000</v>
      </c>
      <c r="B220" s="971" t="s">
        <v>119</v>
      </c>
      <c r="C220" s="1272">
        <v>2500</v>
      </c>
      <c r="D220" s="971" t="s">
        <v>452</v>
      </c>
      <c r="E220" s="971" t="s">
        <v>453</v>
      </c>
      <c r="F220" s="971" t="s">
        <v>454</v>
      </c>
      <c r="G220" s="971" t="s">
        <v>513</v>
      </c>
      <c r="H220" s="971" t="s">
        <v>514</v>
      </c>
      <c r="I220" s="1273" t="s">
        <v>535</v>
      </c>
      <c r="J220" s="971" t="s">
        <v>124</v>
      </c>
      <c r="K220" s="971" t="s">
        <v>784</v>
      </c>
      <c r="L220" s="971" t="s">
        <v>2852</v>
      </c>
      <c r="M220" s="971" t="s">
        <v>537</v>
      </c>
      <c r="N220" s="971" t="s">
        <v>127</v>
      </c>
      <c r="O220" s="971" t="s">
        <v>539</v>
      </c>
      <c r="P220" s="971"/>
      <c r="Q220" s="971" t="s">
        <v>542</v>
      </c>
      <c r="R220" s="1266"/>
      <c r="S220" s="2106">
        <v>72</v>
      </c>
      <c r="T220" s="1266" t="s">
        <v>136</v>
      </c>
      <c r="U220" s="1742">
        <v>0.22416666666666665</v>
      </c>
      <c r="V220" s="1742">
        <v>2.8020833333333335</v>
      </c>
      <c r="W220" s="1742">
        <v>19.758049999999997</v>
      </c>
      <c r="X220" s="1742">
        <v>30.905858333333335</v>
      </c>
      <c r="Y220" s="2106">
        <v>53.46599166666666</v>
      </c>
      <c r="Z220" s="2106">
        <v>16.14</v>
      </c>
      <c r="AA220" s="2106">
        <v>201.75</v>
      </c>
      <c r="AB220" s="2106">
        <v>1422.5795999999998</v>
      </c>
      <c r="AC220" s="2106">
        <v>2225.2218000000003</v>
      </c>
      <c r="AD220" s="1744">
        <v>3849.5514000000003</v>
      </c>
      <c r="AE220" s="2126">
        <v>1</v>
      </c>
      <c r="AF220" s="2126">
        <v>72</v>
      </c>
      <c r="AG220" s="1212">
        <v>1</v>
      </c>
      <c r="AH220" s="1212">
        <v>0</v>
      </c>
      <c r="AI220" s="1212">
        <v>0</v>
      </c>
      <c r="AJ220" s="1212">
        <v>1</v>
      </c>
      <c r="AK220" s="2126">
        <v>3849.5514000000003</v>
      </c>
      <c r="AL220" s="2126">
        <v>0</v>
      </c>
      <c r="AM220" s="2126">
        <v>0</v>
      </c>
      <c r="AN220" s="2126">
        <v>3849.5514000000003</v>
      </c>
      <c r="AO220" s="1743" t="s">
        <v>85</v>
      </c>
      <c r="AP220" s="1743" t="s">
        <v>90</v>
      </c>
      <c r="AQ220" s="1764">
        <v>2019</v>
      </c>
      <c r="AR220" s="1743" t="s">
        <v>87</v>
      </c>
      <c r="AS220" s="2135"/>
      <c r="AT220" s="2135"/>
      <c r="AU220" s="1212">
        <v>0.33333333333333331</v>
      </c>
      <c r="AV220" s="1212">
        <v>0.33333333333333331</v>
      </c>
      <c r="AW220" s="1212">
        <v>0.33333333333333331</v>
      </c>
      <c r="AX220" s="1212"/>
      <c r="AY220" s="1212"/>
      <c r="AZ220" s="1212"/>
      <c r="BA220" s="1212"/>
      <c r="BB220" s="1212"/>
      <c r="BC220" s="1212"/>
      <c r="BD220" s="1212"/>
      <c r="BE220" s="1212"/>
      <c r="BF220" s="2126">
        <v>0</v>
      </c>
      <c r="BG220" s="2126">
        <v>0</v>
      </c>
      <c r="BH220" s="2126">
        <v>1283.1838</v>
      </c>
      <c r="BI220" s="2126">
        <v>1283.1838</v>
      </c>
      <c r="BJ220" s="2126">
        <v>1283.1838</v>
      </c>
      <c r="BK220" s="2126">
        <v>0</v>
      </c>
      <c r="BL220" s="2126">
        <v>0</v>
      </c>
      <c r="BM220" s="2126">
        <v>0</v>
      </c>
      <c r="BN220" s="2126">
        <v>0</v>
      </c>
      <c r="BO220" s="2126">
        <v>0</v>
      </c>
      <c r="BP220" s="2126">
        <v>0</v>
      </c>
      <c r="BQ220" s="2126">
        <v>0</v>
      </c>
      <c r="BR220" s="2126">
        <v>0</v>
      </c>
    </row>
    <row r="221" spans="1:70" s="1765" customFormat="1" ht="49.5">
      <c r="A221" s="1272">
        <v>2000</v>
      </c>
      <c r="B221" s="971" t="s">
        <v>119</v>
      </c>
      <c r="C221" s="1272">
        <v>2500</v>
      </c>
      <c r="D221" s="971" t="s">
        <v>452</v>
      </c>
      <c r="E221" s="971" t="s">
        <v>453</v>
      </c>
      <c r="F221" s="971" t="s">
        <v>454</v>
      </c>
      <c r="G221" s="971" t="s">
        <v>513</v>
      </c>
      <c r="H221" s="971" t="s">
        <v>514</v>
      </c>
      <c r="I221" s="1273" t="s">
        <v>535</v>
      </c>
      <c r="J221" s="971" t="s">
        <v>124</v>
      </c>
      <c r="K221" s="971" t="s">
        <v>784</v>
      </c>
      <c r="L221" s="971" t="s">
        <v>2852</v>
      </c>
      <c r="M221" s="971" t="s">
        <v>537</v>
      </c>
      <c r="N221" s="971" t="s">
        <v>127</v>
      </c>
      <c r="O221" s="971" t="s">
        <v>539</v>
      </c>
      <c r="P221" s="971"/>
      <c r="Q221" s="971" t="s">
        <v>543</v>
      </c>
      <c r="R221" s="1266"/>
      <c r="S221" s="2106">
        <v>72</v>
      </c>
      <c r="T221" s="1266" t="s">
        <v>136</v>
      </c>
      <c r="U221" s="1742">
        <v>0.22416666666666665</v>
      </c>
      <c r="V221" s="1742">
        <v>2.8020833333333335</v>
      </c>
      <c r="W221" s="1742">
        <v>19.758049999999997</v>
      </c>
      <c r="X221" s="1742">
        <v>30.905858333333335</v>
      </c>
      <c r="Y221" s="2106">
        <v>53.46599166666666</v>
      </c>
      <c r="Z221" s="2106">
        <v>16.14</v>
      </c>
      <c r="AA221" s="2106">
        <v>201.75</v>
      </c>
      <c r="AB221" s="2106">
        <v>1422.5795999999998</v>
      </c>
      <c r="AC221" s="2106">
        <v>2225.2218000000003</v>
      </c>
      <c r="AD221" s="1744">
        <v>3849.5514000000003</v>
      </c>
      <c r="AE221" s="2126">
        <v>1</v>
      </c>
      <c r="AF221" s="2126">
        <v>72</v>
      </c>
      <c r="AG221" s="1212">
        <v>1</v>
      </c>
      <c r="AH221" s="1212">
        <v>0</v>
      </c>
      <c r="AI221" s="1212">
        <v>0</v>
      </c>
      <c r="AJ221" s="1212">
        <v>1</v>
      </c>
      <c r="AK221" s="2126">
        <v>3849.5514000000003</v>
      </c>
      <c r="AL221" s="2126">
        <v>0</v>
      </c>
      <c r="AM221" s="2126">
        <v>0</v>
      </c>
      <c r="AN221" s="2126">
        <v>3849.5514000000003</v>
      </c>
      <c r="AO221" s="1743" t="s">
        <v>85</v>
      </c>
      <c r="AP221" s="1743" t="s">
        <v>90</v>
      </c>
      <c r="AQ221" s="1764">
        <v>2019</v>
      </c>
      <c r="AR221" s="1743" t="s">
        <v>87</v>
      </c>
      <c r="AS221" s="2135"/>
      <c r="AT221" s="2135"/>
      <c r="AU221" s="1212">
        <v>0.33333333333333331</v>
      </c>
      <c r="AV221" s="1212">
        <v>0.33333333333333331</v>
      </c>
      <c r="AW221" s="1212">
        <v>0.33333333333333331</v>
      </c>
      <c r="AX221" s="1212"/>
      <c r="AY221" s="1212"/>
      <c r="AZ221" s="1212"/>
      <c r="BA221" s="1212"/>
      <c r="BB221" s="1212"/>
      <c r="BC221" s="1212"/>
      <c r="BD221" s="1212"/>
      <c r="BE221" s="1212"/>
      <c r="BF221" s="2126">
        <v>0</v>
      </c>
      <c r="BG221" s="2126">
        <v>0</v>
      </c>
      <c r="BH221" s="2126">
        <v>1283.1838</v>
      </c>
      <c r="BI221" s="2126">
        <v>1283.1838</v>
      </c>
      <c r="BJ221" s="2126">
        <v>1283.1838</v>
      </c>
      <c r="BK221" s="2126">
        <v>0</v>
      </c>
      <c r="BL221" s="2126">
        <v>0</v>
      </c>
      <c r="BM221" s="2126">
        <v>0</v>
      </c>
      <c r="BN221" s="2126">
        <v>0</v>
      </c>
      <c r="BO221" s="2126">
        <v>0</v>
      </c>
      <c r="BP221" s="2126">
        <v>0</v>
      </c>
      <c r="BQ221" s="2126">
        <v>0</v>
      </c>
      <c r="BR221" s="2126">
        <v>0</v>
      </c>
    </row>
    <row r="222" spans="1:70" s="1765" customFormat="1" ht="49.5">
      <c r="A222" s="1272">
        <v>2000</v>
      </c>
      <c r="B222" s="971" t="s">
        <v>119</v>
      </c>
      <c r="C222" s="1272">
        <v>2500</v>
      </c>
      <c r="D222" s="971" t="s">
        <v>452</v>
      </c>
      <c r="E222" s="971" t="s">
        <v>453</v>
      </c>
      <c r="F222" s="971" t="s">
        <v>454</v>
      </c>
      <c r="G222" s="971" t="s">
        <v>513</v>
      </c>
      <c r="H222" s="971" t="s">
        <v>514</v>
      </c>
      <c r="I222" s="1273" t="s">
        <v>535</v>
      </c>
      <c r="J222" s="971" t="s">
        <v>124</v>
      </c>
      <c r="K222" s="971" t="s">
        <v>784</v>
      </c>
      <c r="L222" s="971" t="s">
        <v>2852</v>
      </c>
      <c r="M222" s="971" t="s">
        <v>537</v>
      </c>
      <c r="N222" s="971" t="s">
        <v>127</v>
      </c>
      <c r="O222" s="971" t="s">
        <v>539</v>
      </c>
      <c r="P222" s="971"/>
      <c r="Q222" s="971" t="s">
        <v>544</v>
      </c>
      <c r="R222" s="1266"/>
      <c r="S222" s="2106">
        <v>72</v>
      </c>
      <c r="T222" s="1266" t="s">
        <v>136</v>
      </c>
      <c r="U222" s="1742">
        <v>0.22416666666666665</v>
      </c>
      <c r="V222" s="1742">
        <v>2.8020833333333335</v>
      </c>
      <c r="W222" s="1742">
        <v>19.758049999999997</v>
      </c>
      <c r="X222" s="1742">
        <v>30.905858333333335</v>
      </c>
      <c r="Y222" s="2106">
        <v>53.46599166666666</v>
      </c>
      <c r="Z222" s="2106">
        <v>16.14</v>
      </c>
      <c r="AA222" s="2106">
        <v>201.75</v>
      </c>
      <c r="AB222" s="2106">
        <v>1422.5795999999998</v>
      </c>
      <c r="AC222" s="2106">
        <v>2225.2218000000003</v>
      </c>
      <c r="AD222" s="1744">
        <v>3849.5514000000003</v>
      </c>
      <c r="AE222" s="2126">
        <v>1</v>
      </c>
      <c r="AF222" s="2126">
        <v>72</v>
      </c>
      <c r="AG222" s="1212">
        <v>1</v>
      </c>
      <c r="AH222" s="1212">
        <v>0</v>
      </c>
      <c r="AI222" s="1212">
        <v>0</v>
      </c>
      <c r="AJ222" s="1212">
        <v>1</v>
      </c>
      <c r="AK222" s="2126">
        <v>3849.5514000000003</v>
      </c>
      <c r="AL222" s="2126">
        <v>0</v>
      </c>
      <c r="AM222" s="2126">
        <v>0</v>
      </c>
      <c r="AN222" s="2126">
        <v>3849.5514000000003</v>
      </c>
      <c r="AO222" s="1743" t="s">
        <v>85</v>
      </c>
      <c r="AP222" s="1743" t="s">
        <v>90</v>
      </c>
      <c r="AQ222" s="1764">
        <v>2020</v>
      </c>
      <c r="AR222" s="1743" t="s">
        <v>87</v>
      </c>
      <c r="AS222" s="2135"/>
      <c r="AT222" s="2135"/>
      <c r="AU222" s="1212">
        <v>0.33333333333333331</v>
      </c>
      <c r="AV222" s="1212">
        <v>0.33333333333333331</v>
      </c>
      <c r="AW222" s="1212">
        <v>0.33333333333333331</v>
      </c>
      <c r="AX222" s="1212"/>
      <c r="AY222" s="1212"/>
      <c r="AZ222" s="1212"/>
      <c r="BA222" s="1212"/>
      <c r="BB222" s="1212"/>
      <c r="BC222" s="1212"/>
      <c r="BD222" s="1212"/>
      <c r="BE222" s="1212"/>
      <c r="BF222" s="2126">
        <v>0</v>
      </c>
      <c r="BG222" s="2126">
        <v>0</v>
      </c>
      <c r="BH222" s="2126">
        <v>1283.1838</v>
      </c>
      <c r="BI222" s="2126">
        <v>1283.1838</v>
      </c>
      <c r="BJ222" s="2126">
        <v>1283.1838</v>
      </c>
      <c r="BK222" s="2126">
        <v>0</v>
      </c>
      <c r="BL222" s="2126">
        <v>0</v>
      </c>
      <c r="BM222" s="2126">
        <v>0</v>
      </c>
      <c r="BN222" s="2126">
        <v>0</v>
      </c>
      <c r="BO222" s="2126">
        <v>0</v>
      </c>
      <c r="BP222" s="2126">
        <v>0</v>
      </c>
      <c r="BQ222" s="2126">
        <v>0</v>
      </c>
      <c r="BR222" s="2126">
        <v>0</v>
      </c>
    </row>
    <row r="223" spans="1:70" s="1765" customFormat="1" ht="49.5">
      <c r="A223" s="1272">
        <v>2000</v>
      </c>
      <c r="B223" s="971" t="s">
        <v>119</v>
      </c>
      <c r="C223" s="1272">
        <v>2500</v>
      </c>
      <c r="D223" s="971" t="s">
        <v>452</v>
      </c>
      <c r="E223" s="971" t="s">
        <v>453</v>
      </c>
      <c r="F223" s="971" t="s">
        <v>454</v>
      </c>
      <c r="G223" s="971" t="s">
        <v>513</v>
      </c>
      <c r="H223" s="971" t="s">
        <v>514</v>
      </c>
      <c r="I223" s="1273" t="s">
        <v>535</v>
      </c>
      <c r="J223" s="971" t="s">
        <v>124</v>
      </c>
      <c r="K223" s="971" t="s">
        <v>784</v>
      </c>
      <c r="L223" s="971" t="s">
        <v>2852</v>
      </c>
      <c r="M223" s="971" t="s">
        <v>537</v>
      </c>
      <c r="N223" s="971" t="s">
        <v>127</v>
      </c>
      <c r="O223" s="971" t="s">
        <v>539</v>
      </c>
      <c r="P223" s="971"/>
      <c r="Q223" s="971" t="s">
        <v>545</v>
      </c>
      <c r="R223" s="1266"/>
      <c r="S223" s="2106">
        <v>72</v>
      </c>
      <c r="T223" s="1266" t="s">
        <v>136</v>
      </c>
      <c r="U223" s="1742">
        <v>0.22416666666666665</v>
      </c>
      <c r="V223" s="1742">
        <v>2.8020833333333335</v>
      </c>
      <c r="W223" s="1742">
        <v>19.758049999999997</v>
      </c>
      <c r="X223" s="1742">
        <v>30.905858333333335</v>
      </c>
      <c r="Y223" s="2106">
        <v>53.46599166666666</v>
      </c>
      <c r="Z223" s="2106">
        <v>16.14</v>
      </c>
      <c r="AA223" s="2106">
        <v>201.75</v>
      </c>
      <c r="AB223" s="2106">
        <v>1422.5795999999998</v>
      </c>
      <c r="AC223" s="2106">
        <v>2225.2218000000003</v>
      </c>
      <c r="AD223" s="1744">
        <v>3849.5514000000003</v>
      </c>
      <c r="AE223" s="2126">
        <v>1</v>
      </c>
      <c r="AF223" s="2126">
        <v>72</v>
      </c>
      <c r="AG223" s="1212">
        <v>1</v>
      </c>
      <c r="AH223" s="1212">
        <v>0</v>
      </c>
      <c r="AI223" s="1212">
        <v>0</v>
      </c>
      <c r="AJ223" s="1212">
        <v>1</v>
      </c>
      <c r="AK223" s="2126">
        <v>3849.5514000000003</v>
      </c>
      <c r="AL223" s="2126">
        <v>0</v>
      </c>
      <c r="AM223" s="2126">
        <v>0</v>
      </c>
      <c r="AN223" s="2126">
        <v>3849.5514000000003</v>
      </c>
      <c r="AO223" s="1743" t="s">
        <v>85</v>
      </c>
      <c r="AP223" s="1743" t="s">
        <v>90</v>
      </c>
      <c r="AQ223" s="1764">
        <v>2019</v>
      </c>
      <c r="AR223" s="1743" t="s">
        <v>87</v>
      </c>
      <c r="AS223" s="2135"/>
      <c r="AT223" s="2135"/>
      <c r="AU223" s="1212">
        <v>0.33333333333333331</v>
      </c>
      <c r="AV223" s="1212">
        <v>0.33333333333333331</v>
      </c>
      <c r="AW223" s="1212">
        <v>0.33333333333333331</v>
      </c>
      <c r="AX223" s="1212"/>
      <c r="AY223" s="1212"/>
      <c r="AZ223" s="1212"/>
      <c r="BA223" s="1212"/>
      <c r="BB223" s="1212"/>
      <c r="BC223" s="1212"/>
      <c r="BD223" s="1212"/>
      <c r="BE223" s="1212"/>
      <c r="BF223" s="2126">
        <v>0</v>
      </c>
      <c r="BG223" s="2126">
        <v>0</v>
      </c>
      <c r="BH223" s="2126">
        <v>1283.1838</v>
      </c>
      <c r="BI223" s="2126">
        <v>1283.1838</v>
      </c>
      <c r="BJ223" s="2126">
        <v>1283.1838</v>
      </c>
      <c r="BK223" s="2126">
        <v>0</v>
      </c>
      <c r="BL223" s="2126">
        <v>0</v>
      </c>
      <c r="BM223" s="2126">
        <v>0</v>
      </c>
      <c r="BN223" s="2126">
        <v>0</v>
      </c>
      <c r="BO223" s="2126">
        <v>0</v>
      </c>
      <c r="BP223" s="2126">
        <v>0</v>
      </c>
      <c r="BQ223" s="2126">
        <v>0</v>
      </c>
      <c r="BR223" s="2126">
        <v>0</v>
      </c>
    </row>
    <row r="224" spans="1:70" s="1765" customFormat="1" ht="49.5">
      <c r="A224" s="1272">
        <v>2000</v>
      </c>
      <c r="B224" s="971" t="s">
        <v>119</v>
      </c>
      <c r="C224" s="1272">
        <v>2500</v>
      </c>
      <c r="D224" s="971" t="s">
        <v>452</v>
      </c>
      <c r="E224" s="971" t="s">
        <v>453</v>
      </c>
      <c r="F224" s="971" t="s">
        <v>454</v>
      </c>
      <c r="G224" s="971" t="s">
        <v>513</v>
      </c>
      <c r="H224" s="971" t="s">
        <v>514</v>
      </c>
      <c r="I224" s="1273" t="s">
        <v>535</v>
      </c>
      <c r="J224" s="971" t="s">
        <v>124</v>
      </c>
      <c r="K224" s="971" t="s">
        <v>784</v>
      </c>
      <c r="L224" s="971" t="s">
        <v>2852</v>
      </c>
      <c r="M224" s="971" t="s">
        <v>537</v>
      </c>
      <c r="N224" s="971" t="s">
        <v>127</v>
      </c>
      <c r="O224" s="971" t="s">
        <v>539</v>
      </c>
      <c r="P224" s="971"/>
      <c r="Q224" s="971" t="s">
        <v>546</v>
      </c>
      <c r="R224" s="1266"/>
      <c r="S224" s="2106">
        <v>180</v>
      </c>
      <c r="T224" s="1266" t="s">
        <v>136</v>
      </c>
      <c r="U224" s="1742">
        <v>0.22416666666666665</v>
      </c>
      <c r="V224" s="1742">
        <v>2.8020833333333335</v>
      </c>
      <c r="W224" s="1742">
        <v>19.758049999999997</v>
      </c>
      <c r="X224" s="1742">
        <v>30.905858333333335</v>
      </c>
      <c r="Y224" s="2106">
        <v>53.46599166666666</v>
      </c>
      <c r="Z224" s="2106">
        <v>40.349999999999994</v>
      </c>
      <c r="AA224" s="2106">
        <v>504.375</v>
      </c>
      <c r="AB224" s="2106">
        <v>3556.4489999999996</v>
      </c>
      <c r="AC224" s="2106">
        <v>5563.0545000000002</v>
      </c>
      <c r="AD224" s="1744">
        <v>9623.8784999999989</v>
      </c>
      <c r="AE224" s="2126">
        <v>1</v>
      </c>
      <c r="AF224" s="2126">
        <v>180</v>
      </c>
      <c r="AG224" s="1212">
        <v>1</v>
      </c>
      <c r="AH224" s="1212">
        <v>0</v>
      </c>
      <c r="AI224" s="1212">
        <v>0</v>
      </c>
      <c r="AJ224" s="1212">
        <v>1</v>
      </c>
      <c r="AK224" s="2126">
        <v>9623.8784999999989</v>
      </c>
      <c r="AL224" s="2126">
        <v>0</v>
      </c>
      <c r="AM224" s="2126">
        <v>0</v>
      </c>
      <c r="AN224" s="2126">
        <v>9623.8784999999989</v>
      </c>
      <c r="AO224" s="1743" t="s">
        <v>85</v>
      </c>
      <c r="AP224" s="1743" t="s">
        <v>90</v>
      </c>
      <c r="AQ224" s="1764">
        <v>2019</v>
      </c>
      <c r="AR224" s="1743" t="s">
        <v>87</v>
      </c>
      <c r="AS224" s="2135"/>
      <c r="AT224" s="2135"/>
      <c r="AU224" s="1212">
        <v>0.33333333333333331</v>
      </c>
      <c r="AV224" s="1212">
        <v>0.33333333333333331</v>
      </c>
      <c r="AW224" s="1212">
        <v>0.33333333333333331</v>
      </c>
      <c r="AX224" s="1212"/>
      <c r="AY224" s="1212"/>
      <c r="AZ224" s="1212"/>
      <c r="BA224" s="1212"/>
      <c r="BB224" s="1212"/>
      <c r="BC224" s="1212"/>
      <c r="BD224" s="1212"/>
      <c r="BE224" s="1212"/>
      <c r="BF224" s="2126">
        <v>0</v>
      </c>
      <c r="BG224" s="2126">
        <v>0</v>
      </c>
      <c r="BH224" s="2126">
        <v>3207.9594999999995</v>
      </c>
      <c r="BI224" s="2126">
        <v>3207.9594999999995</v>
      </c>
      <c r="BJ224" s="2126">
        <v>3207.9594999999995</v>
      </c>
      <c r="BK224" s="2126">
        <v>0</v>
      </c>
      <c r="BL224" s="2126">
        <v>0</v>
      </c>
      <c r="BM224" s="2126">
        <v>0</v>
      </c>
      <c r="BN224" s="2126">
        <v>0</v>
      </c>
      <c r="BO224" s="2126">
        <v>0</v>
      </c>
      <c r="BP224" s="2126">
        <v>0</v>
      </c>
      <c r="BQ224" s="2126">
        <v>0</v>
      </c>
      <c r="BR224" s="2126">
        <v>0</v>
      </c>
    </row>
    <row r="225" spans="1:70" s="1765" customFormat="1" ht="49.5">
      <c r="A225" s="1272">
        <v>2000</v>
      </c>
      <c r="B225" s="971" t="s">
        <v>119</v>
      </c>
      <c r="C225" s="1272">
        <v>2500</v>
      </c>
      <c r="D225" s="971" t="s">
        <v>452</v>
      </c>
      <c r="E225" s="971" t="s">
        <v>453</v>
      </c>
      <c r="F225" s="971" t="s">
        <v>454</v>
      </c>
      <c r="G225" s="971" t="s">
        <v>513</v>
      </c>
      <c r="H225" s="971" t="s">
        <v>514</v>
      </c>
      <c r="I225" s="1273" t="s">
        <v>535</v>
      </c>
      <c r="J225" s="971" t="s">
        <v>124</v>
      </c>
      <c r="K225" s="971" t="s">
        <v>784</v>
      </c>
      <c r="L225" s="971" t="s">
        <v>2852</v>
      </c>
      <c r="M225" s="971" t="s">
        <v>537</v>
      </c>
      <c r="N225" s="971" t="s">
        <v>127</v>
      </c>
      <c r="O225" s="971" t="s">
        <v>539</v>
      </c>
      <c r="P225" s="971"/>
      <c r="Q225" s="971" t="s">
        <v>547</v>
      </c>
      <c r="R225" s="1266" t="s">
        <v>548</v>
      </c>
      <c r="S225" s="2106">
        <v>89.219330855018583</v>
      </c>
      <c r="T225" s="1266" t="s">
        <v>136</v>
      </c>
      <c r="U225" s="1742">
        <v>0.22416666666666665</v>
      </c>
      <c r="V225" s="1742">
        <v>2.8020833333333335</v>
      </c>
      <c r="W225" s="1742">
        <v>19.758049999999997</v>
      </c>
      <c r="X225" s="1742">
        <v>30.905858333333335</v>
      </c>
      <c r="Y225" s="2106">
        <v>53.46599166666666</v>
      </c>
      <c r="Z225" s="2106">
        <v>19.999999999999996</v>
      </c>
      <c r="AA225" s="2106">
        <v>250</v>
      </c>
      <c r="AB225" s="2106">
        <v>1762.7999999999997</v>
      </c>
      <c r="AC225" s="2106">
        <v>2757.4</v>
      </c>
      <c r="AD225" s="1744">
        <v>4770.2</v>
      </c>
      <c r="AE225" s="2126">
        <v>1</v>
      </c>
      <c r="AF225" s="2126">
        <v>89.219330855018583</v>
      </c>
      <c r="AG225" s="1212">
        <v>1</v>
      </c>
      <c r="AH225" s="1212">
        <v>0</v>
      </c>
      <c r="AI225" s="1212">
        <v>0</v>
      </c>
      <c r="AJ225" s="1212">
        <v>1</v>
      </c>
      <c r="AK225" s="2126">
        <v>4770.2</v>
      </c>
      <c r="AL225" s="2126">
        <v>0</v>
      </c>
      <c r="AM225" s="2126">
        <v>0</v>
      </c>
      <c r="AN225" s="2126">
        <v>4770.2</v>
      </c>
      <c r="AO225" s="1743" t="s">
        <v>131</v>
      </c>
      <c r="AP225" s="1743"/>
      <c r="AQ225" s="1764">
        <v>2014</v>
      </c>
      <c r="AR225" s="1743" t="s">
        <v>87</v>
      </c>
      <c r="AS225" s="2135"/>
      <c r="AT225" s="2135"/>
      <c r="AU225" s="1212">
        <v>0.33333333333333331</v>
      </c>
      <c r="AV225" s="1212">
        <v>0.33333333333333331</v>
      </c>
      <c r="AW225" s="1212">
        <v>0.33333333333333331</v>
      </c>
      <c r="AX225" s="1212"/>
      <c r="AY225" s="1212"/>
      <c r="AZ225" s="1212"/>
      <c r="BA225" s="1212"/>
      <c r="BB225" s="1212"/>
      <c r="BC225" s="1212"/>
      <c r="BD225" s="1212"/>
      <c r="BE225" s="1212"/>
      <c r="BF225" s="2126">
        <v>0</v>
      </c>
      <c r="BG225" s="2126">
        <v>0</v>
      </c>
      <c r="BH225" s="2126">
        <v>1590.0666666666666</v>
      </c>
      <c r="BI225" s="2126">
        <v>1590.0666666666666</v>
      </c>
      <c r="BJ225" s="2126">
        <v>1590.0666666666666</v>
      </c>
      <c r="BK225" s="2126">
        <v>0</v>
      </c>
      <c r="BL225" s="2126">
        <v>0</v>
      </c>
      <c r="BM225" s="2126">
        <v>0</v>
      </c>
      <c r="BN225" s="2126">
        <v>0</v>
      </c>
      <c r="BO225" s="2126">
        <v>0</v>
      </c>
      <c r="BP225" s="2126">
        <v>0</v>
      </c>
      <c r="BQ225" s="2126">
        <v>0</v>
      </c>
      <c r="BR225" s="2126">
        <v>0</v>
      </c>
    </row>
    <row r="226" spans="1:70" s="1765" customFormat="1" ht="49.5">
      <c r="A226" s="1272">
        <v>2000</v>
      </c>
      <c r="B226" s="971" t="s">
        <v>119</v>
      </c>
      <c r="C226" s="1272">
        <v>2500</v>
      </c>
      <c r="D226" s="971" t="s">
        <v>452</v>
      </c>
      <c r="E226" s="971" t="s">
        <v>453</v>
      </c>
      <c r="F226" s="971" t="s">
        <v>454</v>
      </c>
      <c r="G226" s="971" t="s">
        <v>528</v>
      </c>
      <c r="H226" s="971" t="s">
        <v>514</v>
      </c>
      <c r="I226" s="1273" t="s">
        <v>549</v>
      </c>
      <c r="J226" s="971" t="s">
        <v>177</v>
      </c>
      <c r="K226" s="971" t="s">
        <v>188</v>
      </c>
      <c r="L226" s="971" t="s">
        <v>2841</v>
      </c>
      <c r="M226" s="971" t="s">
        <v>188</v>
      </c>
      <c r="N226" s="971" t="s">
        <v>179</v>
      </c>
      <c r="O226" s="971" t="s">
        <v>189</v>
      </c>
      <c r="P226" s="971"/>
      <c r="Q226" s="971" t="s">
        <v>550</v>
      </c>
      <c r="R226" s="1266" t="s">
        <v>551</v>
      </c>
      <c r="S226" s="2106">
        <v>1</v>
      </c>
      <c r="T226" s="1266" t="s">
        <v>242</v>
      </c>
      <c r="U226" s="1742">
        <v>15.5</v>
      </c>
      <c r="V226" s="1742">
        <v>162.5</v>
      </c>
      <c r="W226" s="1742">
        <v>1366.17</v>
      </c>
      <c r="X226" s="1742">
        <v>1792.3100000000002</v>
      </c>
      <c r="Y226" s="2106">
        <v>3320.98</v>
      </c>
      <c r="Z226" s="2106">
        <v>15.5</v>
      </c>
      <c r="AA226" s="2106">
        <v>162.5</v>
      </c>
      <c r="AB226" s="2106">
        <v>1366.17</v>
      </c>
      <c r="AC226" s="2106">
        <v>1792.3100000000002</v>
      </c>
      <c r="AD226" s="1744">
        <v>3320.9800000000005</v>
      </c>
      <c r="AE226" s="2126">
        <v>20</v>
      </c>
      <c r="AF226" s="2126">
        <v>20</v>
      </c>
      <c r="AG226" s="1212">
        <v>1</v>
      </c>
      <c r="AH226" s="1212">
        <v>0</v>
      </c>
      <c r="AI226" s="1212">
        <v>0</v>
      </c>
      <c r="AJ226" s="1212">
        <v>1</v>
      </c>
      <c r="AK226" s="2126">
        <v>3320.9800000000005</v>
      </c>
      <c r="AL226" s="2126">
        <v>0</v>
      </c>
      <c r="AM226" s="2126">
        <v>0</v>
      </c>
      <c r="AN226" s="2126">
        <v>3320.9800000000005</v>
      </c>
      <c r="AO226" s="1743" t="s">
        <v>131</v>
      </c>
      <c r="AP226" s="1743"/>
      <c r="AQ226" s="1764">
        <v>2014</v>
      </c>
      <c r="AR226" s="1743" t="s">
        <v>87</v>
      </c>
      <c r="AS226" s="2135"/>
      <c r="AT226" s="2135"/>
      <c r="AU226" s="1212">
        <v>0.5</v>
      </c>
      <c r="AV226" s="1212">
        <v>0.5</v>
      </c>
      <c r="AW226" s="1212"/>
      <c r="AX226" s="1212"/>
      <c r="AY226" s="1212"/>
      <c r="AZ226" s="1212"/>
      <c r="BA226" s="1212"/>
      <c r="BB226" s="1212"/>
      <c r="BC226" s="1212"/>
      <c r="BD226" s="1212"/>
      <c r="BE226" s="1212"/>
      <c r="BF226" s="2126">
        <v>0</v>
      </c>
      <c r="BG226" s="2126">
        <v>0</v>
      </c>
      <c r="BH226" s="2126">
        <v>1660.4900000000002</v>
      </c>
      <c r="BI226" s="2126">
        <v>1660.4900000000002</v>
      </c>
      <c r="BJ226" s="2126">
        <v>0</v>
      </c>
      <c r="BK226" s="2126">
        <v>0</v>
      </c>
      <c r="BL226" s="2126">
        <v>0</v>
      </c>
      <c r="BM226" s="2126">
        <v>0</v>
      </c>
      <c r="BN226" s="2126">
        <v>0</v>
      </c>
      <c r="BO226" s="2126">
        <v>0</v>
      </c>
      <c r="BP226" s="2126">
        <v>0</v>
      </c>
      <c r="BQ226" s="2126">
        <v>0</v>
      </c>
      <c r="BR226" s="2126">
        <v>0</v>
      </c>
    </row>
    <row r="227" spans="1:70" s="1765" customFormat="1" ht="49.5">
      <c r="A227" s="1272">
        <v>2000</v>
      </c>
      <c r="B227" s="971" t="s">
        <v>119</v>
      </c>
      <c r="C227" s="1272">
        <v>2500</v>
      </c>
      <c r="D227" s="971" t="s">
        <v>452</v>
      </c>
      <c r="E227" s="971" t="s">
        <v>453</v>
      </c>
      <c r="F227" s="971" t="s">
        <v>454</v>
      </c>
      <c r="G227" s="971" t="s">
        <v>528</v>
      </c>
      <c r="H227" s="971" t="s">
        <v>514</v>
      </c>
      <c r="I227" s="1273" t="s">
        <v>552</v>
      </c>
      <c r="J227" s="971" t="s">
        <v>177</v>
      </c>
      <c r="K227" s="971" t="s">
        <v>196</v>
      </c>
      <c r="L227" s="971" t="s">
        <v>197</v>
      </c>
      <c r="M227" s="971" t="s">
        <v>196</v>
      </c>
      <c r="N227" s="971" t="s">
        <v>179</v>
      </c>
      <c r="O227" s="971" t="s">
        <v>197</v>
      </c>
      <c r="P227" s="971"/>
      <c r="Q227" s="971" t="s">
        <v>553</v>
      </c>
      <c r="R227" s="1266" t="s">
        <v>554</v>
      </c>
      <c r="S227" s="2106">
        <v>1</v>
      </c>
      <c r="T227" s="1266" t="s">
        <v>242</v>
      </c>
      <c r="U227" s="1742">
        <v>9.6666666666666661</v>
      </c>
      <c r="V227" s="1742">
        <v>89.583333333333329</v>
      </c>
      <c r="W227" s="1742">
        <v>852.02</v>
      </c>
      <c r="X227" s="1742">
        <v>988.06833333333327</v>
      </c>
      <c r="Y227" s="2106">
        <v>1929.6716666666666</v>
      </c>
      <c r="Z227" s="2106">
        <v>9.6666666666666661</v>
      </c>
      <c r="AA227" s="2106">
        <v>89.583333333333329</v>
      </c>
      <c r="AB227" s="2106">
        <v>852.02</v>
      </c>
      <c r="AC227" s="2106">
        <v>988.06833333333327</v>
      </c>
      <c r="AD227" s="1744">
        <v>1929.6716666666666</v>
      </c>
      <c r="AE227" s="2126">
        <v>1</v>
      </c>
      <c r="AF227" s="2126">
        <v>1</v>
      </c>
      <c r="AG227" s="1212">
        <v>1</v>
      </c>
      <c r="AH227" s="1212">
        <v>0</v>
      </c>
      <c r="AI227" s="1212">
        <v>0</v>
      </c>
      <c r="AJ227" s="1212">
        <v>1</v>
      </c>
      <c r="AK227" s="2126">
        <v>1929.6716666666666</v>
      </c>
      <c r="AL227" s="2126">
        <v>0</v>
      </c>
      <c r="AM227" s="2126">
        <v>0</v>
      </c>
      <c r="AN227" s="2126">
        <v>1929.6716666666666</v>
      </c>
      <c r="AO227" s="1743" t="s">
        <v>131</v>
      </c>
      <c r="AP227" s="1743"/>
      <c r="AQ227" s="1764">
        <v>2014</v>
      </c>
      <c r="AR227" s="1743" t="s">
        <v>87</v>
      </c>
      <c r="AS227" s="2135"/>
      <c r="AT227" s="2135"/>
      <c r="AU227" s="1212">
        <v>0.33333333333333331</v>
      </c>
      <c r="AV227" s="1212">
        <v>0.33333333333333331</v>
      </c>
      <c r="AW227" s="1212">
        <v>0.33333333333333331</v>
      </c>
      <c r="AX227" s="1212"/>
      <c r="AY227" s="1212"/>
      <c r="AZ227" s="1212"/>
      <c r="BA227" s="1212"/>
      <c r="BB227" s="1212"/>
      <c r="BC227" s="1212"/>
      <c r="BD227" s="1212"/>
      <c r="BE227" s="1212"/>
      <c r="BF227" s="2126">
        <v>0</v>
      </c>
      <c r="BG227" s="2126">
        <v>0</v>
      </c>
      <c r="BH227" s="2126">
        <v>643.22388888888884</v>
      </c>
      <c r="BI227" s="2126">
        <v>643.22388888888884</v>
      </c>
      <c r="BJ227" s="2126">
        <v>643.22388888888884</v>
      </c>
      <c r="BK227" s="2126">
        <v>0</v>
      </c>
      <c r="BL227" s="2126">
        <v>0</v>
      </c>
      <c r="BM227" s="2126">
        <v>0</v>
      </c>
      <c r="BN227" s="2126">
        <v>0</v>
      </c>
      <c r="BO227" s="2126">
        <v>0</v>
      </c>
      <c r="BP227" s="2126">
        <v>0</v>
      </c>
      <c r="BQ227" s="2126">
        <v>0</v>
      </c>
      <c r="BR227" s="2126">
        <v>0</v>
      </c>
    </row>
    <row r="228" spans="1:70" s="1765" customFormat="1" ht="33">
      <c r="A228" s="1272">
        <v>2000</v>
      </c>
      <c r="B228" s="971" t="s">
        <v>119</v>
      </c>
      <c r="C228" s="1272">
        <v>2500</v>
      </c>
      <c r="D228" s="971" t="s">
        <v>452</v>
      </c>
      <c r="E228" s="971" t="s">
        <v>453</v>
      </c>
      <c r="F228" s="971" t="s">
        <v>454</v>
      </c>
      <c r="G228" s="971" t="s">
        <v>513</v>
      </c>
      <c r="H228" s="971" t="s">
        <v>514</v>
      </c>
      <c r="I228" s="1273" t="s">
        <v>555</v>
      </c>
      <c r="J228" s="971" t="s">
        <v>124</v>
      </c>
      <c r="K228" s="971" t="s">
        <v>145</v>
      </c>
      <c r="L228" s="971" t="s">
        <v>2871</v>
      </c>
      <c r="M228" s="971" t="s">
        <v>556</v>
      </c>
      <c r="N228" s="971" t="s">
        <v>141</v>
      </c>
      <c r="O228" s="971" t="s">
        <v>557</v>
      </c>
      <c r="P228" s="971"/>
      <c r="Q228" s="971" t="s">
        <v>558</v>
      </c>
      <c r="R228" s="1266" t="s">
        <v>548</v>
      </c>
      <c r="S228" s="2106">
        <v>89.219330855018583</v>
      </c>
      <c r="T228" s="1266" t="s">
        <v>136</v>
      </c>
      <c r="U228" s="1742">
        <v>0.12329166666666667</v>
      </c>
      <c r="V228" s="1742">
        <v>0.98072916666666676</v>
      </c>
      <c r="W228" s="1742">
        <v>6.9153175000000005</v>
      </c>
      <c r="X228" s="1742">
        <v>10.817050416666667</v>
      </c>
      <c r="Y228" s="2106">
        <v>18.713097083333334</v>
      </c>
      <c r="Z228" s="2106">
        <v>11</v>
      </c>
      <c r="AA228" s="2106">
        <v>87.5</v>
      </c>
      <c r="AB228" s="2106">
        <v>616.98</v>
      </c>
      <c r="AC228" s="2106">
        <v>965.09</v>
      </c>
      <c r="AD228" s="1744">
        <v>1669.5700000000002</v>
      </c>
      <c r="AE228" s="2126">
        <v>0.3</v>
      </c>
      <c r="AF228" s="2126">
        <v>26.765799256505574</v>
      </c>
      <c r="AG228" s="1212">
        <v>1</v>
      </c>
      <c r="AH228" s="1212">
        <v>0</v>
      </c>
      <c r="AI228" s="1212">
        <v>0</v>
      </c>
      <c r="AJ228" s="1212">
        <v>1</v>
      </c>
      <c r="AK228" s="2126">
        <v>1669.5700000000002</v>
      </c>
      <c r="AL228" s="2126">
        <v>0</v>
      </c>
      <c r="AM228" s="2126">
        <v>0</v>
      </c>
      <c r="AN228" s="2126">
        <v>1669.5700000000002</v>
      </c>
      <c r="AO228" s="1743" t="s">
        <v>131</v>
      </c>
      <c r="AP228" s="1743"/>
      <c r="AQ228" s="1764">
        <v>2014</v>
      </c>
      <c r="AR228" s="1743" t="s">
        <v>87</v>
      </c>
      <c r="AS228" s="2135"/>
      <c r="AT228" s="2135"/>
      <c r="AU228" s="1212">
        <v>0.33333333333333331</v>
      </c>
      <c r="AV228" s="1212">
        <v>0.33333333333333331</v>
      </c>
      <c r="AW228" s="1212">
        <v>0.33333333333333331</v>
      </c>
      <c r="AX228" s="1212"/>
      <c r="AY228" s="1212"/>
      <c r="AZ228" s="1212"/>
      <c r="BA228" s="1212"/>
      <c r="BB228" s="1212"/>
      <c r="BC228" s="1212"/>
      <c r="BD228" s="1212"/>
      <c r="BE228" s="1212"/>
      <c r="BF228" s="2126">
        <v>0</v>
      </c>
      <c r="BG228" s="2126">
        <v>0</v>
      </c>
      <c r="BH228" s="2126">
        <v>556.52333333333331</v>
      </c>
      <c r="BI228" s="2126">
        <v>556.52333333333331</v>
      </c>
      <c r="BJ228" s="2126">
        <v>556.52333333333331</v>
      </c>
      <c r="BK228" s="2126">
        <v>0</v>
      </c>
      <c r="BL228" s="2126">
        <v>0</v>
      </c>
      <c r="BM228" s="2126">
        <v>0</v>
      </c>
      <c r="BN228" s="2126">
        <v>0</v>
      </c>
      <c r="BO228" s="2126">
        <v>0</v>
      </c>
      <c r="BP228" s="2126">
        <v>0</v>
      </c>
      <c r="BQ228" s="2126">
        <v>0</v>
      </c>
      <c r="BR228" s="2126">
        <v>0</v>
      </c>
    </row>
    <row r="229" spans="1:70" s="1765" customFormat="1" ht="33">
      <c r="A229" s="1272">
        <v>2000</v>
      </c>
      <c r="B229" s="971" t="s">
        <v>119</v>
      </c>
      <c r="C229" s="1272">
        <v>2500</v>
      </c>
      <c r="D229" s="971" t="s">
        <v>452</v>
      </c>
      <c r="E229" s="971" t="s">
        <v>453</v>
      </c>
      <c r="F229" s="971" t="s">
        <v>454</v>
      </c>
      <c r="G229" s="971" t="s">
        <v>513</v>
      </c>
      <c r="H229" s="971" t="s">
        <v>514</v>
      </c>
      <c r="I229" s="1273" t="s">
        <v>559</v>
      </c>
      <c r="J229" s="971" t="s">
        <v>124</v>
      </c>
      <c r="K229" s="971"/>
      <c r="L229" s="971" t="e">
        <v>#N/A</v>
      </c>
      <c r="M229" s="971" t="s">
        <v>145</v>
      </c>
      <c r="N229" s="971" t="s">
        <v>141</v>
      </c>
      <c r="O229" s="971" t="s">
        <v>146</v>
      </c>
      <c r="P229" s="971"/>
      <c r="Q229" s="971" t="s">
        <v>560</v>
      </c>
      <c r="R229" s="1266" t="s">
        <v>548</v>
      </c>
      <c r="S229" s="2106">
        <v>89.219330855018583</v>
      </c>
      <c r="T229" s="1266" t="s">
        <v>136</v>
      </c>
      <c r="U229" s="1742" t="s">
        <v>6588</v>
      </c>
      <c r="V229" s="1742" t="s">
        <v>6588</v>
      </c>
      <c r="W229" s="1742" t="s">
        <v>6588</v>
      </c>
      <c r="X229" s="1742" t="s">
        <v>6588</v>
      </c>
      <c r="Y229" s="2106" t="s">
        <v>6588</v>
      </c>
      <c r="Z229" s="2106">
        <v>0</v>
      </c>
      <c r="AA229" s="2106">
        <v>0</v>
      </c>
      <c r="AB229" s="2106">
        <v>0</v>
      </c>
      <c r="AC229" s="2106">
        <v>0</v>
      </c>
      <c r="AD229" s="1744">
        <v>0</v>
      </c>
      <c r="AE229" s="2126">
        <v>0</v>
      </c>
      <c r="AF229" s="2126">
        <v>0</v>
      </c>
      <c r="AG229" s="1212">
        <v>1</v>
      </c>
      <c r="AH229" s="1212">
        <v>0</v>
      </c>
      <c r="AI229" s="1212">
        <v>0</v>
      </c>
      <c r="AJ229" s="1212">
        <v>1</v>
      </c>
      <c r="AK229" s="2126">
        <v>0</v>
      </c>
      <c r="AL229" s="2126">
        <v>0</v>
      </c>
      <c r="AM229" s="2126">
        <v>0</v>
      </c>
      <c r="AN229" s="2126">
        <v>0</v>
      </c>
      <c r="AO229" s="1743" t="s">
        <v>131</v>
      </c>
      <c r="AP229" s="1743"/>
      <c r="AQ229" s="1764">
        <v>2014</v>
      </c>
      <c r="AR229" s="1743" t="s">
        <v>87</v>
      </c>
      <c r="AS229" s="2135"/>
      <c r="AT229" s="2135"/>
      <c r="AU229" s="1212">
        <v>0.33333333333333331</v>
      </c>
      <c r="AV229" s="1212">
        <v>0.33333333333333331</v>
      </c>
      <c r="AW229" s="1212">
        <v>0.33333333333333331</v>
      </c>
      <c r="AX229" s="1212"/>
      <c r="AY229" s="1212"/>
      <c r="AZ229" s="1212"/>
      <c r="BA229" s="1212"/>
      <c r="BB229" s="1212"/>
      <c r="BC229" s="1212"/>
      <c r="BD229" s="1212"/>
      <c r="BE229" s="1212"/>
      <c r="BF229" s="2126">
        <v>0</v>
      </c>
      <c r="BG229" s="2126">
        <v>0</v>
      </c>
      <c r="BH229" s="2126">
        <v>0</v>
      </c>
      <c r="BI229" s="2126">
        <v>0</v>
      </c>
      <c r="BJ229" s="2126">
        <v>0</v>
      </c>
      <c r="BK229" s="2126">
        <v>0</v>
      </c>
      <c r="BL229" s="2126">
        <v>0</v>
      </c>
      <c r="BM229" s="2126">
        <v>0</v>
      </c>
      <c r="BN229" s="2126">
        <v>0</v>
      </c>
      <c r="BO229" s="2126">
        <v>0</v>
      </c>
      <c r="BP229" s="2126">
        <v>0</v>
      </c>
      <c r="BQ229" s="2126">
        <v>0</v>
      </c>
      <c r="BR229" s="2126">
        <v>0</v>
      </c>
    </row>
    <row r="230" spans="1:70" s="1765" customFormat="1" ht="49.5">
      <c r="A230" s="1272">
        <v>2000</v>
      </c>
      <c r="B230" s="971" t="s">
        <v>119</v>
      </c>
      <c r="C230" s="1272">
        <v>2500</v>
      </c>
      <c r="D230" s="971" t="s">
        <v>452</v>
      </c>
      <c r="E230" s="971" t="s">
        <v>453</v>
      </c>
      <c r="F230" s="971" t="s">
        <v>454</v>
      </c>
      <c r="G230" s="971" t="s">
        <v>513</v>
      </c>
      <c r="H230" s="971" t="s">
        <v>514</v>
      </c>
      <c r="I230" s="1273" t="s">
        <v>559</v>
      </c>
      <c r="J230" s="971" t="s">
        <v>124</v>
      </c>
      <c r="K230" s="971" t="s">
        <v>125</v>
      </c>
      <c r="L230" s="971" t="s">
        <v>2868</v>
      </c>
      <c r="M230" s="971" t="s">
        <v>126</v>
      </c>
      <c r="N230" s="971" t="s">
        <v>127</v>
      </c>
      <c r="O230" s="971" t="s">
        <v>128</v>
      </c>
      <c r="P230" s="971"/>
      <c r="Q230" s="971" t="s">
        <v>561</v>
      </c>
      <c r="R230" s="1266" t="s">
        <v>562</v>
      </c>
      <c r="S230" s="2106">
        <v>59.457920000000001</v>
      </c>
      <c r="T230" s="1266" t="s">
        <v>136</v>
      </c>
      <c r="U230" s="1742">
        <v>0.11208333333333333</v>
      </c>
      <c r="V230" s="1742">
        <v>1.4010416666666667</v>
      </c>
      <c r="W230" s="1742">
        <v>9.8790250000000004</v>
      </c>
      <c r="X230" s="1742">
        <v>15.452929166666667</v>
      </c>
      <c r="Y230" s="2106">
        <v>26.73299583333333</v>
      </c>
      <c r="Z230" s="2106">
        <v>6.6642418666666661</v>
      </c>
      <c r="AA230" s="2106">
        <v>83.303023333333343</v>
      </c>
      <c r="AB230" s="2106">
        <v>587.38627812800007</v>
      </c>
      <c r="AC230" s="2106">
        <v>918.7990261573334</v>
      </c>
      <c r="AD230" s="1744">
        <v>1589.488327618667</v>
      </c>
      <c r="AE230" s="2126">
        <v>1</v>
      </c>
      <c r="AF230" s="2126">
        <v>59.457920000000001</v>
      </c>
      <c r="AG230" s="1212">
        <v>1</v>
      </c>
      <c r="AH230" s="1212">
        <v>0</v>
      </c>
      <c r="AI230" s="1212">
        <v>0</v>
      </c>
      <c r="AJ230" s="1212">
        <v>1</v>
      </c>
      <c r="AK230" s="2126">
        <v>1589.488327618667</v>
      </c>
      <c r="AL230" s="2126">
        <v>0</v>
      </c>
      <c r="AM230" s="2126">
        <v>0</v>
      </c>
      <c r="AN230" s="2126">
        <v>1589.488327618667</v>
      </c>
      <c r="AO230" s="1743" t="s">
        <v>131</v>
      </c>
      <c r="AP230" s="1743" t="s">
        <v>563</v>
      </c>
      <c r="AQ230" s="1764">
        <v>2022</v>
      </c>
      <c r="AR230" s="1743" t="s">
        <v>87</v>
      </c>
      <c r="AS230" s="2135"/>
      <c r="AT230" s="2135"/>
      <c r="AU230" s="1212">
        <v>0.33333333333333331</v>
      </c>
      <c r="AV230" s="1212">
        <v>0.33333333333333331</v>
      </c>
      <c r="AW230" s="1212">
        <v>0.33333333333333331</v>
      </c>
      <c r="AX230" s="1212"/>
      <c r="AY230" s="1212"/>
      <c r="AZ230" s="1212"/>
      <c r="BA230" s="1212"/>
      <c r="BB230" s="1212"/>
      <c r="BC230" s="1212"/>
      <c r="BD230" s="1212"/>
      <c r="BE230" s="1212"/>
      <c r="BF230" s="2126">
        <v>0</v>
      </c>
      <c r="BG230" s="2126">
        <v>0</v>
      </c>
      <c r="BH230" s="2126">
        <v>529.82944253955566</v>
      </c>
      <c r="BI230" s="2126">
        <v>529.82944253955566</v>
      </c>
      <c r="BJ230" s="2126">
        <v>529.82944253955566</v>
      </c>
      <c r="BK230" s="2126">
        <v>0</v>
      </c>
      <c r="BL230" s="2126">
        <v>0</v>
      </c>
      <c r="BM230" s="2126">
        <v>0</v>
      </c>
      <c r="BN230" s="2126">
        <v>0</v>
      </c>
      <c r="BO230" s="2126">
        <v>0</v>
      </c>
      <c r="BP230" s="2126">
        <v>0</v>
      </c>
      <c r="BQ230" s="2126">
        <v>0</v>
      </c>
      <c r="BR230" s="2126">
        <v>0</v>
      </c>
    </row>
    <row r="231" spans="1:70" s="1765" customFormat="1" ht="49.5">
      <c r="A231" s="1272">
        <v>2000</v>
      </c>
      <c r="B231" s="971" t="s">
        <v>119</v>
      </c>
      <c r="C231" s="1272">
        <v>2500</v>
      </c>
      <c r="D231" s="971" t="s">
        <v>452</v>
      </c>
      <c r="E231" s="971" t="s">
        <v>453</v>
      </c>
      <c r="F231" s="971" t="s">
        <v>454</v>
      </c>
      <c r="G231" s="971" t="s">
        <v>513</v>
      </c>
      <c r="H231" s="971" t="s">
        <v>514</v>
      </c>
      <c r="I231" s="1273" t="s">
        <v>559</v>
      </c>
      <c r="J231" s="971" t="s">
        <v>124</v>
      </c>
      <c r="K231" s="971" t="s">
        <v>125</v>
      </c>
      <c r="L231" s="971" t="s">
        <v>2868</v>
      </c>
      <c r="M231" s="971" t="s">
        <v>126</v>
      </c>
      <c r="N231" s="971" t="s">
        <v>127</v>
      </c>
      <c r="O231" s="971" t="s">
        <v>128</v>
      </c>
      <c r="P231" s="971"/>
      <c r="Q231" s="971" t="s">
        <v>561</v>
      </c>
      <c r="R231" s="1266" t="s">
        <v>562</v>
      </c>
      <c r="S231" s="2106">
        <v>-59.457920000000001</v>
      </c>
      <c r="T231" s="1266" t="s">
        <v>136</v>
      </c>
      <c r="U231" s="1742">
        <v>0.11208333333333333</v>
      </c>
      <c r="V231" s="1742">
        <v>1.4010416666666667</v>
      </c>
      <c r="W231" s="1742">
        <v>9.8790250000000004</v>
      </c>
      <c r="X231" s="1742">
        <v>15.452929166666667</v>
      </c>
      <c r="Y231" s="2106">
        <v>26.73299583333333</v>
      </c>
      <c r="Z231" s="2106">
        <v>-6.6642418666666661</v>
      </c>
      <c r="AA231" s="2106">
        <v>-83.303023333333343</v>
      </c>
      <c r="AB231" s="2106">
        <v>-587.38627812800007</v>
      </c>
      <c r="AC231" s="2106">
        <v>-918.7990261573334</v>
      </c>
      <c r="AD231" s="1744">
        <v>-1589.488327618667</v>
      </c>
      <c r="AE231" s="2126">
        <v>1</v>
      </c>
      <c r="AF231" s="2126">
        <v>-59.457920000000001</v>
      </c>
      <c r="AG231" s="1212">
        <v>1</v>
      </c>
      <c r="AH231" s="1212">
        <v>0</v>
      </c>
      <c r="AI231" s="1212">
        <v>0</v>
      </c>
      <c r="AJ231" s="1212">
        <v>1</v>
      </c>
      <c r="AK231" s="2126">
        <v>-1589.488327618667</v>
      </c>
      <c r="AL231" s="2126">
        <v>0</v>
      </c>
      <c r="AM231" s="2126">
        <v>0</v>
      </c>
      <c r="AN231" s="2126">
        <v>-1589.488327618667</v>
      </c>
      <c r="AO231" s="1743" t="s">
        <v>131</v>
      </c>
      <c r="AP231" s="1743" t="s">
        <v>96</v>
      </c>
      <c r="AQ231" s="1764" t="s">
        <v>118</v>
      </c>
      <c r="AR231" s="1743" t="s">
        <v>87</v>
      </c>
      <c r="AS231" s="2135"/>
      <c r="AT231" s="2135"/>
      <c r="AU231" s="1212">
        <v>0.33333333333333331</v>
      </c>
      <c r="AV231" s="1212">
        <v>0.33333333333333331</v>
      </c>
      <c r="AW231" s="1212">
        <v>0.33333333333333331</v>
      </c>
      <c r="AX231" s="1212"/>
      <c r="AY231" s="1212"/>
      <c r="AZ231" s="1212"/>
      <c r="BA231" s="1212"/>
      <c r="BB231" s="1212"/>
      <c r="BC231" s="1212"/>
      <c r="BD231" s="1212"/>
      <c r="BE231" s="1212"/>
      <c r="BF231" s="2126">
        <v>0</v>
      </c>
      <c r="BG231" s="2126">
        <v>0</v>
      </c>
      <c r="BH231" s="2126">
        <v>-529.82944253955566</v>
      </c>
      <c r="BI231" s="2126">
        <v>-529.82944253955566</v>
      </c>
      <c r="BJ231" s="2126">
        <v>-529.82944253955566</v>
      </c>
      <c r="BK231" s="2126">
        <v>0</v>
      </c>
      <c r="BL231" s="2126">
        <v>0</v>
      </c>
      <c r="BM231" s="2126">
        <v>0</v>
      </c>
      <c r="BN231" s="2126">
        <v>0</v>
      </c>
      <c r="BO231" s="2126">
        <v>0</v>
      </c>
      <c r="BP231" s="2126">
        <v>0</v>
      </c>
      <c r="BQ231" s="2126">
        <v>0</v>
      </c>
      <c r="BR231" s="2126">
        <v>0</v>
      </c>
    </row>
    <row r="232" spans="1:70" s="1765" customFormat="1" ht="49.5">
      <c r="A232" s="1272">
        <v>2000</v>
      </c>
      <c r="B232" s="971" t="s">
        <v>119</v>
      </c>
      <c r="C232" s="1272">
        <v>2500</v>
      </c>
      <c r="D232" s="971" t="s">
        <v>452</v>
      </c>
      <c r="E232" s="971" t="s">
        <v>453</v>
      </c>
      <c r="F232" s="971" t="s">
        <v>454</v>
      </c>
      <c r="G232" s="971" t="s">
        <v>564</v>
      </c>
      <c r="H232" s="971" t="s">
        <v>565</v>
      </c>
      <c r="I232" s="1273" t="s">
        <v>566</v>
      </c>
      <c r="J232" s="971" t="s">
        <v>124</v>
      </c>
      <c r="K232" s="971" t="s">
        <v>784</v>
      </c>
      <c r="L232" s="971" t="s">
        <v>2852</v>
      </c>
      <c r="M232" s="971" t="s">
        <v>458</v>
      </c>
      <c r="N232" s="971" t="s">
        <v>127</v>
      </c>
      <c r="O232" s="971" t="s">
        <v>459</v>
      </c>
      <c r="P232" s="971"/>
      <c r="Q232" s="971" t="s">
        <v>567</v>
      </c>
      <c r="R232" s="1266" t="s">
        <v>568</v>
      </c>
      <c r="S232" s="2106">
        <v>1388.4758364312268</v>
      </c>
      <c r="T232" s="1266" t="s">
        <v>136</v>
      </c>
      <c r="U232" s="1742">
        <v>0.22416666666666665</v>
      </c>
      <c r="V232" s="1742">
        <v>2.8020833333333335</v>
      </c>
      <c r="W232" s="1742">
        <v>19.758049999999997</v>
      </c>
      <c r="X232" s="1742">
        <v>30.905858333333335</v>
      </c>
      <c r="Y232" s="2106">
        <v>53.46599166666666</v>
      </c>
      <c r="Z232" s="2106">
        <v>311.25</v>
      </c>
      <c r="AA232" s="2106">
        <v>3890.625</v>
      </c>
      <c r="AB232" s="2106">
        <v>27433.574999999997</v>
      </c>
      <c r="AC232" s="2106">
        <v>42912.037499999999</v>
      </c>
      <c r="AD232" s="1744">
        <v>74236.237499999988</v>
      </c>
      <c r="AE232" s="2126">
        <v>1</v>
      </c>
      <c r="AF232" s="2126">
        <v>1388.4758364312268</v>
      </c>
      <c r="AG232" s="1212">
        <v>1</v>
      </c>
      <c r="AH232" s="1212">
        <v>0</v>
      </c>
      <c r="AI232" s="1212">
        <v>0</v>
      </c>
      <c r="AJ232" s="1212">
        <v>1</v>
      </c>
      <c r="AK232" s="2126">
        <v>74236.237499999988</v>
      </c>
      <c r="AL232" s="2126">
        <v>0</v>
      </c>
      <c r="AM232" s="2126">
        <v>0</v>
      </c>
      <c r="AN232" s="2126">
        <v>74236.237499999988</v>
      </c>
      <c r="AO232" s="1743" t="s">
        <v>131</v>
      </c>
      <c r="AP232" s="1743"/>
      <c r="AQ232" s="1764">
        <v>2014</v>
      </c>
      <c r="AR232" s="1743" t="s">
        <v>87</v>
      </c>
      <c r="AS232" s="2135"/>
      <c r="AT232" s="2135"/>
      <c r="AU232" s="1212">
        <v>0.33333333333333331</v>
      </c>
      <c r="AV232" s="1212">
        <v>0.33333333333333331</v>
      </c>
      <c r="AW232" s="1212">
        <v>0.33333333333333331</v>
      </c>
      <c r="AX232" s="1212"/>
      <c r="AY232" s="1212"/>
      <c r="AZ232" s="1212"/>
      <c r="BA232" s="1212"/>
      <c r="BB232" s="1212"/>
      <c r="BC232" s="1212"/>
      <c r="BD232" s="1212"/>
      <c r="BE232" s="1212"/>
      <c r="BF232" s="2126">
        <v>0</v>
      </c>
      <c r="BG232" s="2126">
        <v>0</v>
      </c>
      <c r="BH232" s="2126">
        <v>24745.412499999995</v>
      </c>
      <c r="BI232" s="2126">
        <v>24745.412499999995</v>
      </c>
      <c r="BJ232" s="2126">
        <v>24745.412499999995</v>
      </c>
      <c r="BK232" s="2126">
        <v>0</v>
      </c>
      <c r="BL232" s="2126">
        <v>0</v>
      </c>
      <c r="BM232" s="2126">
        <v>0</v>
      </c>
      <c r="BN232" s="2126">
        <v>0</v>
      </c>
      <c r="BO232" s="2126">
        <v>0</v>
      </c>
      <c r="BP232" s="2126">
        <v>0</v>
      </c>
      <c r="BQ232" s="2126">
        <v>0</v>
      </c>
      <c r="BR232" s="2126">
        <v>0</v>
      </c>
    </row>
    <row r="233" spans="1:70" s="1765" customFormat="1" ht="49.5">
      <c r="A233" s="1272">
        <v>2000</v>
      </c>
      <c r="B233" s="971" t="s">
        <v>119</v>
      </c>
      <c r="C233" s="1272">
        <v>2500</v>
      </c>
      <c r="D233" s="971" t="s">
        <v>452</v>
      </c>
      <c r="E233" s="971" t="s">
        <v>453</v>
      </c>
      <c r="F233" s="971" t="s">
        <v>454</v>
      </c>
      <c r="G233" s="971" t="s">
        <v>564</v>
      </c>
      <c r="H233" s="971" t="s">
        <v>565</v>
      </c>
      <c r="I233" s="1273" t="s">
        <v>569</v>
      </c>
      <c r="J233" s="971" t="s">
        <v>124</v>
      </c>
      <c r="K233" s="971" t="s">
        <v>784</v>
      </c>
      <c r="L233" s="971" t="s">
        <v>2852</v>
      </c>
      <c r="M233" s="971" t="s">
        <v>458</v>
      </c>
      <c r="N233" s="971" t="s">
        <v>127</v>
      </c>
      <c r="O233" s="971" t="s">
        <v>459</v>
      </c>
      <c r="P233" s="971"/>
      <c r="Q233" s="971" t="s">
        <v>570</v>
      </c>
      <c r="R233" s="1266" t="s">
        <v>571</v>
      </c>
      <c r="S233" s="2106">
        <v>423.79182156133828</v>
      </c>
      <c r="T233" s="1266" t="s">
        <v>136</v>
      </c>
      <c r="U233" s="1742">
        <v>0.22416666666666665</v>
      </c>
      <c r="V233" s="1742">
        <v>2.8020833333333335</v>
      </c>
      <c r="W233" s="1742">
        <v>19.758049999999997</v>
      </c>
      <c r="X233" s="1742">
        <v>30.905858333333335</v>
      </c>
      <c r="Y233" s="2106">
        <v>53.46599166666666</v>
      </c>
      <c r="Z233" s="2106">
        <v>94.999999999999986</v>
      </c>
      <c r="AA233" s="2106">
        <v>1187.5</v>
      </c>
      <c r="AB233" s="2106">
        <v>8373.2999999999993</v>
      </c>
      <c r="AC233" s="2106">
        <v>13097.65</v>
      </c>
      <c r="AD233" s="1744">
        <v>22658.449999999997</v>
      </c>
      <c r="AE233" s="2126">
        <v>1</v>
      </c>
      <c r="AF233" s="2126">
        <v>423.79182156133828</v>
      </c>
      <c r="AG233" s="1212">
        <v>1</v>
      </c>
      <c r="AH233" s="1212">
        <v>0</v>
      </c>
      <c r="AI233" s="1212">
        <v>0</v>
      </c>
      <c r="AJ233" s="1212">
        <v>1</v>
      </c>
      <c r="AK233" s="2126">
        <v>22658.449999999997</v>
      </c>
      <c r="AL233" s="2126">
        <v>0</v>
      </c>
      <c r="AM233" s="2126">
        <v>0</v>
      </c>
      <c r="AN233" s="2126">
        <v>22658.449999999997</v>
      </c>
      <c r="AO233" s="1743" t="s">
        <v>131</v>
      </c>
      <c r="AP233" s="1743"/>
      <c r="AQ233" s="1764">
        <v>2014</v>
      </c>
      <c r="AR233" s="1743" t="s">
        <v>87</v>
      </c>
      <c r="AS233" s="2135"/>
      <c r="AT233" s="2135"/>
      <c r="AU233" s="1212">
        <v>0.33333333333333331</v>
      </c>
      <c r="AV233" s="1212">
        <v>0.33333333333333331</v>
      </c>
      <c r="AW233" s="1212">
        <v>0.33333333333333331</v>
      </c>
      <c r="AX233" s="1212"/>
      <c r="AY233" s="1212"/>
      <c r="AZ233" s="1212"/>
      <c r="BA233" s="1212"/>
      <c r="BB233" s="1212"/>
      <c r="BC233" s="1212"/>
      <c r="BD233" s="1212"/>
      <c r="BE233" s="1212"/>
      <c r="BF233" s="2126">
        <v>0</v>
      </c>
      <c r="BG233" s="2126">
        <v>0</v>
      </c>
      <c r="BH233" s="2126">
        <v>7552.8166666666657</v>
      </c>
      <c r="BI233" s="2126">
        <v>7552.8166666666657</v>
      </c>
      <c r="BJ233" s="2126">
        <v>7552.8166666666657</v>
      </c>
      <c r="BK233" s="2126">
        <v>0</v>
      </c>
      <c r="BL233" s="2126">
        <v>0</v>
      </c>
      <c r="BM233" s="2126">
        <v>0</v>
      </c>
      <c r="BN233" s="2126">
        <v>0</v>
      </c>
      <c r="BO233" s="2126">
        <v>0</v>
      </c>
      <c r="BP233" s="2126">
        <v>0</v>
      </c>
      <c r="BQ233" s="2126">
        <v>0</v>
      </c>
      <c r="BR233" s="2126">
        <v>0</v>
      </c>
    </row>
    <row r="234" spans="1:70" s="1765" customFormat="1" ht="49.5">
      <c r="A234" s="1272">
        <v>2000</v>
      </c>
      <c r="B234" s="971" t="s">
        <v>119</v>
      </c>
      <c r="C234" s="1272">
        <v>2500</v>
      </c>
      <c r="D234" s="971" t="s">
        <v>452</v>
      </c>
      <c r="E234" s="971" t="s">
        <v>453</v>
      </c>
      <c r="F234" s="971" t="s">
        <v>454</v>
      </c>
      <c r="G234" s="971" t="s">
        <v>564</v>
      </c>
      <c r="H234" s="971" t="s">
        <v>565</v>
      </c>
      <c r="I234" s="1273" t="s">
        <v>572</v>
      </c>
      <c r="J234" s="971" t="s">
        <v>124</v>
      </c>
      <c r="K234" s="971" t="s">
        <v>784</v>
      </c>
      <c r="L234" s="971" t="s">
        <v>2852</v>
      </c>
      <c r="M234" s="971" t="s">
        <v>458</v>
      </c>
      <c r="N234" s="971" t="s">
        <v>127</v>
      </c>
      <c r="O234" s="971" t="s">
        <v>459</v>
      </c>
      <c r="P234" s="971"/>
      <c r="Q234" s="971" t="s">
        <v>573</v>
      </c>
      <c r="R234" s="1266" t="s">
        <v>574</v>
      </c>
      <c r="S234" s="2106">
        <v>334.57249070631968</v>
      </c>
      <c r="T234" s="1266" t="s">
        <v>136</v>
      </c>
      <c r="U234" s="1742">
        <v>0.22416666666666665</v>
      </c>
      <c r="V234" s="1742">
        <v>2.8020833333333335</v>
      </c>
      <c r="W234" s="1742">
        <v>19.758049999999997</v>
      </c>
      <c r="X234" s="1742">
        <v>30.905858333333335</v>
      </c>
      <c r="Y234" s="2106">
        <v>53.46599166666666</v>
      </c>
      <c r="Z234" s="2106">
        <v>74.999999999999986</v>
      </c>
      <c r="AA234" s="2106">
        <v>937.5</v>
      </c>
      <c r="AB234" s="2106">
        <v>6610.4999999999991</v>
      </c>
      <c r="AC234" s="2106">
        <v>10340.25</v>
      </c>
      <c r="AD234" s="1744">
        <v>17888.25</v>
      </c>
      <c r="AE234" s="2126">
        <v>1</v>
      </c>
      <c r="AF234" s="2126">
        <v>334.57249070631968</v>
      </c>
      <c r="AG234" s="1212">
        <v>1</v>
      </c>
      <c r="AH234" s="1212">
        <v>0</v>
      </c>
      <c r="AI234" s="1212">
        <v>0</v>
      </c>
      <c r="AJ234" s="1212">
        <v>1</v>
      </c>
      <c r="AK234" s="2126">
        <v>17888.25</v>
      </c>
      <c r="AL234" s="2126">
        <v>0</v>
      </c>
      <c r="AM234" s="2126">
        <v>0</v>
      </c>
      <c r="AN234" s="2126">
        <v>17888.25</v>
      </c>
      <c r="AO234" s="1743" t="s">
        <v>131</v>
      </c>
      <c r="AP234" s="1743"/>
      <c r="AQ234" s="1764">
        <v>2014</v>
      </c>
      <c r="AR234" s="1743" t="s">
        <v>87</v>
      </c>
      <c r="AS234" s="2135"/>
      <c r="AT234" s="2135"/>
      <c r="AU234" s="1212">
        <v>0.33333333333333331</v>
      </c>
      <c r="AV234" s="1212">
        <v>0.33333333333333331</v>
      </c>
      <c r="AW234" s="1212">
        <v>0.33333333333333331</v>
      </c>
      <c r="AX234" s="1212"/>
      <c r="AY234" s="1212"/>
      <c r="AZ234" s="1212"/>
      <c r="BA234" s="1212"/>
      <c r="BB234" s="1212"/>
      <c r="BC234" s="1212"/>
      <c r="BD234" s="1212"/>
      <c r="BE234" s="1212"/>
      <c r="BF234" s="2126">
        <v>0</v>
      </c>
      <c r="BG234" s="2126">
        <v>0</v>
      </c>
      <c r="BH234" s="2126">
        <v>5962.75</v>
      </c>
      <c r="BI234" s="2126">
        <v>5962.75</v>
      </c>
      <c r="BJ234" s="2126">
        <v>5962.75</v>
      </c>
      <c r="BK234" s="2126">
        <v>0</v>
      </c>
      <c r="BL234" s="2126">
        <v>0</v>
      </c>
      <c r="BM234" s="2126">
        <v>0</v>
      </c>
      <c r="BN234" s="2126">
        <v>0</v>
      </c>
      <c r="BO234" s="2126">
        <v>0</v>
      </c>
      <c r="BP234" s="2126">
        <v>0</v>
      </c>
      <c r="BQ234" s="2126">
        <v>0</v>
      </c>
      <c r="BR234" s="2126">
        <v>0</v>
      </c>
    </row>
    <row r="235" spans="1:70" s="1765" customFormat="1" ht="33">
      <c r="A235" s="1272">
        <v>2000</v>
      </c>
      <c r="B235" s="971" t="s">
        <v>119</v>
      </c>
      <c r="C235" s="1272">
        <v>2500</v>
      </c>
      <c r="D235" s="971" t="s">
        <v>452</v>
      </c>
      <c r="E235" s="971" t="s">
        <v>453</v>
      </c>
      <c r="F235" s="971" t="s">
        <v>454</v>
      </c>
      <c r="G235" s="971" t="s">
        <v>564</v>
      </c>
      <c r="H235" s="971" t="s">
        <v>565</v>
      </c>
      <c r="I235" s="1273" t="s">
        <v>575</v>
      </c>
      <c r="J235" s="971" t="s">
        <v>124</v>
      </c>
      <c r="K235" s="971" t="s">
        <v>140</v>
      </c>
      <c r="L235" s="971" t="s">
        <v>2909</v>
      </c>
      <c r="M235" s="971" t="s">
        <v>140</v>
      </c>
      <c r="N235" s="971" t="s">
        <v>141</v>
      </c>
      <c r="O235" s="971" t="s">
        <v>142</v>
      </c>
      <c r="P235" s="971"/>
      <c r="Q235" s="971" t="s">
        <v>576</v>
      </c>
      <c r="R235" s="1266" t="s">
        <v>574</v>
      </c>
      <c r="S235" s="2106">
        <v>334.57249070631968</v>
      </c>
      <c r="T235" s="1266" t="s">
        <v>136</v>
      </c>
      <c r="U235" s="1742">
        <v>0</v>
      </c>
      <c r="V235" s="1742">
        <v>0</v>
      </c>
      <c r="W235" s="1742">
        <v>0</v>
      </c>
      <c r="X235" s="1742">
        <v>0</v>
      </c>
      <c r="Y235" s="2106">
        <v>0</v>
      </c>
      <c r="Z235" s="2106">
        <v>0</v>
      </c>
      <c r="AA235" s="2106">
        <v>0</v>
      </c>
      <c r="AB235" s="2106">
        <v>0</v>
      </c>
      <c r="AC235" s="2106">
        <v>0</v>
      </c>
      <c r="AD235" s="1744">
        <v>0</v>
      </c>
      <c r="AE235" s="2126">
        <v>0</v>
      </c>
      <c r="AF235" s="2126">
        <v>0</v>
      </c>
      <c r="AG235" s="1212">
        <v>1</v>
      </c>
      <c r="AH235" s="1212">
        <v>0</v>
      </c>
      <c r="AI235" s="1212">
        <v>0</v>
      </c>
      <c r="AJ235" s="1212">
        <v>1</v>
      </c>
      <c r="AK235" s="2126">
        <v>0</v>
      </c>
      <c r="AL235" s="2126">
        <v>0</v>
      </c>
      <c r="AM235" s="2126">
        <v>0</v>
      </c>
      <c r="AN235" s="2126">
        <v>0</v>
      </c>
      <c r="AO235" s="1743" t="s">
        <v>131</v>
      </c>
      <c r="AP235" s="1743"/>
      <c r="AQ235" s="1764">
        <v>2014</v>
      </c>
      <c r="AR235" s="1743" t="s">
        <v>87</v>
      </c>
      <c r="AS235" s="2135"/>
      <c r="AT235" s="2135"/>
      <c r="AU235" s="1212">
        <v>0.33333333333333331</v>
      </c>
      <c r="AV235" s="1212">
        <v>0.33333333333333331</v>
      </c>
      <c r="AW235" s="1212">
        <v>0.33333333333333331</v>
      </c>
      <c r="AX235" s="1212"/>
      <c r="AY235" s="1212"/>
      <c r="AZ235" s="1212"/>
      <c r="BA235" s="1212"/>
      <c r="BB235" s="1212"/>
      <c r="BC235" s="1212"/>
      <c r="BD235" s="1212"/>
      <c r="BE235" s="1212"/>
      <c r="BF235" s="2126">
        <v>0</v>
      </c>
      <c r="BG235" s="2126">
        <v>0</v>
      </c>
      <c r="BH235" s="2126">
        <v>0</v>
      </c>
      <c r="BI235" s="2126">
        <v>0</v>
      </c>
      <c r="BJ235" s="2126">
        <v>0</v>
      </c>
      <c r="BK235" s="2126">
        <v>0</v>
      </c>
      <c r="BL235" s="2126">
        <v>0</v>
      </c>
      <c r="BM235" s="2126">
        <v>0</v>
      </c>
      <c r="BN235" s="2126">
        <v>0</v>
      </c>
      <c r="BO235" s="2126">
        <v>0</v>
      </c>
      <c r="BP235" s="2126">
        <v>0</v>
      </c>
      <c r="BQ235" s="2126">
        <v>0</v>
      </c>
      <c r="BR235" s="2126">
        <v>0</v>
      </c>
    </row>
    <row r="236" spans="1:70" s="1765" customFormat="1" ht="33">
      <c r="A236" s="1272">
        <v>2000</v>
      </c>
      <c r="B236" s="971" t="s">
        <v>119</v>
      </c>
      <c r="C236" s="1272">
        <v>2500</v>
      </c>
      <c r="D236" s="971" t="s">
        <v>452</v>
      </c>
      <c r="E236" s="971" t="s">
        <v>453</v>
      </c>
      <c r="F236" s="971" t="s">
        <v>454</v>
      </c>
      <c r="G236" s="971" t="s">
        <v>564</v>
      </c>
      <c r="H236" s="971" t="s">
        <v>565</v>
      </c>
      <c r="I236" s="1273" t="s">
        <v>577</v>
      </c>
      <c r="J236" s="971" t="s">
        <v>124</v>
      </c>
      <c r="K236" s="971"/>
      <c r="L236" s="971" t="e">
        <v>#N/A</v>
      </c>
      <c r="M236" s="971" t="s">
        <v>145</v>
      </c>
      <c r="N236" s="971" t="s">
        <v>141</v>
      </c>
      <c r="O236" s="971" t="s">
        <v>146</v>
      </c>
      <c r="P236" s="971"/>
      <c r="Q236" s="971" t="s">
        <v>578</v>
      </c>
      <c r="R236" s="1266" t="s">
        <v>574</v>
      </c>
      <c r="S236" s="2106">
        <v>334.57249070631968</v>
      </c>
      <c r="T236" s="1266" t="s">
        <v>136</v>
      </c>
      <c r="U236" s="1742" t="s">
        <v>6588</v>
      </c>
      <c r="V236" s="1742" t="s">
        <v>6588</v>
      </c>
      <c r="W236" s="1742" t="s">
        <v>6588</v>
      </c>
      <c r="X236" s="1742" t="s">
        <v>6588</v>
      </c>
      <c r="Y236" s="2106" t="s">
        <v>6588</v>
      </c>
      <c r="Z236" s="2106">
        <v>0</v>
      </c>
      <c r="AA236" s="2106">
        <v>0</v>
      </c>
      <c r="AB236" s="2106">
        <v>0</v>
      </c>
      <c r="AC236" s="2106">
        <v>0</v>
      </c>
      <c r="AD236" s="1744">
        <v>0</v>
      </c>
      <c r="AE236" s="2126">
        <v>0</v>
      </c>
      <c r="AF236" s="2126">
        <v>0</v>
      </c>
      <c r="AG236" s="1212">
        <v>1</v>
      </c>
      <c r="AH236" s="1212">
        <v>0</v>
      </c>
      <c r="AI236" s="1212">
        <v>0</v>
      </c>
      <c r="AJ236" s="1212">
        <v>1</v>
      </c>
      <c r="AK236" s="2126">
        <v>0</v>
      </c>
      <c r="AL236" s="2126">
        <v>0</v>
      </c>
      <c r="AM236" s="2126">
        <v>0</v>
      </c>
      <c r="AN236" s="2126">
        <v>0</v>
      </c>
      <c r="AO236" s="1743" t="s">
        <v>131</v>
      </c>
      <c r="AP236" s="1743"/>
      <c r="AQ236" s="1764">
        <v>2014</v>
      </c>
      <c r="AR236" s="1743" t="s">
        <v>87</v>
      </c>
      <c r="AS236" s="2135"/>
      <c r="AT236" s="2135"/>
      <c r="AU236" s="1212">
        <v>0.33333333333333331</v>
      </c>
      <c r="AV236" s="1212">
        <v>0.33333333333333331</v>
      </c>
      <c r="AW236" s="1212">
        <v>0.33333333333333331</v>
      </c>
      <c r="AX236" s="1212"/>
      <c r="AY236" s="1212"/>
      <c r="AZ236" s="1212"/>
      <c r="BA236" s="1212"/>
      <c r="BB236" s="1212"/>
      <c r="BC236" s="1212"/>
      <c r="BD236" s="1212"/>
      <c r="BE236" s="1212"/>
      <c r="BF236" s="2126">
        <v>0</v>
      </c>
      <c r="BG236" s="2126">
        <v>0</v>
      </c>
      <c r="BH236" s="2126">
        <v>0</v>
      </c>
      <c r="BI236" s="2126">
        <v>0</v>
      </c>
      <c r="BJ236" s="2126">
        <v>0</v>
      </c>
      <c r="BK236" s="2126">
        <v>0</v>
      </c>
      <c r="BL236" s="2126">
        <v>0</v>
      </c>
      <c r="BM236" s="2126">
        <v>0</v>
      </c>
      <c r="BN236" s="2126">
        <v>0</v>
      </c>
      <c r="BO236" s="2126">
        <v>0</v>
      </c>
      <c r="BP236" s="2126">
        <v>0</v>
      </c>
      <c r="BQ236" s="2126">
        <v>0</v>
      </c>
      <c r="BR236" s="2126">
        <v>0</v>
      </c>
    </row>
    <row r="237" spans="1:70" s="1765" customFormat="1" ht="33">
      <c r="A237" s="1272">
        <v>2000</v>
      </c>
      <c r="B237" s="971" t="s">
        <v>119</v>
      </c>
      <c r="C237" s="1272">
        <v>2500</v>
      </c>
      <c r="D237" s="971" t="s">
        <v>452</v>
      </c>
      <c r="E237" s="971" t="s">
        <v>453</v>
      </c>
      <c r="F237" s="971" t="s">
        <v>454</v>
      </c>
      <c r="G237" s="971" t="s">
        <v>564</v>
      </c>
      <c r="H237" s="971" t="s">
        <v>565</v>
      </c>
      <c r="I237" s="1273" t="s">
        <v>579</v>
      </c>
      <c r="J237" s="971" t="s">
        <v>124</v>
      </c>
      <c r="K237" s="971" t="s">
        <v>140</v>
      </c>
      <c r="L237" s="971" t="s">
        <v>2909</v>
      </c>
      <c r="M237" s="971" t="s">
        <v>140</v>
      </c>
      <c r="N237" s="971" t="s">
        <v>141</v>
      </c>
      <c r="O237" s="971" t="s">
        <v>142</v>
      </c>
      <c r="P237" s="971"/>
      <c r="Q237" s="971" t="s">
        <v>580</v>
      </c>
      <c r="R237" s="1266" t="s">
        <v>571</v>
      </c>
      <c r="S237" s="2106">
        <v>423.79182156133828</v>
      </c>
      <c r="T237" s="1266" t="s">
        <v>136</v>
      </c>
      <c r="U237" s="1742">
        <v>0</v>
      </c>
      <c r="V237" s="1742">
        <v>0</v>
      </c>
      <c r="W237" s="1742">
        <v>0</v>
      </c>
      <c r="X237" s="1742">
        <v>0</v>
      </c>
      <c r="Y237" s="2106">
        <v>0</v>
      </c>
      <c r="Z237" s="2106">
        <v>0</v>
      </c>
      <c r="AA237" s="2106">
        <v>0</v>
      </c>
      <c r="AB237" s="2106">
        <v>0</v>
      </c>
      <c r="AC237" s="2106">
        <v>0</v>
      </c>
      <c r="AD237" s="1744">
        <v>0</v>
      </c>
      <c r="AE237" s="2126">
        <v>0</v>
      </c>
      <c r="AF237" s="2126">
        <v>0</v>
      </c>
      <c r="AG237" s="1212">
        <v>1</v>
      </c>
      <c r="AH237" s="1212">
        <v>0</v>
      </c>
      <c r="AI237" s="1212">
        <v>0</v>
      </c>
      <c r="AJ237" s="1212">
        <v>1</v>
      </c>
      <c r="AK237" s="2126">
        <v>0</v>
      </c>
      <c r="AL237" s="2126">
        <v>0</v>
      </c>
      <c r="AM237" s="2126">
        <v>0</v>
      </c>
      <c r="AN237" s="2126">
        <v>0</v>
      </c>
      <c r="AO237" s="1743" t="s">
        <v>131</v>
      </c>
      <c r="AP237" s="1743"/>
      <c r="AQ237" s="1764">
        <v>2014</v>
      </c>
      <c r="AR237" s="1743" t="s">
        <v>87</v>
      </c>
      <c r="AS237" s="2135"/>
      <c r="AT237" s="2135"/>
      <c r="AU237" s="1212">
        <v>0.33333333333333331</v>
      </c>
      <c r="AV237" s="1212">
        <v>0.33333333333333331</v>
      </c>
      <c r="AW237" s="1212">
        <v>0.33333333333333331</v>
      </c>
      <c r="AX237" s="1212"/>
      <c r="AY237" s="1212"/>
      <c r="AZ237" s="1212"/>
      <c r="BA237" s="1212"/>
      <c r="BB237" s="1212"/>
      <c r="BC237" s="1212"/>
      <c r="BD237" s="1212"/>
      <c r="BE237" s="1212"/>
      <c r="BF237" s="2126">
        <v>0</v>
      </c>
      <c r="BG237" s="2126">
        <v>0</v>
      </c>
      <c r="BH237" s="2126">
        <v>0</v>
      </c>
      <c r="BI237" s="2126">
        <v>0</v>
      </c>
      <c r="BJ237" s="2126">
        <v>0</v>
      </c>
      <c r="BK237" s="2126">
        <v>0</v>
      </c>
      <c r="BL237" s="2126">
        <v>0</v>
      </c>
      <c r="BM237" s="2126">
        <v>0</v>
      </c>
      <c r="BN237" s="2126">
        <v>0</v>
      </c>
      <c r="BO237" s="2126">
        <v>0</v>
      </c>
      <c r="BP237" s="2126">
        <v>0</v>
      </c>
      <c r="BQ237" s="2126">
        <v>0</v>
      </c>
      <c r="BR237" s="2126">
        <v>0</v>
      </c>
    </row>
    <row r="238" spans="1:70" s="1765" customFormat="1" ht="33">
      <c r="A238" s="1272">
        <v>2000</v>
      </c>
      <c r="B238" s="971" t="s">
        <v>119</v>
      </c>
      <c r="C238" s="1272">
        <v>2500</v>
      </c>
      <c r="D238" s="971" t="s">
        <v>452</v>
      </c>
      <c r="E238" s="971" t="s">
        <v>453</v>
      </c>
      <c r="F238" s="971" t="s">
        <v>454</v>
      </c>
      <c r="G238" s="971" t="s">
        <v>564</v>
      </c>
      <c r="H238" s="971" t="s">
        <v>565</v>
      </c>
      <c r="I238" s="1273" t="s">
        <v>581</v>
      </c>
      <c r="J238" s="971" t="s">
        <v>124</v>
      </c>
      <c r="K238" s="971"/>
      <c r="L238" s="971" t="e">
        <v>#N/A</v>
      </c>
      <c r="M238" s="971" t="s">
        <v>145</v>
      </c>
      <c r="N238" s="971" t="s">
        <v>141</v>
      </c>
      <c r="O238" s="971" t="s">
        <v>146</v>
      </c>
      <c r="P238" s="971"/>
      <c r="Q238" s="971" t="s">
        <v>582</v>
      </c>
      <c r="R238" s="1266" t="s">
        <v>571</v>
      </c>
      <c r="S238" s="2106">
        <v>423.79182156133828</v>
      </c>
      <c r="T238" s="1266" t="s">
        <v>136</v>
      </c>
      <c r="U238" s="1742" t="s">
        <v>6588</v>
      </c>
      <c r="V238" s="1742" t="s">
        <v>6588</v>
      </c>
      <c r="W238" s="1742" t="s">
        <v>6588</v>
      </c>
      <c r="X238" s="1742" t="s">
        <v>6588</v>
      </c>
      <c r="Y238" s="2106" t="s">
        <v>6588</v>
      </c>
      <c r="Z238" s="2106">
        <v>0</v>
      </c>
      <c r="AA238" s="2106">
        <v>0</v>
      </c>
      <c r="AB238" s="2106">
        <v>0</v>
      </c>
      <c r="AC238" s="2106">
        <v>0</v>
      </c>
      <c r="AD238" s="1744">
        <v>0</v>
      </c>
      <c r="AE238" s="2126">
        <v>0</v>
      </c>
      <c r="AF238" s="2126">
        <v>0</v>
      </c>
      <c r="AG238" s="1212">
        <v>1</v>
      </c>
      <c r="AH238" s="1212">
        <v>0</v>
      </c>
      <c r="AI238" s="1212">
        <v>0</v>
      </c>
      <c r="AJ238" s="1212">
        <v>1</v>
      </c>
      <c r="AK238" s="2126">
        <v>0</v>
      </c>
      <c r="AL238" s="2126">
        <v>0</v>
      </c>
      <c r="AM238" s="2126">
        <v>0</v>
      </c>
      <c r="AN238" s="2126">
        <v>0</v>
      </c>
      <c r="AO238" s="1743" t="s">
        <v>131</v>
      </c>
      <c r="AP238" s="1743"/>
      <c r="AQ238" s="1764">
        <v>2014</v>
      </c>
      <c r="AR238" s="1743" t="s">
        <v>87</v>
      </c>
      <c r="AS238" s="2135"/>
      <c r="AT238" s="2135"/>
      <c r="AU238" s="1212">
        <v>0.33333333333333331</v>
      </c>
      <c r="AV238" s="1212">
        <v>0.33333333333333331</v>
      </c>
      <c r="AW238" s="1212">
        <v>0.33333333333333331</v>
      </c>
      <c r="AX238" s="1212"/>
      <c r="AY238" s="1212"/>
      <c r="AZ238" s="1212"/>
      <c r="BA238" s="1212"/>
      <c r="BB238" s="1212"/>
      <c r="BC238" s="1212"/>
      <c r="BD238" s="1212"/>
      <c r="BE238" s="1212"/>
      <c r="BF238" s="2126">
        <v>0</v>
      </c>
      <c r="BG238" s="2126">
        <v>0</v>
      </c>
      <c r="BH238" s="2126">
        <v>0</v>
      </c>
      <c r="BI238" s="2126">
        <v>0</v>
      </c>
      <c r="BJ238" s="2126">
        <v>0</v>
      </c>
      <c r="BK238" s="2126">
        <v>0</v>
      </c>
      <c r="BL238" s="2126">
        <v>0</v>
      </c>
      <c r="BM238" s="2126">
        <v>0</v>
      </c>
      <c r="BN238" s="2126">
        <v>0</v>
      </c>
      <c r="BO238" s="2126">
        <v>0</v>
      </c>
      <c r="BP238" s="2126">
        <v>0</v>
      </c>
      <c r="BQ238" s="2126">
        <v>0</v>
      </c>
      <c r="BR238" s="2126">
        <v>0</v>
      </c>
    </row>
    <row r="239" spans="1:70" s="1765" customFormat="1" ht="33">
      <c r="A239" s="1272">
        <v>2000</v>
      </c>
      <c r="B239" s="971" t="s">
        <v>119</v>
      </c>
      <c r="C239" s="1272">
        <v>2500</v>
      </c>
      <c r="D239" s="971" t="s">
        <v>452</v>
      </c>
      <c r="E239" s="971" t="s">
        <v>453</v>
      </c>
      <c r="F239" s="971" t="s">
        <v>454</v>
      </c>
      <c r="G239" s="971" t="s">
        <v>564</v>
      </c>
      <c r="H239" s="971" t="s">
        <v>565</v>
      </c>
      <c r="I239" s="1273" t="s">
        <v>583</v>
      </c>
      <c r="J239" s="971" t="s">
        <v>124</v>
      </c>
      <c r="K239" s="971" t="s">
        <v>140</v>
      </c>
      <c r="L239" s="971" t="s">
        <v>2909</v>
      </c>
      <c r="M239" s="971" t="s">
        <v>140</v>
      </c>
      <c r="N239" s="971" t="s">
        <v>141</v>
      </c>
      <c r="O239" s="971" t="s">
        <v>142</v>
      </c>
      <c r="P239" s="971"/>
      <c r="Q239" s="971" t="s">
        <v>584</v>
      </c>
      <c r="R239" s="1266" t="s">
        <v>568</v>
      </c>
      <c r="S239" s="2106">
        <v>1388.4758364312268</v>
      </c>
      <c r="T239" s="1266" t="s">
        <v>136</v>
      </c>
      <c r="U239" s="1742">
        <v>0</v>
      </c>
      <c r="V239" s="1742">
        <v>0</v>
      </c>
      <c r="W239" s="1742">
        <v>0</v>
      </c>
      <c r="X239" s="1742">
        <v>0</v>
      </c>
      <c r="Y239" s="2106">
        <v>0</v>
      </c>
      <c r="Z239" s="2106">
        <v>0</v>
      </c>
      <c r="AA239" s="2106">
        <v>0</v>
      </c>
      <c r="AB239" s="2106">
        <v>0</v>
      </c>
      <c r="AC239" s="2106">
        <v>0</v>
      </c>
      <c r="AD239" s="1744">
        <v>0</v>
      </c>
      <c r="AE239" s="2126">
        <v>0</v>
      </c>
      <c r="AF239" s="2126">
        <v>0</v>
      </c>
      <c r="AG239" s="1212">
        <v>1</v>
      </c>
      <c r="AH239" s="1212">
        <v>0</v>
      </c>
      <c r="AI239" s="1212">
        <v>0</v>
      </c>
      <c r="AJ239" s="1212">
        <v>1</v>
      </c>
      <c r="AK239" s="2126">
        <v>0</v>
      </c>
      <c r="AL239" s="2126">
        <v>0</v>
      </c>
      <c r="AM239" s="2126">
        <v>0</v>
      </c>
      <c r="AN239" s="2126">
        <v>0</v>
      </c>
      <c r="AO239" s="1743" t="s">
        <v>131</v>
      </c>
      <c r="AP239" s="1743"/>
      <c r="AQ239" s="1764">
        <v>2014</v>
      </c>
      <c r="AR239" s="1743" t="s">
        <v>87</v>
      </c>
      <c r="AS239" s="2135"/>
      <c r="AT239" s="2135"/>
      <c r="AU239" s="1212">
        <v>0.33333333333333331</v>
      </c>
      <c r="AV239" s="1212">
        <v>0.33333333333333331</v>
      </c>
      <c r="AW239" s="1212">
        <v>0.33333333333333331</v>
      </c>
      <c r="AX239" s="1212"/>
      <c r="AY239" s="1212"/>
      <c r="AZ239" s="1212"/>
      <c r="BA239" s="1212"/>
      <c r="BB239" s="1212"/>
      <c r="BC239" s="1212"/>
      <c r="BD239" s="1212"/>
      <c r="BE239" s="1212"/>
      <c r="BF239" s="2126">
        <v>0</v>
      </c>
      <c r="BG239" s="2126">
        <v>0</v>
      </c>
      <c r="BH239" s="2126">
        <v>0</v>
      </c>
      <c r="BI239" s="2126">
        <v>0</v>
      </c>
      <c r="BJ239" s="2126">
        <v>0</v>
      </c>
      <c r="BK239" s="2126">
        <v>0</v>
      </c>
      <c r="BL239" s="2126">
        <v>0</v>
      </c>
      <c r="BM239" s="2126">
        <v>0</v>
      </c>
      <c r="BN239" s="2126">
        <v>0</v>
      </c>
      <c r="BO239" s="2126">
        <v>0</v>
      </c>
      <c r="BP239" s="2126">
        <v>0</v>
      </c>
      <c r="BQ239" s="2126">
        <v>0</v>
      </c>
      <c r="BR239" s="2126">
        <v>0</v>
      </c>
    </row>
    <row r="240" spans="1:70" s="1765" customFormat="1" ht="33">
      <c r="A240" s="1272">
        <v>2000</v>
      </c>
      <c r="B240" s="971" t="s">
        <v>119</v>
      </c>
      <c r="C240" s="1272">
        <v>2500</v>
      </c>
      <c r="D240" s="971" t="s">
        <v>452</v>
      </c>
      <c r="E240" s="971" t="s">
        <v>453</v>
      </c>
      <c r="F240" s="971" t="s">
        <v>454</v>
      </c>
      <c r="G240" s="971" t="s">
        <v>564</v>
      </c>
      <c r="H240" s="971" t="s">
        <v>565</v>
      </c>
      <c r="I240" s="1273" t="s">
        <v>585</v>
      </c>
      <c r="J240" s="971" t="s">
        <v>124</v>
      </c>
      <c r="K240" s="971"/>
      <c r="L240" s="971" t="e">
        <v>#N/A</v>
      </c>
      <c r="M240" s="971" t="s">
        <v>145</v>
      </c>
      <c r="N240" s="971" t="s">
        <v>141</v>
      </c>
      <c r="O240" s="971" t="s">
        <v>146</v>
      </c>
      <c r="P240" s="971"/>
      <c r="Q240" s="971" t="s">
        <v>586</v>
      </c>
      <c r="R240" s="1266" t="s">
        <v>568</v>
      </c>
      <c r="S240" s="2106">
        <v>1388.4758364312268</v>
      </c>
      <c r="T240" s="1266" t="s">
        <v>136</v>
      </c>
      <c r="U240" s="1742" t="s">
        <v>6588</v>
      </c>
      <c r="V240" s="1742" t="s">
        <v>6588</v>
      </c>
      <c r="W240" s="1742" t="s">
        <v>6588</v>
      </c>
      <c r="X240" s="1742" t="s">
        <v>6588</v>
      </c>
      <c r="Y240" s="2106" t="s">
        <v>6588</v>
      </c>
      <c r="Z240" s="2106">
        <v>0</v>
      </c>
      <c r="AA240" s="2106">
        <v>0</v>
      </c>
      <c r="AB240" s="2106">
        <v>0</v>
      </c>
      <c r="AC240" s="2106">
        <v>0</v>
      </c>
      <c r="AD240" s="1744">
        <v>0</v>
      </c>
      <c r="AE240" s="2126">
        <v>0</v>
      </c>
      <c r="AF240" s="2126">
        <v>0</v>
      </c>
      <c r="AG240" s="1212">
        <v>1</v>
      </c>
      <c r="AH240" s="1212">
        <v>0</v>
      </c>
      <c r="AI240" s="1212">
        <v>0</v>
      </c>
      <c r="AJ240" s="1212">
        <v>1</v>
      </c>
      <c r="AK240" s="2126">
        <v>0</v>
      </c>
      <c r="AL240" s="2126">
        <v>0</v>
      </c>
      <c r="AM240" s="2126">
        <v>0</v>
      </c>
      <c r="AN240" s="2126">
        <v>0</v>
      </c>
      <c r="AO240" s="1743" t="s">
        <v>131</v>
      </c>
      <c r="AP240" s="1743"/>
      <c r="AQ240" s="1764">
        <v>2014</v>
      </c>
      <c r="AR240" s="1743" t="s">
        <v>87</v>
      </c>
      <c r="AS240" s="2135"/>
      <c r="AT240" s="2135"/>
      <c r="AU240" s="1212">
        <v>0.33333333333333331</v>
      </c>
      <c r="AV240" s="1212">
        <v>0.33333333333333331</v>
      </c>
      <c r="AW240" s="1212">
        <v>0.33333333333333331</v>
      </c>
      <c r="AX240" s="1212"/>
      <c r="AY240" s="1212"/>
      <c r="AZ240" s="1212"/>
      <c r="BA240" s="1212"/>
      <c r="BB240" s="1212"/>
      <c r="BC240" s="1212"/>
      <c r="BD240" s="1212"/>
      <c r="BE240" s="1212"/>
      <c r="BF240" s="2126">
        <v>0</v>
      </c>
      <c r="BG240" s="2126">
        <v>0</v>
      </c>
      <c r="BH240" s="2126">
        <v>0</v>
      </c>
      <c r="BI240" s="2126">
        <v>0</v>
      </c>
      <c r="BJ240" s="2126">
        <v>0</v>
      </c>
      <c r="BK240" s="2126">
        <v>0</v>
      </c>
      <c r="BL240" s="2126">
        <v>0</v>
      </c>
      <c r="BM240" s="2126">
        <v>0</v>
      </c>
      <c r="BN240" s="2126">
        <v>0</v>
      </c>
      <c r="BO240" s="2126">
        <v>0</v>
      </c>
      <c r="BP240" s="2126">
        <v>0</v>
      </c>
      <c r="BQ240" s="2126">
        <v>0</v>
      </c>
      <c r="BR240" s="2126">
        <v>0</v>
      </c>
    </row>
    <row r="241" spans="1:70" s="1765" customFormat="1" ht="49.5">
      <c r="A241" s="1272">
        <v>2000</v>
      </c>
      <c r="B241" s="971" t="s">
        <v>119</v>
      </c>
      <c r="C241" s="1272">
        <v>2500</v>
      </c>
      <c r="D241" s="971" t="s">
        <v>452</v>
      </c>
      <c r="E241" s="971" t="s">
        <v>453</v>
      </c>
      <c r="F241" s="971" t="s">
        <v>454</v>
      </c>
      <c r="G241" s="971">
        <v>2511</v>
      </c>
      <c r="H241" s="971" t="s">
        <v>565</v>
      </c>
      <c r="I241" s="1273" t="s">
        <v>123</v>
      </c>
      <c r="J241" s="971" t="s">
        <v>124</v>
      </c>
      <c r="K241" s="971" t="s">
        <v>784</v>
      </c>
      <c r="L241" s="971" t="s">
        <v>2852</v>
      </c>
      <c r="M241" s="971" t="s">
        <v>458</v>
      </c>
      <c r="N241" s="971" t="s">
        <v>127</v>
      </c>
      <c r="O241" s="971" t="s">
        <v>459</v>
      </c>
      <c r="P241" s="971"/>
      <c r="Q241" s="971" t="s">
        <v>587</v>
      </c>
      <c r="R241" s="1266" t="s">
        <v>568</v>
      </c>
      <c r="S241" s="2106">
        <v>0</v>
      </c>
      <c r="T241" s="1266" t="s">
        <v>136</v>
      </c>
      <c r="U241" s="1742">
        <v>0.22416666666666665</v>
      </c>
      <c r="V241" s="1742">
        <v>2.8020833333333335</v>
      </c>
      <c r="W241" s="1742">
        <v>19.758049999999997</v>
      </c>
      <c r="X241" s="1742">
        <v>30.905858333333335</v>
      </c>
      <c r="Y241" s="2106">
        <v>53.46599166666666</v>
      </c>
      <c r="Z241" s="2106">
        <v>0</v>
      </c>
      <c r="AA241" s="2106">
        <v>0</v>
      </c>
      <c r="AB241" s="2106">
        <v>0</v>
      </c>
      <c r="AC241" s="2106">
        <v>0</v>
      </c>
      <c r="AD241" s="1744">
        <v>0</v>
      </c>
      <c r="AE241" s="2126">
        <v>1</v>
      </c>
      <c r="AF241" s="2126">
        <v>0</v>
      </c>
      <c r="AG241" s="1212">
        <v>1</v>
      </c>
      <c r="AH241" s="1212">
        <v>0</v>
      </c>
      <c r="AI241" s="1212">
        <v>0</v>
      </c>
      <c r="AJ241" s="1212">
        <v>1</v>
      </c>
      <c r="AK241" s="2126">
        <v>0</v>
      </c>
      <c r="AL241" s="2126">
        <v>0</v>
      </c>
      <c r="AM241" s="2126">
        <v>0</v>
      </c>
      <c r="AN241" s="2126">
        <v>0</v>
      </c>
      <c r="AO241" s="1743" t="s">
        <v>85</v>
      </c>
      <c r="AP241" s="1743" t="s">
        <v>96</v>
      </c>
      <c r="AQ241" s="1764" t="s">
        <v>107</v>
      </c>
      <c r="AR241" s="1743" t="s">
        <v>87</v>
      </c>
      <c r="AS241" s="2135"/>
      <c r="AT241" s="2135"/>
      <c r="AU241" s="1212">
        <v>0.33333333333333331</v>
      </c>
      <c r="AV241" s="1212">
        <v>0.33333333333333331</v>
      </c>
      <c r="AW241" s="1212">
        <v>0.33333333333333331</v>
      </c>
      <c r="AX241" s="1212"/>
      <c r="AY241" s="1212"/>
      <c r="AZ241" s="1212"/>
      <c r="BA241" s="1212"/>
      <c r="BB241" s="1212"/>
      <c r="BC241" s="1212"/>
      <c r="BD241" s="1212"/>
      <c r="BE241" s="1212"/>
      <c r="BF241" s="2126">
        <v>0</v>
      </c>
      <c r="BG241" s="2126">
        <v>0</v>
      </c>
      <c r="BH241" s="2126">
        <v>0</v>
      </c>
      <c r="BI241" s="2126">
        <v>0</v>
      </c>
      <c r="BJ241" s="2126">
        <v>0</v>
      </c>
      <c r="BK241" s="2126">
        <v>0</v>
      </c>
      <c r="BL241" s="2126">
        <v>0</v>
      </c>
      <c r="BM241" s="2126">
        <v>0</v>
      </c>
      <c r="BN241" s="2126">
        <v>0</v>
      </c>
      <c r="BO241" s="2126">
        <v>0</v>
      </c>
      <c r="BP241" s="2126">
        <v>0</v>
      </c>
      <c r="BQ241" s="2126">
        <v>0</v>
      </c>
      <c r="BR241" s="2126">
        <v>0</v>
      </c>
    </row>
    <row r="242" spans="1:70" s="1765" customFormat="1" ht="33">
      <c r="A242" s="1272">
        <v>2000</v>
      </c>
      <c r="B242" s="971" t="s">
        <v>119</v>
      </c>
      <c r="C242" s="1272">
        <v>2500</v>
      </c>
      <c r="D242" s="971" t="s">
        <v>452</v>
      </c>
      <c r="E242" s="971" t="s">
        <v>453</v>
      </c>
      <c r="F242" s="971" t="s">
        <v>454</v>
      </c>
      <c r="G242" s="971">
        <v>2511</v>
      </c>
      <c r="H242" s="971" t="s">
        <v>565</v>
      </c>
      <c r="I242" s="1273" t="s">
        <v>123</v>
      </c>
      <c r="J242" s="971" t="s">
        <v>124</v>
      </c>
      <c r="K242" s="971" t="s">
        <v>140</v>
      </c>
      <c r="L242" s="971" t="s">
        <v>2909</v>
      </c>
      <c r="M242" s="971" t="s">
        <v>140</v>
      </c>
      <c r="N242" s="971" t="s">
        <v>141</v>
      </c>
      <c r="O242" s="971" t="s">
        <v>142</v>
      </c>
      <c r="P242" s="971"/>
      <c r="Q242" s="971" t="s">
        <v>588</v>
      </c>
      <c r="R242" s="1266" t="s">
        <v>568</v>
      </c>
      <c r="S242" s="2106">
        <v>0</v>
      </c>
      <c r="T242" s="1266" t="s">
        <v>136</v>
      </c>
      <c r="U242" s="1742">
        <v>0</v>
      </c>
      <c r="V242" s="1742">
        <v>0</v>
      </c>
      <c r="W242" s="1742">
        <v>0</v>
      </c>
      <c r="X242" s="1742">
        <v>0</v>
      </c>
      <c r="Y242" s="2106">
        <v>0</v>
      </c>
      <c r="Z242" s="2106">
        <v>0</v>
      </c>
      <c r="AA242" s="2106">
        <v>0</v>
      </c>
      <c r="AB242" s="2106">
        <v>0</v>
      </c>
      <c r="AC242" s="2106">
        <v>0</v>
      </c>
      <c r="AD242" s="1744">
        <v>0</v>
      </c>
      <c r="AE242" s="2126">
        <v>0</v>
      </c>
      <c r="AF242" s="2126">
        <v>0</v>
      </c>
      <c r="AG242" s="1212">
        <v>1</v>
      </c>
      <c r="AH242" s="1212">
        <v>0</v>
      </c>
      <c r="AI242" s="1212">
        <v>0</v>
      </c>
      <c r="AJ242" s="1212">
        <v>1</v>
      </c>
      <c r="AK242" s="2126">
        <v>0</v>
      </c>
      <c r="AL242" s="2126">
        <v>0</v>
      </c>
      <c r="AM242" s="2126">
        <v>0</v>
      </c>
      <c r="AN242" s="2126">
        <v>0</v>
      </c>
      <c r="AO242" s="1743" t="s">
        <v>85</v>
      </c>
      <c r="AP242" s="1743" t="s">
        <v>96</v>
      </c>
      <c r="AQ242" s="1764" t="s">
        <v>107</v>
      </c>
      <c r="AR242" s="1743" t="s">
        <v>87</v>
      </c>
      <c r="AS242" s="2135"/>
      <c r="AT242" s="2135"/>
      <c r="AU242" s="1212">
        <v>0.33333333333333331</v>
      </c>
      <c r="AV242" s="1212">
        <v>0.33333333333333331</v>
      </c>
      <c r="AW242" s="1212">
        <v>0.33333333333333331</v>
      </c>
      <c r="AX242" s="1212"/>
      <c r="AY242" s="1212"/>
      <c r="AZ242" s="1212"/>
      <c r="BA242" s="1212"/>
      <c r="BB242" s="1212"/>
      <c r="BC242" s="1212"/>
      <c r="BD242" s="1212"/>
      <c r="BE242" s="1212"/>
      <c r="BF242" s="2126">
        <v>0</v>
      </c>
      <c r="BG242" s="2126">
        <v>0</v>
      </c>
      <c r="BH242" s="2126">
        <v>0</v>
      </c>
      <c r="BI242" s="2126">
        <v>0</v>
      </c>
      <c r="BJ242" s="2126">
        <v>0</v>
      </c>
      <c r="BK242" s="2126">
        <v>0</v>
      </c>
      <c r="BL242" s="2126">
        <v>0</v>
      </c>
      <c r="BM242" s="2126">
        <v>0</v>
      </c>
      <c r="BN242" s="2126">
        <v>0</v>
      </c>
      <c r="BO242" s="2126">
        <v>0</v>
      </c>
      <c r="BP242" s="2126">
        <v>0</v>
      </c>
      <c r="BQ242" s="2126">
        <v>0</v>
      </c>
      <c r="BR242" s="2126">
        <v>0</v>
      </c>
    </row>
    <row r="243" spans="1:70" s="1765" customFormat="1" ht="33">
      <c r="A243" s="1272">
        <v>2000</v>
      </c>
      <c r="B243" s="971" t="s">
        <v>119</v>
      </c>
      <c r="C243" s="1272">
        <v>2500</v>
      </c>
      <c r="D243" s="971" t="s">
        <v>452</v>
      </c>
      <c r="E243" s="971" t="s">
        <v>453</v>
      </c>
      <c r="F243" s="971" t="s">
        <v>454</v>
      </c>
      <c r="G243" s="971">
        <v>2511</v>
      </c>
      <c r="H243" s="971" t="s">
        <v>565</v>
      </c>
      <c r="I243" s="1273" t="s">
        <v>123</v>
      </c>
      <c r="J243" s="971" t="s">
        <v>124</v>
      </c>
      <c r="K243" s="971"/>
      <c r="L243" s="971" t="e">
        <v>#N/A</v>
      </c>
      <c r="M243" s="971" t="s">
        <v>145</v>
      </c>
      <c r="N243" s="971" t="s">
        <v>141</v>
      </c>
      <c r="O243" s="971" t="s">
        <v>146</v>
      </c>
      <c r="P243" s="971"/>
      <c r="Q243" s="971" t="s">
        <v>589</v>
      </c>
      <c r="R243" s="1266" t="s">
        <v>568</v>
      </c>
      <c r="S243" s="2106">
        <v>0</v>
      </c>
      <c r="T243" s="1266" t="s">
        <v>136</v>
      </c>
      <c r="U243" s="1742" t="s">
        <v>6588</v>
      </c>
      <c r="V243" s="1742" t="s">
        <v>6588</v>
      </c>
      <c r="W243" s="1742" t="s">
        <v>6588</v>
      </c>
      <c r="X243" s="1742" t="s">
        <v>6588</v>
      </c>
      <c r="Y243" s="2106" t="s">
        <v>6588</v>
      </c>
      <c r="Z243" s="2106">
        <v>0</v>
      </c>
      <c r="AA243" s="2106">
        <v>0</v>
      </c>
      <c r="AB243" s="2106">
        <v>0</v>
      </c>
      <c r="AC243" s="2106">
        <v>0</v>
      </c>
      <c r="AD243" s="1744">
        <v>0</v>
      </c>
      <c r="AE243" s="2126">
        <v>0</v>
      </c>
      <c r="AF243" s="2126">
        <v>0</v>
      </c>
      <c r="AG243" s="1212">
        <v>1</v>
      </c>
      <c r="AH243" s="1212">
        <v>0</v>
      </c>
      <c r="AI243" s="1212">
        <v>0</v>
      </c>
      <c r="AJ243" s="1212">
        <v>1</v>
      </c>
      <c r="AK243" s="2126">
        <v>0</v>
      </c>
      <c r="AL243" s="2126">
        <v>0</v>
      </c>
      <c r="AM243" s="2126">
        <v>0</v>
      </c>
      <c r="AN243" s="2126">
        <v>0</v>
      </c>
      <c r="AO243" s="1743" t="s">
        <v>85</v>
      </c>
      <c r="AP243" s="1743" t="s">
        <v>96</v>
      </c>
      <c r="AQ243" s="1764" t="s">
        <v>107</v>
      </c>
      <c r="AR243" s="1743" t="s">
        <v>87</v>
      </c>
      <c r="AS243" s="2135"/>
      <c r="AT243" s="2135"/>
      <c r="AU243" s="1212">
        <v>0.33333333333333331</v>
      </c>
      <c r="AV243" s="1212">
        <v>0.33333333333333331</v>
      </c>
      <c r="AW243" s="1212">
        <v>0.33333333333333331</v>
      </c>
      <c r="AX243" s="1212"/>
      <c r="AY243" s="1212"/>
      <c r="AZ243" s="1212"/>
      <c r="BA243" s="1212"/>
      <c r="BB243" s="1212"/>
      <c r="BC243" s="1212"/>
      <c r="BD243" s="1212"/>
      <c r="BE243" s="1212"/>
      <c r="BF243" s="2126">
        <v>0</v>
      </c>
      <c r="BG243" s="2126">
        <v>0</v>
      </c>
      <c r="BH243" s="2126">
        <v>0</v>
      </c>
      <c r="BI243" s="2126">
        <v>0</v>
      </c>
      <c r="BJ243" s="2126">
        <v>0</v>
      </c>
      <c r="BK243" s="2126">
        <v>0</v>
      </c>
      <c r="BL243" s="2126">
        <v>0</v>
      </c>
      <c r="BM243" s="2126">
        <v>0</v>
      </c>
      <c r="BN243" s="2126">
        <v>0</v>
      </c>
      <c r="BO243" s="2126">
        <v>0</v>
      </c>
      <c r="BP243" s="2126">
        <v>0</v>
      </c>
      <c r="BQ243" s="2126">
        <v>0</v>
      </c>
      <c r="BR243" s="2126">
        <v>0</v>
      </c>
    </row>
    <row r="244" spans="1:70" s="1765" customFormat="1" ht="49.5">
      <c r="A244" s="1272">
        <v>2000</v>
      </c>
      <c r="B244" s="971" t="s">
        <v>119</v>
      </c>
      <c r="C244" s="1272">
        <v>2500</v>
      </c>
      <c r="D244" s="971" t="s">
        <v>452</v>
      </c>
      <c r="E244" s="971" t="s">
        <v>453</v>
      </c>
      <c r="F244" s="971" t="s">
        <v>454</v>
      </c>
      <c r="G244" s="971">
        <v>2511</v>
      </c>
      <c r="H244" s="971" t="s">
        <v>565</v>
      </c>
      <c r="I244" s="1273" t="s">
        <v>590</v>
      </c>
      <c r="J244" s="971" t="s">
        <v>124</v>
      </c>
      <c r="K244" s="971" t="s">
        <v>784</v>
      </c>
      <c r="L244" s="971" t="s">
        <v>2852</v>
      </c>
      <c r="M244" s="971" t="s">
        <v>458</v>
      </c>
      <c r="N244" s="971" t="s">
        <v>127</v>
      </c>
      <c r="O244" s="971" t="s">
        <v>459</v>
      </c>
      <c r="P244" s="971"/>
      <c r="Q244" s="971" t="s">
        <v>591</v>
      </c>
      <c r="R244" s="1266" t="s">
        <v>592</v>
      </c>
      <c r="S244" s="2106">
        <v>0</v>
      </c>
      <c r="T244" s="1266" t="s">
        <v>136</v>
      </c>
      <c r="U244" s="1742">
        <v>0.22416666666666665</v>
      </c>
      <c r="V244" s="1742">
        <v>2.8020833333333335</v>
      </c>
      <c r="W244" s="1742">
        <v>19.758049999999997</v>
      </c>
      <c r="X244" s="1742">
        <v>30.905858333333335</v>
      </c>
      <c r="Y244" s="2106">
        <v>53.46599166666666</v>
      </c>
      <c r="Z244" s="2106">
        <v>0</v>
      </c>
      <c r="AA244" s="2106">
        <v>0</v>
      </c>
      <c r="AB244" s="2106">
        <v>0</v>
      </c>
      <c r="AC244" s="2106">
        <v>0</v>
      </c>
      <c r="AD244" s="1744">
        <v>0</v>
      </c>
      <c r="AE244" s="2126">
        <v>1</v>
      </c>
      <c r="AF244" s="2126">
        <v>0</v>
      </c>
      <c r="AG244" s="1212">
        <v>1</v>
      </c>
      <c r="AH244" s="1212">
        <v>0</v>
      </c>
      <c r="AI244" s="1212">
        <v>0</v>
      </c>
      <c r="AJ244" s="1212">
        <v>1</v>
      </c>
      <c r="AK244" s="2126">
        <v>0</v>
      </c>
      <c r="AL244" s="2126">
        <v>0</v>
      </c>
      <c r="AM244" s="2126">
        <v>0</v>
      </c>
      <c r="AN244" s="2126">
        <v>0</v>
      </c>
      <c r="AO244" s="1743" t="s">
        <v>85</v>
      </c>
      <c r="AP244" s="1743" t="s">
        <v>96</v>
      </c>
      <c r="AQ244" s="1764" t="s">
        <v>107</v>
      </c>
      <c r="AR244" s="1743" t="s">
        <v>87</v>
      </c>
      <c r="AS244" s="2135"/>
      <c r="AT244" s="2135"/>
      <c r="AU244" s="1212">
        <v>0.33333333333333331</v>
      </c>
      <c r="AV244" s="1212">
        <v>0.33333333333333331</v>
      </c>
      <c r="AW244" s="1212">
        <v>0.33333333333333331</v>
      </c>
      <c r="AX244" s="1212"/>
      <c r="AY244" s="1212"/>
      <c r="AZ244" s="1212"/>
      <c r="BA244" s="1212"/>
      <c r="BB244" s="1212"/>
      <c r="BC244" s="1212"/>
      <c r="BD244" s="1212"/>
      <c r="BE244" s="1212"/>
      <c r="BF244" s="2126">
        <v>0</v>
      </c>
      <c r="BG244" s="2126">
        <v>0</v>
      </c>
      <c r="BH244" s="2126">
        <v>0</v>
      </c>
      <c r="BI244" s="2126">
        <v>0</v>
      </c>
      <c r="BJ244" s="2126">
        <v>0</v>
      </c>
      <c r="BK244" s="2126">
        <v>0</v>
      </c>
      <c r="BL244" s="2126">
        <v>0</v>
      </c>
      <c r="BM244" s="2126">
        <v>0</v>
      </c>
      <c r="BN244" s="2126">
        <v>0</v>
      </c>
      <c r="BO244" s="2126">
        <v>0</v>
      </c>
      <c r="BP244" s="2126">
        <v>0</v>
      </c>
      <c r="BQ244" s="2126">
        <v>0</v>
      </c>
      <c r="BR244" s="2126">
        <v>0</v>
      </c>
    </row>
    <row r="245" spans="1:70" s="1765" customFormat="1" ht="33">
      <c r="A245" s="1272">
        <v>2000</v>
      </c>
      <c r="B245" s="971" t="s">
        <v>119</v>
      </c>
      <c r="C245" s="1272">
        <v>2500</v>
      </c>
      <c r="D245" s="971" t="s">
        <v>452</v>
      </c>
      <c r="E245" s="971" t="s">
        <v>453</v>
      </c>
      <c r="F245" s="971" t="s">
        <v>454</v>
      </c>
      <c r="G245" s="971">
        <v>2511</v>
      </c>
      <c r="H245" s="971" t="s">
        <v>565</v>
      </c>
      <c r="I245" s="1273" t="s">
        <v>590</v>
      </c>
      <c r="J245" s="971" t="s">
        <v>124</v>
      </c>
      <c r="K245" s="971" t="s">
        <v>140</v>
      </c>
      <c r="L245" s="971" t="s">
        <v>2909</v>
      </c>
      <c r="M245" s="971" t="s">
        <v>140</v>
      </c>
      <c r="N245" s="971" t="s">
        <v>141</v>
      </c>
      <c r="O245" s="971" t="s">
        <v>142</v>
      </c>
      <c r="P245" s="971"/>
      <c r="Q245" s="971" t="s">
        <v>593</v>
      </c>
      <c r="R245" s="1266" t="s">
        <v>592</v>
      </c>
      <c r="S245" s="2106">
        <v>0</v>
      </c>
      <c r="T245" s="1266" t="s">
        <v>136</v>
      </c>
      <c r="U245" s="1742">
        <v>0</v>
      </c>
      <c r="V245" s="1742">
        <v>0</v>
      </c>
      <c r="W245" s="1742">
        <v>0</v>
      </c>
      <c r="X245" s="1742">
        <v>0</v>
      </c>
      <c r="Y245" s="2106">
        <v>0</v>
      </c>
      <c r="Z245" s="2106">
        <v>0</v>
      </c>
      <c r="AA245" s="2106">
        <v>0</v>
      </c>
      <c r="AB245" s="2106">
        <v>0</v>
      </c>
      <c r="AC245" s="2106">
        <v>0</v>
      </c>
      <c r="AD245" s="1744">
        <v>0</v>
      </c>
      <c r="AE245" s="2126">
        <v>0</v>
      </c>
      <c r="AF245" s="2126">
        <v>0</v>
      </c>
      <c r="AG245" s="1212">
        <v>1</v>
      </c>
      <c r="AH245" s="1212">
        <v>0</v>
      </c>
      <c r="AI245" s="1212">
        <v>0</v>
      </c>
      <c r="AJ245" s="1212">
        <v>1</v>
      </c>
      <c r="AK245" s="2126">
        <v>0</v>
      </c>
      <c r="AL245" s="2126">
        <v>0</v>
      </c>
      <c r="AM245" s="2126">
        <v>0</v>
      </c>
      <c r="AN245" s="2126">
        <v>0</v>
      </c>
      <c r="AO245" s="1743" t="s">
        <v>85</v>
      </c>
      <c r="AP245" s="1743" t="s">
        <v>96</v>
      </c>
      <c r="AQ245" s="1764" t="s">
        <v>107</v>
      </c>
      <c r="AR245" s="1743" t="s">
        <v>87</v>
      </c>
      <c r="AS245" s="2135"/>
      <c r="AT245" s="2135"/>
      <c r="AU245" s="1212">
        <v>0.33333333333333331</v>
      </c>
      <c r="AV245" s="1212">
        <v>0.33333333333333331</v>
      </c>
      <c r="AW245" s="1212">
        <v>0.33333333333333331</v>
      </c>
      <c r="AX245" s="1212"/>
      <c r="AY245" s="1212"/>
      <c r="AZ245" s="1212"/>
      <c r="BA245" s="1212"/>
      <c r="BB245" s="1212"/>
      <c r="BC245" s="1212"/>
      <c r="BD245" s="1212"/>
      <c r="BE245" s="1212"/>
      <c r="BF245" s="2126">
        <v>0</v>
      </c>
      <c r="BG245" s="2126">
        <v>0</v>
      </c>
      <c r="BH245" s="2126">
        <v>0</v>
      </c>
      <c r="BI245" s="2126">
        <v>0</v>
      </c>
      <c r="BJ245" s="2126">
        <v>0</v>
      </c>
      <c r="BK245" s="2126">
        <v>0</v>
      </c>
      <c r="BL245" s="2126">
        <v>0</v>
      </c>
      <c r="BM245" s="2126">
        <v>0</v>
      </c>
      <c r="BN245" s="2126">
        <v>0</v>
      </c>
      <c r="BO245" s="2126">
        <v>0</v>
      </c>
      <c r="BP245" s="2126">
        <v>0</v>
      </c>
      <c r="BQ245" s="2126">
        <v>0</v>
      </c>
      <c r="BR245" s="2126">
        <v>0</v>
      </c>
    </row>
    <row r="246" spans="1:70" s="1765" customFormat="1" ht="33">
      <c r="A246" s="1272">
        <v>2000</v>
      </c>
      <c r="B246" s="971" t="s">
        <v>119</v>
      </c>
      <c r="C246" s="1272">
        <v>2500</v>
      </c>
      <c r="D246" s="971" t="s">
        <v>452</v>
      </c>
      <c r="E246" s="971" t="s">
        <v>453</v>
      </c>
      <c r="F246" s="971" t="s">
        <v>454</v>
      </c>
      <c r="G246" s="971">
        <v>2511</v>
      </c>
      <c r="H246" s="971" t="s">
        <v>565</v>
      </c>
      <c r="I246" s="1273" t="s">
        <v>590</v>
      </c>
      <c r="J246" s="971" t="s">
        <v>124</v>
      </c>
      <c r="K246" s="971"/>
      <c r="L246" s="971" t="e">
        <v>#N/A</v>
      </c>
      <c r="M246" s="971" t="s">
        <v>145</v>
      </c>
      <c r="N246" s="971" t="s">
        <v>141</v>
      </c>
      <c r="O246" s="971" t="s">
        <v>146</v>
      </c>
      <c r="P246" s="971"/>
      <c r="Q246" s="971" t="s">
        <v>594</v>
      </c>
      <c r="R246" s="1266" t="s">
        <v>592</v>
      </c>
      <c r="S246" s="2106">
        <v>0</v>
      </c>
      <c r="T246" s="1266" t="s">
        <v>136</v>
      </c>
      <c r="U246" s="1742" t="s">
        <v>6588</v>
      </c>
      <c r="V246" s="1742" t="s">
        <v>6588</v>
      </c>
      <c r="W246" s="1742" t="s">
        <v>6588</v>
      </c>
      <c r="X246" s="1742" t="s">
        <v>6588</v>
      </c>
      <c r="Y246" s="2106" t="s">
        <v>6588</v>
      </c>
      <c r="Z246" s="2106">
        <v>0</v>
      </c>
      <c r="AA246" s="2106">
        <v>0</v>
      </c>
      <c r="AB246" s="2106">
        <v>0</v>
      </c>
      <c r="AC246" s="2106">
        <v>0</v>
      </c>
      <c r="AD246" s="1744">
        <v>0</v>
      </c>
      <c r="AE246" s="2126">
        <v>0</v>
      </c>
      <c r="AF246" s="2126">
        <v>0</v>
      </c>
      <c r="AG246" s="1212">
        <v>1</v>
      </c>
      <c r="AH246" s="1212">
        <v>0</v>
      </c>
      <c r="AI246" s="1212">
        <v>0</v>
      </c>
      <c r="AJ246" s="1212">
        <v>1</v>
      </c>
      <c r="AK246" s="2126">
        <v>0</v>
      </c>
      <c r="AL246" s="2126">
        <v>0</v>
      </c>
      <c r="AM246" s="2126">
        <v>0</v>
      </c>
      <c r="AN246" s="2126">
        <v>0</v>
      </c>
      <c r="AO246" s="1743" t="s">
        <v>85</v>
      </c>
      <c r="AP246" s="1743" t="s">
        <v>96</v>
      </c>
      <c r="AQ246" s="1764" t="s">
        <v>107</v>
      </c>
      <c r="AR246" s="1743" t="s">
        <v>87</v>
      </c>
      <c r="AS246" s="2135"/>
      <c r="AT246" s="2135"/>
      <c r="AU246" s="1212">
        <v>0.33333333333333331</v>
      </c>
      <c r="AV246" s="1212">
        <v>0.33333333333333331</v>
      </c>
      <c r="AW246" s="1212">
        <v>0.33333333333333331</v>
      </c>
      <c r="AX246" s="1212"/>
      <c r="AY246" s="1212"/>
      <c r="AZ246" s="1212"/>
      <c r="BA246" s="1212"/>
      <c r="BB246" s="1212"/>
      <c r="BC246" s="1212"/>
      <c r="BD246" s="1212"/>
      <c r="BE246" s="1212"/>
      <c r="BF246" s="2126">
        <v>0</v>
      </c>
      <c r="BG246" s="2126">
        <v>0</v>
      </c>
      <c r="BH246" s="2126">
        <v>0</v>
      </c>
      <c r="BI246" s="2126">
        <v>0</v>
      </c>
      <c r="BJ246" s="2126">
        <v>0</v>
      </c>
      <c r="BK246" s="2126">
        <v>0</v>
      </c>
      <c r="BL246" s="2126">
        <v>0</v>
      </c>
      <c r="BM246" s="2126">
        <v>0</v>
      </c>
      <c r="BN246" s="2126">
        <v>0</v>
      </c>
      <c r="BO246" s="2126">
        <v>0</v>
      </c>
      <c r="BP246" s="2126">
        <v>0</v>
      </c>
      <c r="BQ246" s="2126">
        <v>0</v>
      </c>
      <c r="BR246" s="2126">
        <v>0</v>
      </c>
    </row>
    <row r="247" spans="1:70" s="1765" customFormat="1" ht="49.5">
      <c r="A247" s="1272">
        <v>2000</v>
      </c>
      <c r="B247" s="971" t="s">
        <v>119</v>
      </c>
      <c r="C247" s="1272">
        <v>2500</v>
      </c>
      <c r="D247" s="971" t="s">
        <v>452</v>
      </c>
      <c r="E247" s="971" t="s">
        <v>453</v>
      </c>
      <c r="F247" s="971" t="s">
        <v>454</v>
      </c>
      <c r="G247" s="971">
        <v>2511</v>
      </c>
      <c r="H247" s="971" t="s">
        <v>565</v>
      </c>
      <c r="I247" s="1273" t="s">
        <v>490</v>
      </c>
      <c r="J247" s="971" t="s">
        <v>124</v>
      </c>
      <c r="K247" s="971" t="s">
        <v>784</v>
      </c>
      <c r="L247" s="971" t="s">
        <v>2852</v>
      </c>
      <c r="M247" s="971" t="s">
        <v>458</v>
      </c>
      <c r="N247" s="971" t="s">
        <v>127</v>
      </c>
      <c r="O247" s="971" t="s">
        <v>459</v>
      </c>
      <c r="P247" s="971"/>
      <c r="Q247" s="971" t="s">
        <v>595</v>
      </c>
      <c r="R247" s="1266" t="s">
        <v>596</v>
      </c>
      <c r="S247" s="2106">
        <v>0</v>
      </c>
      <c r="T247" s="1266" t="s">
        <v>136</v>
      </c>
      <c r="U247" s="1742">
        <v>0.22416666666666665</v>
      </c>
      <c r="V247" s="1742">
        <v>2.8020833333333335</v>
      </c>
      <c r="W247" s="1742">
        <v>19.758049999999997</v>
      </c>
      <c r="X247" s="1742">
        <v>30.905858333333335</v>
      </c>
      <c r="Y247" s="2106">
        <v>53.46599166666666</v>
      </c>
      <c r="Z247" s="2106">
        <v>0</v>
      </c>
      <c r="AA247" s="2106">
        <v>0</v>
      </c>
      <c r="AB247" s="2106">
        <v>0</v>
      </c>
      <c r="AC247" s="2106">
        <v>0</v>
      </c>
      <c r="AD247" s="1744">
        <v>0</v>
      </c>
      <c r="AE247" s="2126">
        <v>1</v>
      </c>
      <c r="AF247" s="2126">
        <v>0</v>
      </c>
      <c r="AG247" s="1212">
        <v>1</v>
      </c>
      <c r="AH247" s="1212">
        <v>0</v>
      </c>
      <c r="AI247" s="1212">
        <v>0</v>
      </c>
      <c r="AJ247" s="1212">
        <v>1</v>
      </c>
      <c r="AK247" s="2126">
        <v>0</v>
      </c>
      <c r="AL247" s="2126">
        <v>0</v>
      </c>
      <c r="AM247" s="2126">
        <v>0</v>
      </c>
      <c r="AN247" s="2126">
        <v>0</v>
      </c>
      <c r="AO247" s="1743" t="s">
        <v>85</v>
      </c>
      <c r="AP247" s="1743" t="s">
        <v>96</v>
      </c>
      <c r="AQ247" s="1764" t="s">
        <v>107</v>
      </c>
      <c r="AR247" s="1743" t="s">
        <v>87</v>
      </c>
      <c r="AS247" s="2135"/>
      <c r="AT247" s="2135"/>
      <c r="AU247" s="1212">
        <v>0.33333333333333331</v>
      </c>
      <c r="AV247" s="1212">
        <v>0.33333333333333331</v>
      </c>
      <c r="AW247" s="1212">
        <v>0.33333333333333331</v>
      </c>
      <c r="AX247" s="1212"/>
      <c r="AY247" s="1212"/>
      <c r="AZ247" s="1212"/>
      <c r="BA247" s="1212"/>
      <c r="BB247" s="1212"/>
      <c r="BC247" s="1212"/>
      <c r="BD247" s="1212"/>
      <c r="BE247" s="1212"/>
      <c r="BF247" s="2126">
        <v>0</v>
      </c>
      <c r="BG247" s="2126">
        <v>0</v>
      </c>
      <c r="BH247" s="2126">
        <v>0</v>
      </c>
      <c r="BI247" s="2126">
        <v>0</v>
      </c>
      <c r="BJ247" s="2126">
        <v>0</v>
      </c>
      <c r="BK247" s="2126">
        <v>0</v>
      </c>
      <c r="BL247" s="2126">
        <v>0</v>
      </c>
      <c r="BM247" s="2126">
        <v>0</v>
      </c>
      <c r="BN247" s="2126">
        <v>0</v>
      </c>
      <c r="BO247" s="2126">
        <v>0</v>
      </c>
      <c r="BP247" s="2126">
        <v>0</v>
      </c>
      <c r="BQ247" s="2126">
        <v>0</v>
      </c>
      <c r="BR247" s="2126">
        <v>0</v>
      </c>
    </row>
    <row r="248" spans="1:70" s="1765" customFormat="1" ht="33">
      <c r="A248" s="1272">
        <v>2000</v>
      </c>
      <c r="B248" s="971" t="s">
        <v>119</v>
      </c>
      <c r="C248" s="1272">
        <v>2500</v>
      </c>
      <c r="D248" s="971" t="s">
        <v>452</v>
      </c>
      <c r="E248" s="971" t="s">
        <v>453</v>
      </c>
      <c r="F248" s="971" t="s">
        <v>454</v>
      </c>
      <c r="G248" s="971">
        <v>2511</v>
      </c>
      <c r="H248" s="971" t="s">
        <v>565</v>
      </c>
      <c r="I248" s="1273" t="s">
        <v>490</v>
      </c>
      <c r="J248" s="971" t="s">
        <v>124</v>
      </c>
      <c r="K248" s="971" t="s">
        <v>140</v>
      </c>
      <c r="L248" s="971" t="s">
        <v>2909</v>
      </c>
      <c r="M248" s="971" t="s">
        <v>140</v>
      </c>
      <c r="N248" s="971" t="s">
        <v>141</v>
      </c>
      <c r="O248" s="971" t="s">
        <v>142</v>
      </c>
      <c r="P248" s="971"/>
      <c r="Q248" s="971" t="s">
        <v>597</v>
      </c>
      <c r="R248" s="1266" t="s">
        <v>596</v>
      </c>
      <c r="S248" s="2106">
        <v>0</v>
      </c>
      <c r="T248" s="1266" t="s">
        <v>136</v>
      </c>
      <c r="U248" s="1742">
        <v>0</v>
      </c>
      <c r="V248" s="1742">
        <v>0</v>
      </c>
      <c r="W248" s="1742">
        <v>0</v>
      </c>
      <c r="X248" s="1742">
        <v>0</v>
      </c>
      <c r="Y248" s="2106">
        <v>0</v>
      </c>
      <c r="Z248" s="2106">
        <v>0</v>
      </c>
      <c r="AA248" s="2106">
        <v>0</v>
      </c>
      <c r="AB248" s="2106">
        <v>0</v>
      </c>
      <c r="AC248" s="2106">
        <v>0</v>
      </c>
      <c r="AD248" s="1744">
        <v>0</v>
      </c>
      <c r="AE248" s="2126">
        <v>0</v>
      </c>
      <c r="AF248" s="2126">
        <v>0</v>
      </c>
      <c r="AG248" s="1212">
        <v>1</v>
      </c>
      <c r="AH248" s="1212">
        <v>0</v>
      </c>
      <c r="AI248" s="1212">
        <v>0</v>
      </c>
      <c r="AJ248" s="1212">
        <v>1</v>
      </c>
      <c r="AK248" s="2126">
        <v>0</v>
      </c>
      <c r="AL248" s="2126">
        <v>0</v>
      </c>
      <c r="AM248" s="2126">
        <v>0</v>
      </c>
      <c r="AN248" s="2126">
        <v>0</v>
      </c>
      <c r="AO248" s="1743" t="s">
        <v>85</v>
      </c>
      <c r="AP248" s="1743" t="s">
        <v>96</v>
      </c>
      <c r="AQ248" s="1764" t="s">
        <v>107</v>
      </c>
      <c r="AR248" s="1743" t="s">
        <v>87</v>
      </c>
      <c r="AS248" s="2135"/>
      <c r="AT248" s="2135"/>
      <c r="AU248" s="1212">
        <v>0.33333333333333331</v>
      </c>
      <c r="AV248" s="1212">
        <v>0.33333333333333331</v>
      </c>
      <c r="AW248" s="1212">
        <v>0.33333333333333331</v>
      </c>
      <c r="AX248" s="1212"/>
      <c r="AY248" s="1212"/>
      <c r="AZ248" s="1212"/>
      <c r="BA248" s="1212"/>
      <c r="BB248" s="1212"/>
      <c r="BC248" s="1212"/>
      <c r="BD248" s="1212"/>
      <c r="BE248" s="1212"/>
      <c r="BF248" s="2126">
        <v>0</v>
      </c>
      <c r="BG248" s="2126">
        <v>0</v>
      </c>
      <c r="BH248" s="2126">
        <v>0</v>
      </c>
      <c r="BI248" s="2126">
        <v>0</v>
      </c>
      <c r="BJ248" s="2126">
        <v>0</v>
      </c>
      <c r="BK248" s="2126">
        <v>0</v>
      </c>
      <c r="BL248" s="2126">
        <v>0</v>
      </c>
      <c r="BM248" s="2126">
        <v>0</v>
      </c>
      <c r="BN248" s="2126">
        <v>0</v>
      </c>
      <c r="BO248" s="2126">
        <v>0</v>
      </c>
      <c r="BP248" s="2126">
        <v>0</v>
      </c>
      <c r="BQ248" s="2126">
        <v>0</v>
      </c>
      <c r="BR248" s="2126">
        <v>0</v>
      </c>
    </row>
    <row r="249" spans="1:70" s="1765" customFormat="1" ht="33">
      <c r="A249" s="1272">
        <v>2000</v>
      </c>
      <c r="B249" s="971" t="s">
        <v>119</v>
      </c>
      <c r="C249" s="1272">
        <v>2500</v>
      </c>
      <c r="D249" s="971" t="s">
        <v>452</v>
      </c>
      <c r="E249" s="971" t="s">
        <v>453</v>
      </c>
      <c r="F249" s="971" t="s">
        <v>454</v>
      </c>
      <c r="G249" s="971">
        <v>2511</v>
      </c>
      <c r="H249" s="971" t="s">
        <v>565</v>
      </c>
      <c r="I249" s="1273" t="s">
        <v>490</v>
      </c>
      <c r="J249" s="971" t="s">
        <v>124</v>
      </c>
      <c r="K249" s="971"/>
      <c r="L249" s="971" t="e">
        <v>#N/A</v>
      </c>
      <c r="M249" s="971" t="s">
        <v>145</v>
      </c>
      <c r="N249" s="971" t="s">
        <v>141</v>
      </c>
      <c r="O249" s="971" t="s">
        <v>146</v>
      </c>
      <c r="P249" s="971"/>
      <c r="Q249" s="971" t="s">
        <v>598</v>
      </c>
      <c r="R249" s="1266" t="s">
        <v>596</v>
      </c>
      <c r="S249" s="2106">
        <v>0</v>
      </c>
      <c r="T249" s="1266" t="s">
        <v>136</v>
      </c>
      <c r="U249" s="1742" t="s">
        <v>6588</v>
      </c>
      <c r="V249" s="1742" t="s">
        <v>6588</v>
      </c>
      <c r="W249" s="1742" t="s">
        <v>6588</v>
      </c>
      <c r="X249" s="1742" t="s">
        <v>6588</v>
      </c>
      <c r="Y249" s="2106" t="s">
        <v>6588</v>
      </c>
      <c r="Z249" s="2106">
        <v>0</v>
      </c>
      <c r="AA249" s="2106">
        <v>0</v>
      </c>
      <c r="AB249" s="2106">
        <v>0</v>
      </c>
      <c r="AC249" s="2106">
        <v>0</v>
      </c>
      <c r="AD249" s="1744">
        <v>0</v>
      </c>
      <c r="AE249" s="2126">
        <v>0</v>
      </c>
      <c r="AF249" s="2126">
        <v>0</v>
      </c>
      <c r="AG249" s="1212">
        <v>1</v>
      </c>
      <c r="AH249" s="1212">
        <v>0</v>
      </c>
      <c r="AI249" s="1212">
        <v>0</v>
      </c>
      <c r="AJ249" s="1212">
        <v>1</v>
      </c>
      <c r="AK249" s="2126">
        <v>0</v>
      </c>
      <c r="AL249" s="2126">
        <v>0</v>
      </c>
      <c r="AM249" s="2126">
        <v>0</v>
      </c>
      <c r="AN249" s="2126">
        <v>0</v>
      </c>
      <c r="AO249" s="1743" t="s">
        <v>85</v>
      </c>
      <c r="AP249" s="1743" t="s">
        <v>96</v>
      </c>
      <c r="AQ249" s="1764" t="s">
        <v>107</v>
      </c>
      <c r="AR249" s="1743" t="s">
        <v>87</v>
      </c>
      <c r="AS249" s="2135"/>
      <c r="AT249" s="2135"/>
      <c r="AU249" s="1212">
        <v>0.33333333333333331</v>
      </c>
      <c r="AV249" s="1212">
        <v>0.33333333333333331</v>
      </c>
      <c r="AW249" s="1212">
        <v>0.33333333333333331</v>
      </c>
      <c r="AX249" s="1212"/>
      <c r="AY249" s="1212"/>
      <c r="AZ249" s="1212"/>
      <c r="BA249" s="1212"/>
      <c r="BB249" s="1212"/>
      <c r="BC249" s="1212"/>
      <c r="BD249" s="1212"/>
      <c r="BE249" s="1212"/>
      <c r="BF249" s="2126">
        <v>0</v>
      </c>
      <c r="BG249" s="2126">
        <v>0</v>
      </c>
      <c r="BH249" s="2126">
        <v>0</v>
      </c>
      <c r="BI249" s="2126">
        <v>0</v>
      </c>
      <c r="BJ249" s="2126">
        <v>0</v>
      </c>
      <c r="BK249" s="2126">
        <v>0</v>
      </c>
      <c r="BL249" s="2126">
        <v>0</v>
      </c>
      <c r="BM249" s="2126">
        <v>0</v>
      </c>
      <c r="BN249" s="2126">
        <v>0</v>
      </c>
      <c r="BO249" s="2126">
        <v>0</v>
      </c>
      <c r="BP249" s="2126">
        <v>0</v>
      </c>
      <c r="BQ249" s="2126">
        <v>0</v>
      </c>
      <c r="BR249" s="2126">
        <v>0</v>
      </c>
    </row>
    <row r="250" spans="1:70" s="1765" customFormat="1" ht="49.5">
      <c r="A250" s="1272">
        <v>2000</v>
      </c>
      <c r="B250" s="971" t="s">
        <v>119</v>
      </c>
      <c r="C250" s="1272">
        <v>2500</v>
      </c>
      <c r="D250" s="971" t="s">
        <v>452</v>
      </c>
      <c r="E250" s="971" t="s">
        <v>453</v>
      </c>
      <c r="F250" s="971" t="s">
        <v>454</v>
      </c>
      <c r="G250" s="971">
        <v>2511</v>
      </c>
      <c r="H250" s="971" t="s">
        <v>565</v>
      </c>
      <c r="I250" s="1273" t="s">
        <v>495</v>
      </c>
      <c r="J250" s="971" t="s">
        <v>124</v>
      </c>
      <c r="K250" s="971" t="s">
        <v>784</v>
      </c>
      <c r="L250" s="971" t="s">
        <v>2852</v>
      </c>
      <c r="M250" s="971" t="s">
        <v>458</v>
      </c>
      <c r="N250" s="971" t="s">
        <v>127</v>
      </c>
      <c r="O250" s="971" t="s">
        <v>459</v>
      </c>
      <c r="P250" s="971"/>
      <c r="Q250" s="971" t="s">
        <v>599</v>
      </c>
      <c r="R250" s="1266" t="s">
        <v>600</v>
      </c>
      <c r="S250" s="2106">
        <v>0</v>
      </c>
      <c r="T250" s="1266" t="s">
        <v>136</v>
      </c>
      <c r="U250" s="1742">
        <v>0.22416666666666665</v>
      </c>
      <c r="V250" s="1742">
        <v>2.8020833333333335</v>
      </c>
      <c r="W250" s="1742">
        <v>19.758049999999997</v>
      </c>
      <c r="X250" s="1742">
        <v>30.905858333333335</v>
      </c>
      <c r="Y250" s="2106">
        <v>53.46599166666666</v>
      </c>
      <c r="Z250" s="2106">
        <v>0</v>
      </c>
      <c r="AA250" s="2106">
        <v>0</v>
      </c>
      <c r="AB250" s="2106">
        <v>0</v>
      </c>
      <c r="AC250" s="2106">
        <v>0</v>
      </c>
      <c r="AD250" s="1744">
        <v>0</v>
      </c>
      <c r="AE250" s="2126">
        <v>1</v>
      </c>
      <c r="AF250" s="2126">
        <v>0</v>
      </c>
      <c r="AG250" s="1212">
        <v>1</v>
      </c>
      <c r="AH250" s="1212">
        <v>0</v>
      </c>
      <c r="AI250" s="1212">
        <v>0</v>
      </c>
      <c r="AJ250" s="1212">
        <v>1</v>
      </c>
      <c r="AK250" s="2126">
        <v>0</v>
      </c>
      <c r="AL250" s="2126">
        <v>0</v>
      </c>
      <c r="AM250" s="2126">
        <v>0</v>
      </c>
      <c r="AN250" s="2126">
        <v>0</v>
      </c>
      <c r="AO250" s="1743" t="s">
        <v>85</v>
      </c>
      <c r="AP250" s="1743" t="s">
        <v>96</v>
      </c>
      <c r="AQ250" s="1764" t="s">
        <v>107</v>
      </c>
      <c r="AR250" s="1743" t="s">
        <v>87</v>
      </c>
      <c r="AS250" s="2135"/>
      <c r="AT250" s="2135"/>
      <c r="AU250" s="1212">
        <v>0.33333333333333331</v>
      </c>
      <c r="AV250" s="1212">
        <v>0.33333333333333331</v>
      </c>
      <c r="AW250" s="1212">
        <v>0.33333333333333331</v>
      </c>
      <c r="AX250" s="1212"/>
      <c r="AY250" s="1212"/>
      <c r="AZ250" s="1212"/>
      <c r="BA250" s="1212"/>
      <c r="BB250" s="1212"/>
      <c r="BC250" s="1212"/>
      <c r="BD250" s="1212"/>
      <c r="BE250" s="1212"/>
      <c r="BF250" s="2126">
        <v>0</v>
      </c>
      <c r="BG250" s="2126">
        <v>0</v>
      </c>
      <c r="BH250" s="2126">
        <v>0</v>
      </c>
      <c r="BI250" s="2126">
        <v>0</v>
      </c>
      <c r="BJ250" s="2126">
        <v>0</v>
      </c>
      <c r="BK250" s="2126">
        <v>0</v>
      </c>
      <c r="BL250" s="2126">
        <v>0</v>
      </c>
      <c r="BM250" s="2126">
        <v>0</v>
      </c>
      <c r="BN250" s="2126">
        <v>0</v>
      </c>
      <c r="BO250" s="2126">
        <v>0</v>
      </c>
      <c r="BP250" s="2126">
        <v>0</v>
      </c>
      <c r="BQ250" s="2126">
        <v>0</v>
      </c>
      <c r="BR250" s="2126">
        <v>0</v>
      </c>
    </row>
    <row r="251" spans="1:70" s="1765" customFormat="1" ht="33">
      <c r="A251" s="1272">
        <v>2000</v>
      </c>
      <c r="B251" s="971" t="s">
        <v>119</v>
      </c>
      <c r="C251" s="1272">
        <v>2500</v>
      </c>
      <c r="D251" s="971" t="s">
        <v>452</v>
      </c>
      <c r="E251" s="971" t="s">
        <v>453</v>
      </c>
      <c r="F251" s="971" t="s">
        <v>454</v>
      </c>
      <c r="G251" s="971">
        <v>2511</v>
      </c>
      <c r="H251" s="971" t="s">
        <v>565</v>
      </c>
      <c r="I251" s="1273" t="s">
        <v>495</v>
      </c>
      <c r="J251" s="971" t="s">
        <v>124</v>
      </c>
      <c r="K251" s="971" t="s">
        <v>140</v>
      </c>
      <c r="L251" s="971" t="s">
        <v>2909</v>
      </c>
      <c r="M251" s="971" t="s">
        <v>140</v>
      </c>
      <c r="N251" s="971" t="s">
        <v>141</v>
      </c>
      <c r="O251" s="971" t="s">
        <v>142</v>
      </c>
      <c r="P251" s="971"/>
      <c r="Q251" s="971" t="s">
        <v>601</v>
      </c>
      <c r="R251" s="1266" t="s">
        <v>600</v>
      </c>
      <c r="S251" s="2106">
        <v>0</v>
      </c>
      <c r="T251" s="1266" t="s">
        <v>136</v>
      </c>
      <c r="U251" s="1742">
        <v>0</v>
      </c>
      <c r="V251" s="1742">
        <v>0</v>
      </c>
      <c r="W251" s="1742">
        <v>0</v>
      </c>
      <c r="X251" s="1742">
        <v>0</v>
      </c>
      <c r="Y251" s="2106">
        <v>0</v>
      </c>
      <c r="Z251" s="2106">
        <v>0</v>
      </c>
      <c r="AA251" s="2106">
        <v>0</v>
      </c>
      <c r="AB251" s="2106">
        <v>0</v>
      </c>
      <c r="AC251" s="2106">
        <v>0</v>
      </c>
      <c r="AD251" s="1744">
        <v>0</v>
      </c>
      <c r="AE251" s="2126">
        <v>0</v>
      </c>
      <c r="AF251" s="2126">
        <v>0</v>
      </c>
      <c r="AG251" s="1212">
        <v>1</v>
      </c>
      <c r="AH251" s="1212">
        <v>0</v>
      </c>
      <c r="AI251" s="1212">
        <v>0</v>
      </c>
      <c r="AJ251" s="1212">
        <v>1</v>
      </c>
      <c r="AK251" s="2126">
        <v>0</v>
      </c>
      <c r="AL251" s="2126">
        <v>0</v>
      </c>
      <c r="AM251" s="2126">
        <v>0</v>
      </c>
      <c r="AN251" s="2126">
        <v>0</v>
      </c>
      <c r="AO251" s="1743" t="s">
        <v>85</v>
      </c>
      <c r="AP251" s="1743" t="s">
        <v>96</v>
      </c>
      <c r="AQ251" s="1764" t="s">
        <v>107</v>
      </c>
      <c r="AR251" s="1743" t="s">
        <v>87</v>
      </c>
      <c r="AS251" s="2135"/>
      <c r="AT251" s="2135"/>
      <c r="AU251" s="1212">
        <v>0.33333333333333331</v>
      </c>
      <c r="AV251" s="1212">
        <v>0.33333333333333331</v>
      </c>
      <c r="AW251" s="1212">
        <v>0.33333333333333331</v>
      </c>
      <c r="AX251" s="1212"/>
      <c r="AY251" s="1212"/>
      <c r="AZ251" s="1212"/>
      <c r="BA251" s="1212"/>
      <c r="BB251" s="1212"/>
      <c r="BC251" s="1212"/>
      <c r="BD251" s="1212"/>
      <c r="BE251" s="1212"/>
      <c r="BF251" s="2126">
        <v>0</v>
      </c>
      <c r="BG251" s="2126">
        <v>0</v>
      </c>
      <c r="BH251" s="2126">
        <v>0</v>
      </c>
      <c r="BI251" s="2126">
        <v>0</v>
      </c>
      <c r="BJ251" s="2126">
        <v>0</v>
      </c>
      <c r="BK251" s="2126">
        <v>0</v>
      </c>
      <c r="BL251" s="2126">
        <v>0</v>
      </c>
      <c r="BM251" s="2126">
        <v>0</v>
      </c>
      <c r="BN251" s="2126">
        <v>0</v>
      </c>
      <c r="BO251" s="2126">
        <v>0</v>
      </c>
      <c r="BP251" s="2126">
        <v>0</v>
      </c>
      <c r="BQ251" s="2126">
        <v>0</v>
      </c>
      <c r="BR251" s="2126">
        <v>0</v>
      </c>
    </row>
    <row r="252" spans="1:70" s="1765" customFormat="1" ht="33">
      <c r="A252" s="1272">
        <v>2000</v>
      </c>
      <c r="B252" s="971" t="s">
        <v>119</v>
      </c>
      <c r="C252" s="1272">
        <v>2500</v>
      </c>
      <c r="D252" s="971" t="s">
        <v>452</v>
      </c>
      <c r="E252" s="971" t="s">
        <v>453</v>
      </c>
      <c r="F252" s="971" t="s">
        <v>454</v>
      </c>
      <c r="G252" s="971">
        <v>2511</v>
      </c>
      <c r="H252" s="971" t="s">
        <v>565</v>
      </c>
      <c r="I252" s="1273" t="s">
        <v>495</v>
      </c>
      <c r="J252" s="971" t="s">
        <v>124</v>
      </c>
      <c r="K252" s="971"/>
      <c r="L252" s="971" t="e">
        <v>#N/A</v>
      </c>
      <c r="M252" s="971" t="s">
        <v>145</v>
      </c>
      <c r="N252" s="971" t="s">
        <v>141</v>
      </c>
      <c r="O252" s="971" t="s">
        <v>146</v>
      </c>
      <c r="P252" s="971"/>
      <c r="Q252" s="971" t="s">
        <v>602</v>
      </c>
      <c r="R252" s="1266" t="s">
        <v>600</v>
      </c>
      <c r="S252" s="2106">
        <v>0</v>
      </c>
      <c r="T252" s="1266" t="s">
        <v>136</v>
      </c>
      <c r="U252" s="1742" t="s">
        <v>6588</v>
      </c>
      <c r="V252" s="1742" t="s">
        <v>6588</v>
      </c>
      <c r="W252" s="1742" t="s">
        <v>6588</v>
      </c>
      <c r="X252" s="1742" t="s">
        <v>6588</v>
      </c>
      <c r="Y252" s="2106" t="s">
        <v>6588</v>
      </c>
      <c r="Z252" s="2106">
        <v>0</v>
      </c>
      <c r="AA252" s="2106">
        <v>0</v>
      </c>
      <c r="AB252" s="2106">
        <v>0</v>
      </c>
      <c r="AC252" s="2106">
        <v>0</v>
      </c>
      <c r="AD252" s="1744">
        <v>0</v>
      </c>
      <c r="AE252" s="2126">
        <v>0</v>
      </c>
      <c r="AF252" s="2126">
        <v>0</v>
      </c>
      <c r="AG252" s="1212">
        <v>1</v>
      </c>
      <c r="AH252" s="1212">
        <v>0</v>
      </c>
      <c r="AI252" s="1212">
        <v>0</v>
      </c>
      <c r="AJ252" s="1212">
        <v>1</v>
      </c>
      <c r="AK252" s="2126">
        <v>0</v>
      </c>
      <c r="AL252" s="2126">
        <v>0</v>
      </c>
      <c r="AM252" s="2126">
        <v>0</v>
      </c>
      <c r="AN252" s="2126">
        <v>0</v>
      </c>
      <c r="AO252" s="1743" t="s">
        <v>85</v>
      </c>
      <c r="AP252" s="1743" t="s">
        <v>96</v>
      </c>
      <c r="AQ252" s="1764" t="s">
        <v>107</v>
      </c>
      <c r="AR252" s="1743" t="s">
        <v>87</v>
      </c>
      <c r="AS252" s="2135"/>
      <c r="AT252" s="2135"/>
      <c r="AU252" s="1212">
        <v>0.33333333333333331</v>
      </c>
      <c r="AV252" s="1212">
        <v>0.33333333333333331</v>
      </c>
      <c r="AW252" s="1212">
        <v>0.33333333333333331</v>
      </c>
      <c r="AX252" s="1212"/>
      <c r="AY252" s="1212"/>
      <c r="AZ252" s="1212"/>
      <c r="BA252" s="1212"/>
      <c r="BB252" s="1212"/>
      <c r="BC252" s="1212"/>
      <c r="BD252" s="1212"/>
      <c r="BE252" s="1212"/>
      <c r="BF252" s="2126">
        <v>0</v>
      </c>
      <c r="BG252" s="2126">
        <v>0</v>
      </c>
      <c r="BH252" s="2126">
        <v>0</v>
      </c>
      <c r="BI252" s="2126">
        <v>0</v>
      </c>
      <c r="BJ252" s="2126">
        <v>0</v>
      </c>
      <c r="BK252" s="2126">
        <v>0</v>
      </c>
      <c r="BL252" s="2126">
        <v>0</v>
      </c>
      <c r="BM252" s="2126">
        <v>0</v>
      </c>
      <c r="BN252" s="2126">
        <v>0</v>
      </c>
      <c r="BO252" s="2126">
        <v>0</v>
      </c>
      <c r="BP252" s="2126">
        <v>0</v>
      </c>
      <c r="BQ252" s="2126">
        <v>0</v>
      </c>
      <c r="BR252" s="2126">
        <v>0</v>
      </c>
    </row>
    <row r="253" spans="1:70" s="1765" customFormat="1" ht="33">
      <c r="A253" s="1272">
        <v>2000</v>
      </c>
      <c r="B253" s="971" t="s">
        <v>119</v>
      </c>
      <c r="C253" s="1272">
        <v>2500</v>
      </c>
      <c r="D253" s="971" t="s">
        <v>452</v>
      </c>
      <c r="E253" s="971" t="s">
        <v>453</v>
      </c>
      <c r="F253" s="971" t="s">
        <v>454</v>
      </c>
      <c r="G253" s="971" t="s">
        <v>564</v>
      </c>
      <c r="H253" s="971" t="s">
        <v>565</v>
      </c>
      <c r="I253" s="1273"/>
      <c r="J253" s="971"/>
      <c r="K253" s="971" t="s">
        <v>150</v>
      </c>
      <c r="L253" s="971" t="s">
        <v>2800</v>
      </c>
      <c r="M253" s="971" t="s">
        <v>80</v>
      </c>
      <c r="N253" s="971" t="s">
        <v>83</v>
      </c>
      <c r="O253" s="971" t="s">
        <v>151</v>
      </c>
      <c r="P253" s="971" t="s">
        <v>152</v>
      </c>
      <c r="Q253" s="971" t="s">
        <v>603</v>
      </c>
      <c r="R253" s="1266"/>
      <c r="S253" s="2106">
        <v>45000</v>
      </c>
      <c r="T253" s="1266" t="s">
        <v>136</v>
      </c>
      <c r="U253" s="1742">
        <v>1.2691883296460175E-2</v>
      </c>
      <c r="V253" s="1742">
        <v>0.14624999999999999</v>
      </c>
      <c r="W253" s="1742">
        <v>1.1186625937499999</v>
      </c>
      <c r="X253" s="1742">
        <v>0.4015178457754629</v>
      </c>
      <c r="Y253" s="2106">
        <v>1.6649423457754629</v>
      </c>
      <c r="Z253" s="2106">
        <v>571.13474834070792</v>
      </c>
      <c r="AA253" s="2106">
        <v>6581.25</v>
      </c>
      <c r="AB253" s="2106">
        <v>50339.816718749993</v>
      </c>
      <c r="AC253" s="2106">
        <v>18068.303059895832</v>
      </c>
      <c r="AD253" s="1744">
        <v>74989.369778645821</v>
      </c>
      <c r="AE253" s="2126">
        <v>0</v>
      </c>
      <c r="AF253" s="2126">
        <v>0</v>
      </c>
      <c r="AG253" s="1212">
        <v>1</v>
      </c>
      <c r="AH253" s="1212">
        <v>0</v>
      </c>
      <c r="AI253" s="1212">
        <v>0</v>
      </c>
      <c r="AJ253" s="1212">
        <v>1</v>
      </c>
      <c r="AK253" s="2126">
        <v>74989.369778645821</v>
      </c>
      <c r="AL253" s="2126">
        <v>0</v>
      </c>
      <c r="AM253" s="2126">
        <v>0</v>
      </c>
      <c r="AN253" s="2126">
        <v>74989.369778645821</v>
      </c>
      <c r="AO253" s="1743" t="s">
        <v>85</v>
      </c>
      <c r="AP253" s="1743" t="s">
        <v>90</v>
      </c>
      <c r="AQ253" s="1764" t="s">
        <v>112</v>
      </c>
      <c r="AR253" s="1743" t="s">
        <v>87</v>
      </c>
      <c r="AS253" s="2135"/>
      <c r="AT253" s="2135"/>
      <c r="AU253" s="1212">
        <v>0.33333333333333331</v>
      </c>
      <c r="AV253" s="1212">
        <v>0.33333333333333331</v>
      </c>
      <c r="AW253" s="1212">
        <v>0.33333333333333331</v>
      </c>
      <c r="AX253" s="1212"/>
      <c r="AY253" s="1212"/>
      <c r="AZ253" s="1212"/>
      <c r="BA253" s="1212"/>
      <c r="BB253" s="1212"/>
      <c r="BC253" s="1212"/>
      <c r="BD253" s="1212"/>
      <c r="BE253" s="1212"/>
      <c r="BF253" s="2126">
        <v>0</v>
      </c>
      <c r="BG253" s="2126">
        <v>0</v>
      </c>
      <c r="BH253" s="2126">
        <v>24996.456592881939</v>
      </c>
      <c r="BI253" s="2126">
        <v>24996.456592881939</v>
      </c>
      <c r="BJ253" s="2126">
        <v>24996.456592881939</v>
      </c>
      <c r="BK253" s="2126">
        <v>0</v>
      </c>
      <c r="BL253" s="2126">
        <v>0</v>
      </c>
      <c r="BM253" s="2126">
        <v>0</v>
      </c>
      <c r="BN253" s="2126">
        <v>0</v>
      </c>
      <c r="BO253" s="2126">
        <v>0</v>
      </c>
      <c r="BP253" s="2126">
        <v>0</v>
      </c>
      <c r="BQ253" s="2126">
        <v>0</v>
      </c>
      <c r="BR253" s="2126">
        <v>0</v>
      </c>
    </row>
    <row r="254" spans="1:70" s="1765" customFormat="1" ht="66">
      <c r="A254" s="1272">
        <v>2000</v>
      </c>
      <c r="B254" s="971" t="s">
        <v>119</v>
      </c>
      <c r="C254" s="1272">
        <v>2500</v>
      </c>
      <c r="D254" s="971" t="s">
        <v>452</v>
      </c>
      <c r="E254" s="971" t="s">
        <v>604</v>
      </c>
      <c r="F254" s="971" t="s">
        <v>605</v>
      </c>
      <c r="G254" s="971">
        <v>2523</v>
      </c>
      <c r="H254" s="971" t="s">
        <v>605</v>
      </c>
      <c r="I254" s="1273" t="s">
        <v>123</v>
      </c>
      <c r="J254" s="971" t="s">
        <v>124</v>
      </c>
      <c r="K254" s="971" t="s">
        <v>1747</v>
      </c>
      <c r="L254" s="971" t="s">
        <v>6606</v>
      </c>
      <c r="M254" s="971" t="s">
        <v>606</v>
      </c>
      <c r="N254" s="971" t="s">
        <v>488</v>
      </c>
      <c r="O254" s="971" t="s">
        <v>518</v>
      </c>
      <c r="P254" s="971"/>
      <c r="Q254" s="971" t="s">
        <v>607</v>
      </c>
      <c r="R254" s="1266" t="s">
        <v>608</v>
      </c>
      <c r="S254" s="2106">
        <v>0</v>
      </c>
      <c r="T254" s="1266" t="s">
        <v>136</v>
      </c>
      <c r="U254" s="1742">
        <v>0.56041666666666667</v>
      </c>
      <c r="V254" s="1742">
        <v>1.9614583333333333</v>
      </c>
      <c r="W254" s="1742">
        <v>49.395125</v>
      </c>
      <c r="X254" s="1742">
        <v>77.264645833333333</v>
      </c>
      <c r="Y254" s="2106">
        <v>128.62122916666667</v>
      </c>
      <c r="Z254" s="2106">
        <v>0</v>
      </c>
      <c r="AA254" s="2106">
        <v>0</v>
      </c>
      <c r="AB254" s="2106">
        <v>0</v>
      </c>
      <c r="AC254" s="2106">
        <v>0</v>
      </c>
      <c r="AD254" s="1744">
        <v>0</v>
      </c>
      <c r="AE254" s="2126">
        <v>1</v>
      </c>
      <c r="AF254" s="2126">
        <v>0</v>
      </c>
      <c r="AG254" s="1212">
        <v>1</v>
      </c>
      <c r="AH254" s="1212">
        <v>0</v>
      </c>
      <c r="AI254" s="1212">
        <v>0</v>
      </c>
      <c r="AJ254" s="1212">
        <v>1</v>
      </c>
      <c r="AK254" s="2126">
        <v>0</v>
      </c>
      <c r="AL254" s="2126">
        <v>0</v>
      </c>
      <c r="AM254" s="2126">
        <v>0</v>
      </c>
      <c r="AN254" s="2126">
        <v>0</v>
      </c>
      <c r="AO254" s="1743" t="s">
        <v>85</v>
      </c>
      <c r="AP254" s="1743" t="s">
        <v>96</v>
      </c>
      <c r="AQ254" s="1764" t="s">
        <v>107</v>
      </c>
      <c r="AR254" s="1743" t="s">
        <v>87</v>
      </c>
      <c r="AS254" s="2135"/>
      <c r="AT254" s="2135"/>
      <c r="AU254" s="1212">
        <v>0.33333333333333331</v>
      </c>
      <c r="AV254" s="1212">
        <v>0.33333333333333331</v>
      </c>
      <c r="AW254" s="1212">
        <v>0.33333333333333331</v>
      </c>
      <c r="AX254" s="1212"/>
      <c r="AY254" s="1212"/>
      <c r="AZ254" s="1212"/>
      <c r="BA254" s="1212"/>
      <c r="BB254" s="1212"/>
      <c r="BC254" s="1212"/>
      <c r="BD254" s="1212"/>
      <c r="BE254" s="1212"/>
      <c r="BF254" s="2126">
        <v>0</v>
      </c>
      <c r="BG254" s="2126">
        <v>0</v>
      </c>
      <c r="BH254" s="2126">
        <v>0</v>
      </c>
      <c r="BI254" s="2126">
        <v>0</v>
      </c>
      <c r="BJ254" s="2126">
        <v>0</v>
      </c>
      <c r="BK254" s="2126">
        <v>0</v>
      </c>
      <c r="BL254" s="2126">
        <v>0</v>
      </c>
      <c r="BM254" s="2126">
        <v>0</v>
      </c>
      <c r="BN254" s="2126">
        <v>0</v>
      </c>
      <c r="BO254" s="2126">
        <v>0</v>
      </c>
      <c r="BP254" s="2126">
        <v>0</v>
      </c>
      <c r="BQ254" s="2126">
        <v>0</v>
      </c>
      <c r="BR254" s="2126">
        <v>0</v>
      </c>
    </row>
    <row r="255" spans="1:70" s="1765" customFormat="1" ht="49.5">
      <c r="A255" s="1272">
        <v>2000</v>
      </c>
      <c r="B255" s="971" t="s">
        <v>119</v>
      </c>
      <c r="C255" s="1272">
        <v>2500</v>
      </c>
      <c r="D255" s="971" t="s">
        <v>452</v>
      </c>
      <c r="E255" s="971" t="s">
        <v>604</v>
      </c>
      <c r="F255" s="971" t="s">
        <v>605</v>
      </c>
      <c r="G255" s="971">
        <v>2523</v>
      </c>
      <c r="H255" s="971" t="s">
        <v>605</v>
      </c>
      <c r="I255" s="1273" t="s">
        <v>123</v>
      </c>
      <c r="J255" s="971" t="s">
        <v>124</v>
      </c>
      <c r="K255" s="971" t="s">
        <v>523</v>
      </c>
      <c r="L255" s="971" t="s">
        <v>6607</v>
      </c>
      <c r="M255" s="971" t="s">
        <v>523</v>
      </c>
      <c r="N255" s="971" t="s">
        <v>141</v>
      </c>
      <c r="O255" s="971" t="s">
        <v>524</v>
      </c>
      <c r="P255" s="971"/>
      <c r="Q255" s="971" t="s">
        <v>609</v>
      </c>
      <c r="R255" s="1266" t="s">
        <v>608</v>
      </c>
      <c r="S255" s="2106">
        <v>0</v>
      </c>
      <c r="T255" s="1266" t="s">
        <v>136</v>
      </c>
      <c r="U255" s="1742">
        <v>0.14520631503408685</v>
      </c>
      <c r="V255" s="1742">
        <v>1.8150789379260854</v>
      </c>
      <c r="W255" s="1742">
        <v>12.798484607104415</v>
      </c>
      <c r="X255" s="1742">
        <v>20.019594653749554</v>
      </c>
      <c r="Y255" s="2106">
        <v>34.633158198780052</v>
      </c>
      <c r="Z255" s="2106">
        <v>0</v>
      </c>
      <c r="AA255" s="2106">
        <v>0</v>
      </c>
      <c r="AB255" s="2106">
        <v>0</v>
      </c>
      <c r="AC255" s="2106">
        <v>0</v>
      </c>
      <c r="AD255" s="1744">
        <v>0</v>
      </c>
      <c r="AE255" s="2126">
        <v>0.75</v>
      </c>
      <c r="AF255" s="2126">
        <v>0</v>
      </c>
      <c r="AG255" s="1212">
        <v>1</v>
      </c>
      <c r="AH255" s="1212">
        <v>0</v>
      </c>
      <c r="AI255" s="1212">
        <v>0</v>
      </c>
      <c r="AJ255" s="1212">
        <v>1</v>
      </c>
      <c r="AK255" s="2126">
        <v>0</v>
      </c>
      <c r="AL255" s="2126">
        <v>0</v>
      </c>
      <c r="AM255" s="2126">
        <v>0</v>
      </c>
      <c r="AN255" s="2126">
        <v>0</v>
      </c>
      <c r="AO255" s="1743" t="s">
        <v>85</v>
      </c>
      <c r="AP255" s="1743" t="s">
        <v>96</v>
      </c>
      <c r="AQ255" s="1764" t="s">
        <v>107</v>
      </c>
      <c r="AR255" s="1743" t="s">
        <v>87</v>
      </c>
      <c r="AS255" s="2135"/>
      <c r="AT255" s="2135"/>
      <c r="AU255" s="1212">
        <v>0.33333333333333331</v>
      </c>
      <c r="AV255" s="1212">
        <v>0.33333333333333331</v>
      </c>
      <c r="AW255" s="1212">
        <v>0.33333333333333331</v>
      </c>
      <c r="AX255" s="1212"/>
      <c r="AY255" s="1212"/>
      <c r="AZ255" s="1212"/>
      <c r="BA255" s="1212"/>
      <c r="BB255" s="1212"/>
      <c r="BC255" s="1212"/>
      <c r="BD255" s="1212"/>
      <c r="BE255" s="1212"/>
      <c r="BF255" s="2126">
        <v>0</v>
      </c>
      <c r="BG255" s="2126">
        <v>0</v>
      </c>
      <c r="BH255" s="2126">
        <v>0</v>
      </c>
      <c r="BI255" s="2126">
        <v>0</v>
      </c>
      <c r="BJ255" s="2126">
        <v>0</v>
      </c>
      <c r="BK255" s="2126">
        <v>0</v>
      </c>
      <c r="BL255" s="2126">
        <v>0</v>
      </c>
      <c r="BM255" s="2126">
        <v>0</v>
      </c>
      <c r="BN255" s="2126">
        <v>0</v>
      </c>
      <c r="BO255" s="2126">
        <v>0</v>
      </c>
      <c r="BP255" s="2126">
        <v>0</v>
      </c>
      <c r="BQ255" s="2126">
        <v>0</v>
      </c>
      <c r="BR255" s="2126">
        <v>0</v>
      </c>
    </row>
    <row r="256" spans="1:70" s="1765" customFormat="1" ht="33">
      <c r="A256" s="1272">
        <v>2000</v>
      </c>
      <c r="B256" s="971" t="s">
        <v>119</v>
      </c>
      <c r="C256" s="1272">
        <v>2500</v>
      </c>
      <c r="D256" s="971" t="s">
        <v>452</v>
      </c>
      <c r="E256" s="971" t="s">
        <v>604</v>
      </c>
      <c r="F256" s="971" t="s">
        <v>605</v>
      </c>
      <c r="G256" s="971">
        <v>2523</v>
      </c>
      <c r="H256" s="971" t="s">
        <v>605</v>
      </c>
      <c r="I256" s="1273" t="s">
        <v>123</v>
      </c>
      <c r="J256" s="971" t="s">
        <v>124</v>
      </c>
      <c r="K256" s="971" t="s">
        <v>140</v>
      </c>
      <c r="L256" s="971" t="s">
        <v>2909</v>
      </c>
      <c r="M256" s="971" t="s">
        <v>140</v>
      </c>
      <c r="N256" s="971" t="s">
        <v>141</v>
      </c>
      <c r="O256" s="971" t="s">
        <v>142</v>
      </c>
      <c r="P256" s="971"/>
      <c r="Q256" s="971" t="s">
        <v>610</v>
      </c>
      <c r="R256" s="1266" t="s">
        <v>608</v>
      </c>
      <c r="S256" s="2106">
        <v>0</v>
      </c>
      <c r="T256" s="1266" t="s">
        <v>136</v>
      </c>
      <c r="U256" s="1742">
        <v>0</v>
      </c>
      <c r="V256" s="1742">
        <v>0</v>
      </c>
      <c r="W256" s="1742">
        <v>0</v>
      </c>
      <c r="X256" s="1742">
        <v>0</v>
      </c>
      <c r="Y256" s="2106">
        <v>0</v>
      </c>
      <c r="Z256" s="2106">
        <v>0</v>
      </c>
      <c r="AA256" s="2106">
        <v>0</v>
      </c>
      <c r="AB256" s="2106">
        <v>0</v>
      </c>
      <c r="AC256" s="2106">
        <v>0</v>
      </c>
      <c r="AD256" s="1744">
        <v>0</v>
      </c>
      <c r="AE256" s="2126">
        <v>0</v>
      </c>
      <c r="AF256" s="2126">
        <v>0</v>
      </c>
      <c r="AG256" s="1212">
        <v>1</v>
      </c>
      <c r="AH256" s="1212">
        <v>0</v>
      </c>
      <c r="AI256" s="1212">
        <v>0</v>
      </c>
      <c r="AJ256" s="1212">
        <v>1</v>
      </c>
      <c r="AK256" s="2126">
        <v>0</v>
      </c>
      <c r="AL256" s="2126">
        <v>0</v>
      </c>
      <c r="AM256" s="2126">
        <v>0</v>
      </c>
      <c r="AN256" s="2126">
        <v>0</v>
      </c>
      <c r="AO256" s="1743" t="s">
        <v>85</v>
      </c>
      <c r="AP256" s="1743" t="s">
        <v>96</v>
      </c>
      <c r="AQ256" s="1764" t="s">
        <v>107</v>
      </c>
      <c r="AR256" s="1743" t="s">
        <v>87</v>
      </c>
      <c r="AS256" s="2135"/>
      <c r="AT256" s="2135"/>
      <c r="AU256" s="1212">
        <v>0.33333333333333331</v>
      </c>
      <c r="AV256" s="1212">
        <v>0.33333333333333331</v>
      </c>
      <c r="AW256" s="1212">
        <v>0.33333333333333331</v>
      </c>
      <c r="AX256" s="1212"/>
      <c r="AY256" s="1212"/>
      <c r="AZ256" s="1212"/>
      <c r="BA256" s="1212"/>
      <c r="BB256" s="1212"/>
      <c r="BC256" s="1212"/>
      <c r="BD256" s="1212"/>
      <c r="BE256" s="1212"/>
      <c r="BF256" s="2126">
        <v>0</v>
      </c>
      <c r="BG256" s="2126">
        <v>0</v>
      </c>
      <c r="BH256" s="2126">
        <v>0</v>
      </c>
      <c r="BI256" s="2126">
        <v>0</v>
      </c>
      <c r="BJ256" s="2126">
        <v>0</v>
      </c>
      <c r="BK256" s="2126">
        <v>0</v>
      </c>
      <c r="BL256" s="2126">
        <v>0</v>
      </c>
      <c r="BM256" s="2126">
        <v>0</v>
      </c>
      <c r="BN256" s="2126">
        <v>0</v>
      </c>
      <c r="BO256" s="2126">
        <v>0</v>
      </c>
      <c r="BP256" s="2126">
        <v>0</v>
      </c>
      <c r="BQ256" s="2126">
        <v>0</v>
      </c>
      <c r="BR256" s="2126">
        <v>0</v>
      </c>
    </row>
    <row r="257" spans="1:70" s="1765" customFormat="1" ht="33">
      <c r="A257" s="1272">
        <v>2000</v>
      </c>
      <c r="B257" s="971" t="s">
        <v>119</v>
      </c>
      <c r="C257" s="1272">
        <v>2500</v>
      </c>
      <c r="D257" s="971" t="s">
        <v>452</v>
      </c>
      <c r="E257" s="971" t="s">
        <v>604</v>
      </c>
      <c r="F257" s="971" t="s">
        <v>605</v>
      </c>
      <c r="G257" s="971">
        <v>2523</v>
      </c>
      <c r="H257" s="971" t="s">
        <v>605</v>
      </c>
      <c r="I257" s="1273"/>
      <c r="J257" s="971"/>
      <c r="K257" s="971" t="s">
        <v>150</v>
      </c>
      <c r="L257" s="971" t="s">
        <v>2800</v>
      </c>
      <c r="M257" s="971" t="s">
        <v>80</v>
      </c>
      <c r="N257" s="971" t="s">
        <v>83</v>
      </c>
      <c r="O257" s="971" t="s">
        <v>151</v>
      </c>
      <c r="P257" s="971" t="s">
        <v>152</v>
      </c>
      <c r="Q257" s="971" t="s">
        <v>611</v>
      </c>
      <c r="R257" s="1266"/>
      <c r="S257" s="2106">
        <v>150000</v>
      </c>
      <c r="T257" s="1266" t="s">
        <v>136</v>
      </c>
      <c r="U257" s="1742">
        <v>1.2691883296460175E-2</v>
      </c>
      <c r="V257" s="1742">
        <v>0.14624999999999999</v>
      </c>
      <c r="W257" s="1742">
        <v>1.1186625937499999</v>
      </c>
      <c r="X257" s="1742">
        <v>0.4015178457754629</v>
      </c>
      <c r="Y257" s="2106">
        <v>1.6649423457754629</v>
      </c>
      <c r="Z257" s="2106">
        <v>1903.7824944690262</v>
      </c>
      <c r="AA257" s="2106">
        <v>21937.5</v>
      </c>
      <c r="AB257" s="2106">
        <v>167799.38906249998</v>
      </c>
      <c r="AC257" s="2106">
        <v>60227.676866319438</v>
      </c>
      <c r="AD257" s="1744">
        <v>249964.56592881941</v>
      </c>
      <c r="AE257" s="2126">
        <v>0</v>
      </c>
      <c r="AF257" s="2126">
        <v>0</v>
      </c>
      <c r="AG257" s="1212">
        <v>1</v>
      </c>
      <c r="AH257" s="1212">
        <v>0</v>
      </c>
      <c r="AI257" s="1212">
        <v>0</v>
      </c>
      <c r="AJ257" s="1212">
        <v>1</v>
      </c>
      <c r="AK257" s="2126">
        <v>249964.56592881941</v>
      </c>
      <c r="AL257" s="2126">
        <v>0</v>
      </c>
      <c r="AM257" s="2126">
        <v>0</v>
      </c>
      <c r="AN257" s="2126">
        <v>249964.56592881941</v>
      </c>
      <c r="AO257" s="1743" t="s">
        <v>85</v>
      </c>
      <c r="AP257" s="1743" t="s">
        <v>90</v>
      </c>
      <c r="AQ257" s="1764" t="s">
        <v>112</v>
      </c>
      <c r="AR257" s="1743" t="s">
        <v>87</v>
      </c>
      <c r="AS257" s="2135"/>
      <c r="AT257" s="2135"/>
      <c r="AU257" s="1212">
        <v>0.33333333333333331</v>
      </c>
      <c r="AV257" s="1212">
        <v>0.33333333333333331</v>
      </c>
      <c r="AW257" s="1212">
        <v>0.33333333333333331</v>
      </c>
      <c r="AX257" s="1212"/>
      <c r="AY257" s="1212"/>
      <c r="AZ257" s="1212"/>
      <c r="BA257" s="1212"/>
      <c r="BB257" s="1212"/>
      <c r="BC257" s="1212"/>
      <c r="BD257" s="1212"/>
      <c r="BE257" s="1212"/>
      <c r="BF257" s="2126">
        <v>0</v>
      </c>
      <c r="BG257" s="2126">
        <v>0</v>
      </c>
      <c r="BH257" s="2126">
        <v>83321.521976273129</v>
      </c>
      <c r="BI257" s="2126">
        <v>83321.521976273129</v>
      </c>
      <c r="BJ257" s="2126">
        <v>83321.521976273129</v>
      </c>
      <c r="BK257" s="2126">
        <v>0</v>
      </c>
      <c r="BL257" s="2126">
        <v>0</v>
      </c>
      <c r="BM257" s="2126">
        <v>0</v>
      </c>
      <c r="BN257" s="2126">
        <v>0</v>
      </c>
      <c r="BO257" s="2126">
        <v>0</v>
      </c>
      <c r="BP257" s="2126">
        <v>0</v>
      </c>
      <c r="BQ257" s="2126">
        <v>0</v>
      </c>
      <c r="BR257" s="2126">
        <v>0</v>
      </c>
    </row>
    <row r="258" spans="1:70" s="1765" customFormat="1" ht="33">
      <c r="A258" s="1272">
        <v>2000</v>
      </c>
      <c r="B258" s="971" t="s">
        <v>119</v>
      </c>
      <c r="C258" s="1272">
        <v>2500</v>
      </c>
      <c r="D258" s="971" t="s">
        <v>452</v>
      </c>
      <c r="E258" s="971" t="s">
        <v>604</v>
      </c>
      <c r="F258" s="971" t="s">
        <v>605</v>
      </c>
      <c r="G258" s="971">
        <v>2523</v>
      </c>
      <c r="H258" s="971" t="s">
        <v>605</v>
      </c>
      <c r="I258" s="1273"/>
      <c r="J258" s="971"/>
      <c r="K258" s="971" t="s">
        <v>150</v>
      </c>
      <c r="L258" s="971" t="s">
        <v>2800</v>
      </c>
      <c r="M258" s="971" t="s">
        <v>80</v>
      </c>
      <c r="N258" s="971" t="s">
        <v>83</v>
      </c>
      <c r="O258" s="971" t="s">
        <v>151</v>
      </c>
      <c r="P258" s="971" t="s">
        <v>152</v>
      </c>
      <c r="Q258" s="971" t="s">
        <v>611</v>
      </c>
      <c r="R258" s="1266"/>
      <c r="S258" s="2106">
        <v>-150000</v>
      </c>
      <c r="T258" s="1266" t="s">
        <v>136</v>
      </c>
      <c r="U258" s="1742">
        <v>1.2691883296460175E-2</v>
      </c>
      <c r="V258" s="1742">
        <v>0.14624999999999999</v>
      </c>
      <c r="W258" s="1742">
        <v>1.1186625937499999</v>
      </c>
      <c r="X258" s="1742">
        <v>0.4015178457754629</v>
      </c>
      <c r="Y258" s="2106">
        <v>1.6649423457754629</v>
      </c>
      <c r="Z258" s="2106">
        <v>-1903.7824944690262</v>
      </c>
      <c r="AA258" s="2106">
        <v>-21937.5</v>
      </c>
      <c r="AB258" s="2106">
        <v>-167799.38906249998</v>
      </c>
      <c r="AC258" s="2106">
        <v>-60227.676866319438</v>
      </c>
      <c r="AD258" s="1744">
        <v>-249964.56592881941</v>
      </c>
      <c r="AE258" s="2126">
        <v>0</v>
      </c>
      <c r="AF258" s="2126">
        <v>0</v>
      </c>
      <c r="AG258" s="1212">
        <v>1</v>
      </c>
      <c r="AH258" s="1212">
        <v>0</v>
      </c>
      <c r="AI258" s="1212">
        <v>0</v>
      </c>
      <c r="AJ258" s="1212">
        <v>1</v>
      </c>
      <c r="AK258" s="2126">
        <v>-249964.56592881941</v>
      </c>
      <c r="AL258" s="2126">
        <v>0</v>
      </c>
      <c r="AM258" s="2126">
        <v>0</v>
      </c>
      <c r="AN258" s="2126">
        <v>-249964.56592881941</v>
      </c>
      <c r="AO258" s="1743" t="s">
        <v>85</v>
      </c>
      <c r="AP258" s="1743" t="s">
        <v>96</v>
      </c>
      <c r="AQ258" s="1764" t="s">
        <v>202</v>
      </c>
      <c r="AR258" s="1743" t="s">
        <v>87</v>
      </c>
      <c r="AS258" s="2135"/>
      <c r="AT258" s="2135"/>
      <c r="AU258" s="1212">
        <v>0.33333333333333331</v>
      </c>
      <c r="AV258" s="1212">
        <v>0.33333333333333331</v>
      </c>
      <c r="AW258" s="1212">
        <v>0.33333333333333331</v>
      </c>
      <c r="AX258" s="1212"/>
      <c r="AY258" s="1212"/>
      <c r="AZ258" s="1212"/>
      <c r="BA258" s="1212"/>
      <c r="BB258" s="1212"/>
      <c r="BC258" s="1212"/>
      <c r="BD258" s="1212"/>
      <c r="BE258" s="1212"/>
      <c r="BF258" s="2126">
        <v>0</v>
      </c>
      <c r="BG258" s="2126">
        <v>0</v>
      </c>
      <c r="BH258" s="2126">
        <v>-83321.521976273129</v>
      </c>
      <c r="BI258" s="2126">
        <v>-83321.521976273129</v>
      </c>
      <c r="BJ258" s="2126">
        <v>-83321.521976273129</v>
      </c>
      <c r="BK258" s="2126">
        <v>0</v>
      </c>
      <c r="BL258" s="2126">
        <v>0</v>
      </c>
      <c r="BM258" s="2126">
        <v>0</v>
      </c>
      <c r="BN258" s="2126">
        <v>0</v>
      </c>
      <c r="BO258" s="2126">
        <v>0</v>
      </c>
      <c r="BP258" s="2126">
        <v>0</v>
      </c>
      <c r="BQ258" s="2126">
        <v>0</v>
      </c>
      <c r="BR258" s="2126">
        <v>0</v>
      </c>
    </row>
    <row r="259" spans="1:70" s="1765" customFormat="1" ht="33">
      <c r="A259" s="1272">
        <v>2000</v>
      </c>
      <c r="B259" s="971" t="s">
        <v>119</v>
      </c>
      <c r="C259" s="1272">
        <v>2500</v>
      </c>
      <c r="D259" s="971" t="s">
        <v>452</v>
      </c>
      <c r="E259" s="971" t="s">
        <v>604</v>
      </c>
      <c r="F259" s="971" t="s">
        <v>605</v>
      </c>
      <c r="G259" s="971">
        <v>2523</v>
      </c>
      <c r="H259" s="971" t="s">
        <v>605</v>
      </c>
      <c r="I259" s="1273"/>
      <c r="J259" s="971"/>
      <c r="K259" s="971" t="s">
        <v>150</v>
      </c>
      <c r="L259" s="971" t="s">
        <v>2800</v>
      </c>
      <c r="M259" s="971" t="s">
        <v>80</v>
      </c>
      <c r="N259" s="971" t="s">
        <v>83</v>
      </c>
      <c r="O259" s="971" t="s">
        <v>151</v>
      </c>
      <c r="P259" s="971" t="s">
        <v>152</v>
      </c>
      <c r="Q259" s="971" t="s">
        <v>612</v>
      </c>
      <c r="R259" s="1266"/>
      <c r="S259" s="2106">
        <v>23100</v>
      </c>
      <c r="T259" s="1266" t="s">
        <v>136</v>
      </c>
      <c r="U259" s="1742">
        <v>1.2691883296460175E-2</v>
      </c>
      <c r="V259" s="1742">
        <v>0.14624999999999999</v>
      </c>
      <c r="W259" s="1742">
        <v>1.1186625937499999</v>
      </c>
      <c r="X259" s="1742">
        <v>0.4015178457754629</v>
      </c>
      <c r="Y259" s="2106">
        <v>1.6649423457754629</v>
      </c>
      <c r="Z259" s="2106">
        <v>293.18250414823007</v>
      </c>
      <c r="AA259" s="2106">
        <v>3378.375</v>
      </c>
      <c r="AB259" s="2106">
        <v>25841.105915624998</v>
      </c>
      <c r="AC259" s="2106">
        <v>9275.0622374131926</v>
      </c>
      <c r="AD259" s="1744">
        <v>38494.54315303819</v>
      </c>
      <c r="AE259" s="2126">
        <v>0</v>
      </c>
      <c r="AF259" s="2126">
        <v>0</v>
      </c>
      <c r="AG259" s="1212">
        <v>1</v>
      </c>
      <c r="AH259" s="1212">
        <v>0</v>
      </c>
      <c r="AI259" s="1212">
        <v>0</v>
      </c>
      <c r="AJ259" s="1212">
        <v>1</v>
      </c>
      <c r="AK259" s="2126">
        <v>38494.54315303819</v>
      </c>
      <c r="AL259" s="2126">
        <v>0</v>
      </c>
      <c r="AM259" s="2126">
        <v>0</v>
      </c>
      <c r="AN259" s="2126">
        <v>38494.54315303819</v>
      </c>
      <c r="AO259" s="1743" t="s">
        <v>85</v>
      </c>
      <c r="AP259" s="1743" t="s">
        <v>90</v>
      </c>
      <c r="AQ259" s="1764" t="s">
        <v>202</v>
      </c>
      <c r="AR259" s="1743" t="s">
        <v>87</v>
      </c>
      <c r="AS259" s="2135"/>
      <c r="AT259" s="2135"/>
      <c r="AU259" s="1212">
        <v>0.33333333333333331</v>
      </c>
      <c r="AV259" s="1212">
        <v>0.33333333333333331</v>
      </c>
      <c r="AW259" s="1212">
        <v>0.33333333333333331</v>
      </c>
      <c r="AX259" s="1212"/>
      <c r="AY259" s="1212"/>
      <c r="AZ259" s="1212"/>
      <c r="BA259" s="1212"/>
      <c r="BB259" s="1212"/>
      <c r="BC259" s="1212"/>
      <c r="BD259" s="1212"/>
      <c r="BE259" s="1212"/>
      <c r="BF259" s="2126">
        <v>0</v>
      </c>
      <c r="BG259" s="2126">
        <v>0</v>
      </c>
      <c r="BH259" s="2126">
        <v>12831.514384346063</v>
      </c>
      <c r="BI259" s="2126">
        <v>12831.514384346063</v>
      </c>
      <c r="BJ259" s="2126">
        <v>12831.514384346063</v>
      </c>
      <c r="BK259" s="2126">
        <v>0</v>
      </c>
      <c r="BL259" s="2126">
        <v>0</v>
      </c>
      <c r="BM259" s="2126">
        <v>0</v>
      </c>
      <c r="BN259" s="2126">
        <v>0</v>
      </c>
      <c r="BO259" s="2126">
        <v>0</v>
      </c>
      <c r="BP259" s="2126">
        <v>0</v>
      </c>
      <c r="BQ259" s="2126">
        <v>0</v>
      </c>
      <c r="BR259" s="2126">
        <v>0</v>
      </c>
    </row>
    <row r="260" spans="1:70" s="1765" customFormat="1" ht="33">
      <c r="A260" s="1272">
        <v>2000</v>
      </c>
      <c r="B260" s="971" t="s">
        <v>119</v>
      </c>
      <c r="C260" s="1272">
        <v>2500</v>
      </c>
      <c r="D260" s="971" t="s">
        <v>452</v>
      </c>
      <c r="E260" s="971" t="s">
        <v>604</v>
      </c>
      <c r="F260" s="971" t="s">
        <v>605</v>
      </c>
      <c r="G260" s="971">
        <v>2523</v>
      </c>
      <c r="H260" s="971" t="s">
        <v>605</v>
      </c>
      <c r="I260" s="1273"/>
      <c r="J260" s="971"/>
      <c r="K260" s="971" t="s">
        <v>150</v>
      </c>
      <c r="L260" s="971" t="s">
        <v>2800</v>
      </c>
      <c r="M260" s="971" t="s">
        <v>80</v>
      </c>
      <c r="N260" s="971" t="s">
        <v>83</v>
      </c>
      <c r="O260" s="971" t="s">
        <v>151</v>
      </c>
      <c r="P260" s="971" t="s">
        <v>152</v>
      </c>
      <c r="Q260" s="971" t="s">
        <v>613</v>
      </c>
      <c r="R260" s="1266"/>
      <c r="S260" s="2106">
        <v>2750</v>
      </c>
      <c r="T260" s="1266" t="s">
        <v>136</v>
      </c>
      <c r="U260" s="1742">
        <v>1.2691883296460175E-2</v>
      </c>
      <c r="V260" s="1742">
        <v>0.14624999999999999</v>
      </c>
      <c r="W260" s="1742">
        <v>1.1186625937499999</v>
      </c>
      <c r="X260" s="1742">
        <v>0.4015178457754629</v>
      </c>
      <c r="Y260" s="2106">
        <v>1.6649423457754629</v>
      </c>
      <c r="Z260" s="2106">
        <v>34.902679065265481</v>
      </c>
      <c r="AA260" s="2106">
        <v>402.1875</v>
      </c>
      <c r="AB260" s="2106">
        <v>3076.3221328124996</v>
      </c>
      <c r="AC260" s="2106">
        <v>1104.1740758825231</v>
      </c>
      <c r="AD260" s="1744">
        <v>4582.6837086950227</v>
      </c>
      <c r="AE260" s="2126">
        <v>0</v>
      </c>
      <c r="AF260" s="2126">
        <v>0</v>
      </c>
      <c r="AG260" s="1212">
        <v>1</v>
      </c>
      <c r="AH260" s="1212">
        <v>0</v>
      </c>
      <c r="AI260" s="1212">
        <v>0</v>
      </c>
      <c r="AJ260" s="1212">
        <v>1</v>
      </c>
      <c r="AK260" s="2126">
        <v>4582.6837086950227</v>
      </c>
      <c r="AL260" s="2126">
        <v>0</v>
      </c>
      <c r="AM260" s="2126">
        <v>0</v>
      </c>
      <c r="AN260" s="2126">
        <v>4582.6837086950227</v>
      </c>
      <c r="AO260" s="1743" t="s">
        <v>85</v>
      </c>
      <c r="AP260" s="1743" t="s">
        <v>90</v>
      </c>
      <c r="AQ260" s="1764" t="s">
        <v>202</v>
      </c>
      <c r="AR260" s="1743" t="s">
        <v>87</v>
      </c>
      <c r="AS260" s="2135"/>
      <c r="AT260" s="2135"/>
      <c r="AU260" s="1212">
        <v>0.33333333333333331</v>
      </c>
      <c r="AV260" s="1212">
        <v>0.33333333333333331</v>
      </c>
      <c r="AW260" s="1212">
        <v>0.33333333333333331</v>
      </c>
      <c r="AX260" s="1212"/>
      <c r="AY260" s="1212"/>
      <c r="AZ260" s="1212"/>
      <c r="BA260" s="1212"/>
      <c r="BB260" s="1212"/>
      <c r="BC260" s="1212"/>
      <c r="BD260" s="1212"/>
      <c r="BE260" s="1212"/>
      <c r="BF260" s="2126">
        <v>0</v>
      </c>
      <c r="BG260" s="2126">
        <v>0</v>
      </c>
      <c r="BH260" s="2126">
        <v>1527.5612362316742</v>
      </c>
      <c r="BI260" s="2126">
        <v>1527.5612362316742</v>
      </c>
      <c r="BJ260" s="2126">
        <v>1527.5612362316742</v>
      </c>
      <c r="BK260" s="2126">
        <v>0</v>
      </c>
      <c r="BL260" s="2126">
        <v>0</v>
      </c>
      <c r="BM260" s="2126">
        <v>0</v>
      </c>
      <c r="BN260" s="2126">
        <v>0</v>
      </c>
      <c r="BO260" s="2126">
        <v>0</v>
      </c>
      <c r="BP260" s="2126">
        <v>0</v>
      </c>
      <c r="BQ260" s="2126">
        <v>0</v>
      </c>
      <c r="BR260" s="2126">
        <v>0</v>
      </c>
    </row>
    <row r="261" spans="1:70" s="1765" customFormat="1" ht="33">
      <c r="A261" s="1272">
        <v>2000</v>
      </c>
      <c r="B261" s="971" t="s">
        <v>119</v>
      </c>
      <c r="C261" s="1272">
        <v>2500</v>
      </c>
      <c r="D261" s="971" t="s">
        <v>452</v>
      </c>
      <c r="E261" s="971" t="s">
        <v>604</v>
      </c>
      <c r="F261" s="971" t="s">
        <v>605</v>
      </c>
      <c r="G261" s="971">
        <v>2523</v>
      </c>
      <c r="H261" s="971" t="s">
        <v>605</v>
      </c>
      <c r="I261" s="1273"/>
      <c r="J261" s="971"/>
      <c r="K261" s="971" t="s">
        <v>150</v>
      </c>
      <c r="L261" s="971" t="s">
        <v>2800</v>
      </c>
      <c r="M261" s="971" t="s">
        <v>80</v>
      </c>
      <c r="N261" s="971" t="s">
        <v>83</v>
      </c>
      <c r="O261" s="971" t="s">
        <v>151</v>
      </c>
      <c r="P261" s="971" t="s">
        <v>152</v>
      </c>
      <c r="Q261" s="971" t="s">
        <v>614</v>
      </c>
      <c r="R261" s="1266"/>
      <c r="S261" s="2106">
        <v>1780</v>
      </c>
      <c r="T261" s="1266" t="s">
        <v>136</v>
      </c>
      <c r="U261" s="1742">
        <v>1.2691883296460175E-2</v>
      </c>
      <c r="V261" s="1742">
        <v>0.14624999999999999</v>
      </c>
      <c r="W261" s="1742">
        <v>1.1186625937499999</v>
      </c>
      <c r="X261" s="1742">
        <v>0.4015178457754629</v>
      </c>
      <c r="Y261" s="2106">
        <v>1.6649423457754629</v>
      </c>
      <c r="Z261" s="2106">
        <v>22.591552267699111</v>
      </c>
      <c r="AA261" s="2106">
        <v>260.32499999999999</v>
      </c>
      <c r="AB261" s="2106">
        <v>1991.2194168749998</v>
      </c>
      <c r="AC261" s="2106">
        <v>714.70176548032396</v>
      </c>
      <c r="AD261" s="1744">
        <v>2966.2461823553235</v>
      </c>
      <c r="AE261" s="2126">
        <v>0</v>
      </c>
      <c r="AF261" s="2126">
        <v>0</v>
      </c>
      <c r="AG261" s="1212">
        <v>1</v>
      </c>
      <c r="AH261" s="1212">
        <v>0</v>
      </c>
      <c r="AI261" s="1212">
        <v>0</v>
      </c>
      <c r="AJ261" s="1212">
        <v>1</v>
      </c>
      <c r="AK261" s="2126">
        <v>2966.2461823553235</v>
      </c>
      <c r="AL261" s="2126">
        <v>0</v>
      </c>
      <c r="AM261" s="2126">
        <v>0</v>
      </c>
      <c r="AN261" s="2126">
        <v>2966.2461823553235</v>
      </c>
      <c r="AO261" s="1743" t="s">
        <v>85</v>
      </c>
      <c r="AP261" s="1743" t="s">
        <v>90</v>
      </c>
      <c r="AQ261" s="1764" t="s">
        <v>202</v>
      </c>
      <c r="AR261" s="1743" t="s">
        <v>87</v>
      </c>
      <c r="AS261" s="2135"/>
      <c r="AT261" s="2135"/>
      <c r="AU261" s="1212">
        <v>0.33333333333333331</v>
      </c>
      <c r="AV261" s="1212">
        <v>0.33333333333333331</v>
      </c>
      <c r="AW261" s="1212">
        <v>0.33333333333333331</v>
      </c>
      <c r="AX261" s="1212"/>
      <c r="AY261" s="1212"/>
      <c r="AZ261" s="1212"/>
      <c r="BA261" s="1212"/>
      <c r="BB261" s="1212"/>
      <c r="BC261" s="1212"/>
      <c r="BD261" s="1212"/>
      <c r="BE261" s="1212"/>
      <c r="BF261" s="2126">
        <v>0</v>
      </c>
      <c r="BG261" s="2126">
        <v>0</v>
      </c>
      <c r="BH261" s="2126">
        <v>988.74872745177447</v>
      </c>
      <c r="BI261" s="2126">
        <v>988.74872745177447</v>
      </c>
      <c r="BJ261" s="2126">
        <v>988.74872745177447</v>
      </c>
      <c r="BK261" s="2126">
        <v>0</v>
      </c>
      <c r="BL261" s="2126">
        <v>0</v>
      </c>
      <c r="BM261" s="2126">
        <v>0</v>
      </c>
      <c r="BN261" s="2126">
        <v>0</v>
      </c>
      <c r="BO261" s="2126">
        <v>0</v>
      </c>
      <c r="BP261" s="2126">
        <v>0</v>
      </c>
      <c r="BQ261" s="2126">
        <v>0</v>
      </c>
      <c r="BR261" s="2126">
        <v>0</v>
      </c>
    </row>
    <row r="262" spans="1:70" s="1765" customFormat="1" ht="33">
      <c r="A262" s="1272">
        <v>2000</v>
      </c>
      <c r="B262" s="971" t="s">
        <v>119</v>
      </c>
      <c r="C262" s="1272">
        <v>2500</v>
      </c>
      <c r="D262" s="971" t="s">
        <v>452</v>
      </c>
      <c r="E262" s="971" t="s">
        <v>604</v>
      </c>
      <c r="F262" s="971" t="s">
        <v>605</v>
      </c>
      <c r="G262" s="971">
        <v>2523</v>
      </c>
      <c r="H262" s="971" t="s">
        <v>605</v>
      </c>
      <c r="I262" s="1273"/>
      <c r="J262" s="971"/>
      <c r="K262" s="971" t="s">
        <v>150</v>
      </c>
      <c r="L262" s="971" t="s">
        <v>2800</v>
      </c>
      <c r="M262" s="971" t="s">
        <v>80</v>
      </c>
      <c r="N262" s="971" t="s">
        <v>83</v>
      </c>
      <c r="O262" s="971" t="s">
        <v>151</v>
      </c>
      <c r="P262" s="971" t="s">
        <v>152</v>
      </c>
      <c r="Q262" s="971" t="s">
        <v>615</v>
      </c>
      <c r="R262" s="1266"/>
      <c r="S262" s="2106">
        <v>14300</v>
      </c>
      <c r="T262" s="1266" t="s">
        <v>136</v>
      </c>
      <c r="U262" s="1742">
        <v>1.2691883296460175E-2</v>
      </c>
      <c r="V262" s="1742">
        <v>0.14624999999999999</v>
      </c>
      <c r="W262" s="1742">
        <v>1.1186625937499999</v>
      </c>
      <c r="X262" s="1742">
        <v>0.4015178457754629</v>
      </c>
      <c r="Y262" s="2106">
        <v>1.6649423457754629</v>
      </c>
      <c r="Z262" s="2106">
        <v>181.49393113938049</v>
      </c>
      <c r="AA262" s="2106">
        <v>2091.375</v>
      </c>
      <c r="AB262" s="2106">
        <v>15996.875090624999</v>
      </c>
      <c r="AC262" s="2106">
        <v>5741.7051945891199</v>
      </c>
      <c r="AD262" s="1744">
        <v>23829.955285214121</v>
      </c>
      <c r="AE262" s="2126">
        <v>0</v>
      </c>
      <c r="AF262" s="2126">
        <v>0</v>
      </c>
      <c r="AG262" s="1212">
        <v>1</v>
      </c>
      <c r="AH262" s="1212">
        <v>0</v>
      </c>
      <c r="AI262" s="1212">
        <v>0</v>
      </c>
      <c r="AJ262" s="1212">
        <v>1</v>
      </c>
      <c r="AK262" s="2126">
        <v>23829.955285214121</v>
      </c>
      <c r="AL262" s="2126">
        <v>0</v>
      </c>
      <c r="AM262" s="2126">
        <v>0</v>
      </c>
      <c r="AN262" s="2126">
        <v>23829.955285214121</v>
      </c>
      <c r="AO262" s="1743" t="s">
        <v>85</v>
      </c>
      <c r="AP262" s="1743" t="s">
        <v>90</v>
      </c>
      <c r="AQ262" s="1764" t="s">
        <v>202</v>
      </c>
      <c r="AR262" s="1743" t="s">
        <v>87</v>
      </c>
      <c r="AS262" s="2135"/>
      <c r="AT262" s="2135"/>
      <c r="AU262" s="1212">
        <v>0.33333333333333331</v>
      </c>
      <c r="AV262" s="1212">
        <v>0.33333333333333331</v>
      </c>
      <c r="AW262" s="1212">
        <v>0.33333333333333331</v>
      </c>
      <c r="AX262" s="1212"/>
      <c r="AY262" s="1212"/>
      <c r="AZ262" s="1212"/>
      <c r="BA262" s="1212"/>
      <c r="BB262" s="1212"/>
      <c r="BC262" s="1212"/>
      <c r="BD262" s="1212"/>
      <c r="BE262" s="1212"/>
      <c r="BF262" s="2126">
        <v>0</v>
      </c>
      <c r="BG262" s="2126">
        <v>0</v>
      </c>
      <c r="BH262" s="2126">
        <v>7943.3184284047065</v>
      </c>
      <c r="BI262" s="2126">
        <v>7943.3184284047065</v>
      </c>
      <c r="BJ262" s="2126">
        <v>7943.3184284047065</v>
      </c>
      <c r="BK262" s="2126">
        <v>0</v>
      </c>
      <c r="BL262" s="2126">
        <v>0</v>
      </c>
      <c r="BM262" s="2126">
        <v>0</v>
      </c>
      <c r="BN262" s="2126">
        <v>0</v>
      </c>
      <c r="BO262" s="2126">
        <v>0</v>
      </c>
      <c r="BP262" s="2126">
        <v>0</v>
      </c>
      <c r="BQ262" s="2126">
        <v>0</v>
      </c>
      <c r="BR262" s="2126">
        <v>0</v>
      </c>
    </row>
    <row r="263" spans="1:70" s="1765" customFormat="1" ht="33">
      <c r="A263" s="1272">
        <v>2000</v>
      </c>
      <c r="B263" s="971" t="s">
        <v>119</v>
      </c>
      <c r="C263" s="1272">
        <v>2500</v>
      </c>
      <c r="D263" s="971" t="s">
        <v>452</v>
      </c>
      <c r="E263" s="971" t="s">
        <v>604</v>
      </c>
      <c r="F263" s="971" t="s">
        <v>605</v>
      </c>
      <c r="G263" s="971">
        <v>2523</v>
      </c>
      <c r="H263" s="971" t="s">
        <v>605</v>
      </c>
      <c r="I263" s="1273"/>
      <c r="J263" s="971"/>
      <c r="K263" s="971" t="s">
        <v>150</v>
      </c>
      <c r="L263" s="971" t="s">
        <v>2800</v>
      </c>
      <c r="M263" s="971" t="s">
        <v>80</v>
      </c>
      <c r="N263" s="971" t="s">
        <v>83</v>
      </c>
      <c r="O263" s="971" t="s">
        <v>151</v>
      </c>
      <c r="P263" s="971" t="s">
        <v>152</v>
      </c>
      <c r="Q263" s="971" t="s">
        <v>616</v>
      </c>
      <c r="R263" s="1266"/>
      <c r="S263" s="2106">
        <v>8850</v>
      </c>
      <c r="T263" s="1266" t="s">
        <v>136</v>
      </c>
      <c r="U263" s="1742">
        <v>1.2691883296460175E-2</v>
      </c>
      <c r="V263" s="1742">
        <v>0.14624999999999999</v>
      </c>
      <c r="W263" s="1742">
        <v>1.1186625937499999</v>
      </c>
      <c r="X263" s="1742">
        <v>0.4015178457754629</v>
      </c>
      <c r="Y263" s="2106">
        <v>1.6649423457754629</v>
      </c>
      <c r="Z263" s="2106">
        <v>112.32316717367254</v>
      </c>
      <c r="AA263" s="2106">
        <v>1294.3125</v>
      </c>
      <c r="AB263" s="2106">
        <v>9900.1639546874994</v>
      </c>
      <c r="AC263" s="2106">
        <v>3553.4329351128467</v>
      </c>
      <c r="AD263" s="1744">
        <v>14747.909389800347</v>
      </c>
      <c r="AE263" s="2126">
        <v>0</v>
      </c>
      <c r="AF263" s="2126">
        <v>0</v>
      </c>
      <c r="AG263" s="1212">
        <v>1</v>
      </c>
      <c r="AH263" s="1212">
        <v>0</v>
      </c>
      <c r="AI263" s="1212">
        <v>0</v>
      </c>
      <c r="AJ263" s="1212">
        <v>1</v>
      </c>
      <c r="AK263" s="2126">
        <v>14747.909389800347</v>
      </c>
      <c r="AL263" s="2126">
        <v>0</v>
      </c>
      <c r="AM263" s="2126">
        <v>0</v>
      </c>
      <c r="AN263" s="2126">
        <v>14747.909389800347</v>
      </c>
      <c r="AO263" s="1743" t="s">
        <v>85</v>
      </c>
      <c r="AP263" s="1743" t="s">
        <v>90</v>
      </c>
      <c r="AQ263" s="1764" t="s">
        <v>202</v>
      </c>
      <c r="AR263" s="1743" t="s">
        <v>87</v>
      </c>
      <c r="AS263" s="2135"/>
      <c r="AT263" s="2135"/>
      <c r="AU263" s="1212">
        <v>0.33333333333333331</v>
      </c>
      <c r="AV263" s="1212">
        <v>0.33333333333333331</v>
      </c>
      <c r="AW263" s="1212">
        <v>0.33333333333333331</v>
      </c>
      <c r="AX263" s="1212"/>
      <c r="AY263" s="1212"/>
      <c r="AZ263" s="1212"/>
      <c r="BA263" s="1212"/>
      <c r="BB263" s="1212"/>
      <c r="BC263" s="1212"/>
      <c r="BD263" s="1212"/>
      <c r="BE263" s="1212"/>
      <c r="BF263" s="2126">
        <v>0</v>
      </c>
      <c r="BG263" s="2126">
        <v>0</v>
      </c>
      <c r="BH263" s="2126">
        <v>4915.9697966001149</v>
      </c>
      <c r="BI263" s="2126">
        <v>4915.9697966001149</v>
      </c>
      <c r="BJ263" s="2126">
        <v>4915.9697966001149</v>
      </c>
      <c r="BK263" s="2126">
        <v>0</v>
      </c>
      <c r="BL263" s="2126">
        <v>0</v>
      </c>
      <c r="BM263" s="2126">
        <v>0</v>
      </c>
      <c r="BN263" s="2126">
        <v>0</v>
      </c>
      <c r="BO263" s="2126">
        <v>0</v>
      </c>
      <c r="BP263" s="2126">
        <v>0</v>
      </c>
      <c r="BQ263" s="2126">
        <v>0</v>
      </c>
      <c r="BR263" s="2126">
        <v>0</v>
      </c>
    </row>
    <row r="264" spans="1:70" s="1765" customFormat="1" ht="33">
      <c r="A264" s="1272">
        <v>2000</v>
      </c>
      <c r="B264" s="971" t="s">
        <v>119</v>
      </c>
      <c r="C264" s="1272">
        <v>2500</v>
      </c>
      <c r="D264" s="971" t="s">
        <v>452</v>
      </c>
      <c r="E264" s="971" t="s">
        <v>604</v>
      </c>
      <c r="F264" s="971" t="s">
        <v>605</v>
      </c>
      <c r="G264" s="971">
        <v>2523</v>
      </c>
      <c r="H264" s="971" t="s">
        <v>605</v>
      </c>
      <c r="I264" s="1273"/>
      <c r="J264" s="971"/>
      <c r="K264" s="971" t="s">
        <v>150</v>
      </c>
      <c r="L264" s="971" t="s">
        <v>2800</v>
      </c>
      <c r="M264" s="971" t="s">
        <v>80</v>
      </c>
      <c r="N264" s="971" t="s">
        <v>83</v>
      </c>
      <c r="O264" s="971" t="s">
        <v>151</v>
      </c>
      <c r="P264" s="971" t="s">
        <v>152</v>
      </c>
      <c r="Q264" s="971" t="s">
        <v>617</v>
      </c>
      <c r="R264" s="1266"/>
      <c r="S264" s="2106">
        <v>10950</v>
      </c>
      <c r="T264" s="1266" t="s">
        <v>136</v>
      </c>
      <c r="U264" s="1742">
        <v>1.2691883296460175E-2</v>
      </c>
      <c r="V264" s="1742">
        <v>0.14624999999999999</v>
      </c>
      <c r="W264" s="1742">
        <v>1.1186625937499999</v>
      </c>
      <c r="X264" s="1742">
        <v>0.4015178457754629</v>
      </c>
      <c r="Y264" s="2106">
        <v>1.6649423457754629</v>
      </c>
      <c r="Z264" s="2106">
        <v>138.97612209623892</v>
      </c>
      <c r="AA264" s="2106">
        <v>1601.4375</v>
      </c>
      <c r="AB264" s="2106">
        <v>12249.3554015625</v>
      </c>
      <c r="AC264" s="2106">
        <v>4396.6204112413188</v>
      </c>
      <c r="AD264" s="1744">
        <v>18247.413312803819</v>
      </c>
      <c r="AE264" s="2126">
        <v>0</v>
      </c>
      <c r="AF264" s="2126">
        <v>0</v>
      </c>
      <c r="AG264" s="1212">
        <v>1</v>
      </c>
      <c r="AH264" s="1212">
        <v>0</v>
      </c>
      <c r="AI264" s="1212">
        <v>0</v>
      </c>
      <c r="AJ264" s="1212">
        <v>1</v>
      </c>
      <c r="AK264" s="2126">
        <v>18247.413312803819</v>
      </c>
      <c r="AL264" s="2126">
        <v>0</v>
      </c>
      <c r="AM264" s="2126">
        <v>0</v>
      </c>
      <c r="AN264" s="2126">
        <v>18247.413312803819</v>
      </c>
      <c r="AO264" s="1743" t="s">
        <v>85</v>
      </c>
      <c r="AP264" s="1743" t="s">
        <v>90</v>
      </c>
      <c r="AQ264" s="1764" t="s">
        <v>202</v>
      </c>
      <c r="AR264" s="1743" t="s">
        <v>87</v>
      </c>
      <c r="AS264" s="2135"/>
      <c r="AT264" s="2135"/>
      <c r="AU264" s="1212">
        <v>0.33333333333333331</v>
      </c>
      <c r="AV264" s="1212">
        <v>0.33333333333333331</v>
      </c>
      <c r="AW264" s="1212">
        <v>0.33333333333333331</v>
      </c>
      <c r="AX264" s="1212"/>
      <c r="AY264" s="1212"/>
      <c r="AZ264" s="1212"/>
      <c r="BA264" s="1212"/>
      <c r="BB264" s="1212"/>
      <c r="BC264" s="1212"/>
      <c r="BD264" s="1212"/>
      <c r="BE264" s="1212"/>
      <c r="BF264" s="2126">
        <v>0</v>
      </c>
      <c r="BG264" s="2126">
        <v>0</v>
      </c>
      <c r="BH264" s="2126">
        <v>6082.4711042679392</v>
      </c>
      <c r="BI264" s="2126">
        <v>6082.4711042679392</v>
      </c>
      <c r="BJ264" s="2126">
        <v>6082.4711042679392</v>
      </c>
      <c r="BK264" s="2126">
        <v>0</v>
      </c>
      <c r="BL264" s="2126">
        <v>0</v>
      </c>
      <c r="BM264" s="2126">
        <v>0</v>
      </c>
      <c r="BN264" s="2126">
        <v>0</v>
      </c>
      <c r="BO264" s="2126">
        <v>0</v>
      </c>
      <c r="BP264" s="2126">
        <v>0</v>
      </c>
      <c r="BQ264" s="2126">
        <v>0</v>
      </c>
      <c r="BR264" s="2126">
        <v>0</v>
      </c>
    </row>
    <row r="265" spans="1:70" s="1765" customFormat="1" ht="33">
      <c r="A265" s="1272">
        <v>2000</v>
      </c>
      <c r="B265" s="971" t="s">
        <v>119</v>
      </c>
      <c r="C265" s="1272">
        <v>2500</v>
      </c>
      <c r="D265" s="971" t="s">
        <v>452</v>
      </c>
      <c r="E265" s="971" t="s">
        <v>604</v>
      </c>
      <c r="F265" s="971" t="s">
        <v>605</v>
      </c>
      <c r="G265" s="971">
        <v>2523</v>
      </c>
      <c r="H265" s="971" t="s">
        <v>605</v>
      </c>
      <c r="I265" s="1273"/>
      <c r="J265" s="971"/>
      <c r="K265" s="971" t="s">
        <v>150</v>
      </c>
      <c r="L265" s="971" t="s">
        <v>2800</v>
      </c>
      <c r="M265" s="971" t="s">
        <v>80</v>
      </c>
      <c r="N265" s="971" t="s">
        <v>83</v>
      </c>
      <c r="O265" s="971" t="s">
        <v>151</v>
      </c>
      <c r="P265" s="971" t="s">
        <v>152</v>
      </c>
      <c r="Q265" s="971" t="s">
        <v>618</v>
      </c>
      <c r="R265" s="1266"/>
      <c r="S265" s="2106">
        <v>12450</v>
      </c>
      <c r="T265" s="1266" t="s">
        <v>136</v>
      </c>
      <c r="U265" s="1742">
        <v>1.2691883296460175E-2</v>
      </c>
      <c r="V265" s="1742">
        <v>0.14624999999999999</v>
      </c>
      <c r="W265" s="1742">
        <v>1.1186625937499999</v>
      </c>
      <c r="X265" s="1742">
        <v>0.4015178457754629</v>
      </c>
      <c r="Y265" s="2106">
        <v>1.6649423457754629</v>
      </c>
      <c r="Z265" s="2106">
        <v>158.01394704092917</v>
      </c>
      <c r="AA265" s="2106">
        <v>1820.8125</v>
      </c>
      <c r="AB265" s="2106">
        <v>13927.349292187499</v>
      </c>
      <c r="AC265" s="2106">
        <v>4998.897179904513</v>
      </c>
      <c r="AD265" s="1744">
        <v>20747.058972092011</v>
      </c>
      <c r="AE265" s="2126">
        <v>0</v>
      </c>
      <c r="AF265" s="2126">
        <v>0</v>
      </c>
      <c r="AG265" s="1212">
        <v>1</v>
      </c>
      <c r="AH265" s="1212">
        <v>0</v>
      </c>
      <c r="AI265" s="1212">
        <v>0</v>
      </c>
      <c r="AJ265" s="1212">
        <v>1</v>
      </c>
      <c r="AK265" s="2126">
        <v>20747.058972092011</v>
      </c>
      <c r="AL265" s="2126">
        <v>0</v>
      </c>
      <c r="AM265" s="2126">
        <v>0</v>
      </c>
      <c r="AN265" s="2126">
        <v>20747.058972092011</v>
      </c>
      <c r="AO265" s="1743" t="s">
        <v>85</v>
      </c>
      <c r="AP265" s="1743" t="s">
        <v>90</v>
      </c>
      <c r="AQ265" s="1764" t="s">
        <v>202</v>
      </c>
      <c r="AR265" s="1743" t="s">
        <v>87</v>
      </c>
      <c r="AS265" s="2135"/>
      <c r="AT265" s="2135"/>
      <c r="AU265" s="1212">
        <v>0.33333333333333331</v>
      </c>
      <c r="AV265" s="1212">
        <v>0.33333333333333331</v>
      </c>
      <c r="AW265" s="1212">
        <v>0.33333333333333331</v>
      </c>
      <c r="AX265" s="1212"/>
      <c r="AY265" s="1212"/>
      <c r="AZ265" s="1212"/>
      <c r="BA265" s="1212"/>
      <c r="BB265" s="1212"/>
      <c r="BC265" s="1212"/>
      <c r="BD265" s="1212"/>
      <c r="BE265" s="1212"/>
      <c r="BF265" s="2126">
        <v>0</v>
      </c>
      <c r="BG265" s="2126">
        <v>0</v>
      </c>
      <c r="BH265" s="2126">
        <v>6915.6863240306702</v>
      </c>
      <c r="BI265" s="2126">
        <v>6915.6863240306702</v>
      </c>
      <c r="BJ265" s="2126">
        <v>6915.6863240306702</v>
      </c>
      <c r="BK265" s="2126">
        <v>0</v>
      </c>
      <c r="BL265" s="2126">
        <v>0</v>
      </c>
      <c r="BM265" s="2126">
        <v>0</v>
      </c>
      <c r="BN265" s="2126">
        <v>0</v>
      </c>
      <c r="BO265" s="2126">
        <v>0</v>
      </c>
      <c r="BP265" s="2126">
        <v>0</v>
      </c>
      <c r="BQ265" s="2126">
        <v>0</v>
      </c>
      <c r="BR265" s="2126">
        <v>0</v>
      </c>
    </row>
    <row r="266" spans="1:70" s="1765" customFormat="1" ht="33">
      <c r="A266" s="1272">
        <v>2000</v>
      </c>
      <c r="B266" s="971" t="s">
        <v>119</v>
      </c>
      <c r="C266" s="1272">
        <v>2500</v>
      </c>
      <c r="D266" s="971" t="s">
        <v>452</v>
      </c>
      <c r="E266" s="971" t="s">
        <v>604</v>
      </c>
      <c r="F266" s="971" t="s">
        <v>605</v>
      </c>
      <c r="G266" s="971">
        <v>2523</v>
      </c>
      <c r="H266" s="971" t="s">
        <v>605</v>
      </c>
      <c r="I266" s="1273"/>
      <c r="J266" s="971"/>
      <c r="K266" s="971" t="s">
        <v>150</v>
      </c>
      <c r="L266" s="971" t="s">
        <v>2800</v>
      </c>
      <c r="M266" s="971" t="s">
        <v>80</v>
      </c>
      <c r="N266" s="971" t="s">
        <v>83</v>
      </c>
      <c r="O266" s="971" t="s">
        <v>151</v>
      </c>
      <c r="P266" s="971" t="s">
        <v>152</v>
      </c>
      <c r="Q266" s="971" t="s">
        <v>619</v>
      </c>
      <c r="R266" s="1266"/>
      <c r="S266" s="2106">
        <v>7550</v>
      </c>
      <c r="T266" s="1266" t="s">
        <v>136</v>
      </c>
      <c r="U266" s="1742">
        <v>1.2691883296460175E-2</v>
      </c>
      <c r="V266" s="1742">
        <v>0.14624999999999999</v>
      </c>
      <c r="W266" s="1742">
        <v>1.1186625937499999</v>
      </c>
      <c r="X266" s="1742">
        <v>0.4015178457754629</v>
      </c>
      <c r="Y266" s="2106">
        <v>1.6649423457754629</v>
      </c>
      <c r="Z266" s="2106">
        <v>95.823718888274328</v>
      </c>
      <c r="AA266" s="2106">
        <v>1104.1875</v>
      </c>
      <c r="AB266" s="2106">
        <v>8445.9025828124995</v>
      </c>
      <c r="AC266" s="2106">
        <v>3031.4597356047448</v>
      </c>
      <c r="AD266" s="1744">
        <v>12581.549818417245</v>
      </c>
      <c r="AE266" s="2126">
        <v>0</v>
      </c>
      <c r="AF266" s="2126">
        <v>0</v>
      </c>
      <c r="AG266" s="1212">
        <v>1</v>
      </c>
      <c r="AH266" s="1212">
        <v>0</v>
      </c>
      <c r="AI266" s="1212">
        <v>0</v>
      </c>
      <c r="AJ266" s="1212">
        <v>1</v>
      </c>
      <c r="AK266" s="2126">
        <v>12581.549818417245</v>
      </c>
      <c r="AL266" s="2126">
        <v>0</v>
      </c>
      <c r="AM266" s="2126">
        <v>0</v>
      </c>
      <c r="AN266" s="2126">
        <v>12581.549818417245</v>
      </c>
      <c r="AO266" s="1743" t="s">
        <v>85</v>
      </c>
      <c r="AP266" s="1743" t="s">
        <v>90</v>
      </c>
      <c r="AQ266" s="1764" t="s">
        <v>202</v>
      </c>
      <c r="AR266" s="1743" t="s">
        <v>87</v>
      </c>
      <c r="AS266" s="2135"/>
      <c r="AT266" s="2135"/>
      <c r="AU266" s="1212">
        <v>0.33333333333333331</v>
      </c>
      <c r="AV266" s="1212">
        <v>0.33333333333333331</v>
      </c>
      <c r="AW266" s="1212">
        <v>0.33333333333333331</v>
      </c>
      <c r="AX266" s="1212"/>
      <c r="AY266" s="1212"/>
      <c r="AZ266" s="1212"/>
      <c r="BA266" s="1212"/>
      <c r="BB266" s="1212"/>
      <c r="BC266" s="1212"/>
      <c r="BD266" s="1212"/>
      <c r="BE266" s="1212"/>
      <c r="BF266" s="2126">
        <v>0</v>
      </c>
      <c r="BG266" s="2126">
        <v>0</v>
      </c>
      <c r="BH266" s="2126">
        <v>4193.8499394724149</v>
      </c>
      <c r="BI266" s="2126">
        <v>4193.8499394724149</v>
      </c>
      <c r="BJ266" s="2126">
        <v>4193.8499394724149</v>
      </c>
      <c r="BK266" s="2126">
        <v>0</v>
      </c>
      <c r="BL266" s="2126">
        <v>0</v>
      </c>
      <c r="BM266" s="2126">
        <v>0</v>
      </c>
      <c r="BN266" s="2126">
        <v>0</v>
      </c>
      <c r="BO266" s="2126">
        <v>0</v>
      </c>
      <c r="BP266" s="2126">
        <v>0</v>
      </c>
      <c r="BQ266" s="2126">
        <v>0</v>
      </c>
      <c r="BR266" s="2126">
        <v>0</v>
      </c>
    </row>
    <row r="267" spans="1:70" s="1765" customFormat="1" ht="66">
      <c r="A267" s="1272">
        <v>2000</v>
      </c>
      <c r="B267" s="971" t="s">
        <v>119</v>
      </c>
      <c r="C267" s="1272">
        <v>2500</v>
      </c>
      <c r="D267" s="971" t="s">
        <v>452</v>
      </c>
      <c r="E267" s="971" t="s">
        <v>604</v>
      </c>
      <c r="F267" s="971" t="s">
        <v>605</v>
      </c>
      <c r="G267" s="971" t="s">
        <v>620</v>
      </c>
      <c r="H267" s="971" t="s">
        <v>621</v>
      </c>
      <c r="I267" s="1273" t="s">
        <v>622</v>
      </c>
      <c r="J267" s="971" t="s">
        <v>124</v>
      </c>
      <c r="K267" s="971" t="s">
        <v>1747</v>
      </c>
      <c r="L267" s="971" t="s">
        <v>6606</v>
      </c>
      <c r="M267" s="971" t="s">
        <v>606</v>
      </c>
      <c r="N267" s="971" t="s">
        <v>488</v>
      </c>
      <c r="O267" s="971" t="s">
        <v>518</v>
      </c>
      <c r="P267" s="971"/>
      <c r="Q267" s="971" t="s">
        <v>623</v>
      </c>
      <c r="R267" s="1266" t="s">
        <v>624</v>
      </c>
      <c r="S267" s="2106">
        <v>892.19330855018586</v>
      </c>
      <c r="T267" s="1266" t="s">
        <v>136</v>
      </c>
      <c r="U267" s="1742">
        <v>0.56041666666666667</v>
      </c>
      <c r="V267" s="1742">
        <v>1.9614583333333333</v>
      </c>
      <c r="W267" s="1742">
        <v>49.395125</v>
      </c>
      <c r="X267" s="1742">
        <v>77.264645833333333</v>
      </c>
      <c r="Y267" s="2106">
        <v>128.62122916666667</v>
      </c>
      <c r="Z267" s="2106">
        <v>500</v>
      </c>
      <c r="AA267" s="2106">
        <v>1750</v>
      </c>
      <c r="AB267" s="2106">
        <v>44070</v>
      </c>
      <c r="AC267" s="2106">
        <v>68935</v>
      </c>
      <c r="AD267" s="1744">
        <v>114755</v>
      </c>
      <c r="AE267" s="2126">
        <v>1</v>
      </c>
      <c r="AF267" s="2126">
        <v>892.19330855018586</v>
      </c>
      <c r="AG267" s="1212">
        <v>1</v>
      </c>
      <c r="AH267" s="1212">
        <v>0</v>
      </c>
      <c r="AI267" s="1212">
        <v>0</v>
      </c>
      <c r="AJ267" s="1212">
        <v>1</v>
      </c>
      <c r="AK267" s="2126">
        <v>114755</v>
      </c>
      <c r="AL267" s="2126">
        <v>0</v>
      </c>
      <c r="AM267" s="2126">
        <v>0</v>
      </c>
      <c r="AN267" s="2126">
        <v>114755</v>
      </c>
      <c r="AO267" s="1743" t="s">
        <v>131</v>
      </c>
      <c r="AP267" s="1743"/>
      <c r="AQ267" s="1764">
        <v>2014</v>
      </c>
      <c r="AR267" s="1743" t="s">
        <v>87</v>
      </c>
      <c r="AS267" s="2135"/>
      <c r="AT267" s="2135"/>
      <c r="AU267" s="1212">
        <v>0.33333333333333331</v>
      </c>
      <c r="AV267" s="1212">
        <v>0.33333333333333331</v>
      </c>
      <c r="AW267" s="1212">
        <v>0.33333333333333331</v>
      </c>
      <c r="AX267" s="1212"/>
      <c r="AY267" s="1212"/>
      <c r="AZ267" s="1212"/>
      <c r="BA267" s="1212"/>
      <c r="BB267" s="1212"/>
      <c r="BC267" s="1212"/>
      <c r="BD267" s="1212"/>
      <c r="BE267" s="1212"/>
      <c r="BF267" s="2126">
        <v>0</v>
      </c>
      <c r="BG267" s="2126">
        <v>0</v>
      </c>
      <c r="BH267" s="2126">
        <v>38251.666666666664</v>
      </c>
      <c r="BI267" s="2126">
        <v>38251.666666666664</v>
      </c>
      <c r="BJ267" s="2126">
        <v>38251.666666666664</v>
      </c>
      <c r="BK267" s="2126">
        <v>0</v>
      </c>
      <c r="BL267" s="2126">
        <v>0</v>
      </c>
      <c r="BM267" s="2126">
        <v>0</v>
      </c>
      <c r="BN267" s="2126">
        <v>0</v>
      </c>
      <c r="BO267" s="2126">
        <v>0</v>
      </c>
      <c r="BP267" s="2126">
        <v>0</v>
      </c>
      <c r="BQ267" s="2126">
        <v>0</v>
      </c>
      <c r="BR267" s="2126">
        <v>0</v>
      </c>
    </row>
    <row r="268" spans="1:70" s="1765" customFormat="1" ht="49.5">
      <c r="A268" s="1272">
        <v>2000</v>
      </c>
      <c r="B268" s="971" t="s">
        <v>119</v>
      </c>
      <c r="C268" s="1272">
        <v>2500</v>
      </c>
      <c r="D268" s="971" t="s">
        <v>452</v>
      </c>
      <c r="E268" s="971" t="s">
        <v>604</v>
      </c>
      <c r="F268" s="971" t="s">
        <v>605</v>
      </c>
      <c r="G268" s="971" t="s">
        <v>620</v>
      </c>
      <c r="H268" s="971" t="s">
        <v>621</v>
      </c>
      <c r="I268" s="1273" t="s">
        <v>626</v>
      </c>
      <c r="J268" s="971" t="s">
        <v>124</v>
      </c>
      <c r="K268" s="971" t="s">
        <v>2857</v>
      </c>
      <c r="L268" s="971" t="s">
        <v>2858</v>
      </c>
      <c r="M268" s="971" t="s">
        <v>627</v>
      </c>
      <c r="N268" s="971" t="s">
        <v>488</v>
      </c>
      <c r="O268" s="971" t="s">
        <v>539</v>
      </c>
      <c r="P268" s="971"/>
      <c r="Q268" s="971" t="s">
        <v>628</v>
      </c>
      <c r="R268" s="1266" t="s">
        <v>629</v>
      </c>
      <c r="S268" s="2106">
        <v>267.65799256505579</v>
      </c>
      <c r="T268" s="1266" t="s">
        <v>136</v>
      </c>
      <c r="U268" s="1742">
        <v>0.56041666666666667</v>
      </c>
      <c r="V268" s="1742">
        <v>2.8020833333333335</v>
      </c>
      <c r="W268" s="1742">
        <v>49.395125</v>
      </c>
      <c r="X268" s="1742">
        <v>77.264645833333333</v>
      </c>
      <c r="Y268" s="2106">
        <v>129.46185416666665</v>
      </c>
      <c r="Z268" s="2106">
        <v>150.00000000000003</v>
      </c>
      <c r="AA268" s="2106">
        <v>750.00000000000011</v>
      </c>
      <c r="AB268" s="2106">
        <v>13221.000000000002</v>
      </c>
      <c r="AC268" s="2106">
        <v>20680.500000000004</v>
      </c>
      <c r="AD268" s="1744">
        <v>34651.500000000007</v>
      </c>
      <c r="AE268" s="2126">
        <v>1</v>
      </c>
      <c r="AF268" s="2126">
        <v>267.65799256505579</v>
      </c>
      <c r="AG268" s="1212">
        <v>1</v>
      </c>
      <c r="AH268" s="1212">
        <v>0</v>
      </c>
      <c r="AI268" s="1212">
        <v>0</v>
      </c>
      <c r="AJ268" s="1212">
        <v>1</v>
      </c>
      <c r="AK268" s="2126">
        <v>34651.500000000007</v>
      </c>
      <c r="AL268" s="2126">
        <v>0</v>
      </c>
      <c r="AM268" s="2126">
        <v>0</v>
      </c>
      <c r="AN268" s="2126">
        <v>34651.500000000007</v>
      </c>
      <c r="AO268" s="1743" t="s">
        <v>131</v>
      </c>
      <c r="AP268" s="1743"/>
      <c r="AQ268" s="1764">
        <v>2014</v>
      </c>
      <c r="AR268" s="1743" t="s">
        <v>87</v>
      </c>
      <c r="AS268" s="2135"/>
      <c r="AT268" s="2135"/>
      <c r="AU268" s="1212">
        <v>0.33333333333333331</v>
      </c>
      <c r="AV268" s="1212">
        <v>0.33333333333333331</v>
      </c>
      <c r="AW268" s="1212">
        <v>0.33333333333333331</v>
      </c>
      <c r="AX268" s="1212"/>
      <c r="AY268" s="1212"/>
      <c r="AZ268" s="1212"/>
      <c r="BA268" s="1212"/>
      <c r="BB268" s="1212"/>
      <c r="BC268" s="1212"/>
      <c r="BD268" s="1212"/>
      <c r="BE268" s="1212"/>
      <c r="BF268" s="2126">
        <v>0</v>
      </c>
      <c r="BG268" s="2126">
        <v>0</v>
      </c>
      <c r="BH268" s="2126">
        <v>11550.500000000002</v>
      </c>
      <c r="BI268" s="2126">
        <v>11550.500000000002</v>
      </c>
      <c r="BJ268" s="2126">
        <v>11550.500000000002</v>
      </c>
      <c r="BK268" s="2126">
        <v>0</v>
      </c>
      <c r="BL268" s="2126">
        <v>0</v>
      </c>
      <c r="BM268" s="2126">
        <v>0</v>
      </c>
      <c r="BN268" s="2126">
        <v>0</v>
      </c>
      <c r="BO268" s="2126">
        <v>0</v>
      </c>
      <c r="BP268" s="2126">
        <v>0</v>
      </c>
      <c r="BQ268" s="2126">
        <v>0</v>
      </c>
      <c r="BR268" s="2126">
        <v>0</v>
      </c>
    </row>
    <row r="269" spans="1:70" s="1765" customFormat="1" ht="49.5">
      <c r="A269" s="1272">
        <v>2000</v>
      </c>
      <c r="B269" s="971" t="s">
        <v>119</v>
      </c>
      <c r="C269" s="1272">
        <v>2500</v>
      </c>
      <c r="D269" s="971" t="s">
        <v>452</v>
      </c>
      <c r="E269" s="971" t="s">
        <v>604</v>
      </c>
      <c r="F269" s="971" t="s">
        <v>605</v>
      </c>
      <c r="G269" s="971" t="s">
        <v>620</v>
      </c>
      <c r="H269" s="971" t="s">
        <v>621</v>
      </c>
      <c r="I269" s="1273" t="s">
        <v>630</v>
      </c>
      <c r="J269" s="971" t="s">
        <v>124</v>
      </c>
      <c r="K269" s="971" t="s">
        <v>523</v>
      </c>
      <c r="L269" s="971" t="s">
        <v>6607</v>
      </c>
      <c r="M269" s="971" t="s">
        <v>523</v>
      </c>
      <c r="N269" s="971" t="s">
        <v>141</v>
      </c>
      <c r="O269" s="971" t="s">
        <v>524</v>
      </c>
      <c r="P269" s="971"/>
      <c r="Q269" s="971" t="s">
        <v>631</v>
      </c>
      <c r="R269" s="1266" t="s">
        <v>624</v>
      </c>
      <c r="S269" s="2106">
        <v>892.19330855018586</v>
      </c>
      <c r="T269" s="1266" t="s">
        <v>136</v>
      </c>
      <c r="U269" s="1742">
        <v>0.14520631503408685</v>
      </c>
      <c r="V269" s="1742">
        <v>1.8150789379260854</v>
      </c>
      <c r="W269" s="1742">
        <v>12.798484607104415</v>
      </c>
      <c r="X269" s="1742">
        <v>20.019594653749554</v>
      </c>
      <c r="Y269" s="2106">
        <v>34.633158198780052</v>
      </c>
      <c r="Z269" s="2106">
        <v>129.55210263264254</v>
      </c>
      <c r="AA269" s="2106">
        <v>1619.4012829080316</v>
      </c>
      <c r="AB269" s="2106">
        <v>11418.722326041114</v>
      </c>
      <c r="AC269" s="2106">
        <v>17861.348389962426</v>
      </c>
      <c r="AD269" s="1744">
        <v>30899.471998911569</v>
      </c>
      <c r="AE269" s="2126">
        <v>0.75</v>
      </c>
      <c r="AF269" s="2126">
        <v>669.14498141263937</v>
      </c>
      <c r="AG269" s="1212">
        <v>1</v>
      </c>
      <c r="AH269" s="1212">
        <v>0</v>
      </c>
      <c r="AI269" s="1212">
        <v>0</v>
      </c>
      <c r="AJ269" s="1212">
        <v>1</v>
      </c>
      <c r="AK269" s="2126">
        <v>30899.471998911569</v>
      </c>
      <c r="AL269" s="2126">
        <v>0</v>
      </c>
      <c r="AM269" s="2126">
        <v>0</v>
      </c>
      <c r="AN269" s="2126">
        <v>30899.471998911569</v>
      </c>
      <c r="AO269" s="1743" t="s">
        <v>131</v>
      </c>
      <c r="AP269" s="1743"/>
      <c r="AQ269" s="1764">
        <v>2014</v>
      </c>
      <c r="AR269" s="1743" t="s">
        <v>87</v>
      </c>
      <c r="AS269" s="2135"/>
      <c r="AT269" s="2135"/>
      <c r="AU269" s="1212">
        <v>0.33333333333333331</v>
      </c>
      <c r="AV269" s="1212">
        <v>0.33333333333333331</v>
      </c>
      <c r="AW269" s="1212">
        <v>0.33333333333333331</v>
      </c>
      <c r="AX269" s="1212"/>
      <c r="AY269" s="1212"/>
      <c r="AZ269" s="1212"/>
      <c r="BA269" s="1212"/>
      <c r="BB269" s="1212"/>
      <c r="BC269" s="1212"/>
      <c r="BD269" s="1212"/>
      <c r="BE269" s="1212"/>
      <c r="BF269" s="2126">
        <v>0</v>
      </c>
      <c r="BG269" s="2126">
        <v>0</v>
      </c>
      <c r="BH269" s="2126">
        <v>10299.823999637189</v>
      </c>
      <c r="BI269" s="2126">
        <v>10299.823999637189</v>
      </c>
      <c r="BJ269" s="2126">
        <v>10299.823999637189</v>
      </c>
      <c r="BK269" s="2126">
        <v>0</v>
      </c>
      <c r="BL269" s="2126">
        <v>0</v>
      </c>
      <c r="BM269" s="2126">
        <v>0</v>
      </c>
      <c r="BN269" s="2126">
        <v>0</v>
      </c>
      <c r="BO269" s="2126">
        <v>0</v>
      </c>
      <c r="BP269" s="2126">
        <v>0</v>
      </c>
      <c r="BQ269" s="2126">
        <v>0</v>
      </c>
      <c r="BR269" s="2126">
        <v>0</v>
      </c>
    </row>
    <row r="270" spans="1:70" s="1765" customFormat="1" ht="49.5">
      <c r="A270" s="1272">
        <v>2000</v>
      </c>
      <c r="B270" s="971" t="s">
        <v>119</v>
      </c>
      <c r="C270" s="1272">
        <v>2500</v>
      </c>
      <c r="D270" s="971" t="s">
        <v>452</v>
      </c>
      <c r="E270" s="971" t="s">
        <v>604</v>
      </c>
      <c r="F270" s="971" t="s">
        <v>605</v>
      </c>
      <c r="G270" s="971" t="s">
        <v>620</v>
      </c>
      <c r="H270" s="971" t="s">
        <v>621</v>
      </c>
      <c r="I270" s="1273" t="s">
        <v>632</v>
      </c>
      <c r="J270" s="971" t="s">
        <v>124</v>
      </c>
      <c r="K270" s="971" t="s">
        <v>506</v>
      </c>
      <c r="L270" s="971" t="s">
        <v>6608</v>
      </c>
      <c r="M270" s="971" t="s">
        <v>506</v>
      </c>
      <c r="N270" s="971" t="s">
        <v>141</v>
      </c>
      <c r="O270" s="971" t="s">
        <v>507</v>
      </c>
      <c r="P270" s="971"/>
      <c r="Q270" s="971" t="s">
        <v>633</v>
      </c>
      <c r="R270" s="1266" t="s">
        <v>624</v>
      </c>
      <c r="S270" s="2106">
        <v>892.19330855018586</v>
      </c>
      <c r="T270" s="1266" t="s">
        <v>136</v>
      </c>
      <c r="U270" s="1742">
        <v>0.125</v>
      </c>
      <c r="V270" s="1742">
        <v>1.875</v>
      </c>
      <c r="W270" s="1742">
        <v>11.0175</v>
      </c>
      <c r="X270" s="1742">
        <v>18.75</v>
      </c>
      <c r="Y270" s="2106">
        <v>31.642499999999998</v>
      </c>
      <c r="Z270" s="2106">
        <v>111.52416356877323</v>
      </c>
      <c r="AA270" s="2106">
        <v>1672.8624535315985</v>
      </c>
      <c r="AB270" s="2106">
        <v>9829.739776951672</v>
      </c>
      <c r="AC270" s="2106">
        <v>16728.624535315987</v>
      </c>
      <c r="AD270" s="1744">
        <v>28231.226765799256</v>
      </c>
      <c r="AE270" s="2126">
        <v>0</v>
      </c>
      <c r="AF270" s="2126">
        <v>0</v>
      </c>
      <c r="AG270" s="1212">
        <v>1</v>
      </c>
      <c r="AH270" s="1212">
        <v>0</v>
      </c>
      <c r="AI270" s="1212">
        <v>0</v>
      </c>
      <c r="AJ270" s="1212">
        <v>1</v>
      </c>
      <c r="AK270" s="2126">
        <v>28231.226765799256</v>
      </c>
      <c r="AL270" s="2126">
        <v>0</v>
      </c>
      <c r="AM270" s="2126">
        <v>0</v>
      </c>
      <c r="AN270" s="2126">
        <v>28231.226765799256</v>
      </c>
      <c r="AO270" s="1743" t="s">
        <v>131</v>
      </c>
      <c r="AP270" s="1743"/>
      <c r="AQ270" s="1764">
        <v>2014</v>
      </c>
      <c r="AR270" s="1743" t="s">
        <v>87</v>
      </c>
      <c r="AS270" s="2135"/>
      <c r="AT270" s="2135"/>
      <c r="AU270" s="1212">
        <v>0.33333333333333331</v>
      </c>
      <c r="AV270" s="1212">
        <v>0.33333333333333331</v>
      </c>
      <c r="AW270" s="1212">
        <v>0.33333333333333331</v>
      </c>
      <c r="AX270" s="1212"/>
      <c r="AY270" s="1212"/>
      <c r="AZ270" s="1212"/>
      <c r="BA270" s="1212"/>
      <c r="BB270" s="1212"/>
      <c r="BC270" s="1212"/>
      <c r="BD270" s="1212"/>
      <c r="BE270" s="1212"/>
      <c r="BF270" s="2126">
        <v>0</v>
      </c>
      <c r="BG270" s="2126">
        <v>0</v>
      </c>
      <c r="BH270" s="2126">
        <v>9410.4089219330854</v>
      </c>
      <c r="BI270" s="2126">
        <v>9410.4089219330854</v>
      </c>
      <c r="BJ270" s="2126">
        <v>9410.4089219330854</v>
      </c>
      <c r="BK270" s="2126">
        <v>0</v>
      </c>
      <c r="BL270" s="2126">
        <v>0</v>
      </c>
      <c r="BM270" s="2126">
        <v>0</v>
      </c>
      <c r="BN270" s="2126">
        <v>0</v>
      </c>
      <c r="BO270" s="2126">
        <v>0</v>
      </c>
      <c r="BP270" s="2126">
        <v>0</v>
      </c>
      <c r="BQ270" s="2126">
        <v>0</v>
      </c>
      <c r="BR270" s="2126">
        <v>0</v>
      </c>
    </row>
    <row r="271" spans="1:70" s="1765" customFormat="1" ht="66">
      <c r="A271" s="1272">
        <v>2000</v>
      </c>
      <c r="B271" s="971" t="s">
        <v>119</v>
      </c>
      <c r="C271" s="1272">
        <v>2500</v>
      </c>
      <c r="D271" s="971" t="s">
        <v>452</v>
      </c>
      <c r="E271" s="971" t="s">
        <v>604</v>
      </c>
      <c r="F271" s="971" t="s">
        <v>605</v>
      </c>
      <c r="G271" s="971" t="s">
        <v>620</v>
      </c>
      <c r="H271" s="971" t="s">
        <v>621</v>
      </c>
      <c r="I271" s="1273" t="s">
        <v>634</v>
      </c>
      <c r="J271" s="971" t="s">
        <v>124</v>
      </c>
      <c r="K271" s="971" t="s">
        <v>1747</v>
      </c>
      <c r="L271" s="971" t="s">
        <v>6606</v>
      </c>
      <c r="M271" s="971" t="s">
        <v>606</v>
      </c>
      <c r="N271" s="971" t="s">
        <v>488</v>
      </c>
      <c r="O271" s="971" t="s">
        <v>518</v>
      </c>
      <c r="P271" s="971"/>
      <c r="Q271" s="971" t="s">
        <v>635</v>
      </c>
      <c r="R271" s="1266" t="s">
        <v>636</v>
      </c>
      <c r="S271" s="2106">
        <v>148.69888475836433</v>
      </c>
      <c r="T271" s="1266" t="s">
        <v>136</v>
      </c>
      <c r="U271" s="1742">
        <v>0.56041666666666667</v>
      </c>
      <c r="V271" s="1742">
        <v>1.9614583333333333</v>
      </c>
      <c r="W271" s="1742">
        <v>49.395125</v>
      </c>
      <c r="X271" s="1742">
        <v>77.264645833333333</v>
      </c>
      <c r="Y271" s="2106">
        <v>128.62122916666667</v>
      </c>
      <c r="Z271" s="2106">
        <v>83.333333333333343</v>
      </c>
      <c r="AA271" s="2106">
        <v>291.66666666666669</v>
      </c>
      <c r="AB271" s="2106">
        <v>7345.0000000000009</v>
      </c>
      <c r="AC271" s="2106">
        <v>11489.166666666668</v>
      </c>
      <c r="AD271" s="1744">
        <v>19125.833333333336</v>
      </c>
      <c r="AE271" s="2126">
        <v>1</v>
      </c>
      <c r="AF271" s="2126">
        <v>148.69888475836433</v>
      </c>
      <c r="AG271" s="1212">
        <v>1</v>
      </c>
      <c r="AH271" s="1212">
        <v>0</v>
      </c>
      <c r="AI271" s="1212">
        <v>0</v>
      </c>
      <c r="AJ271" s="1212">
        <v>1</v>
      </c>
      <c r="AK271" s="2126">
        <v>19125.833333333336</v>
      </c>
      <c r="AL271" s="2126">
        <v>0</v>
      </c>
      <c r="AM271" s="2126">
        <v>0</v>
      </c>
      <c r="AN271" s="2126">
        <v>19125.833333333336</v>
      </c>
      <c r="AO271" s="1743" t="s">
        <v>131</v>
      </c>
      <c r="AP271" s="1743"/>
      <c r="AQ271" s="1764">
        <v>2014</v>
      </c>
      <c r="AR271" s="1743" t="s">
        <v>87</v>
      </c>
      <c r="AS271" s="2135"/>
      <c r="AT271" s="2135"/>
      <c r="AU271" s="1212">
        <v>0.33333333333333331</v>
      </c>
      <c r="AV271" s="1212">
        <v>0.33333333333333331</v>
      </c>
      <c r="AW271" s="1212">
        <v>0.33333333333333331</v>
      </c>
      <c r="AX271" s="1212"/>
      <c r="AY271" s="1212"/>
      <c r="AZ271" s="1212"/>
      <c r="BA271" s="1212"/>
      <c r="BB271" s="1212"/>
      <c r="BC271" s="1212"/>
      <c r="BD271" s="1212"/>
      <c r="BE271" s="1212"/>
      <c r="BF271" s="2126">
        <v>0</v>
      </c>
      <c r="BG271" s="2126">
        <v>0</v>
      </c>
      <c r="BH271" s="2126">
        <v>6375.2777777777783</v>
      </c>
      <c r="BI271" s="2126">
        <v>6375.2777777777783</v>
      </c>
      <c r="BJ271" s="2126">
        <v>6375.2777777777783</v>
      </c>
      <c r="BK271" s="2126">
        <v>0</v>
      </c>
      <c r="BL271" s="2126">
        <v>0</v>
      </c>
      <c r="BM271" s="2126">
        <v>0</v>
      </c>
      <c r="BN271" s="2126">
        <v>0</v>
      </c>
      <c r="BO271" s="2126">
        <v>0</v>
      </c>
      <c r="BP271" s="2126">
        <v>0</v>
      </c>
      <c r="BQ271" s="2126">
        <v>0</v>
      </c>
      <c r="BR271" s="2126">
        <v>0</v>
      </c>
    </row>
    <row r="272" spans="1:70" s="1765" customFormat="1" ht="33">
      <c r="A272" s="1272">
        <v>2000</v>
      </c>
      <c r="B272" s="971" t="s">
        <v>119</v>
      </c>
      <c r="C272" s="1272">
        <v>2500</v>
      </c>
      <c r="D272" s="971" t="s">
        <v>452</v>
      </c>
      <c r="E272" s="971" t="s">
        <v>604</v>
      </c>
      <c r="F272" s="971" t="s">
        <v>605</v>
      </c>
      <c r="G272" s="971" t="s">
        <v>620</v>
      </c>
      <c r="H272" s="971" t="s">
        <v>621</v>
      </c>
      <c r="I272" s="1273" t="s">
        <v>637</v>
      </c>
      <c r="J272" s="971" t="s">
        <v>638</v>
      </c>
      <c r="K272" s="971" t="s">
        <v>1971</v>
      </c>
      <c r="L272" s="971" t="s">
        <v>639</v>
      </c>
      <c r="M272" s="971" t="s">
        <v>639</v>
      </c>
      <c r="N272" s="971" t="s">
        <v>640</v>
      </c>
      <c r="O272" s="971" t="s">
        <v>639</v>
      </c>
      <c r="P272" s="971"/>
      <c r="Q272" s="971" t="s">
        <v>641</v>
      </c>
      <c r="R272" s="1266" t="s">
        <v>642</v>
      </c>
      <c r="S272" s="2106">
        <v>255</v>
      </c>
      <c r="T272" s="1266" t="s">
        <v>991</v>
      </c>
      <c r="U272" s="1742">
        <v>0.25</v>
      </c>
      <c r="V272" s="1742">
        <v>3.125</v>
      </c>
      <c r="W272" s="1742">
        <v>22.035</v>
      </c>
      <c r="X272" s="1742">
        <v>34.467500000000001</v>
      </c>
      <c r="Y272" s="2106">
        <v>59.627499999999998</v>
      </c>
      <c r="Z272" s="2106">
        <v>63.75</v>
      </c>
      <c r="AA272" s="2106">
        <v>796.875</v>
      </c>
      <c r="AB272" s="2106">
        <v>5618.9250000000002</v>
      </c>
      <c r="AC272" s="2106">
        <v>8789.2124999999996</v>
      </c>
      <c r="AD272" s="2132">
        <v>15205.012500000001</v>
      </c>
      <c r="AE272" s="2126">
        <v>1.0000000000000002E-2</v>
      </c>
      <c r="AF272" s="2126">
        <v>2.5500000000000007</v>
      </c>
      <c r="AG272" s="1212">
        <v>1</v>
      </c>
      <c r="AH272" s="1212">
        <v>0</v>
      </c>
      <c r="AI272" s="1212">
        <v>1</v>
      </c>
      <c r="AJ272" s="1212">
        <v>0</v>
      </c>
      <c r="AK272" s="2126">
        <v>15205.012500000001</v>
      </c>
      <c r="AL272" s="2126">
        <v>0</v>
      </c>
      <c r="AM272" s="2126">
        <v>15205.012500000001</v>
      </c>
      <c r="AN272" s="2126">
        <v>0</v>
      </c>
      <c r="AO272" s="1743" t="s">
        <v>131</v>
      </c>
      <c r="AP272" s="1743"/>
      <c r="AQ272" s="1764">
        <v>2014</v>
      </c>
      <c r="AR272" s="1743" t="s">
        <v>87</v>
      </c>
      <c r="AS272" s="2135"/>
      <c r="AT272" s="2135"/>
      <c r="AU272" s="1212">
        <v>0.33333333333333331</v>
      </c>
      <c r="AV272" s="1212">
        <v>0.33333333333333331</v>
      </c>
      <c r="AW272" s="1212">
        <v>0.33333333333333331</v>
      </c>
      <c r="AX272" s="1212"/>
      <c r="AY272" s="1212"/>
      <c r="AZ272" s="1212"/>
      <c r="BA272" s="1212"/>
      <c r="BB272" s="1212"/>
      <c r="BC272" s="1212"/>
      <c r="BD272" s="1212"/>
      <c r="BE272" s="1212"/>
      <c r="BF272" s="2126">
        <v>0</v>
      </c>
      <c r="BG272" s="2126">
        <v>0</v>
      </c>
      <c r="BH272" s="2126">
        <v>5068.3374999999996</v>
      </c>
      <c r="BI272" s="2126">
        <v>5068.3374999999996</v>
      </c>
      <c r="BJ272" s="2126">
        <v>5068.3374999999996</v>
      </c>
      <c r="BK272" s="2126">
        <v>0</v>
      </c>
      <c r="BL272" s="2126">
        <v>0</v>
      </c>
      <c r="BM272" s="2126">
        <v>0</v>
      </c>
      <c r="BN272" s="2126">
        <v>0</v>
      </c>
      <c r="BO272" s="2126">
        <v>0</v>
      </c>
      <c r="BP272" s="2126">
        <v>0</v>
      </c>
      <c r="BQ272" s="2126">
        <v>0</v>
      </c>
      <c r="BR272" s="2126">
        <v>0</v>
      </c>
    </row>
    <row r="273" spans="1:70" s="1765" customFormat="1" ht="49.5">
      <c r="A273" s="1272">
        <v>2000</v>
      </c>
      <c r="B273" s="971" t="s">
        <v>119</v>
      </c>
      <c r="C273" s="1272">
        <v>2500</v>
      </c>
      <c r="D273" s="971" t="s">
        <v>452</v>
      </c>
      <c r="E273" s="971" t="s">
        <v>604</v>
      </c>
      <c r="F273" s="971" t="s">
        <v>605</v>
      </c>
      <c r="G273" s="971" t="s">
        <v>643</v>
      </c>
      <c r="H273" s="971" t="s">
        <v>621</v>
      </c>
      <c r="I273" s="1273" t="s">
        <v>644</v>
      </c>
      <c r="J273" s="971" t="s">
        <v>177</v>
      </c>
      <c r="K273" s="971" t="s">
        <v>530</v>
      </c>
      <c r="L273" s="971" t="s">
        <v>531</v>
      </c>
      <c r="M273" s="971" t="s">
        <v>530</v>
      </c>
      <c r="N273" s="971" t="s">
        <v>179</v>
      </c>
      <c r="O273" s="971" t="s">
        <v>531</v>
      </c>
      <c r="P273" s="971"/>
      <c r="Q273" s="971" t="s">
        <v>645</v>
      </c>
      <c r="R273" s="1266" t="s">
        <v>646</v>
      </c>
      <c r="S273" s="2106">
        <v>1</v>
      </c>
      <c r="T273" s="1266" t="s">
        <v>242</v>
      </c>
      <c r="U273" s="1742">
        <v>31</v>
      </c>
      <c r="V273" s="1742">
        <v>325</v>
      </c>
      <c r="W273" s="1742">
        <v>2732.34</v>
      </c>
      <c r="X273" s="1742">
        <v>3584.62</v>
      </c>
      <c r="Y273" s="2106">
        <v>6641.9599999999991</v>
      </c>
      <c r="Z273" s="2106">
        <v>31</v>
      </c>
      <c r="AA273" s="2106">
        <v>325</v>
      </c>
      <c r="AB273" s="2106">
        <v>2732.34</v>
      </c>
      <c r="AC273" s="2106">
        <v>3584.62</v>
      </c>
      <c r="AD273" s="1744">
        <v>6641.96</v>
      </c>
      <c r="AE273" s="2126">
        <v>2</v>
      </c>
      <c r="AF273" s="2126">
        <v>2</v>
      </c>
      <c r="AG273" s="1212">
        <v>1</v>
      </c>
      <c r="AH273" s="1212">
        <v>0</v>
      </c>
      <c r="AI273" s="1212">
        <v>0</v>
      </c>
      <c r="AJ273" s="1212">
        <v>1</v>
      </c>
      <c r="AK273" s="2126">
        <v>6641.96</v>
      </c>
      <c r="AL273" s="2126">
        <v>0</v>
      </c>
      <c r="AM273" s="2126">
        <v>0</v>
      </c>
      <c r="AN273" s="2126">
        <v>6641.96</v>
      </c>
      <c r="AO273" s="1743" t="s">
        <v>131</v>
      </c>
      <c r="AP273" s="1743"/>
      <c r="AQ273" s="1764">
        <v>2014</v>
      </c>
      <c r="AR273" s="1743" t="s">
        <v>87</v>
      </c>
      <c r="AS273" s="2135"/>
      <c r="AT273" s="2135"/>
      <c r="AU273" s="1212">
        <v>0.5</v>
      </c>
      <c r="AV273" s="1212">
        <v>0.5</v>
      </c>
      <c r="AW273" s="1212"/>
      <c r="AX273" s="1212"/>
      <c r="AY273" s="1212"/>
      <c r="AZ273" s="1212"/>
      <c r="BA273" s="1212"/>
      <c r="BB273" s="1212"/>
      <c r="BC273" s="1212"/>
      <c r="BD273" s="1212"/>
      <c r="BE273" s="1212"/>
      <c r="BF273" s="2126">
        <v>0</v>
      </c>
      <c r="BG273" s="2126">
        <v>0</v>
      </c>
      <c r="BH273" s="2126">
        <v>3320.98</v>
      </c>
      <c r="BI273" s="2126">
        <v>3320.98</v>
      </c>
      <c r="BJ273" s="2126">
        <v>0</v>
      </c>
      <c r="BK273" s="2126">
        <v>0</v>
      </c>
      <c r="BL273" s="2126">
        <v>0</v>
      </c>
      <c r="BM273" s="2126">
        <v>0</v>
      </c>
      <c r="BN273" s="2126">
        <v>0</v>
      </c>
      <c r="BO273" s="2126">
        <v>0</v>
      </c>
      <c r="BP273" s="2126">
        <v>0</v>
      </c>
      <c r="BQ273" s="2126">
        <v>0</v>
      </c>
      <c r="BR273" s="2126">
        <v>0</v>
      </c>
    </row>
    <row r="274" spans="1:70" s="1765" customFormat="1" ht="49.5">
      <c r="A274" s="1272">
        <v>2000</v>
      </c>
      <c r="B274" s="971" t="s">
        <v>119</v>
      </c>
      <c r="C274" s="1272">
        <v>2500</v>
      </c>
      <c r="D274" s="971" t="s">
        <v>452</v>
      </c>
      <c r="E274" s="971" t="s">
        <v>604</v>
      </c>
      <c r="F274" s="971" t="s">
        <v>605</v>
      </c>
      <c r="G274" s="971" t="s">
        <v>620</v>
      </c>
      <c r="H274" s="971" t="s">
        <v>621</v>
      </c>
      <c r="I274" s="1273" t="s">
        <v>647</v>
      </c>
      <c r="J274" s="971" t="s">
        <v>124</v>
      </c>
      <c r="K274" s="971" t="s">
        <v>2857</v>
      </c>
      <c r="L274" s="971" t="s">
        <v>2858</v>
      </c>
      <c r="M274" s="971" t="s">
        <v>487</v>
      </c>
      <c r="N274" s="971" t="s">
        <v>488</v>
      </c>
      <c r="O274" s="971" t="s">
        <v>215</v>
      </c>
      <c r="P274" s="971"/>
      <c r="Q274" s="971" t="s">
        <v>648</v>
      </c>
      <c r="R274" s="1266"/>
      <c r="S274" s="2106">
        <v>35.687732342007436</v>
      </c>
      <c r="T274" s="1266" t="s">
        <v>136</v>
      </c>
      <c r="U274" s="1742">
        <v>0.56041666666666667</v>
      </c>
      <c r="V274" s="1742">
        <v>2.8020833333333335</v>
      </c>
      <c r="W274" s="1742">
        <v>49.395125</v>
      </c>
      <c r="X274" s="1742">
        <v>77.264645833333333</v>
      </c>
      <c r="Y274" s="2106">
        <v>129.46185416666665</v>
      </c>
      <c r="Z274" s="2106">
        <v>20</v>
      </c>
      <c r="AA274" s="2106">
        <v>100.00000000000001</v>
      </c>
      <c r="AB274" s="2106">
        <v>1762.8</v>
      </c>
      <c r="AC274" s="2106">
        <v>2757.4</v>
      </c>
      <c r="AD274" s="1744">
        <v>4620.2</v>
      </c>
      <c r="AE274" s="2126">
        <v>1</v>
      </c>
      <c r="AF274" s="2126">
        <v>35.687732342007436</v>
      </c>
      <c r="AG274" s="1212">
        <v>1</v>
      </c>
      <c r="AH274" s="1212">
        <v>0</v>
      </c>
      <c r="AI274" s="1212">
        <v>0</v>
      </c>
      <c r="AJ274" s="1212">
        <v>1</v>
      </c>
      <c r="AK274" s="2126">
        <v>4620.2</v>
      </c>
      <c r="AL274" s="2126">
        <v>0</v>
      </c>
      <c r="AM274" s="2126">
        <v>0</v>
      </c>
      <c r="AN274" s="2126">
        <v>4620.2</v>
      </c>
      <c r="AO274" s="1743" t="s">
        <v>131</v>
      </c>
      <c r="AP274" s="1743" t="s">
        <v>90</v>
      </c>
      <c r="AQ274" s="1764">
        <v>2021</v>
      </c>
      <c r="AR274" s="1743" t="s">
        <v>87</v>
      </c>
      <c r="AS274" s="2135"/>
      <c r="AT274" s="2135"/>
      <c r="AU274" s="1212">
        <v>0.33333333333333331</v>
      </c>
      <c r="AV274" s="1212">
        <v>0.33333333333333331</v>
      </c>
      <c r="AW274" s="1212">
        <v>0.33333333333333331</v>
      </c>
      <c r="AX274" s="1212"/>
      <c r="AY274" s="1212"/>
      <c r="AZ274" s="1212"/>
      <c r="BA274" s="1212"/>
      <c r="BB274" s="1212"/>
      <c r="BC274" s="1212"/>
      <c r="BD274" s="1212"/>
      <c r="BE274" s="1212"/>
      <c r="BF274" s="2126">
        <v>0</v>
      </c>
      <c r="BG274" s="2126">
        <v>0</v>
      </c>
      <c r="BH274" s="2126">
        <v>1540.0666666666666</v>
      </c>
      <c r="BI274" s="2126">
        <v>1540.0666666666666</v>
      </c>
      <c r="BJ274" s="2126">
        <v>1540.0666666666666</v>
      </c>
      <c r="BK274" s="2126">
        <v>0</v>
      </c>
      <c r="BL274" s="2126">
        <v>0</v>
      </c>
      <c r="BM274" s="2126">
        <v>0</v>
      </c>
      <c r="BN274" s="2126">
        <v>0</v>
      </c>
      <c r="BO274" s="2126">
        <v>0</v>
      </c>
      <c r="BP274" s="2126">
        <v>0</v>
      </c>
      <c r="BQ274" s="2126">
        <v>0</v>
      </c>
      <c r="BR274" s="2126">
        <v>0</v>
      </c>
    </row>
    <row r="275" spans="1:70" s="1765" customFormat="1" ht="49.5">
      <c r="A275" s="1272">
        <v>2000</v>
      </c>
      <c r="B275" s="971" t="s">
        <v>119</v>
      </c>
      <c r="C275" s="1272">
        <v>2500</v>
      </c>
      <c r="D275" s="971" t="s">
        <v>452</v>
      </c>
      <c r="E275" s="971" t="s">
        <v>604</v>
      </c>
      <c r="F275" s="971" t="s">
        <v>605</v>
      </c>
      <c r="G275" s="971" t="s">
        <v>620</v>
      </c>
      <c r="H275" s="971" t="s">
        <v>621</v>
      </c>
      <c r="I275" s="1273" t="s">
        <v>647</v>
      </c>
      <c r="J275" s="971" t="s">
        <v>124</v>
      </c>
      <c r="K275" s="971" t="s">
        <v>2857</v>
      </c>
      <c r="L275" s="971" t="s">
        <v>2858</v>
      </c>
      <c r="M275" s="971" t="s">
        <v>487</v>
      </c>
      <c r="N275" s="971" t="s">
        <v>488</v>
      </c>
      <c r="O275" s="971" t="s">
        <v>215</v>
      </c>
      <c r="P275" s="971"/>
      <c r="Q275" s="971" t="s">
        <v>649</v>
      </c>
      <c r="R275" s="1266" t="s">
        <v>650</v>
      </c>
      <c r="S275" s="2106">
        <v>35.687732342007436</v>
      </c>
      <c r="T275" s="1266" t="s">
        <v>136</v>
      </c>
      <c r="U275" s="1742">
        <v>0.56041666666666667</v>
      </c>
      <c r="V275" s="1742">
        <v>2.8020833333333335</v>
      </c>
      <c r="W275" s="1742">
        <v>49.395125</v>
      </c>
      <c r="X275" s="1742">
        <v>77.264645833333333</v>
      </c>
      <c r="Y275" s="2106">
        <v>129.46185416666665</v>
      </c>
      <c r="Z275" s="2106">
        <v>20</v>
      </c>
      <c r="AA275" s="2106">
        <v>100.00000000000001</v>
      </c>
      <c r="AB275" s="2106">
        <v>1762.8</v>
      </c>
      <c r="AC275" s="2106">
        <v>2757.4</v>
      </c>
      <c r="AD275" s="1744">
        <v>4620.2</v>
      </c>
      <c r="AE275" s="2126">
        <v>1</v>
      </c>
      <c r="AF275" s="2126">
        <v>35.687732342007436</v>
      </c>
      <c r="AG275" s="1212">
        <v>1</v>
      </c>
      <c r="AH275" s="1212">
        <v>0</v>
      </c>
      <c r="AI275" s="1212">
        <v>0</v>
      </c>
      <c r="AJ275" s="1212">
        <v>1</v>
      </c>
      <c r="AK275" s="2126">
        <v>4620.2</v>
      </c>
      <c r="AL275" s="2126">
        <v>0</v>
      </c>
      <c r="AM275" s="2126">
        <v>0</v>
      </c>
      <c r="AN275" s="2126">
        <v>4620.2</v>
      </c>
      <c r="AO275" s="1743" t="s">
        <v>131</v>
      </c>
      <c r="AP275" s="1743"/>
      <c r="AQ275" s="1764">
        <v>2014</v>
      </c>
      <c r="AR275" s="1743" t="s">
        <v>87</v>
      </c>
      <c r="AS275" s="2135"/>
      <c r="AT275" s="2135"/>
      <c r="AU275" s="1212">
        <v>0.33333333333333331</v>
      </c>
      <c r="AV275" s="1212">
        <v>0.33333333333333331</v>
      </c>
      <c r="AW275" s="1212">
        <v>0.33333333333333331</v>
      </c>
      <c r="AX275" s="1212"/>
      <c r="AY275" s="1212"/>
      <c r="AZ275" s="1212"/>
      <c r="BA275" s="1212"/>
      <c r="BB275" s="1212"/>
      <c r="BC275" s="1212"/>
      <c r="BD275" s="1212"/>
      <c r="BE275" s="1212"/>
      <c r="BF275" s="2126">
        <v>0</v>
      </c>
      <c r="BG275" s="2126">
        <v>0</v>
      </c>
      <c r="BH275" s="2126">
        <v>1540.0666666666666</v>
      </c>
      <c r="BI275" s="2126">
        <v>1540.0666666666666</v>
      </c>
      <c r="BJ275" s="2126">
        <v>1540.0666666666666</v>
      </c>
      <c r="BK275" s="2126">
        <v>0</v>
      </c>
      <c r="BL275" s="2126">
        <v>0</v>
      </c>
      <c r="BM275" s="2126">
        <v>0</v>
      </c>
      <c r="BN275" s="2126">
        <v>0</v>
      </c>
      <c r="BO275" s="2126">
        <v>0</v>
      </c>
      <c r="BP275" s="2126">
        <v>0</v>
      </c>
      <c r="BQ275" s="2126">
        <v>0</v>
      </c>
      <c r="BR275" s="2126">
        <v>0</v>
      </c>
    </row>
    <row r="276" spans="1:70" s="1765" customFormat="1" ht="49.5">
      <c r="A276" s="1272">
        <v>2000</v>
      </c>
      <c r="B276" s="971" t="s">
        <v>119</v>
      </c>
      <c r="C276" s="1272">
        <v>2500</v>
      </c>
      <c r="D276" s="971" t="s">
        <v>452</v>
      </c>
      <c r="E276" s="971" t="s">
        <v>604</v>
      </c>
      <c r="F276" s="971" t="s">
        <v>605</v>
      </c>
      <c r="G276" s="971" t="s">
        <v>643</v>
      </c>
      <c r="H276" s="971" t="s">
        <v>621</v>
      </c>
      <c r="I276" s="1273" t="s">
        <v>651</v>
      </c>
      <c r="J276" s="971" t="s">
        <v>177</v>
      </c>
      <c r="K276" s="971" t="s">
        <v>196</v>
      </c>
      <c r="L276" s="971" t="s">
        <v>197</v>
      </c>
      <c r="M276" s="971" t="s">
        <v>196</v>
      </c>
      <c r="N276" s="971" t="s">
        <v>179</v>
      </c>
      <c r="O276" s="971" t="s">
        <v>197</v>
      </c>
      <c r="P276" s="971"/>
      <c r="Q276" s="971" t="s">
        <v>652</v>
      </c>
      <c r="R276" s="1266" t="s">
        <v>653</v>
      </c>
      <c r="S276" s="2106">
        <v>1</v>
      </c>
      <c r="T276" s="1266" t="s">
        <v>242</v>
      </c>
      <c r="U276" s="1742">
        <v>9.6666666666666661</v>
      </c>
      <c r="V276" s="1742">
        <v>89.583333333333329</v>
      </c>
      <c r="W276" s="1742">
        <v>852.02</v>
      </c>
      <c r="X276" s="1742">
        <v>988.06833333333327</v>
      </c>
      <c r="Y276" s="2106">
        <v>1929.6716666666666</v>
      </c>
      <c r="Z276" s="2106">
        <v>9.6666666666666661</v>
      </c>
      <c r="AA276" s="2106">
        <v>89.583333333333329</v>
      </c>
      <c r="AB276" s="2106">
        <v>852.02</v>
      </c>
      <c r="AC276" s="2106">
        <v>988.06833333333327</v>
      </c>
      <c r="AD276" s="1744">
        <v>1929.6716666666666</v>
      </c>
      <c r="AE276" s="2126">
        <v>1</v>
      </c>
      <c r="AF276" s="2126">
        <v>1</v>
      </c>
      <c r="AG276" s="1212">
        <v>1</v>
      </c>
      <c r="AH276" s="1212">
        <v>0</v>
      </c>
      <c r="AI276" s="1212">
        <v>0</v>
      </c>
      <c r="AJ276" s="1212">
        <v>1</v>
      </c>
      <c r="AK276" s="2126">
        <v>1929.6716666666666</v>
      </c>
      <c r="AL276" s="2126">
        <v>0</v>
      </c>
      <c r="AM276" s="2126">
        <v>0</v>
      </c>
      <c r="AN276" s="2126">
        <v>1929.6716666666666</v>
      </c>
      <c r="AO276" s="1743" t="s">
        <v>131</v>
      </c>
      <c r="AP276" s="1743"/>
      <c r="AQ276" s="1764">
        <v>2014</v>
      </c>
      <c r="AR276" s="1743" t="s">
        <v>87</v>
      </c>
      <c r="AS276" s="2135"/>
      <c r="AT276" s="2135"/>
      <c r="AU276" s="1212">
        <v>0.33333333333333331</v>
      </c>
      <c r="AV276" s="1212">
        <v>0.33333333333333331</v>
      </c>
      <c r="AW276" s="1212">
        <v>0.33333333333333331</v>
      </c>
      <c r="AX276" s="1212"/>
      <c r="AY276" s="1212"/>
      <c r="AZ276" s="1212"/>
      <c r="BA276" s="1212"/>
      <c r="BB276" s="1212"/>
      <c r="BC276" s="1212"/>
      <c r="BD276" s="1212"/>
      <c r="BE276" s="1212"/>
      <c r="BF276" s="2126">
        <v>0</v>
      </c>
      <c r="BG276" s="2126">
        <v>0</v>
      </c>
      <c r="BH276" s="2126">
        <v>643.22388888888884</v>
      </c>
      <c r="BI276" s="2126">
        <v>643.22388888888884</v>
      </c>
      <c r="BJ276" s="2126">
        <v>643.22388888888884</v>
      </c>
      <c r="BK276" s="2126">
        <v>0</v>
      </c>
      <c r="BL276" s="2126">
        <v>0</v>
      </c>
      <c r="BM276" s="2126">
        <v>0</v>
      </c>
      <c r="BN276" s="2126">
        <v>0</v>
      </c>
      <c r="BO276" s="2126">
        <v>0</v>
      </c>
      <c r="BP276" s="2126">
        <v>0</v>
      </c>
      <c r="BQ276" s="2126">
        <v>0</v>
      </c>
      <c r="BR276" s="2126">
        <v>0</v>
      </c>
    </row>
    <row r="277" spans="1:70" s="1765" customFormat="1" ht="33">
      <c r="A277" s="1272">
        <v>2000</v>
      </c>
      <c r="B277" s="971" t="s">
        <v>119</v>
      </c>
      <c r="C277" s="1272">
        <v>2500</v>
      </c>
      <c r="D277" s="971" t="s">
        <v>452</v>
      </c>
      <c r="E277" s="971" t="s">
        <v>604</v>
      </c>
      <c r="F277" s="971" t="s">
        <v>605</v>
      </c>
      <c r="G277" s="971" t="s">
        <v>620</v>
      </c>
      <c r="H277" s="971" t="s">
        <v>621</v>
      </c>
      <c r="I277" s="1273" t="s">
        <v>654</v>
      </c>
      <c r="J277" s="971" t="s">
        <v>124</v>
      </c>
      <c r="K277" s="971" t="s">
        <v>145</v>
      </c>
      <c r="L277" s="971" t="s">
        <v>2871</v>
      </c>
      <c r="M277" s="971" t="s">
        <v>556</v>
      </c>
      <c r="N277" s="971" t="s">
        <v>141</v>
      </c>
      <c r="O277" s="971" t="s">
        <v>557</v>
      </c>
      <c r="P277" s="971"/>
      <c r="Q277" s="971" t="s">
        <v>655</v>
      </c>
      <c r="R277" s="1266" t="s">
        <v>650</v>
      </c>
      <c r="S277" s="2106">
        <v>35.687732342007436</v>
      </c>
      <c r="T277" s="1266" t="s">
        <v>136</v>
      </c>
      <c r="U277" s="1742">
        <v>0.12329166666666667</v>
      </c>
      <c r="V277" s="1742">
        <v>0.98072916666666676</v>
      </c>
      <c r="W277" s="1742">
        <v>6.9153175000000005</v>
      </c>
      <c r="X277" s="1742">
        <v>10.817050416666667</v>
      </c>
      <c r="Y277" s="2106">
        <v>18.713097083333334</v>
      </c>
      <c r="Z277" s="2106">
        <v>4.4000000000000004</v>
      </c>
      <c r="AA277" s="2106">
        <v>35.000000000000007</v>
      </c>
      <c r="AB277" s="2106">
        <v>246.79200000000003</v>
      </c>
      <c r="AC277" s="2106">
        <v>386.03600000000006</v>
      </c>
      <c r="AD277" s="1744">
        <v>667.82800000000009</v>
      </c>
      <c r="AE277" s="2126">
        <v>0.3</v>
      </c>
      <c r="AF277" s="2126">
        <v>10.706319702602231</v>
      </c>
      <c r="AG277" s="1212">
        <v>1</v>
      </c>
      <c r="AH277" s="1212">
        <v>0</v>
      </c>
      <c r="AI277" s="1212">
        <v>0</v>
      </c>
      <c r="AJ277" s="1212">
        <v>1</v>
      </c>
      <c r="AK277" s="2126">
        <v>667.82800000000009</v>
      </c>
      <c r="AL277" s="2126">
        <v>0</v>
      </c>
      <c r="AM277" s="2126">
        <v>0</v>
      </c>
      <c r="AN277" s="2126">
        <v>667.82800000000009</v>
      </c>
      <c r="AO277" s="1743" t="s">
        <v>131</v>
      </c>
      <c r="AP277" s="1743"/>
      <c r="AQ277" s="1764">
        <v>2014</v>
      </c>
      <c r="AR277" s="1743" t="s">
        <v>87</v>
      </c>
      <c r="AS277" s="2135"/>
      <c r="AT277" s="2135"/>
      <c r="AU277" s="1212">
        <v>0.33333333333333331</v>
      </c>
      <c r="AV277" s="1212">
        <v>0.33333333333333331</v>
      </c>
      <c r="AW277" s="1212">
        <v>0.33333333333333331</v>
      </c>
      <c r="AX277" s="1212"/>
      <c r="AY277" s="1212"/>
      <c r="AZ277" s="1212"/>
      <c r="BA277" s="1212"/>
      <c r="BB277" s="1212"/>
      <c r="BC277" s="1212"/>
      <c r="BD277" s="1212"/>
      <c r="BE277" s="1212"/>
      <c r="BF277" s="2126">
        <v>0</v>
      </c>
      <c r="BG277" s="2126">
        <v>0</v>
      </c>
      <c r="BH277" s="2126">
        <v>222.60933333333335</v>
      </c>
      <c r="BI277" s="2126">
        <v>222.60933333333335</v>
      </c>
      <c r="BJ277" s="2126">
        <v>222.60933333333335</v>
      </c>
      <c r="BK277" s="2126">
        <v>0</v>
      </c>
      <c r="BL277" s="2126">
        <v>0</v>
      </c>
      <c r="BM277" s="2126">
        <v>0</v>
      </c>
      <c r="BN277" s="2126">
        <v>0</v>
      </c>
      <c r="BO277" s="2126">
        <v>0</v>
      </c>
      <c r="BP277" s="2126">
        <v>0</v>
      </c>
      <c r="BQ277" s="2126">
        <v>0</v>
      </c>
      <c r="BR277" s="2126">
        <v>0</v>
      </c>
    </row>
    <row r="278" spans="1:70" s="1765" customFormat="1" ht="49.5">
      <c r="A278" s="1272">
        <v>2000</v>
      </c>
      <c r="B278" s="971" t="s">
        <v>119</v>
      </c>
      <c r="C278" s="1272">
        <v>2500</v>
      </c>
      <c r="D278" s="971" t="s">
        <v>452</v>
      </c>
      <c r="E278" s="971" t="s">
        <v>604</v>
      </c>
      <c r="F278" s="971" t="s">
        <v>605</v>
      </c>
      <c r="G278" s="971" t="s">
        <v>620</v>
      </c>
      <c r="H278" s="971" t="s">
        <v>621</v>
      </c>
      <c r="I278" s="1273" t="s">
        <v>656</v>
      </c>
      <c r="J278" s="971" t="s">
        <v>124</v>
      </c>
      <c r="K278" s="971" t="s">
        <v>523</v>
      </c>
      <c r="L278" s="971" t="s">
        <v>6607</v>
      </c>
      <c r="M278" s="971" t="s">
        <v>523</v>
      </c>
      <c r="N278" s="971" t="s">
        <v>141</v>
      </c>
      <c r="O278" s="971" t="s">
        <v>524</v>
      </c>
      <c r="P278" s="971"/>
      <c r="Q278" s="971" t="s">
        <v>657</v>
      </c>
      <c r="R278" s="1266" t="s">
        <v>636</v>
      </c>
      <c r="S278" s="2106">
        <v>148.69888475836433</v>
      </c>
      <c r="T278" s="1266" t="s">
        <v>136</v>
      </c>
      <c r="U278" s="1742">
        <v>0.14520631503408685</v>
      </c>
      <c r="V278" s="1742">
        <v>1.8150789379260854</v>
      </c>
      <c r="W278" s="1742">
        <v>12.798484607104415</v>
      </c>
      <c r="X278" s="1742">
        <v>20.019594653749554</v>
      </c>
      <c r="Y278" s="2106">
        <v>34.633158198780052</v>
      </c>
      <c r="Z278" s="2106">
        <v>21.592017105440426</v>
      </c>
      <c r="AA278" s="2106">
        <v>269.90021381800528</v>
      </c>
      <c r="AB278" s="2106">
        <v>1903.1203876735192</v>
      </c>
      <c r="AC278" s="2106">
        <v>2976.8913983270713</v>
      </c>
      <c r="AD278" s="1744">
        <v>5149.9119998185961</v>
      </c>
      <c r="AE278" s="2126">
        <v>0.75</v>
      </c>
      <c r="AF278" s="2126">
        <v>111.52416356877325</v>
      </c>
      <c r="AG278" s="1212">
        <v>1</v>
      </c>
      <c r="AH278" s="1212">
        <v>0</v>
      </c>
      <c r="AI278" s="1212">
        <v>0</v>
      </c>
      <c r="AJ278" s="1212">
        <v>1</v>
      </c>
      <c r="AK278" s="2126">
        <v>5149.9119998185961</v>
      </c>
      <c r="AL278" s="2126">
        <v>0</v>
      </c>
      <c r="AM278" s="2126">
        <v>0</v>
      </c>
      <c r="AN278" s="2126">
        <v>5149.9119998185961</v>
      </c>
      <c r="AO278" s="1743" t="s">
        <v>131</v>
      </c>
      <c r="AP278" s="1743"/>
      <c r="AQ278" s="1764">
        <v>2014</v>
      </c>
      <c r="AR278" s="1743" t="s">
        <v>87</v>
      </c>
      <c r="AS278" s="2135"/>
      <c r="AT278" s="2135"/>
      <c r="AU278" s="1212">
        <v>0.33333333333333331</v>
      </c>
      <c r="AV278" s="1212">
        <v>0.33333333333333331</v>
      </c>
      <c r="AW278" s="1212">
        <v>0.33333333333333331</v>
      </c>
      <c r="AX278" s="1212"/>
      <c r="AY278" s="1212"/>
      <c r="AZ278" s="1212"/>
      <c r="BA278" s="1212"/>
      <c r="BB278" s="1212"/>
      <c r="BC278" s="1212"/>
      <c r="BD278" s="1212"/>
      <c r="BE278" s="1212"/>
      <c r="BF278" s="2126">
        <v>0</v>
      </c>
      <c r="BG278" s="2126">
        <v>0</v>
      </c>
      <c r="BH278" s="2126">
        <v>1716.6373332728654</v>
      </c>
      <c r="BI278" s="2126">
        <v>1716.6373332728654</v>
      </c>
      <c r="BJ278" s="2126">
        <v>1716.6373332728654</v>
      </c>
      <c r="BK278" s="2126">
        <v>0</v>
      </c>
      <c r="BL278" s="2126">
        <v>0</v>
      </c>
      <c r="BM278" s="2126">
        <v>0</v>
      </c>
      <c r="BN278" s="2126">
        <v>0</v>
      </c>
      <c r="BO278" s="2126">
        <v>0</v>
      </c>
      <c r="BP278" s="2126">
        <v>0</v>
      </c>
      <c r="BQ278" s="2126">
        <v>0</v>
      </c>
      <c r="BR278" s="2126">
        <v>0</v>
      </c>
    </row>
    <row r="279" spans="1:70" s="1765" customFormat="1" ht="33">
      <c r="A279" s="1272">
        <v>2000</v>
      </c>
      <c r="B279" s="971" t="s">
        <v>119</v>
      </c>
      <c r="C279" s="1272">
        <v>2500</v>
      </c>
      <c r="D279" s="971" t="s">
        <v>452</v>
      </c>
      <c r="E279" s="971" t="s">
        <v>604</v>
      </c>
      <c r="F279" s="971" t="s">
        <v>605</v>
      </c>
      <c r="G279" s="971" t="s">
        <v>620</v>
      </c>
      <c r="H279" s="971" t="s">
        <v>621</v>
      </c>
      <c r="I279" s="1273" t="s">
        <v>658</v>
      </c>
      <c r="J279" s="971" t="s">
        <v>124</v>
      </c>
      <c r="K279" s="971" t="s">
        <v>145</v>
      </c>
      <c r="L279" s="971" t="s">
        <v>2871</v>
      </c>
      <c r="M279" s="971" t="s">
        <v>556</v>
      </c>
      <c r="N279" s="971" t="s">
        <v>141</v>
      </c>
      <c r="O279" s="971" t="s">
        <v>557</v>
      </c>
      <c r="P279" s="971"/>
      <c r="Q279" s="971" t="s">
        <v>659</v>
      </c>
      <c r="R279" s="1266" t="s">
        <v>629</v>
      </c>
      <c r="S279" s="2106">
        <v>267.65799256505579</v>
      </c>
      <c r="T279" s="1266" t="s">
        <v>136</v>
      </c>
      <c r="U279" s="1742">
        <v>0.12329166666666667</v>
      </c>
      <c r="V279" s="1742">
        <v>0.98072916666666676</v>
      </c>
      <c r="W279" s="1742">
        <v>6.9153175000000005</v>
      </c>
      <c r="X279" s="1742">
        <v>10.817050416666667</v>
      </c>
      <c r="Y279" s="2106">
        <v>18.713097083333334</v>
      </c>
      <c r="Z279" s="2106">
        <v>33.000000000000007</v>
      </c>
      <c r="AA279" s="2106">
        <v>262.50000000000006</v>
      </c>
      <c r="AB279" s="2106">
        <v>1850.9400000000003</v>
      </c>
      <c r="AC279" s="2106">
        <v>2895.2700000000004</v>
      </c>
      <c r="AD279" s="1744">
        <v>5008.7100000000009</v>
      </c>
      <c r="AE279" s="2126">
        <v>0.3</v>
      </c>
      <c r="AF279" s="2126">
        <v>80.297397769516735</v>
      </c>
      <c r="AG279" s="1212">
        <v>1</v>
      </c>
      <c r="AH279" s="1212">
        <v>0</v>
      </c>
      <c r="AI279" s="1212">
        <v>0</v>
      </c>
      <c r="AJ279" s="1212">
        <v>1</v>
      </c>
      <c r="AK279" s="2126">
        <v>5008.7100000000009</v>
      </c>
      <c r="AL279" s="2126">
        <v>0</v>
      </c>
      <c r="AM279" s="2126">
        <v>0</v>
      </c>
      <c r="AN279" s="2126">
        <v>5008.7100000000009</v>
      </c>
      <c r="AO279" s="1743" t="s">
        <v>131</v>
      </c>
      <c r="AP279" s="1743"/>
      <c r="AQ279" s="1764">
        <v>2014</v>
      </c>
      <c r="AR279" s="1743" t="s">
        <v>87</v>
      </c>
      <c r="AS279" s="2135"/>
      <c r="AT279" s="2135"/>
      <c r="AU279" s="1212">
        <v>0.33333333333333331</v>
      </c>
      <c r="AV279" s="1212">
        <v>0.33333333333333331</v>
      </c>
      <c r="AW279" s="1212">
        <v>0.33333333333333331</v>
      </c>
      <c r="AX279" s="1212"/>
      <c r="AY279" s="1212"/>
      <c r="AZ279" s="1212"/>
      <c r="BA279" s="1212"/>
      <c r="BB279" s="1212"/>
      <c r="BC279" s="1212"/>
      <c r="BD279" s="1212"/>
      <c r="BE279" s="1212"/>
      <c r="BF279" s="2126">
        <v>0</v>
      </c>
      <c r="BG279" s="2126">
        <v>0</v>
      </c>
      <c r="BH279" s="2126">
        <v>1669.5700000000002</v>
      </c>
      <c r="BI279" s="2126">
        <v>1669.5700000000002</v>
      </c>
      <c r="BJ279" s="2126">
        <v>1669.5700000000002</v>
      </c>
      <c r="BK279" s="2126">
        <v>0</v>
      </c>
      <c r="BL279" s="2126">
        <v>0</v>
      </c>
      <c r="BM279" s="2126">
        <v>0</v>
      </c>
      <c r="BN279" s="2126">
        <v>0</v>
      </c>
      <c r="BO279" s="2126">
        <v>0</v>
      </c>
      <c r="BP279" s="2126">
        <v>0</v>
      </c>
      <c r="BQ279" s="2126">
        <v>0</v>
      </c>
      <c r="BR279" s="2126">
        <v>0</v>
      </c>
    </row>
    <row r="280" spans="1:70" s="1765" customFormat="1" ht="49.5">
      <c r="A280" s="1272">
        <v>2000</v>
      </c>
      <c r="B280" s="971" t="s">
        <v>119</v>
      </c>
      <c r="C280" s="1272">
        <v>2500</v>
      </c>
      <c r="D280" s="971" t="s">
        <v>452</v>
      </c>
      <c r="E280" s="971" t="s">
        <v>604</v>
      </c>
      <c r="F280" s="971" t="s">
        <v>605</v>
      </c>
      <c r="G280" s="971" t="s">
        <v>620</v>
      </c>
      <c r="H280" s="971" t="s">
        <v>621</v>
      </c>
      <c r="I280" s="1273" t="s">
        <v>660</v>
      </c>
      <c r="J280" s="971" t="s">
        <v>124</v>
      </c>
      <c r="K280" s="971" t="s">
        <v>506</v>
      </c>
      <c r="L280" s="971" t="s">
        <v>6608</v>
      </c>
      <c r="M280" s="971" t="s">
        <v>506</v>
      </c>
      <c r="N280" s="971" t="s">
        <v>141</v>
      </c>
      <c r="O280" s="971" t="s">
        <v>507</v>
      </c>
      <c r="P280" s="971"/>
      <c r="Q280" s="971" t="s">
        <v>661</v>
      </c>
      <c r="R280" s="1266" t="s">
        <v>636</v>
      </c>
      <c r="S280" s="2106">
        <v>148.69888475836433</v>
      </c>
      <c r="T280" s="1266" t="s">
        <v>136</v>
      </c>
      <c r="U280" s="1742">
        <v>0.125</v>
      </c>
      <c r="V280" s="1742">
        <v>1.875</v>
      </c>
      <c r="W280" s="1742">
        <v>11.0175</v>
      </c>
      <c r="X280" s="1742">
        <v>18.75</v>
      </c>
      <c r="Y280" s="2106">
        <v>31.642499999999998</v>
      </c>
      <c r="Z280" s="2106">
        <v>18.587360594795541</v>
      </c>
      <c r="AA280" s="2106">
        <v>278.81040892193312</v>
      </c>
      <c r="AB280" s="2106">
        <v>1638.289962825279</v>
      </c>
      <c r="AC280" s="2106">
        <v>2788.1040892193314</v>
      </c>
      <c r="AD280" s="1744">
        <v>4705.2044609665436</v>
      </c>
      <c r="AE280" s="2126">
        <v>0</v>
      </c>
      <c r="AF280" s="2126">
        <v>0</v>
      </c>
      <c r="AG280" s="1212">
        <v>1</v>
      </c>
      <c r="AH280" s="1212">
        <v>0</v>
      </c>
      <c r="AI280" s="1212">
        <v>0</v>
      </c>
      <c r="AJ280" s="1212">
        <v>1</v>
      </c>
      <c r="AK280" s="2126">
        <v>4705.2044609665436</v>
      </c>
      <c r="AL280" s="2126">
        <v>0</v>
      </c>
      <c r="AM280" s="2126">
        <v>0</v>
      </c>
      <c r="AN280" s="2126">
        <v>4705.2044609665436</v>
      </c>
      <c r="AO280" s="1743" t="s">
        <v>131</v>
      </c>
      <c r="AP280" s="1743"/>
      <c r="AQ280" s="1764">
        <v>2014</v>
      </c>
      <c r="AR280" s="1743" t="s">
        <v>87</v>
      </c>
      <c r="AS280" s="2135"/>
      <c r="AT280" s="2135"/>
      <c r="AU280" s="1212">
        <v>0.33333333333333331</v>
      </c>
      <c r="AV280" s="1212">
        <v>0.33333333333333331</v>
      </c>
      <c r="AW280" s="1212">
        <v>0.33333333333333331</v>
      </c>
      <c r="AX280" s="1212"/>
      <c r="AY280" s="1212"/>
      <c r="AZ280" s="1212"/>
      <c r="BA280" s="1212"/>
      <c r="BB280" s="1212"/>
      <c r="BC280" s="1212"/>
      <c r="BD280" s="1212"/>
      <c r="BE280" s="1212"/>
      <c r="BF280" s="2126">
        <v>0</v>
      </c>
      <c r="BG280" s="2126">
        <v>0</v>
      </c>
      <c r="BH280" s="2126">
        <v>1568.4014869888479</v>
      </c>
      <c r="BI280" s="2126">
        <v>1568.4014869888479</v>
      </c>
      <c r="BJ280" s="2126">
        <v>1568.4014869888479</v>
      </c>
      <c r="BK280" s="2126">
        <v>0</v>
      </c>
      <c r="BL280" s="2126">
        <v>0</v>
      </c>
      <c r="BM280" s="2126">
        <v>0</v>
      </c>
      <c r="BN280" s="2126">
        <v>0</v>
      </c>
      <c r="BO280" s="2126">
        <v>0</v>
      </c>
      <c r="BP280" s="2126">
        <v>0</v>
      </c>
      <c r="BQ280" s="2126">
        <v>0</v>
      </c>
      <c r="BR280" s="2126">
        <v>0</v>
      </c>
    </row>
    <row r="281" spans="1:70" s="1765" customFormat="1" ht="49.5">
      <c r="A281" s="1272">
        <v>2000</v>
      </c>
      <c r="B281" s="971" t="s">
        <v>119</v>
      </c>
      <c r="C281" s="1272">
        <v>2500</v>
      </c>
      <c r="D281" s="971" t="s">
        <v>452</v>
      </c>
      <c r="E281" s="971" t="s">
        <v>604</v>
      </c>
      <c r="F281" s="971" t="s">
        <v>605</v>
      </c>
      <c r="G281" s="971" t="s">
        <v>643</v>
      </c>
      <c r="H281" s="971" t="s">
        <v>621</v>
      </c>
      <c r="I281" s="1273" t="s">
        <v>662</v>
      </c>
      <c r="J281" s="971" t="s">
        <v>177</v>
      </c>
      <c r="K281" s="971" t="s">
        <v>188</v>
      </c>
      <c r="L281" s="971" t="s">
        <v>2841</v>
      </c>
      <c r="M281" s="971" t="s">
        <v>188</v>
      </c>
      <c r="N281" s="971" t="s">
        <v>179</v>
      </c>
      <c r="O281" s="971" t="s">
        <v>189</v>
      </c>
      <c r="P281" s="971"/>
      <c r="Q281" s="971" t="s">
        <v>663</v>
      </c>
      <c r="R281" s="1266" t="s">
        <v>664</v>
      </c>
      <c r="S281" s="2106">
        <v>1</v>
      </c>
      <c r="T281" s="1266" t="s">
        <v>242</v>
      </c>
      <c r="U281" s="1742">
        <v>15.5</v>
      </c>
      <c r="V281" s="1742">
        <v>162.5</v>
      </c>
      <c r="W281" s="1742">
        <v>1366.17</v>
      </c>
      <c r="X281" s="1742">
        <v>1792.3100000000002</v>
      </c>
      <c r="Y281" s="2106">
        <v>3320.98</v>
      </c>
      <c r="Z281" s="2106">
        <v>15.5</v>
      </c>
      <c r="AA281" s="2106">
        <v>162.5</v>
      </c>
      <c r="AB281" s="2106">
        <v>1366.17</v>
      </c>
      <c r="AC281" s="2106">
        <v>1792.3100000000002</v>
      </c>
      <c r="AD281" s="1744">
        <v>3320.9800000000005</v>
      </c>
      <c r="AE281" s="2126">
        <v>20</v>
      </c>
      <c r="AF281" s="2126">
        <v>20</v>
      </c>
      <c r="AG281" s="1212">
        <v>1</v>
      </c>
      <c r="AH281" s="1212">
        <v>0</v>
      </c>
      <c r="AI281" s="1212">
        <v>0</v>
      </c>
      <c r="AJ281" s="1212">
        <v>1</v>
      </c>
      <c r="AK281" s="2126">
        <v>3320.9800000000005</v>
      </c>
      <c r="AL281" s="2126">
        <v>0</v>
      </c>
      <c r="AM281" s="2126">
        <v>0</v>
      </c>
      <c r="AN281" s="2126">
        <v>3320.9800000000005</v>
      </c>
      <c r="AO281" s="1743" t="s">
        <v>131</v>
      </c>
      <c r="AP281" s="1743"/>
      <c r="AQ281" s="1764">
        <v>2014</v>
      </c>
      <c r="AR281" s="1743" t="s">
        <v>87</v>
      </c>
      <c r="AS281" s="2135"/>
      <c r="AT281" s="2135"/>
      <c r="AU281" s="1212">
        <v>0.5</v>
      </c>
      <c r="AV281" s="1212">
        <v>0.5</v>
      </c>
      <c r="AW281" s="1212"/>
      <c r="AX281" s="1212"/>
      <c r="AY281" s="1212"/>
      <c r="AZ281" s="1212"/>
      <c r="BA281" s="1212"/>
      <c r="BB281" s="1212"/>
      <c r="BC281" s="1212"/>
      <c r="BD281" s="1212"/>
      <c r="BE281" s="1212"/>
      <c r="BF281" s="2126">
        <v>0</v>
      </c>
      <c r="BG281" s="2126">
        <v>0</v>
      </c>
      <c r="BH281" s="2126">
        <v>1660.4900000000002</v>
      </c>
      <c r="BI281" s="2126">
        <v>1660.4900000000002</v>
      </c>
      <c r="BJ281" s="2126">
        <v>0</v>
      </c>
      <c r="BK281" s="2126">
        <v>0</v>
      </c>
      <c r="BL281" s="2126">
        <v>0</v>
      </c>
      <c r="BM281" s="2126">
        <v>0</v>
      </c>
      <c r="BN281" s="2126">
        <v>0</v>
      </c>
      <c r="BO281" s="2126">
        <v>0</v>
      </c>
      <c r="BP281" s="2126">
        <v>0</v>
      </c>
      <c r="BQ281" s="2126">
        <v>0</v>
      </c>
      <c r="BR281" s="2126">
        <v>0</v>
      </c>
    </row>
    <row r="282" spans="1:70" s="1765" customFormat="1" ht="49.5">
      <c r="A282" s="1272">
        <v>2000</v>
      </c>
      <c r="B282" s="971" t="s">
        <v>119</v>
      </c>
      <c r="C282" s="1272">
        <v>2500</v>
      </c>
      <c r="D282" s="971" t="s">
        <v>452</v>
      </c>
      <c r="E282" s="971" t="s">
        <v>604</v>
      </c>
      <c r="F282" s="971" t="s">
        <v>605</v>
      </c>
      <c r="G282" s="971" t="s">
        <v>643</v>
      </c>
      <c r="H282" s="971" t="s">
        <v>621</v>
      </c>
      <c r="I282" s="1273" t="s">
        <v>665</v>
      </c>
      <c r="J282" s="971" t="s">
        <v>177</v>
      </c>
      <c r="K282" s="971" t="s">
        <v>188</v>
      </c>
      <c r="L282" s="971" t="s">
        <v>2841</v>
      </c>
      <c r="M282" s="971" t="s">
        <v>188</v>
      </c>
      <c r="N282" s="971" t="s">
        <v>179</v>
      </c>
      <c r="O282" s="971" t="s">
        <v>189</v>
      </c>
      <c r="P282" s="971"/>
      <c r="Q282" s="971" t="s">
        <v>666</v>
      </c>
      <c r="R282" s="1266" t="s">
        <v>667</v>
      </c>
      <c r="S282" s="2106">
        <v>1</v>
      </c>
      <c r="T282" s="1266" t="s">
        <v>242</v>
      </c>
      <c r="U282" s="1742">
        <v>15.5</v>
      </c>
      <c r="V282" s="1742">
        <v>162.5</v>
      </c>
      <c r="W282" s="1742">
        <v>1366.17</v>
      </c>
      <c r="X282" s="1742">
        <v>1792.3100000000002</v>
      </c>
      <c r="Y282" s="2106">
        <v>3320.98</v>
      </c>
      <c r="Z282" s="2106">
        <v>15.5</v>
      </c>
      <c r="AA282" s="2106">
        <v>162.5</v>
      </c>
      <c r="AB282" s="2106">
        <v>1366.17</v>
      </c>
      <c r="AC282" s="2106">
        <v>1792.3100000000002</v>
      </c>
      <c r="AD282" s="1744">
        <v>3320.9800000000005</v>
      </c>
      <c r="AE282" s="2126">
        <v>20</v>
      </c>
      <c r="AF282" s="2126">
        <v>20</v>
      </c>
      <c r="AG282" s="1212">
        <v>1</v>
      </c>
      <c r="AH282" s="1212">
        <v>0</v>
      </c>
      <c r="AI282" s="1212">
        <v>0</v>
      </c>
      <c r="AJ282" s="1212">
        <v>1</v>
      </c>
      <c r="AK282" s="2126">
        <v>3320.9800000000005</v>
      </c>
      <c r="AL282" s="2126">
        <v>0</v>
      </c>
      <c r="AM282" s="2126">
        <v>0</v>
      </c>
      <c r="AN282" s="2126">
        <v>3320.9800000000005</v>
      </c>
      <c r="AO282" s="1743" t="s">
        <v>131</v>
      </c>
      <c r="AP282" s="1743"/>
      <c r="AQ282" s="1764">
        <v>2014</v>
      </c>
      <c r="AR282" s="1743" t="s">
        <v>87</v>
      </c>
      <c r="AS282" s="2135"/>
      <c r="AT282" s="2135"/>
      <c r="AU282" s="1212">
        <v>0.5</v>
      </c>
      <c r="AV282" s="1212">
        <v>0.5</v>
      </c>
      <c r="AW282" s="1212"/>
      <c r="AX282" s="1212"/>
      <c r="AY282" s="1212"/>
      <c r="AZ282" s="1212"/>
      <c r="BA282" s="1212"/>
      <c r="BB282" s="1212"/>
      <c r="BC282" s="1212"/>
      <c r="BD282" s="1212"/>
      <c r="BE282" s="1212"/>
      <c r="BF282" s="2126">
        <v>0</v>
      </c>
      <c r="BG282" s="2126">
        <v>0</v>
      </c>
      <c r="BH282" s="2126">
        <v>1660.4900000000002</v>
      </c>
      <c r="BI282" s="2126">
        <v>1660.4900000000002</v>
      </c>
      <c r="BJ282" s="2126">
        <v>0</v>
      </c>
      <c r="BK282" s="2126">
        <v>0</v>
      </c>
      <c r="BL282" s="2126">
        <v>0</v>
      </c>
      <c r="BM282" s="2126">
        <v>0</v>
      </c>
      <c r="BN282" s="2126">
        <v>0</v>
      </c>
      <c r="BO282" s="2126">
        <v>0</v>
      </c>
      <c r="BP282" s="2126">
        <v>0</v>
      </c>
      <c r="BQ282" s="2126">
        <v>0</v>
      </c>
      <c r="BR282" s="2126">
        <v>0</v>
      </c>
    </row>
    <row r="283" spans="1:70" s="1765" customFormat="1" ht="33">
      <c r="A283" s="1272">
        <v>2000</v>
      </c>
      <c r="B283" s="971" t="s">
        <v>119</v>
      </c>
      <c r="C283" s="1272">
        <v>2500</v>
      </c>
      <c r="D283" s="971" t="s">
        <v>452</v>
      </c>
      <c r="E283" s="971" t="s">
        <v>604</v>
      </c>
      <c r="F283" s="971" t="s">
        <v>605</v>
      </c>
      <c r="G283" s="971" t="s">
        <v>620</v>
      </c>
      <c r="H283" s="971" t="s">
        <v>621</v>
      </c>
      <c r="I283" s="1273" t="s">
        <v>668</v>
      </c>
      <c r="J283" s="971" t="s">
        <v>124</v>
      </c>
      <c r="K283" s="971"/>
      <c r="L283" s="971" t="e">
        <v>#N/A</v>
      </c>
      <c r="M283" s="971" t="s">
        <v>145</v>
      </c>
      <c r="N283" s="971" t="s">
        <v>141</v>
      </c>
      <c r="O283" s="971" t="s">
        <v>146</v>
      </c>
      <c r="P283" s="971"/>
      <c r="Q283" s="971" t="s">
        <v>669</v>
      </c>
      <c r="R283" s="1266" t="s">
        <v>650</v>
      </c>
      <c r="S283" s="2106">
        <v>35.687732342007436</v>
      </c>
      <c r="T283" s="1266" t="s">
        <v>136</v>
      </c>
      <c r="U283" s="1742" t="s">
        <v>6588</v>
      </c>
      <c r="V283" s="1742" t="s">
        <v>6588</v>
      </c>
      <c r="W283" s="1742" t="s">
        <v>6588</v>
      </c>
      <c r="X283" s="1742" t="s">
        <v>6588</v>
      </c>
      <c r="Y283" s="2106" t="s">
        <v>6588</v>
      </c>
      <c r="Z283" s="2106">
        <v>0</v>
      </c>
      <c r="AA283" s="2106">
        <v>0</v>
      </c>
      <c r="AB283" s="2106">
        <v>0</v>
      </c>
      <c r="AC283" s="2106">
        <v>0</v>
      </c>
      <c r="AD283" s="1744">
        <v>0</v>
      </c>
      <c r="AE283" s="2126">
        <v>0</v>
      </c>
      <c r="AF283" s="2126">
        <v>0</v>
      </c>
      <c r="AG283" s="1212">
        <v>1</v>
      </c>
      <c r="AH283" s="1212">
        <v>0</v>
      </c>
      <c r="AI283" s="1212">
        <v>0</v>
      </c>
      <c r="AJ283" s="1212">
        <v>1</v>
      </c>
      <c r="AK283" s="2126">
        <v>0</v>
      </c>
      <c r="AL283" s="2126">
        <v>0</v>
      </c>
      <c r="AM283" s="2126">
        <v>0</v>
      </c>
      <c r="AN283" s="2126">
        <v>0</v>
      </c>
      <c r="AO283" s="1743" t="s">
        <v>131</v>
      </c>
      <c r="AP283" s="1743"/>
      <c r="AQ283" s="1764">
        <v>2014</v>
      </c>
      <c r="AR283" s="1743" t="s">
        <v>87</v>
      </c>
      <c r="AS283" s="2135"/>
      <c r="AT283" s="2135"/>
      <c r="AU283" s="1212">
        <v>0.33333333333333331</v>
      </c>
      <c r="AV283" s="1212">
        <v>0.33333333333333331</v>
      </c>
      <c r="AW283" s="1212">
        <v>0.33333333333333331</v>
      </c>
      <c r="AX283" s="1212"/>
      <c r="AY283" s="1212"/>
      <c r="AZ283" s="1212"/>
      <c r="BA283" s="1212"/>
      <c r="BB283" s="1212"/>
      <c r="BC283" s="1212"/>
      <c r="BD283" s="1212"/>
      <c r="BE283" s="1212"/>
      <c r="BF283" s="2126">
        <v>0</v>
      </c>
      <c r="BG283" s="2126">
        <v>0</v>
      </c>
      <c r="BH283" s="2126">
        <v>0</v>
      </c>
      <c r="BI283" s="2126">
        <v>0</v>
      </c>
      <c r="BJ283" s="2126">
        <v>0</v>
      </c>
      <c r="BK283" s="2126">
        <v>0</v>
      </c>
      <c r="BL283" s="2126">
        <v>0</v>
      </c>
      <c r="BM283" s="2126">
        <v>0</v>
      </c>
      <c r="BN283" s="2126">
        <v>0</v>
      </c>
      <c r="BO283" s="2126">
        <v>0</v>
      </c>
      <c r="BP283" s="2126">
        <v>0</v>
      </c>
      <c r="BQ283" s="2126">
        <v>0</v>
      </c>
      <c r="BR283" s="2126">
        <v>0</v>
      </c>
    </row>
    <row r="284" spans="1:70" s="1765" customFormat="1" ht="33">
      <c r="A284" s="1272">
        <v>2000</v>
      </c>
      <c r="B284" s="971" t="s">
        <v>119</v>
      </c>
      <c r="C284" s="1272">
        <v>2500</v>
      </c>
      <c r="D284" s="971" t="s">
        <v>452</v>
      </c>
      <c r="E284" s="971" t="s">
        <v>604</v>
      </c>
      <c r="F284" s="971" t="s">
        <v>605</v>
      </c>
      <c r="G284" s="971" t="s">
        <v>620</v>
      </c>
      <c r="H284" s="971" t="s">
        <v>621</v>
      </c>
      <c r="I284" s="1273" t="s">
        <v>670</v>
      </c>
      <c r="J284" s="971" t="s">
        <v>124</v>
      </c>
      <c r="K284" s="971"/>
      <c r="L284" s="971" t="e">
        <v>#N/A</v>
      </c>
      <c r="M284" s="971" t="s">
        <v>145</v>
      </c>
      <c r="N284" s="971" t="s">
        <v>141</v>
      </c>
      <c r="O284" s="971" t="s">
        <v>146</v>
      </c>
      <c r="P284" s="971"/>
      <c r="Q284" s="971" t="s">
        <v>671</v>
      </c>
      <c r="R284" s="1266" t="s">
        <v>629</v>
      </c>
      <c r="S284" s="2106">
        <v>267.65799256505579</v>
      </c>
      <c r="T284" s="1266" t="s">
        <v>136</v>
      </c>
      <c r="U284" s="1742" t="s">
        <v>6588</v>
      </c>
      <c r="V284" s="1742" t="s">
        <v>6588</v>
      </c>
      <c r="W284" s="1742" t="s">
        <v>6588</v>
      </c>
      <c r="X284" s="1742" t="s">
        <v>6588</v>
      </c>
      <c r="Y284" s="2106" t="s">
        <v>6588</v>
      </c>
      <c r="Z284" s="2106">
        <v>0</v>
      </c>
      <c r="AA284" s="2106">
        <v>0</v>
      </c>
      <c r="AB284" s="2106">
        <v>0</v>
      </c>
      <c r="AC284" s="2106">
        <v>0</v>
      </c>
      <c r="AD284" s="1744">
        <v>0</v>
      </c>
      <c r="AE284" s="2126">
        <v>0</v>
      </c>
      <c r="AF284" s="2126">
        <v>0</v>
      </c>
      <c r="AG284" s="1212">
        <v>1</v>
      </c>
      <c r="AH284" s="1212">
        <v>0</v>
      </c>
      <c r="AI284" s="1212">
        <v>0</v>
      </c>
      <c r="AJ284" s="1212">
        <v>1</v>
      </c>
      <c r="AK284" s="2126">
        <v>0</v>
      </c>
      <c r="AL284" s="2126">
        <v>0</v>
      </c>
      <c r="AM284" s="2126">
        <v>0</v>
      </c>
      <c r="AN284" s="2126">
        <v>0</v>
      </c>
      <c r="AO284" s="1743" t="s">
        <v>131</v>
      </c>
      <c r="AP284" s="1743"/>
      <c r="AQ284" s="1764">
        <v>2014</v>
      </c>
      <c r="AR284" s="1743" t="s">
        <v>87</v>
      </c>
      <c r="AS284" s="2135"/>
      <c r="AT284" s="2135"/>
      <c r="AU284" s="1212">
        <v>0.33333333333333331</v>
      </c>
      <c r="AV284" s="1212">
        <v>0.33333333333333331</v>
      </c>
      <c r="AW284" s="1212">
        <v>0.33333333333333331</v>
      </c>
      <c r="AX284" s="1212"/>
      <c r="AY284" s="1212"/>
      <c r="AZ284" s="1212"/>
      <c r="BA284" s="1212"/>
      <c r="BB284" s="1212"/>
      <c r="BC284" s="1212"/>
      <c r="BD284" s="1212"/>
      <c r="BE284" s="1212"/>
      <c r="BF284" s="2126">
        <v>0</v>
      </c>
      <c r="BG284" s="2126">
        <v>0</v>
      </c>
      <c r="BH284" s="2126">
        <v>0</v>
      </c>
      <c r="BI284" s="2126">
        <v>0</v>
      </c>
      <c r="BJ284" s="2126">
        <v>0</v>
      </c>
      <c r="BK284" s="2126">
        <v>0</v>
      </c>
      <c r="BL284" s="2126">
        <v>0</v>
      </c>
      <c r="BM284" s="2126">
        <v>0</v>
      </c>
      <c r="BN284" s="2126">
        <v>0</v>
      </c>
      <c r="BO284" s="2126">
        <v>0</v>
      </c>
      <c r="BP284" s="2126">
        <v>0</v>
      </c>
      <c r="BQ284" s="2126">
        <v>0</v>
      </c>
      <c r="BR284" s="2126">
        <v>0</v>
      </c>
    </row>
    <row r="285" spans="1:70" s="1765" customFormat="1" ht="49.5">
      <c r="A285" s="1272">
        <v>2000</v>
      </c>
      <c r="B285" s="971" t="s">
        <v>119</v>
      </c>
      <c r="C285" s="1272">
        <v>2500</v>
      </c>
      <c r="D285" s="971" t="s">
        <v>452</v>
      </c>
      <c r="E285" s="971" t="s">
        <v>604</v>
      </c>
      <c r="F285" s="971" t="s">
        <v>605</v>
      </c>
      <c r="G285" s="971">
        <v>2521</v>
      </c>
      <c r="H285" s="971" t="s">
        <v>621</v>
      </c>
      <c r="I285" s="1273"/>
      <c r="J285" s="971" t="s">
        <v>121</v>
      </c>
      <c r="K285" s="971" t="s">
        <v>255</v>
      </c>
      <c r="L285" s="971" t="s">
        <v>2802</v>
      </c>
      <c r="M285" s="971" t="s">
        <v>255</v>
      </c>
      <c r="N285" s="971" t="s">
        <v>83</v>
      </c>
      <c r="O285" s="971" t="s">
        <v>256</v>
      </c>
      <c r="P285" s="971"/>
      <c r="Q285" s="971" t="s">
        <v>672</v>
      </c>
      <c r="R285" s="1266"/>
      <c r="S285" s="2106">
        <v>1670</v>
      </c>
      <c r="T285" s="1266" t="s">
        <v>136</v>
      </c>
      <c r="U285" s="1742">
        <v>4.4491883296460179E-2</v>
      </c>
      <c r="V285" s="1742">
        <v>0.1701</v>
      </c>
      <c r="W285" s="1742">
        <v>3.92151459375</v>
      </c>
      <c r="X285" s="1742">
        <v>0.68180304577546291</v>
      </c>
      <c r="Y285" s="2106">
        <v>4.7480795457754628</v>
      </c>
      <c r="Z285" s="2106">
        <v>74.301445105088504</v>
      </c>
      <c r="AA285" s="2106">
        <v>284.06700000000001</v>
      </c>
      <c r="AB285" s="2106">
        <v>6548.9293715624999</v>
      </c>
      <c r="AC285" s="2106">
        <v>1138.6110864450231</v>
      </c>
      <c r="AD285" s="1744">
        <v>7929.2928414450225</v>
      </c>
      <c r="AE285" s="2126">
        <v>0</v>
      </c>
      <c r="AF285" s="2126">
        <v>0</v>
      </c>
      <c r="AG285" s="1212">
        <v>1</v>
      </c>
      <c r="AH285" s="1212">
        <v>0</v>
      </c>
      <c r="AI285" s="1212">
        <v>0</v>
      </c>
      <c r="AJ285" s="1212">
        <v>1</v>
      </c>
      <c r="AK285" s="2126">
        <v>7929.2928414450225</v>
      </c>
      <c r="AL285" s="2126">
        <v>0</v>
      </c>
      <c r="AM285" s="2126">
        <v>0</v>
      </c>
      <c r="AN285" s="2126">
        <v>7929.2928414450225</v>
      </c>
      <c r="AO285" s="1743" t="s">
        <v>85</v>
      </c>
      <c r="AP285" s="1743" t="s">
        <v>96</v>
      </c>
      <c r="AQ285" s="1764" t="s">
        <v>107</v>
      </c>
      <c r="AR285" s="1743" t="s">
        <v>87</v>
      </c>
      <c r="AS285" s="2135"/>
      <c r="AT285" s="2135"/>
      <c r="AU285" s="1212">
        <v>0.33333333333333331</v>
      </c>
      <c r="AV285" s="1212">
        <v>0.33333333333333331</v>
      </c>
      <c r="AW285" s="1212">
        <v>0.33333333333333331</v>
      </c>
      <c r="AX285" s="1212"/>
      <c r="AY285" s="1212"/>
      <c r="AZ285" s="1212"/>
      <c r="BA285" s="1212"/>
      <c r="BB285" s="1212"/>
      <c r="BC285" s="1212"/>
      <c r="BD285" s="1212"/>
      <c r="BE285" s="1212"/>
      <c r="BF285" s="2126">
        <v>0</v>
      </c>
      <c r="BG285" s="2126">
        <v>0</v>
      </c>
      <c r="BH285" s="2126">
        <v>2643.0976138150072</v>
      </c>
      <c r="BI285" s="2126">
        <v>2643.0976138150072</v>
      </c>
      <c r="BJ285" s="2126">
        <v>2643.0976138150072</v>
      </c>
      <c r="BK285" s="2126">
        <v>0</v>
      </c>
      <c r="BL285" s="2126">
        <v>0</v>
      </c>
      <c r="BM285" s="2126">
        <v>0</v>
      </c>
      <c r="BN285" s="2126">
        <v>0</v>
      </c>
      <c r="BO285" s="2126">
        <v>0</v>
      </c>
      <c r="BP285" s="2126">
        <v>0</v>
      </c>
      <c r="BQ285" s="2126">
        <v>0</v>
      </c>
      <c r="BR285" s="2126">
        <v>0</v>
      </c>
    </row>
    <row r="286" spans="1:70" s="1765" customFormat="1" ht="66">
      <c r="A286" s="1272">
        <v>2000</v>
      </c>
      <c r="B286" s="971" t="s">
        <v>119</v>
      </c>
      <c r="C286" s="1272">
        <v>2500</v>
      </c>
      <c r="D286" s="971" t="s">
        <v>452</v>
      </c>
      <c r="E286" s="971" t="s">
        <v>604</v>
      </c>
      <c r="F286" s="971" t="s">
        <v>605</v>
      </c>
      <c r="G286" s="971">
        <v>2521</v>
      </c>
      <c r="H286" s="971" t="s">
        <v>621</v>
      </c>
      <c r="I286" s="1273" t="s">
        <v>490</v>
      </c>
      <c r="J286" s="971" t="s">
        <v>124</v>
      </c>
      <c r="K286" s="971" t="s">
        <v>1747</v>
      </c>
      <c r="L286" s="971" t="s">
        <v>6606</v>
      </c>
      <c r="M286" s="971" t="s">
        <v>606</v>
      </c>
      <c r="N286" s="971" t="s">
        <v>488</v>
      </c>
      <c r="O286" s="971" t="s">
        <v>518</v>
      </c>
      <c r="P286" s="971"/>
      <c r="Q286" s="971" t="s">
        <v>673</v>
      </c>
      <c r="R286" s="1266" t="s">
        <v>674</v>
      </c>
      <c r="S286" s="2106">
        <v>0</v>
      </c>
      <c r="T286" s="1266" t="s">
        <v>136</v>
      </c>
      <c r="U286" s="1742">
        <v>0.56041666666666667</v>
      </c>
      <c r="V286" s="1742">
        <v>1.9614583333333333</v>
      </c>
      <c r="W286" s="1742">
        <v>49.395125</v>
      </c>
      <c r="X286" s="1742">
        <v>77.264645833333333</v>
      </c>
      <c r="Y286" s="2106">
        <v>128.62122916666667</v>
      </c>
      <c r="Z286" s="2106">
        <v>0</v>
      </c>
      <c r="AA286" s="2106">
        <v>0</v>
      </c>
      <c r="AB286" s="2106">
        <v>0</v>
      </c>
      <c r="AC286" s="2106">
        <v>0</v>
      </c>
      <c r="AD286" s="1744">
        <v>0</v>
      </c>
      <c r="AE286" s="2126">
        <v>1</v>
      </c>
      <c r="AF286" s="2126">
        <v>0</v>
      </c>
      <c r="AG286" s="1212">
        <v>1</v>
      </c>
      <c r="AH286" s="1212">
        <v>0</v>
      </c>
      <c r="AI286" s="1212">
        <v>0</v>
      </c>
      <c r="AJ286" s="1212">
        <v>1</v>
      </c>
      <c r="AK286" s="2126">
        <v>0</v>
      </c>
      <c r="AL286" s="2126">
        <v>0</v>
      </c>
      <c r="AM286" s="2126">
        <v>0</v>
      </c>
      <c r="AN286" s="2126">
        <v>0</v>
      </c>
      <c r="AO286" s="1743" t="s">
        <v>85</v>
      </c>
      <c r="AP286" s="1743" t="s">
        <v>96</v>
      </c>
      <c r="AQ286" s="1764" t="s">
        <v>107</v>
      </c>
      <c r="AR286" s="1743" t="s">
        <v>87</v>
      </c>
      <c r="AS286" s="2135"/>
      <c r="AT286" s="2135"/>
      <c r="AU286" s="1212">
        <v>0.33333333333333331</v>
      </c>
      <c r="AV286" s="1212">
        <v>0.33333333333333331</v>
      </c>
      <c r="AW286" s="1212">
        <v>0.33333333333333331</v>
      </c>
      <c r="AX286" s="1212"/>
      <c r="AY286" s="1212"/>
      <c r="AZ286" s="1212"/>
      <c r="BA286" s="1212"/>
      <c r="BB286" s="1212"/>
      <c r="BC286" s="1212"/>
      <c r="BD286" s="1212"/>
      <c r="BE286" s="1212"/>
      <c r="BF286" s="2126">
        <v>0</v>
      </c>
      <c r="BG286" s="2126">
        <v>0</v>
      </c>
      <c r="BH286" s="2126">
        <v>0</v>
      </c>
      <c r="BI286" s="2126">
        <v>0</v>
      </c>
      <c r="BJ286" s="2126">
        <v>0</v>
      </c>
      <c r="BK286" s="2126">
        <v>0</v>
      </c>
      <c r="BL286" s="2126">
        <v>0</v>
      </c>
      <c r="BM286" s="2126">
        <v>0</v>
      </c>
      <c r="BN286" s="2126">
        <v>0</v>
      </c>
      <c r="BO286" s="2126">
        <v>0</v>
      </c>
      <c r="BP286" s="2126">
        <v>0</v>
      </c>
      <c r="BQ286" s="2126">
        <v>0</v>
      </c>
      <c r="BR286" s="2126">
        <v>0</v>
      </c>
    </row>
    <row r="287" spans="1:70" s="1765" customFormat="1" ht="49.5">
      <c r="A287" s="1272">
        <v>2000</v>
      </c>
      <c r="B287" s="971" t="s">
        <v>119</v>
      </c>
      <c r="C287" s="1272">
        <v>2500</v>
      </c>
      <c r="D287" s="971" t="s">
        <v>452</v>
      </c>
      <c r="E287" s="971" t="s">
        <v>604</v>
      </c>
      <c r="F287" s="971" t="s">
        <v>605</v>
      </c>
      <c r="G287" s="971">
        <v>2521</v>
      </c>
      <c r="H287" s="971" t="s">
        <v>621</v>
      </c>
      <c r="I287" s="1273" t="s">
        <v>490</v>
      </c>
      <c r="J287" s="971" t="s">
        <v>124</v>
      </c>
      <c r="K287" s="971" t="s">
        <v>523</v>
      </c>
      <c r="L287" s="971" t="s">
        <v>6607</v>
      </c>
      <c r="M287" s="971" t="s">
        <v>523</v>
      </c>
      <c r="N287" s="971" t="s">
        <v>141</v>
      </c>
      <c r="O287" s="971" t="s">
        <v>524</v>
      </c>
      <c r="P287" s="971"/>
      <c r="Q287" s="971" t="s">
        <v>675</v>
      </c>
      <c r="R287" s="1266" t="s">
        <v>674</v>
      </c>
      <c r="S287" s="2106">
        <v>0</v>
      </c>
      <c r="T287" s="1266" t="s">
        <v>136</v>
      </c>
      <c r="U287" s="1742">
        <v>0.14520631503408685</v>
      </c>
      <c r="V287" s="1742">
        <v>1.8150789379260854</v>
      </c>
      <c r="W287" s="1742">
        <v>12.798484607104415</v>
      </c>
      <c r="X287" s="1742">
        <v>20.019594653749554</v>
      </c>
      <c r="Y287" s="2106">
        <v>34.633158198780052</v>
      </c>
      <c r="Z287" s="2106">
        <v>0</v>
      </c>
      <c r="AA287" s="2106">
        <v>0</v>
      </c>
      <c r="AB287" s="2106">
        <v>0</v>
      </c>
      <c r="AC287" s="2106">
        <v>0</v>
      </c>
      <c r="AD287" s="1744">
        <v>0</v>
      </c>
      <c r="AE287" s="2126">
        <v>0.75</v>
      </c>
      <c r="AF287" s="2126">
        <v>0</v>
      </c>
      <c r="AG287" s="1212">
        <v>1</v>
      </c>
      <c r="AH287" s="1212">
        <v>0</v>
      </c>
      <c r="AI287" s="1212">
        <v>0</v>
      </c>
      <c r="AJ287" s="1212">
        <v>1</v>
      </c>
      <c r="AK287" s="2126">
        <v>0</v>
      </c>
      <c r="AL287" s="2126">
        <v>0</v>
      </c>
      <c r="AM287" s="2126">
        <v>0</v>
      </c>
      <c r="AN287" s="2126">
        <v>0</v>
      </c>
      <c r="AO287" s="1743" t="s">
        <v>85</v>
      </c>
      <c r="AP287" s="1743" t="s">
        <v>96</v>
      </c>
      <c r="AQ287" s="1764" t="s">
        <v>107</v>
      </c>
      <c r="AR287" s="1743" t="s">
        <v>87</v>
      </c>
      <c r="AS287" s="2135"/>
      <c r="AT287" s="2135"/>
      <c r="AU287" s="1212">
        <v>0.33333333333333331</v>
      </c>
      <c r="AV287" s="1212">
        <v>0.33333333333333331</v>
      </c>
      <c r="AW287" s="1212">
        <v>0.33333333333333331</v>
      </c>
      <c r="AX287" s="1212"/>
      <c r="AY287" s="1212"/>
      <c r="AZ287" s="1212"/>
      <c r="BA287" s="1212"/>
      <c r="BB287" s="1212"/>
      <c r="BC287" s="1212"/>
      <c r="BD287" s="1212"/>
      <c r="BE287" s="1212"/>
      <c r="BF287" s="2126">
        <v>0</v>
      </c>
      <c r="BG287" s="2126">
        <v>0</v>
      </c>
      <c r="BH287" s="2126">
        <v>0</v>
      </c>
      <c r="BI287" s="2126">
        <v>0</v>
      </c>
      <c r="BJ287" s="2126">
        <v>0</v>
      </c>
      <c r="BK287" s="2126">
        <v>0</v>
      </c>
      <c r="BL287" s="2126">
        <v>0</v>
      </c>
      <c r="BM287" s="2126">
        <v>0</v>
      </c>
      <c r="BN287" s="2126">
        <v>0</v>
      </c>
      <c r="BO287" s="2126">
        <v>0</v>
      </c>
      <c r="BP287" s="2126">
        <v>0</v>
      </c>
      <c r="BQ287" s="2126">
        <v>0</v>
      </c>
      <c r="BR287" s="2126">
        <v>0</v>
      </c>
    </row>
    <row r="288" spans="1:70" s="1765" customFormat="1" ht="49.5">
      <c r="A288" s="1272">
        <v>2000</v>
      </c>
      <c r="B288" s="971" t="s">
        <v>119</v>
      </c>
      <c r="C288" s="1272">
        <v>2500</v>
      </c>
      <c r="D288" s="971" t="s">
        <v>452</v>
      </c>
      <c r="E288" s="971" t="s">
        <v>604</v>
      </c>
      <c r="F288" s="971" t="s">
        <v>605</v>
      </c>
      <c r="G288" s="971">
        <v>2521</v>
      </c>
      <c r="H288" s="971" t="s">
        <v>621</v>
      </c>
      <c r="I288" s="1273" t="s">
        <v>490</v>
      </c>
      <c r="J288" s="971" t="s">
        <v>124</v>
      </c>
      <c r="K288" s="971" t="s">
        <v>506</v>
      </c>
      <c r="L288" s="971" t="s">
        <v>6608</v>
      </c>
      <c r="M288" s="971" t="s">
        <v>506</v>
      </c>
      <c r="N288" s="971" t="s">
        <v>141</v>
      </c>
      <c r="O288" s="971" t="s">
        <v>507</v>
      </c>
      <c r="P288" s="971"/>
      <c r="Q288" s="971" t="s">
        <v>676</v>
      </c>
      <c r="R288" s="1266" t="s">
        <v>674</v>
      </c>
      <c r="S288" s="2106">
        <v>0</v>
      </c>
      <c r="T288" s="1266" t="s">
        <v>136</v>
      </c>
      <c r="U288" s="1742">
        <v>0.125</v>
      </c>
      <c r="V288" s="1742">
        <v>1.875</v>
      </c>
      <c r="W288" s="1742">
        <v>11.0175</v>
      </c>
      <c r="X288" s="1742">
        <v>18.75</v>
      </c>
      <c r="Y288" s="2106">
        <v>31.642499999999998</v>
      </c>
      <c r="Z288" s="2106">
        <v>0</v>
      </c>
      <c r="AA288" s="2106">
        <v>0</v>
      </c>
      <c r="AB288" s="2106">
        <v>0</v>
      </c>
      <c r="AC288" s="2106">
        <v>0</v>
      </c>
      <c r="AD288" s="1744">
        <v>0</v>
      </c>
      <c r="AE288" s="2126">
        <v>0</v>
      </c>
      <c r="AF288" s="2126">
        <v>0</v>
      </c>
      <c r="AG288" s="1212">
        <v>1</v>
      </c>
      <c r="AH288" s="1212">
        <v>0</v>
      </c>
      <c r="AI288" s="1212">
        <v>0</v>
      </c>
      <c r="AJ288" s="1212">
        <v>1</v>
      </c>
      <c r="AK288" s="2126">
        <v>0</v>
      </c>
      <c r="AL288" s="2126">
        <v>0</v>
      </c>
      <c r="AM288" s="2126">
        <v>0</v>
      </c>
      <c r="AN288" s="2126">
        <v>0</v>
      </c>
      <c r="AO288" s="1743" t="s">
        <v>85</v>
      </c>
      <c r="AP288" s="1743" t="s">
        <v>96</v>
      </c>
      <c r="AQ288" s="1764" t="s">
        <v>107</v>
      </c>
      <c r="AR288" s="1743" t="s">
        <v>87</v>
      </c>
      <c r="AS288" s="2135"/>
      <c r="AT288" s="2135"/>
      <c r="AU288" s="1212">
        <v>0.33333333333333331</v>
      </c>
      <c r="AV288" s="1212">
        <v>0.33333333333333331</v>
      </c>
      <c r="AW288" s="1212">
        <v>0.33333333333333331</v>
      </c>
      <c r="AX288" s="1212"/>
      <c r="AY288" s="1212"/>
      <c r="AZ288" s="1212"/>
      <c r="BA288" s="1212"/>
      <c r="BB288" s="1212"/>
      <c r="BC288" s="1212"/>
      <c r="BD288" s="1212"/>
      <c r="BE288" s="1212"/>
      <c r="BF288" s="2126">
        <v>0</v>
      </c>
      <c r="BG288" s="2126">
        <v>0</v>
      </c>
      <c r="BH288" s="2126">
        <v>0</v>
      </c>
      <c r="BI288" s="2126">
        <v>0</v>
      </c>
      <c r="BJ288" s="2126">
        <v>0</v>
      </c>
      <c r="BK288" s="2126">
        <v>0</v>
      </c>
      <c r="BL288" s="2126">
        <v>0</v>
      </c>
      <c r="BM288" s="2126">
        <v>0</v>
      </c>
      <c r="BN288" s="2126">
        <v>0</v>
      </c>
      <c r="BO288" s="2126">
        <v>0</v>
      </c>
      <c r="BP288" s="2126">
        <v>0</v>
      </c>
      <c r="BQ288" s="2126">
        <v>0</v>
      </c>
      <c r="BR288" s="2126">
        <v>0</v>
      </c>
    </row>
    <row r="289" spans="1:70" s="1765" customFormat="1" ht="49.5">
      <c r="A289" s="1272">
        <v>2000</v>
      </c>
      <c r="B289" s="971" t="s">
        <v>119</v>
      </c>
      <c r="C289" s="1272">
        <v>2500</v>
      </c>
      <c r="D289" s="971" t="s">
        <v>452</v>
      </c>
      <c r="E289" s="971" t="s">
        <v>604</v>
      </c>
      <c r="F289" s="971" t="s">
        <v>605</v>
      </c>
      <c r="G289" s="971">
        <v>2521</v>
      </c>
      <c r="H289" s="971" t="s">
        <v>621</v>
      </c>
      <c r="I289" s="1273" t="s">
        <v>495</v>
      </c>
      <c r="J289" s="971" t="s">
        <v>124</v>
      </c>
      <c r="K289" s="971" t="s">
        <v>523</v>
      </c>
      <c r="L289" s="971" t="s">
        <v>6607</v>
      </c>
      <c r="M289" s="971" t="s">
        <v>523</v>
      </c>
      <c r="N289" s="971" t="s">
        <v>141</v>
      </c>
      <c r="O289" s="971" t="s">
        <v>524</v>
      </c>
      <c r="P289" s="971"/>
      <c r="Q289" s="971" t="s">
        <v>677</v>
      </c>
      <c r="R289" s="1266" t="s">
        <v>678</v>
      </c>
      <c r="S289" s="2106">
        <v>0</v>
      </c>
      <c r="T289" s="1266" t="s">
        <v>136</v>
      </c>
      <c r="U289" s="1742">
        <v>0.14520631503408685</v>
      </c>
      <c r="V289" s="1742">
        <v>1.8150789379260854</v>
      </c>
      <c r="W289" s="1742">
        <v>12.798484607104415</v>
      </c>
      <c r="X289" s="1742">
        <v>20.019594653749554</v>
      </c>
      <c r="Y289" s="2106">
        <v>34.633158198780052</v>
      </c>
      <c r="Z289" s="2106">
        <v>0</v>
      </c>
      <c r="AA289" s="2106">
        <v>0</v>
      </c>
      <c r="AB289" s="2106">
        <v>0</v>
      </c>
      <c r="AC289" s="2106">
        <v>0</v>
      </c>
      <c r="AD289" s="1744">
        <v>0</v>
      </c>
      <c r="AE289" s="2126">
        <v>0.75</v>
      </c>
      <c r="AF289" s="2126">
        <v>0</v>
      </c>
      <c r="AG289" s="1212">
        <v>1</v>
      </c>
      <c r="AH289" s="1212">
        <v>0</v>
      </c>
      <c r="AI289" s="1212">
        <v>0</v>
      </c>
      <c r="AJ289" s="1212">
        <v>1</v>
      </c>
      <c r="AK289" s="2126">
        <v>0</v>
      </c>
      <c r="AL289" s="2126">
        <v>0</v>
      </c>
      <c r="AM289" s="2126">
        <v>0</v>
      </c>
      <c r="AN289" s="2126">
        <v>0</v>
      </c>
      <c r="AO289" s="1743" t="s">
        <v>85</v>
      </c>
      <c r="AP289" s="1743" t="s">
        <v>96</v>
      </c>
      <c r="AQ289" s="1764" t="s">
        <v>107</v>
      </c>
      <c r="AR289" s="1743" t="s">
        <v>87</v>
      </c>
      <c r="AS289" s="2135"/>
      <c r="AT289" s="2135"/>
      <c r="AU289" s="1212">
        <v>0.33333333333333331</v>
      </c>
      <c r="AV289" s="1212">
        <v>0.33333333333333331</v>
      </c>
      <c r="AW289" s="1212">
        <v>0.33333333333333331</v>
      </c>
      <c r="AX289" s="1212"/>
      <c r="AY289" s="1212"/>
      <c r="AZ289" s="1212"/>
      <c r="BA289" s="1212"/>
      <c r="BB289" s="1212"/>
      <c r="BC289" s="1212"/>
      <c r="BD289" s="1212"/>
      <c r="BE289" s="1212"/>
      <c r="BF289" s="2126">
        <v>0</v>
      </c>
      <c r="BG289" s="2126">
        <v>0</v>
      </c>
      <c r="BH289" s="2126">
        <v>0</v>
      </c>
      <c r="BI289" s="2126">
        <v>0</v>
      </c>
      <c r="BJ289" s="2126">
        <v>0</v>
      </c>
      <c r="BK289" s="2126">
        <v>0</v>
      </c>
      <c r="BL289" s="2126">
        <v>0</v>
      </c>
      <c r="BM289" s="2126">
        <v>0</v>
      </c>
      <c r="BN289" s="2126">
        <v>0</v>
      </c>
      <c r="BO289" s="2126">
        <v>0</v>
      </c>
      <c r="BP289" s="2126">
        <v>0</v>
      </c>
      <c r="BQ289" s="2126">
        <v>0</v>
      </c>
      <c r="BR289" s="2126">
        <v>0</v>
      </c>
    </row>
    <row r="290" spans="1:70" s="1765" customFormat="1" ht="49.5">
      <c r="A290" s="1272">
        <v>2000</v>
      </c>
      <c r="B290" s="971" t="s">
        <v>119</v>
      </c>
      <c r="C290" s="1272">
        <v>2500</v>
      </c>
      <c r="D290" s="971" t="s">
        <v>452</v>
      </c>
      <c r="E290" s="971" t="s">
        <v>604</v>
      </c>
      <c r="F290" s="971" t="s">
        <v>605</v>
      </c>
      <c r="G290" s="971">
        <v>2521</v>
      </c>
      <c r="H290" s="971" t="s">
        <v>621</v>
      </c>
      <c r="I290" s="1273" t="s">
        <v>495</v>
      </c>
      <c r="J290" s="971" t="s">
        <v>124</v>
      </c>
      <c r="K290" s="971" t="s">
        <v>506</v>
      </c>
      <c r="L290" s="971" t="s">
        <v>6608</v>
      </c>
      <c r="M290" s="971" t="s">
        <v>506</v>
      </c>
      <c r="N290" s="971" t="s">
        <v>141</v>
      </c>
      <c r="O290" s="971" t="s">
        <v>507</v>
      </c>
      <c r="P290" s="971"/>
      <c r="Q290" s="971" t="s">
        <v>679</v>
      </c>
      <c r="R290" s="1266" t="s">
        <v>678</v>
      </c>
      <c r="S290" s="2106">
        <v>0</v>
      </c>
      <c r="T290" s="1266" t="s">
        <v>136</v>
      </c>
      <c r="U290" s="1742">
        <v>0.125</v>
      </c>
      <c r="V290" s="1742">
        <v>1.875</v>
      </c>
      <c r="W290" s="1742">
        <v>11.0175</v>
      </c>
      <c r="X290" s="1742">
        <v>18.75</v>
      </c>
      <c r="Y290" s="2106">
        <v>31.642499999999998</v>
      </c>
      <c r="Z290" s="2106">
        <v>0</v>
      </c>
      <c r="AA290" s="2106">
        <v>0</v>
      </c>
      <c r="AB290" s="2106">
        <v>0</v>
      </c>
      <c r="AC290" s="2106">
        <v>0</v>
      </c>
      <c r="AD290" s="1744">
        <v>0</v>
      </c>
      <c r="AE290" s="2126">
        <v>0</v>
      </c>
      <c r="AF290" s="2126">
        <v>0</v>
      </c>
      <c r="AG290" s="1212">
        <v>1</v>
      </c>
      <c r="AH290" s="1212">
        <v>0</v>
      </c>
      <c r="AI290" s="1212">
        <v>0</v>
      </c>
      <c r="AJ290" s="1212">
        <v>1</v>
      </c>
      <c r="AK290" s="2126">
        <v>0</v>
      </c>
      <c r="AL290" s="2126">
        <v>0</v>
      </c>
      <c r="AM290" s="2126">
        <v>0</v>
      </c>
      <c r="AN290" s="2126">
        <v>0</v>
      </c>
      <c r="AO290" s="1743" t="s">
        <v>85</v>
      </c>
      <c r="AP290" s="1743" t="s">
        <v>96</v>
      </c>
      <c r="AQ290" s="1764" t="s">
        <v>107</v>
      </c>
      <c r="AR290" s="1743" t="s">
        <v>87</v>
      </c>
      <c r="AS290" s="2135"/>
      <c r="AT290" s="2135"/>
      <c r="AU290" s="1212">
        <v>0.33333333333333331</v>
      </c>
      <c r="AV290" s="1212">
        <v>0.33333333333333331</v>
      </c>
      <c r="AW290" s="1212">
        <v>0.33333333333333331</v>
      </c>
      <c r="AX290" s="1212"/>
      <c r="AY290" s="1212"/>
      <c r="AZ290" s="1212"/>
      <c r="BA290" s="1212"/>
      <c r="BB290" s="1212"/>
      <c r="BC290" s="1212"/>
      <c r="BD290" s="1212"/>
      <c r="BE290" s="1212"/>
      <c r="BF290" s="2126">
        <v>0</v>
      </c>
      <c r="BG290" s="2126">
        <v>0</v>
      </c>
      <c r="BH290" s="2126">
        <v>0</v>
      </c>
      <c r="BI290" s="2126">
        <v>0</v>
      </c>
      <c r="BJ290" s="2126">
        <v>0</v>
      </c>
      <c r="BK290" s="2126">
        <v>0</v>
      </c>
      <c r="BL290" s="2126">
        <v>0</v>
      </c>
      <c r="BM290" s="2126">
        <v>0</v>
      </c>
      <c r="BN290" s="2126">
        <v>0</v>
      </c>
      <c r="BO290" s="2126">
        <v>0</v>
      </c>
      <c r="BP290" s="2126">
        <v>0</v>
      </c>
      <c r="BQ290" s="2126">
        <v>0</v>
      </c>
      <c r="BR290" s="2126">
        <v>0</v>
      </c>
    </row>
    <row r="291" spans="1:70" s="1765" customFormat="1" ht="49.5">
      <c r="A291" s="1272">
        <v>2000</v>
      </c>
      <c r="B291" s="971" t="s">
        <v>119</v>
      </c>
      <c r="C291" s="1272">
        <v>2500</v>
      </c>
      <c r="D291" s="971" t="s">
        <v>452</v>
      </c>
      <c r="E291" s="971" t="s">
        <v>604</v>
      </c>
      <c r="F291" s="971" t="s">
        <v>605</v>
      </c>
      <c r="G291" s="971" t="s">
        <v>643</v>
      </c>
      <c r="H291" s="971" t="s">
        <v>621</v>
      </c>
      <c r="I291" s="1273"/>
      <c r="J291" s="971" t="s">
        <v>121</v>
      </c>
      <c r="K291" s="971" t="s">
        <v>255</v>
      </c>
      <c r="L291" s="971" t="s">
        <v>2802</v>
      </c>
      <c r="M291" s="971" t="s">
        <v>255</v>
      </c>
      <c r="N291" s="971" t="s">
        <v>83</v>
      </c>
      <c r="O291" s="971" t="s">
        <v>256</v>
      </c>
      <c r="P291" s="971"/>
      <c r="Q291" s="971" t="s">
        <v>680</v>
      </c>
      <c r="R291" s="1266"/>
      <c r="S291" s="2106">
        <v>2046</v>
      </c>
      <c r="T291" s="1266" t="s">
        <v>136</v>
      </c>
      <c r="U291" s="1742">
        <v>4.4491883296460179E-2</v>
      </c>
      <c r="V291" s="1742">
        <v>0.1701</v>
      </c>
      <c r="W291" s="1742">
        <v>3.92151459375</v>
      </c>
      <c r="X291" s="1742">
        <v>0.68180304577546291</v>
      </c>
      <c r="Y291" s="2106">
        <v>4.7480795457754628</v>
      </c>
      <c r="Z291" s="2106">
        <v>91.030393224557528</v>
      </c>
      <c r="AA291" s="2106">
        <v>348.02460000000002</v>
      </c>
      <c r="AB291" s="2106">
        <v>8023.4188588124998</v>
      </c>
      <c r="AC291" s="2106">
        <v>1394.9690316565971</v>
      </c>
      <c r="AD291" s="1744">
        <v>9766.412490469098</v>
      </c>
      <c r="AE291" s="2126">
        <v>0</v>
      </c>
      <c r="AF291" s="2126">
        <v>0</v>
      </c>
      <c r="AG291" s="1212">
        <v>1</v>
      </c>
      <c r="AH291" s="1212">
        <v>0</v>
      </c>
      <c r="AI291" s="1212">
        <v>0</v>
      </c>
      <c r="AJ291" s="1212">
        <v>1</v>
      </c>
      <c r="AK291" s="2126">
        <v>9766.412490469098</v>
      </c>
      <c r="AL291" s="2126">
        <v>0</v>
      </c>
      <c r="AM291" s="2126">
        <v>0</v>
      </c>
      <c r="AN291" s="2126">
        <v>9766.412490469098</v>
      </c>
      <c r="AO291" s="1743" t="s">
        <v>85</v>
      </c>
      <c r="AP291" s="1743" t="s">
        <v>90</v>
      </c>
      <c r="AQ291" s="1764" t="s">
        <v>112</v>
      </c>
      <c r="AR291" s="1743" t="s">
        <v>87</v>
      </c>
      <c r="AS291" s="2135"/>
      <c r="AT291" s="2135"/>
      <c r="AU291" s="1212">
        <v>0.33333333333333331</v>
      </c>
      <c r="AV291" s="1212">
        <v>0.33333333333333331</v>
      </c>
      <c r="AW291" s="1212">
        <v>0.33333333333333331</v>
      </c>
      <c r="AX291" s="1212"/>
      <c r="AY291" s="1212"/>
      <c r="AZ291" s="1212"/>
      <c r="BA291" s="1212"/>
      <c r="BB291" s="1212"/>
      <c r="BC291" s="1212"/>
      <c r="BD291" s="1212"/>
      <c r="BE291" s="1212"/>
      <c r="BF291" s="2126">
        <v>0</v>
      </c>
      <c r="BG291" s="2126">
        <v>0</v>
      </c>
      <c r="BH291" s="2126">
        <v>3255.470830156366</v>
      </c>
      <c r="BI291" s="2126">
        <v>3255.470830156366</v>
      </c>
      <c r="BJ291" s="2126">
        <v>3255.470830156366</v>
      </c>
      <c r="BK291" s="2126">
        <v>0</v>
      </c>
      <c r="BL291" s="2126">
        <v>0</v>
      </c>
      <c r="BM291" s="2126">
        <v>0</v>
      </c>
      <c r="BN291" s="2126">
        <v>0</v>
      </c>
      <c r="BO291" s="2126">
        <v>0</v>
      </c>
      <c r="BP291" s="2126">
        <v>0</v>
      </c>
      <c r="BQ291" s="2126">
        <v>0</v>
      </c>
      <c r="BR291" s="2126">
        <v>0</v>
      </c>
    </row>
    <row r="292" spans="1:70" s="1765" customFormat="1" ht="33">
      <c r="A292" s="1272">
        <v>2000</v>
      </c>
      <c r="B292" s="971" t="s">
        <v>119</v>
      </c>
      <c r="C292" s="1272">
        <v>2500</v>
      </c>
      <c r="D292" s="971" t="s">
        <v>452</v>
      </c>
      <c r="E292" s="971" t="s">
        <v>604</v>
      </c>
      <c r="F292" s="971" t="s">
        <v>605</v>
      </c>
      <c r="G292" s="971" t="s">
        <v>643</v>
      </c>
      <c r="H292" s="971" t="s">
        <v>621</v>
      </c>
      <c r="I292" s="1273"/>
      <c r="J292" s="971" t="s">
        <v>124</v>
      </c>
      <c r="K292" s="971" t="s">
        <v>125</v>
      </c>
      <c r="L292" s="971" t="s">
        <v>2868</v>
      </c>
      <c r="M292" s="971" t="s">
        <v>126</v>
      </c>
      <c r="N292" s="971" t="s">
        <v>127</v>
      </c>
      <c r="O292" s="971" t="s">
        <v>128</v>
      </c>
      <c r="P292" s="971"/>
      <c r="Q292" s="971" t="s">
        <v>681</v>
      </c>
      <c r="R292" s="1266" t="s">
        <v>682</v>
      </c>
      <c r="S292" s="2106">
        <v>55.741799999999998</v>
      </c>
      <c r="T292" s="1266" t="s">
        <v>136</v>
      </c>
      <c r="U292" s="1742">
        <v>0.11208333333333333</v>
      </c>
      <c r="V292" s="1742">
        <v>1.4010416666666667</v>
      </c>
      <c r="W292" s="1742">
        <v>9.8790250000000004</v>
      </c>
      <c r="X292" s="1742">
        <v>15.452929166666667</v>
      </c>
      <c r="Y292" s="2106">
        <v>26.73299583333333</v>
      </c>
      <c r="Z292" s="2106">
        <v>6.2477267499999991</v>
      </c>
      <c r="AA292" s="2106">
        <v>78.096584375000006</v>
      </c>
      <c r="AB292" s="2106">
        <v>550.67463574500005</v>
      </c>
      <c r="AC292" s="2106">
        <v>861.37408702250002</v>
      </c>
      <c r="AD292" s="1744">
        <v>1490.1453071425001</v>
      </c>
      <c r="AE292" s="2126">
        <v>1</v>
      </c>
      <c r="AF292" s="2126">
        <v>55.741799999999998</v>
      </c>
      <c r="AG292" s="1212">
        <v>1</v>
      </c>
      <c r="AH292" s="1212">
        <v>0</v>
      </c>
      <c r="AI292" s="1212">
        <v>0</v>
      </c>
      <c r="AJ292" s="1212">
        <v>1</v>
      </c>
      <c r="AK292" s="2126">
        <v>1490.1453071425001</v>
      </c>
      <c r="AL292" s="2126">
        <v>0</v>
      </c>
      <c r="AM292" s="2126">
        <v>0</v>
      </c>
      <c r="AN292" s="2126">
        <v>1490.1453071425001</v>
      </c>
      <c r="AO292" s="1743" t="s">
        <v>85</v>
      </c>
      <c r="AP292" s="1743" t="s">
        <v>90</v>
      </c>
      <c r="AQ292" s="1764">
        <v>2022</v>
      </c>
      <c r="AR292" s="1743" t="s">
        <v>87</v>
      </c>
      <c r="AS292" s="2135"/>
      <c r="AT292" s="2135"/>
      <c r="AU292" s="1212">
        <v>0.33333333333333331</v>
      </c>
      <c r="AV292" s="1212">
        <v>0.33333333333333331</v>
      </c>
      <c r="AW292" s="1212">
        <v>0.33333333333333331</v>
      </c>
      <c r="AX292" s="1212"/>
      <c r="AY292" s="1212"/>
      <c r="AZ292" s="1212"/>
      <c r="BA292" s="1212"/>
      <c r="BB292" s="1212"/>
      <c r="BC292" s="1212"/>
      <c r="BD292" s="1212"/>
      <c r="BE292" s="1212"/>
      <c r="BF292" s="2126">
        <v>0</v>
      </c>
      <c r="BG292" s="2126">
        <v>0</v>
      </c>
      <c r="BH292" s="2126">
        <v>496.71510238083334</v>
      </c>
      <c r="BI292" s="2126">
        <v>496.71510238083334</v>
      </c>
      <c r="BJ292" s="2126">
        <v>496.71510238083334</v>
      </c>
      <c r="BK292" s="2126">
        <v>0</v>
      </c>
      <c r="BL292" s="2126">
        <v>0</v>
      </c>
      <c r="BM292" s="2126">
        <v>0</v>
      </c>
      <c r="BN292" s="2126">
        <v>0</v>
      </c>
      <c r="BO292" s="2126">
        <v>0</v>
      </c>
      <c r="BP292" s="2126">
        <v>0</v>
      </c>
      <c r="BQ292" s="2126">
        <v>0</v>
      </c>
      <c r="BR292" s="2126">
        <v>0</v>
      </c>
    </row>
    <row r="293" spans="1:70" s="1765" customFormat="1" ht="33">
      <c r="A293" s="1272">
        <v>2000</v>
      </c>
      <c r="B293" s="971" t="s">
        <v>119</v>
      </c>
      <c r="C293" s="1272">
        <v>2500</v>
      </c>
      <c r="D293" s="971" t="s">
        <v>452</v>
      </c>
      <c r="E293" s="971" t="s">
        <v>604</v>
      </c>
      <c r="F293" s="971" t="s">
        <v>605</v>
      </c>
      <c r="G293" s="971" t="s">
        <v>643</v>
      </c>
      <c r="H293" s="971" t="s">
        <v>621</v>
      </c>
      <c r="I293" s="1273"/>
      <c r="J293" s="971" t="s">
        <v>124</v>
      </c>
      <c r="K293" s="971" t="s">
        <v>125</v>
      </c>
      <c r="L293" s="971" t="s">
        <v>2868</v>
      </c>
      <c r="M293" s="971" t="s">
        <v>126</v>
      </c>
      <c r="N293" s="971" t="s">
        <v>127</v>
      </c>
      <c r="O293" s="971" t="s">
        <v>128</v>
      </c>
      <c r="P293" s="971"/>
      <c r="Q293" s="971" t="s">
        <v>681</v>
      </c>
      <c r="R293" s="1266" t="s">
        <v>682</v>
      </c>
      <c r="S293" s="2106">
        <v>-55.741799999999998</v>
      </c>
      <c r="T293" s="1266" t="s">
        <v>136</v>
      </c>
      <c r="U293" s="1742">
        <v>0.11208333333333333</v>
      </c>
      <c r="V293" s="1742">
        <v>1.4010416666666667</v>
      </c>
      <c r="W293" s="1742">
        <v>9.8790250000000004</v>
      </c>
      <c r="X293" s="1742">
        <v>15.452929166666667</v>
      </c>
      <c r="Y293" s="2106">
        <v>26.73299583333333</v>
      </c>
      <c r="Z293" s="2106">
        <v>-6.2477267499999991</v>
      </c>
      <c r="AA293" s="2106">
        <v>-78.096584375000006</v>
      </c>
      <c r="AB293" s="2106">
        <v>-550.67463574500005</v>
      </c>
      <c r="AC293" s="2106">
        <v>-861.37408702250002</v>
      </c>
      <c r="AD293" s="1744">
        <v>-1490.1453071425001</v>
      </c>
      <c r="AE293" s="2126">
        <v>1</v>
      </c>
      <c r="AF293" s="2126">
        <v>-55.741799999999998</v>
      </c>
      <c r="AG293" s="1212">
        <v>1</v>
      </c>
      <c r="AH293" s="1212">
        <v>0</v>
      </c>
      <c r="AI293" s="1212">
        <v>0</v>
      </c>
      <c r="AJ293" s="1212">
        <v>1</v>
      </c>
      <c r="AK293" s="2126">
        <v>-1490.1453071425001</v>
      </c>
      <c r="AL293" s="2126">
        <v>0</v>
      </c>
      <c r="AM293" s="2126">
        <v>0</v>
      </c>
      <c r="AN293" s="2126">
        <v>-1490.1453071425001</v>
      </c>
      <c r="AO293" s="1743" t="s">
        <v>85</v>
      </c>
      <c r="AP293" s="1743" t="s">
        <v>96</v>
      </c>
      <c r="AQ293" s="1764" t="s">
        <v>118</v>
      </c>
      <c r="AR293" s="1743" t="s">
        <v>87</v>
      </c>
      <c r="AS293" s="2135"/>
      <c r="AT293" s="2135"/>
      <c r="AU293" s="1212">
        <v>0.33333333333333331</v>
      </c>
      <c r="AV293" s="1212">
        <v>0.33333333333333331</v>
      </c>
      <c r="AW293" s="1212">
        <v>0.33333333333333331</v>
      </c>
      <c r="AX293" s="1212"/>
      <c r="AY293" s="1212"/>
      <c r="AZ293" s="1212"/>
      <c r="BA293" s="1212"/>
      <c r="BB293" s="1212"/>
      <c r="BC293" s="1212"/>
      <c r="BD293" s="1212"/>
      <c r="BE293" s="1212"/>
      <c r="BF293" s="2126">
        <v>0</v>
      </c>
      <c r="BG293" s="2126">
        <v>0</v>
      </c>
      <c r="BH293" s="2126">
        <v>-496.71510238083334</v>
      </c>
      <c r="BI293" s="2126">
        <v>-496.71510238083334</v>
      </c>
      <c r="BJ293" s="2126">
        <v>-496.71510238083334</v>
      </c>
      <c r="BK293" s="2126">
        <v>0</v>
      </c>
      <c r="BL293" s="2126">
        <v>0</v>
      </c>
      <c r="BM293" s="2126">
        <v>0</v>
      </c>
      <c r="BN293" s="2126">
        <v>0</v>
      </c>
      <c r="BO293" s="2126">
        <v>0</v>
      </c>
      <c r="BP293" s="2126">
        <v>0</v>
      </c>
      <c r="BQ293" s="2126">
        <v>0</v>
      </c>
      <c r="BR293" s="2126">
        <v>0</v>
      </c>
    </row>
    <row r="294" spans="1:70" s="1765" customFormat="1" ht="33">
      <c r="A294" s="1272">
        <v>2000</v>
      </c>
      <c r="B294" s="971" t="s">
        <v>119</v>
      </c>
      <c r="C294" s="1272">
        <v>2500</v>
      </c>
      <c r="D294" s="971" t="s">
        <v>452</v>
      </c>
      <c r="E294" s="971" t="s">
        <v>604</v>
      </c>
      <c r="F294" s="971" t="s">
        <v>605</v>
      </c>
      <c r="G294" s="971" t="s">
        <v>683</v>
      </c>
      <c r="H294" s="971" t="s">
        <v>684</v>
      </c>
      <c r="I294" s="1273" t="s">
        <v>685</v>
      </c>
      <c r="J294" s="971" t="s">
        <v>686</v>
      </c>
      <c r="K294" s="971" t="s">
        <v>687</v>
      </c>
      <c r="L294" s="971" t="s">
        <v>2915</v>
      </c>
      <c r="M294" s="971" t="s">
        <v>687</v>
      </c>
      <c r="N294" s="971" t="s">
        <v>179</v>
      </c>
      <c r="O294" s="971" t="s">
        <v>688</v>
      </c>
      <c r="P294" s="971"/>
      <c r="Q294" s="971" t="s">
        <v>689</v>
      </c>
      <c r="R294" s="1266" t="s">
        <v>690</v>
      </c>
      <c r="S294" s="2106">
        <v>0</v>
      </c>
      <c r="T294" s="1266" t="s">
        <v>242</v>
      </c>
      <c r="U294" s="1742">
        <v>2</v>
      </c>
      <c r="V294" s="1742">
        <v>25</v>
      </c>
      <c r="W294" s="1742">
        <v>176.28</v>
      </c>
      <c r="X294" s="1742">
        <v>275.74</v>
      </c>
      <c r="Y294" s="2106">
        <v>477.02</v>
      </c>
      <c r="Z294" s="2106">
        <v>0</v>
      </c>
      <c r="AA294" s="2106">
        <v>0</v>
      </c>
      <c r="AB294" s="2106">
        <v>0</v>
      </c>
      <c r="AC294" s="2106">
        <v>0</v>
      </c>
      <c r="AD294" s="1744">
        <v>0</v>
      </c>
      <c r="AE294" s="2126">
        <v>0.5</v>
      </c>
      <c r="AF294" s="2126">
        <v>0</v>
      </c>
      <c r="AG294" s="1212">
        <v>1</v>
      </c>
      <c r="AH294" s="1212">
        <v>0</v>
      </c>
      <c r="AI294" s="1212">
        <v>0</v>
      </c>
      <c r="AJ294" s="1212">
        <v>1</v>
      </c>
      <c r="AK294" s="2126">
        <v>0</v>
      </c>
      <c r="AL294" s="2126">
        <v>0</v>
      </c>
      <c r="AM294" s="2126">
        <v>0</v>
      </c>
      <c r="AN294" s="2126">
        <v>0</v>
      </c>
      <c r="AO294" s="1743" t="s">
        <v>131</v>
      </c>
      <c r="AP294" s="1743" t="s">
        <v>96</v>
      </c>
      <c r="AQ294" s="1764">
        <v>2014</v>
      </c>
      <c r="AR294" s="1743" t="s">
        <v>87</v>
      </c>
      <c r="AS294" s="2135"/>
      <c r="AT294" s="2135"/>
      <c r="AU294" s="1212">
        <v>0.33333333333333331</v>
      </c>
      <c r="AV294" s="1212">
        <v>0.33333333333333331</v>
      </c>
      <c r="AW294" s="1212">
        <v>0.33333333333333331</v>
      </c>
      <c r="AX294" s="1212"/>
      <c r="AY294" s="1212"/>
      <c r="AZ294" s="1212"/>
      <c r="BA294" s="1212"/>
      <c r="BB294" s="1212"/>
      <c r="BC294" s="1212"/>
      <c r="BD294" s="1212"/>
      <c r="BE294" s="1212"/>
      <c r="BF294" s="2126">
        <v>0</v>
      </c>
      <c r="BG294" s="2126">
        <v>0</v>
      </c>
      <c r="BH294" s="2126">
        <v>0</v>
      </c>
      <c r="BI294" s="2126">
        <v>0</v>
      </c>
      <c r="BJ294" s="2126">
        <v>0</v>
      </c>
      <c r="BK294" s="2126">
        <v>0</v>
      </c>
      <c r="BL294" s="2126">
        <v>0</v>
      </c>
      <c r="BM294" s="2126">
        <v>0</v>
      </c>
      <c r="BN294" s="2126">
        <v>0</v>
      </c>
      <c r="BO294" s="2126">
        <v>0</v>
      </c>
      <c r="BP294" s="2126">
        <v>0</v>
      </c>
      <c r="BQ294" s="2126">
        <v>0</v>
      </c>
      <c r="BR294" s="2126">
        <v>0</v>
      </c>
    </row>
    <row r="295" spans="1:70" s="1765" customFormat="1" ht="49.5">
      <c r="A295" s="1272">
        <v>2000</v>
      </c>
      <c r="B295" s="971" t="s">
        <v>119</v>
      </c>
      <c r="C295" s="1272">
        <v>2500</v>
      </c>
      <c r="D295" s="971" t="s">
        <v>452</v>
      </c>
      <c r="E295" s="971" t="s">
        <v>604</v>
      </c>
      <c r="F295" s="971" t="s">
        <v>605</v>
      </c>
      <c r="G295" s="971" t="s">
        <v>683</v>
      </c>
      <c r="H295" s="971" t="s">
        <v>684</v>
      </c>
      <c r="I295" s="1273" t="s">
        <v>691</v>
      </c>
      <c r="J295" s="971" t="s">
        <v>686</v>
      </c>
      <c r="K295" s="971" t="s">
        <v>687</v>
      </c>
      <c r="L295" s="971" t="s">
        <v>2915</v>
      </c>
      <c r="M295" s="971" t="s">
        <v>687</v>
      </c>
      <c r="N295" s="971" t="s">
        <v>179</v>
      </c>
      <c r="O295" s="971" t="s">
        <v>688</v>
      </c>
      <c r="P295" s="971"/>
      <c r="Q295" s="971" t="s">
        <v>692</v>
      </c>
      <c r="R295" s="1266" t="s">
        <v>693</v>
      </c>
      <c r="S295" s="2106">
        <v>0</v>
      </c>
      <c r="T295" s="1266" t="s">
        <v>242</v>
      </c>
      <c r="U295" s="1742">
        <v>2</v>
      </c>
      <c r="V295" s="1742">
        <v>25</v>
      </c>
      <c r="W295" s="1742">
        <v>176.28</v>
      </c>
      <c r="X295" s="1742">
        <v>275.74</v>
      </c>
      <c r="Y295" s="2106">
        <v>477.02</v>
      </c>
      <c r="Z295" s="2106">
        <v>0</v>
      </c>
      <c r="AA295" s="2106">
        <v>0</v>
      </c>
      <c r="AB295" s="2106">
        <v>0</v>
      </c>
      <c r="AC295" s="2106">
        <v>0</v>
      </c>
      <c r="AD295" s="1744">
        <v>0</v>
      </c>
      <c r="AE295" s="2126">
        <v>0.5</v>
      </c>
      <c r="AF295" s="2126">
        <v>0</v>
      </c>
      <c r="AG295" s="1212">
        <v>1</v>
      </c>
      <c r="AH295" s="1212">
        <v>0</v>
      </c>
      <c r="AI295" s="1212">
        <v>0</v>
      </c>
      <c r="AJ295" s="1212">
        <v>1</v>
      </c>
      <c r="AK295" s="2126">
        <v>0</v>
      </c>
      <c r="AL295" s="2126">
        <v>0</v>
      </c>
      <c r="AM295" s="2126">
        <v>0</v>
      </c>
      <c r="AN295" s="2126">
        <v>0</v>
      </c>
      <c r="AO295" s="1743" t="s">
        <v>131</v>
      </c>
      <c r="AP295" s="1743" t="s">
        <v>96</v>
      </c>
      <c r="AQ295" s="1764">
        <v>2014</v>
      </c>
      <c r="AR295" s="1743" t="s">
        <v>87</v>
      </c>
      <c r="AS295" s="2135"/>
      <c r="AT295" s="2135"/>
      <c r="AU295" s="1212">
        <v>0.33333333333333331</v>
      </c>
      <c r="AV295" s="1212">
        <v>0.33333333333333331</v>
      </c>
      <c r="AW295" s="1212">
        <v>0.33333333333333331</v>
      </c>
      <c r="AX295" s="1212"/>
      <c r="AY295" s="1212"/>
      <c r="AZ295" s="1212"/>
      <c r="BA295" s="1212"/>
      <c r="BB295" s="1212"/>
      <c r="BC295" s="1212"/>
      <c r="BD295" s="1212"/>
      <c r="BE295" s="1212"/>
      <c r="BF295" s="2126">
        <v>0</v>
      </c>
      <c r="BG295" s="2126">
        <v>0</v>
      </c>
      <c r="BH295" s="2126">
        <v>0</v>
      </c>
      <c r="BI295" s="2126">
        <v>0</v>
      </c>
      <c r="BJ295" s="2126">
        <v>0</v>
      </c>
      <c r="BK295" s="2126">
        <v>0</v>
      </c>
      <c r="BL295" s="2126">
        <v>0</v>
      </c>
      <c r="BM295" s="2126">
        <v>0</v>
      </c>
      <c r="BN295" s="2126">
        <v>0</v>
      </c>
      <c r="BO295" s="2126">
        <v>0</v>
      </c>
      <c r="BP295" s="2126">
        <v>0</v>
      </c>
      <c r="BQ295" s="2126">
        <v>0</v>
      </c>
      <c r="BR295" s="2126">
        <v>0</v>
      </c>
    </row>
    <row r="296" spans="1:70" s="1765" customFormat="1" ht="49.5">
      <c r="A296" s="1272">
        <v>2000</v>
      </c>
      <c r="B296" s="971" t="s">
        <v>119</v>
      </c>
      <c r="C296" s="1272">
        <v>2500</v>
      </c>
      <c r="D296" s="971" t="s">
        <v>452</v>
      </c>
      <c r="E296" s="971" t="s">
        <v>604</v>
      </c>
      <c r="F296" s="971" t="s">
        <v>605</v>
      </c>
      <c r="G296" s="971" t="s">
        <v>683</v>
      </c>
      <c r="H296" s="971" t="s">
        <v>684</v>
      </c>
      <c r="I296" s="1273" t="s">
        <v>694</v>
      </c>
      <c r="J296" s="971" t="s">
        <v>686</v>
      </c>
      <c r="K296" s="971" t="s">
        <v>687</v>
      </c>
      <c r="L296" s="971" t="s">
        <v>2915</v>
      </c>
      <c r="M296" s="971" t="s">
        <v>687</v>
      </c>
      <c r="N296" s="971" t="s">
        <v>179</v>
      </c>
      <c r="O296" s="971" t="s">
        <v>688</v>
      </c>
      <c r="P296" s="971"/>
      <c r="Q296" s="971" t="s">
        <v>695</v>
      </c>
      <c r="R296" s="1266" t="s">
        <v>696</v>
      </c>
      <c r="S296" s="2106">
        <v>0</v>
      </c>
      <c r="T296" s="1266" t="s">
        <v>242</v>
      </c>
      <c r="U296" s="1742">
        <v>2</v>
      </c>
      <c r="V296" s="1742">
        <v>25</v>
      </c>
      <c r="W296" s="1742">
        <v>176.28</v>
      </c>
      <c r="X296" s="1742">
        <v>275.74</v>
      </c>
      <c r="Y296" s="2106">
        <v>477.02</v>
      </c>
      <c r="Z296" s="2106">
        <v>0</v>
      </c>
      <c r="AA296" s="2106">
        <v>0</v>
      </c>
      <c r="AB296" s="2106">
        <v>0</v>
      </c>
      <c r="AC296" s="2106">
        <v>0</v>
      </c>
      <c r="AD296" s="1744">
        <v>0</v>
      </c>
      <c r="AE296" s="2126">
        <v>0.5</v>
      </c>
      <c r="AF296" s="2126">
        <v>0</v>
      </c>
      <c r="AG296" s="1212">
        <v>1</v>
      </c>
      <c r="AH296" s="1212">
        <v>0</v>
      </c>
      <c r="AI296" s="1212">
        <v>0</v>
      </c>
      <c r="AJ296" s="1212">
        <v>1</v>
      </c>
      <c r="AK296" s="2126">
        <v>0</v>
      </c>
      <c r="AL296" s="2126">
        <v>0</v>
      </c>
      <c r="AM296" s="2126">
        <v>0</v>
      </c>
      <c r="AN296" s="2126">
        <v>0</v>
      </c>
      <c r="AO296" s="1743" t="s">
        <v>131</v>
      </c>
      <c r="AP296" s="1743" t="s">
        <v>96</v>
      </c>
      <c r="AQ296" s="1764">
        <v>2014</v>
      </c>
      <c r="AR296" s="1743" t="s">
        <v>87</v>
      </c>
      <c r="AS296" s="2135"/>
      <c r="AT296" s="2135"/>
      <c r="AU296" s="1212">
        <v>0.33333333333333331</v>
      </c>
      <c r="AV296" s="1212">
        <v>0.33333333333333331</v>
      </c>
      <c r="AW296" s="1212">
        <v>0.33333333333333331</v>
      </c>
      <c r="AX296" s="1212"/>
      <c r="AY296" s="1212"/>
      <c r="AZ296" s="1212"/>
      <c r="BA296" s="1212"/>
      <c r="BB296" s="1212"/>
      <c r="BC296" s="1212"/>
      <c r="BD296" s="1212"/>
      <c r="BE296" s="1212"/>
      <c r="BF296" s="2126">
        <v>0</v>
      </c>
      <c r="BG296" s="2126">
        <v>0</v>
      </c>
      <c r="BH296" s="2126">
        <v>0</v>
      </c>
      <c r="BI296" s="2126">
        <v>0</v>
      </c>
      <c r="BJ296" s="2126">
        <v>0</v>
      </c>
      <c r="BK296" s="2126">
        <v>0</v>
      </c>
      <c r="BL296" s="2126">
        <v>0</v>
      </c>
      <c r="BM296" s="2126">
        <v>0</v>
      </c>
      <c r="BN296" s="2126">
        <v>0</v>
      </c>
      <c r="BO296" s="2126">
        <v>0</v>
      </c>
      <c r="BP296" s="2126">
        <v>0</v>
      </c>
      <c r="BQ296" s="2126">
        <v>0</v>
      </c>
      <c r="BR296" s="2126">
        <v>0</v>
      </c>
    </row>
    <row r="297" spans="1:70" s="1765" customFormat="1" ht="49.5">
      <c r="A297" s="1272">
        <v>2000</v>
      </c>
      <c r="B297" s="971" t="s">
        <v>119</v>
      </c>
      <c r="C297" s="1272">
        <v>2500</v>
      </c>
      <c r="D297" s="971" t="s">
        <v>452</v>
      </c>
      <c r="E297" s="971" t="s">
        <v>604</v>
      </c>
      <c r="F297" s="971" t="s">
        <v>605</v>
      </c>
      <c r="G297" s="971" t="s">
        <v>683</v>
      </c>
      <c r="H297" s="971" t="s">
        <v>684</v>
      </c>
      <c r="I297" s="1273" t="s">
        <v>697</v>
      </c>
      <c r="J297" s="971" t="s">
        <v>686</v>
      </c>
      <c r="K297" s="971" t="s">
        <v>687</v>
      </c>
      <c r="L297" s="971" t="s">
        <v>2915</v>
      </c>
      <c r="M297" s="971" t="s">
        <v>687</v>
      </c>
      <c r="N297" s="971" t="s">
        <v>179</v>
      </c>
      <c r="O297" s="971" t="s">
        <v>688</v>
      </c>
      <c r="P297" s="971"/>
      <c r="Q297" s="971" t="s">
        <v>698</v>
      </c>
      <c r="R297" s="1266" t="s">
        <v>699</v>
      </c>
      <c r="S297" s="2106">
        <v>0</v>
      </c>
      <c r="T297" s="1266" t="s">
        <v>242</v>
      </c>
      <c r="U297" s="1742">
        <v>2</v>
      </c>
      <c r="V297" s="1742">
        <v>25</v>
      </c>
      <c r="W297" s="1742">
        <v>176.28</v>
      </c>
      <c r="X297" s="1742">
        <v>275.74</v>
      </c>
      <c r="Y297" s="2106">
        <v>477.02</v>
      </c>
      <c r="Z297" s="2106">
        <v>0</v>
      </c>
      <c r="AA297" s="2106">
        <v>0</v>
      </c>
      <c r="AB297" s="2106">
        <v>0</v>
      </c>
      <c r="AC297" s="2106">
        <v>0</v>
      </c>
      <c r="AD297" s="1744">
        <v>0</v>
      </c>
      <c r="AE297" s="2126">
        <v>0.5</v>
      </c>
      <c r="AF297" s="2126">
        <v>0</v>
      </c>
      <c r="AG297" s="1212">
        <v>1</v>
      </c>
      <c r="AH297" s="1212">
        <v>0</v>
      </c>
      <c r="AI297" s="1212">
        <v>0</v>
      </c>
      <c r="AJ297" s="1212">
        <v>1</v>
      </c>
      <c r="AK297" s="2126">
        <v>0</v>
      </c>
      <c r="AL297" s="2126">
        <v>0</v>
      </c>
      <c r="AM297" s="2126">
        <v>0</v>
      </c>
      <c r="AN297" s="2126">
        <v>0</v>
      </c>
      <c r="AO297" s="1743" t="s">
        <v>131</v>
      </c>
      <c r="AP297" s="1743" t="s">
        <v>96</v>
      </c>
      <c r="AQ297" s="1764">
        <v>2014</v>
      </c>
      <c r="AR297" s="1743" t="s">
        <v>87</v>
      </c>
      <c r="AS297" s="2135"/>
      <c r="AT297" s="2135"/>
      <c r="AU297" s="1212">
        <v>0.33333333333333331</v>
      </c>
      <c r="AV297" s="1212">
        <v>0.33333333333333331</v>
      </c>
      <c r="AW297" s="1212">
        <v>0.33333333333333331</v>
      </c>
      <c r="AX297" s="1212"/>
      <c r="AY297" s="1212"/>
      <c r="AZ297" s="1212"/>
      <c r="BA297" s="1212"/>
      <c r="BB297" s="1212"/>
      <c r="BC297" s="1212"/>
      <c r="BD297" s="1212"/>
      <c r="BE297" s="1212"/>
      <c r="BF297" s="2126">
        <v>0</v>
      </c>
      <c r="BG297" s="2126">
        <v>0</v>
      </c>
      <c r="BH297" s="2126">
        <v>0</v>
      </c>
      <c r="BI297" s="2126">
        <v>0</v>
      </c>
      <c r="BJ297" s="2126">
        <v>0</v>
      </c>
      <c r="BK297" s="2126">
        <v>0</v>
      </c>
      <c r="BL297" s="2126">
        <v>0</v>
      </c>
      <c r="BM297" s="2126">
        <v>0</v>
      </c>
      <c r="BN297" s="2126">
        <v>0</v>
      </c>
      <c r="BO297" s="2126">
        <v>0</v>
      </c>
      <c r="BP297" s="2126">
        <v>0</v>
      </c>
      <c r="BQ297" s="2126">
        <v>0</v>
      </c>
      <c r="BR297" s="2126">
        <v>0</v>
      </c>
    </row>
    <row r="298" spans="1:70" s="1765" customFormat="1" ht="49.5">
      <c r="A298" s="1272">
        <v>2000</v>
      </c>
      <c r="B298" s="971" t="s">
        <v>119</v>
      </c>
      <c r="C298" s="1272">
        <v>2500</v>
      </c>
      <c r="D298" s="971" t="s">
        <v>452</v>
      </c>
      <c r="E298" s="971" t="s">
        <v>700</v>
      </c>
      <c r="F298" s="971" t="s">
        <v>701</v>
      </c>
      <c r="G298" s="971" t="s">
        <v>700</v>
      </c>
      <c r="H298" s="971" t="s">
        <v>701</v>
      </c>
      <c r="I298" s="1273" t="s">
        <v>702</v>
      </c>
      <c r="J298" s="971" t="s">
        <v>124</v>
      </c>
      <c r="K298" s="971" t="s">
        <v>2857</v>
      </c>
      <c r="L298" s="971" t="s">
        <v>2858</v>
      </c>
      <c r="M298" s="971" t="s">
        <v>703</v>
      </c>
      <c r="N298" s="971" t="s">
        <v>488</v>
      </c>
      <c r="O298" s="971" t="s">
        <v>459</v>
      </c>
      <c r="P298" s="971"/>
      <c r="Q298" s="971" t="s">
        <v>704</v>
      </c>
      <c r="R298" s="1266" t="s">
        <v>705</v>
      </c>
      <c r="S298" s="2106">
        <v>75.278810408921942</v>
      </c>
      <c r="T298" s="1266" t="s">
        <v>136</v>
      </c>
      <c r="U298" s="1742">
        <v>0.56041666666666667</v>
      </c>
      <c r="V298" s="1742">
        <v>2.8020833333333335</v>
      </c>
      <c r="W298" s="1742">
        <v>49.395125</v>
      </c>
      <c r="X298" s="1742">
        <v>77.264645833333333</v>
      </c>
      <c r="Y298" s="2106">
        <v>129.46185416666665</v>
      </c>
      <c r="Z298" s="2106">
        <v>42.187500000000007</v>
      </c>
      <c r="AA298" s="2106">
        <v>210.93750000000003</v>
      </c>
      <c r="AB298" s="2106">
        <v>3718.4062500000005</v>
      </c>
      <c r="AC298" s="2106">
        <v>5816.3906250000009</v>
      </c>
      <c r="AD298" s="1744">
        <v>9745.7343750000018</v>
      </c>
      <c r="AE298" s="2126">
        <v>1</v>
      </c>
      <c r="AF298" s="2126">
        <v>75.278810408921942</v>
      </c>
      <c r="AG298" s="1212">
        <v>1</v>
      </c>
      <c r="AH298" s="1212">
        <v>0</v>
      </c>
      <c r="AI298" s="1212">
        <v>0</v>
      </c>
      <c r="AJ298" s="1212">
        <v>1</v>
      </c>
      <c r="AK298" s="2126">
        <v>9745.7343750000018</v>
      </c>
      <c r="AL298" s="2126">
        <v>0</v>
      </c>
      <c r="AM298" s="2126">
        <v>0</v>
      </c>
      <c r="AN298" s="2126">
        <v>9745.7343750000018</v>
      </c>
      <c r="AO298" s="1743" t="s">
        <v>131</v>
      </c>
      <c r="AP298" s="1743"/>
      <c r="AQ298" s="1764">
        <v>2014</v>
      </c>
      <c r="AR298" s="1743" t="s">
        <v>87</v>
      </c>
      <c r="AS298" s="2135"/>
      <c r="AT298" s="2135"/>
      <c r="AU298" s="1212">
        <v>0.33333333333333331</v>
      </c>
      <c r="AV298" s="1212">
        <v>0.33333333333333331</v>
      </c>
      <c r="AW298" s="1212">
        <v>0.33333333333333331</v>
      </c>
      <c r="AX298" s="1212"/>
      <c r="AY298" s="1212"/>
      <c r="AZ298" s="1212"/>
      <c r="BA298" s="1212"/>
      <c r="BB298" s="1212"/>
      <c r="BC298" s="1212"/>
      <c r="BD298" s="1212"/>
      <c r="BE298" s="1212"/>
      <c r="BF298" s="2126">
        <v>0</v>
      </c>
      <c r="BG298" s="2126">
        <v>0</v>
      </c>
      <c r="BH298" s="2126">
        <v>3248.5781250000005</v>
      </c>
      <c r="BI298" s="2126">
        <v>3248.5781250000005</v>
      </c>
      <c r="BJ298" s="2126">
        <v>3248.5781250000005</v>
      </c>
      <c r="BK298" s="2126">
        <v>0</v>
      </c>
      <c r="BL298" s="2126">
        <v>0</v>
      </c>
      <c r="BM298" s="2126">
        <v>0</v>
      </c>
      <c r="BN298" s="2126">
        <v>0</v>
      </c>
      <c r="BO298" s="2126">
        <v>0</v>
      </c>
      <c r="BP298" s="2126">
        <v>0</v>
      </c>
      <c r="BQ298" s="2126">
        <v>0</v>
      </c>
      <c r="BR298" s="2126">
        <v>0</v>
      </c>
    </row>
    <row r="299" spans="1:70" s="1765" customFormat="1" ht="49.5">
      <c r="A299" s="1272">
        <v>2000</v>
      </c>
      <c r="B299" s="971" t="s">
        <v>119</v>
      </c>
      <c r="C299" s="1272">
        <v>2500</v>
      </c>
      <c r="D299" s="971" t="s">
        <v>452</v>
      </c>
      <c r="E299" s="971" t="s">
        <v>700</v>
      </c>
      <c r="F299" s="971" t="s">
        <v>701</v>
      </c>
      <c r="G299" s="971" t="s">
        <v>700</v>
      </c>
      <c r="H299" s="971" t="s">
        <v>701</v>
      </c>
      <c r="I299" s="1273" t="s">
        <v>706</v>
      </c>
      <c r="J299" s="971" t="s">
        <v>124</v>
      </c>
      <c r="K299" s="971" t="s">
        <v>2857</v>
      </c>
      <c r="L299" s="971" t="s">
        <v>2858</v>
      </c>
      <c r="M299" s="971" t="s">
        <v>703</v>
      </c>
      <c r="N299" s="971" t="s">
        <v>488</v>
      </c>
      <c r="O299" s="971" t="s">
        <v>459</v>
      </c>
      <c r="P299" s="971"/>
      <c r="Q299" s="971" t="s">
        <v>707</v>
      </c>
      <c r="R299" s="1266" t="s">
        <v>708</v>
      </c>
      <c r="S299" s="2106">
        <v>75.278810408921942</v>
      </c>
      <c r="T299" s="1266" t="s">
        <v>136</v>
      </c>
      <c r="U299" s="1742">
        <v>0.56041666666666667</v>
      </c>
      <c r="V299" s="1742">
        <v>2.8020833333333335</v>
      </c>
      <c r="W299" s="1742">
        <v>49.395125</v>
      </c>
      <c r="X299" s="1742">
        <v>77.264645833333333</v>
      </c>
      <c r="Y299" s="2106">
        <v>129.46185416666665</v>
      </c>
      <c r="Z299" s="2106">
        <v>42.187500000000007</v>
      </c>
      <c r="AA299" s="2106">
        <v>210.93750000000003</v>
      </c>
      <c r="AB299" s="2106">
        <v>3718.4062500000005</v>
      </c>
      <c r="AC299" s="2106">
        <v>5816.3906250000009</v>
      </c>
      <c r="AD299" s="1744">
        <v>9745.7343750000018</v>
      </c>
      <c r="AE299" s="2126">
        <v>1</v>
      </c>
      <c r="AF299" s="2126">
        <v>75.278810408921942</v>
      </c>
      <c r="AG299" s="1212">
        <v>1</v>
      </c>
      <c r="AH299" s="1212">
        <v>0</v>
      </c>
      <c r="AI299" s="1212">
        <v>0</v>
      </c>
      <c r="AJ299" s="1212">
        <v>1</v>
      </c>
      <c r="AK299" s="2126">
        <v>9745.7343750000018</v>
      </c>
      <c r="AL299" s="2126">
        <v>0</v>
      </c>
      <c r="AM299" s="2126">
        <v>0</v>
      </c>
      <c r="AN299" s="2126">
        <v>9745.7343750000018</v>
      </c>
      <c r="AO299" s="1743" t="s">
        <v>131</v>
      </c>
      <c r="AP299" s="1743"/>
      <c r="AQ299" s="1764">
        <v>2014</v>
      </c>
      <c r="AR299" s="1743" t="s">
        <v>87</v>
      </c>
      <c r="AS299" s="2135"/>
      <c r="AT299" s="2135"/>
      <c r="AU299" s="1212">
        <v>0.33333333333333331</v>
      </c>
      <c r="AV299" s="1212">
        <v>0.33333333333333331</v>
      </c>
      <c r="AW299" s="1212">
        <v>0.33333333333333331</v>
      </c>
      <c r="AX299" s="1212"/>
      <c r="AY299" s="1212"/>
      <c r="AZ299" s="1212"/>
      <c r="BA299" s="1212"/>
      <c r="BB299" s="1212"/>
      <c r="BC299" s="1212"/>
      <c r="BD299" s="1212"/>
      <c r="BE299" s="1212"/>
      <c r="BF299" s="2126">
        <v>0</v>
      </c>
      <c r="BG299" s="2126">
        <v>0</v>
      </c>
      <c r="BH299" s="2126">
        <v>3248.5781250000005</v>
      </c>
      <c r="BI299" s="2126">
        <v>3248.5781250000005</v>
      </c>
      <c r="BJ299" s="2126">
        <v>3248.5781250000005</v>
      </c>
      <c r="BK299" s="2126">
        <v>0</v>
      </c>
      <c r="BL299" s="2126">
        <v>0</v>
      </c>
      <c r="BM299" s="2126">
        <v>0</v>
      </c>
      <c r="BN299" s="2126">
        <v>0</v>
      </c>
      <c r="BO299" s="2126">
        <v>0</v>
      </c>
      <c r="BP299" s="2126">
        <v>0</v>
      </c>
      <c r="BQ299" s="2126">
        <v>0</v>
      </c>
      <c r="BR299" s="2126">
        <v>0</v>
      </c>
    </row>
    <row r="300" spans="1:70" s="1765" customFormat="1" ht="49.5">
      <c r="A300" s="1272">
        <v>2000</v>
      </c>
      <c r="B300" s="971" t="s">
        <v>119</v>
      </c>
      <c r="C300" s="1272">
        <v>2500</v>
      </c>
      <c r="D300" s="971" t="s">
        <v>452</v>
      </c>
      <c r="E300" s="971" t="s">
        <v>700</v>
      </c>
      <c r="F300" s="971" t="s">
        <v>701</v>
      </c>
      <c r="G300" s="971" t="s">
        <v>700</v>
      </c>
      <c r="H300" s="971" t="s">
        <v>701</v>
      </c>
      <c r="I300" s="1273" t="s">
        <v>709</v>
      </c>
      <c r="J300" s="971" t="s">
        <v>124</v>
      </c>
      <c r="K300" s="971" t="s">
        <v>2857</v>
      </c>
      <c r="L300" s="971" t="s">
        <v>2858</v>
      </c>
      <c r="M300" s="971" t="s">
        <v>703</v>
      </c>
      <c r="N300" s="971" t="s">
        <v>488</v>
      </c>
      <c r="O300" s="971" t="s">
        <v>459</v>
      </c>
      <c r="P300" s="971"/>
      <c r="Q300" s="971" t="s">
        <v>710</v>
      </c>
      <c r="R300" s="1266" t="s">
        <v>711</v>
      </c>
      <c r="S300" s="2106">
        <v>51.951672862453535</v>
      </c>
      <c r="T300" s="1266" t="s">
        <v>136</v>
      </c>
      <c r="U300" s="1742">
        <v>0.56041666666666667</v>
      </c>
      <c r="V300" s="1742">
        <v>2.8020833333333335</v>
      </c>
      <c r="W300" s="1742">
        <v>49.395125</v>
      </c>
      <c r="X300" s="1742">
        <v>77.264645833333333</v>
      </c>
      <c r="Y300" s="2106">
        <v>129.46185416666665</v>
      </c>
      <c r="Z300" s="2106">
        <v>29.114583333333336</v>
      </c>
      <c r="AA300" s="2106">
        <v>145.57291666666669</v>
      </c>
      <c r="AB300" s="2106">
        <v>2566.1593750000002</v>
      </c>
      <c r="AC300" s="2106">
        <v>4014.0276041666671</v>
      </c>
      <c r="AD300" s="1744">
        <v>6725.7598958333338</v>
      </c>
      <c r="AE300" s="2126">
        <v>1</v>
      </c>
      <c r="AF300" s="2126">
        <v>51.951672862453535</v>
      </c>
      <c r="AG300" s="1212">
        <v>1</v>
      </c>
      <c r="AH300" s="1212">
        <v>0</v>
      </c>
      <c r="AI300" s="1212">
        <v>0</v>
      </c>
      <c r="AJ300" s="1212">
        <v>1</v>
      </c>
      <c r="AK300" s="2126">
        <v>6725.7598958333338</v>
      </c>
      <c r="AL300" s="2126">
        <v>0</v>
      </c>
      <c r="AM300" s="2126">
        <v>0</v>
      </c>
      <c r="AN300" s="2126">
        <v>6725.7598958333338</v>
      </c>
      <c r="AO300" s="1743" t="s">
        <v>131</v>
      </c>
      <c r="AP300" s="1743"/>
      <c r="AQ300" s="1764">
        <v>2014</v>
      </c>
      <c r="AR300" s="1743" t="s">
        <v>87</v>
      </c>
      <c r="AS300" s="2135"/>
      <c r="AT300" s="2135"/>
      <c r="AU300" s="1212">
        <v>0.33333333333333331</v>
      </c>
      <c r="AV300" s="1212">
        <v>0.33333333333333331</v>
      </c>
      <c r="AW300" s="1212">
        <v>0.33333333333333331</v>
      </c>
      <c r="AX300" s="1212"/>
      <c r="AY300" s="1212"/>
      <c r="AZ300" s="1212"/>
      <c r="BA300" s="1212"/>
      <c r="BB300" s="1212"/>
      <c r="BC300" s="1212"/>
      <c r="BD300" s="1212"/>
      <c r="BE300" s="1212"/>
      <c r="BF300" s="2126">
        <v>0</v>
      </c>
      <c r="BG300" s="2126">
        <v>0</v>
      </c>
      <c r="BH300" s="2126">
        <v>2241.9199652777779</v>
      </c>
      <c r="BI300" s="2126">
        <v>2241.9199652777779</v>
      </c>
      <c r="BJ300" s="2126">
        <v>2241.9199652777779</v>
      </c>
      <c r="BK300" s="2126">
        <v>0</v>
      </c>
      <c r="BL300" s="2126">
        <v>0</v>
      </c>
      <c r="BM300" s="2126">
        <v>0</v>
      </c>
      <c r="BN300" s="2126">
        <v>0</v>
      </c>
      <c r="BO300" s="2126">
        <v>0</v>
      </c>
      <c r="BP300" s="2126">
        <v>0</v>
      </c>
      <c r="BQ300" s="2126">
        <v>0</v>
      </c>
      <c r="BR300" s="2126">
        <v>0</v>
      </c>
    </row>
    <row r="301" spans="1:70" s="1765" customFormat="1" ht="49.5">
      <c r="A301" s="1272">
        <v>2000</v>
      </c>
      <c r="B301" s="971" t="s">
        <v>119</v>
      </c>
      <c r="C301" s="1272">
        <v>2500</v>
      </c>
      <c r="D301" s="971" t="s">
        <v>452</v>
      </c>
      <c r="E301" s="971" t="s">
        <v>700</v>
      </c>
      <c r="F301" s="971" t="s">
        <v>701</v>
      </c>
      <c r="G301" s="971" t="s">
        <v>700</v>
      </c>
      <c r="H301" s="971" t="s">
        <v>701</v>
      </c>
      <c r="I301" s="1273" t="s">
        <v>712</v>
      </c>
      <c r="J301" s="971" t="s">
        <v>124</v>
      </c>
      <c r="K301" s="971" t="s">
        <v>2857</v>
      </c>
      <c r="L301" s="971" t="s">
        <v>2858</v>
      </c>
      <c r="M301" s="971" t="s">
        <v>703</v>
      </c>
      <c r="N301" s="971" t="s">
        <v>488</v>
      </c>
      <c r="O301" s="971" t="s">
        <v>459</v>
      </c>
      <c r="P301" s="971"/>
      <c r="Q301" s="971" t="s">
        <v>713</v>
      </c>
      <c r="R301" s="1266" t="s">
        <v>714</v>
      </c>
      <c r="S301" s="2106">
        <v>51.951672862453535</v>
      </c>
      <c r="T301" s="1266" t="s">
        <v>136</v>
      </c>
      <c r="U301" s="1742">
        <v>0.56041666666666667</v>
      </c>
      <c r="V301" s="1742">
        <v>2.8020833333333335</v>
      </c>
      <c r="W301" s="1742">
        <v>49.395125</v>
      </c>
      <c r="X301" s="1742">
        <v>77.264645833333333</v>
      </c>
      <c r="Y301" s="2106">
        <v>129.46185416666665</v>
      </c>
      <c r="Z301" s="2106">
        <v>29.114583333333336</v>
      </c>
      <c r="AA301" s="2106">
        <v>145.57291666666669</v>
      </c>
      <c r="AB301" s="2106">
        <v>2566.1593750000002</v>
      </c>
      <c r="AC301" s="2106">
        <v>4014.0276041666671</v>
      </c>
      <c r="AD301" s="1744">
        <v>6725.7598958333338</v>
      </c>
      <c r="AE301" s="2126">
        <v>1</v>
      </c>
      <c r="AF301" s="2126">
        <v>51.951672862453535</v>
      </c>
      <c r="AG301" s="1212">
        <v>1</v>
      </c>
      <c r="AH301" s="1212">
        <v>0</v>
      </c>
      <c r="AI301" s="1212">
        <v>0</v>
      </c>
      <c r="AJ301" s="1212">
        <v>1</v>
      </c>
      <c r="AK301" s="2126">
        <v>6725.7598958333338</v>
      </c>
      <c r="AL301" s="2126">
        <v>0</v>
      </c>
      <c r="AM301" s="2126">
        <v>0</v>
      </c>
      <c r="AN301" s="2126">
        <v>6725.7598958333338</v>
      </c>
      <c r="AO301" s="1743" t="s">
        <v>131</v>
      </c>
      <c r="AP301" s="1743"/>
      <c r="AQ301" s="1764">
        <v>2014</v>
      </c>
      <c r="AR301" s="1743" t="s">
        <v>87</v>
      </c>
      <c r="AS301" s="2135"/>
      <c r="AT301" s="2135"/>
      <c r="AU301" s="1212">
        <v>0.33333333333333331</v>
      </c>
      <c r="AV301" s="1212">
        <v>0.33333333333333331</v>
      </c>
      <c r="AW301" s="1212">
        <v>0.33333333333333331</v>
      </c>
      <c r="AX301" s="1212"/>
      <c r="AY301" s="1212"/>
      <c r="AZ301" s="1212"/>
      <c r="BA301" s="1212"/>
      <c r="BB301" s="1212"/>
      <c r="BC301" s="1212"/>
      <c r="BD301" s="1212"/>
      <c r="BE301" s="1212"/>
      <c r="BF301" s="2126">
        <v>0</v>
      </c>
      <c r="BG301" s="2126">
        <v>0</v>
      </c>
      <c r="BH301" s="2126">
        <v>2241.9199652777779</v>
      </c>
      <c r="BI301" s="2126">
        <v>2241.9199652777779</v>
      </c>
      <c r="BJ301" s="2126">
        <v>2241.9199652777779</v>
      </c>
      <c r="BK301" s="2126">
        <v>0</v>
      </c>
      <c r="BL301" s="2126">
        <v>0</v>
      </c>
      <c r="BM301" s="2126">
        <v>0</v>
      </c>
      <c r="BN301" s="2126">
        <v>0</v>
      </c>
      <c r="BO301" s="2126">
        <v>0</v>
      </c>
      <c r="BP301" s="2126">
        <v>0</v>
      </c>
      <c r="BQ301" s="2126">
        <v>0</v>
      </c>
      <c r="BR301" s="2126">
        <v>0</v>
      </c>
    </row>
    <row r="302" spans="1:70" s="1765" customFormat="1" ht="49.5">
      <c r="A302" s="1272">
        <v>2000</v>
      </c>
      <c r="B302" s="971" t="s">
        <v>119</v>
      </c>
      <c r="C302" s="1272">
        <v>2500</v>
      </c>
      <c r="D302" s="971" t="s">
        <v>452</v>
      </c>
      <c r="E302" s="971" t="s">
        <v>700</v>
      </c>
      <c r="F302" s="971" t="s">
        <v>701</v>
      </c>
      <c r="G302" s="971" t="s">
        <v>700</v>
      </c>
      <c r="H302" s="971" t="s">
        <v>701</v>
      </c>
      <c r="I302" s="1273" t="s">
        <v>715</v>
      </c>
      <c r="J302" s="971" t="s">
        <v>124</v>
      </c>
      <c r="K302" s="971" t="s">
        <v>2857</v>
      </c>
      <c r="L302" s="971" t="s">
        <v>2858</v>
      </c>
      <c r="M302" s="971" t="s">
        <v>703</v>
      </c>
      <c r="N302" s="971" t="s">
        <v>488</v>
      </c>
      <c r="O302" s="971" t="s">
        <v>459</v>
      </c>
      <c r="P302" s="971"/>
      <c r="Q302" s="971" t="s">
        <v>716</v>
      </c>
      <c r="R302" s="1266" t="s">
        <v>717</v>
      </c>
      <c r="S302" s="2106">
        <v>51.951672862453535</v>
      </c>
      <c r="T302" s="1266" t="s">
        <v>136</v>
      </c>
      <c r="U302" s="1742">
        <v>0.56041666666666667</v>
      </c>
      <c r="V302" s="1742">
        <v>2.8020833333333335</v>
      </c>
      <c r="W302" s="1742">
        <v>49.395125</v>
      </c>
      <c r="X302" s="1742">
        <v>77.264645833333333</v>
      </c>
      <c r="Y302" s="2106">
        <v>129.46185416666665</v>
      </c>
      <c r="Z302" s="2106">
        <v>29.114583333333336</v>
      </c>
      <c r="AA302" s="2106">
        <v>145.57291666666669</v>
      </c>
      <c r="AB302" s="2106">
        <v>2566.1593750000002</v>
      </c>
      <c r="AC302" s="2106">
        <v>4014.0276041666671</v>
      </c>
      <c r="AD302" s="1744">
        <v>6725.7598958333338</v>
      </c>
      <c r="AE302" s="2126">
        <v>1</v>
      </c>
      <c r="AF302" s="2126">
        <v>51.951672862453535</v>
      </c>
      <c r="AG302" s="1212">
        <v>1</v>
      </c>
      <c r="AH302" s="1212">
        <v>0</v>
      </c>
      <c r="AI302" s="1212">
        <v>0</v>
      </c>
      <c r="AJ302" s="1212">
        <v>1</v>
      </c>
      <c r="AK302" s="2126">
        <v>6725.7598958333338</v>
      </c>
      <c r="AL302" s="2126">
        <v>0</v>
      </c>
      <c r="AM302" s="2126">
        <v>0</v>
      </c>
      <c r="AN302" s="2126">
        <v>6725.7598958333338</v>
      </c>
      <c r="AO302" s="1743" t="s">
        <v>131</v>
      </c>
      <c r="AP302" s="1743"/>
      <c r="AQ302" s="1764">
        <v>2014</v>
      </c>
      <c r="AR302" s="1743" t="s">
        <v>87</v>
      </c>
      <c r="AS302" s="2135"/>
      <c r="AT302" s="2135"/>
      <c r="AU302" s="1212">
        <v>0.33333333333333331</v>
      </c>
      <c r="AV302" s="1212">
        <v>0.33333333333333331</v>
      </c>
      <c r="AW302" s="1212">
        <v>0.33333333333333331</v>
      </c>
      <c r="AX302" s="1212"/>
      <c r="AY302" s="1212"/>
      <c r="AZ302" s="1212"/>
      <c r="BA302" s="1212"/>
      <c r="BB302" s="1212"/>
      <c r="BC302" s="1212"/>
      <c r="BD302" s="1212"/>
      <c r="BE302" s="1212"/>
      <c r="BF302" s="2126">
        <v>0</v>
      </c>
      <c r="BG302" s="2126">
        <v>0</v>
      </c>
      <c r="BH302" s="2126">
        <v>2241.9199652777779</v>
      </c>
      <c r="BI302" s="2126">
        <v>2241.9199652777779</v>
      </c>
      <c r="BJ302" s="2126">
        <v>2241.9199652777779</v>
      </c>
      <c r="BK302" s="2126">
        <v>0</v>
      </c>
      <c r="BL302" s="2126">
        <v>0</v>
      </c>
      <c r="BM302" s="2126">
        <v>0</v>
      </c>
      <c r="BN302" s="2126">
        <v>0</v>
      </c>
      <c r="BO302" s="2126">
        <v>0</v>
      </c>
      <c r="BP302" s="2126">
        <v>0</v>
      </c>
      <c r="BQ302" s="2126">
        <v>0</v>
      </c>
      <c r="BR302" s="2126">
        <v>0</v>
      </c>
    </row>
    <row r="303" spans="1:70" s="1765" customFormat="1" ht="49.5">
      <c r="A303" s="1272">
        <v>2000</v>
      </c>
      <c r="B303" s="971" t="s">
        <v>119</v>
      </c>
      <c r="C303" s="1272">
        <v>2500</v>
      </c>
      <c r="D303" s="971" t="s">
        <v>452</v>
      </c>
      <c r="E303" s="971" t="s">
        <v>700</v>
      </c>
      <c r="F303" s="971" t="s">
        <v>701</v>
      </c>
      <c r="G303" s="971" t="s">
        <v>700</v>
      </c>
      <c r="H303" s="971" t="s">
        <v>701</v>
      </c>
      <c r="I303" s="1273" t="s">
        <v>718</v>
      </c>
      <c r="J303" s="971" t="s">
        <v>124</v>
      </c>
      <c r="K303" s="971" t="s">
        <v>2857</v>
      </c>
      <c r="L303" s="971" t="s">
        <v>2858</v>
      </c>
      <c r="M303" s="971" t="s">
        <v>703</v>
      </c>
      <c r="N303" s="971" t="s">
        <v>488</v>
      </c>
      <c r="O303" s="971" t="s">
        <v>459</v>
      </c>
      <c r="P303" s="971"/>
      <c r="Q303" s="971" t="s">
        <v>719</v>
      </c>
      <c r="R303" s="1266" t="s">
        <v>720</v>
      </c>
      <c r="S303" s="2106">
        <v>51.951672862453535</v>
      </c>
      <c r="T303" s="1266" t="s">
        <v>136</v>
      </c>
      <c r="U303" s="1742">
        <v>0.56041666666666667</v>
      </c>
      <c r="V303" s="1742">
        <v>2.8020833333333335</v>
      </c>
      <c r="W303" s="1742">
        <v>49.395125</v>
      </c>
      <c r="X303" s="1742">
        <v>77.264645833333333</v>
      </c>
      <c r="Y303" s="2106">
        <v>129.46185416666665</v>
      </c>
      <c r="Z303" s="2106">
        <v>29.114583333333336</v>
      </c>
      <c r="AA303" s="2106">
        <v>145.57291666666669</v>
      </c>
      <c r="AB303" s="2106">
        <v>2566.1593750000002</v>
      </c>
      <c r="AC303" s="2106">
        <v>4014.0276041666671</v>
      </c>
      <c r="AD303" s="1744">
        <v>6725.7598958333338</v>
      </c>
      <c r="AE303" s="2126">
        <v>1</v>
      </c>
      <c r="AF303" s="2126">
        <v>51.951672862453535</v>
      </c>
      <c r="AG303" s="1212">
        <v>1</v>
      </c>
      <c r="AH303" s="1212">
        <v>0</v>
      </c>
      <c r="AI303" s="1212">
        <v>0</v>
      </c>
      <c r="AJ303" s="1212">
        <v>1</v>
      </c>
      <c r="AK303" s="2126">
        <v>6725.7598958333338</v>
      </c>
      <c r="AL303" s="2126">
        <v>0</v>
      </c>
      <c r="AM303" s="2126">
        <v>0</v>
      </c>
      <c r="AN303" s="2126">
        <v>6725.7598958333338</v>
      </c>
      <c r="AO303" s="1743" t="s">
        <v>131</v>
      </c>
      <c r="AP303" s="1743"/>
      <c r="AQ303" s="1764">
        <v>2014</v>
      </c>
      <c r="AR303" s="1743" t="s">
        <v>87</v>
      </c>
      <c r="AS303" s="2135"/>
      <c r="AT303" s="2135"/>
      <c r="AU303" s="1212">
        <v>0.33333333333333331</v>
      </c>
      <c r="AV303" s="1212">
        <v>0.33333333333333331</v>
      </c>
      <c r="AW303" s="1212">
        <v>0.33333333333333331</v>
      </c>
      <c r="AX303" s="1212"/>
      <c r="AY303" s="1212"/>
      <c r="AZ303" s="1212"/>
      <c r="BA303" s="1212"/>
      <c r="BB303" s="1212"/>
      <c r="BC303" s="1212"/>
      <c r="BD303" s="1212"/>
      <c r="BE303" s="1212"/>
      <c r="BF303" s="2126">
        <v>0</v>
      </c>
      <c r="BG303" s="2126">
        <v>0</v>
      </c>
      <c r="BH303" s="2126">
        <v>2241.9199652777779</v>
      </c>
      <c r="BI303" s="2126">
        <v>2241.9199652777779</v>
      </c>
      <c r="BJ303" s="2126">
        <v>2241.9199652777779</v>
      </c>
      <c r="BK303" s="2126">
        <v>0</v>
      </c>
      <c r="BL303" s="2126">
        <v>0</v>
      </c>
      <c r="BM303" s="2126">
        <v>0</v>
      </c>
      <c r="BN303" s="2126">
        <v>0</v>
      </c>
      <c r="BO303" s="2126">
        <v>0</v>
      </c>
      <c r="BP303" s="2126">
        <v>0</v>
      </c>
      <c r="BQ303" s="2126">
        <v>0</v>
      </c>
      <c r="BR303" s="2126">
        <v>0</v>
      </c>
    </row>
    <row r="304" spans="1:70" s="1765" customFormat="1" ht="49.5">
      <c r="A304" s="1272">
        <v>2000</v>
      </c>
      <c r="B304" s="971" t="s">
        <v>119</v>
      </c>
      <c r="C304" s="1272">
        <v>2500</v>
      </c>
      <c r="D304" s="971" t="s">
        <v>452</v>
      </c>
      <c r="E304" s="971" t="s">
        <v>700</v>
      </c>
      <c r="F304" s="971" t="s">
        <v>701</v>
      </c>
      <c r="G304" s="971" t="s">
        <v>700</v>
      </c>
      <c r="H304" s="971" t="s">
        <v>701</v>
      </c>
      <c r="I304" s="1273" t="s">
        <v>721</v>
      </c>
      <c r="J304" s="971" t="s">
        <v>124</v>
      </c>
      <c r="K304" s="971" t="s">
        <v>2857</v>
      </c>
      <c r="L304" s="971" t="s">
        <v>2858</v>
      </c>
      <c r="M304" s="971" t="s">
        <v>703</v>
      </c>
      <c r="N304" s="971" t="s">
        <v>488</v>
      </c>
      <c r="O304" s="971" t="s">
        <v>459</v>
      </c>
      <c r="P304" s="971"/>
      <c r="Q304" s="971" t="s">
        <v>722</v>
      </c>
      <c r="R304" s="1266" t="s">
        <v>723</v>
      </c>
      <c r="S304" s="2106">
        <v>51.951672862453535</v>
      </c>
      <c r="T304" s="1266" t="s">
        <v>136</v>
      </c>
      <c r="U304" s="1742">
        <v>0.56041666666666667</v>
      </c>
      <c r="V304" s="1742">
        <v>2.8020833333333335</v>
      </c>
      <c r="W304" s="1742">
        <v>49.395125</v>
      </c>
      <c r="X304" s="1742">
        <v>77.264645833333333</v>
      </c>
      <c r="Y304" s="2106">
        <v>129.46185416666665</v>
      </c>
      <c r="Z304" s="2106">
        <v>29.114583333333336</v>
      </c>
      <c r="AA304" s="2106">
        <v>145.57291666666669</v>
      </c>
      <c r="AB304" s="2106">
        <v>2566.1593750000002</v>
      </c>
      <c r="AC304" s="2106">
        <v>4014.0276041666671</v>
      </c>
      <c r="AD304" s="1744">
        <v>6725.7598958333338</v>
      </c>
      <c r="AE304" s="2126">
        <v>1</v>
      </c>
      <c r="AF304" s="2126">
        <v>51.951672862453535</v>
      </c>
      <c r="AG304" s="1212">
        <v>1</v>
      </c>
      <c r="AH304" s="1212">
        <v>0</v>
      </c>
      <c r="AI304" s="1212">
        <v>0</v>
      </c>
      <c r="AJ304" s="1212">
        <v>1</v>
      </c>
      <c r="AK304" s="2126">
        <v>6725.7598958333338</v>
      </c>
      <c r="AL304" s="2126">
        <v>0</v>
      </c>
      <c r="AM304" s="2126">
        <v>0</v>
      </c>
      <c r="AN304" s="2126">
        <v>6725.7598958333338</v>
      </c>
      <c r="AO304" s="1743" t="s">
        <v>131</v>
      </c>
      <c r="AP304" s="1743"/>
      <c r="AQ304" s="1764">
        <v>2014</v>
      </c>
      <c r="AR304" s="1743" t="s">
        <v>87</v>
      </c>
      <c r="AS304" s="2135"/>
      <c r="AT304" s="2135"/>
      <c r="AU304" s="1212">
        <v>0.33333333333333331</v>
      </c>
      <c r="AV304" s="1212">
        <v>0.33333333333333331</v>
      </c>
      <c r="AW304" s="1212">
        <v>0.33333333333333331</v>
      </c>
      <c r="AX304" s="1212"/>
      <c r="AY304" s="1212"/>
      <c r="AZ304" s="1212"/>
      <c r="BA304" s="1212"/>
      <c r="BB304" s="1212"/>
      <c r="BC304" s="1212"/>
      <c r="BD304" s="1212"/>
      <c r="BE304" s="1212"/>
      <c r="BF304" s="2126">
        <v>0</v>
      </c>
      <c r="BG304" s="2126">
        <v>0</v>
      </c>
      <c r="BH304" s="2126">
        <v>2241.9199652777779</v>
      </c>
      <c r="BI304" s="2126">
        <v>2241.9199652777779</v>
      </c>
      <c r="BJ304" s="2126">
        <v>2241.9199652777779</v>
      </c>
      <c r="BK304" s="2126">
        <v>0</v>
      </c>
      <c r="BL304" s="2126">
        <v>0</v>
      </c>
      <c r="BM304" s="2126">
        <v>0</v>
      </c>
      <c r="BN304" s="2126">
        <v>0</v>
      </c>
      <c r="BO304" s="2126">
        <v>0</v>
      </c>
      <c r="BP304" s="2126">
        <v>0</v>
      </c>
      <c r="BQ304" s="2126">
        <v>0</v>
      </c>
      <c r="BR304" s="2126">
        <v>0</v>
      </c>
    </row>
    <row r="305" spans="1:70" s="1765" customFormat="1" ht="49.5">
      <c r="A305" s="1272">
        <v>2000</v>
      </c>
      <c r="B305" s="971" t="s">
        <v>119</v>
      </c>
      <c r="C305" s="1272">
        <v>2500</v>
      </c>
      <c r="D305" s="971" t="s">
        <v>452</v>
      </c>
      <c r="E305" s="971" t="s">
        <v>700</v>
      </c>
      <c r="F305" s="971" t="s">
        <v>701</v>
      </c>
      <c r="G305" s="971" t="s">
        <v>700</v>
      </c>
      <c r="H305" s="971" t="s">
        <v>701</v>
      </c>
      <c r="I305" s="1273" t="s">
        <v>724</v>
      </c>
      <c r="J305" s="971" t="s">
        <v>124</v>
      </c>
      <c r="K305" s="971" t="s">
        <v>2857</v>
      </c>
      <c r="L305" s="971" t="s">
        <v>2858</v>
      </c>
      <c r="M305" s="971" t="s">
        <v>703</v>
      </c>
      <c r="N305" s="971" t="s">
        <v>488</v>
      </c>
      <c r="O305" s="971" t="s">
        <v>459</v>
      </c>
      <c r="P305" s="971"/>
      <c r="Q305" s="971" t="s">
        <v>725</v>
      </c>
      <c r="R305" s="1266" t="s">
        <v>726</v>
      </c>
      <c r="S305" s="2106">
        <v>51.951672862453535</v>
      </c>
      <c r="T305" s="1266" t="s">
        <v>136</v>
      </c>
      <c r="U305" s="1742">
        <v>0.56041666666666667</v>
      </c>
      <c r="V305" s="1742">
        <v>2.8020833333333335</v>
      </c>
      <c r="W305" s="1742">
        <v>49.395125</v>
      </c>
      <c r="X305" s="1742">
        <v>77.264645833333333</v>
      </c>
      <c r="Y305" s="2106">
        <v>129.46185416666665</v>
      </c>
      <c r="Z305" s="2106">
        <v>29.114583333333336</v>
      </c>
      <c r="AA305" s="2106">
        <v>145.57291666666669</v>
      </c>
      <c r="AB305" s="2106">
        <v>2566.1593750000002</v>
      </c>
      <c r="AC305" s="2106">
        <v>4014.0276041666671</v>
      </c>
      <c r="AD305" s="1744">
        <v>6725.7598958333338</v>
      </c>
      <c r="AE305" s="2126">
        <v>1</v>
      </c>
      <c r="AF305" s="2126">
        <v>51.951672862453535</v>
      </c>
      <c r="AG305" s="1212">
        <v>1</v>
      </c>
      <c r="AH305" s="1212">
        <v>0</v>
      </c>
      <c r="AI305" s="1212">
        <v>0</v>
      </c>
      <c r="AJ305" s="1212">
        <v>1</v>
      </c>
      <c r="AK305" s="2126">
        <v>6725.7598958333338</v>
      </c>
      <c r="AL305" s="2126">
        <v>0</v>
      </c>
      <c r="AM305" s="2126">
        <v>0</v>
      </c>
      <c r="AN305" s="2126">
        <v>6725.7598958333338</v>
      </c>
      <c r="AO305" s="1743" t="s">
        <v>131</v>
      </c>
      <c r="AP305" s="1743"/>
      <c r="AQ305" s="1764">
        <v>2014</v>
      </c>
      <c r="AR305" s="1743" t="s">
        <v>87</v>
      </c>
      <c r="AS305" s="2135"/>
      <c r="AT305" s="2135"/>
      <c r="AU305" s="1212">
        <v>0.33333333333333331</v>
      </c>
      <c r="AV305" s="1212">
        <v>0.33333333333333331</v>
      </c>
      <c r="AW305" s="1212">
        <v>0.33333333333333331</v>
      </c>
      <c r="AX305" s="1212"/>
      <c r="AY305" s="1212"/>
      <c r="AZ305" s="1212"/>
      <c r="BA305" s="1212"/>
      <c r="BB305" s="1212"/>
      <c r="BC305" s="1212"/>
      <c r="BD305" s="1212"/>
      <c r="BE305" s="1212"/>
      <c r="BF305" s="2126">
        <v>0</v>
      </c>
      <c r="BG305" s="2126">
        <v>0</v>
      </c>
      <c r="BH305" s="2126">
        <v>2241.9199652777779</v>
      </c>
      <c r="BI305" s="2126">
        <v>2241.9199652777779</v>
      </c>
      <c r="BJ305" s="2126">
        <v>2241.9199652777779</v>
      </c>
      <c r="BK305" s="2126">
        <v>0</v>
      </c>
      <c r="BL305" s="2126">
        <v>0</v>
      </c>
      <c r="BM305" s="2126">
        <v>0</v>
      </c>
      <c r="BN305" s="2126">
        <v>0</v>
      </c>
      <c r="BO305" s="2126">
        <v>0</v>
      </c>
      <c r="BP305" s="2126">
        <v>0</v>
      </c>
      <c r="BQ305" s="2126">
        <v>0</v>
      </c>
      <c r="BR305" s="2126">
        <v>0</v>
      </c>
    </row>
    <row r="306" spans="1:70" s="1765" customFormat="1" ht="49.5">
      <c r="A306" s="1272">
        <v>2000</v>
      </c>
      <c r="B306" s="971" t="s">
        <v>119</v>
      </c>
      <c r="C306" s="1272">
        <v>2500</v>
      </c>
      <c r="D306" s="971" t="s">
        <v>452</v>
      </c>
      <c r="E306" s="971" t="s">
        <v>700</v>
      </c>
      <c r="F306" s="971" t="s">
        <v>701</v>
      </c>
      <c r="G306" s="971" t="s">
        <v>700</v>
      </c>
      <c r="H306" s="971" t="s">
        <v>701</v>
      </c>
      <c r="I306" s="1273" t="s">
        <v>727</v>
      </c>
      <c r="J306" s="971" t="s">
        <v>124</v>
      </c>
      <c r="K306" s="971" t="s">
        <v>2857</v>
      </c>
      <c r="L306" s="971" t="s">
        <v>2858</v>
      </c>
      <c r="M306" s="971" t="s">
        <v>703</v>
      </c>
      <c r="N306" s="971" t="s">
        <v>488</v>
      </c>
      <c r="O306" s="971" t="s">
        <v>459</v>
      </c>
      <c r="P306" s="971"/>
      <c r="Q306" s="971" t="s">
        <v>728</v>
      </c>
      <c r="R306" s="1266" t="s">
        <v>729</v>
      </c>
      <c r="S306" s="2106">
        <v>51.951672862453535</v>
      </c>
      <c r="T306" s="1266" t="s">
        <v>136</v>
      </c>
      <c r="U306" s="1742">
        <v>0.56041666666666667</v>
      </c>
      <c r="V306" s="1742">
        <v>2.8020833333333335</v>
      </c>
      <c r="W306" s="1742">
        <v>49.395125</v>
      </c>
      <c r="X306" s="1742">
        <v>77.264645833333333</v>
      </c>
      <c r="Y306" s="2106">
        <v>129.46185416666665</v>
      </c>
      <c r="Z306" s="2106">
        <v>29.114583333333336</v>
      </c>
      <c r="AA306" s="2106">
        <v>145.57291666666669</v>
      </c>
      <c r="AB306" s="2106">
        <v>2566.1593750000002</v>
      </c>
      <c r="AC306" s="2106">
        <v>4014.0276041666671</v>
      </c>
      <c r="AD306" s="1744">
        <v>6725.7598958333338</v>
      </c>
      <c r="AE306" s="2126">
        <v>1</v>
      </c>
      <c r="AF306" s="2126">
        <v>51.951672862453535</v>
      </c>
      <c r="AG306" s="1212">
        <v>1</v>
      </c>
      <c r="AH306" s="1212">
        <v>0</v>
      </c>
      <c r="AI306" s="1212">
        <v>0</v>
      </c>
      <c r="AJ306" s="1212">
        <v>1</v>
      </c>
      <c r="AK306" s="2126">
        <v>6725.7598958333338</v>
      </c>
      <c r="AL306" s="2126">
        <v>0</v>
      </c>
      <c r="AM306" s="2126">
        <v>0</v>
      </c>
      <c r="AN306" s="2126">
        <v>6725.7598958333338</v>
      </c>
      <c r="AO306" s="1743" t="s">
        <v>131</v>
      </c>
      <c r="AP306" s="1743"/>
      <c r="AQ306" s="1764">
        <v>2014</v>
      </c>
      <c r="AR306" s="1743" t="s">
        <v>87</v>
      </c>
      <c r="AS306" s="2135"/>
      <c r="AT306" s="2135"/>
      <c r="AU306" s="1212">
        <v>0.33333333333333331</v>
      </c>
      <c r="AV306" s="1212">
        <v>0.33333333333333331</v>
      </c>
      <c r="AW306" s="1212">
        <v>0.33333333333333331</v>
      </c>
      <c r="AX306" s="1212"/>
      <c r="AY306" s="1212"/>
      <c r="AZ306" s="1212"/>
      <c r="BA306" s="1212"/>
      <c r="BB306" s="1212"/>
      <c r="BC306" s="1212"/>
      <c r="BD306" s="1212"/>
      <c r="BE306" s="1212"/>
      <c r="BF306" s="2126">
        <v>0</v>
      </c>
      <c r="BG306" s="2126">
        <v>0</v>
      </c>
      <c r="BH306" s="2126">
        <v>2241.9199652777779</v>
      </c>
      <c r="BI306" s="2126">
        <v>2241.9199652777779</v>
      </c>
      <c r="BJ306" s="2126">
        <v>2241.9199652777779</v>
      </c>
      <c r="BK306" s="2126">
        <v>0</v>
      </c>
      <c r="BL306" s="2126">
        <v>0</v>
      </c>
      <c r="BM306" s="2126">
        <v>0</v>
      </c>
      <c r="BN306" s="2126">
        <v>0</v>
      </c>
      <c r="BO306" s="2126">
        <v>0</v>
      </c>
      <c r="BP306" s="2126">
        <v>0</v>
      </c>
      <c r="BQ306" s="2126">
        <v>0</v>
      </c>
      <c r="BR306" s="2126">
        <v>0</v>
      </c>
    </row>
    <row r="307" spans="1:70" s="1765" customFormat="1" ht="49.5">
      <c r="A307" s="1272">
        <v>2000</v>
      </c>
      <c r="B307" s="971" t="s">
        <v>119</v>
      </c>
      <c r="C307" s="1272">
        <v>2500</v>
      </c>
      <c r="D307" s="971" t="s">
        <v>452</v>
      </c>
      <c r="E307" s="971" t="s">
        <v>700</v>
      </c>
      <c r="F307" s="971" t="s">
        <v>701</v>
      </c>
      <c r="G307" s="971" t="s">
        <v>700</v>
      </c>
      <c r="H307" s="971" t="s">
        <v>701</v>
      </c>
      <c r="I307" s="1273" t="s">
        <v>730</v>
      </c>
      <c r="J307" s="971" t="s">
        <v>124</v>
      </c>
      <c r="K307" s="971" t="s">
        <v>2857</v>
      </c>
      <c r="L307" s="971" t="s">
        <v>2858</v>
      </c>
      <c r="M307" s="971" t="s">
        <v>703</v>
      </c>
      <c r="N307" s="971" t="s">
        <v>488</v>
      </c>
      <c r="O307" s="971" t="s">
        <v>459</v>
      </c>
      <c r="P307" s="971"/>
      <c r="Q307" s="971" t="s">
        <v>731</v>
      </c>
      <c r="R307" s="1266" t="s">
        <v>732</v>
      </c>
      <c r="S307" s="2106">
        <v>51.951672862453535</v>
      </c>
      <c r="T307" s="1266" t="s">
        <v>136</v>
      </c>
      <c r="U307" s="1742">
        <v>0.56041666666666667</v>
      </c>
      <c r="V307" s="1742">
        <v>2.8020833333333335</v>
      </c>
      <c r="W307" s="1742">
        <v>49.395125</v>
      </c>
      <c r="X307" s="1742">
        <v>77.264645833333333</v>
      </c>
      <c r="Y307" s="2106">
        <v>129.46185416666665</v>
      </c>
      <c r="Z307" s="2106">
        <v>29.114583333333336</v>
      </c>
      <c r="AA307" s="2106">
        <v>145.57291666666669</v>
      </c>
      <c r="AB307" s="2106">
        <v>2566.1593750000002</v>
      </c>
      <c r="AC307" s="2106">
        <v>4014.0276041666671</v>
      </c>
      <c r="AD307" s="1744">
        <v>6725.7598958333338</v>
      </c>
      <c r="AE307" s="2126">
        <v>1</v>
      </c>
      <c r="AF307" s="2126">
        <v>51.951672862453535</v>
      </c>
      <c r="AG307" s="1212">
        <v>1</v>
      </c>
      <c r="AH307" s="1212">
        <v>0</v>
      </c>
      <c r="AI307" s="1212">
        <v>0</v>
      </c>
      <c r="AJ307" s="1212">
        <v>1</v>
      </c>
      <c r="AK307" s="2126">
        <v>6725.7598958333338</v>
      </c>
      <c r="AL307" s="2126">
        <v>0</v>
      </c>
      <c r="AM307" s="2126">
        <v>0</v>
      </c>
      <c r="AN307" s="2126">
        <v>6725.7598958333338</v>
      </c>
      <c r="AO307" s="1743" t="s">
        <v>131</v>
      </c>
      <c r="AP307" s="1743"/>
      <c r="AQ307" s="1764">
        <v>2014</v>
      </c>
      <c r="AR307" s="1743" t="s">
        <v>87</v>
      </c>
      <c r="AS307" s="2135"/>
      <c r="AT307" s="2135"/>
      <c r="AU307" s="1212">
        <v>0.33333333333333331</v>
      </c>
      <c r="AV307" s="1212">
        <v>0.33333333333333331</v>
      </c>
      <c r="AW307" s="1212">
        <v>0.33333333333333331</v>
      </c>
      <c r="AX307" s="1212"/>
      <c r="AY307" s="1212"/>
      <c r="AZ307" s="1212"/>
      <c r="BA307" s="1212"/>
      <c r="BB307" s="1212"/>
      <c r="BC307" s="1212"/>
      <c r="BD307" s="1212"/>
      <c r="BE307" s="1212"/>
      <c r="BF307" s="2126">
        <v>0</v>
      </c>
      <c r="BG307" s="2126">
        <v>0</v>
      </c>
      <c r="BH307" s="2126">
        <v>2241.9199652777779</v>
      </c>
      <c r="BI307" s="2126">
        <v>2241.9199652777779</v>
      </c>
      <c r="BJ307" s="2126">
        <v>2241.9199652777779</v>
      </c>
      <c r="BK307" s="2126">
        <v>0</v>
      </c>
      <c r="BL307" s="2126">
        <v>0</v>
      </c>
      <c r="BM307" s="2126">
        <v>0</v>
      </c>
      <c r="BN307" s="2126">
        <v>0</v>
      </c>
      <c r="BO307" s="2126">
        <v>0</v>
      </c>
      <c r="BP307" s="2126">
        <v>0</v>
      </c>
      <c r="BQ307" s="2126">
        <v>0</v>
      </c>
      <c r="BR307" s="2126">
        <v>0</v>
      </c>
    </row>
    <row r="308" spans="1:70" s="1765" customFormat="1" ht="49.5">
      <c r="A308" s="1272">
        <v>2000</v>
      </c>
      <c r="B308" s="971" t="s">
        <v>119</v>
      </c>
      <c r="C308" s="1272">
        <v>2500</v>
      </c>
      <c r="D308" s="971" t="s">
        <v>452</v>
      </c>
      <c r="E308" s="971" t="s">
        <v>700</v>
      </c>
      <c r="F308" s="971" t="s">
        <v>701</v>
      </c>
      <c r="G308" s="971" t="s">
        <v>700</v>
      </c>
      <c r="H308" s="971" t="s">
        <v>701</v>
      </c>
      <c r="I308" s="1273" t="s">
        <v>733</v>
      </c>
      <c r="J308" s="971" t="s">
        <v>124</v>
      </c>
      <c r="K308" s="971" t="s">
        <v>2857</v>
      </c>
      <c r="L308" s="971" t="s">
        <v>2858</v>
      </c>
      <c r="M308" s="971" t="s">
        <v>734</v>
      </c>
      <c r="N308" s="971" t="s">
        <v>488</v>
      </c>
      <c r="O308" s="971" t="s">
        <v>128</v>
      </c>
      <c r="P308" s="971"/>
      <c r="Q308" s="971" t="s">
        <v>735</v>
      </c>
      <c r="R308" s="1266" t="s">
        <v>736</v>
      </c>
      <c r="S308" s="2106">
        <v>29.739776951672862</v>
      </c>
      <c r="T308" s="1266" t="s">
        <v>136</v>
      </c>
      <c r="U308" s="1742">
        <v>0.56041666666666667</v>
      </c>
      <c r="V308" s="1742">
        <v>2.8020833333333335</v>
      </c>
      <c r="W308" s="1742">
        <v>49.395125</v>
      </c>
      <c r="X308" s="1742">
        <v>77.264645833333333</v>
      </c>
      <c r="Y308" s="2106">
        <v>129.46185416666665</v>
      </c>
      <c r="Z308" s="2106">
        <v>16.666666666666668</v>
      </c>
      <c r="AA308" s="2106">
        <v>83.333333333333343</v>
      </c>
      <c r="AB308" s="2106">
        <v>1469</v>
      </c>
      <c r="AC308" s="2106">
        <v>2297.8333333333335</v>
      </c>
      <c r="AD308" s="1744">
        <v>3850.166666666667</v>
      </c>
      <c r="AE308" s="2126">
        <v>1</v>
      </c>
      <c r="AF308" s="2126">
        <v>29.739776951672862</v>
      </c>
      <c r="AG308" s="1212">
        <v>1</v>
      </c>
      <c r="AH308" s="1212">
        <v>0</v>
      </c>
      <c r="AI308" s="1212">
        <v>0</v>
      </c>
      <c r="AJ308" s="1212">
        <v>1</v>
      </c>
      <c r="AK308" s="2126">
        <v>3850.166666666667</v>
      </c>
      <c r="AL308" s="2126">
        <v>0</v>
      </c>
      <c r="AM308" s="2126">
        <v>0</v>
      </c>
      <c r="AN308" s="2126">
        <v>3850.166666666667</v>
      </c>
      <c r="AO308" s="1743" t="s">
        <v>131</v>
      </c>
      <c r="AP308" s="1743"/>
      <c r="AQ308" s="1764">
        <v>2014</v>
      </c>
      <c r="AR308" s="1743" t="s">
        <v>87</v>
      </c>
      <c r="AS308" s="2135"/>
      <c r="AT308" s="2135"/>
      <c r="AU308" s="1212">
        <v>0.33333333333333331</v>
      </c>
      <c r="AV308" s="1212">
        <v>0.33333333333333331</v>
      </c>
      <c r="AW308" s="1212">
        <v>0.33333333333333331</v>
      </c>
      <c r="AX308" s="1212"/>
      <c r="AY308" s="1212"/>
      <c r="AZ308" s="1212"/>
      <c r="BA308" s="1212"/>
      <c r="BB308" s="1212"/>
      <c r="BC308" s="1212"/>
      <c r="BD308" s="1212"/>
      <c r="BE308" s="1212"/>
      <c r="BF308" s="2126">
        <v>0</v>
      </c>
      <c r="BG308" s="2126">
        <v>0</v>
      </c>
      <c r="BH308" s="2126">
        <v>1283.3888888888889</v>
      </c>
      <c r="BI308" s="2126">
        <v>1283.3888888888889</v>
      </c>
      <c r="BJ308" s="2126">
        <v>1283.3888888888889</v>
      </c>
      <c r="BK308" s="2126">
        <v>0</v>
      </c>
      <c r="BL308" s="2126">
        <v>0</v>
      </c>
      <c r="BM308" s="2126">
        <v>0</v>
      </c>
      <c r="BN308" s="2126">
        <v>0</v>
      </c>
      <c r="BO308" s="2126">
        <v>0</v>
      </c>
      <c r="BP308" s="2126">
        <v>0</v>
      </c>
      <c r="BQ308" s="2126">
        <v>0</v>
      </c>
      <c r="BR308" s="2126">
        <v>0</v>
      </c>
    </row>
    <row r="309" spans="1:70" s="1765" customFormat="1" ht="33">
      <c r="A309" s="1272">
        <v>2000</v>
      </c>
      <c r="B309" s="971" t="s">
        <v>119</v>
      </c>
      <c r="C309" s="1272">
        <v>2500</v>
      </c>
      <c r="D309" s="971" t="s">
        <v>452</v>
      </c>
      <c r="E309" s="971" t="s">
        <v>700</v>
      </c>
      <c r="F309" s="971" t="s">
        <v>701</v>
      </c>
      <c r="G309" s="971" t="s">
        <v>700</v>
      </c>
      <c r="H309" s="971" t="s">
        <v>701</v>
      </c>
      <c r="I309" s="1273" t="s">
        <v>737</v>
      </c>
      <c r="J309" s="971" t="s">
        <v>124</v>
      </c>
      <c r="K309" s="971" t="s">
        <v>140</v>
      </c>
      <c r="L309" s="971" t="s">
        <v>2909</v>
      </c>
      <c r="M309" s="971" t="s">
        <v>140</v>
      </c>
      <c r="N309" s="971" t="s">
        <v>141</v>
      </c>
      <c r="O309" s="971" t="s">
        <v>142</v>
      </c>
      <c r="P309" s="971"/>
      <c r="Q309" s="971" t="s">
        <v>738</v>
      </c>
      <c r="R309" s="1266" t="s">
        <v>736</v>
      </c>
      <c r="S309" s="2106">
        <v>29.739776951672862</v>
      </c>
      <c r="T309" s="1266" t="s">
        <v>136</v>
      </c>
      <c r="U309" s="1742">
        <v>0</v>
      </c>
      <c r="V309" s="1742">
        <v>0</v>
      </c>
      <c r="W309" s="1742">
        <v>0</v>
      </c>
      <c r="X309" s="1742">
        <v>0</v>
      </c>
      <c r="Y309" s="2106">
        <v>0</v>
      </c>
      <c r="Z309" s="2106">
        <v>0</v>
      </c>
      <c r="AA309" s="2106">
        <v>0</v>
      </c>
      <c r="AB309" s="2106">
        <v>0</v>
      </c>
      <c r="AC309" s="2106">
        <v>0</v>
      </c>
      <c r="AD309" s="1744">
        <v>0</v>
      </c>
      <c r="AE309" s="2126">
        <v>0</v>
      </c>
      <c r="AF309" s="2126">
        <v>0</v>
      </c>
      <c r="AG309" s="1212">
        <v>1</v>
      </c>
      <c r="AH309" s="1212">
        <v>0</v>
      </c>
      <c r="AI309" s="1212">
        <v>0</v>
      </c>
      <c r="AJ309" s="1212">
        <v>1</v>
      </c>
      <c r="AK309" s="2126">
        <v>0</v>
      </c>
      <c r="AL309" s="2126">
        <v>0</v>
      </c>
      <c r="AM309" s="2126">
        <v>0</v>
      </c>
      <c r="AN309" s="2126">
        <v>0</v>
      </c>
      <c r="AO309" s="1743" t="s">
        <v>131</v>
      </c>
      <c r="AP309" s="1743"/>
      <c r="AQ309" s="1764">
        <v>2014</v>
      </c>
      <c r="AR309" s="1743" t="s">
        <v>87</v>
      </c>
      <c r="AS309" s="2135"/>
      <c r="AT309" s="2135"/>
      <c r="AU309" s="1212">
        <v>0.33333333333333331</v>
      </c>
      <c r="AV309" s="1212">
        <v>0.33333333333333331</v>
      </c>
      <c r="AW309" s="1212">
        <v>0.33333333333333331</v>
      </c>
      <c r="AX309" s="1212"/>
      <c r="AY309" s="1212"/>
      <c r="AZ309" s="1212"/>
      <c r="BA309" s="1212"/>
      <c r="BB309" s="1212"/>
      <c r="BC309" s="1212"/>
      <c r="BD309" s="1212"/>
      <c r="BE309" s="1212"/>
      <c r="BF309" s="2126">
        <v>0</v>
      </c>
      <c r="BG309" s="2126">
        <v>0</v>
      </c>
      <c r="BH309" s="2126">
        <v>0</v>
      </c>
      <c r="BI309" s="2126">
        <v>0</v>
      </c>
      <c r="BJ309" s="2126">
        <v>0</v>
      </c>
      <c r="BK309" s="2126">
        <v>0</v>
      </c>
      <c r="BL309" s="2126">
        <v>0</v>
      </c>
      <c r="BM309" s="2126">
        <v>0</v>
      </c>
      <c r="BN309" s="2126">
        <v>0</v>
      </c>
      <c r="BO309" s="2126">
        <v>0</v>
      </c>
      <c r="BP309" s="2126">
        <v>0</v>
      </c>
      <c r="BQ309" s="2126">
        <v>0</v>
      </c>
      <c r="BR309" s="2126">
        <v>0</v>
      </c>
    </row>
    <row r="310" spans="1:70" s="1765" customFormat="1" ht="33">
      <c r="A310" s="1272">
        <v>2000</v>
      </c>
      <c r="B310" s="971" t="s">
        <v>119</v>
      </c>
      <c r="C310" s="1272">
        <v>2500</v>
      </c>
      <c r="D310" s="971" t="s">
        <v>452</v>
      </c>
      <c r="E310" s="971" t="s">
        <v>700</v>
      </c>
      <c r="F310" s="971" t="s">
        <v>701</v>
      </c>
      <c r="G310" s="971" t="s">
        <v>700</v>
      </c>
      <c r="H310" s="971" t="s">
        <v>701</v>
      </c>
      <c r="I310" s="1273" t="s">
        <v>739</v>
      </c>
      <c r="J310" s="971" t="s">
        <v>124</v>
      </c>
      <c r="K310" s="971"/>
      <c r="L310" s="971" t="e">
        <v>#N/A</v>
      </c>
      <c r="M310" s="971" t="s">
        <v>145</v>
      </c>
      <c r="N310" s="971" t="s">
        <v>141</v>
      </c>
      <c r="O310" s="971" t="s">
        <v>146</v>
      </c>
      <c r="P310" s="971"/>
      <c r="Q310" s="971" t="s">
        <v>740</v>
      </c>
      <c r="R310" s="1266" t="s">
        <v>736</v>
      </c>
      <c r="S310" s="2106">
        <v>29.739776951672862</v>
      </c>
      <c r="T310" s="1266" t="s">
        <v>136</v>
      </c>
      <c r="U310" s="1742" t="s">
        <v>6588</v>
      </c>
      <c r="V310" s="1742" t="s">
        <v>6588</v>
      </c>
      <c r="W310" s="1742" t="s">
        <v>6588</v>
      </c>
      <c r="X310" s="1742" t="s">
        <v>6588</v>
      </c>
      <c r="Y310" s="2106" t="s">
        <v>6588</v>
      </c>
      <c r="Z310" s="2106">
        <v>0</v>
      </c>
      <c r="AA310" s="2106">
        <v>0</v>
      </c>
      <c r="AB310" s="2106">
        <v>0</v>
      </c>
      <c r="AC310" s="2106">
        <v>0</v>
      </c>
      <c r="AD310" s="1744">
        <v>0</v>
      </c>
      <c r="AE310" s="2126">
        <v>0</v>
      </c>
      <c r="AF310" s="2126">
        <v>0</v>
      </c>
      <c r="AG310" s="1212">
        <v>1</v>
      </c>
      <c r="AH310" s="1212">
        <v>0</v>
      </c>
      <c r="AI310" s="1212">
        <v>0</v>
      </c>
      <c r="AJ310" s="1212">
        <v>1</v>
      </c>
      <c r="AK310" s="2126">
        <v>0</v>
      </c>
      <c r="AL310" s="2126">
        <v>0</v>
      </c>
      <c r="AM310" s="2126">
        <v>0</v>
      </c>
      <c r="AN310" s="2126">
        <v>0</v>
      </c>
      <c r="AO310" s="1743" t="s">
        <v>131</v>
      </c>
      <c r="AP310" s="1743"/>
      <c r="AQ310" s="1764">
        <v>2014</v>
      </c>
      <c r="AR310" s="1743" t="s">
        <v>87</v>
      </c>
      <c r="AS310" s="2135"/>
      <c r="AT310" s="2135"/>
      <c r="AU310" s="1212">
        <v>0.33333333333333331</v>
      </c>
      <c r="AV310" s="1212">
        <v>0.33333333333333331</v>
      </c>
      <c r="AW310" s="1212">
        <v>0.33333333333333331</v>
      </c>
      <c r="AX310" s="1212"/>
      <c r="AY310" s="1212"/>
      <c r="AZ310" s="1212"/>
      <c r="BA310" s="1212"/>
      <c r="BB310" s="1212"/>
      <c r="BC310" s="1212"/>
      <c r="BD310" s="1212"/>
      <c r="BE310" s="1212"/>
      <c r="BF310" s="2126">
        <v>0</v>
      </c>
      <c r="BG310" s="2126">
        <v>0</v>
      </c>
      <c r="BH310" s="2126">
        <v>0</v>
      </c>
      <c r="BI310" s="2126">
        <v>0</v>
      </c>
      <c r="BJ310" s="2126">
        <v>0</v>
      </c>
      <c r="BK310" s="2126">
        <v>0</v>
      </c>
      <c r="BL310" s="2126">
        <v>0</v>
      </c>
      <c r="BM310" s="2126">
        <v>0</v>
      </c>
      <c r="BN310" s="2126">
        <v>0</v>
      </c>
      <c r="BO310" s="2126">
        <v>0</v>
      </c>
      <c r="BP310" s="2126">
        <v>0</v>
      </c>
      <c r="BQ310" s="2126">
        <v>0</v>
      </c>
      <c r="BR310" s="2126">
        <v>0</v>
      </c>
    </row>
    <row r="311" spans="1:70" s="1765" customFormat="1" ht="33">
      <c r="A311" s="1272">
        <v>2000</v>
      </c>
      <c r="B311" s="971" t="s">
        <v>119</v>
      </c>
      <c r="C311" s="1272">
        <v>2500</v>
      </c>
      <c r="D311" s="971" t="s">
        <v>452</v>
      </c>
      <c r="E311" s="971" t="s">
        <v>700</v>
      </c>
      <c r="F311" s="971" t="s">
        <v>701</v>
      </c>
      <c r="G311" s="971" t="s">
        <v>700</v>
      </c>
      <c r="H311" s="971" t="s">
        <v>701</v>
      </c>
      <c r="I311" s="1273" t="s">
        <v>741</v>
      </c>
      <c r="J311" s="971" t="s">
        <v>124</v>
      </c>
      <c r="K311" s="971" t="s">
        <v>140</v>
      </c>
      <c r="L311" s="971" t="s">
        <v>2909</v>
      </c>
      <c r="M311" s="971" t="s">
        <v>140</v>
      </c>
      <c r="N311" s="971" t="s">
        <v>141</v>
      </c>
      <c r="O311" s="971" t="s">
        <v>142</v>
      </c>
      <c r="P311" s="971"/>
      <c r="Q311" s="971" t="s">
        <v>742</v>
      </c>
      <c r="R311" s="1266" t="s">
        <v>711</v>
      </c>
      <c r="S311" s="2106">
        <v>51.951672862453535</v>
      </c>
      <c r="T311" s="1266" t="s">
        <v>136</v>
      </c>
      <c r="U311" s="1742">
        <v>0</v>
      </c>
      <c r="V311" s="1742">
        <v>0</v>
      </c>
      <c r="W311" s="1742">
        <v>0</v>
      </c>
      <c r="X311" s="1742">
        <v>0</v>
      </c>
      <c r="Y311" s="2106">
        <v>0</v>
      </c>
      <c r="Z311" s="2106">
        <v>0</v>
      </c>
      <c r="AA311" s="2106">
        <v>0</v>
      </c>
      <c r="AB311" s="2106">
        <v>0</v>
      </c>
      <c r="AC311" s="2106">
        <v>0</v>
      </c>
      <c r="AD311" s="1744">
        <v>0</v>
      </c>
      <c r="AE311" s="2126">
        <v>0</v>
      </c>
      <c r="AF311" s="2126">
        <v>0</v>
      </c>
      <c r="AG311" s="1212">
        <v>1</v>
      </c>
      <c r="AH311" s="1212">
        <v>0</v>
      </c>
      <c r="AI311" s="1212">
        <v>0</v>
      </c>
      <c r="AJ311" s="1212">
        <v>1</v>
      </c>
      <c r="AK311" s="2126">
        <v>0</v>
      </c>
      <c r="AL311" s="2126">
        <v>0</v>
      </c>
      <c r="AM311" s="2126">
        <v>0</v>
      </c>
      <c r="AN311" s="2126">
        <v>0</v>
      </c>
      <c r="AO311" s="1743" t="s">
        <v>131</v>
      </c>
      <c r="AP311" s="1743"/>
      <c r="AQ311" s="1764">
        <v>2014</v>
      </c>
      <c r="AR311" s="1743" t="s">
        <v>87</v>
      </c>
      <c r="AS311" s="2135"/>
      <c r="AT311" s="2135"/>
      <c r="AU311" s="1212">
        <v>0.33333333333333331</v>
      </c>
      <c r="AV311" s="1212">
        <v>0.33333333333333331</v>
      </c>
      <c r="AW311" s="1212">
        <v>0.33333333333333331</v>
      </c>
      <c r="AX311" s="1212"/>
      <c r="AY311" s="1212"/>
      <c r="AZ311" s="1212"/>
      <c r="BA311" s="1212"/>
      <c r="BB311" s="1212"/>
      <c r="BC311" s="1212"/>
      <c r="BD311" s="1212"/>
      <c r="BE311" s="1212"/>
      <c r="BF311" s="2126">
        <v>0</v>
      </c>
      <c r="BG311" s="2126">
        <v>0</v>
      </c>
      <c r="BH311" s="2126">
        <v>0</v>
      </c>
      <c r="BI311" s="2126">
        <v>0</v>
      </c>
      <c r="BJ311" s="2126">
        <v>0</v>
      </c>
      <c r="BK311" s="2126">
        <v>0</v>
      </c>
      <c r="BL311" s="2126">
        <v>0</v>
      </c>
      <c r="BM311" s="2126">
        <v>0</v>
      </c>
      <c r="BN311" s="2126">
        <v>0</v>
      </c>
      <c r="BO311" s="2126">
        <v>0</v>
      </c>
      <c r="BP311" s="2126">
        <v>0</v>
      </c>
      <c r="BQ311" s="2126">
        <v>0</v>
      </c>
      <c r="BR311" s="2126">
        <v>0</v>
      </c>
    </row>
    <row r="312" spans="1:70" s="1765" customFormat="1" ht="33">
      <c r="A312" s="1272">
        <v>2000</v>
      </c>
      <c r="B312" s="971" t="s">
        <v>119</v>
      </c>
      <c r="C312" s="1272">
        <v>2500</v>
      </c>
      <c r="D312" s="971" t="s">
        <v>452</v>
      </c>
      <c r="E312" s="971" t="s">
        <v>700</v>
      </c>
      <c r="F312" s="971" t="s">
        <v>701</v>
      </c>
      <c r="G312" s="971" t="s">
        <v>700</v>
      </c>
      <c r="H312" s="971" t="s">
        <v>701</v>
      </c>
      <c r="I312" s="1273" t="s">
        <v>743</v>
      </c>
      <c r="J312" s="971" t="s">
        <v>124</v>
      </c>
      <c r="K312" s="971"/>
      <c r="L312" s="971" t="e">
        <v>#N/A</v>
      </c>
      <c r="M312" s="971" t="s">
        <v>145</v>
      </c>
      <c r="N312" s="971" t="s">
        <v>141</v>
      </c>
      <c r="O312" s="971" t="s">
        <v>146</v>
      </c>
      <c r="P312" s="971"/>
      <c r="Q312" s="971" t="s">
        <v>744</v>
      </c>
      <c r="R312" s="1266" t="s">
        <v>711</v>
      </c>
      <c r="S312" s="2106">
        <v>51.951672862453535</v>
      </c>
      <c r="T312" s="1266" t="s">
        <v>136</v>
      </c>
      <c r="U312" s="1742" t="s">
        <v>6588</v>
      </c>
      <c r="V312" s="1742" t="s">
        <v>6588</v>
      </c>
      <c r="W312" s="1742" t="s">
        <v>6588</v>
      </c>
      <c r="X312" s="1742" t="s">
        <v>6588</v>
      </c>
      <c r="Y312" s="2106" t="s">
        <v>6588</v>
      </c>
      <c r="Z312" s="2106">
        <v>0</v>
      </c>
      <c r="AA312" s="2106">
        <v>0</v>
      </c>
      <c r="AB312" s="2106">
        <v>0</v>
      </c>
      <c r="AC312" s="2106">
        <v>0</v>
      </c>
      <c r="AD312" s="1744">
        <v>0</v>
      </c>
      <c r="AE312" s="2126">
        <v>0</v>
      </c>
      <c r="AF312" s="2126">
        <v>0</v>
      </c>
      <c r="AG312" s="1212">
        <v>1</v>
      </c>
      <c r="AH312" s="1212">
        <v>0</v>
      </c>
      <c r="AI312" s="1212">
        <v>0</v>
      </c>
      <c r="AJ312" s="1212">
        <v>1</v>
      </c>
      <c r="AK312" s="2126">
        <v>0</v>
      </c>
      <c r="AL312" s="2126">
        <v>0</v>
      </c>
      <c r="AM312" s="2126">
        <v>0</v>
      </c>
      <c r="AN312" s="2126">
        <v>0</v>
      </c>
      <c r="AO312" s="1743" t="s">
        <v>131</v>
      </c>
      <c r="AP312" s="1743"/>
      <c r="AQ312" s="1764">
        <v>2014</v>
      </c>
      <c r="AR312" s="1743" t="s">
        <v>87</v>
      </c>
      <c r="AS312" s="2135"/>
      <c r="AT312" s="2135"/>
      <c r="AU312" s="1212">
        <v>0.33333333333333331</v>
      </c>
      <c r="AV312" s="1212">
        <v>0.33333333333333331</v>
      </c>
      <c r="AW312" s="1212">
        <v>0.33333333333333331</v>
      </c>
      <c r="AX312" s="1212"/>
      <c r="AY312" s="1212"/>
      <c r="AZ312" s="1212"/>
      <c r="BA312" s="1212"/>
      <c r="BB312" s="1212"/>
      <c r="BC312" s="1212"/>
      <c r="BD312" s="1212"/>
      <c r="BE312" s="1212"/>
      <c r="BF312" s="2126">
        <v>0</v>
      </c>
      <c r="BG312" s="2126">
        <v>0</v>
      </c>
      <c r="BH312" s="2126">
        <v>0</v>
      </c>
      <c r="BI312" s="2126">
        <v>0</v>
      </c>
      <c r="BJ312" s="2126">
        <v>0</v>
      </c>
      <c r="BK312" s="2126">
        <v>0</v>
      </c>
      <c r="BL312" s="2126">
        <v>0</v>
      </c>
      <c r="BM312" s="2126">
        <v>0</v>
      </c>
      <c r="BN312" s="2126">
        <v>0</v>
      </c>
      <c r="BO312" s="2126">
        <v>0</v>
      </c>
      <c r="BP312" s="2126">
        <v>0</v>
      </c>
      <c r="BQ312" s="2126">
        <v>0</v>
      </c>
      <c r="BR312" s="2126">
        <v>0</v>
      </c>
    </row>
    <row r="313" spans="1:70" s="1765" customFormat="1" ht="33">
      <c r="A313" s="1272">
        <v>2000</v>
      </c>
      <c r="B313" s="971" t="s">
        <v>119</v>
      </c>
      <c r="C313" s="1272">
        <v>2500</v>
      </c>
      <c r="D313" s="971" t="s">
        <v>452</v>
      </c>
      <c r="E313" s="971" t="s">
        <v>700</v>
      </c>
      <c r="F313" s="971" t="s">
        <v>701</v>
      </c>
      <c r="G313" s="971" t="s">
        <v>700</v>
      </c>
      <c r="H313" s="971" t="s">
        <v>701</v>
      </c>
      <c r="I313" s="1273" t="s">
        <v>745</v>
      </c>
      <c r="J313" s="971" t="s">
        <v>124</v>
      </c>
      <c r="K313" s="971" t="s">
        <v>140</v>
      </c>
      <c r="L313" s="971" t="s">
        <v>2909</v>
      </c>
      <c r="M313" s="971" t="s">
        <v>140</v>
      </c>
      <c r="N313" s="971" t="s">
        <v>141</v>
      </c>
      <c r="O313" s="971" t="s">
        <v>142</v>
      </c>
      <c r="P313" s="971"/>
      <c r="Q313" s="971" t="s">
        <v>746</v>
      </c>
      <c r="R313" s="1266" t="s">
        <v>714</v>
      </c>
      <c r="S313" s="2106">
        <v>51.951672862453535</v>
      </c>
      <c r="T313" s="1266" t="s">
        <v>136</v>
      </c>
      <c r="U313" s="1742">
        <v>0</v>
      </c>
      <c r="V313" s="1742">
        <v>0</v>
      </c>
      <c r="W313" s="1742">
        <v>0</v>
      </c>
      <c r="X313" s="1742">
        <v>0</v>
      </c>
      <c r="Y313" s="2106">
        <v>0</v>
      </c>
      <c r="Z313" s="2106">
        <v>0</v>
      </c>
      <c r="AA313" s="2106">
        <v>0</v>
      </c>
      <c r="AB313" s="2106">
        <v>0</v>
      </c>
      <c r="AC313" s="2106">
        <v>0</v>
      </c>
      <c r="AD313" s="1744">
        <v>0</v>
      </c>
      <c r="AE313" s="2126">
        <v>0</v>
      </c>
      <c r="AF313" s="2126">
        <v>0</v>
      </c>
      <c r="AG313" s="1212">
        <v>1</v>
      </c>
      <c r="AH313" s="1212">
        <v>0</v>
      </c>
      <c r="AI313" s="1212">
        <v>0</v>
      </c>
      <c r="AJ313" s="1212">
        <v>1</v>
      </c>
      <c r="AK313" s="2126">
        <v>0</v>
      </c>
      <c r="AL313" s="2126">
        <v>0</v>
      </c>
      <c r="AM313" s="2126">
        <v>0</v>
      </c>
      <c r="AN313" s="2126">
        <v>0</v>
      </c>
      <c r="AO313" s="1743" t="s">
        <v>131</v>
      </c>
      <c r="AP313" s="1743"/>
      <c r="AQ313" s="1764">
        <v>2014</v>
      </c>
      <c r="AR313" s="1743" t="s">
        <v>87</v>
      </c>
      <c r="AS313" s="2135"/>
      <c r="AT313" s="2135"/>
      <c r="AU313" s="1212">
        <v>0.33333333333333331</v>
      </c>
      <c r="AV313" s="1212">
        <v>0.33333333333333331</v>
      </c>
      <c r="AW313" s="1212">
        <v>0.33333333333333331</v>
      </c>
      <c r="AX313" s="1212"/>
      <c r="AY313" s="1212"/>
      <c r="AZ313" s="1212"/>
      <c r="BA313" s="1212"/>
      <c r="BB313" s="1212"/>
      <c r="BC313" s="1212"/>
      <c r="BD313" s="1212"/>
      <c r="BE313" s="1212"/>
      <c r="BF313" s="2126">
        <v>0</v>
      </c>
      <c r="BG313" s="2126">
        <v>0</v>
      </c>
      <c r="BH313" s="2126">
        <v>0</v>
      </c>
      <c r="BI313" s="2126">
        <v>0</v>
      </c>
      <c r="BJ313" s="2126">
        <v>0</v>
      </c>
      <c r="BK313" s="2126">
        <v>0</v>
      </c>
      <c r="BL313" s="2126">
        <v>0</v>
      </c>
      <c r="BM313" s="2126">
        <v>0</v>
      </c>
      <c r="BN313" s="2126">
        <v>0</v>
      </c>
      <c r="BO313" s="2126">
        <v>0</v>
      </c>
      <c r="BP313" s="2126">
        <v>0</v>
      </c>
      <c r="BQ313" s="2126">
        <v>0</v>
      </c>
      <c r="BR313" s="2126">
        <v>0</v>
      </c>
    </row>
    <row r="314" spans="1:70" s="1765" customFormat="1" ht="33">
      <c r="A314" s="1272">
        <v>2000</v>
      </c>
      <c r="B314" s="971" t="s">
        <v>119</v>
      </c>
      <c r="C314" s="1272">
        <v>2500</v>
      </c>
      <c r="D314" s="971" t="s">
        <v>452</v>
      </c>
      <c r="E314" s="971" t="s">
        <v>700</v>
      </c>
      <c r="F314" s="971" t="s">
        <v>701</v>
      </c>
      <c r="G314" s="971" t="s">
        <v>700</v>
      </c>
      <c r="H314" s="971" t="s">
        <v>701</v>
      </c>
      <c r="I314" s="1273" t="s">
        <v>747</v>
      </c>
      <c r="J314" s="971" t="s">
        <v>124</v>
      </c>
      <c r="K314" s="971"/>
      <c r="L314" s="971" t="e">
        <v>#N/A</v>
      </c>
      <c r="M314" s="971" t="s">
        <v>145</v>
      </c>
      <c r="N314" s="971" t="s">
        <v>141</v>
      </c>
      <c r="O314" s="971" t="s">
        <v>146</v>
      </c>
      <c r="P314" s="971"/>
      <c r="Q314" s="971" t="s">
        <v>748</v>
      </c>
      <c r="R314" s="1266" t="s">
        <v>714</v>
      </c>
      <c r="S314" s="2106">
        <v>51.951672862453535</v>
      </c>
      <c r="T314" s="1266" t="s">
        <v>136</v>
      </c>
      <c r="U314" s="1742" t="s">
        <v>6588</v>
      </c>
      <c r="V314" s="1742" t="s">
        <v>6588</v>
      </c>
      <c r="W314" s="1742" t="s">
        <v>6588</v>
      </c>
      <c r="X314" s="1742" t="s">
        <v>6588</v>
      </c>
      <c r="Y314" s="2106" t="s">
        <v>6588</v>
      </c>
      <c r="Z314" s="2106">
        <v>0</v>
      </c>
      <c r="AA314" s="2106">
        <v>0</v>
      </c>
      <c r="AB314" s="2106">
        <v>0</v>
      </c>
      <c r="AC314" s="2106">
        <v>0</v>
      </c>
      <c r="AD314" s="1744">
        <v>0</v>
      </c>
      <c r="AE314" s="2126">
        <v>0</v>
      </c>
      <c r="AF314" s="2126">
        <v>0</v>
      </c>
      <c r="AG314" s="1212">
        <v>1</v>
      </c>
      <c r="AH314" s="1212">
        <v>0</v>
      </c>
      <c r="AI314" s="1212">
        <v>0</v>
      </c>
      <c r="AJ314" s="1212">
        <v>1</v>
      </c>
      <c r="AK314" s="2126">
        <v>0</v>
      </c>
      <c r="AL314" s="2126">
        <v>0</v>
      </c>
      <c r="AM314" s="2126">
        <v>0</v>
      </c>
      <c r="AN314" s="2126">
        <v>0</v>
      </c>
      <c r="AO314" s="1743" t="s">
        <v>131</v>
      </c>
      <c r="AP314" s="1743"/>
      <c r="AQ314" s="1764">
        <v>2014</v>
      </c>
      <c r="AR314" s="1743" t="s">
        <v>87</v>
      </c>
      <c r="AS314" s="2135"/>
      <c r="AT314" s="2135"/>
      <c r="AU314" s="1212">
        <v>0.33333333333333331</v>
      </c>
      <c r="AV314" s="1212">
        <v>0.33333333333333331</v>
      </c>
      <c r="AW314" s="1212">
        <v>0.33333333333333331</v>
      </c>
      <c r="AX314" s="1212"/>
      <c r="AY314" s="1212"/>
      <c r="AZ314" s="1212"/>
      <c r="BA314" s="1212"/>
      <c r="BB314" s="1212"/>
      <c r="BC314" s="1212"/>
      <c r="BD314" s="1212"/>
      <c r="BE314" s="1212"/>
      <c r="BF314" s="2126">
        <v>0</v>
      </c>
      <c r="BG314" s="2126">
        <v>0</v>
      </c>
      <c r="BH314" s="2126">
        <v>0</v>
      </c>
      <c r="BI314" s="2126">
        <v>0</v>
      </c>
      <c r="BJ314" s="2126">
        <v>0</v>
      </c>
      <c r="BK314" s="2126">
        <v>0</v>
      </c>
      <c r="BL314" s="2126">
        <v>0</v>
      </c>
      <c r="BM314" s="2126">
        <v>0</v>
      </c>
      <c r="BN314" s="2126">
        <v>0</v>
      </c>
      <c r="BO314" s="2126">
        <v>0</v>
      </c>
      <c r="BP314" s="2126">
        <v>0</v>
      </c>
      <c r="BQ314" s="2126">
        <v>0</v>
      </c>
      <c r="BR314" s="2126">
        <v>0</v>
      </c>
    </row>
    <row r="315" spans="1:70" s="1765" customFormat="1" ht="33">
      <c r="A315" s="1272">
        <v>2000</v>
      </c>
      <c r="B315" s="971" t="s">
        <v>119</v>
      </c>
      <c r="C315" s="1272">
        <v>2500</v>
      </c>
      <c r="D315" s="971" t="s">
        <v>452</v>
      </c>
      <c r="E315" s="971" t="s">
        <v>700</v>
      </c>
      <c r="F315" s="971" t="s">
        <v>701</v>
      </c>
      <c r="G315" s="971" t="s">
        <v>700</v>
      </c>
      <c r="H315" s="971" t="s">
        <v>701</v>
      </c>
      <c r="I315" s="1273" t="s">
        <v>749</v>
      </c>
      <c r="J315" s="971" t="s">
        <v>124</v>
      </c>
      <c r="K315" s="971" t="s">
        <v>140</v>
      </c>
      <c r="L315" s="971" t="s">
        <v>2909</v>
      </c>
      <c r="M315" s="971" t="s">
        <v>140</v>
      </c>
      <c r="N315" s="971" t="s">
        <v>141</v>
      </c>
      <c r="O315" s="971" t="s">
        <v>142</v>
      </c>
      <c r="P315" s="971"/>
      <c r="Q315" s="971" t="s">
        <v>750</v>
      </c>
      <c r="R315" s="1266" t="s">
        <v>717</v>
      </c>
      <c r="S315" s="2106">
        <v>51.951672862453535</v>
      </c>
      <c r="T315" s="1266" t="s">
        <v>136</v>
      </c>
      <c r="U315" s="1742">
        <v>0</v>
      </c>
      <c r="V315" s="1742">
        <v>0</v>
      </c>
      <c r="W315" s="1742">
        <v>0</v>
      </c>
      <c r="X315" s="1742">
        <v>0</v>
      </c>
      <c r="Y315" s="2106">
        <v>0</v>
      </c>
      <c r="Z315" s="2106">
        <v>0</v>
      </c>
      <c r="AA315" s="2106">
        <v>0</v>
      </c>
      <c r="AB315" s="2106">
        <v>0</v>
      </c>
      <c r="AC315" s="2106">
        <v>0</v>
      </c>
      <c r="AD315" s="1744">
        <v>0</v>
      </c>
      <c r="AE315" s="2126">
        <v>0</v>
      </c>
      <c r="AF315" s="2126">
        <v>0</v>
      </c>
      <c r="AG315" s="1212">
        <v>1</v>
      </c>
      <c r="AH315" s="1212">
        <v>0</v>
      </c>
      <c r="AI315" s="1212">
        <v>0</v>
      </c>
      <c r="AJ315" s="1212">
        <v>1</v>
      </c>
      <c r="AK315" s="2126">
        <v>0</v>
      </c>
      <c r="AL315" s="2126">
        <v>0</v>
      </c>
      <c r="AM315" s="2126">
        <v>0</v>
      </c>
      <c r="AN315" s="2126">
        <v>0</v>
      </c>
      <c r="AO315" s="1743" t="s">
        <v>131</v>
      </c>
      <c r="AP315" s="1743"/>
      <c r="AQ315" s="1764">
        <v>2014</v>
      </c>
      <c r="AR315" s="1743" t="s">
        <v>87</v>
      </c>
      <c r="AS315" s="2135"/>
      <c r="AT315" s="2135"/>
      <c r="AU315" s="1212">
        <v>0.33333333333333331</v>
      </c>
      <c r="AV315" s="1212">
        <v>0.33333333333333331</v>
      </c>
      <c r="AW315" s="1212">
        <v>0.33333333333333331</v>
      </c>
      <c r="AX315" s="1212"/>
      <c r="AY315" s="1212"/>
      <c r="AZ315" s="1212"/>
      <c r="BA315" s="1212"/>
      <c r="BB315" s="1212"/>
      <c r="BC315" s="1212"/>
      <c r="BD315" s="1212"/>
      <c r="BE315" s="1212"/>
      <c r="BF315" s="2126">
        <v>0</v>
      </c>
      <c r="BG315" s="2126">
        <v>0</v>
      </c>
      <c r="BH315" s="2126">
        <v>0</v>
      </c>
      <c r="BI315" s="2126">
        <v>0</v>
      </c>
      <c r="BJ315" s="2126">
        <v>0</v>
      </c>
      <c r="BK315" s="2126">
        <v>0</v>
      </c>
      <c r="BL315" s="2126">
        <v>0</v>
      </c>
      <c r="BM315" s="2126">
        <v>0</v>
      </c>
      <c r="BN315" s="2126">
        <v>0</v>
      </c>
      <c r="BO315" s="2126">
        <v>0</v>
      </c>
      <c r="BP315" s="2126">
        <v>0</v>
      </c>
      <c r="BQ315" s="2126">
        <v>0</v>
      </c>
      <c r="BR315" s="2126">
        <v>0</v>
      </c>
    </row>
    <row r="316" spans="1:70" s="1765" customFormat="1" ht="33">
      <c r="A316" s="1272">
        <v>2000</v>
      </c>
      <c r="B316" s="971" t="s">
        <v>119</v>
      </c>
      <c r="C316" s="1272">
        <v>2500</v>
      </c>
      <c r="D316" s="971" t="s">
        <v>452</v>
      </c>
      <c r="E316" s="971" t="s">
        <v>700</v>
      </c>
      <c r="F316" s="971" t="s">
        <v>701</v>
      </c>
      <c r="G316" s="971" t="s">
        <v>700</v>
      </c>
      <c r="H316" s="971" t="s">
        <v>701</v>
      </c>
      <c r="I316" s="1273" t="s">
        <v>751</v>
      </c>
      <c r="J316" s="971" t="s">
        <v>124</v>
      </c>
      <c r="K316" s="971"/>
      <c r="L316" s="971" t="e">
        <v>#N/A</v>
      </c>
      <c r="M316" s="971" t="s">
        <v>145</v>
      </c>
      <c r="N316" s="971" t="s">
        <v>141</v>
      </c>
      <c r="O316" s="971" t="s">
        <v>146</v>
      </c>
      <c r="P316" s="971"/>
      <c r="Q316" s="971" t="s">
        <v>752</v>
      </c>
      <c r="R316" s="1266" t="s">
        <v>717</v>
      </c>
      <c r="S316" s="2106">
        <v>51.951672862453535</v>
      </c>
      <c r="T316" s="1266" t="s">
        <v>136</v>
      </c>
      <c r="U316" s="1742" t="s">
        <v>6588</v>
      </c>
      <c r="V316" s="1742" t="s">
        <v>6588</v>
      </c>
      <c r="W316" s="1742" t="s">
        <v>6588</v>
      </c>
      <c r="X316" s="1742" t="s">
        <v>6588</v>
      </c>
      <c r="Y316" s="2106" t="s">
        <v>6588</v>
      </c>
      <c r="Z316" s="2106">
        <v>0</v>
      </c>
      <c r="AA316" s="2106">
        <v>0</v>
      </c>
      <c r="AB316" s="2106">
        <v>0</v>
      </c>
      <c r="AC316" s="2106">
        <v>0</v>
      </c>
      <c r="AD316" s="1744">
        <v>0</v>
      </c>
      <c r="AE316" s="2126">
        <v>0</v>
      </c>
      <c r="AF316" s="2126">
        <v>0</v>
      </c>
      <c r="AG316" s="1212">
        <v>1</v>
      </c>
      <c r="AH316" s="1212">
        <v>0</v>
      </c>
      <c r="AI316" s="1212">
        <v>0</v>
      </c>
      <c r="AJ316" s="1212">
        <v>1</v>
      </c>
      <c r="AK316" s="2126">
        <v>0</v>
      </c>
      <c r="AL316" s="2126">
        <v>0</v>
      </c>
      <c r="AM316" s="2126">
        <v>0</v>
      </c>
      <c r="AN316" s="2126">
        <v>0</v>
      </c>
      <c r="AO316" s="1743" t="s">
        <v>131</v>
      </c>
      <c r="AP316" s="1743"/>
      <c r="AQ316" s="1764">
        <v>2014</v>
      </c>
      <c r="AR316" s="1743" t="s">
        <v>87</v>
      </c>
      <c r="AS316" s="2135"/>
      <c r="AT316" s="2135"/>
      <c r="AU316" s="1212">
        <v>0.33333333333333331</v>
      </c>
      <c r="AV316" s="1212">
        <v>0.33333333333333331</v>
      </c>
      <c r="AW316" s="1212">
        <v>0.33333333333333331</v>
      </c>
      <c r="AX316" s="1212"/>
      <c r="AY316" s="1212"/>
      <c r="AZ316" s="1212"/>
      <c r="BA316" s="1212"/>
      <c r="BB316" s="1212"/>
      <c r="BC316" s="1212"/>
      <c r="BD316" s="1212"/>
      <c r="BE316" s="1212"/>
      <c r="BF316" s="2126">
        <v>0</v>
      </c>
      <c r="BG316" s="2126">
        <v>0</v>
      </c>
      <c r="BH316" s="2126">
        <v>0</v>
      </c>
      <c r="BI316" s="2126">
        <v>0</v>
      </c>
      <c r="BJ316" s="2126">
        <v>0</v>
      </c>
      <c r="BK316" s="2126">
        <v>0</v>
      </c>
      <c r="BL316" s="2126">
        <v>0</v>
      </c>
      <c r="BM316" s="2126">
        <v>0</v>
      </c>
      <c r="BN316" s="2126">
        <v>0</v>
      </c>
      <c r="BO316" s="2126">
        <v>0</v>
      </c>
      <c r="BP316" s="2126">
        <v>0</v>
      </c>
      <c r="BQ316" s="2126">
        <v>0</v>
      </c>
      <c r="BR316" s="2126">
        <v>0</v>
      </c>
    </row>
    <row r="317" spans="1:70" s="1765" customFormat="1" ht="33">
      <c r="A317" s="1272">
        <v>2000</v>
      </c>
      <c r="B317" s="971" t="s">
        <v>119</v>
      </c>
      <c r="C317" s="1272">
        <v>2500</v>
      </c>
      <c r="D317" s="971" t="s">
        <v>452</v>
      </c>
      <c r="E317" s="971" t="s">
        <v>700</v>
      </c>
      <c r="F317" s="971" t="s">
        <v>701</v>
      </c>
      <c r="G317" s="971" t="s">
        <v>700</v>
      </c>
      <c r="H317" s="971" t="s">
        <v>701</v>
      </c>
      <c r="I317" s="1273" t="s">
        <v>753</v>
      </c>
      <c r="J317" s="971" t="s">
        <v>124</v>
      </c>
      <c r="K317" s="971" t="s">
        <v>140</v>
      </c>
      <c r="L317" s="971" t="s">
        <v>2909</v>
      </c>
      <c r="M317" s="971" t="s">
        <v>140</v>
      </c>
      <c r="N317" s="971" t="s">
        <v>141</v>
      </c>
      <c r="O317" s="971" t="s">
        <v>142</v>
      </c>
      <c r="P317" s="971"/>
      <c r="Q317" s="971" t="s">
        <v>754</v>
      </c>
      <c r="R317" s="1266" t="s">
        <v>720</v>
      </c>
      <c r="S317" s="2106">
        <v>51.951672862453535</v>
      </c>
      <c r="T317" s="1266" t="s">
        <v>136</v>
      </c>
      <c r="U317" s="1742">
        <v>0</v>
      </c>
      <c r="V317" s="1742">
        <v>0</v>
      </c>
      <c r="W317" s="1742">
        <v>0</v>
      </c>
      <c r="X317" s="1742">
        <v>0</v>
      </c>
      <c r="Y317" s="2106">
        <v>0</v>
      </c>
      <c r="Z317" s="2106">
        <v>0</v>
      </c>
      <c r="AA317" s="2106">
        <v>0</v>
      </c>
      <c r="AB317" s="2106">
        <v>0</v>
      </c>
      <c r="AC317" s="2106">
        <v>0</v>
      </c>
      <c r="AD317" s="1744">
        <v>0</v>
      </c>
      <c r="AE317" s="2126">
        <v>0</v>
      </c>
      <c r="AF317" s="2126">
        <v>0</v>
      </c>
      <c r="AG317" s="1212">
        <v>1</v>
      </c>
      <c r="AH317" s="1212">
        <v>0</v>
      </c>
      <c r="AI317" s="1212">
        <v>0</v>
      </c>
      <c r="AJ317" s="1212">
        <v>1</v>
      </c>
      <c r="AK317" s="2126">
        <v>0</v>
      </c>
      <c r="AL317" s="2126">
        <v>0</v>
      </c>
      <c r="AM317" s="2126">
        <v>0</v>
      </c>
      <c r="AN317" s="2126">
        <v>0</v>
      </c>
      <c r="AO317" s="1743" t="s">
        <v>131</v>
      </c>
      <c r="AP317" s="1743"/>
      <c r="AQ317" s="1764">
        <v>2014</v>
      </c>
      <c r="AR317" s="1743" t="s">
        <v>87</v>
      </c>
      <c r="AS317" s="2135"/>
      <c r="AT317" s="2135"/>
      <c r="AU317" s="1212">
        <v>0.33333333333333331</v>
      </c>
      <c r="AV317" s="1212">
        <v>0.33333333333333331</v>
      </c>
      <c r="AW317" s="1212">
        <v>0.33333333333333331</v>
      </c>
      <c r="AX317" s="1212"/>
      <c r="AY317" s="1212"/>
      <c r="AZ317" s="1212"/>
      <c r="BA317" s="1212"/>
      <c r="BB317" s="1212"/>
      <c r="BC317" s="1212"/>
      <c r="BD317" s="1212"/>
      <c r="BE317" s="1212"/>
      <c r="BF317" s="2126">
        <v>0</v>
      </c>
      <c r="BG317" s="2126">
        <v>0</v>
      </c>
      <c r="BH317" s="2126">
        <v>0</v>
      </c>
      <c r="BI317" s="2126">
        <v>0</v>
      </c>
      <c r="BJ317" s="2126">
        <v>0</v>
      </c>
      <c r="BK317" s="2126">
        <v>0</v>
      </c>
      <c r="BL317" s="2126">
        <v>0</v>
      </c>
      <c r="BM317" s="2126">
        <v>0</v>
      </c>
      <c r="BN317" s="2126">
        <v>0</v>
      </c>
      <c r="BO317" s="2126">
        <v>0</v>
      </c>
      <c r="BP317" s="2126">
        <v>0</v>
      </c>
      <c r="BQ317" s="2126">
        <v>0</v>
      </c>
      <c r="BR317" s="2126">
        <v>0</v>
      </c>
    </row>
    <row r="318" spans="1:70" s="1765" customFormat="1" ht="33">
      <c r="A318" s="1272">
        <v>2000</v>
      </c>
      <c r="B318" s="971" t="s">
        <v>119</v>
      </c>
      <c r="C318" s="1272">
        <v>2500</v>
      </c>
      <c r="D318" s="971" t="s">
        <v>452</v>
      </c>
      <c r="E318" s="971" t="s">
        <v>700</v>
      </c>
      <c r="F318" s="971" t="s">
        <v>701</v>
      </c>
      <c r="G318" s="971" t="s">
        <v>700</v>
      </c>
      <c r="H318" s="971" t="s">
        <v>701</v>
      </c>
      <c r="I318" s="1273" t="s">
        <v>755</v>
      </c>
      <c r="J318" s="971" t="s">
        <v>124</v>
      </c>
      <c r="K318" s="971"/>
      <c r="L318" s="971" t="e">
        <v>#N/A</v>
      </c>
      <c r="M318" s="971" t="s">
        <v>145</v>
      </c>
      <c r="N318" s="971" t="s">
        <v>141</v>
      </c>
      <c r="O318" s="971" t="s">
        <v>146</v>
      </c>
      <c r="P318" s="971"/>
      <c r="Q318" s="971" t="s">
        <v>756</v>
      </c>
      <c r="R318" s="1266" t="s">
        <v>720</v>
      </c>
      <c r="S318" s="2106">
        <v>51.951672862453535</v>
      </c>
      <c r="T318" s="1266" t="s">
        <v>136</v>
      </c>
      <c r="U318" s="1742" t="s">
        <v>6588</v>
      </c>
      <c r="V318" s="1742" t="s">
        <v>6588</v>
      </c>
      <c r="W318" s="1742" t="s">
        <v>6588</v>
      </c>
      <c r="X318" s="1742" t="s">
        <v>6588</v>
      </c>
      <c r="Y318" s="2106" t="s">
        <v>6588</v>
      </c>
      <c r="Z318" s="2106">
        <v>0</v>
      </c>
      <c r="AA318" s="2106">
        <v>0</v>
      </c>
      <c r="AB318" s="2106">
        <v>0</v>
      </c>
      <c r="AC318" s="2106">
        <v>0</v>
      </c>
      <c r="AD318" s="1744">
        <v>0</v>
      </c>
      <c r="AE318" s="2126">
        <v>0</v>
      </c>
      <c r="AF318" s="2126">
        <v>0</v>
      </c>
      <c r="AG318" s="1212">
        <v>1</v>
      </c>
      <c r="AH318" s="1212">
        <v>0</v>
      </c>
      <c r="AI318" s="1212">
        <v>0</v>
      </c>
      <c r="AJ318" s="1212">
        <v>1</v>
      </c>
      <c r="AK318" s="2126">
        <v>0</v>
      </c>
      <c r="AL318" s="2126">
        <v>0</v>
      </c>
      <c r="AM318" s="2126">
        <v>0</v>
      </c>
      <c r="AN318" s="2126">
        <v>0</v>
      </c>
      <c r="AO318" s="1743" t="s">
        <v>131</v>
      </c>
      <c r="AP318" s="1743"/>
      <c r="AQ318" s="1764">
        <v>2014</v>
      </c>
      <c r="AR318" s="1743" t="s">
        <v>87</v>
      </c>
      <c r="AS318" s="2135"/>
      <c r="AT318" s="2135"/>
      <c r="AU318" s="1212">
        <v>0.33333333333333331</v>
      </c>
      <c r="AV318" s="1212">
        <v>0.33333333333333331</v>
      </c>
      <c r="AW318" s="1212">
        <v>0.33333333333333331</v>
      </c>
      <c r="AX318" s="1212"/>
      <c r="AY318" s="1212"/>
      <c r="AZ318" s="1212"/>
      <c r="BA318" s="1212"/>
      <c r="BB318" s="1212"/>
      <c r="BC318" s="1212"/>
      <c r="BD318" s="1212"/>
      <c r="BE318" s="1212"/>
      <c r="BF318" s="2126">
        <v>0</v>
      </c>
      <c r="BG318" s="2126">
        <v>0</v>
      </c>
      <c r="BH318" s="2126">
        <v>0</v>
      </c>
      <c r="BI318" s="2126">
        <v>0</v>
      </c>
      <c r="BJ318" s="2126">
        <v>0</v>
      </c>
      <c r="BK318" s="2126">
        <v>0</v>
      </c>
      <c r="BL318" s="2126">
        <v>0</v>
      </c>
      <c r="BM318" s="2126">
        <v>0</v>
      </c>
      <c r="BN318" s="2126">
        <v>0</v>
      </c>
      <c r="BO318" s="2126">
        <v>0</v>
      </c>
      <c r="BP318" s="2126">
        <v>0</v>
      </c>
      <c r="BQ318" s="2126">
        <v>0</v>
      </c>
      <c r="BR318" s="2126">
        <v>0</v>
      </c>
    </row>
    <row r="319" spans="1:70" s="1765" customFormat="1" ht="33">
      <c r="A319" s="1272">
        <v>2000</v>
      </c>
      <c r="B319" s="971" t="s">
        <v>119</v>
      </c>
      <c r="C319" s="1272">
        <v>2500</v>
      </c>
      <c r="D319" s="971" t="s">
        <v>452</v>
      </c>
      <c r="E319" s="971" t="s">
        <v>700</v>
      </c>
      <c r="F319" s="971" t="s">
        <v>701</v>
      </c>
      <c r="G319" s="971" t="s">
        <v>700</v>
      </c>
      <c r="H319" s="971" t="s">
        <v>701</v>
      </c>
      <c r="I319" s="1273" t="s">
        <v>757</v>
      </c>
      <c r="J319" s="971" t="s">
        <v>124</v>
      </c>
      <c r="K319" s="971" t="s">
        <v>140</v>
      </c>
      <c r="L319" s="971" t="s">
        <v>2909</v>
      </c>
      <c r="M319" s="971" t="s">
        <v>140</v>
      </c>
      <c r="N319" s="971" t="s">
        <v>141</v>
      </c>
      <c r="O319" s="971" t="s">
        <v>142</v>
      </c>
      <c r="P319" s="971"/>
      <c r="Q319" s="971" t="s">
        <v>758</v>
      </c>
      <c r="R319" s="1266" t="s">
        <v>723</v>
      </c>
      <c r="S319" s="2106">
        <v>51.951672862453535</v>
      </c>
      <c r="T319" s="1266" t="s">
        <v>136</v>
      </c>
      <c r="U319" s="1742">
        <v>0</v>
      </c>
      <c r="V319" s="1742">
        <v>0</v>
      </c>
      <c r="W319" s="1742">
        <v>0</v>
      </c>
      <c r="X319" s="1742">
        <v>0</v>
      </c>
      <c r="Y319" s="2106">
        <v>0</v>
      </c>
      <c r="Z319" s="2106">
        <v>0</v>
      </c>
      <c r="AA319" s="2106">
        <v>0</v>
      </c>
      <c r="AB319" s="2106">
        <v>0</v>
      </c>
      <c r="AC319" s="2106">
        <v>0</v>
      </c>
      <c r="AD319" s="1744">
        <v>0</v>
      </c>
      <c r="AE319" s="2126">
        <v>0</v>
      </c>
      <c r="AF319" s="2126">
        <v>0</v>
      </c>
      <c r="AG319" s="1212">
        <v>1</v>
      </c>
      <c r="AH319" s="1212">
        <v>0</v>
      </c>
      <c r="AI319" s="1212">
        <v>0</v>
      </c>
      <c r="AJ319" s="1212">
        <v>1</v>
      </c>
      <c r="AK319" s="2126">
        <v>0</v>
      </c>
      <c r="AL319" s="2126">
        <v>0</v>
      </c>
      <c r="AM319" s="2126">
        <v>0</v>
      </c>
      <c r="AN319" s="2126">
        <v>0</v>
      </c>
      <c r="AO319" s="1743" t="s">
        <v>131</v>
      </c>
      <c r="AP319" s="1743"/>
      <c r="AQ319" s="1764">
        <v>2014</v>
      </c>
      <c r="AR319" s="1743" t="s">
        <v>87</v>
      </c>
      <c r="AS319" s="2135"/>
      <c r="AT319" s="2135"/>
      <c r="AU319" s="1212">
        <v>0.33333333333333331</v>
      </c>
      <c r="AV319" s="1212">
        <v>0.33333333333333331</v>
      </c>
      <c r="AW319" s="1212">
        <v>0.33333333333333331</v>
      </c>
      <c r="AX319" s="1212"/>
      <c r="AY319" s="1212"/>
      <c r="AZ319" s="1212"/>
      <c r="BA319" s="1212"/>
      <c r="BB319" s="1212"/>
      <c r="BC319" s="1212"/>
      <c r="BD319" s="1212"/>
      <c r="BE319" s="1212"/>
      <c r="BF319" s="2126">
        <v>0</v>
      </c>
      <c r="BG319" s="2126">
        <v>0</v>
      </c>
      <c r="BH319" s="2126">
        <v>0</v>
      </c>
      <c r="BI319" s="2126">
        <v>0</v>
      </c>
      <c r="BJ319" s="2126">
        <v>0</v>
      </c>
      <c r="BK319" s="2126">
        <v>0</v>
      </c>
      <c r="BL319" s="2126">
        <v>0</v>
      </c>
      <c r="BM319" s="2126">
        <v>0</v>
      </c>
      <c r="BN319" s="2126">
        <v>0</v>
      </c>
      <c r="BO319" s="2126">
        <v>0</v>
      </c>
      <c r="BP319" s="2126">
        <v>0</v>
      </c>
      <c r="BQ319" s="2126">
        <v>0</v>
      </c>
      <c r="BR319" s="2126">
        <v>0</v>
      </c>
    </row>
    <row r="320" spans="1:70" s="1765" customFormat="1" ht="33">
      <c r="A320" s="1272">
        <v>2000</v>
      </c>
      <c r="B320" s="971" t="s">
        <v>119</v>
      </c>
      <c r="C320" s="1272">
        <v>2500</v>
      </c>
      <c r="D320" s="971" t="s">
        <v>452</v>
      </c>
      <c r="E320" s="971" t="s">
        <v>700</v>
      </c>
      <c r="F320" s="971" t="s">
        <v>701</v>
      </c>
      <c r="G320" s="971" t="s">
        <v>700</v>
      </c>
      <c r="H320" s="971" t="s">
        <v>701</v>
      </c>
      <c r="I320" s="1273" t="s">
        <v>759</v>
      </c>
      <c r="J320" s="971" t="s">
        <v>124</v>
      </c>
      <c r="K320" s="971"/>
      <c r="L320" s="971" t="e">
        <v>#N/A</v>
      </c>
      <c r="M320" s="971" t="s">
        <v>145</v>
      </c>
      <c r="N320" s="971" t="s">
        <v>141</v>
      </c>
      <c r="O320" s="971" t="s">
        <v>146</v>
      </c>
      <c r="P320" s="971"/>
      <c r="Q320" s="971" t="s">
        <v>760</v>
      </c>
      <c r="R320" s="1266" t="s">
        <v>723</v>
      </c>
      <c r="S320" s="2106">
        <v>51.951672862453535</v>
      </c>
      <c r="T320" s="1266" t="s">
        <v>136</v>
      </c>
      <c r="U320" s="1742" t="s">
        <v>6588</v>
      </c>
      <c r="V320" s="1742" t="s">
        <v>6588</v>
      </c>
      <c r="W320" s="1742" t="s">
        <v>6588</v>
      </c>
      <c r="X320" s="1742" t="s">
        <v>6588</v>
      </c>
      <c r="Y320" s="2106" t="s">
        <v>6588</v>
      </c>
      <c r="Z320" s="2106">
        <v>0</v>
      </c>
      <c r="AA320" s="2106">
        <v>0</v>
      </c>
      <c r="AB320" s="2106">
        <v>0</v>
      </c>
      <c r="AC320" s="2106">
        <v>0</v>
      </c>
      <c r="AD320" s="1744">
        <v>0</v>
      </c>
      <c r="AE320" s="2126">
        <v>0</v>
      </c>
      <c r="AF320" s="2126">
        <v>0</v>
      </c>
      <c r="AG320" s="1212">
        <v>1</v>
      </c>
      <c r="AH320" s="1212">
        <v>0</v>
      </c>
      <c r="AI320" s="1212">
        <v>0</v>
      </c>
      <c r="AJ320" s="1212">
        <v>1</v>
      </c>
      <c r="AK320" s="2126">
        <v>0</v>
      </c>
      <c r="AL320" s="2126">
        <v>0</v>
      </c>
      <c r="AM320" s="2126">
        <v>0</v>
      </c>
      <c r="AN320" s="2126">
        <v>0</v>
      </c>
      <c r="AO320" s="1743" t="s">
        <v>131</v>
      </c>
      <c r="AP320" s="1743"/>
      <c r="AQ320" s="1764">
        <v>2014</v>
      </c>
      <c r="AR320" s="1743" t="s">
        <v>87</v>
      </c>
      <c r="AS320" s="2135"/>
      <c r="AT320" s="2135"/>
      <c r="AU320" s="1212">
        <v>0.33333333333333331</v>
      </c>
      <c r="AV320" s="1212">
        <v>0.33333333333333331</v>
      </c>
      <c r="AW320" s="1212">
        <v>0.33333333333333331</v>
      </c>
      <c r="AX320" s="1212"/>
      <c r="AY320" s="1212"/>
      <c r="AZ320" s="1212"/>
      <c r="BA320" s="1212"/>
      <c r="BB320" s="1212"/>
      <c r="BC320" s="1212"/>
      <c r="BD320" s="1212"/>
      <c r="BE320" s="1212"/>
      <c r="BF320" s="2126">
        <v>0</v>
      </c>
      <c r="BG320" s="2126">
        <v>0</v>
      </c>
      <c r="BH320" s="2126">
        <v>0</v>
      </c>
      <c r="BI320" s="2126">
        <v>0</v>
      </c>
      <c r="BJ320" s="2126">
        <v>0</v>
      </c>
      <c r="BK320" s="2126">
        <v>0</v>
      </c>
      <c r="BL320" s="2126">
        <v>0</v>
      </c>
      <c r="BM320" s="2126">
        <v>0</v>
      </c>
      <c r="BN320" s="2126">
        <v>0</v>
      </c>
      <c r="BO320" s="2126">
        <v>0</v>
      </c>
      <c r="BP320" s="2126">
        <v>0</v>
      </c>
      <c r="BQ320" s="2126">
        <v>0</v>
      </c>
      <c r="BR320" s="2126">
        <v>0</v>
      </c>
    </row>
    <row r="321" spans="1:70" s="1765" customFormat="1" ht="33">
      <c r="A321" s="1272">
        <v>2000</v>
      </c>
      <c r="B321" s="971" t="s">
        <v>119</v>
      </c>
      <c r="C321" s="1272">
        <v>2500</v>
      </c>
      <c r="D321" s="971" t="s">
        <v>452</v>
      </c>
      <c r="E321" s="971" t="s">
        <v>700</v>
      </c>
      <c r="F321" s="971" t="s">
        <v>701</v>
      </c>
      <c r="G321" s="971" t="s">
        <v>700</v>
      </c>
      <c r="H321" s="971" t="s">
        <v>701</v>
      </c>
      <c r="I321" s="1273" t="s">
        <v>761</v>
      </c>
      <c r="J321" s="971" t="s">
        <v>124</v>
      </c>
      <c r="K321" s="971" t="s">
        <v>140</v>
      </c>
      <c r="L321" s="971" t="s">
        <v>2909</v>
      </c>
      <c r="M321" s="971" t="s">
        <v>140</v>
      </c>
      <c r="N321" s="971" t="s">
        <v>141</v>
      </c>
      <c r="O321" s="971" t="s">
        <v>142</v>
      </c>
      <c r="P321" s="971"/>
      <c r="Q321" s="971" t="s">
        <v>762</v>
      </c>
      <c r="R321" s="1266" t="s">
        <v>726</v>
      </c>
      <c r="S321" s="2106">
        <v>51.951672862453535</v>
      </c>
      <c r="T321" s="1266" t="s">
        <v>136</v>
      </c>
      <c r="U321" s="1742">
        <v>0</v>
      </c>
      <c r="V321" s="1742">
        <v>0</v>
      </c>
      <c r="W321" s="1742">
        <v>0</v>
      </c>
      <c r="X321" s="1742">
        <v>0</v>
      </c>
      <c r="Y321" s="2106">
        <v>0</v>
      </c>
      <c r="Z321" s="2106">
        <v>0</v>
      </c>
      <c r="AA321" s="2106">
        <v>0</v>
      </c>
      <c r="AB321" s="2106">
        <v>0</v>
      </c>
      <c r="AC321" s="2106">
        <v>0</v>
      </c>
      <c r="AD321" s="1744">
        <v>0</v>
      </c>
      <c r="AE321" s="2126">
        <v>0</v>
      </c>
      <c r="AF321" s="2126">
        <v>0</v>
      </c>
      <c r="AG321" s="1212">
        <v>1</v>
      </c>
      <c r="AH321" s="1212">
        <v>0</v>
      </c>
      <c r="AI321" s="1212">
        <v>0</v>
      </c>
      <c r="AJ321" s="1212">
        <v>1</v>
      </c>
      <c r="AK321" s="2126">
        <v>0</v>
      </c>
      <c r="AL321" s="2126">
        <v>0</v>
      </c>
      <c r="AM321" s="2126">
        <v>0</v>
      </c>
      <c r="AN321" s="2126">
        <v>0</v>
      </c>
      <c r="AO321" s="1743" t="s">
        <v>131</v>
      </c>
      <c r="AP321" s="1743"/>
      <c r="AQ321" s="1764">
        <v>2014</v>
      </c>
      <c r="AR321" s="1743" t="s">
        <v>87</v>
      </c>
      <c r="AS321" s="2135"/>
      <c r="AT321" s="2135"/>
      <c r="AU321" s="1212">
        <v>0.33333333333333331</v>
      </c>
      <c r="AV321" s="1212">
        <v>0.33333333333333331</v>
      </c>
      <c r="AW321" s="1212">
        <v>0.33333333333333331</v>
      </c>
      <c r="AX321" s="1212"/>
      <c r="AY321" s="1212"/>
      <c r="AZ321" s="1212"/>
      <c r="BA321" s="1212"/>
      <c r="BB321" s="1212"/>
      <c r="BC321" s="1212"/>
      <c r="BD321" s="1212"/>
      <c r="BE321" s="1212"/>
      <c r="BF321" s="2126">
        <v>0</v>
      </c>
      <c r="BG321" s="2126">
        <v>0</v>
      </c>
      <c r="BH321" s="2126">
        <v>0</v>
      </c>
      <c r="BI321" s="2126">
        <v>0</v>
      </c>
      <c r="BJ321" s="2126">
        <v>0</v>
      </c>
      <c r="BK321" s="2126">
        <v>0</v>
      </c>
      <c r="BL321" s="2126">
        <v>0</v>
      </c>
      <c r="BM321" s="2126">
        <v>0</v>
      </c>
      <c r="BN321" s="2126">
        <v>0</v>
      </c>
      <c r="BO321" s="2126">
        <v>0</v>
      </c>
      <c r="BP321" s="2126">
        <v>0</v>
      </c>
      <c r="BQ321" s="2126">
        <v>0</v>
      </c>
      <c r="BR321" s="2126">
        <v>0</v>
      </c>
    </row>
    <row r="322" spans="1:70" s="1765" customFormat="1" ht="33">
      <c r="A322" s="1272">
        <v>2000</v>
      </c>
      <c r="B322" s="971" t="s">
        <v>119</v>
      </c>
      <c r="C322" s="1272">
        <v>2500</v>
      </c>
      <c r="D322" s="971" t="s">
        <v>452</v>
      </c>
      <c r="E322" s="971" t="s">
        <v>700</v>
      </c>
      <c r="F322" s="971" t="s">
        <v>701</v>
      </c>
      <c r="G322" s="971" t="s">
        <v>700</v>
      </c>
      <c r="H322" s="971" t="s">
        <v>701</v>
      </c>
      <c r="I322" s="1273" t="s">
        <v>763</v>
      </c>
      <c r="J322" s="971" t="s">
        <v>124</v>
      </c>
      <c r="K322" s="971"/>
      <c r="L322" s="971" t="e">
        <v>#N/A</v>
      </c>
      <c r="M322" s="971" t="s">
        <v>145</v>
      </c>
      <c r="N322" s="971" t="s">
        <v>141</v>
      </c>
      <c r="O322" s="971" t="s">
        <v>146</v>
      </c>
      <c r="P322" s="971"/>
      <c r="Q322" s="971" t="s">
        <v>764</v>
      </c>
      <c r="R322" s="1266" t="s">
        <v>726</v>
      </c>
      <c r="S322" s="2106">
        <v>51.951672862453535</v>
      </c>
      <c r="T322" s="1266" t="s">
        <v>136</v>
      </c>
      <c r="U322" s="1742" t="s">
        <v>6588</v>
      </c>
      <c r="V322" s="1742" t="s">
        <v>6588</v>
      </c>
      <c r="W322" s="1742" t="s">
        <v>6588</v>
      </c>
      <c r="X322" s="1742" t="s">
        <v>6588</v>
      </c>
      <c r="Y322" s="2106" t="s">
        <v>6588</v>
      </c>
      <c r="Z322" s="2106">
        <v>0</v>
      </c>
      <c r="AA322" s="2106">
        <v>0</v>
      </c>
      <c r="AB322" s="2106">
        <v>0</v>
      </c>
      <c r="AC322" s="2106">
        <v>0</v>
      </c>
      <c r="AD322" s="1744">
        <v>0</v>
      </c>
      <c r="AE322" s="2126">
        <v>0</v>
      </c>
      <c r="AF322" s="2126">
        <v>0</v>
      </c>
      <c r="AG322" s="1212">
        <v>1</v>
      </c>
      <c r="AH322" s="1212">
        <v>0</v>
      </c>
      <c r="AI322" s="1212">
        <v>0</v>
      </c>
      <c r="AJ322" s="1212">
        <v>1</v>
      </c>
      <c r="AK322" s="2126">
        <v>0</v>
      </c>
      <c r="AL322" s="2126">
        <v>0</v>
      </c>
      <c r="AM322" s="2126">
        <v>0</v>
      </c>
      <c r="AN322" s="2126">
        <v>0</v>
      </c>
      <c r="AO322" s="1743" t="s">
        <v>131</v>
      </c>
      <c r="AP322" s="1743"/>
      <c r="AQ322" s="1764">
        <v>2014</v>
      </c>
      <c r="AR322" s="1743" t="s">
        <v>87</v>
      </c>
      <c r="AS322" s="2135"/>
      <c r="AT322" s="2135"/>
      <c r="AU322" s="1212">
        <v>0.33333333333333331</v>
      </c>
      <c r="AV322" s="1212">
        <v>0.33333333333333331</v>
      </c>
      <c r="AW322" s="1212">
        <v>0.33333333333333331</v>
      </c>
      <c r="AX322" s="1212"/>
      <c r="AY322" s="1212"/>
      <c r="AZ322" s="1212"/>
      <c r="BA322" s="1212"/>
      <c r="BB322" s="1212"/>
      <c r="BC322" s="1212"/>
      <c r="BD322" s="1212"/>
      <c r="BE322" s="1212"/>
      <c r="BF322" s="2126">
        <v>0</v>
      </c>
      <c r="BG322" s="2126">
        <v>0</v>
      </c>
      <c r="BH322" s="2126">
        <v>0</v>
      </c>
      <c r="BI322" s="2126">
        <v>0</v>
      </c>
      <c r="BJ322" s="2126">
        <v>0</v>
      </c>
      <c r="BK322" s="2126">
        <v>0</v>
      </c>
      <c r="BL322" s="2126">
        <v>0</v>
      </c>
      <c r="BM322" s="2126">
        <v>0</v>
      </c>
      <c r="BN322" s="2126">
        <v>0</v>
      </c>
      <c r="BO322" s="2126">
        <v>0</v>
      </c>
      <c r="BP322" s="2126">
        <v>0</v>
      </c>
      <c r="BQ322" s="2126">
        <v>0</v>
      </c>
      <c r="BR322" s="2126">
        <v>0</v>
      </c>
    </row>
    <row r="323" spans="1:70" s="1765" customFormat="1" ht="33">
      <c r="A323" s="1272">
        <v>2000</v>
      </c>
      <c r="B323" s="971" t="s">
        <v>119</v>
      </c>
      <c r="C323" s="1272">
        <v>2500</v>
      </c>
      <c r="D323" s="971" t="s">
        <v>452</v>
      </c>
      <c r="E323" s="971" t="s">
        <v>700</v>
      </c>
      <c r="F323" s="971" t="s">
        <v>701</v>
      </c>
      <c r="G323" s="971" t="s">
        <v>700</v>
      </c>
      <c r="H323" s="971" t="s">
        <v>701</v>
      </c>
      <c r="I323" s="1273" t="s">
        <v>765</v>
      </c>
      <c r="J323" s="971" t="s">
        <v>124</v>
      </c>
      <c r="K323" s="971" t="s">
        <v>140</v>
      </c>
      <c r="L323" s="971" t="s">
        <v>2909</v>
      </c>
      <c r="M323" s="971" t="s">
        <v>140</v>
      </c>
      <c r="N323" s="971" t="s">
        <v>141</v>
      </c>
      <c r="O323" s="971" t="s">
        <v>142</v>
      </c>
      <c r="P323" s="971"/>
      <c r="Q323" s="971" t="s">
        <v>766</v>
      </c>
      <c r="R323" s="1266" t="s">
        <v>729</v>
      </c>
      <c r="S323" s="2106">
        <v>51.951672862453535</v>
      </c>
      <c r="T323" s="1266" t="s">
        <v>136</v>
      </c>
      <c r="U323" s="1742">
        <v>0</v>
      </c>
      <c r="V323" s="1742">
        <v>0</v>
      </c>
      <c r="W323" s="1742">
        <v>0</v>
      </c>
      <c r="X323" s="1742">
        <v>0</v>
      </c>
      <c r="Y323" s="2106">
        <v>0</v>
      </c>
      <c r="Z323" s="2106">
        <v>0</v>
      </c>
      <c r="AA323" s="2106">
        <v>0</v>
      </c>
      <c r="AB323" s="2106">
        <v>0</v>
      </c>
      <c r="AC323" s="2106">
        <v>0</v>
      </c>
      <c r="AD323" s="1744">
        <v>0</v>
      </c>
      <c r="AE323" s="2126">
        <v>0</v>
      </c>
      <c r="AF323" s="2126">
        <v>0</v>
      </c>
      <c r="AG323" s="1212">
        <v>1</v>
      </c>
      <c r="AH323" s="1212">
        <v>0</v>
      </c>
      <c r="AI323" s="1212">
        <v>0</v>
      </c>
      <c r="AJ323" s="1212">
        <v>1</v>
      </c>
      <c r="AK323" s="2126">
        <v>0</v>
      </c>
      <c r="AL323" s="2126">
        <v>0</v>
      </c>
      <c r="AM323" s="2126">
        <v>0</v>
      </c>
      <c r="AN323" s="2126">
        <v>0</v>
      </c>
      <c r="AO323" s="1743" t="s">
        <v>131</v>
      </c>
      <c r="AP323" s="1743"/>
      <c r="AQ323" s="1764">
        <v>2014</v>
      </c>
      <c r="AR323" s="1743" t="s">
        <v>87</v>
      </c>
      <c r="AS323" s="2135"/>
      <c r="AT323" s="2135"/>
      <c r="AU323" s="1212">
        <v>0.33333333333333331</v>
      </c>
      <c r="AV323" s="1212">
        <v>0.33333333333333331</v>
      </c>
      <c r="AW323" s="1212">
        <v>0.33333333333333331</v>
      </c>
      <c r="AX323" s="1212"/>
      <c r="AY323" s="1212"/>
      <c r="AZ323" s="1212"/>
      <c r="BA323" s="1212"/>
      <c r="BB323" s="1212"/>
      <c r="BC323" s="1212"/>
      <c r="BD323" s="1212"/>
      <c r="BE323" s="1212"/>
      <c r="BF323" s="2126">
        <v>0</v>
      </c>
      <c r="BG323" s="2126">
        <v>0</v>
      </c>
      <c r="BH323" s="2126">
        <v>0</v>
      </c>
      <c r="BI323" s="2126">
        <v>0</v>
      </c>
      <c r="BJ323" s="2126">
        <v>0</v>
      </c>
      <c r="BK323" s="2126">
        <v>0</v>
      </c>
      <c r="BL323" s="2126">
        <v>0</v>
      </c>
      <c r="BM323" s="2126">
        <v>0</v>
      </c>
      <c r="BN323" s="2126">
        <v>0</v>
      </c>
      <c r="BO323" s="2126">
        <v>0</v>
      </c>
      <c r="BP323" s="2126">
        <v>0</v>
      </c>
      <c r="BQ323" s="2126">
        <v>0</v>
      </c>
      <c r="BR323" s="2126">
        <v>0</v>
      </c>
    </row>
    <row r="324" spans="1:70" s="1765" customFormat="1" ht="33">
      <c r="A324" s="1272">
        <v>2000</v>
      </c>
      <c r="B324" s="971" t="s">
        <v>119</v>
      </c>
      <c r="C324" s="1272">
        <v>2500</v>
      </c>
      <c r="D324" s="971" t="s">
        <v>452</v>
      </c>
      <c r="E324" s="971" t="s">
        <v>700</v>
      </c>
      <c r="F324" s="971" t="s">
        <v>701</v>
      </c>
      <c r="G324" s="971" t="s">
        <v>700</v>
      </c>
      <c r="H324" s="971" t="s">
        <v>701</v>
      </c>
      <c r="I324" s="1273" t="s">
        <v>767</v>
      </c>
      <c r="J324" s="971" t="s">
        <v>124</v>
      </c>
      <c r="K324" s="971"/>
      <c r="L324" s="971" t="e">
        <v>#N/A</v>
      </c>
      <c r="M324" s="971" t="s">
        <v>145</v>
      </c>
      <c r="N324" s="971" t="s">
        <v>141</v>
      </c>
      <c r="O324" s="971" t="s">
        <v>146</v>
      </c>
      <c r="P324" s="971"/>
      <c r="Q324" s="971" t="s">
        <v>768</v>
      </c>
      <c r="R324" s="1266" t="s">
        <v>729</v>
      </c>
      <c r="S324" s="2106">
        <v>51.951672862453535</v>
      </c>
      <c r="T324" s="1266" t="s">
        <v>136</v>
      </c>
      <c r="U324" s="1742" t="s">
        <v>6588</v>
      </c>
      <c r="V324" s="1742" t="s">
        <v>6588</v>
      </c>
      <c r="W324" s="1742" t="s">
        <v>6588</v>
      </c>
      <c r="X324" s="1742" t="s">
        <v>6588</v>
      </c>
      <c r="Y324" s="2106" t="s">
        <v>6588</v>
      </c>
      <c r="Z324" s="2106">
        <v>0</v>
      </c>
      <c r="AA324" s="2106">
        <v>0</v>
      </c>
      <c r="AB324" s="2106">
        <v>0</v>
      </c>
      <c r="AC324" s="2106">
        <v>0</v>
      </c>
      <c r="AD324" s="1744">
        <v>0</v>
      </c>
      <c r="AE324" s="2126">
        <v>0</v>
      </c>
      <c r="AF324" s="2126">
        <v>0</v>
      </c>
      <c r="AG324" s="1212">
        <v>1</v>
      </c>
      <c r="AH324" s="1212">
        <v>0</v>
      </c>
      <c r="AI324" s="1212">
        <v>0</v>
      </c>
      <c r="AJ324" s="1212">
        <v>1</v>
      </c>
      <c r="AK324" s="2126">
        <v>0</v>
      </c>
      <c r="AL324" s="2126">
        <v>0</v>
      </c>
      <c r="AM324" s="2126">
        <v>0</v>
      </c>
      <c r="AN324" s="2126">
        <v>0</v>
      </c>
      <c r="AO324" s="1743" t="s">
        <v>131</v>
      </c>
      <c r="AP324" s="1743"/>
      <c r="AQ324" s="1764">
        <v>2014</v>
      </c>
      <c r="AR324" s="1743" t="s">
        <v>87</v>
      </c>
      <c r="AS324" s="2135"/>
      <c r="AT324" s="2135"/>
      <c r="AU324" s="1212">
        <v>0.33333333333333331</v>
      </c>
      <c r="AV324" s="1212">
        <v>0.33333333333333331</v>
      </c>
      <c r="AW324" s="1212">
        <v>0.33333333333333331</v>
      </c>
      <c r="AX324" s="1212"/>
      <c r="AY324" s="1212"/>
      <c r="AZ324" s="1212"/>
      <c r="BA324" s="1212"/>
      <c r="BB324" s="1212"/>
      <c r="BC324" s="1212"/>
      <c r="BD324" s="1212"/>
      <c r="BE324" s="1212"/>
      <c r="BF324" s="2126">
        <v>0</v>
      </c>
      <c r="BG324" s="2126">
        <v>0</v>
      </c>
      <c r="BH324" s="2126">
        <v>0</v>
      </c>
      <c r="BI324" s="2126">
        <v>0</v>
      </c>
      <c r="BJ324" s="2126">
        <v>0</v>
      </c>
      <c r="BK324" s="2126">
        <v>0</v>
      </c>
      <c r="BL324" s="2126">
        <v>0</v>
      </c>
      <c r="BM324" s="2126">
        <v>0</v>
      </c>
      <c r="BN324" s="2126">
        <v>0</v>
      </c>
      <c r="BO324" s="2126">
        <v>0</v>
      </c>
      <c r="BP324" s="2126">
        <v>0</v>
      </c>
      <c r="BQ324" s="2126">
        <v>0</v>
      </c>
      <c r="BR324" s="2126">
        <v>0</v>
      </c>
    </row>
    <row r="325" spans="1:70" s="1765" customFormat="1" ht="33">
      <c r="A325" s="1272">
        <v>2000</v>
      </c>
      <c r="B325" s="971" t="s">
        <v>119</v>
      </c>
      <c r="C325" s="1272">
        <v>2500</v>
      </c>
      <c r="D325" s="971" t="s">
        <v>452</v>
      </c>
      <c r="E325" s="971" t="s">
        <v>700</v>
      </c>
      <c r="F325" s="971" t="s">
        <v>701</v>
      </c>
      <c r="G325" s="971" t="s">
        <v>700</v>
      </c>
      <c r="H325" s="971" t="s">
        <v>701</v>
      </c>
      <c r="I325" s="1273" t="s">
        <v>769</v>
      </c>
      <c r="J325" s="971" t="s">
        <v>124</v>
      </c>
      <c r="K325" s="971" t="s">
        <v>140</v>
      </c>
      <c r="L325" s="971" t="s">
        <v>2909</v>
      </c>
      <c r="M325" s="971" t="s">
        <v>140</v>
      </c>
      <c r="N325" s="971" t="s">
        <v>141</v>
      </c>
      <c r="O325" s="971" t="s">
        <v>142</v>
      </c>
      <c r="P325" s="971"/>
      <c r="Q325" s="971" t="s">
        <v>770</v>
      </c>
      <c r="R325" s="1266" t="s">
        <v>732</v>
      </c>
      <c r="S325" s="2106">
        <v>51.951672862453535</v>
      </c>
      <c r="T325" s="1266" t="s">
        <v>136</v>
      </c>
      <c r="U325" s="1742">
        <v>0</v>
      </c>
      <c r="V325" s="1742">
        <v>0</v>
      </c>
      <c r="W325" s="1742">
        <v>0</v>
      </c>
      <c r="X325" s="1742">
        <v>0</v>
      </c>
      <c r="Y325" s="2106">
        <v>0</v>
      </c>
      <c r="Z325" s="2106">
        <v>0</v>
      </c>
      <c r="AA325" s="2106">
        <v>0</v>
      </c>
      <c r="AB325" s="2106">
        <v>0</v>
      </c>
      <c r="AC325" s="2106">
        <v>0</v>
      </c>
      <c r="AD325" s="1744">
        <v>0</v>
      </c>
      <c r="AE325" s="2126">
        <v>0</v>
      </c>
      <c r="AF325" s="2126">
        <v>0</v>
      </c>
      <c r="AG325" s="1212">
        <v>1</v>
      </c>
      <c r="AH325" s="1212">
        <v>0</v>
      </c>
      <c r="AI325" s="1212">
        <v>0</v>
      </c>
      <c r="AJ325" s="1212">
        <v>1</v>
      </c>
      <c r="AK325" s="2126">
        <v>0</v>
      </c>
      <c r="AL325" s="2126">
        <v>0</v>
      </c>
      <c r="AM325" s="2126">
        <v>0</v>
      </c>
      <c r="AN325" s="2126">
        <v>0</v>
      </c>
      <c r="AO325" s="1743" t="s">
        <v>131</v>
      </c>
      <c r="AP325" s="1743"/>
      <c r="AQ325" s="1764">
        <v>2014</v>
      </c>
      <c r="AR325" s="1743" t="s">
        <v>87</v>
      </c>
      <c r="AS325" s="2135"/>
      <c r="AT325" s="2135"/>
      <c r="AU325" s="1212">
        <v>0.33333333333333331</v>
      </c>
      <c r="AV325" s="1212">
        <v>0.33333333333333331</v>
      </c>
      <c r="AW325" s="1212">
        <v>0.33333333333333331</v>
      </c>
      <c r="AX325" s="1212"/>
      <c r="AY325" s="1212"/>
      <c r="AZ325" s="1212"/>
      <c r="BA325" s="1212"/>
      <c r="BB325" s="1212"/>
      <c r="BC325" s="1212"/>
      <c r="BD325" s="1212"/>
      <c r="BE325" s="1212"/>
      <c r="BF325" s="2126">
        <v>0</v>
      </c>
      <c r="BG325" s="2126">
        <v>0</v>
      </c>
      <c r="BH325" s="2126">
        <v>0</v>
      </c>
      <c r="BI325" s="2126">
        <v>0</v>
      </c>
      <c r="BJ325" s="2126">
        <v>0</v>
      </c>
      <c r="BK325" s="2126">
        <v>0</v>
      </c>
      <c r="BL325" s="2126">
        <v>0</v>
      </c>
      <c r="BM325" s="2126">
        <v>0</v>
      </c>
      <c r="BN325" s="2126">
        <v>0</v>
      </c>
      <c r="BO325" s="2126">
        <v>0</v>
      </c>
      <c r="BP325" s="2126">
        <v>0</v>
      </c>
      <c r="BQ325" s="2126">
        <v>0</v>
      </c>
      <c r="BR325" s="2126">
        <v>0</v>
      </c>
    </row>
    <row r="326" spans="1:70" s="1765" customFormat="1" ht="33">
      <c r="A326" s="1272">
        <v>2000</v>
      </c>
      <c r="B326" s="971" t="s">
        <v>119</v>
      </c>
      <c r="C326" s="1272">
        <v>2500</v>
      </c>
      <c r="D326" s="971" t="s">
        <v>452</v>
      </c>
      <c r="E326" s="971" t="s">
        <v>700</v>
      </c>
      <c r="F326" s="971" t="s">
        <v>701</v>
      </c>
      <c r="G326" s="971" t="s">
        <v>700</v>
      </c>
      <c r="H326" s="971" t="s">
        <v>701</v>
      </c>
      <c r="I326" s="1273" t="s">
        <v>771</v>
      </c>
      <c r="J326" s="971" t="s">
        <v>124</v>
      </c>
      <c r="K326" s="971"/>
      <c r="L326" s="971" t="e">
        <v>#N/A</v>
      </c>
      <c r="M326" s="971" t="s">
        <v>145</v>
      </c>
      <c r="N326" s="971" t="s">
        <v>141</v>
      </c>
      <c r="O326" s="971" t="s">
        <v>146</v>
      </c>
      <c r="P326" s="971"/>
      <c r="Q326" s="971" t="s">
        <v>772</v>
      </c>
      <c r="R326" s="1266" t="s">
        <v>732</v>
      </c>
      <c r="S326" s="2106">
        <v>51.951672862453535</v>
      </c>
      <c r="T326" s="1266" t="s">
        <v>136</v>
      </c>
      <c r="U326" s="1742" t="s">
        <v>6588</v>
      </c>
      <c r="V326" s="1742" t="s">
        <v>6588</v>
      </c>
      <c r="W326" s="1742" t="s">
        <v>6588</v>
      </c>
      <c r="X326" s="1742" t="s">
        <v>6588</v>
      </c>
      <c r="Y326" s="2106" t="s">
        <v>6588</v>
      </c>
      <c r="Z326" s="2106">
        <v>0</v>
      </c>
      <c r="AA326" s="2106">
        <v>0</v>
      </c>
      <c r="AB326" s="2106">
        <v>0</v>
      </c>
      <c r="AC326" s="2106">
        <v>0</v>
      </c>
      <c r="AD326" s="1744">
        <v>0</v>
      </c>
      <c r="AE326" s="2126">
        <v>0</v>
      </c>
      <c r="AF326" s="2126">
        <v>0</v>
      </c>
      <c r="AG326" s="1212">
        <v>1</v>
      </c>
      <c r="AH326" s="1212">
        <v>0</v>
      </c>
      <c r="AI326" s="1212">
        <v>0</v>
      </c>
      <c r="AJ326" s="1212">
        <v>1</v>
      </c>
      <c r="AK326" s="2126">
        <v>0</v>
      </c>
      <c r="AL326" s="2126">
        <v>0</v>
      </c>
      <c r="AM326" s="2126">
        <v>0</v>
      </c>
      <c r="AN326" s="2126">
        <v>0</v>
      </c>
      <c r="AO326" s="1743" t="s">
        <v>131</v>
      </c>
      <c r="AP326" s="1743"/>
      <c r="AQ326" s="1764">
        <v>2014</v>
      </c>
      <c r="AR326" s="1743" t="s">
        <v>87</v>
      </c>
      <c r="AS326" s="2135"/>
      <c r="AT326" s="2135"/>
      <c r="AU326" s="1212">
        <v>0.33333333333333331</v>
      </c>
      <c r="AV326" s="1212">
        <v>0.33333333333333331</v>
      </c>
      <c r="AW326" s="1212">
        <v>0.33333333333333331</v>
      </c>
      <c r="AX326" s="1212"/>
      <c r="AY326" s="1212"/>
      <c r="AZ326" s="1212"/>
      <c r="BA326" s="1212"/>
      <c r="BB326" s="1212"/>
      <c r="BC326" s="1212"/>
      <c r="BD326" s="1212"/>
      <c r="BE326" s="1212"/>
      <c r="BF326" s="2126">
        <v>0</v>
      </c>
      <c r="BG326" s="2126">
        <v>0</v>
      </c>
      <c r="BH326" s="2126">
        <v>0</v>
      </c>
      <c r="BI326" s="2126">
        <v>0</v>
      </c>
      <c r="BJ326" s="2126">
        <v>0</v>
      </c>
      <c r="BK326" s="2126">
        <v>0</v>
      </c>
      <c r="BL326" s="2126">
        <v>0</v>
      </c>
      <c r="BM326" s="2126">
        <v>0</v>
      </c>
      <c r="BN326" s="2126">
        <v>0</v>
      </c>
      <c r="BO326" s="2126">
        <v>0</v>
      </c>
      <c r="BP326" s="2126">
        <v>0</v>
      </c>
      <c r="BQ326" s="2126">
        <v>0</v>
      </c>
      <c r="BR326" s="2126">
        <v>0</v>
      </c>
    </row>
    <row r="327" spans="1:70" s="1765" customFormat="1" ht="33">
      <c r="A327" s="1272">
        <v>2000</v>
      </c>
      <c r="B327" s="971" t="s">
        <v>119</v>
      </c>
      <c r="C327" s="1272">
        <v>2500</v>
      </c>
      <c r="D327" s="971" t="s">
        <v>452</v>
      </c>
      <c r="E327" s="971" t="s">
        <v>700</v>
      </c>
      <c r="F327" s="971" t="s">
        <v>701</v>
      </c>
      <c r="G327" s="971" t="s">
        <v>700</v>
      </c>
      <c r="H327" s="971" t="s">
        <v>701</v>
      </c>
      <c r="I327" s="1273" t="s">
        <v>773</v>
      </c>
      <c r="J327" s="971" t="s">
        <v>124</v>
      </c>
      <c r="K327" s="971" t="s">
        <v>140</v>
      </c>
      <c r="L327" s="971" t="s">
        <v>2909</v>
      </c>
      <c r="M327" s="971" t="s">
        <v>140</v>
      </c>
      <c r="N327" s="971" t="s">
        <v>141</v>
      </c>
      <c r="O327" s="971" t="s">
        <v>142</v>
      </c>
      <c r="P327" s="971"/>
      <c r="Q327" s="971" t="s">
        <v>774</v>
      </c>
      <c r="R327" s="1266" t="s">
        <v>705</v>
      </c>
      <c r="S327" s="2106">
        <v>75.278810408921942</v>
      </c>
      <c r="T327" s="1266" t="s">
        <v>136</v>
      </c>
      <c r="U327" s="1742">
        <v>0</v>
      </c>
      <c r="V327" s="1742">
        <v>0</v>
      </c>
      <c r="W327" s="1742">
        <v>0</v>
      </c>
      <c r="X327" s="1742">
        <v>0</v>
      </c>
      <c r="Y327" s="2106">
        <v>0</v>
      </c>
      <c r="Z327" s="2106">
        <v>0</v>
      </c>
      <c r="AA327" s="2106">
        <v>0</v>
      </c>
      <c r="AB327" s="2106">
        <v>0</v>
      </c>
      <c r="AC327" s="2106">
        <v>0</v>
      </c>
      <c r="AD327" s="1744">
        <v>0</v>
      </c>
      <c r="AE327" s="2126">
        <v>0</v>
      </c>
      <c r="AF327" s="2126">
        <v>0</v>
      </c>
      <c r="AG327" s="1212">
        <v>1</v>
      </c>
      <c r="AH327" s="1212">
        <v>0</v>
      </c>
      <c r="AI327" s="1212">
        <v>0</v>
      </c>
      <c r="AJ327" s="1212">
        <v>1</v>
      </c>
      <c r="AK327" s="2126">
        <v>0</v>
      </c>
      <c r="AL327" s="2126">
        <v>0</v>
      </c>
      <c r="AM327" s="2126">
        <v>0</v>
      </c>
      <c r="AN327" s="2126">
        <v>0</v>
      </c>
      <c r="AO327" s="1743" t="s">
        <v>131</v>
      </c>
      <c r="AP327" s="1743"/>
      <c r="AQ327" s="1764">
        <v>2014</v>
      </c>
      <c r="AR327" s="1743" t="s">
        <v>87</v>
      </c>
      <c r="AS327" s="2135"/>
      <c r="AT327" s="2135"/>
      <c r="AU327" s="1212">
        <v>0.33333333333333331</v>
      </c>
      <c r="AV327" s="1212">
        <v>0.33333333333333331</v>
      </c>
      <c r="AW327" s="1212">
        <v>0.33333333333333331</v>
      </c>
      <c r="AX327" s="1212"/>
      <c r="AY327" s="1212"/>
      <c r="AZ327" s="1212"/>
      <c r="BA327" s="1212"/>
      <c r="BB327" s="1212"/>
      <c r="BC327" s="1212"/>
      <c r="BD327" s="1212"/>
      <c r="BE327" s="1212"/>
      <c r="BF327" s="2126">
        <v>0</v>
      </c>
      <c r="BG327" s="2126">
        <v>0</v>
      </c>
      <c r="BH327" s="2126">
        <v>0</v>
      </c>
      <c r="BI327" s="2126">
        <v>0</v>
      </c>
      <c r="BJ327" s="2126">
        <v>0</v>
      </c>
      <c r="BK327" s="2126">
        <v>0</v>
      </c>
      <c r="BL327" s="2126">
        <v>0</v>
      </c>
      <c r="BM327" s="2126">
        <v>0</v>
      </c>
      <c r="BN327" s="2126">
        <v>0</v>
      </c>
      <c r="BO327" s="2126">
        <v>0</v>
      </c>
      <c r="BP327" s="2126">
        <v>0</v>
      </c>
      <c r="BQ327" s="2126">
        <v>0</v>
      </c>
      <c r="BR327" s="2126">
        <v>0</v>
      </c>
    </row>
    <row r="328" spans="1:70" s="1765" customFormat="1" ht="33">
      <c r="A328" s="1272">
        <v>2000</v>
      </c>
      <c r="B328" s="971" t="s">
        <v>119</v>
      </c>
      <c r="C328" s="1272">
        <v>2500</v>
      </c>
      <c r="D328" s="971" t="s">
        <v>452</v>
      </c>
      <c r="E328" s="971" t="s">
        <v>700</v>
      </c>
      <c r="F328" s="971" t="s">
        <v>701</v>
      </c>
      <c r="G328" s="971" t="s">
        <v>700</v>
      </c>
      <c r="H328" s="971" t="s">
        <v>701</v>
      </c>
      <c r="I328" s="1273" t="s">
        <v>775</v>
      </c>
      <c r="J328" s="971" t="s">
        <v>124</v>
      </c>
      <c r="K328" s="971"/>
      <c r="L328" s="971" t="e">
        <v>#N/A</v>
      </c>
      <c r="M328" s="971" t="s">
        <v>145</v>
      </c>
      <c r="N328" s="971" t="s">
        <v>141</v>
      </c>
      <c r="O328" s="971" t="s">
        <v>146</v>
      </c>
      <c r="P328" s="971"/>
      <c r="Q328" s="971" t="s">
        <v>776</v>
      </c>
      <c r="R328" s="1266" t="s">
        <v>705</v>
      </c>
      <c r="S328" s="2106">
        <v>75.278810408921942</v>
      </c>
      <c r="T328" s="1266" t="s">
        <v>136</v>
      </c>
      <c r="U328" s="1742" t="s">
        <v>6588</v>
      </c>
      <c r="V328" s="1742" t="s">
        <v>6588</v>
      </c>
      <c r="W328" s="1742" t="s">
        <v>6588</v>
      </c>
      <c r="X328" s="1742" t="s">
        <v>6588</v>
      </c>
      <c r="Y328" s="2106" t="s">
        <v>6588</v>
      </c>
      <c r="Z328" s="2106">
        <v>0</v>
      </c>
      <c r="AA328" s="2106">
        <v>0</v>
      </c>
      <c r="AB328" s="2106">
        <v>0</v>
      </c>
      <c r="AC328" s="2106">
        <v>0</v>
      </c>
      <c r="AD328" s="1744">
        <v>0</v>
      </c>
      <c r="AE328" s="2126">
        <v>0</v>
      </c>
      <c r="AF328" s="2126">
        <v>0</v>
      </c>
      <c r="AG328" s="1212">
        <v>1</v>
      </c>
      <c r="AH328" s="1212">
        <v>0</v>
      </c>
      <c r="AI328" s="1212">
        <v>0</v>
      </c>
      <c r="AJ328" s="1212">
        <v>1</v>
      </c>
      <c r="AK328" s="2126">
        <v>0</v>
      </c>
      <c r="AL328" s="2126">
        <v>0</v>
      </c>
      <c r="AM328" s="2126">
        <v>0</v>
      </c>
      <c r="AN328" s="2126">
        <v>0</v>
      </c>
      <c r="AO328" s="1743" t="s">
        <v>131</v>
      </c>
      <c r="AP328" s="1743"/>
      <c r="AQ328" s="1764">
        <v>2014</v>
      </c>
      <c r="AR328" s="1743" t="s">
        <v>87</v>
      </c>
      <c r="AS328" s="2135"/>
      <c r="AT328" s="2135"/>
      <c r="AU328" s="1212">
        <v>0.33333333333333331</v>
      </c>
      <c r="AV328" s="1212">
        <v>0.33333333333333331</v>
      </c>
      <c r="AW328" s="1212">
        <v>0.33333333333333331</v>
      </c>
      <c r="AX328" s="1212"/>
      <c r="AY328" s="1212"/>
      <c r="AZ328" s="1212"/>
      <c r="BA328" s="1212"/>
      <c r="BB328" s="1212"/>
      <c r="BC328" s="1212"/>
      <c r="BD328" s="1212"/>
      <c r="BE328" s="1212"/>
      <c r="BF328" s="2126">
        <v>0</v>
      </c>
      <c r="BG328" s="2126">
        <v>0</v>
      </c>
      <c r="BH328" s="2126">
        <v>0</v>
      </c>
      <c r="BI328" s="2126">
        <v>0</v>
      </c>
      <c r="BJ328" s="2126">
        <v>0</v>
      </c>
      <c r="BK328" s="2126">
        <v>0</v>
      </c>
      <c r="BL328" s="2126">
        <v>0</v>
      </c>
      <c r="BM328" s="2126">
        <v>0</v>
      </c>
      <c r="BN328" s="2126">
        <v>0</v>
      </c>
      <c r="BO328" s="2126">
        <v>0</v>
      </c>
      <c r="BP328" s="2126">
        <v>0</v>
      </c>
      <c r="BQ328" s="2126">
        <v>0</v>
      </c>
      <c r="BR328" s="2126">
        <v>0</v>
      </c>
    </row>
    <row r="329" spans="1:70" s="1765" customFormat="1" ht="33">
      <c r="A329" s="1272">
        <v>2000</v>
      </c>
      <c r="B329" s="971" t="s">
        <v>119</v>
      </c>
      <c r="C329" s="1272">
        <v>2500</v>
      </c>
      <c r="D329" s="971" t="s">
        <v>452</v>
      </c>
      <c r="E329" s="971" t="s">
        <v>700</v>
      </c>
      <c r="F329" s="971" t="s">
        <v>701</v>
      </c>
      <c r="G329" s="971" t="s">
        <v>700</v>
      </c>
      <c r="H329" s="971" t="s">
        <v>701</v>
      </c>
      <c r="I329" s="1273" t="s">
        <v>777</v>
      </c>
      <c r="J329" s="971" t="s">
        <v>124</v>
      </c>
      <c r="K329" s="971" t="s">
        <v>140</v>
      </c>
      <c r="L329" s="971" t="s">
        <v>2909</v>
      </c>
      <c r="M329" s="971" t="s">
        <v>140</v>
      </c>
      <c r="N329" s="971" t="s">
        <v>141</v>
      </c>
      <c r="O329" s="971" t="s">
        <v>142</v>
      </c>
      <c r="P329" s="971"/>
      <c r="Q329" s="971" t="s">
        <v>778</v>
      </c>
      <c r="R329" s="1266" t="s">
        <v>708</v>
      </c>
      <c r="S329" s="2106">
        <v>75.278810408921942</v>
      </c>
      <c r="T329" s="1266" t="s">
        <v>136</v>
      </c>
      <c r="U329" s="1742">
        <v>0</v>
      </c>
      <c r="V329" s="1742">
        <v>0</v>
      </c>
      <c r="W329" s="1742">
        <v>0</v>
      </c>
      <c r="X329" s="1742">
        <v>0</v>
      </c>
      <c r="Y329" s="2106">
        <v>0</v>
      </c>
      <c r="Z329" s="2106">
        <v>0</v>
      </c>
      <c r="AA329" s="2106">
        <v>0</v>
      </c>
      <c r="AB329" s="2106">
        <v>0</v>
      </c>
      <c r="AC329" s="2106">
        <v>0</v>
      </c>
      <c r="AD329" s="1744">
        <v>0</v>
      </c>
      <c r="AE329" s="2126">
        <v>0</v>
      </c>
      <c r="AF329" s="2126">
        <v>0</v>
      </c>
      <c r="AG329" s="1212">
        <v>1</v>
      </c>
      <c r="AH329" s="1212">
        <v>0</v>
      </c>
      <c r="AI329" s="1212">
        <v>0</v>
      </c>
      <c r="AJ329" s="1212">
        <v>1</v>
      </c>
      <c r="AK329" s="2126">
        <v>0</v>
      </c>
      <c r="AL329" s="2126">
        <v>0</v>
      </c>
      <c r="AM329" s="2126">
        <v>0</v>
      </c>
      <c r="AN329" s="2126">
        <v>0</v>
      </c>
      <c r="AO329" s="1743" t="s">
        <v>131</v>
      </c>
      <c r="AP329" s="1743"/>
      <c r="AQ329" s="1764">
        <v>2014</v>
      </c>
      <c r="AR329" s="1743" t="s">
        <v>87</v>
      </c>
      <c r="AS329" s="2135"/>
      <c r="AT329" s="2135"/>
      <c r="AU329" s="1212">
        <v>0.33333333333333331</v>
      </c>
      <c r="AV329" s="1212">
        <v>0.33333333333333331</v>
      </c>
      <c r="AW329" s="1212">
        <v>0.33333333333333331</v>
      </c>
      <c r="AX329" s="1212"/>
      <c r="AY329" s="1212"/>
      <c r="AZ329" s="1212"/>
      <c r="BA329" s="1212"/>
      <c r="BB329" s="1212"/>
      <c r="BC329" s="1212"/>
      <c r="BD329" s="1212"/>
      <c r="BE329" s="1212"/>
      <c r="BF329" s="2126">
        <v>0</v>
      </c>
      <c r="BG329" s="2126">
        <v>0</v>
      </c>
      <c r="BH329" s="2126">
        <v>0</v>
      </c>
      <c r="BI329" s="2126">
        <v>0</v>
      </c>
      <c r="BJ329" s="2126">
        <v>0</v>
      </c>
      <c r="BK329" s="2126">
        <v>0</v>
      </c>
      <c r="BL329" s="2126">
        <v>0</v>
      </c>
      <c r="BM329" s="2126">
        <v>0</v>
      </c>
      <c r="BN329" s="2126">
        <v>0</v>
      </c>
      <c r="BO329" s="2126">
        <v>0</v>
      </c>
      <c r="BP329" s="2126">
        <v>0</v>
      </c>
      <c r="BQ329" s="2126">
        <v>0</v>
      </c>
      <c r="BR329" s="2126">
        <v>0</v>
      </c>
    </row>
    <row r="330" spans="1:70" s="1765" customFormat="1" ht="33">
      <c r="A330" s="1272">
        <v>2000</v>
      </c>
      <c r="B330" s="971" t="s">
        <v>119</v>
      </c>
      <c r="C330" s="1272">
        <v>2500</v>
      </c>
      <c r="D330" s="971" t="s">
        <v>452</v>
      </c>
      <c r="E330" s="971" t="s">
        <v>700</v>
      </c>
      <c r="F330" s="971" t="s">
        <v>701</v>
      </c>
      <c r="G330" s="971" t="s">
        <v>700</v>
      </c>
      <c r="H330" s="971" t="s">
        <v>701</v>
      </c>
      <c r="I330" s="1273" t="s">
        <v>779</v>
      </c>
      <c r="J330" s="971" t="s">
        <v>124</v>
      </c>
      <c r="K330" s="971"/>
      <c r="L330" s="971" t="e">
        <v>#N/A</v>
      </c>
      <c r="M330" s="971" t="s">
        <v>145</v>
      </c>
      <c r="N330" s="971" t="s">
        <v>141</v>
      </c>
      <c r="O330" s="971" t="s">
        <v>146</v>
      </c>
      <c r="P330" s="971"/>
      <c r="Q330" s="971" t="s">
        <v>780</v>
      </c>
      <c r="R330" s="1266" t="s">
        <v>708</v>
      </c>
      <c r="S330" s="2106">
        <v>75.278810408921942</v>
      </c>
      <c r="T330" s="1266" t="s">
        <v>136</v>
      </c>
      <c r="U330" s="1742" t="s">
        <v>6588</v>
      </c>
      <c r="V330" s="1742" t="s">
        <v>6588</v>
      </c>
      <c r="W330" s="1742" t="s">
        <v>6588</v>
      </c>
      <c r="X330" s="1742" t="s">
        <v>6588</v>
      </c>
      <c r="Y330" s="2106" t="s">
        <v>6588</v>
      </c>
      <c r="Z330" s="2106">
        <v>0</v>
      </c>
      <c r="AA330" s="2106">
        <v>0</v>
      </c>
      <c r="AB330" s="2106">
        <v>0</v>
      </c>
      <c r="AC330" s="2106">
        <v>0</v>
      </c>
      <c r="AD330" s="1744">
        <v>0</v>
      </c>
      <c r="AE330" s="2126">
        <v>0</v>
      </c>
      <c r="AF330" s="2126">
        <v>0</v>
      </c>
      <c r="AG330" s="1212">
        <v>1</v>
      </c>
      <c r="AH330" s="1212">
        <v>0</v>
      </c>
      <c r="AI330" s="1212">
        <v>0</v>
      </c>
      <c r="AJ330" s="1212">
        <v>1</v>
      </c>
      <c r="AK330" s="2126">
        <v>0</v>
      </c>
      <c r="AL330" s="2126">
        <v>0</v>
      </c>
      <c r="AM330" s="2126">
        <v>0</v>
      </c>
      <c r="AN330" s="2126">
        <v>0</v>
      </c>
      <c r="AO330" s="1743" t="s">
        <v>131</v>
      </c>
      <c r="AP330" s="1743"/>
      <c r="AQ330" s="1764">
        <v>2014</v>
      </c>
      <c r="AR330" s="1743" t="s">
        <v>87</v>
      </c>
      <c r="AS330" s="2135"/>
      <c r="AT330" s="2135"/>
      <c r="AU330" s="1212">
        <v>0.33333333333333331</v>
      </c>
      <c r="AV330" s="1212">
        <v>0.33333333333333331</v>
      </c>
      <c r="AW330" s="1212">
        <v>0.33333333333333331</v>
      </c>
      <c r="AX330" s="1212"/>
      <c r="AY330" s="1212"/>
      <c r="AZ330" s="1212"/>
      <c r="BA330" s="1212"/>
      <c r="BB330" s="1212"/>
      <c r="BC330" s="1212"/>
      <c r="BD330" s="1212"/>
      <c r="BE330" s="1212"/>
      <c r="BF330" s="2126">
        <v>0</v>
      </c>
      <c r="BG330" s="2126">
        <v>0</v>
      </c>
      <c r="BH330" s="2126">
        <v>0</v>
      </c>
      <c r="BI330" s="2126">
        <v>0</v>
      </c>
      <c r="BJ330" s="2126">
        <v>0</v>
      </c>
      <c r="BK330" s="2126">
        <v>0</v>
      </c>
      <c r="BL330" s="2126">
        <v>0</v>
      </c>
      <c r="BM330" s="2126">
        <v>0</v>
      </c>
      <c r="BN330" s="2126">
        <v>0</v>
      </c>
      <c r="BO330" s="2126">
        <v>0</v>
      </c>
      <c r="BP330" s="2126">
        <v>0</v>
      </c>
      <c r="BQ330" s="2126">
        <v>0</v>
      </c>
      <c r="BR330" s="2126">
        <v>0</v>
      </c>
    </row>
    <row r="331" spans="1:70" s="1765" customFormat="1" ht="66">
      <c r="A331" s="1272">
        <v>2000</v>
      </c>
      <c r="B331" s="971" t="s">
        <v>119</v>
      </c>
      <c r="C331" s="1272">
        <v>2500</v>
      </c>
      <c r="D331" s="971" t="s">
        <v>452</v>
      </c>
      <c r="E331" s="971" t="s">
        <v>700</v>
      </c>
      <c r="F331" s="971" t="s">
        <v>701</v>
      </c>
      <c r="G331" s="971" t="s">
        <v>700</v>
      </c>
      <c r="H331" s="971" t="s">
        <v>701</v>
      </c>
      <c r="I331" s="1273"/>
      <c r="J331" s="971" t="s">
        <v>124</v>
      </c>
      <c r="K331" s="971" t="s">
        <v>516</v>
      </c>
      <c r="L331" s="971" t="s">
        <v>2860</v>
      </c>
      <c r="M331" s="971" t="s">
        <v>517</v>
      </c>
      <c r="N331" s="971" t="s">
        <v>127</v>
      </c>
      <c r="O331" s="971" t="s">
        <v>518</v>
      </c>
      <c r="P331" s="971"/>
      <c r="Q331" s="971" t="s">
        <v>781</v>
      </c>
      <c r="R331" s="1266" t="s">
        <v>782</v>
      </c>
      <c r="S331" s="2106">
        <v>56</v>
      </c>
      <c r="T331" s="1266" t="s">
        <v>136</v>
      </c>
      <c r="U331" s="1742">
        <v>0.15691666666666668</v>
      </c>
      <c r="V331" s="1742">
        <v>1.9614583333333333</v>
      </c>
      <c r="W331" s="1742">
        <v>13.830634999999999</v>
      </c>
      <c r="X331" s="1742">
        <v>21.634100833333331</v>
      </c>
      <c r="Y331" s="2106">
        <v>37.426194166666662</v>
      </c>
      <c r="Z331" s="2106">
        <v>8.7873333333333346</v>
      </c>
      <c r="AA331" s="2106">
        <v>109.84166666666667</v>
      </c>
      <c r="AB331" s="2106">
        <v>774.51555999999994</v>
      </c>
      <c r="AC331" s="2106">
        <v>1211.5096466666666</v>
      </c>
      <c r="AD331" s="1744">
        <v>2095.8668733333334</v>
      </c>
      <c r="AE331" s="2126">
        <v>1</v>
      </c>
      <c r="AF331" s="2126">
        <v>56</v>
      </c>
      <c r="AG331" s="1212">
        <v>1</v>
      </c>
      <c r="AH331" s="1212">
        <v>0</v>
      </c>
      <c r="AI331" s="1212">
        <v>0</v>
      </c>
      <c r="AJ331" s="1212">
        <v>1</v>
      </c>
      <c r="AK331" s="2126">
        <v>2095.8668733333334</v>
      </c>
      <c r="AL331" s="2126">
        <v>0</v>
      </c>
      <c r="AM331" s="2126">
        <v>0</v>
      </c>
      <c r="AN331" s="2126">
        <v>2095.8668733333334</v>
      </c>
      <c r="AO331" s="1743" t="s">
        <v>85</v>
      </c>
      <c r="AP331" s="1743" t="s">
        <v>90</v>
      </c>
      <c r="AQ331" s="1764" t="s">
        <v>108</v>
      </c>
      <c r="AR331" s="1743" t="s">
        <v>87</v>
      </c>
      <c r="AS331" s="2135"/>
      <c r="AT331" s="2135"/>
      <c r="AU331" s="1212">
        <v>0.33333333333333331</v>
      </c>
      <c r="AV331" s="1212">
        <v>0.33333333333333331</v>
      </c>
      <c r="AW331" s="1212">
        <v>0.33333333333333331</v>
      </c>
      <c r="AX331" s="1212"/>
      <c r="AY331" s="1212"/>
      <c r="AZ331" s="1212"/>
      <c r="BA331" s="1212"/>
      <c r="BB331" s="1212"/>
      <c r="BC331" s="1212"/>
      <c r="BD331" s="1212"/>
      <c r="BE331" s="1212"/>
      <c r="BF331" s="2126">
        <v>0</v>
      </c>
      <c r="BG331" s="2126">
        <v>0</v>
      </c>
      <c r="BH331" s="2126">
        <v>698.62229111111105</v>
      </c>
      <c r="BI331" s="2126">
        <v>698.62229111111105</v>
      </c>
      <c r="BJ331" s="2126">
        <v>698.62229111111105</v>
      </c>
      <c r="BK331" s="2126">
        <v>0</v>
      </c>
      <c r="BL331" s="2126">
        <v>0</v>
      </c>
      <c r="BM331" s="2126">
        <v>0</v>
      </c>
      <c r="BN331" s="2126">
        <v>0</v>
      </c>
      <c r="BO331" s="2126">
        <v>0</v>
      </c>
      <c r="BP331" s="2126">
        <v>0</v>
      </c>
      <c r="BQ331" s="2126">
        <v>0</v>
      </c>
      <c r="BR331" s="2126">
        <v>0</v>
      </c>
    </row>
    <row r="332" spans="1:70" s="1765" customFormat="1" ht="49.5">
      <c r="A332" s="1272">
        <v>2000</v>
      </c>
      <c r="B332" s="971" t="s">
        <v>119</v>
      </c>
      <c r="C332" s="1272">
        <v>2500</v>
      </c>
      <c r="D332" s="971" t="s">
        <v>452</v>
      </c>
      <c r="E332" s="971" t="s">
        <v>700</v>
      </c>
      <c r="F332" s="971" t="s">
        <v>701</v>
      </c>
      <c r="G332" s="971" t="s">
        <v>700</v>
      </c>
      <c r="H332" s="971" t="s">
        <v>701</v>
      </c>
      <c r="I332" s="1273"/>
      <c r="J332" s="971" t="s">
        <v>124</v>
      </c>
      <c r="K332" s="971" t="s">
        <v>523</v>
      </c>
      <c r="L332" s="971" t="s">
        <v>6607</v>
      </c>
      <c r="M332" s="971" t="s">
        <v>523</v>
      </c>
      <c r="N332" s="971" t="s">
        <v>141</v>
      </c>
      <c r="O332" s="971" t="s">
        <v>524</v>
      </c>
      <c r="P332" s="971"/>
      <c r="Q332" s="971" t="s">
        <v>783</v>
      </c>
      <c r="R332" s="1266" t="s">
        <v>782</v>
      </c>
      <c r="S332" s="2106">
        <v>56</v>
      </c>
      <c r="T332" s="1266" t="s">
        <v>136</v>
      </c>
      <c r="U332" s="1742">
        <v>0.14520631503408685</v>
      </c>
      <c r="V332" s="1742">
        <v>1.8150789379260854</v>
      </c>
      <c r="W332" s="1742">
        <v>12.798484607104415</v>
      </c>
      <c r="X332" s="1742">
        <v>20.019594653749554</v>
      </c>
      <c r="Y332" s="2106">
        <v>34.633158198780052</v>
      </c>
      <c r="Z332" s="2106">
        <v>8.1315536419088641</v>
      </c>
      <c r="AA332" s="2106">
        <v>101.64442052386079</v>
      </c>
      <c r="AB332" s="2106">
        <v>716.71513799784725</v>
      </c>
      <c r="AC332" s="2106">
        <v>1121.097300609975</v>
      </c>
      <c r="AD332" s="1744">
        <v>1939.4568591316831</v>
      </c>
      <c r="AE332" s="2126">
        <v>0.75</v>
      </c>
      <c r="AF332" s="2126">
        <v>42</v>
      </c>
      <c r="AG332" s="1212">
        <v>1</v>
      </c>
      <c r="AH332" s="1212">
        <v>0</v>
      </c>
      <c r="AI332" s="1212">
        <v>0</v>
      </c>
      <c r="AJ332" s="1212">
        <v>1</v>
      </c>
      <c r="AK332" s="2126">
        <v>1939.4568591316831</v>
      </c>
      <c r="AL332" s="2126">
        <v>0</v>
      </c>
      <c r="AM332" s="2126">
        <v>0</v>
      </c>
      <c r="AN332" s="2126">
        <v>1939.4568591316831</v>
      </c>
      <c r="AO332" s="1743" t="s">
        <v>85</v>
      </c>
      <c r="AP332" s="1743" t="s">
        <v>90</v>
      </c>
      <c r="AQ332" s="1764" t="s">
        <v>108</v>
      </c>
      <c r="AR332" s="1743" t="s">
        <v>87</v>
      </c>
      <c r="AS332" s="2135"/>
      <c r="AT332" s="2135"/>
      <c r="AU332" s="1212">
        <v>0.33333333333333331</v>
      </c>
      <c r="AV332" s="1212">
        <v>0.33333333333333331</v>
      </c>
      <c r="AW332" s="1212">
        <v>0.33333333333333331</v>
      </c>
      <c r="AX332" s="1212"/>
      <c r="AY332" s="1212"/>
      <c r="AZ332" s="1212"/>
      <c r="BA332" s="1212"/>
      <c r="BB332" s="1212"/>
      <c r="BC332" s="1212"/>
      <c r="BD332" s="1212"/>
      <c r="BE332" s="1212"/>
      <c r="BF332" s="2126">
        <v>0</v>
      </c>
      <c r="BG332" s="2126">
        <v>0</v>
      </c>
      <c r="BH332" s="2126">
        <v>646.48561971056097</v>
      </c>
      <c r="BI332" s="2126">
        <v>646.48561971056097</v>
      </c>
      <c r="BJ332" s="2126">
        <v>646.48561971056097</v>
      </c>
      <c r="BK332" s="2126">
        <v>0</v>
      </c>
      <c r="BL332" s="2126">
        <v>0</v>
      </c>
      <c r="BM332" s="2126">
        <v>0</v>
      </c>
      <c r="BN332" s="2126">
        <v>0</v>
      </c>
      <c r="BO332" s="2126">
        <v>0</v>
      </c>
      <c r="BP332" s="2126">
        <v>0</v>
      </c>
      <c r="BQ332" s="2126">
        <v>0</v>
      </c>
      <c r="BR332" s="2126">
        <v>0</v>
      </c>
    </row>
    <row r="333" spans="1:70" s="1765" customFormat="1" ht="49.5">
      <c r="A333" s="1272">
        <v>2000</v>
      </c>
      <c r="B333" s="971" t="s">
        <v>119</v>
      </c>
      <c r="C333" s="1272">
        <v>2500</v>
      </c>
      <c r="D333" s="971" t="s">
        <v>452</v>
      </c>
      <c r="E333" s="971" t="s">
        <v>700</v>
      </c>
      <c r="F333" s="971" t="s">
        <v>701</v>
      </c>
      <c r="G333" s="971" t="s">
        <v>700</v>
      </c>
      <c r="H333" s="971" t="s">
        <v>701</v>
      </c>
      <c r="I333" s="1273"/>
      <c r="J333" s="971" t="s">
        <v>124</v>
      </c>
      <c r="K333" s="971" t="s">
        <v>784</v>
      </c>
      <c r="L333" s="971" t="s">
        <v>2852</v>
      </c>
      <c r="M333" s="971" t="s">
        <v>214</v>
      </c>
      <c r="N333" s="971" t="s">
        <v>127</v>
      </c>
      <c r="O333" s="971" t="s">
        <v>215</v>
      </c>
      <c r="P333" s="971"/>
      <c r="Q333" s="971" t="s">
        <v>785</v>
      </c>
      <c r="R333" s="1266" t="s">
        <v>786</v>
      </c>
      <c r="S333" s="2106">
        <v>20</v>
      </c>
      <c r="T333" s="1266" t="s">
        <v>136</v>
      </c>
      <c r="U333" s="1742">
        <v>0.22416666666666665</v>
      </c>
      <c r="V333" s="1742">
        <v>2.8020833333333335</v>
      </c>
      <c r="W333" s="1742">
        <v>19.758049999999997</v>
      </c>
      <c r="X333" s="1742">
        <v>30.905858333333335</v>
      </c>
      <c r="Y333" s="2106">
        <v>53.46599166666666</v>
      </c>
      <c r="Z333" s="2106">
        <v>4.4833333333333334</v>
      </c>
      <c r="AA333" s="2106">
        <v>56.041666666666671</v>
      </c>
      <c r="AB333" s="2106">
        <v>395.16099999999994</v>
      </c>
      <c r="AC333" s="2106">
        <v>618.11716666666666</v>
      </c>
      <c r="AD333" s="1744">
        <v>1069.3198333333332</v>
      </c>
      <c r="AE333" s="2126">
        <v>1</v>
      </c>
      <c r="AF333" s="2126">
        <v>20</v>
      </c>
      <c r="AG333" s="1212">
        <v>1</v>
      </c>
      <c r="AH333" s="1212">
        <v>0</v>
      </c>
      <c r="AI333" s="1212">
        <v>0</v>
      </c>
      <c r="AJ333" s="1212">
        <v>1</v>
      </c>
      <c r="AK333" s="2126">
        <v>1069.3198333333332</v>
      </c>
      <c r="AL333" s="2126">
        <v>0</v>
      </c>
      <c r="AM333" s="2126">
        <v>0</v>
      </c>
      <c r="AN333" s="2126">
        <v>1069.3198333333332</v>
      </c>
      <c r="AO333" s="1743" t="s">
        <v>85</v>
      </c>
      <c r="AP333" s="1743" t="s">
        <v>90</v>
      </c>
      <c r="AQ333" s="1764" t="s">
        <v>108</v>
      </c>
      <c r="AR333" s="1743" t="s">
        <v>87</v>
      </c>
      <c r="AS333" s="2135"/>
      <c r="AT333" s="2135"/>
      <c r="AU333" s="1212">
        <v>0.33333333333333331</v>
      </c>
      <c r="AV333" s="1212">
        <v>0.33333333333333331</v>
      </c>
      <c r="AW333" s="1212">
        <v>0.33333333333333331</v>
      </c>
      <c r="AX333" s="1212"/>
      <c r="AY333" s="1212"/>
      <c r="AZ333" s="1212"/>
      <c r="BA333" s="1212"/>
      <c r="BB333" s="1212"/>
      <c r="BC333" s="1212"/>
      <c r="BD333" s="1212"/>
      <c r="BE333" s="1212"/>
      <c r="BF333" s="2126">
        <v>0</v>
      </c>
      <c r="BG333" s="2126">
        <v>0</v>
      </c>
      <c r="BH333" s="2126">
        <v>356.43994444444439</v>
      </c>
      <c r="BI333" s="2126">
        <v>356.43994444444439</v>
      </c>
      <c r="BJ333" s="2126">
        <v>356.43994444444439</v>
      </c>
      <c r="BK333" s="2126">
        <v>0</v>
      </c>
      <c r="BL333" s="2126">
        <v>0</v>
      </c>
      <c r="BM333" s="2126">
        <v>0</v>
      </c>
      <c r="BN333" s="2126">
        <v>0</v>
      </c>
      <c r="BO333" s="2126">
        <v>0</v>
      </c>
      <c r="BP333" s="2126">
        <v>0</v>
      </c>
      <c r="BQ333" s="2126">
        <v>0</v>
      </c>
      <c r="BR333" s="2126">
        <v>0</v>
      </c>
    </row>
    <row r="334" spans="1:70" s="1765" customFormat="1" ht="33">
      <c r="A334" s="1272">
        <v>2000</v>
      </c>
      <c r="B334" s="971" t="s">
        <v>119</v>
      </c>
      <c r="C334" s="1272">
        <v>2500</v>
      </c>
      <c r="D334" s="971" t="s">
        <v>452</v>
      </c>
      <c r="E334" s="971" t="s">
        <v>700</v>
      </c>
      <c r="F334" s="971" t="s">
        <v>701</v>
      </c>
      <c r="G334" s="971" t="s">
        <v>700</v>
      </c>
      <c r="H334" s="971" t="s">
        <v>701</v>
      </c>
      <c r="I334" s="1273"/>
      <c r="J334" s="971" t="s">
        <v>124</v>
      </c>
      <c r="K334" s="971" t="s">
        <v>140</v>
      </c>
      <c r="L334" s="971" t="s">
        <v>2909</v>
      </c>
      <c r="M334" s="971" t="s">
        <v>140</v>
      </c>
      <c r="N334" s="971" t="s">
        <v>141</v>
      </c>
      <c r="O334" s="971" t="s">
        <v>142</v>
      </c>
      <c r="P334" s="971"/>
      <c r="Q334" s="971" t="s">
        <v>787</v>
      </c>
      <c r="R334" s="1266" t="s">
        <v>786</v>
      </c>
      <c r="S334" s="2106">
        <v>20</v>
      </c>
      <c r="T334" s="1266" t="s">
        <v>136</v>
      </c>
      <c r="U334" s="1742">
        <v>0</v>
      </c>
      <c r="V334" s="1742">
        <v>0</v>
      </c>
      <c r="W334" s="1742">
        <v>0</v>
      </c>
      <c r="X334" s="1742">
        <v>0</v>
      </c>
      <c r="Y334" s="2106">
        <v>0</v>
      </c>
      <c r="Z334" s="2106">
        <v>0</v>
      </c>
      <c r="AA334" s="2106">
        <v>0</v>
      </c>
      <c r="AB334" s="2106">
        <v>0</v>
      </c>
      <c r="AC334" s="2106">
        <v>0</v>
      </c>
      <c r="AD334" s="1744">
        <v>0</v>
      </c>
      <c r="AE334" s="2126">
        <v>0</v>
      </c>
      <c r="AF334" s="2126">
        <v>0</v>
      </c>
      <c r="AG334" s="1212">
        <v>1</v>
      </c>
      <c r="AH334" s="1212">
        <v>0</v>
      </c>
      <c r="AI334" s="1212">
        <v>0</v>
      </c>
      <c r="AJ334" s="1212">
        <v>1</v>
      </c>
      <c r="AK334" s="2126">
        <v>0</v>
      </c>
      <c r="AL334" s="2126">
        <v>0</v>
      </c>
      <c r="AM334" s="2126">
        <v>0</v>
      </c>
      <c r="AN334" s="2126">
        <v>0</v>
      </c>
      <c r="AO334" s="1743" t="s">
        <v>85</v>
      </c>
      <c r="AP334" s="1743" t="s">
        <v>90</v>
      </c>
      <c r="AQ334" s="1764" t="s">
        <v>108</v>
      </c>
      <c r="AR334" s="1743" t="s">
        <v>87</v>
      </c>
      <c r="AS334" s="2135"/>
      <c r="AT334" s="2135"/>
      <c r="AU334" s="1212">
        <v>0.33333333333333331</v>
      </c>
      <c r="AV334" s="1212">
        <v>0.33333333333333331</v>
      </c>
      <c r="AW334" s="1212">
        <v>0.33333333333333331</v>
      </c>
      <c r="AX334" s="1212"/>
      <c r="AY334" s="1212"/>
      <c r="AZ334" s="1212"/>
      <c r="BA334" s="1212"/>
      <c r="BB334" s="1212"/>
      <c r="BC334" s="1212"/>
      <c r="BD334" s="1212"/>
      <c r="BE334" s="1212"/>
      <c r="BF334" s="2126">
        <v>0</v>
      </c>
      <c r="BG334" s="2126">
        <v>0</v>
      </c>
      <c r="BH334" s="2126">
        <v>0</v>
      </c>
      <c r="BI334" s="2126">
        <v>0</v>
      </c>
      <c r="BJ334" s="2126">
        <v>0</v>
      </c>
      <c r="BK334" s="2126">
        <v>0</v>
      </c>
      <c r="BL334" s="2126">
        <v>0</v>
      </c>
      <c r="BM334" s="2126">
        <v>0</v>
      </c>
      <c r="BN334" s="2126">
        <v>0</v>
      </c>
      <c r="BO334" s="2126">
        <v>0</v>
      </c>
      <c r="BP334" s="2126">
        <v>0</v>
      </c>
      <c r="BQ334" s="2126">
        <v>0</v>
      </c>
      <c r="BR334" s="2126">
        <v>0</v>
      </c>
    </row>
    <row r="335" spans="1:70" s="1765" customFormat="1" ht="33">
      <c r="A335" s="1272">
        <v>2000</v>
      </c>
      <c r="B335" s="971" t="s">
        <v>119</v>
      </c>
      <c r="C335" s="1272">
        <v>2500</v>
      </c>
      <c r="D335" s="971" t="s">
        <v>452</v>
      </c>
      <c r="E335" s="971" t="s">
        <v>700</v>
      </c>
      <c r="F335" s="971" t="s">
        <v>701</v>
      </c>
      <c r="G335" s="971" t="s">
        <v>700</v>
      </c>
      <c r="H335" s="971" t="s">
        <v>701</v>
      </c>
      <c r="I335" s="1273"/>
      <c r="J335" s="971" t="s">
        <v>124</v>
      </c>
      <c r="K335" s="971"/>
      <c r="L335" s="971" t="e">
        <v>#N/A</v>
      </c>
      <c r="M335" s="971" t="s">
        <v>145</v>
      </c>
      <c r="N335" s="971" t="s">
        <v>141</v>
      </c>
      <c r="O335" s="971" t="s">
        <v>146</v>
      </c>
      <c r="P335" s="971"/>
      <c r="Q335" s="971" t="s">
        <v>788</v>
      </c>
      <c r="R335" s="1266" t="s">
        <v>786</v>
      </c>
      <c r="S335" s="2106">
        <v>20</v>
      </c>
      <c r="T335" s="1266" t="s">
        <v>136</v>
      </c>
      <c r="U335" s="1742" t="s">
        <v>6588</v>
      </c>
      <c r="V335" s="1742" t="s">
        <v>6588</v>
      </c>
      <c r="W335" s="1742" t="s">
        <v>6588</v>
      </c>
      <c r="X335" s="1742" t="s">
        <v>6588</v>
      </c>
      <c r="Y335" s="2106" t="s">
        <v>6588</v>
      </c>
      <c r="Z335" s="2106">
        <v>0</v>
      </c>
      <c r="AA335" s="2106">
        <v>0</v>
      </c>
      <c r="AB335" s="2106">
        <v>0</v>
      </c>
      <c r="AC335" s="2106">
        <v>0</v>
      </c>
      <c r="AD335" s="1744">
        <v>0</v>
      </c>
      <c r="AE335" s="2126">
        <v>0</v>
      </c>
      <c r="AF335" s="2126">
        <v>0</v>
      </c>
      <c r="AG335" s="1212">
        <v>1</v>
      </c>
      <c r="AH335" s="1212">
        <v>0</v>
      </c>
      <c r="AI335" s="1212">
        <v>0</v>
      </c>
      <c r="AJ335" s="1212">
        <v>1</v>
      </c>
      <c r="AK335" s="2126">
        <v>0</v>
      </c>
      <c r="AL335" s="2126">
        <v>0</v>
      </c>
      <c r="AM335" s="2126">
        <v>0</v>
      </c>
      <c r="AN335" s="2126">
        <v>0</v>
      </c>
      <c r="AO335" s="1743" t="s">
        <v>85</v>
      </c>
      <c r="AP335" s="1743" t="s">
        <v>90</v>
      </c>
      <c r="AQ335" s="1764" t="s">
        <v>108</v>
      </c>
      <c r="AR335" s="1743" t="s">
        <v>87</v>
      </c>
      <c r="AS335" s="2135"/>
      <c r="AT335" s="2135"/>
      <c r="AU335" s="1212">
        <v>0.33333333333333331</v>
      </c>
      <c r="AV335" s="1212">
        <v>0.33333333333333331</v>
      </c>
      <c r="AW335" s="1212">
        <v>0.33333333333333331</v>
      </c>
      <c r="AX335" s="1212"/>
      <c r="AY335" s="1212"/>
      <c r="AZ335" s="1212"/>
      <c r="BA335" s="1212"/>
      <c r="BB335" s="1212"/>
      <c r="BC335" s="1212"/>
      <c r="BD335" s="1212"/>
      <c r="BE335" s="1212"/>
      <c r="BF335" s="2126">
        <v>0</v>
      </c>
      <c r="BG335" s="2126">
        <v>0</v>
      </c>
      <c r="BH335" s="2126">
        <v>0</v>
      </c>
      <c r="BI335" s="2126">
        <v>0</v>
      </c>
      <c r="BJ335" s="2126">
        <v>0</v>
      </c>
      <c r="BK335" s="2126">
        <v>0</v>
      </c>
      <c r="BL335" s="2126">
        <v>0</v>
      </c>
      <c r="BM335" s="2126">
        <v>0</v>
      </c>
      <c r="BN335" s="2126">
        <v>0</v>
      </c>
      <c r="BO335" s="2126">
        <v>0</v>
      </c>
      <c r="BP335" s="2126">
        <v>0</v>
      </c>
      <c r="BQ335" s="2126">
        <v>0</v>
      </c>
      <c r="BR335" s="2126">
        <v>0</v>
      </c>
    </row>
    <row r="336" spans="1:70" s="1765" customFormat="1" ht="33">
      <c r="A336" s="1272">
        <v>2000</v>
      </c>
      <c r="B336" s="971" t="s">
        <v>119</v>
      </c>
      <c r="C336" s="1272">
        <v>2500</v>
      </c>
      <c r="D336" s="971" t="s">
        <v>452</v>
      </c>
      <c r="E336" s="971" t="s">
        <v>700</v>
      </c>
      <c r="F336" s="971" t="s">
        <v>701</v>
      </c>
      <c r="G336" s="971" t="s">
        <v>700</v>
      </c>
      <c r="H336" s="971" t="s">
        <v>701</v>
      </c>
      <c r="I336" s="1273"/>
      <c r="J336" s="971" t="s">
        <v>124</v>
      </c>
      <c r="K336" s="971" t="s">
        <v>140</v>
      </c>
      <c r="L336" s="971" t="s">
        <v>2909</v>
      </c>
      <c r="M336" s="971" t="s">
        <v>140</v>
      </c>
      <c r="N336" s="971" t="s">
        <v>141</v>
      </c>
      <c r="O336" s="971" t="s">
        <v>142</v>
      </c>
      <c r="P336" s="971"/>
      <c r="Q336" s="971" t="s">
        <v>789</v>
      </c>
      <c r="R336" s="1266" t="s">
        <v>782</v>
      </c>
      <c r="S336" s="2106">
        <v>56</v>
      </c>
      <c r="T336" s="1266" t="s">
        <v>136</v>
      </c>
      <c r="U336" s="1742">
        <v>0</v>
      </c>
      <c r="V336" s="1742">
        <v>0</v>
      </c>
      <c r="W336" s="1742">
        <v>0</v>
      </c>
      <c r="X336" s="1742">
        <v>0</v>
      </c>
      <c r="Y336" s="2106">
        <v>0</v>
      </c>
      <c r="Z336" s="2106">
        <v>0</v>
      </c>
      <c r="AA336" s="2106">
        <v>0</v>
      </c>
      <c r="AB336" s="2106">
        <v>0</v>
      </c>
      <c r="AC336" s="2106">
        <v>0</v>
      </c>
      <c r="AD336" s="1744">
        <v>0</v>
      </c>
      <c r="AE336" s="2126">
        <v>0</v>
      </c>
      <c r="AF336" s="2126">
        <v>0</v>
      </c>
      <c r="AG336" s="1212">
        <v>1</v>
      </c>
      <c r="AH336" s="1212">
        <v>0</v>
      </c>
      <c r="AI336" s="1212">
        <v>0</v>
      </c>
      <c r="AJ336" s="1212">
        <v>1</v>
      </c>
      <c r="AK336" s="2126">
        <v>0</v>
      </c>
      <c r="AL336" s="2126">
        <v>0</v>
      </c>
      <c r="AM336" s="2126">
        <v>0</v>
      </c>
      <c r="AN336" s="2126">
        <v>0</v>
      </c>
      <c r="AO336" s="1743" t="s">
        <v>85</v>
      </c>
      <c r="AP336" s="1743" t="s">
        <v>90</v>
      </c>
      <c r="AQ336" s="1764" t="s">
        <v>108</v>
      </c>
      <c r="AR336" s="1743" t="s">
        <v>87</v>
      </c>
      <c r="AS336" s="2135"/>
      <c r="AT336" s="2135"/>
      <c r="AU336" s="1212">
        <v>0.33333333333333331</v>
      </c>
      <c r="AV336" s="1212">
        <v>0.33333333333333331</v>
      </c>
      <c r="AW336" s="1212">
        <v>0.33333333333333331</v>
      </c>
      <c r="AX336" s="1212"/>
      <c r="AY336" s="1212"/>
      <c r="AZ336" s="1212"/>
      <c r="BA336" s="1212"/>
      <c r="BB336" s="1212"/>
      <c r="BC336" s="1212"/>
      <c r="BD336" s="1212"/>
      <c r="BE336" s="1212"/>
      <c r="BF336" s="2126">
        <v>0</v>
      </c>
      <c r="BG336" s="2126">
        <v>0</v>
      </c>
      <c r="BH336" s="2126">
        <v>0</v>
      </c>
      <c r="BI336" s="2126">
        <v>0</v>
      </c>
      <c r="BJ336" s="2126">
        <v>0</v>
      </c>
      <c r="BK336" s="2126">
        <v>0</v>
      </c>
      <c r="BL336" s="2126">
        <v>0</v>
      </c>
      <c r="BM336" s="2126">
        <v>0</v>
      </c>
      <c r="BN336" s="2126">
        <v>0</v>
      </c>
      <c r="BO336" s="2126">
        <v>0</v>
      </c>
      <c r="BP336" s="2126">
        <v>0</v>
      </c>
      <c r="BQ336" s="2126">
        <v>0</v>
      </c>
      <c r="BR336" s="2126">
        <v>0</v>
      </c>
    </row>
    <row r="337" spans="1:70" s="1765" customFormat="1" ht="66">
      <c r="A337" s="1272">
        <v>2000</v>
      </c>
      <c r="B337" s="971" t="s">
        <v>119</v>
      </c>
      <c r="C337" s="1272">
        <v>2500</v>
      </c>
      <c r="D337" s="971" t="s">
        <v>452</v>
      </c>
      <c r="E337" s="971">
        <v>2540</v>
      </c>
      <c r="F337" s="971" t="s">
        <v>790</v>
      </c>
      <c r="G337" s="971">
        <v>2540</v>
      </c>
      <c r="H337" s="971" t="s">
        <v>790</v>
      </c>
      <c r="I337" s="1273" t="s">
        <v>791</v>
      </c>
      <c r="J337" s="971" t="s">
        <v>124</v>
      </c>
      <c r="K337" s="971" t="s">
        <v>1747</v>
      </c>
      <c r="L337" s="971" t="s">
        <v>6606</v>
      </c>
      <c r="M337" s="971" t="s">
        <v>606</v>
      </c>
      <c r="N337" s="971" t="s">
        <v>488</v>
      </c>
      <c r="O337" s="971" t="s">
        <v>518</v>
      </c>
      <c r="P337" s="971"/>
      <c r="Q337" s="971" t="s">
        <v>792</v>
      </c>
      <c r="R337" s="1266" t="s">
        <v>793</v>
      </c>
      <c r="S337" s="2106">
        <v>446.09665427509293</v>
      </c>
      <c r="T337" s="1266" t="s">
        <v>136</v>
      </c>
      <c r="U337" s="1742">
        <v>0.56041666666666667</v>
      </c>
      <c r="V337" s="1742">
        <v>1.9614583333333333</v>
      </c>
      <c r="W337" s="1742">
        <v>49.395125</v>
      </c>
      <c r="X337" s="1742">
        <v>77.264645833333333</v>
      </c>
      <c r="Y337" s="2106">
        <v>128.62122916666667</v>
      </c>
      <c r="Z337" s="2106">
        <v>250</v>
      </c>
      <c r="AA337" s="2106">
        <v>875</v>
      </c>
      <c r="AB337" s="2106">
        <v>22035</v>
      </c>
      <c r="AC337" s="2106">
        <v>34467.5</v>
      </c>
      <c r="AD337" s="1744">
        <v>57377.5</v>
      </c>
      <c r="AE337" s="2126">
        <v>1</v>
      </c>
      <c r="AF337" s="2126">
        <v>446.09665427509293</v>
      </c>
      <c r="AG337" s="1212">
        <v>1</v>
      </c>
      <c r="AH337" s="1212">
        <v>0</v>
      </c>
      <c r="AI337" s="1212">
        <v>0</v>
      </c>
      <c r="AJ337" s="1212">
        <v>1</v>
      </c>
      <c r="AK337" s="2126">
        <v>57377.5</v>
      </c>
      <c r="AL337" s="2126">
        <v>0</v>
      </c>
      <c r="AM337" s="2126">
        <v>0</v>
      </c>
      <c r="AN337" s="2126">
        <v>57377.5</v>
      </c>
      <c r="AO337" s="1743" t="s">
        <v>131</v>
      </c>
      <c r="AP337" s="1743"/>
      <c r="AQ337" s="1764">
        <v>2014</v>
      </c>
      <c r="AR337" s="1743" t="s">
        <v>87</v>
      </c>
      <c r="AS337" s="2135"/>
      <c r="AT337" s="2135"/>
      <c r="AU337" s="1212">
        <v>0.33333333333333331</v>
      </c>
      <c r="AV337" s="1212">
        <v>0.33333333333333331</v>
      </c>
      <c r="AW337" s="1212">
        <v>0.33333333333333331</v>
      </c>
      <c r="AX337" s="1212"/>
      <c r="AY337" s="1212"/>
      <c r="AZ337" s="1212"/>
      <c r="BA337" s="1212"/>
      <c r="BB337" s="1212"/>
      <c r="BC337" s="1212"/>
      <c r="BD337" s="1212"/>
      <c r="BE337" s="1212"/>
      <c r="BF337" s="2126">
        <v>0</v>
      </c>
      <c r="BG337" s="2126">
        <v>0</v>
      </c>
      <c r="BH337" s="2126">
        <v>19125.833333333332</v>
      </c>
      <c r="BI337" s="2126">
        <v>19125.833333333332</v>
      </c>
      <c r="BJ337" s="2126">
        <v>19125.833333333332</v>
      </c>
      <c r="BK337" s="2126">
        <v>0</v>
      </c>
      <c r="BL337" s="2126">
        <v>0</v>
      </c>
      <c r="BM337" s="2126">
        <v>0</v>
      </c>
      <c r="BN337" s="2126">
        <v>0</v>
      </c>
      <c r="BO337" s="2126">
        <v>0</v>
      </c>
      <c r="BP337" s="2126">
        <v>0</v>
      </c>
      <c r="BQ337" s="2126">
        <v>0</v>
      </c>
      <c r="BR337" s="2126">
        <v>0</v>
      </c>
    </row>
    <row r="338" spans="1:70" s="1765" customFormat="1" ht="66">
      <c r="A338" s="1272">
        <v>2000</v>
      </c>
      <c r="B338" s="971" t="s">
        <v>119</v>
      </c>
      <c r="C338" s="1272">
        <v>2500</v>
      </c>
      <c r="D338" s="971" t="s">
        <v>452</v>
      </c>
      <c r="E338" s="971">
        <v>2540</v>
      </c>
      <c r="F338" s="971" t="s">
        <v>790</v>
      </c>
      <c r="G338" s="971">
        <v>2540</v>
      </c>
      <c r="H338" s="971" t="s">
        <v>790</v>
      </c>
      <c r="I338" s="1273" t="s">
        <v>794</v>
      </c>
      <c r="J338" s="971" t="s">
        <v>124</v>
      </c>
      <c r="K338" s="971" t="s">
        <v>523</v>
      </c>
      <c r="L338" s="971" t="s">
        <v>6607</v>
      </c>
      <c r="M338" s="971" t="s">
        <v>523</v>
      </c>
      <c r="N338" s="971" t="s">
        <v>141</v>
      </c>
      <c r="O338" s="971" t="s">
        <v>524</v>
      </c>
      <c r="P338" s="971"/>
      <c r="Q338" s="971" t="s">
        <v>795</v>
      </c>
      <c r="R338" s="1266" t="s">
        <v>793</v>
      </c>
      <c r="S338" s="2106">
        <v>446.09665427509293</v>
      </c>
      <c r="T338" s="1266" t="s">
        <v>136</v>
      </c>
      <c r="U338" s="1742">
        <v>0.14520631503408685</v>
      </c>
      <c r="V338" s="1742">
        <v>1.8150789379260854</v>
      </c>
      <c r="W338" s="1742">
        <v>12.798484607104415</v>
      </c>
      <c r="X338" s="1742">
        <v>20.019594653749554</v>
      </c>
      <c r="Y338" s="2106">
        <v>34.633158198780052</v>
      </c>
      <c r="Z338" s="2106">
        <v>64.776051316321272</v>
      </c>
      <c r="AA338" s="2106">
        <v>809.70064145401579</v>
      </c>
      <c r="AB338" s="2106">
        <v>5709.3611630205569</v>
      </c>
      <c r="AC338" s="2106">
        <v>8930.6741949812131</v>
      </c>
      <c r="AD338" s="1744">
        <v>15449.735999455785</v>
      </c>
      <c r="AE338" s="2126">
        <v>0.75</v>
      </c>
      <c r="AF338" s="2126">
        <v>334.57249070631968</v>
      </c>
      <c r="AG338" s="1212">
        <v>1</v>
      </c>
      <c r="AH338" s="1212">
        <v>0</v>
      </c>
      <c r="AI338" s="1212">
        <v>0</v>
      </c>
      <c r="AJ338" s="1212">
        <v>1</v>
      </c>
      <c r="AK338" s="2126">
        <v>15449.735999455785</v>
      </c>
      <c r="AL338" s="2126">
        <v>0</v>
      </c>
      <c r="AM338" s="2126">
        <v>0</v>
      </c>
      <c r="AN338" s="2126">
        <v>15449.735999455785</v>
      </c>
      <c r="AO338" s="1743" t="s">
        <v>131</v>
      </c>
      <c r="AP338" s="1743"/>
      <c r="AQ338" s="1764">
        <v>2014</v>
      </c>
      <c r="AR338" s="1743" t="s">
        <v>87</v>
      </c>
      <c r="AS338" s="2135"/>
      <c r="AT338" s="2135"/>
      <c r="AU338" s="1212">
        <v>0.33333333333333331</v>
      </c>
      <c r="AV338" s="1212">
        <v>0.33333333333333331</v>
      </c>
      <c r="AW338" s="1212">
        <v>0.33333333333333331</v>
      </c>
      <c r="AX338" s="1212"/>
      <c r="AY338" s="1212"/>
      <c r="AZ338" s="1212"/>
      <c r="BA338" s="1212"/>
      <c r="BB338" s="1212"/>
      <c r="BC338" s="1212"/>
      <c r="BD338" s="1212"/>
      <c r="BE338" s="1212"/>
      <c r="BF338" s="2126">
        <v>0</v>
      </c>
      <c r="BG338" s="2126">
        <v>0</v>
      </c>
      <c r="BH338" s="2126">
        <v>5149.9119998185943</v>
      </c>
      <c r="BI338" s="2126">
        <v>5149.9119998185943</v>
      </c>
      <c r="BJ338" s="2126">
        <v>5149.9119998185943</v>
      </c>
      <c r="BK338" s="2126">
        <v>0</v>
      </c>
      <c r="BL338" s="2126">
        <v>0</v>
      </c>
      <c r="BM338" s="2126">
        <v>0</v>
      </c>
      <c r="BN338" s="2126">
        <v>0</v>
      </c>
      <c r="BO338" s="2126">
        <v>0</v>
      </c>
      <c r="BP338" s="2126">
        <v>0</v>
      </c>
      <c r="BQ338" s="2126">
        <v>0</v>
      </c>
      <c r="BR338" s="2126">
        <v>0</v>
      </c>
    </row>
    <row r="339" spans="1:70" s="1765" customFormat="1" ht="66">
      <c r="A339" s="1272">
        <v>2000</v>
      </c>
      <c r="B339" s="971" t="s">
        <v>119</v>
      </c>
      <c r="C339" s="1272">
        <v>2500</v>
      </c>
      <c r="D339" s="971" t="s">
        <v>452</v>
      </c>
      <c r="E339" s="971">
        <v>2540</v>
      </c>
      <c r="F339" s="971" t="s">
        <v>790</v>
      </c>
      <c r="G339" s="971">
        <v>2540</v>
      </c>
      <c r="H339" s="971" t="s">
        <v>790</v>
      </c>
      <c r="I339" s="1273" t="s">
        <v>796</v>
      </c>
      <c r="J339" s="971" t="s">
        <v>124</v>
      </c>
      <c r="K339" s="971" t="s">
        <v>506</v>
      </c>
      <c r="L339" s="971" t="s">
        <v>6608</v>
      </c>
      <c r="M339" s="971" t="s">
        <v>506</v>
      </c>
      <c r="N339" s="971" t="s">
        <v>141</v>
      </c>
      <c r="O339" s="971" t="s">
        <v>507</v>
      </c>
      <c r="P339" s="971"/>
      <c r="Q339" s="971" t="s">
        <v>797</v>
      </c>
      <c r="R339" s="1266" t="s">
        <v>793</v>
      </c>
      <c r="S339" s="2106">
        <v>446.09665427509293</v>
      </c>
      <c r="T339" s="1266" t="s">
        <v>136</v>
      </c>
      <c r="U339" s="1742">
        <v>0.125</v>
      </c>
      <c r="V339" s="1742">
        <v>1.875</v>
      </c>
      <c r="W339" s="1742">
        <v>11.0175</v>
      </c>
      <c r="X339" s="1742">
        <v>18.75</v>
      </c>
      <c r="Y339" s="2106">
        <v>31.642499999999998</v>
      </c>
      <c r="Z339" s="2106">
        <v>55.762081784386616</v>
      </c>
      <c r="AA339" s="2106">
        <v>836.43122676579924</v>
      </c>
      <c r="AB339" s="2106">
        <v>4914.869888475836</v>
      </c>
      <c r="AC339" s="2106">
        <v>8364.3122676579933</v>
      </c>
      <c r="AD339" s="1744">
        <v>14115.613382899628</v>
      </c>
      <c r="AE339" s="2126">
        <v>0</v>
      </c>
      <c r="AF339" s="2126">
        <v>0</v>
      </c>
      <c r="AG339" s="1212">
        <v>1</v>
      </c>
      <c r="AH339" s="1212">
        <v>0</v>
      </c>
      <c r="AI339" s="1212">
        <v>0</v>
      </c>
      <c r="AJ339" s="1212">
        <v>1</v>
      </c>
      <c r="AK339" s="2126">
        <v>14115.613382899628</v>
      </c>
      <c r="AL339" s="2126">
        <v>0</v>
      </c>
      <c r="AM339" s="2126">
        <v>0</v>
      </c>
      <c r="AN339" s="2126">
        <v>14115.613382899628</v>
      </c>
      <c r="AO339" s="1743" t="s">
        <v>131</v>
      </c>
      <c r="AP339" s="1743"/>
      <c r="AQ339" s="1764">
        <v>2014</v>
      </c>
      <c r="AR339" s="1743" t="s">
        <v>87</v>
      </c>
      <c r="AS339" s="2135"/>
      <c r="AT339" s="2135"/>
      <c r="AU339" s="1212">
        <v>0.33333333333333331</v>
      </c>
      <c r="AV339" s="1212">
        <v>0.33333333333333331</v>
      </c>
      <c r="AW339" s="1212">
        <v>0.33333333333333331</v>
      </c>
      <c r="AX339" s="1212"/>
      <c r="AY339" s="1212"/>
      <c r="AZ339" s="1212"/>
      <c r="BA339" s="1212"/>
      <c r="BB339" s="1212"/>
      <c r="BC339" s="1212"/>
      <c r="BD339" s="1212"/>
      <c r="BE339" s="1212"/>
      <c r="BF339" s="2126">
        <v>0</v>
      </c>
      <c r="BG339" s="2126">
        <v>0</v>
      </c>
      <c r="BH339" s="2126">
        <v>4705.2044609665427</v>
      </c>
      <c r="BI339" s="2126">
        <v>4705.2044609665427</v>
      </c>
      <c r="BJ339" s="2126">
        <v>4705.2044609665427</v>
      </c>
      <c r="BK339" s="2126">
        <v>0</v>
      </c>
      <c r="BL339" s="2126">
        <v>0</v>
      </c>
      <c r="BM339" s="2126">
        <v>0</v>
      </c>
      <c r="BN339" s="2126">
        <v>0</v>
      </c>
      <c r="BO339" s="2126">
        <v>0</v>
      </c>
      <c r="BP339" s="2126">
        <v>0</v>
      </c>
      <c r="BQ339" s="2126">
        <v>0</v>
      </c>
      <c r="BR339" s="2126">
        <v>0</v>
      </c>
    </row>
    <row r="340" spans="1:70" s="1765" customFormat="1" ht="66">
      <c r="A340" s="1272">
        <v>2000</v>
      </c>
      <c r="B340" s="971" t="s">
        <v>119</v>
      </c>
      <c r="C340" s="1272">
        <v>2500</v>
      </c>
      <c r="D340" s="971" t="s">
        <v>452</v>
      </c>
      <c r="E340" s="971">
        <v>2540</v>
      </c>
      <c r="F340" s="971" t="s">
        <v>790</v>
      </c>
      <c r="G340" s="971">
        <v>2540</v>
      </c>
      <c r="H340" s="971" t="s">
        <v>790</v>
      </c>
      <c r="I340" s="1273" t="s">
        <v>798</v>
      </c>
      <c r="J340" s="971" t="s">
        <v>799</v>
      </c>
      <c r="K340" s="971" t="s">
        <v>800</v>
      </c>
      <c r="L340" s="971" t="s">
        <v>2890</v>
      </c>
      <c r="M340" s="971" t="s">
        <v>800</v>
      </c>
      <c r="N340" s="971" t="s">
        <v>269</v>
      </c>
      <c r="O340" s="971" t="s">
        <v>801</v>
      </c>
      <c r="P340" s="971"/>
      <c r="Q340" s="971" t="s">
        <v>802</v>
      </c>
      <c r="R340" s="1266" t="s">
        <v>803</v>
      </c>
      <c r="S340" s="2106">
        <v>1</v>
      </c>
      <c r="T340" s="1266" t="s">
        <v>2700</v>
      </c>
      <c r="U340" s="1742">
        <v>47</v>
      </c>
      <c r="V340" s="1742">
        <v>400</v>
      </c>
      <c r="W340" s="1742">
        <v>4142.58</v>
      </c>
      <c r="X340" s="1742">
        <v>4411.84</v>
      </c>
      <c r="Y340" s="2106">
        <v>8954.4199999999983</v>
      </c>
      <c r="Z340" s="2106">
        <v>47</v>
      </c>
      <c r="AA340" s="2106">
        <v>400</v>
      </c>
      <c r="AB340" s="2106">
        <v>4142.58</v>
      </c>
      <c r="AC340" s="2106">
        <v>4411.84</v>
      </c>
      <c r="AD340" s="1744">
        <v>8954.42</v>
      </c>
      <c r="AE340" s="2126">
        <v>329.26829268292681</v>
      </c>
      <c r="AF340" s="2126">
        <v>329.26829268292681</v>
      </c>
      <c r="AG340" s="1212">
        <v>1</v>
      </c>
      <c r="AH340" s="1212">
        <v>0</v>
      </c>
      <c r="AI340" s="1212">
        <v>0</v>
      </c>
      <c r="AJ340" s="1212">
        <v>1</v>
      </c>
      <c r="AK340" s="2126">
        <v>8954.42</v>
      </c>
      <c r="AL340" s="2126">
        <v>0</v>
      </c>
      <c r="AM340" s="2126">
        <v>0</v>
      </c>
      <c r="AN340" s="2126">
        <v>8954.42</v>
      </c>
      <c r="AO340" s="1743" t="s">
        <v>85</v>
      </c>
      <c r="AP340" s="1743" t="s">
        <v>90</v>
      </c>
      <c r="AQ340" s="1764">
        <v>2020</v>
      </c>
      <c r="AR340" s="1743" t="s">
        <v>87</v>
      </c>
      <c r="AS340" s="2135"/>
      <c r="AT340" s="2135"/>
      <c r="AU340" s="1212">
        <v>0.33333333333333331</v>
      </c>
      <c r="AV340" s="1212">
        <v>0.33333333333333331</v>
      </c>
      <c r="AW340" s="1212">
        <v>0.33333333333333331</v>
      </c>
      <c r="AX340" s="1212"/>
      <c r="AY340" s="1212"/>
      <c r="AZ340" s="1212"/>
      <c r="BA340" s="1212"/>
      <c r="BB340" s="1212"/>
      <c r="BC340" s="1212"/>
      <c r="BD340" s="1212"/>
      <c r="BE340" s="1212"/>
      <c r="BF340" s="2126">
        <v>0</v>
      </c>
      <c r="BG340" s="2126">
        <v>0</v>
      </c>
      <c r="BH340" s="2126">
        <v>2984.8066666666664</v>
      </c>
      <c r="BI340" s="2126">
        <v>2984.8066666666664</v>
      </c>
      <c r="BJ340" s="2126">
        <v>2984.8066666666664</v>
      </c>
      <c r="BK340" s="2126">
        <v>0</v>
      </c>
      <c r="BL340" s="2126">
        <v>0</v>
      </c>
      <c r="BM340" s="2126">
        <v>0</v>
      </c>
      <c r="BN340" s="2126">
        <v>0</v>
      </c>
      <c r="BO340" s="2126">
        <v>0</v>
      </c>
      <c r="BP340" s="2126">
        <v>0</v>
      </c>
      <c r="BQ340" s="2126">
        <v>0</v>
      </c>
      <c r="BR340" s="2126">
        <v>0</v>
      </c>
    </row>
    <row r="341" spans="1:70" s="1765" customFormat="1" ht="66">
      <c r="A341" s="1272">
        <v>2000</v>
      </c>
      <c r="B341" s="971" t="s">
        <v>119</v>
      </c>
      <c r="C341" s="1272">
        <v>2500</v>
      </c>
      <c r="D341" s="971" t="s">
        <v>452</v>
      </c>
      <c r="E341" s="971">
        <v>2540</v>
      </c>
      <c r="F341" s="971" t="s">
        <v>790</v>
      </c>
      <c r="G341" s="971">
        <v>2540</v>
      </c>
      <c r="H341" s="971" t="s">
        <v>790</v>
      </c>
      <c r="I341" s="1273" t="s">
        <v>798</v>
      </c>
      <c r="J341" s="971" t="s">
        <v>799</v>
      </c>
      <c r="K341" s="971" t="s">
        <v>800</v>
      </c>
      <c r="L341" s="971" t="s">
        <v>2890</v>
      </c>
      <c r="M341" s="971" t="s">
        <v>800</v>
      </c>
      <c r="N341" s="971" t="s">
        <v>269</v>
      </c>
      <c r="O341" s="971" t="s">
        <v>801</v>
      </c>
      <c r="P341" s="971"/>
      <c r="Q341" s="971" t="s">
        <v>802</v>
      </c>
      <c r="R341" s="1266" t="s">
        <v>803</v>
      </c>
      <c r="S341" s="2106">
        <v>-1</v>
      </c>
      <c r="T341" s="1266" t="s">
        <v>2700</v>
      </c>
      <c r="U341" s="1742">
        <v>47</v>
      </c>
      <c r="V341" s="1742">
        <v>400</v>
      </c>
      <c r="W341" s="1742">
        <v>4142.58</v>
      </c>
      <c r="X341" s="1742">
        <v>4411.84</v>
      </c>
      <c r="Y341" s="2106">
        <v>8954.4199999999983</v>
      </c>
      <c r="Z341" s="2106">
        <v>-47</v>
      </c>
      <c r="AA341" s="2106">
        <v>-400</v>
      </c>
      <c r="AB341" s="2106">
        <v>-4142.58</v>
      </c>
      <c r="AC341" s="2106">
        <v>-4411.84</v>
      </c>
      <c r="AD341" s="1744">
        <v>-8954.42</v>
      </c>
      <c r="AE341" s="2126">
        <v>329.26829268292681</v>
      </c>
      <c r="AF341" s="2126">
        <v>-329.26829268292681</v>
      </c>
      <c r="AG341" s="1212">
        <v>1</v>
      </c>
      <c r="AH341" s="1212">
        <v>0</v>
      </c>
      <c r="AI341" s="1212">
        <v>0</v>
      </c>
      <c r="AJ341" s="1212">
        <v>1</v>
      </c>
      <c r="AK341" s="2126">
        <v>-8954.42</v>
      </c>
      <c r="AL341" s="2126">
        <v>0</v>
      </c>
      <c r="AM341" s="2126">
        <v>0</v>
      </c>
      <c r="AN341" s="2126">
        <v>-8954.42</v>
      </c>
      <c r="AO341" s="1743" t="s">
        <v>85</v>
      </c>
      <c r="AP341" s="1743" t="s">
        <v>96</v>
      </c>
      <c r="AQ341" s="1764" t="s">
        <v>118</v>
      </c>
      <c r="AR341" s="1743" t="s">
        <v>87</v>
      </c>
      <c r="AS341" s="2135"/>
      <c r="AT341" s="2135"/>
      <c r="AU341" s="1212">
        <v>0.33333333333333331</v>
      </c>
      <c r="AV341" s="1212">
        <v>0.33333333333333331</v>
      </c>
      <c r="AW341" s="1212">
        <v>0.33333333333333331</v>
      </c>
      <c r="AX341" s="1212"/>
      <c r="AY341" s="1212"/>
      <c r="AZ341" s="1212"/>
      <c r="BA341" s="1212"/>
      <c r="BB341" s="1212"/>
      <c r="BC341" s="1212"/>
      <c r="BD341" s="1212"/>
      <c r="BE341" s="1212"/>
      <c r="BF341" s="2126">
        <v>0</v>
      </c>
      <c r="BG341" s="2126">
        <v>0</v>
      </c>
      <c r="BH341" s="2126">
        <v>-2984.8066666666664</v>
      </c>
      <c r="BI341" s="2126">
        <v>-2984.8066666666664</v>
      </c>
      <c r="BJ341" s="2126">
        <v>-2984.8066666666664</v>
      </c>
      <c r="BK341" s="2126">
        <v>0</v>
      </c>
      <c r="BL341" s="2126">
        <v>0</v>
      </c>
      <c r="BM341" s="2126">
        <v>0</v>
      </c>
      <c r="BN341" s="2126">
        <v>0</v>
      </c>
      <c r="BO341" s="2126">
        <v>0</v>
      </c>
      <c r="BP341" s="2126">
        <v>0</v>
      </c>
      <c r="BQ341" s="2126">
        <v>0</v>
      </c>
      <c r="BR341" s="2126">
        <v>0</v>
      </c>
    </row>
    <row r="342" spans="1:70" s="1765" customFormat="1" ht="66">
      <c r="A342" s="1272">
        <v>2000</v>
      </c>
      <c r="B342" s="971" t="s">
        <v>119</v>
      </c>
      <c r="C342" s="1272">
        <v>2500</v>
      </c>
      <c r="D342" s="971" t="s">
        <v>452</v>
      </c>
      <c r="E342" s="971">
        <v>2540</v>
      </c>
      <c r="F342" s="971" t="s">
        <v>790</v>
      </c>
      <c r="G342" s="971">
        <v>2540</v>
      </c>
      <c r="H342" s="971" t="s">
        <v>790</v>
      </c>
      <c r="I342" s="1273" t="s">
        <v>798</v>
      </c>
      <c r="J342" s="971" t="s">
        <v>799</v>
      </c>
      <c r="K342" s="971" t="s">
        <v>800</v>
      </c>
      <c r="L342" s="971" t="s">
        <v>2890</v>
      </c>
      <c r="M342" s="971" t="s">
        <v>800</v>
      </c>
      <c r="N342" s="971" t="s">
        <v>269</v>
      </c>
      <c r="O342" s="971" t="s">
        <v>801</v>
      </c>
      <c r="P342" s="971"/>
      <c r="Q342" s="971" t="s">
        <v>802</v>
      </c>
      <c r="R342" s="1266" t="s">
        <v>804</v>
      </c>
      <c r="S342" s="2106">
        <v>1</v>
      </c>
      <c r="T342" s="1266" t="s">
        <v>2700</v>
      </c>
      <c r="U342" s="1742">
        <v>47</v>
      </c>
      <c r="V342" s="1742">
        <v>400</v>
      </c>
      <c r="W342" s="1742">
        <v>4142.58</v>
      </c>
      <c r="X342" s="1742">
        <v>4411.84</v>
      </c>
      <c r="Y342" s="2106">
        <v>8954.4199999999983</v>
      </c>
      <c r="Z342" s="2106">
        <v>47</v>
      </c>
      <c r="AA342" s="2106">
        <v>400</v>
      </c>
      <c r="AB342" s="2106">
        <v>4142.58</v>
      </c>
      <c r="AC342" s="2106">
        <v>4411.84</v>
      </c>
      <c r="AD342" s="1744">
        <v>8954.42</v>
      </c>
      <c r="AE342" s="2126">
        <v>329.26829268292681</v>
      </c>
      <c r="AF342" s="2126">
        <v>329.26829268292681</v>
      </c>
      <c r="AG342" s="1212">
        <v>1</v>
      </c>
      <c r="AH342" s="1212">
        <v>0</v>
      </c>
      <c r="AI342" s="1212">
        <v>0</v>
      </c>
      <c r="AJ342" s="1212">
        <v>1</v>
      </c>
      <c r="AK342" s="2126">
        <v>8954.42</v>
      </c>
      <c r="AL342" s="2126">
        <v>0</v>
      </c>
      <c r="AM342" s="2126">
        <v>0</v>
      </c>
      <c r="AN342" s="2126">
        <v>8954.42</v>
      </c>
      <c r="AO342" s="1743" t="s">
        <v>131</v>
      </c>
      <c r="AP342" s="1743"/>
      <c r="AQ342" s="1764">
        <v>2014</v>
      </c>
      <c r="AR342" s="1743" t="s">
        <v>87</v>
      </c>
      <c r="AS342" s="2135"/>
      <c r="AT342" s="2135"/>
      <c r="AU342" s="1212">
        <v>0.33333333333333331</v>
      </c>
      <c r="AV342" s="1212">
        <v>0.33333333333333331</v>
      </c>
      <c r="AW342" s="1212">
        <v>0.33333333333333331</v>
      </c>
      <c r="AX342" s="1212"/>
      <c r="AY342" s="1212"/>
      <c r="AZ342" s="1212"/>
      <c r="BA342" s="1212"/>
      <c r="BB342" s="1212"/>
      <c r="BC342" s="1212"/>
      <c r="BD342" s="1212"/>
      <c r="BE342" s="1212"/>
      <c r="BF342" s="2126">
        <v>0</v>
      </c>
      <c r="BG342" s="2126">
        <v>0</v>
      </c>
      <c r="BH342" s="2126">
        <v>2984.8066666666664</v>
      </c>
      <c r="BI342" s="2126">
        <v>2984.8066666666664</v>
      </c>
      <c r="BJ342" s="2126">
        <v>2984.8066666666664</v>
      </c>
      <c r="BK342" s="2126">
        <v>0</v>
      </c>
      <c r="BL342" s="2126">
        <v>0</v>
      </c>
      <c r="BM342" s="2126">
        <v>0</v>
      </c>
      <c r="BN342" s="2126">
        <v>0</v>
      </c>
      <c r="BO342" s="2126">
        <v>0</v>
      </c>
      <c r="BP342" s="2126">
        <v>0</v>
      </c>
      <c r="BQ342" s="2126">
        <v>0</v>
      </c>
      <c r="BR342" s="2126">
        <v>0</v>
      </c>
    </row>
    <row r="343" spans="1:70" s="1765" customFormat="1" ht="66">
      <c r="A343" s="1272">
        <v>2000</v>
      </c>
      <c r="B343" s="971" t="s">
        <v>119</v>
      </c>
      <c r="C343" s="1272">
        <v>2500</v>
      </c>
      <c r="D343" s="971" t="s">
        <v>452</v>
      </c>
      <c r="E343" s="971">
        <v>2540</v>
      </c>
      <c r="F343" s="971" t="s">
        <v>790</v>
      </c>
      <c r="G343" s="971">
        <v>2540</v>
      </c>
      <c r="H343" s="971" t="s">
        <v>790</v>
      </c>
      <c r="I343" s="1273" t="s">
        <v>805</v>
      </c>
      <c r="J343" s="971" t="s">
        <v>124</v>
      </c>
      <c r="K343" s="971" t="s">
        <v>2857</v>
      </c>
      <c r="L343" s="971" t="s">
        <v>2858</v>
      </c>
      <c r="M343" s="971" t="s">
        <v>627</v>
      </c>
      <c r="N343" s="971" t="s">
        <v>488</v>
      </c>
      <c r="O343" s="971" t="s">
        <v>539</v>
      </c>
      <c r="P343" s="971"/>
      <c r="Q343" s="971" t="s">
        <v>806</v>
      </c>
      <c r="R343" s="1266" t="s">
        <v>804</v>
      </c>
      <c r="S343" s="2106">
        <v>52.044609665427508</v>
      </c>
      <c r="T343" s="1266" t="s">
        <v>136</v>
      </c>
      <c r="U343" s="1742">
        <v>0.56041666666666667</v>
      </c>
      <c r="V343" s="1742">
        <v>2.8020833333333335</v>
      </c>
      <c r="W343" s="1742">
        <v>49.395125</v>
      </c>
      <c r="X343" s="1742">
        <v>77.264645833333333</v>
      </c>
      <c r="Y343" s="2106">
        <v>129.46185416666665</v>
      </c>
      <c r="Z343" s="2106">
        <v>29.166666666666668</v>
      </c>
      <c r="AA343" s="2106">
        <v>145.83333333333334</v>
      </c>
      <c r="AB343" s="2106">
        <v>2570.75</v>
      </c>
      <c r="AC343" s="2106">
        <v>4021.208333333333</v>
      </c>
      <c r="AD343" s="1744">
        <v>6737.7916666666661</v>
      </c>
      <c r="AE343" s="2126">
        <v>1</v>
      </c>
      <c r="AF343" s="2126">
        <v>52.044609665427508</v>
      </c>
      <c r="AG343" s="1212">
        <v>1</v>
      </c>
      <c r="AH343" s="1212">
        <v>0</v>
      </c>
      <c r="AI343" s="1212">
        <v>0</v>
      </c>
      <c r="AJ343" s="1212">
        <v>1</v>
      </c>
      <c r="AK343" s="2126">
        <v>6737.7916666666661</v>
      </c>
      <c r="AL343" s="2126">
        <v>0</v>
      </c>
      <c r="AM343" s="2126">
        <v>0</v>
      </c>
      <c r="AN343" s="2126">
        <v>6737.7916666666661</v>
      </c>
      <c r="AO343" s="1743" t="s">
        <v>131</v>
      </c>
      <c r="AP343" s="1743"/>
      <c r="AQ343" s="1764">
        <v>2014</v>
      </c>
      <c r="AR343" s="1743" t="s">
        <v>87</v>
      </c>
      <c r="AS343" s="2135"/>
      <c r="AT343" s="2135"/>
      <c r="AU343" s="1212">
        <v>0.33333333333333331</v>
      </c>
      <c r="AV343" s="1212">
        <v>0.33333333333333331</v>
      </c>
      <c r="AW343" s="1212">
        <v>0.33333333333333331</v>
      </c>
      <c r="AX343" s="1212"/>
      <c r="AY343" s="1212"/>
      <c r="AZ343" s="1212"/>
      <c r="BA343" s="1212"/>
      <c r="BB343" s="1212"/>
      <c r="BC343" s="1212"/>
      <c r="BD343" s="1212"/>
      <c r="BE343" s="1212"/>
      <c r="BF343" s="2126">
        <v>0</v>
      </c>
      <c r="BG343" s="2126">
        <v>0</v>
      </c>
      <c r="BH343" s="2126">
        <v>2245.9305555555552</v>
      </c>
      <c r="BI343" s="2126">
        <v>2245.9305555555552</v>
      </c>
      <c r="BJ343" s="2126">
        <v>2245.9305555555552</v>
      </c>
      <c r="BK343" s="2126">
        <v>0</v>
      </c>
      <c r="BL343" s="2126">
        <v>0</v>
      </c>
      <c r="BM343" s="2126">
        <v>0</v>
      </c>
      <c r="BN343" s="2126">
        <v>0</v>
      </c>
      <c r="BO343" s="2126">
        <v>0</v>
      </c>
      <c r="BP343" s="2126">
        <v>0</v>
      </c>
      <c r="BQ343" s="2126">
        <v>0</v>
      </c>
      <c r="BR343" s="2126">
        <v>0</v>
      </c>
    </row>
    <row r="344" spans="1:70" s="1765" customFormat="1" ht="66">
      <c r="A344" s="1272">
        <v>2000</v>
      </c>
      <c r="B344" s="971" t="s">
        <v>119</v>
      </c>
      <c r="C344" s="1272">
        <v>2500</v>
      </c>
      <c r="D344" s="971" t="s">
        <v>452</v>
      </c>
      <c r="E344" s="971">
        <v>2540</v>
      </c>
      <c r="F344" s="971" t="s">
        <v>790</v>
      </c>
      <c r="G344" s="971">
        <v>2540</v>
      </c>
      <c r="H344" s="971" t="s">
        <v>790</v>
      </c>
      <c r="I344" s="1273" t="s">
        <v>807</v>
      </c>
      <c r="J344" s="971" t="s">
        <v>177</v>
      </c>
      <c r="K344" s="971" t="s">
        <v>188</v>
      </c>
      <c r="L344" s="971" t="s">
        <v>2841</v>
      </c>
      <c r="M344" s="971" t="s">
        <v>188</v>
      </c>
      <c r="N344" s="971" t="s">
        <v>179</v>
      </c>
      <c r="O344" s="971" t="s">
        <v>189</v>
      </c>
      <c r="P344" s="971"/>
      <c r="Q344" s="971" t="s">
        <v>808</v>
      </c>
      <c r="R344" s="1266" t="s">
        <v>809</v>
      </c>
      <c r="S344" s="2106">
        <v>1</v>
      </c>
      <c r="T344" s="1266" t="s">
        <v>242</v>
      </c>
      <c r="U344" s="1742">
        <v>15.5</v>
      </c>
      <c r="V344" s="1742">
        <v>162.5</v>
      </c>
      <c r="W344" s="1742">
        <v>1366.17</v>
      </c>
      <c r="X344" s="1742">
        <v>1792.3100000000002</v>
      </c>
      <c r="Y344" s="2106">
        <v>3320.98</v>
      </c>
      <c r="Z344" s="2106">
        <v>15.5</v>
      </c>
      <c r="AA344" s="2106">
        <v>162.5</v>
      </c>
      <c r="AB344" s="2106">
        <v>1366.17</v>
      </c>
      <c r="AC344" s="2106">
        <v>1792.3100000000002</v>
      </c>
      <c r="AD344" s="1744">
        <v>3320.9800000000005</v>
      </c>
      <c r="AE344" s="2126">
        <v>20</v>
      </c>
      <c r="AF344" s="2126">
        <v>20</v>
      </c>
      <c r="AG344" s="1212">
        <v>1</v>
      </c>
      <c r="AH344" s="1212">
        <v>0</v>
      </c>
      <c r="AI344" s="1212">
        <v>0</v>
      </c>
      <c r="AJ344" s="1212">
        <v>1</v>
      </c>
      <c r="AK344" s="2126">
        <v>3320.9800000000005</v>
      </c>
      <c r="AL344" s="2126">
        <v>0</v>
      </c>
      <c r="AM344" s="2126">
        <v>0</v>
      </c>
      <c r="AN344" s="2126">
        <v>3320.9800000000005</v>
      </c>
      <c r="AO344" s="1743" t="s">
        <v>131</v>
      </c>
      <c r="AP344" s="1743"/>
      <c r="AQ344" s="1764">
        <v>2014</v>
      </c>
      <c r="AR344" s="1743" t="s">
        <v>87</v>
      </c>
      <c r="AS344" s="2135"/>
      <c r="AT344" s="2135"/>
      <c r="AU344" s="1212">
        <v>0.5</v>
      </c>
      <c r="AV344" s="1212">
        <v>0.5</v>
      </c>
      <c r="AW344" s="1212"/>
      <c r="AX344" s="1212"/>
      <c r="AY344" s="1212"/>
      <c r="AZ344" s="1212"/>
      <c r="BA344" s="1212"/>
      <c r="BB344" s="1212"/>
      <c r="BC344" s="1212"/>
      <c r="BD344" s="1212"/>
      <c r="BE344" s="1212"/>
      <c r="BF344" s="2126">
        <v>0</v>
      </c>
      <c r="BG344" s="2126">
        <v>0</v>
      </c>
      <c r="BH344" s="2126">
        <v>1660.4900000000002</v>
      </c>
      <c r="BI344" s="2126">
        <v>1660.4900000000002</v>
      </c>
      <c r="BJ344" s="2126">
        <v>0</v>
      </c>
      <c r="BK344" s="2126">
        <v>0</v>
      </c>
      <c r="BL344" s="2126">
        <v>0</v>
      </c>
      <c r="BM344" s="2126">
        <v>0</v>
      </c>
      <c r="BN344" s="2126">
        <v>0</v>
      </c>
      <c r="BO344" s="2126">
        <v>0</v>
      </c>
      <c r="BP344" s="2126">
        <v>0</v>
      </c>
      <c r="BQ344" s="2126">
        <v>0</v>
      </c>
      <c r="BR344" s="2126">
        <v>0</v>
      </c>
    </row>
    <row r="345" spans="1:70" s="1765" customFormat="1" ht="66">
      <c r="A345" s="1272">
        <v>2000</v>
      </c>
      <c r="B345" s="971" t="s">
        <v>119</v>
      </c>
      <c r="C345" s="1272">
        <v>2500</v>
      </c>
      <c r="D345" s="971" t="s">
        <v>452</v>
      </c>
      <c r="E345" s="971">
        <v>2540</v>
      </c>
      <c r="F345" s="971" t="s">
        <v>790</v>
      </c>
      <c r="G345" s="971">
        <v>2540</v>
      </c>
      <c r="H345" s="971" t="s">
        <v>790</v>
      </c>
      <c r="I345" s="1273" t="s">
        <v>810</v>
      </c>
      <c r="J345" s="971" t="s">
        <v>686</v>
      </c>
      <c r="K345" s="971" t="s">
        <v>687</v>
      </c>
      <c r="L345" s="971" t="s">
        <v>2915</v>
      </c>
      <c r="M345" s="971" t="s">
        <v>811</v>
      </c>
      <c r="N345" s="971" t="s">
        <v>179</v>
      </c>
      <c r="O345" s="971" t="s">
        <v>688</v>
      </c>
      <c r="P345" s="971"/>
      <c r="Q345" s="971" t="s">
        <v>812</v>
      </c>
      <c r="R345" s="1266" t="s">
        <v>813</v>
      </c>
      <c r="S345" s="2106">
        <v>0</v>
      </c>
      <c r="T345" s="1266" t="s">
        <v>242</v>
      </c>
      <c r="U345" s="1742">
        <v>2</v>
      </c>
      <c r="V345" s="1742">
        <v>25</v>
      </c>
      <c r="W345" s="1742">
        <v>176.28</v>
      </c>
      <c r="X345" s="1742">
        <v>275.74</v>
      </c>
      <c r="Y345" s="2106">
        <v>477.02</v>
      </c>
      <c r="Z345" s="2106">
        <v>0</v>
      </c>
      <c r="AA345" s="2106">
        <v>0</v>
      </c>
      <c r="AB345" s="2106">
        <v>0</v>
      </c>
      <c r="AC345" s="2106">
        <v>0</v>
      </c>
      <c r="AD345" s="1744">
        <v>0</v>
      </c>
      <c r="AE345" s="2126">
        <v>0.5</v>
      </c>
      <c r="AF345" s="2126">
        <v>0</v>
      </c>
      <c r="AG345" s="1212">
        <v>1</v>
      </c>
      <c r="AH345" s="1212">
        <v>0</v>
      </c>
      <c r="AI345" s="1212">
        <v>0</v>
      </c>
      <c r="AJ345" s="1212">
        <v>1</v>
      </c>
      <c r="AK345" s="2126">
        <v>0</v>
      </c>
      <c r="AL345" s="2126">
        <v>0</v>
      </c>
      <c r="AM345" s="2126">
        <v>0</v>
      </c>
      <c r="AN345" s="2126">
        <v>0</v>
      </c>
      <c r="AO345" s="1743" t="s">
        <v>131</v>
      </c>
      <c r="AP345" s="1743" t="s">
        <v>96</v>
      </c>
      <c r="AQ345" s="1764">
        <v>2014</v>
      </c>
      <c r="AR345" s="1743" t="s">
        <v>87</v>
      </c>
      <c r="AS345" s="2135"/>
      <c r="AT345" s="2135"/>
      <c r="AU345" s="1212">
        <v>0.33333333333333331</v>
      </c>
      <c r="AV345" s="1212">
        <v>0.33333333333333331</v>
      </c>
      <c r="AW345" s="1212">
        <v>0.33333333333333331</v>
      </c>
      <c r="AX345" s="1212"/>
      <c r="AY345" s="1212"/>
      <c r="AZ345" s="1212"/>
      <c r="BA345" s="1212"/>
      <c r="BB345" s="1212"/>
      <c r="BC345" s="1212"/>
      <c r="BD345" s="1212"/>
      <c r="BE345" s="1212"/>
      <c r="BF345" s="2126">
        <v>0</v>
      </c>
      <c r="BG345" s="2126">
        <v>0</v>
      </c>
      <c r="BH345" s="2126">
        <v>0</v>
      </c>
      <c r="BI345" s="2126">
        <v>0</v>
      </c>
      <c r="BJ345" s="2126">
        <v>0</v>
      </c>
      <c r="BK345" s="2126">
        <v>0</v>
      </c>
      <c r="BL345" s="2126">
        <v>0</v>
      </c>
      <c r="BM345" s="2126">
        <v>0</v>
      </c>
      <c r="BN345" s="2126">
        <v>0</v>
      </c>
      <c r="BO345" s="2126">
        <v>0</v>
      </c>
      <c r="BP345" s="2126">
        <v>0</v>
      </c>
      <c r="BQ345" s="2126">
        <v>0</v>
      </c>
      <c r="BR345" s="2126">
        <v>0</v>
      </c>
    </row>
    <row r="346" spans="1:70" s="1765" customFormat="1" ht="66">
      <c r="A346" s="1272">
        <v>2000</v>
      </c>
      <c r="B346" s="971" t="s">
        <v>119</v>
      </c>
      <c r="C346" s="1272">
        <v>2500</v>
      </c>
      <c r="D346" s="971" t="s">
        <v>452</v>
      </c>
      <c r="E346" s="971">
        <v>2540</v>
      </c>
      <c r="F346" s="971" t="s">
        <v>790</v>
      </c>
      <c r="G346" s="971">
        <v>2540</v>
      </c>
      <c r="H346" s="971" t="s">
        <v>790</v>
      </c>
      <c r="I346" s="1273" t="s">
        <v>814</v>
      </c>
      <c r="J346" s="971" t="s">
        <v>124</v>
      </c>
      <c r="K346" s="971" t="s">
        <v>140</v>
      </c>
      <c r="L346" s="971" t="s">
        <v>2909</v>
      </c>
      <c r="M346" s="971" t="s">
        <v>140</v>
      </c>
      <c r="N346" s="971" t="s">
        <v>141</v>
      </c>
      <c r="O346" s="971" t="s">
        <v>142</v>
      </c>
      <c r="P346" s="971"/>
      <c r="Q346" s="971" t="s">
        <v>815</v>
      </c>
      <c r="R346" s="1266" t="s">
        <v>804</v>
      </c>
      <c r="S346" s="2106">
        <v>52.044609665427508</v>
      </c>
      <c r="T346" s="1266" t="s">
        <v>136</v>
      </c>
      <c r="U346" s="1742">
        <v>0</v>
      </c>
      <c r="V346" s="1742">
        <v>0</v>
      </c>
      <c r="W346" s="1742">
        <v>0</v>
      </c>
      <c r="X346" s="1742">
        <v>0</v>
      </c>
      <c r="Y346" s="2106">
        <v>0</v>
      </c>
      <c r="Z346" s="2106">
        <v>0</v>
      </c>
      <c r="AA346" s="2106">
        <v>0</v>
      </c>
      <c r="AB346" s="2106">
        <v>0</v>
      </c>
      <c r="AC346" s="2106">
        <v>0</v>
      </c>
      <c r="AD346" s="1744">
        <v>0</v>
      </c>
      <c r="AE346" s="2126">
        <v>0</v>
      </c>
      <c r="AF346" s="2126">
        <v>0</v>
      </c>
      <c r="AG346" s="1212">
        <v>1</v>
      </c>
      <c r="AH346" s="1212">
        <v>0</v>
      </c>
      <c r="AI346" s="1212">
        <v>0</v>
      </c>
      <c r="AJ346" s="1212">
        <v>1</v>
      </c>
      <c r="AK346" s="2126">
        <v>0</v>
      </c>
      <c r="AL346" s="2126">
        <v>0</v>
      </c>
      <c r="AM346" s="2126">
        <v>0</v>
      </c>
      <c r="AN346" s="2126">
        <v>0</v>
      </c>
      <c r="AO346" s="1743" t="s">
        <v>131</v>
      </c>
      <c r="AP346" s="1743"/>
      <c r="AQ346" s="1764">
        <v>2014</v>
      </c>
      <c r="AR346" s="1743" t="s">
        <v>87</v>
      </c>
      <c r="AS346" s="2135"/>
      <c r="AT346" s="2135"/>
      <c r="AU346" s="1212">
        <v>0.33333333333333331</v>
      </c>
      <c r="AV346" s="1212">
        <v>0.33333333333333331</v>
      </c>
      <c r="AW346" s="1212">
        <v>0.33333333333333331</v>
      </c>
      <c r="AX346" s="1212"/>
      <c r="AY346" s="1212"/>
      <c r="AZ346" s="1212"/>
      <c r="BA346" s="1212"/>
      <c r="BB346" s="1212"/>
      <c r="BC346" s="1212"/>
      <c r="BD346" s="1212"/>
      <c r="BE346" s="1212"/>
      <c r="BF346" s="2126">
        <v>0</v>
      </c>
      <c r="BG346" s="2126">
        <v>0</v>
      </c>
      <c r="BH346" s="2126">
        <v>0</v>
      </c>
      <c r="BI346" s="2126">
        <v>0</v>
      </c>
      <c r="BJ346" s="2126">
        <v>0</v>
      </c>
      <c r="BK346" s="2126">
        <v>0</v>
      </c>
      <c r="BL346" s="2126">
        <v>0</v>
      </c>
      <c r="BM346" s="2126">
        <v>0</v>
      </c>
      <c r="BN346" s="2126">
        <v>0</v>
      </c>
      <c r="BO346" s="2126">
        <v>0</v>
      </c>
      <c r="BP346" s="2126">
        <v>0</v>
      </c>
      <c r="BQ346" s="2126">
        <v>0</v>
      </c>
      <c r="BR346" s="2126">
        <v>0</v>
      </c>
    </row>
    <row r="347" spans="1:70" s="1765" customFormat="1" ht="66">
      <c r="A347" s="1272">
        <v>2000</v>
      </c>
      <c r="B347" s="971" t="s">
        <v>119</v>
      </c>
      <c r="C347" s="1272">
        <v>2500</v>
      </c>
      <c r="D347" s="971" t="s">
        <v>452</v>
      </c>
      <c r="E347" s="971">
        <v>2540</v>
      </c>
      <c r="F347" s="971" t="s">
        <v>790</v>
      </c>
      <c r="G347" s="971">
        <v>2540</v>
      </c>
      <c r="H347" s="971" t="s">
        <v>790</v>
      </c>
      <c r="I347" s="1273" t="s">
        <v>816</v>
      </c>
      <c r="J347" s="971" t="s">
        <v>799</v>
      </c>
      <c r="K347" s="971"/>
      <c r="L347" s="971" t="e">
        <v>#N/A</v>
      </c>
      <c r="M347" s="971" t="s">
        <v>145</v>
      </c>
      <c r="N347" s="971" t="s">
        <v>141</v>
      </c>
      <c r="O347" s="971" t="s">
        <v>146</v>
      </c>
      <c r="P347" s="971"/>
      <c r="Q347" s="971" t="s">
        <v>817</v>
      </c>
      <c r="R347" s="1266" t="s">
        <v>804</v>
      </c>
      <c r="S347" s="2106">
        <v>52.044609665427508</v>
      </c>
      <c r="T347" s="1266" t="s">
        <v>136</v>
      </c>
      <c r="U347" s="1742" t="s">
        <v>6588</v>
      </c>
      <c r="V347" s="1742" t="s">
        <v>6588</v>
      </c>
      <c r="W347" s="1742" t="s">
        <v>6588</v>
      </c>
      <c r="X347" s="1742" t="s">
        <v>6588</v>
      </c>
      <c r="Y347" s="2106" t="s">
        <v>6588</v>
      </c>
      <c r="Z347" s="2106">
        <v>0</v>
      </c>
      <c r="AA347" s="2106">
        <v>0</v>
      </c>
      <c r="AB347" s="2106">
        <v>0</v>
      </c>
      <c r="AC347" s="2106">
        <v>0</v>
      </c>
      <c r="AD347" s="1744">
        <v>0</v>
      </c>
      <c r="AE347" s="2126">
        <v>0</v>
      </c>
      <c r="AF347" s="2126">
        <v>0</v>
      </c>
      <c r="AG347" s="1212">
        <v>1</v>
      </c>
      <c r="AH347" s="1212">
        <v>0</v>
      </c>
      <c r="AI347" s="1212">
        <v>0</v>
      </c>
      <c r="AJ347" s="1212">
        <v>1</v>
      </c>
      <c r="AK347" s="2126">
        <v>0</v>
      </c>
      <c r="AL347" s="2126">
        <v>0</v>
      </c>
      <c r="AM347" s="2126">
        <v>0</v>
      </c>
      <c r="AN347" s="2126">
        <v>0</v>
      </c>
      <c r="AO347" s="1743" t="s">
        <v>131</v>
      </c>
      <c r="AP347" s="1743"/>
      <c r="AQ347" s="1764">
        <v>2014</v>
      </c>
      <c r="AR347" s="1743" t="s">
        <v>87</v>
      </c>
      <c r="AS347" s="2135"/>
      <c r="AT347" s="2135"/>
      <c r="AU347" s="1212">
        <v>0.33333333333333331</v>
      </c>
      <c r="AV347" s="1212">
        <v>0.33333333333333331</v>
      </c>
      <c r="AW347" s="1212">
        <v>0.33333333333333331</v>
      </c>
      <c r="AX347" s="1212"/>
      <c r="AY347" s="1212"/>
      <c r="AZ347" s="1212"/>
      <c r="BA347" s="1212"/>
      <c r="BB347" s="1212"/>
      <c r="BC347" s="1212"/>
      <c r="BD347" s="1212"/>
      <c r="BE347" s="1212"/>
      <c r="BF347" s="2126">
        <v>0</v>
      </c>
      <c r="BG347" s="2126">
        <v>0</v>
      </c>
      <c r="BH347" s="2126">
        <v>0</v>
      </c>
      <c r="BI347" s="2126">
        <v>0</v>
      </c>
      <c r="BJ347" s="2126">
        <v>0</v>
      </c>
      <c r="BK347" s="2126">
        <v>0</v>
      </c>
      <c r="BL347" s="2126">
        <v>0</v>
      </c>
      <c r="BM347" s="2126">
        <v>0</v>
      </c>
      <c r="BN347" s="2126">
        <v>0</v>
      </c>
      <c r="BO347" s="2126">
        <v>0</v>
      </c>
      <c r="BP347" s="2126">
        <v>0</v>
      </c>
      <c r="BQ347" s="2126">
        <v>0</v>
      </c>
      <c r="BR347" s="2126">
        <v>0</v>
      </c>
    </row>
    <row r="348" spans="1:70" s="1765" customFormat="1" ht="66">
      <c r="A348" s="1272">
        <v>2000</v>
      </c>
      <c r="B348" s="971" t="s">
        <v>119</v>
      </c>
      <c r="C348" s="1272">
        <v>2500</v>
      </c>
      <c r="D348" s="971" t="s">
        <v>452</v>
      </c>
      <c r="E348" s="971">
        <v>2540</v>
      </c>
      <c r="F348" s="971" t="s">
        <v>790</v>
      </c>
      <c r="G348" s="971">
        <v>2540</v>
      </c>
      <c r="H348" s="971" t="s">
        <v>790</v>
      </c>
      <c r="I348" s="1273" t="s">
        <v>798</v>
      </c>
      <c r="J348" s="971" t="s">
        <v>799</v>
      </c>
      <c r="K348" s="971" t="s">
        <v>800</v>
      </c>
      <c r="L348" s="971" t="s">
        <v>2890</v>
      </c>
      <c r="M348" s="971" t="s">
        <v>800</v>
      </c>
      <c r="N348" s="971" t="s">
        <v>269</v>
      </c>
      <c r="O348" s="971" t="s">
        <v>801</v>
      </c>
      <c r="P348" s="971"/>
      <c r="Q348" s="971" t="s">
        <v>818</v>
      </c>
      <c r="R348" s="1266"/>
      <c r="S348" s="2106">
        <v>1</v>
      </c>
      <c r="T348" s="1266" t="s">
        <v>2700</v>
      </c>
      <c r="U348" s="1742">
        <v>47</v>
      </c>
      <c r="V348" s="1742">
        <v>400</v>
      </c>
      <c r="W348" s="1742">
        <v>4142.58</v>
      </c>
      <c r="X348" s="1742">
        <v>4411.84</v>
      </c>
      <c r="Y348" s="2106">
        <v>8954.4199999999983</v>
      </c>
      <c r="Z348" s="2106">
        <v>47</v>
      </c>
      <c r="AA348" s="2106">
        <v>400</v>
      </c>
      <c r="AB348" s="2106">
        <v>4142.58</v>
      </c>
      <c r="AC348" s="2106">
        <v>4411.84</v>
      </c>
      <c r="AD348" s="1744">
        <v>8954.42</v>
      </c>
      <c r="AE348" s="2126">
        <v>329.26829268292681</v>
      </c>
      <c r="AF348" s="2126">
        <v>329.26829268292681</v>
      </c>
      <c r="AG348" s="1212">
        <v>1</v>
      </c>
      <c r="AH348" s="1212">
        <v>0</v>
      </c>
      <c r="AI348" s="1212">
        <v>0</v>
      </c>
      <c r="AJ348" s="1212">
        <v>1</v>
      </c>
      <c r="AK348" s="2126">
        <v>8954.42</v>
      </c>
      <c r="AL348" s="2126">
        <v>0</v>
      </c>
      <c r="AM348" s="2126">
        <v>0</v>
      </c>
      <c r="AN348" s="2126">
        <v>8954.42</v>
      </c>
      <c r="AO348" s="1743" t="s">
        <v>131</v>
      </c>
      <c r="AP348" s="1743" t="s">
        <v>90</v>
      </c>
      <c r="AQ348" s="1764" t="s">
        <v>112</v>
      </c>
      <c r="AR348" s="1743" t="s">
        <v>87</v>
      </c>
      <c r="AS348" s="2135"/>
      <c r="AT348" s="2135"/>
      <c r="AU348" s="1212">
        <v>0.33333333333333331</v>
      </c>
      <c r="AV348" s="1212">
        <v>0.33333333333333331</v>
      </c>
      <c r="AW348" s="1212">
        <v>0.33333333333333331</v>
      </c>
      <c r="AX348" s="1212"/>
      <c r="AY348" s="1212"/>
      <c r="AZ348" s="1212"/>
      <c r="BA348" s="1212"/>
      <c r="BB348" s="1212"/>
      <c r="BC348" s="1212"/>
      <c r="BD348" s="1212"/>
      <c r="BE348" s="1212"/>
      <c r="BF348" s="2126">
        <v>0</v>
      </c>
      <c r="BG348" s="2126">
        <v>0</v>
      </c>
      <c r="BH348" s="2126">
        <v>2984.8066666666664</v>
      </c>
      <c r="BI348" s="2126">
        <v>2984.8066666666664</v>
      </c>
      <c r="BJ348" s="2126">
        <v>2984.8066666666664</v>
      </c>
      <c r="BK348" s="2126">
        <v>0</v>
      </c>
      <c r="BL348" s="2126">
        <v>0</v>
      </c>
      <c r="BM348" s="2126">
        <v>0</v>
      </c>
      <c r="BN348" s="2126">
        <v>0</v>
      </c>
      <c r="BO348" s="2126">
        <v>0</v>
      </c>
      <c r="BP348" s="2126">
        <v>0</v>
      </c>
      <c r="BQ348" s="2126">
        <v>0</v>
      </c>
      <c r="BR348" s="2126">
        <v>0</v>
      </c>
    </row>
    <row r="349" spans="1:70" s="1765" customFormat="1" ht="49.5">
      <c r="A349" s="1272">
        <v>2000</v>
      </c>
      <c r="B349" s="971" t="s">
        <v>119</v>
      </c>
      <c r="C349" s="1272">
        <v>2500</v>
      </c>
      <c r="D349" s="971" t="s">
        <v>452</v>
      </c>
      <c r="E349" s="971">
        <v>2550</v>
      </c>
      <c r="F349" s="971" t="s">
        <v>819</v>
      </c>
      <c r="G349" s="971">
        <v>2550</v>
      </c>
      <c r="H349" s="971" t="s">
        <v>819</v>
      </c>
      <c r="I349" s="1273"/>
      <c r="J349" s="971" t="s">
        <v>121</v>
      </c>
      <c r="K349" s="971" t="s">
        <v>255</v>
      </c>
      <c r="L349" s="971" t="s">
        <v>2802</v>
      </c>
      <c r="M349" s="971" t="s">
        <v>255</v>
      </c>
      <c r="N349" s="971" t="s">
        <v>83</v>
      </c>
      <c r="O349" s="971" t="s">
        <v>256</v>
      </c>
      <c r="P349" s="971"/>
      <c r="Q349" s="971" t="s">
        <v>820</v>
      </c>
      <c r="R349" s="1266"/>
      <c r="S349" s="2106">
        <v>12933</v>
      </c>
      <c r="T349" s="1266" t="s">
        <v>136</v>
      </c>
      <c r="U349" s="1742">
        <v>4.4491883296460179E-2</v>
      </c>
      <c r="V349" s="1742">
        <v>0.1701</v>
      </c>
      <c r="W349" s="1742">
        <v>3.92151459375</v>
      </c>
      <c r="X349" s="1742">
        <v>0.68180304577546291</v>
      </c>
      <c r="Y349" s="2106">
        <v>4.7480795457754628</v>
      </c>
      <c r="Z349" s="2106">
        <v>575.41352667311946</v>
      </c>
      <c r="AA349" s="2106">
        <v>2199.9032999999999</v>
      </c>
      <c r="AB349" s="2106">
        <v>50716.948240968748</v>
      </c>
      <c r="AC349" s="2106">
        <v>8817.758791014061</v>
      </c>
      <c r="AD349" s="1744">
        <v>61734.610331982811</v>
      </c>
      <c r="AE349" s="2126">
        <v>0</v>
      </c>
      <c r="AF349" s="2126">
        <v>0</v>
      </c>
      <c r="AG349" s="1212">
        <v>1</v>
      </c>
      <c r="AH349" s="1212">
        <v>0</v>
      </c>
      <c r="AI349" s="1212">
        <v>0</v>
      </c>
      <c r="AJ349" s="1212">
        <v>1</v>
      </c>
      <c r="AK349" s="2126">
        <v>61734.610331982811</v>
      </c>
      <c r="AL349" s="2126">
        <v>0</v>
      </c>
      <c r="AM349" s="2126">
        <v>0</v>
      </c>
      <c r="AN349" s="2126">
        <v>61734.610331982811</v>
      </c>
      <c r="AO349" s="1743" t="s">
        <v>131</v>
      </c>
      <c r="AP349" s="1743" t="s">
        <v>86</v>
      </c>
      <c r="AQ349" s="1764">
        <v>2014</v>
      </c>
      <c r="AR349" s="1743" t="s">
        <v>87</v>
      </c>
      <c r="AS349" s="2135"/>
      <c r="AT349" s="2135"/>
      <c r="AU349" s="1212">
        <v>0.33333333333333331</v>
      </c>
      <c r="AV349" s="1212">
        <v>0.33333333333333331</v>
      </c>
      <c r="AW349" s="1212">
        <v>0.33333333333333331</v>
      </c>
      <c r="AX349" s="1212"/>
      <c r="AY349" s="1212"/>
      <c r="AZ349" s="1212"/>
      <c r="BA349" s="1212"/>
      <c r="BB349" s="1212"/>
      <c r="BC349" s="1212"/>
      <c r="BD349" s="1212"/>
      <c r="BE349" s="1212"/>
      <c r="BF349" s="2126">
        <v>0</v>
      </c>
      <c r="BG349" s="2126">
        <v>0</v>
      </c>
      <c r="BH349" s="2126">
        <v>20578.203443994269</v>
      </c>
      <c r="BI349" s="2126">
        <v>20578.203443994269</v>
      </c>
      <c r="BJ349" s="2126">
        <v>20578.203443994269</v>
      </c>
      <c r="BK349" s="2126">
        <v>0</v>
      </c>
      <c r="BL349" s="2126">
        <v>0</v>
      </c>
      <c r="BM349" s="2126">
        <v>0</v>
      </c>
      <c r="BN349" s="2126">
        <v>0</v>
      </c>
      <c r="BO349" s="2126">
        <v>0</v>
      </c>
      <c r="BP349" s="2126">
        <v>0</v>
      </c>
      <c r="BQ349" s="2126">
        <v>0</v>
      </c>
      <c r="BR349" s="2126">
        <v>0</v>
      </c>
    </row>
    <row r="350" spans="1:70" s="1765" customFormat="1" ht="49.5">
      <c r="A350" s="1272">
        <v>2000</v>
      </c>
      <c r="B350" s="971" t="s">
        <v>119</v>
      </c>
      <c r="C350" s="1272">
        <v>2500</v>
      </c>
      <c r="D350" s="971" t="s">
        <v>452</v>
      </c>
      <c r="E350" s="971">
        <v>2550</v>
      </c>
      <c r="F350" s="971" t="s">
        <v>819</v>
      </c>
      <c r="G350" s="971">
        <v>2550</v>
      </c>
      <c r="H350" s="971" t="s">
        <v>819</v>
      </c>
      <c r="I350" s="1273"/>
      <c r="J350" s="971"/>
      <c r="K350" s="971" t="s">
        <v>255</v>
      </c>
      <c r="L350" s="971" t="s">
        <v>2802</v>
      </c>
      <c r="M350" s="971" t="s">
        <v>255</v>
      </c>
      <c r="N350" s="971" t="s">
        <v>83</v>
      </c>
      <c r="O350" s="971" t="s">
        <v>256</v>
      </c>
      <c r="P350" s="971"/>
      <c r="Q350" s="971" t="s">
        <v>821</v>
      </c>
      <c r="R350" s="1266"/>
      <c r="S350" s="2106">
        <v>0</v>
      </c>
      <c r="T350" s="1266" t="s">
        <v>136</v>
      </c>
      <c r="U350" s="1742">
        <v>4.4491883296460179E-2</v>
      </c>
      <c r="V350" s="1742">
        <v>0.1701</v>
      </c>
      <c r="W350" s="1742">
        <v>3.92151459375</v>
      </c>
      <c r="X350" s="1742">
        <v>0.68180304577546291</v>
      </c>
      <c r="Y350" s="2106">
        <v>4.7480795457754628</v>
      </c>
      <c r="Z350" s="2106">
        <v>0</v>
      </c>
      <c r="AA350" s="2106">
        <v>0</v>
      </c>
      <c r="AB350" s="2106">
        <v>0</v>
      </c>
      <c r="AC350" s="2106">
        <v>0</v>
      </c>
      <c r="AD350" s="1744">
        <v>0</v>
      </c>
      <c r="AE350" s="2126">
        <v>0</v>
      </c>
      <c r="AF350" s="2126">
        <v>0</v>
      </c>
      <c r="AG350" s="1212">
        <v>1</v>
      </c>
      <c r="AH350" s="1212">
        <v>0</v>
      </c>
      <c r="AI350" s="1212">
        <v>0</v>
      </c>
      <c r="AJ350" s="1212">
        <v>1</v>
      </c>
      <c r="AK350" s="2126">
        <v>0</v>
      </c>
      <c r="AL350" s="2126">
        <v>0</v>
      </c>
      <c r="AM350" s="2126">
        <v>0</v>
      </c>
      <c r="AN350" s="2126">
        <v>0</v>
      </c>
      <c r="AO350" s="1743" t="s">
        <v>131</v>
      </c>
      <c r="AP350" s="1743" t="s">
        <v>96</v>
      </c>
      <c r="AQ350" s="1764">
        <v>2014</v>
      </c>
      <c r="AR350" s="1743" t="s">
        <v>87</v>
      </c>
      <c r="AS350" s="2135"/>
      <c r="AT350" s="2135"/>
      <c r="AU350" s="1212">
        <v>0.33333333333333331</v>
      </c>
      <c r="AV350" s="1212">
        <v>0.33333333333333331</v>
      </c>
      <c r="AW350" s="1212">
        <v>0.33333333333333331</v>
      </c>
      <c r="AX350" s="1212"/>
      <c r="AY350" s="1212"/>
      <c r="AZ350" s="1212"/>
      <c r="BA350" s="1212"/>
      <c r="BB350" s="1212"/>
      <c r="BC350" s="1212"/>
      <c r="BD350" s="1212"/>
      <c r="BE350" s="1212"/>
      <c r="BF350" s="2126">
        <v>0</v>
      </c>
      <c r="BG350" s="2126">
        <v>0</v>
      </c>
      <c r="BH350" s="2126">
        <v>0</v>
      </c>
      <c r="BI350" s="2126">
        <v>0</v>
      </c>
      <c r="BJ350" s="2126">
        <v>0</v>
      </c>
      <c r="BK350" s="2126">
        <v>0</v>
      </c>
      <c r="BL350" s="2126">
        <v>0</v>
      </c>
      <c r="BM350" s="2126">
        <v>0</v>
      </c>
      <c r="BN350" s="2126">
        <v>0</v>
      </c>
      <c r="BO350" s="2126">
        <v>0</v>
      </c>
      <c r="BP350" s="2126">
        <v>0</v>
      </c>
      <c r="BQ350" s="2126">
        <v>0</v>
      </c>
      <c r="BR350" s="2126">
        <v>0</v>
      </c>
    </row>
    <row r="351" spans="1:70" s="1765" customFormat="1" ht="49.5">
      <c r="A351" s="1272">
        <v>2000</v>
      </c>
      <c r="B351" s="971" t="s">
        <v>119</v>
      </c>
      <c r="C351" s="1272">
        <v>2500</v>
      </c>
      <c r="D351" s="971" t="s">
        <v>452</v>
      </c>
      <c r="E351" s="971">
        <v>2550</v>
      </c>
      <c r="F351" s="971" t="s">
        <v>819</v>
      </c>
      <c r="G351" s="971">
        <v>2550</v>
      </c>
      <c r="H351" s="971" t="s">
        <v>819</v>
      </c>
      <c r="I351" s="1273"/>
      <c r="J351" s="971"/>
      <c r="K351" s="971" t="s">
        <v>255</v>
      </c>
      <c r="L351" s="971" t="s">
        <v>2802</v>
      </c>
      <c r="M351" s="971" t="s">
        <v>255</v>
      </c>
      <c r="N351" s="971" t="s">
        <v>83</v>
      </c>
      <c r="O351" s="971" t="s">
        <v>256</v>
      </c>
      <c r="P351" s="971"/>
      <c r="Q351" s="971" t="s">
        <v>822</v>
      </c>
      <c r="R351" s="1266"/>
      <c r="S351" s="2106">
        <v>0</v>
      </c>
      <c r="T351" s="1266" t="s">
        <v>136</v>
      </c>
      <c r="U351" s="1742">
        <v>4.4491883296460179E-2</v>
      </c>
      <c r="V351" s="1742">
        <v>0.1701</v>
      </c>
      <c r="W351" s="1742">
        <v>3.92151459375</v>
      </c>
      <c r="X351" s="1742">
        <v>0.68180304577546291</v>
      </c>
      <c r="Y351" s="2106">
        <v>4.7480795457754628</v>
      </c>
      <c r="Z351" s="2106">
        <v>0</v>
      </c>
      <c r="AA351" s="2106">
        <v>0</v>
      </c>
      <c r="AB351" s="2106">
        <v>0</v>
      </c>
      <c r="AC351" s="2106">
        <v>0</v>
      </c>
      <c r="AD351" s="1744">
        <v>0</v>
      </c>
      <c r="AE351" s="2126">
        <v>0</v>
      </c>
      <c r="AF351" s="2126">
        <v>0</v>
      </c>
      <c r="AG351" s="1212">
        <v>1</v>
      </c>
      <c r="AH351" s="1212">
        <v>0</v>
      </c>
      <c r="AI351" s="1212">
        <v>0</v>
      </c>
      <c r="AJ351" s="1212">
        <v>1</v>
      </c>
      <c r="AK351" s="2126">
        <v>0</v>
      </c>
      <c r="AL351" s="2126">
        <v>0</v>
      </c>
      <c r="AM351" s="2126">
        <v>0</v>
      </c>
      <c r="AN351" s="2126">
        <v>0</v>
      </c>
      <c r="AO351" s="1743" t="s">
        <v>131</v>
      </c>
      <c r="AP351" s="1743" t="s">
        <v>96</v>
      </c>
      <c r="AQ351" s="1764">
        <v>2014</v>
      </c>
      <c r="AR351" s="1743" t="s">
        <v>87</v>
      </c>
      <c r="AS351" s="2135"/>
      <c r="AT351" s="2135"/>
      <c r="AU351" s="1212">
        <v>0.33333333333333331</v>
      </c>
      <c r="AV351" s="1212">
        <v>0.33333333333333331</v>
      </c>
      <c r="AW351" s="1212">
        <v>0.33333333333333331</v>
      </c>
      <c r="AX351" s="1212"/>
      <c r="AY351" s="1212"/>
      <c r="AZ351" s="1212"/>
      <c r="BA351" s="1212"/>
      <c r="BB351" s="1212"/>
      <c r="BC351" s="1212"/>
      <c r="BD351" s="1212"/>
      <c r="BE351" s="1212"/>
      <c r="BF351" s="2126">
        <v>0</v>
      </c>
      <c r="BG351" s="2126">
        <v>0</v>
      </c>
      <c r="BH351" s="2126">
        <v>0</v>
      </c>
      <c r="BI351" s="2126">
        <v>0</v>
      </c>
      <c r="BJ351" s="2126">
        <v>0</v>
      </c>
      <c r="BK351" s="2126">
        <v>0</v>
      </c>
      <c r="BL351" s="2126">
        <v>0</v>
      </c>
      <c r="BM351" s="2126">
        <v>0</v>
      </c>
      <c r="BN351" s="2126">
        <v>0</v>
      </c>
      <c r="BO351" s="2126">
        <v>0</v>
      </c>
      <c r="BP351" s="2126">
        <v>0</v>
      </c>
      <c r="BQ351" s="2126">
        <v>0</v>
      </c>
      <c r="BR351" s="2126">
        <v>0</v>
      </c>
    </row>
    <row r="352" spans="1:70" s="1765" customFormat="1" ht="33">
      <c r="A352" s="1272">
        <v>2000</v>
      </c>
      <c r="B352" s="971" t="s">
        <v>119</v>
      </c>
      <c r="C352" s="1272">
        <v>2500</v>
      </c>
      <c r="D352" s="971" t="s">
        <v>452</v>
      </c>
      <c r="E352" s="971">
        <v>2550</v>
      </c>
      <c r="F352" s="971" t="s">
        <v>819</v>
      </c>
      <c r="G352" s="971">
        <v>2550</v>
      </c>
      <c r="H352" s="971" t="s">
        <v>819</v>
      </c>
      <c r="I352" s="1273"/>
      <c r="J352" s="971"/>
      <c r="K352" s="971" t="s">
        <v>823</v>
      </c>
      <c r="L352" s="971" t="s">
        <v>824</v>
      </c>
      <c r="M352" s="971" t="s">
        <v>823</v>
      </c>
      <c r="N352" s="971" t="s">
        <v>83</v>
      </c>
      <c r="O352" s="971" t="s">
        <v>824</v>
      </c>
      <c r="P352" s="971" t="s">
        <v>824</v>
      </c>
      <c r="Q352" s="971" t="s">
        <v>825</v>
      </c>
      <c r="R352" s="1266"/>
      <c r="S352" s="2106">
        <v>0</v>
      </c>
      <c r="T352" s="1266" t="s">
        <v>136</v>
      </c>
      <c r="U352" s="1742">
        <v>3.1800000000000002E-2</v>
      </c>
      <c r="V352" s="1742">
        <v>2.3850000000000007E-2</v>
      </c>
      <c r="W352" s="1742">
        <v>2.8028520000000001</v>
      </c>
      <c r="X352" s="1742">
        <v>0.28028520000000001</v>
      </c>
      <c r="Y352" s="2106">
        <v>3.0831372000000004</v>
      </c>
      <c r="Z352" s="2106">
        <v>0</v>
      </c>
      <c r="AA352" s="2106">
        <v>0</v>
      </c>
      <c r="AB352" s="2106">
        <v>0</v>
      </c>
      <c r="AC352" s="2106">
        <v>0</v>
      </c>
      <c r="AD352" s="1744">
        <v>0</v>
      </c>
      <c r="AE352" s="2126">
        <v>0</v>
      </c>
      <c r="AF352" s="2126">
        <v>0</v>
      </c>
      <c r="AG352" s="1212">
        <v>1</v>
      </c>
      <c r="AH352" s="1212">
        <v>0</v>
      </c>
      <c r="AI352" s="1212">
        <v>0</v>
      </c>
      <c r="AJ352" s="1212">
        <v>1</v>
      </c>
      <c r="AK352" s="2126">
        <v>0</v>
      </c>
      <c r="AL352" s="2126">
        <v>0</v>
      </c>
      <c r="AM352" s="2126">
        <v>0</v>
      </c>
      <c r="AN352" s="2126">
        <v>0</v>
      </c>
      <c r="AO352" s="1743" t="s">
        <v>85</v>
      </c>
      <c r="AP352" s="1743" t="s">
        <v>96</v>
      </c>
      <c r="AQ352" s="1764" t="s">
        <v>107</v>
      </c>
      <c r="AR352" s="1743" t="s">
        <v>87</v>
      </c>
      <c r="AS352" s="2135"/>
      <c r="AT352" s="2135"/>
      <c r="AU352" s="1212">
        <v>0.33333333333333331</v>
      </c>
      <c r="AV352" s="1212">
        <v>0.33333333333333331</v>
      </c>
      <c r="AW352" s="1212">
        <v>0.33333333333333331</v>
      </c>
      <c r="AX352" s="1212"/>
      <c r="AY352" s="1212"/>
      <c r="AZ352" s="1212"/>
      <c r="BA352" s="1212"/>
      <c r="BB352" s="1212"/>
      <c r="BC352" s="1212"/>
      <c r="BD352" s="1212"/>
      <c r="BE352" s="1212"/>
      <c r="BF352" s="2126">
        <v>0</v>
      </c>
      <c r="BG352" s="2126">
        <v>0</v>
      </c>
      <c r="BH352" s="2126">
        <v>0</v>
      </c>
      <c r="BI352" s="2126">
        <v>0</v>
      </c>
      <c r="BJ352" s="2126">
        <v>0</v>
      </c>
      <c r="BK352" s="2126">
        <v>0</v>
      </c>
      <c r="BL352" s="2126">
        <v>0</v>
      </c>
      <c r="BM352" s="2126">
        <v>0</v>
      </c>
      <c r="BN352" s="2126">
        <v>0</v>
      </c>
      <c r="BO352" s="2126">
        <v>0</v>
      </c>
      <c r="BP352" s="2126">
        <v>0</v>
      </c>
      <c r="BQ352" s="2126">
        <v>0</v>
      </c>
      <c r="BR352" s="2126">
        <v>0</v>
      </c>
    </row>
    <row r="353" spans="1:70" s="1765" customFormat="1" ht="49.5">
      <c r="A353" s="1272">
        <v>2000</v>
      </c>
      <c r="B353" s="971" t="s">
        <v>119</v>
      </c>
      <c r="C353" s="1272">
        <v>2500</v>
      </c>
      <c r="D353" s="971" t="s">
        <v>452</v>
      </c>
      <c r="E353" s="971">
        <v>2550</v>
      </c>
      <c r="F353" s="971" t="s">
        <v>819</v>
      </c>
      <c r="G353" s="971">
        <v>2550</v>
      </c>
      <c r="H353" s="971" t="s">
        <v>819</v>
      </c>
      <c r="I353" s="1273"/>
      <c r="J353" s="971"/>
      <c r="K353" s="971" t="s">
        <v>255</v>
      </c>
      <c r="L353" s="971" t="s">
        <v>2802</v>
      </c>
      <c r="M353" s="971" t="s">
        <v>255</v>
      </c>
      <c r="N353" s="971" t="s">
        <v>83</v>
      </c>
      <c r="O353" s="971" t="s">
        <v>256</v>
      </c>
      <c r="P353" s="971"/>
      <c r="Q353" s="971" t="s">
        <v>826</v>
      </c>
      <c r="R353" s="1266"/>
      <c r="S353" s="2106">
        <v>3189</v>
      </c>
      <c r="T353" s="1266" t="s">
        <v>136</v>
      </c>
      <c r="U353" s="1742">
        <v>4.4491883296460179E-2</v>
      </c>
      <c r="V353" s="1742">
        <v>0.1701</v>
      </c>
      <c r="W353" s="1742">
        <v>3.92151459375</v>
      </c>
      <c r="X353" s="1742">
        <v>0.68180304577546291</v>
      </c>
      <c r="Y353" s="2106">
        <v>4.7480795457754628</v>
      </c>
      <c r="Z353" s="2106">
        <v>141.8846158324115</v>
      </c>
      <c r="AA353" s="2106">
        <v>542.44889999999998</v>
      </c>
      <c r="AB353" s="2106">
        <v>12505.71003946875</v>
      </c>
      <c r="AC353" s="2106">
        <v>2174.2699129779512</v>
      </c>
      <c r="AD353" s="1744">
        <v>15141.62567147795</v>
      </c>
      <c r="AE353" s="2126">
        <v>0</v>
      </c>
      <c r="AF353" s="2126">
        <v>0</v>
      </c>
      <c r="AG353" s="1212">
        <v>1</v>
      </c>
      <c r="AH353" s="1212">
        <v>0</v>
      </c>
      <c r="AI353" s="1212">
        <v>0</v>
      </c>
      <c r="AJ353" s="1212">
        <v>1</v>
      </c>
      <c r="AK353" s="2126">
        <v>15141.62567147795</v>
      </c>
      <c r="AL353" s="2126">
        <v>0</v>
      </c>
      <c r="AM353" s="2126">
        <v>0</v>
      </c>
      <c r="AN353" s="2126">
        <v>15141.62567147795</v>
      </c>
      <c r="AO353" s="1743" t="s">
        <v>85</v>
      </c>
      <c r="AP353" s="1743" t="s">
        <v>90</v>
      </c>
      <c r="AQ353" s="1764" t="s">
        <v>108</v>
      </c>
      <c r="AR353" s="1743" t="s">
        <v>87</v>
      </c>
      <c r="AS353" s="2135"/>
      <c r="AT353" s="2135"/>
      <c r="AU353" s="1212">
        <v>0.33333333333333331</v>
      </c>
      <c r="AV353" s="1212">
        <v>0.33333333333333331</v>
      </c>
      <c r="AW353" s="1212">
        <v>0.33333333333333331</v>
      </c>
      <c r="AX353" s="1212"/>
      <c r="AY353" s="1212"/>
      <c r="AZ353" s="1212"/>
      <c r="BA353" s="1212"/>
      <c r="BB353" s="1212"/>
      <c r="BC353" s="1212"/>
      <c r="BD353" s="1212"/>
      <c r="BE353" s="1212"/>
      <c r="BF353" s="2126">
        <v>0</v>
      </c>
      <c r="BG353" s="2126">
        <v>0</v>
      </c>
      <c r="BH353" s="2126">
        <v>5047.2085571593161</v>
      </c>
      <c r="BI353" s="2126">
        <v>5047.2085571593161</v>
      </c>
      <c r="BJ353" s="2126">
        <v>5047.2085571593161</v>
      </c>
      <c r="BK353" s="2126">
        <v>0</v>
      </c>
      <c r="BL353" s="2126">
        <v>0</v>
      </c>
      <c r="BM353" s="2126">
        <v>0</v>
      </c>
      <c r="BN353" s="2126">
        <v>0</v>
      </c>
      <c r="BO353" s="2126">
        <v>0</v>
      </c>
      <c r="BP353" s="2126">
        <v>0</v>
      </c>
      <c r="BQ353" s="2126">
        <v>0</v>
      </c>
      <c r="BR353" s="2126">
        <v>0</v>
      </c>
    </row>
    <row r="354" spans="1:70" s="1765" customFormat="1" ht="49.5">
      <c r="A354" s="1272">
        <v>2000</v>
      </c>
      <c r="B354" s="971" t="s">
        <v>119</v>
      </c>
      <c r="C354" s="1272">
        <v>2500</v>
      </c>
      <c r="D354" s="971" t="s">
        <v>452</v>
      </c>
      <c r="E354" s="971">
        <v>2550</v>
      </c>
      <c r="F354" s="971" t="s">
        <v>819</v>
      </c>
      <c r="G354" s="971">
        <v>2550</v>
      </c>
      <c r="H354" s="971" t="s">
        <v>819</v>
      </c>
      <c r="I354" s="1273"/>
      <c r="J354" s="971"/>
      <c r="K354" s="971" t="s">
        <v>255</v>
      </c>
      <c r="L354" s="971" t="s">
        <v>2802</v>
      </c>
      <c r="M354" s="971" t="s">
        <v>255</v>
      </c>
      <c r="N354" s="971" t="s">
        <v>83</v>
      </c>
      <c r="O354" s="971" t="s">
        <v>256</v>
      </c>
      <c r="P354" s="971"/>
      <c r="Q354" s="971" t="s">
        <v>827</v>
      </c>
      <c r="R354" s="1266" t="s">
        <v>828</v>
      </c>
      <c r="S354" s="2106">
        <v>2700</v>
      </c>
      <c r="T354" s="1266" t="s">
        <v>136</v>
      </c>
      <c r="U354" s="1742">
        <v>4.4491883296460179E-2</v>
      </c>
      <c r="V354" s="1742">
        <v>0.1701</v>
      </c>
      <c r="W354" s="1742">
        <v>3.92151459375</v>
      </c>
      <c r="X354" s="1742">
        <v>0.68180304577546291</v>
      </c>
      <c r="Y354" s="2106">
        <v>4.7480795457754628</v>
      </c>
      <c r="Z354" s="2106">
        <v>120.12808490044249</v>
      </c>
      <c r="AA354" s="2106">
        <v>459.27</v>
      </c>
      <c r="AB354" s="2106">
        <v>10588.089403125001</v>
      </c>
      <c r="AC354" s="2106">
        <v>1840.8682235937499</v>
      </c>
      <c r="AD354" s="1744">
        <v>12819.814773593749</v>
      </c>
      <c r="AE354" s="2126">
        <v>0</v>
      </c>
      <c r="AF354" s="2126">
        <v>0</v>
      </c>
      <c r="AG354" s="1212">
        <v>1</v>
      </c>
      <c r="AH354" s="1212">
        <v>0</v>
      </c>
      <c r="AI354" s="1212">
        <v>0</v>
      </c>
      <c r="AJ354" s="1212">
        <v>1</v>
      </c>
      <c r="AK354" s="2126">
        <v>12819.814773593749</v>
      </c>
      <c r="AL354" s="2126">
        <v>0</v>
      </c>
      <c r="AM354" s="2126">
        <v>0</v>
      </c>
      <c r="AN354" s="2126">
        <v>12819.814773593749</v>
      </c>
      <c r="AO354" s="1743" t="s">
        <v>85</v>
      </c>
      <c r="AP354" s="1743" t="s">
        <v>90</v>
      </c>
      <c r="AQ354" s="1764">
        <v>2019</v>
      </c>
      <c r="AR354" s="1743" t="s">
        <v>87</v>
      </c>
      <c r="AS354" s="2135"/>
      <c r="AT354" s="2135"/>
      <c r="AU354" s="1212">
        <v>0.33333333333333331</v>
      </c>
      <c r="AV354" s="1212">
        <v>0.33333333333333331</v>
      </c>
      <c r="AW354" s="1212">
        <v>0.33333333333333331</v>
      </c>
      <c r="AX354" s="1212"/>
      <c r="AY354" s="1212"/>
      <c r="AZ354" s="1212"/>
      <c r="BA354" s="1212"/>
      <c r="BB354" s="1212"/>
      <c r="BC354" s="1212"/>
      <c r="BD354" s="1212"/>
      <c r="BE354" s="1212"/>
      <c r="BF354" s="2126">
        <v>0</v>
      </c>
      <c r="BG354" s="2126">
        <v>0</v>
      </c>
      <c r="BH354" s="2126">
        <v>4273.2715911979158</v>
      </c>
      <c r="BI354" s="2126">
        <v>4273.2715911979158</v>
      </c>
      <c r="BJ354" s="2126">
        <v>4273.2715911979158</v>
      </c>
      <c r="BK354" s="2126">
        <v>0</v>
      </c>
      <c r="BL354" s="2126">
        <v>0</v>
      </c>
      <c r="BM354" s="2126">
        <v>0</v>
      </c>
      <c r="BN354" s="2126">
        <v>0</v>
      </c>
      <c r="BO354" s="2126">
        <v>0</v>
      </c>
      <c r="BP354" s="2126">
        <v>0</v>
      </c>
      <c r="BQ354" s="2126">
        <v>0</v>
      </c>
      <c r="BR354" s="2126">
        <v>0</v>
      </c>
    </row>
    <row r="355" spans="1:70" s="1765" customFormat="1" ht="49.5">
      <c r="A355" s="1272">
        <v>2000</v>
      </c>
      <c r="B355" s="971" t="s">
        <v>119</v>
      </c>
      <c r="C355" s="1272">
        <v>2500</v>
      </c>
      <c r="D355" s="971" t="s">
        <v>452</v>
      </c>
      <c r="E355" s="971">
        <v>2550</v>
      </c>
      <c r="F355" s="971" t="s">
        <v>819</v>
      </c>
      <c r="G355" s="971">
        <v>2550</v>
      </c>
      <c r="H355" s="971" t="s">
        <v>819</v>
      </c>
      <c r="I355" s="1273"/>
      <c r="J355" s="971"/>
      <c r="K355" s="971" t="s">
        <v>255</v>
      </c>
      <c r="L355" s="971" t="s">
        <v>2802</v>
      </c>
      <c r="M355" s="971" t="s">
        <v>255</v>
      </c>
      <c r="N355" s="971" t="s">
        <v>83</v>
      </c>
      <c r="O355" s="971" t="s">
        <v>256</v>
      </c>
      <c r="P355" s="971"/>
      <c r="Q355" s="971" t="s">
        <v>829</v>
      </c>
      <c r="R355" s="1266"/>
      <c r="S355" s="2106">
        <v>72</v>
      </c>
      <c r="T355" s="1266" t="s">
        <v>136</v>
      </c>
      <c r="U355" s="1742">
        <v>4.4491883296460179E-2</v>
      </c>
      <c r="V355" s="1742">
        <v>0.1701</v>
      </c>
      <c r="W355" s="1742">
        <v>3.92151459375</v>
      </c>
      <c r="X355" s="1742">
        <v>0.68180304577546291</v>
      </c>
      <c r="Y355" s="2106">
        <v>4.7480795457754628</v>
      </c>
      <c r="Z355" s="2106">
        <v>3.203415597345133</v>
      </c>
      <c r="AA355" s="2106">
        <v>12.247199999999999</v>
      </c>
      <c r="AB355" s="2106">
        <v>282.34905075</v>
      </c>
      <c r="AC355" s="2106">
        <v>49.08981929583333</v>
      </c>
      <c r="AD355" s="1744">
        <v>341.8617272958333</v>
      </c>
      <c r="AE355" s="2126">
        <v>0</v>
      </c>
      <c r="AF355" s="2126">
        <v>0</v>
      </c>
      <c r="AG355" s="1212">
        <v>1</v>
      </c>
      <c r="AH355" s="1212">
        <v>0</v>
      </c>
      <c r="AI355" s="1212">
        <v>0</v>
      </c>
      <c r="AJ355" s="1212">
        <v>1</v>
      </c>
      <c r="AK355" s="2126">
        <v>341.8617272958333</v>
      </c>
      <c r="AL355" s="2126">
        <v>0</v>
      </c>
      <c r="AM355" s="2126">
        <v>0</v>
      </c>
      <c r="AN355" s="2126">
        <v>341.8617272958333</v>
      </c>
      <c r="AO355" s="1743" t="s">
        <v>85</v>
      </c>
      <c r="AP355" s="1743" t="s">
        <v>90</v>
      </c>
      <c r="AQ355" s="1764">
        <v>2020</v>
      </c>
      <c r="AR355" s="1743" t="s">
        <v>87</v>
      </c>
      <c r="AS355" s="2135"/>
      <c r="AT355" s="2135"/>
      <c r="AU355" s="1212">
        <v>0.33333333333333331</v>
      </c>
      <c r="AV355" s="1212">
        <v>0.33333333333333331</v>
      </c>
      <c r="AW355" s="1212">
        <v>0.33333333333333331</v>
      </c>
      <c r="AX355" s="1212"/>
      <c r="AY355" s="1212"/>
      <c r="AZ355" s="1212"/>
      <c r="BA355" s="1212"/>
      <c r="BB355" s="1212"/>
      <c r="BC355" s="1212"/>
      <c r="BD355" s="1212"/>
      <c r="BE355" s="1212"/>
      <c r="BF355" s="2126">
        <v>0</v>
      </c>
      <c r="BG355" s="2126">
        <v>0</v>
      </c>
      <c r="BH355" s="2126">
        <v>113.95390909861109</v>
      </c>
      <c r="BI355" s="2126">
        <v>113.95390909861109</v>
      </c>
      <c r="BJ355" s="2126">
        <v>113.95390909861109</v>
      </c>
      <c r="BK355" s="2126">
        <v>0</v>
      </c>
      <c r="BL355" s="2126">
        <v>0</v>
      </c>
      <c r="BM355" s="2126">
        <v>0</v>
      </c>
      <c r="BN355" s="2126">
        <v>0</v>
      </c>
      <c r="BO355" s="2126">
        <v>0</v>
      </c>
      <c r="BP355" s="2126">
        <v>0</v>
      </c>
      <c r="BQ355" s="2126">
        <v>0</v>
      </c>
      <c r="BR355" s="2126">
        <v>0</v>
      </c>
    </row>
    <row r="356" spans="1:70" s="1765" customFormat="1" ht="49.5">
      <c r="A356" s="1272">
        <v>2000</v>
      </c>
      <c r="B356" s="971" t="s">
        <v>119</v>
      </c>
      <c r="C356" s="1272">
        <v>2500</v>
      </c>
      <c r="D356" s="971" t="s">
        <v>452</v>
      </c>
      <c r="E356" s="971">
        <v>2550</v>
      </c>
      <c r="F356" s="971" t="s">
        <v>819</v>
      </c>
      <c r="G356" s="971">
        <v>2550</v>
      </c>
      <c r="H356" s="971" t="s">
        <v>819</v>
      </c>
      <c r="I356" s="1273"/>
      <c r="J356" s="971"/>
      <c r="K356" s="971" t="s">
        <v>255</v>
      </c>
      <c r="L356" s="971" t="s">
        <v>2802</v>
      </c>
      <c r="M356" s="971" t="s">
        <v>255</v>
      </c>
      <c r="N356" s="971" t="s">
        <v>83</v>
      </c>
      <c r="O356" s="971" t="s">
        <v>256</v>
      </c>
      <c r="P356" s="971"/>
      <c r="Q356" s="971" t="s">
        <v>830</v>
      </c>
      <c r="R356" s="1266" t="s">
        <v>831</v>
      </c>
      <c r="S356" s="2106">
        <v>360</v>
      </c>
      <c r="T356" s="1266" t="s">
        <v>136</v>
      </c>
      <c r="U356" s="1742">
        <v>4.4491883296460179E-2</v>
      </c>
      <c r="V356" s="1742">
        <v>0.1701</v>
      </c>
      <c r="W356" s="1742">
        <v>3.92151459375</v>
      </c>
      <c r="X356" s="1742">
        <v>0.68180304577546291</v>
      </c>
      <c r="Y356" s="2106">
        <v>4.7480795457754628</v>
      </c>
      <c r="Z356" s="2106">
        <v>16.017077986725663</v>
      </c>
      <c r="AA356" s="2106">
        <v>61.235999999999997</v>
      </c>
      <c r="AB356" s="2106">
        <v>1411.7452537500001</v>
      </c>
      <c r="AC356" s="2106">
        <v>245.44909647916666</v>
      </c>
      <c r="AD356" s="1744">
        <v>1709.3086364791666</v>
      </c>
      <c r="AE356" s="2126">
        <v>0</v>
      </c>
      <c r="AF356" s="2126">
        <v>0</v>
      </c>
      <c r="AG356" s="1212">
        <v>1</v>
      </c>
      <c r="AH356" s="1212">
        <v>0</v>
      </c>
      <c r="AI356" s="1212">
        <v>0</v>
      </c>
      <c r="AJ356" s="1212">
        <v>1</v>
      </c>
      <c r="AK356" s="2126">
        <v>1709.3086364791666</v>
      </c>
      <c r="AL356" s="2126">
        <v>0</v>
      </c>
      <c r="AM356" s="2126">
        <v>0</v>
      </c>
      <c r="AN356" s="2126">
        <v>1709.3086364791666</v>
      </c>
      <c r="AO356" s="1743" t="s">
        <v>85</v>
      </c>
      <c r="AP356" s="1743" t="s">
        <v>90</v>
      </c>
      <c r="AQ356" s="1764">
        <v>2019</v>
      </c>
      <c r="AR356" s="1743" t="s">
        <v>87</v>
      </c>
      <c r="AS356" s="2135"/>
      <c r="AT356" s="2135"/>
      <c r="AU356" s="1212">
        <v>0.33333333333333331</v>
      </c>
      <c r="AV356" s="1212">
        <v>0.33333333333333331</v>
      </c>
      <c r="AW356" s="1212">
        <v>0.33333333333333331</v>
      </c>
      <c r="AX356" s="1212"/>
      <c r="AY356" s="1212"/>
      <c r="AZ356" s="1212"/>
      <c r="BA356" s="1212"/>
      <c r="BB356" s="1212"/>
      <c r="BC356" s="1212"/>
      <c r="BD356" s="1212"/>
      <c r="BE356" s="1212"/>
      <c r="BF356" s="2126">
        <v>0</v>
      </c>
      <c r="BG356" s="2126">
        <v>0</v>
      </c>
      <c r="BH356" s="2126">
        <v>569.76954549305549</v>
      </c>
      <c r="BI356" s="2126">
        <v>569.76954549305549</v>
      </c>
      <c r="BJ356" s="2126">
        <v>569.76954549305549</v>
      </c>
      <c r="BK356" s="2126">
        <v>0</v>
      </c>
      <c r="BL356" s="2126">
        <v>0</v>
      </c>
      <c r="BM356" s="2126">
        <v>0</v>
      </c>
      <c r="BN356" s="2126">
        <v>0</v>
      </c>
      <c r="BO356" s="2126">
        <v>0</v>
      </c>
      <c r="BP356" s="2126">
        <v>0</v>
      </c>
      <c r="BQ356" s="2126">
        <v>0</v>
      </c>
      <c r="BR356" s="2126">
        <v>0</v>
      </c>
    </row>
    <row r="357" spans="1:70" s="1765" customFormat="1" ht="49.5">
      <c r="A357" s="1272">
        <v>2000</v>
      </c>
      <c r="B357" s="971" t="s">
        <v>119</v>
      </c>
      <c r="C357" s="1272">
        <v>2500</v>
      </c>
      <c r="D357" s="971" t="s">
        <v>452</v>
      </c>
      <c r="E357" s="971">
        <v>2550</v>
      </c>
      <c r="F357" s="971" t="s">
        <v>819</v>
      </c>
      <c r="G357" s="971">
        <v>2550</v>
      </c>
      <c r="H357" s="971" t="s">
        <v>819</v>
      </c>
      <c r="I357" s="1273"/>
      <c r="J357" s="971"/>
      <c r="K357" s="971" t="s">
        <v>255</v>
      </c>
      <c r="L357" s="971" t="s">
        <v>2802</v>
      </c>
      <c r="M357" s="971" t="s">
        <v>255</v>
      </c>
      <c r="N357" s="971" t="s">
        <v>83</v>
      </c>
      <c r="O357" s="971" t="s">
        <v>256</v>
      </c>
      <c r="P357" s="971"/>
      <c r="Q357" s="971" t="s">
        <v>825</v>
      </c>
      <c r="R357" s="1266" t="s">
        <v>832</v>
      </c>
      <c r="S357" s="2106">
        <v>2000</v>
      </c>
      <c r="T357" s="1266" t="s">
        <v>136</v>
      </c>
      <c r="U357" s="1742">
        <v>4.4491883296460179E-2</v>
      </c>
      <c r="V357" s="1742">
        <v>0.1701</v>
      </c>
      <c r="W357" s="1742">
        <v>3.92151459375</v>
      </c>
      <c r="X357" s="1742">
        <v>0.68180304577546291</v>
      </c>
      <c r="Y357" s="2106">
        <v>4.7480795457754628</v>
      </c>
      <c r="Z357" s="2106">
        <v>88.983766592920361</v>
      </c>
      <c r="AA357" s="2106">
        <v>340.2</v>
      </c>
      <c r="AB357" s="2106">
        <v>7843.0291875000003</v>
      </c>
      <c r="AC357" s="2106">
        <v>1363.6060915509258</v>
      </c>
      <c r="AD357" s="1744">
        <v>9496.159091550926</v>
      </c>
      <c r="AE357" s="2126">
        <v>0</v>
      </c>
      <c r="AF357" s="2126">
        <v>0</v>
      </c>
      <c r="AG357" s="1212">
        <v>1</v>
      </c>
      <c r="AH357" s="1212">
        <v>0</v>
      </c>
      <c r="AI357" s="1212">
        <v>0</v>
      </c>
      <c r="AJ357" s="1212">
        <v>1</v>
      </c>
      <c r="AK357" s="2126">
        <v>9496.159091550926</v>
      </c>
      <c r="AL357" s="2126">
        <v>0</v>
      </c>
      <c r="AM357" s="2126">
        <v>0</v>
      </c>
      <c r="AN357" s="2126">
        <v>9496.159091550926</v>
      </c>
      <c r="AO357" s="1743" t="s">
        <v>85</v>
      </c>
      <c r="AP357" s="1743" t="s">
        <v>86</v>
      </c>
      <c r="AQ357" s="1764" t="s">
        <v>108</v>
      </c>
      <c r="AR357" s="1743" t="s">
        <v>87</v>
      </c>
      <c r="AS357" s="2135"/>
      <c r="AT357" s="2135"/>
      <c r="AU357" s="1212">
        <v>0.33333333333333331</v>
      </c>
      <c r="AV357" s="1212">
        <v>0.33333333333333331</v>
      </c>
      <c r="AW357" s="1212">
        <v>0.33333333333333331</v>
      </c>
      <c r="AX357" s="1212"/>
      <c r="AY357" s="1212"/>
      <c r="AZ357" s="1212"/>
      <c r="BA357" s="1212"/>
      <c r="BB357" s="1212"/>
      <c r="BC357" s="1212"/>
      <c r="BD357" s="1212"/>
      <c r="BE357" s="1212"/>
      <c r="BF357" s="2126">
        <v>0</v>
      </c>
      <c r="BG357" s="2126">
        <v>0</v>
      </c>
      <c r="BH357" s="2126">
        <v>3165.3863638503085</v>
      </c>
      <c r="BI357" s="2126">
        <v>3165.3863638503085</v>
      </c>
      <c r="BJ357" s="2126">
        <v>3165.3863638503085</v>
      </c>
      <c r="BK357" s="2126">
        <v>0</v>
      </c>
      <c r="BL357" s="2126">
        <v>0</v>
      </c>
      <c r="BM357" s="2126">
        <v>0</v>
      </c>
      <c r="BN357" s="2126">
        <v>0</v>
      </c>
      <c r="BO357" s="2126">
        <v>0</v>
      </c>
      <c r="BP357" s="2126">
        <v>0</v>
      </c>
      <c r="BQ357" s="2126">
        <v>0</v>
      </c>
      <c r="BR357" s="2126">
        <v>0</v>
      </c>
    </row>
    <row r="358" spans="1:70" s="1765" customFormat="1" ht="49.5">
      <c r="A358" s="1272">
        <v>2000</v>
      </c>
      <c r="B358" s="971" t="s">
        <v>119</v>
      </c>
      <c r="C358" s="1272">
        <v>2500</v>
      </c>
      <c r="D358" s="971" t="s">
        <v>452</v>
      </c>
      <c r="E358" s="971">
        <v>2550</v>
      </c>
      <c r="F358" s="971" t="s">
        <v>819</v>
      </c>
      <c r="G358" s="971">
        <v>2550</v>
      </c>
      <c r="H358" s="971" t="s">
        <v>819</v>
      </c>
      <c r="I358" s="1273"/>
      <c r="J358" s="971"/>
      <c r="K358" s="971" t="s">
        <v>255</v>
      </c>
      <c r="L358" s="971" t="s">
        <v>2802</v>
      </c>
      <c r="M358" s="971" t="s">
        <v>255</v>
      </c>
      <c r="N358" s="971" t="s">
        <v>83</v>
      </c>
      <c r="O358" s="971" t="s">
        <v>256</v>
      </c>
      <c r="P358" s="971"/>
      <c r="Q358" s="971" t="s">
        <v>825</v>
      </c>
      <c r="R358" s="1266" t="s">
        <v>833</v>
      </c>
      <c r="S358" s="2106">
        <v>678</v>
      </c>
      <c r="T358" s="1266" t="s">
        <v>136</v>
      </c>
      <c r="U358" s="1742">
        <v>4.4491883296460179E-2</v>
      </c>
      <c r="V358" s="1742">
        <v>0.1701</v>
      </c>
      <c r="W358" s="1742">
        <v>3.92151459375</v>
      </c>
      <c r="X358" s="1742">
        <v>0.68180304577546291</v>
      </c>
      <c r="Y358" s="2106">
        <v>4.7480795457754628</v>
      </c>
      <c r="Z358" s="2106">
        <v>30.165496875000002</v>
      </c>
      <c r="AA358" s="2106">
        <v>115.3278</v>
      </c>
      <c r="AB358" s="2106">
        <v>2658.7868945625</v>
      </c>
      <c r="AC358" s="2106">
        <v>462.26246503576385</v>
      </c>
      <c r="AD358" s="1744">
        <v>3219.1979320357636</v>
      </c>
      <c r="AE358" s="2126">
        <v>0</v>
      </c>
      <c r="AF358" s="2126">
        <v>0</v>
      </c>
      <c r="AG358" s="1212">
        <v>1</v>
      </c>
      <c r="AH358" s="1212">
        <v>0</v>
      </c>
      <c r="AI358" s="1212">
        <v>0</v>
      </c>
      <c r="AJ358" s="1212">
        <v>1</v>
      </c>
      <c r="AK358" s="2126">
        <v>3219.1979320357636</v>
      </c>
      <c r="AL358" s="2126">
        <v>0</v>
      </c>
      <c r="AM358" s="2126">
        <v>0</v>
      </c>
      <c r="AN358" s="2126">
        <v>3219.1979320357636</v>
      </c>
      <c r="AO358" s="1743" t="s">
        <v>85</v>
      </c>
      <c r="AP358" s="1743" t="s">
        <v>86</v>
      </c>
      <c r="AQ358" s="1764" t="s">
        <v>108</v>
      </c>
      <c r="AR358" s="1743" t="s">
        <v>87</v>
      </c>
      <c r="AS358" s="2135"/>
      <c r="AT358" s="2135"/>
      <c r="AU358" s="1212">
        <v>0.33333333333333331</v>
      </c>
      <c r="AV358" s="1212">
        <v>0.33333333333333331</v>
      </c>
      <c r="AW358" s="1212">
        <v>0.33333333333333331</v>
      </c>
      <c r="AX358" s="1212"/>
      <c r="AY358" s="1212"/>
      <c r="AZ358" s="1212"/>
      <c r="BA358" s="1212"/>
      <c r="BB358" s="1212"/>
      <c r="BC358" s="1212"/>
      <c r="BD358" s="1212"/>
      <c r="BE358" s="1212"/>
      <c r="BF358" s="2126">
        <v>0</v>
      </c>
      <c r="BG358" s="2126">
        <v>0</v>
      </c>
      <c r="BH358" s="2126">
        <v>1073.0659773452544</v>
      </c>
      <c r="BI358" s="2126">
        <v>1073.0659773452544</v>
      </c>
      <c r="BJ358" s="2126">
        <v>1073.0659773452544</v>
      </c>
      <c r="BK358" s="2126">
        <v>0</v>
      </c>
      <c r="BL358" s="2126">
        <v>0</v>
      </c>
      <c r="BM358" s="2126">
        <v>0</v>
      </c>
      <c r="BN358" s="2126">
        <v>0</v>
      </c>
      <c r="BO358" s="2126">
        <v>0</v>
      </c>
      <c r="BP358" s="2126">
        <v>0</v>
      </c>
      <c r="BQ358" s="2126">
        <v>0</v>
      </c>
      <c r="BR358" s="2126">
        <v>0</v>
      </c>
    </row>
    <row r="359" spans="1:70" s="1765" customFormat="1" ht="49.5">
      <c r="A359" s="1272">
        <v>2000</v>
      </c>
      <c r="B359" s="971" t="s">
        <v>119</v>
      </c>
      <c r="C359" s="1272">
        <v>2500</v>
      </c>
      <c r="D359" s="971" t="s">
        <v>452</v>
      </c>
      <c r="E359" s="971">
        <v>2550</v>
      </c>
      <c r="F359" s="971" t="s">
        <v>819</v>
      </c>
      <c r="G359" s="971">
        <v>2550</v>
      </c>
      <c r="H359" s="971" t="s">
        <v>819</v>
      </c>
      <c r="I359" s="1273"/>
      <c r="J359" s="971"/>
      <c r="K359" s="971" t="s">
        <v>255</v>
      </c>
      <c r="L359" s="971" t="s">
        <v>2802</v>
      </c>
      <c r="M359" s="971" t="s">
        <v>255</v>
      </c>
      <c r="N359" s="971" t="s">
        <v>83</v>
      </c>
      <c r="O359" s="971" t="s">
        <v>256</v>
      </c>
      <c r="P359" s="971"/>
      <c r="Q359" s="971" t="s">
        <v>825</v>
      </c>
      <c r="R359" s="1266" t="s">
        <v>834</v>
      </c>
      <c r="S359" s="2106">
        <v>652</v>
      </c>
      <c r="T359" s="1266" t="s">
        <v>136</v>
      </c>
      <c r="U359" s="1742">
        <v>4.4491883296460179E-2</v>
      </c>
      <c r="V359" s="1742">
        <v>0.1701</v>
      </c>
      <c r="W359" s="1742">
        <v>3.92151459375</v>
      </c>
      <c r="X359" s="1742">
        <v>0.68180304577546291</v>
      </c>
      <c r="Y359" s="2106">
        <v>4.7480795457754628</v>
      </c>
      <c r="Z359" s="2106">
        <v>29.008707909292035</v>
      </c>
      <c r="AA359" s="2106">
        <v>110.90520000000001</v>
      </c>
      <c r="AB359" s="2106">
        <v>2556.827515125</v>
      </c>
      <c r="AC359" s="2106">
        <v>444.53558584560182</v>
      </c>
      <c r="AD359" s="1744">
        <v>3095.7478638456018</v>
      </c>
      <c r="AE359" s="2126">
        <v>0</v>
      </c>
      <c r="AF359" s="2126">
        <v>0</v>
      </c>
      <c r="AG359" s="1212">
        <v>1</v>
      </c>
      <c r="AH359" s="1212">
        <v>0</v>
      </c>
      <c r="AI359" s="1212">
        <v>0</v>
      </c>
      <c r="AJ359" s="1212">
        <v>1</v>
      </c>
      <c r="AK359" s="2126">
        <v>3095.7478638456018</v>
      </c>
      <c r="AL359" s="2126">
        <v>0</v>
      </c>
      <c r="AM359" s="2126">
        <v>0</v>
      </c>
      <c r="AN359" s="2126">
        <v>3095.7478638456018</v>
      </c>
      <c r="AO359" s="1743" t="s">
        <v>85</v>
      </c>
      <c r="AP359" s="1743" t="s">
        <v>86</v>
      </c>
      <c r="AQ359" s="1764" t="s">
        <v>108</v>
      </c>
      <c r="AR359" s="1743" t="s">
        <v>87</v>
      </c>
      <c r="AS359" s="2135"/>
      <c r="AT359" s="2135"/>
      <c r="AU359" s="1212">
        <v>0.33333333333333331</v>
      </c>
      <c r="AV359" s="1212">
        <v>0.33333333333333331</v>
      </c>
      <c r="AW359" s="1212">
        <v>0.33333333333333331</v>
      </c>
      <c r="AX359" s="1212"/>
      <c r="AY359" s="1212"/>
      <c r="AZ359" s="1212"/>
      <c r="BA359" s="1212"/>
      <c r="BB359" s="1212"/>
      <c r="BC359" s="1212"/>
      <c r="BD359" s="1212"/>
      <c r="BE359" s="1212"/>
      <c r="BF359" s="2126">
        <v>0</v>
      </c>
      <c r="BG359" s="2126">
        <v>0</v>
      </c>
      <c r="BH359" s="2126">
        <v>1031.9159546152005</v>
      </c>
      <c r="BI359" s="2126">
        <v>1031.9159546152005</v>
      </c>
      <c r="BJ359" s="2126">
        <v>1031.9159546152005</v>
      </c>
      <c r="BK359" s="2126">
        <v>0</v>
      </c>
      <c r="BL359" s="2126">
        <v>0</v>
      </c>
      <c r="BM359" s="2126">
        <v>0</v>
      </c>
      <c r="BN359" s="2126">
        <v>0</v>
      </c>
      <c r="BO359" s="2126">
        <v>0</v>
      </c>
      <c r="BP359" s="2126">
        <v>0</v>
      </c>
      <c r="BQ359" s="2126">
        <v>0</v>
      </c>
      <c r="BR359" s="2126">
        <v>0</v>
      </c>
    </row>
    <row r="360" spans="1:70" s="1765" customFormat="1" ht="49.5">
      <c r="A360" s="1272">
        <v>2000</v>
      </c>
      <c r="B360" s="971" t="s">
        <v>119</v>
      </c>
      <c r="C360" s="1272">
        <v>2500</v>
      </c>
      <c r="D360" s="971" t="s">
        <v>452</v>
      </c>
      <c r="E360" s="971">
        <v>2550</v>
      </c>
      <c r="F360" s="971" t="s">
        <v>819</v>
      </c>
      <c r="G360" s="971">
        <v>2550</v>
      </c>
      <c r="H360" s="971" t="s">
        <v>819</v>
      </c>
      <c r="I360" s="1273"/>
      <c r="J360" s="971"/>
      <c r="K360" s="971" t="s">
        <v>255</v>
      </c>
      <c r="L360" s="971" t="s">
        <v>2802</v>
      </c>
      <c r="M360" s="971" t="s">
        <v>255</v>
      </c>
      <c r="N360" s="971" t="s">
        <v>83</v>
      </c>
      <c r="O360" s="971" t="s">
        <v>256</v>
      </c>
      <c r="P360" s="971"/>
      <c r="Q360" s="971" t="s">
        <v>825</v>
      </c>
      <c r="R360" s="1266" t="s">
        <v>835</v>
      </c>
      <c r="S360" s="2106">
        <v>597</v>
      </c>
      <c r="T360" s="1266" t="s">
        <v>136</v>
      </c>
      <c r="U360" s="1742">
        <v>4.4491883296460179E-2</v>
      </c>
      <c r="V360" s="1742">
        <v>0.1701</v>
      </c>
      <c r="W360" s="1742">
        <v>3.92151459375</v>
      </c>
      <c r="X360" s="1742">
        <v>0.68180304577546291</v>
      </c>
      <c r="Y360" s="2106">
        <v>4.7480795457754628</v>
      </c>
      <c r="Z360" s="2106">
        <v>26.561654327986727</v>
      </c>
      <c r="AA360" s="2106">
        <v>101.5497</v>
      </c>
      <c r="AB360" s="2106">
        <v>2341.1442124687501</v>
      </c>
      <c r="AC360" s="2106">
        <v>407.03641832795137</v>
      </c>
      <c r="AD360" s="1744">
        <v>2834.6034888279514</v>
      </c>
      <c r="AE360" s="2126">
        <v>0</v>
      </c>
      <c r="AF360" s="2126">
        <v>0</v>
      </c>
      <c r="AG360" s="1212">
        <v>1</v>
      </c>
      <c r="AH360" s="1212">
        <v>0</v>
      </c>
      <c r="AI360" s="1212">
        <v>0</v>
      </c>
      <c r="AJ360" s="1212">
        <v>1</v>
      </c>
      <c r="AK360" s="2126">
        <v>2834.6034888279514</v>
      </c>
      <c r="AL360" s="2126">
        <v>0</v>
      </c>
      <c r="AM360" s="2126">
        <v>0</v>
      </c>
      <c r="AN360" s="2126">
        <v>2834.6034888279514</v>
      </c>
      <c r="AO360" s="1743" t="s">
        <v>85</v>
      </c>
      <c r="AP360" s="1743" t="s">
        <v>86</v>
      </c>
      <c r="AQ360" s="1764" t="s">
        <v>108</v>
      </c>
      <c r="AR360" s="1743" t="s">
        <v>87</v>
      </c>
      <c r="AS360" s="2135"/>
      <c r="AT360" s="2135"/>
      <c r="AU360" s="1212">
        <v>0.33333333333333331</v>
      </c>
      <c r="AV360" s="1212">
        <v>0.33333333333333331</v>
      </c>
      <c r="AW360" s="1212">
        <v>0.33333333333333331</v>
      </c>
      <c r="AX360" s="1212"/>
      <c r="AY360" s="1212"/>
      <c r="AZ360" s="1212"/>
      <c r="BA360" s="1212"/>
      <c r="BB360" s="1212"/>
      <c r="BC360" s="1212"/>
      <c r="BD360" s="1212"/>
      <c r="BE360" s="1212"/>
      <c r="BF360" s="2126">
        <v>0</v>
      </c>
      <c r="BG360" s="2126">
        <v>0</v>
      </c>
      <c r="BH360" s="2126">
        <v>944.86782960931714</v>
      </c>
      <c r="BI360" s="2126">
        <v>944.86782960931714</v>
      </c>
      <c r="BJ360" s="2126">
        <v>944.86782960931714</v>
      </c>
      <c r="BK360" s="2126">
        <v>0</v>
      </c>
      <c r="BL360" s="2126">
        <v>0</v>
      </c>
      <c r="BM360" s="2126">
        <v>0</v>
      </c>
      <c r="BN360" s="2126">
        <v>0</v>
      </c>
      <c r="BO360" s="2126">
        <v>0</v>
      </c>
      <c r="BP360" s="2126">
        <v>0</v>
      </c>
      <c r="BQ360" s="2126">
        <v>0</v>
      </c>
      <c r="BR360" s="2126">
        <v>0</v>
      </c>
    </row>
    <row r="361" spans="1:70" s="1765" customFormat="1" ht="49.5">
      <c r="A361" s="1272">
        <v>2000</v>
      </c>
      <c r="B361" s="971" t="s">
        <v>119</v>
      </c>
      <c r="C361" s="1272">
        <v>2500</v>
      </c>
      <c r="D361" s="971" t="s">
        <v>452</v>
      </c>
      <c r="E361" s="971">
        <v>2550</v>
      </c>
      <c r="F361" s="971" t="s">
        <v>819</v>
      </c>
      <c r="G361" s="971">
        <v>2550</v>
      </c>
      <c r="H361" s="971" t="s">
        <v>819</v>
      </c>
      <c r="I361" s="1273"/>
      <c r="J361" s="971"/>
      <c r="K361" s="971" t="s">
        <v>255</v>
      </c>
      <c r="L361" s="971" t="s">
        <v>2802</v>
      </c>
      <c r="M361" s="971" t="s">
        <v>255</v>
      </c>
      <c r="N361" s="971" t="s">
        <v>83</v>
      </c>
      <c r="O361" s="971" t="s">
        <v>256</v>
      </c>
      <c r="P361" s="971"/>
      <c r="Q361" s="971" t="s">
        <v>825</v>
      </c>
      <c r="R361" s="1266" t="s">
        <v>836</v>
      </c>
      <c r="S361" s="2106">
        <v>272</v>
      </c>
      <c r="T361" s="1266" t="s">
        <v>136</v>
      </c>
      <c r="U361" s="1742">
        <v>4.4491883296460179E-2</v>
      </c>
      <c r="V361" s="1742">
        <v>0.1701</v>
      </c>
      <c r="W361" s="1742">
        <v>3.92151459375</v>
      </c>
      <c r="X361" s="1742">
        <v>0.68180304577546291</v>
      </c>
      <c r="Y361" s="2106">
        <v>4.7480795457754628</v>
      </c>
      <c r="Z361" s="2106">
        <v>12.101792256637168</v>
      </c>
      <c r="AA361" s="2106">
        <v>46.267200000000003</v>
      </c>
      <c r="AB361" s="2106">
        <v>1066.6519695</v>
      </c>
      <c r="AC361" s="2106">
        <v>185.45042845092593</v>
      </c>
      <c r="AD361" s="1744">
        <v>1291.477636450926</v>
      </c>
      <c r="AE361" s="2126">
        <v>0</v>
      </c>
      <c r="AF361" s="2126">
        <v>0</v>
      </c>
      <c r="AG361" s="1212">
        <v>1</v>
      </c>
      <c r="AH361" s="1212">
        <v>0</v>
      </c>
      <c r="AI361" s="1212">
        <v>0</v>
      </c>
      <c r="AJ361" s="1212">
        <v>1</v>
      </c>
      <c r="AK361" s="2126">
        <v>1291.477636450926</v>
      </c>
      <c r="AL361" s="2126">
        <v>0</v>
      </c>
      <c r="AM361" s="2126">
        <v>0</v>
      </c>
      <c r="AN361" s="2126">
        <v>1291.477636450926</v>
      </c>
      <c r="AO361" s="1743" t="s">
        <v>85</v>
      </c>
      <c r="AP361" s="1743" t="s">
        <v>86</v>
      </c>
      <c r="AQ361" s="1764" t="s">
        <v>108</v>
      </c>
      <c r="AR361" s="1743" t="s">
        <v>87</v>
      </c>
      <c r="AS361" s="2135"/>
      <c r="AT361" s="2135"/>
      <c r="AU361" s="1212">
        <v>0.33333333333333331</v>
      </c>
      <c r="AV361" s="1212">
        <v>0.33333333333333331</v>
      </c>
      <c r="AW361" s="1212">
        <v>0.33333333333333331</v>
      </c>
      <c r="AX361" s="1212"/>
      <c r="AY361" s="1212"/>
      <c r="AZ361" s="1212"/>
      <c r="BA361" s="1212"/>
      <c r="BB361" s="1212"/>
      <c r="BC361" s="1212"/>
      <c r="BD361" s="1212"/>
      <c r="BE361" s="1212"/>
      <c r="BF361" s="2126">
        <v>0</v>
      </c>
      <c r="BG361" s="2126">
        <v>0</v>
      </c>
      <c r="BH361" s="2126">
        <v>430.49254548364195</v>
      </c>
      <c r="BI361" s="2126">
        <v>430.49254548364195</v>
      </c>
      <c r="BJ361" s="2126">
        <v>430.49254548364195</v>
      </c>
      <c r="BK361" s="2126">
        <v>0</v>
      </c>
      <c r="BL361" s="2126">
        <v>0</v>
      </c>
      <c r="BM361" s="2126">
        <v>0</v>
      </c>
      <c r="BN361" s="2126">
        <v>0</v>
      </c>
      <c r="BO361" s="2126">
        <v>0</v>
      </c>
      <c r="BP361" s="2126">
        <v>0</v>
      </c>
      <c r="BQ361" s="2126">
        <v>0</v>
      </c>
      <c r="BR361" s="2126">
        <v>0</v>
      </c>
    </row>
    <row r="362" spans="1:70" s="1765" customFormat="1" ht="49.5">
      <c r="A362" s="1272">
        <v>2000</v>
      </c>
      <c r="B362" s="971" t="s">
        <v>119</v>
      </c>
      <c r="C362" s="1272">
        <v>2500</v>
      </c>
      <c r="D362" s="971" t="s">
        <v>452</v>
      </c>
      <c r="E362" s="971">
        <v>2550</v>
      </c>
      <c r="F362" s="971" t="s">
        <v>819</v>
      </c>
      <c r="G362" s="971">
        <v>2550</v>
      </c>
      <c r="H362" s="971" t="s">
        <v>819</v>
      </c>
      <c r="I362" s="1273"/>
      <c r="J362" s="971"/>
      <c r="K362" s="971" t="s">
        <v>255</v>
      </c>
      <c r="L362" s="971" t="s">
        <v>2802</v>
      </c>
      <c r="M362" s="971" t="s">
        <v>255</v>
      </c>
      <c r="N362" s="971" t="s">
        <v>83</v>
      </c>
      <c r="O362" s="971" t="s">
        <v>256</v>
      </c>
      <c r="P362" s="971"/>
      <c r="Q362" s="971" t="s">
        <v>825</v>
      </c>
      <c r="R362" s="1266" t="s">
        <v>837</v>
      </c>
      <c r="S362" s="2106">
        <v>34</v>
      </c>
      <c r="T362" s="1266" t="s">
        <v>136</v>
      </c>
      <c r="U362" s="1742">
        <v>4.4491883296460179E-2</v>
      </c>
      <c r="V362" s="1742">
        <v>0.1701</v>
      </c>
      <c r="W362" s="1742">
        <v>3.92151459375</v>
      </c>
      <c r="X362" s="1742">
        <v>0.68180304577546291</v>
      </c>
      <c r="Y362" s="2106">
        <v>4.7480795457754628</v>
      </c>
      <c r="Z362" s="2106">
        <v>1.512724032079646</v>
      </c>
      <c r="AA362" s="2106">
        <v>5.7834000000000003</v>
      </c>
      <c r="AB362" s="2106">
        <v>133.33149618749999</v>
      </c>
      <c r="AC362" s="2106">
        <v>23.181303556365741</v>
      </c>
      <c r="AD362" s="1744">
        <v>161.43470455636574</v>
      </c>
      <c r="AE362" s="2126">
        <v>0</v>
      </c>
      <c r="AF362" s="2126">
        <v>0</v>
      </c>
      <c r="AG362" s="1212">
        <v>1</v>
      </c>
      <c r="AH362" s="1212">
        <v>0</v>
      </c>
      <c r="AI362" s="1212">
        <v>0</v>
      </c>
      <c r="AJ362" s="1212">
        <v>1</v>
      </c>
      <c r="AK362" s="2126">
        <v>161.43470455636574</v>
      </c>
      <c r="AL362" s="2126">
        <v>0</v>
      </c>
      <c r="AM362" s="2126">
        <v>0</v>
      </c>
      <c r="AN362" s="2126">
        <v>161.43470455636574</v>
      </c>
      <c r="AO362" s="1743" t="s">
        <v>85</v>
      </c>
      <c r="AP362" s="1743" t="s">
        <v>90</v>
      </c>
      <c r="AQ362" s="1764" t="s">
        <v>108</v>
      </c>
      <c r="AR362" s="1743" t="s">
        <v>87</v>
      </c>
      <c r="AS362" s="2135"/>
      <c r="AT362" s="2135"/>
      <c r="AU362" s="1212">
        <v>0.33333333333333331</v>
      </c>
      <c r="AV362" s="1212">
        <v>0.33333333333333331</v>
      </c>
      <c r="AW362" s="1212">
        <v>0.33333333333333331</v>
      </c>
      <c r="AX362" s="1212"/>
      <c r="AY362" s="1212"/>
      <c r="AZ362" s="1212"/>
      <c r="BA362" s="1212"/>
      <c r="BB362" s="1212"/>
      <c r="BC362" s="1212"/>
      <c r="BD362" s="1212"/>
      <c r="BE362" s="1212"/>
      <c r="BF362" s="2126">
        <v>0</v>
      </c>
      <c r="BG362" s="2126">
        <v>0</v>
      </c>
      <c r="BH362" s="2126">
        <v>53.811568185455243</v>
      </c>
      <c r="BI362" s="2126">
        <v>53.811568185455243</v>
      </c>
      <c r="BJ362" s="2126">
        <v>53.811568185455243</v>
      </c>
      <c r="BK362" s="2126">
        <v>0</v>
      </c>
      <c r="BL362" s="2126">
        <v>0</v>
      </c>
      <c r="BM362" s="2126">
        <v>0</v>
      </c>
      <c r="BN362" s="2126">
        <v>0</v>
      </c>
      <c r="BO362" s="2126">
        <v>0</v>
      </c>
      <c r="BP362" s="2126">
        <v>0</v>
      </c>
      <c r="BQ362" s="2126">
        <v>0</v>
      </c>
      <c r="BR362" s="2126">
        <v>0</v>
      </c>
    </row>
    <row r="363" spans="1:70" s="1765" customFormat="1" ht="16.5" customHeight="1">
      <c r="A363" s="1802">
        <v>2000</v>
      </c>
      <c r="B363" s="1803" t="s">
        <v>119</v>
      </c>
      <c r="C363" s="1802">
        <v>2600</v>
      </c>
      <c r="D363" s="1803" t="s">
        <v>838</v>
      </c>
      <c r="E363" s="1803"/>
      <c r="F363" s="1803"/>
      <c r="G363" s="1803"/>
      <c r="H363" s="1803"/>
      <c r="I363" s="1803"/>
      <c r="J363" s="1803" t="s">
        <v>121</v>
      </c>
      <c r="K363" s="1803"/>
      <c r="L363" s="1803"/>
      <c r="M363" s="1803"/>
      <c r="N363" s="1803"/>
      <c r="O363" s="1803"/>
      <c r="P363" s="1803"/>
      <c r="Q363" s="1803"/>
      <c r="R363" s="1774"/>
      <c r="S363" s="2107"/>
      <c r="T363" s="1774"/>
      <c r="U363" s="1776"/>
      <c r="V363" s="1776"/>
      <c r="W363" s="1776"/>
      <c r="X363" s="1776"/>
      <c r="Y363" s="2107"/>
      <c r="Z363" s="2107"/>
      <c r="AA363" s="2107"/>
      <c r="AB363" s="2107"/>
      <c r="AC363" s="2107"/>
      <c r="AD363" s="1775"/>
      <c r="AE363" s="2127"/>
      <c r="AF363" s="2127"/>
      <c r="AG363" s="1777"/>
      <c r="AH363" s="1777"/>
      <c r="AI363" s="1777"/>
      <c r="AJ363" s="1777"/>
      <c r="AK363" s="2127"/>
      <c r="AL363" s="2127"/>
      <c r="AM363" s="2127"/>
      <c r="AN363" s="2127"/>
      <c r="AO363" s="1775"/>
      <c r="AP363" s="1775"/>
      <c r="AQ363" s="1773"/>
      <c r="AR363" s="1775"/>
      <c r="AS363" s="1777"/>
      <c r="AT363" s="1777"/>
      <c r="AU363" s="1777"/>
      <c r="AV363" s="1777"/>
      <c r="AW363" s="1777"/>
      <c r="AX363" s="1777"/>
      <c r="AY363" s="1777"/>
      <c r="AZ363" s="1777"/>
      <c r="BA363" s="1777"/>
      <c r="BB363" s="1777"/>
      <c r="BC363" s="1777"/>
      <c r="BD363" s="1777"/>
      <c r="BE363" s="1777"/>
      <c r="BF363" s="2127"/>
      <c r="BG363" s="2127"/>
      <c r="BH363" s="2127"/>
      <c r="BI363" s="2127"/>
      <c r="BJ363" s="2127"/>
      <c r="BK363" s="2127"/>
      <c r="BL363" s="2127"/>
      <c r="BM363" s="2127"/>
      <c r="BN363" s="2127"/>
      <c r="BO363" s="2127"/>
      <c r="BP363" s="2127"/>
      <c r="BQ363" s="2127"/>
      <c r="BR363" s="2127"/>
    </row>
    <row r="364" spans="1:70" s="1765" customFormat="1" ht="49.5">
      <c r="A364" s="1272">
        <v>2000</v>
      </c>
      <c r="B364" s="971" t="s">
        <v>119</v>
      </c>
      <c r="C364" s="1272">
        <v>2600</v>
      </c>
      <c r="D364" s="971" t="s">
        <v>838</v>
      </c>
      <c r="E364" s="971" t="s">
        <v>839</v>
      </c>
      <c r="F364" s="971" t="s">
        <v>840</v>
      </c>
      <c r="G364" s="971" t="s">
        <v>841</v>
      </c>
      <c r="H364" s="971" t="s">
        <v>842</v>
      </c>
      <c r="I364" s="1273" t="s">
        <v>843</v>
      </c>
      <c r="J364" s="971" t="s">
        <v>177</v>
      </c>
      <c r="K364" s="971" t="s">
        <v>844</v>
      </c>
      <c r="L364" s="971" t="s">
        <v>2850</v>
      </c>
      <c r="M364" s="971" t="s">
        <v>844</v>
      </c>
      <c r="N364" s="971" t="s">
        <v>179</v>
      </c>
      <c r="O364" s="971" t="s">
        <v>845</v>
      </c>
      <c r="P364" s="971"/>
      <c r="Q364" s="971" t="s">
        <v>846</v>
      </c>
      <c r="R364" s="1266" t="s">
        <v>847</v>
      </c>
      <c r="S364" s="2106">
        <v>1</v>
      </c>
      <c r="T364" s="1266" t="s">
        <v>242</v>
      </c>
      <c r="U364" s="1742">
        <v>679.40000000000009</v>
      </c>
      <c r="V364" s="1742">
        <v>7847.5</v>
      </c>
      <c r="W364" s="1742">
        <v>59882.315999999999</v>
      </c>
      <c r="X364" s="1742">
        <v>86554.786000000007</v>
      </c>
      <c r="Y364" s="2106">
        <v>154284.60200000001</v>
      </c>
      <c r="Z364" s="2106">
        <v>679.40000000000009</v>
      </c>
      <c r="AA364" s="2106">
        <v>7847.5</v>
      </c>
      <c r="AB364" s="2106">
        <v>59882.315999999999</v>
      </c>
      <c r="AC364" s="2106">
        <v>86554.786000000007</v>
      </c>
      <c r="AD364" s="1744">
        <v>154284.60200000001</v>
      </c>
      <c r="AE364" s="2126">
        <v>160</v>
      </c>
      <c r="AF364" s="2126">
        <v>160</v>
      </c>
      <c r="AG364" s="1212">
        <v>1</v>
      </c>
      <c r="AH364" s="1212">
        <v>0</v>
      </c>
      <c r="AI364" s="1212">
        <v>0</v>
      </c>
      <c r="AJ364" s="1212">
        <v>1</v>
      </c>
      <c r="AK364" s="2126">
        <v>154284.60200000001</v>
      </c>
      <c r="AL364" s="2126">
        <v>0</v>
      </c>
      <c r="AM364" s="2126">
        <v>0</v>
      </c>
      <c r="AN364" s="2126">
        <v>154284.60200000001</v>
      </c>
      <c r="AO364" s="1743" t="s">
        <v>131</v>
      </c>
      <c r="AP364" s="1743"/>
      <c r="AQ364" s="1764">
        <v>2014</v>
      </c>
      <c r="AR364" s="1743" t="s">
        <v>87</v>
      </c>
      <c r="AS364" s="2135"/>
      <c r="AT364" s="2135"/>
      <c r="AU364" s="1212">
        <v>0.5</v>
      </c>
      <c r="AV364" s="1212">
        <v>0.5</v>
      </c>
      <c r="AW364" s="1212"/>
      <c r="AX364" s="1212"/>
      <c r="AY364" s="1212"/>
      <c r="AZ364" s="1212"/>
      <c r="BA364" s="1212"/>
      <c r="BB364" s="1212"/>
      <c r="BC364" s="1212"/>
      <c r="BD364" s="1212"/>
      <c r="BE364" s="1212"/>
      <c r="BF364" s="2126">
        <v>0</v>
      </c>
      <c r="BG364" s="2126">
        <v>0</v>
      </c>
      <c r="BH364" s="2126">
        <v>77142.301000000007</v>
      </c>
      <c r="BI364" s="2126">
        <v>77142.301000000007</v>
      </c>
      <c r="BJ364" s="2126">
        <v>0</v>
      </c>
      <c r="BK364" s="2126">
        <v>0</v>
      </c>
      <c r="BL364" s="2126">
        <v>0</v>
      </c>
      <c r="BM364" s="2126">
        <v>0</v>
      </c>
      <c r="BN364" s="2126">
        <v>0</v>
      </c>
      <c r="BO364" s="2126">
        <v>0</v>
      </c>
      <c r="BP364" s="2126">
        <v>0</v>
      </c>
      <c r="BQ364" s="2126">
        <v>0</v>
      </c>
      <c r="BR364" s="2126">
        <v>0</v>
      </c>
    </row>
    <row r="365" spans="1:70" s="1765" customFormat="1" ht="49.5">
      <c r="A365" s="1272">
        <v>2000</v>
      </c>
      <c r="B365" s="971" t="s">
        <v>119</v>
      </c>
      <c r="C365" s="1272">
        <v>2600</v>
      </c>
      <c r="D365" s="971" t="s">
        <v>838</v>
      </c>
      <c r="E365" s="971" t="s">
        <v>839</v>
      </c>
      <c r="F365" s="971" t="s">
        <v>840</v>
      </c>
      <c r="G365" s="971" t="s">
        <v>841</v>
      </c>
      <c r="H365" s="971" t="s">
        <v>842</v>
      </c>
      <c r="I365" s="1273" t="s">
        <v>848</v>
      </c>
      <c r="J365" s="971" t="s">
        <v>177</v>
      </c>
      <c r="K365" s="971" t="s">
        <v>844</v>
      </c>
      <c r="L365" s="971" t="s">
        <v>2850</v>
      </c>
      <c r="M365" s="971" t="s">
        <v>844</v>
      </c>
      <c r="N365" s="971" t="s">
        <v>179</v>
      </c>
      <c r="O365" s="971" t="s">
        <v>845</v>
      </c>
      <c r="P365" s="971"/>
      <c r="Q365" s="971" t="s">
        <v>846</v>
      </c>
      <c r="R365" s="1266" t="s">
        <v>849</v>
      </c>
      <c r="S365" s="2106">
        <v>1</v>
      </c>
      <c r="T365" s="1266" t="s">
        <v>242</v>
      </c>
      <c r="U365" s="1742">
        <v>679.40000000000009</v>
      </c>
      <c r="V365" s="1742">
        <v>7847.5</v>
      </c>
      <c r="W365" s="1742">
        <v>59882.315999999999</v>
      </c>
      <c r="X365" s="1742">
        <v>86554.786000000007</v>
      </c>
      <c r="Y365" s="2106">
        <v>154284.60200000001</v>
      </c>
      <c r="Z365" s="2106">
        <v>679.40000000000009</v>
      </c>
      <c r="AA365" s="2106">
        <v>7847.5</v>
      </c>
      <c r="AB365" s="2106">
        <v>59882.315999999999</v>
      </c>
      <c r="AC365" s="2106">
        <v>86554.786000000007</v>
      </c>
      <c r="AD365" s="1744">
        <v>154284.60200000001</v>
      </c>
      <c r="AE365" s="2126">
        <v>160</v>
      </c>
      <c r="AF365" s="2126">
        <v>160</v>
      </c>
      <c r="AG365" s="1212">
        <v>1</v>
      </c>
      <c r="AH365" s="1212">
        <v>0</v>
      </c>
      <c r="AI365" s="1212">
        <v>0</v>
      </c>
      <c r="AJ365" s="1212">
        <v>1</v>
      </c>
      <c r="AK365" s="2126">
        <v>154284.60200000001</v>
      </c>
      <c r="AL365" s="2126">
        <v>0</v>
      </c>
      <c r="AM365" s="2126">
        <v>0</v>
      </c>
      <c r="AN365" s="2126">
        <v>154284.60200000001</v>
      </c>
      <c r="AO365" s="1743" t="s">
        <v>131</v>
      </c>
      <c r="AP365" s="1743"/>
      <c r="AQ365" s="1764">
        <v>2014</v>
      </c>
      <c r="AR365" s="1743" t="s">
        <v>87</v>
      </c>
      <c r="AS365" s="2135"/>
      <c r="AT365" s="2135"/>
      <c r="AU365" s="1212">
        <v>0.5</v>
      </c>
      <c r="AV365" s="1212">
        <v>0.5</v>
      </c>
      <c r="AW365" s="1212"/>
      <c r="AX365" s="1212"/>
      <c r="AY365" s="1212"/>
      <c r="AZ365" s="1212"/>
      <c r="BA365" s="1212"/>
      <c r="BB365" s="1212"/>
      <c r="BC365" s="1212"/>
      <c r="BD365" s="1212"/>
      <c r="BE365" s="1212"/>
      <c r="BF365" s="2126">
        <v>0</v>
      </c>
      <c r="BG365" s="2126">
        <v>0</v>
      </c>
      <c r="BH365" s="2126">
        <v>77142.301000000007</v>
      </c>
      <c r="BI365" s="2126">
        <v>77142.301000000007</v>
      </c>
      <c r="BJ365" s="2126">
        <v>0</v>
      </c>
      <c r="BK365" s="2126">
        <v>0</v>
      </c>
      <c r="BL365" s="2126">
        <v>0</v>
      </c>
      <c r="BM365" s="2126">
        <v>0</v>
      </c>
      <c r="BN365" s="2126">
        <v>0</v>
      </c>
      <c r="BO365" s="2126">
        <v>0</v>
      </c>
      <c r="BP365" s="2126">
        <v>0</v>
      </c>
      <c r="BQ365" s="2126">
        <v>0</v>
      </c>
      <c r="BR365" s="2126">
        <v>0</v>
      </c>
    </row>
    <row r="366" spans="1:70" s="1765" customFormat="1" ht="49.5">
      <c r="A366" s="1272">
        <v>2000</v>
      </c>
      <c r="B366" s="971" t="s">
        <v>119</v>
      </c>
      <c r="C366" s="1272">
        <v>2600</v>
      </c>
      <c r="D366" s="971" t="s">
        <v>838</v>
      </c>
      <c r="E366" s="971" t="s">
        <v>839</v>
      </c>
      <c r="F366" s="971" t="s">
        <v>840</v>
      </c>
      <c r="G366" s="971" t="s">
        <v>841</v>
      </c>
      <c r="H366" s="971" t="s">
        <v>842</v>
      </c>
      <c r="I366" s="1273" t="s">
        <v>850</v>
      </c>
      <c r="J366" s="971" t="s">
        <v>177</v>
      </c>
      <c r="K366" s="971" t="s">
        <v>844</v>
      </c>
      <c r="L366" s="971" t="s">
        <v>2850</v>
      </c>
      <c r="M366" s="971" t="s">
        <v>844</v>
      </c>
      <c r="N366" s="971" t="s">
        <v>179</v>
      </c>
      <c r="O366" s="971" t="s">
        <v>845</v>
      </c>
      <c r="P366" s="971"/>
      <c r="Q366" s="971" t="s">
        <v>846</v>
      </c>
      <c r="R366" s="1266" t="s">
        <v>851</v>
      </c>
      <c r="S366" s="2106">
        <v>1</v>
      </c>
      <c r="T366" s="1266" t="s">
        <v>242</v>
      </c>
      <c r="U366" s="1742">
        <v>679.40000000000009</v>
      </c>
      <c r="V366" s="1742">
        <v>7847.5</v>
      </c>
      <c r="W366" s="1742">
        <v>59882.315999999999</v>
      </c>
      <c r="X366" s="1742">
        <v>86554.786000000007</v>
      </c>
      <c r="Y366" s="2106">
        <v>154284.60200000001</v>
      </c>
      <c r="Z366" s="2106">
        <v>679.40000000000009</v>
      </c>
      <c r="AA366" s="2106">
        <v>7847.5</v>
      </c>
      <c r="AB366" s="2106">
        <v>59882.315999999999</v>
      </c>
      <c r="AC366" s="2106">
        <v>86554.786000000007</v>
      </c>
      <c r="AD366" s="1744">
        <v>154284.60200000001</v>
      </c>
      <c r="AE366" s="2126">
        <v>160</v>
      </c>
      <c r="AF366" s="2126">
        <v>160</v>
      </c>
      <c r="AG366" s="1212">
        <v>1</v>
      </c>
      <c r="AH366" s="1212">
        <v>0</v>
      </c>
      <c r="AI366" s="1212">
        <v>0</v>
      </c>
      <c r="AJ366" s="1212">
        <v>1</v>
      </c>
      <c r="AK366" s="2126">
        <v>154284.60200000001</v>
      </c>
      <c r="AL366" s="2126">
        <v>0</v>
      </c>
      <c r="AM366" s="2126">
        <v>0</v>
      </c>
      <c r="AN366" s="2126">
        <v>154284.60200000001</v>
      </c>
      <c r="AO366" s="1743" t="s">
        <v>131</v>
      </c>
      <c r="AP366" s="1743"/>
      <c r="AQ366" s="1764">
        <v>2014</v>
      </c>
      <c r="AR366" s="1743" t="s">
        <v>87</v>
      </c>
      <c r="AS366" s="2135"/>
      <c r="AT366" s="2135"/>
      <c r="AU366" s="1212">
        <v>0.5</v>
      </c>
      <c r="AV366" s="1212">
        <v>0.5</v>
      </c>
      <c r="AW366" s="1212"/>
      <c r="AX366" s="1212"/>
      <c r="AY366" s="1212"/>
      <c r="AZ366" s="1212"/>
      <c r="BA366" s="1212"/>
      <c r="BB366" s="1212"/>
      <c r="BC366" s="1212"/>
      <c r="BD366" s="1212"/>
      <c r="BE366" s="1212"/>
      <c r="BF366" s="2126">
        <v>0</v>
      </c>
      <c r="BG366" s="2126">
        <v>0</v>
      </c>
      <c r="BH366" s="2126">
        <v>77142.301000000007</v>
      </c>
      <c r="BI366" s="2126">
        <v>77142.301000000007</v>
      </c>
      <c r="BJ366" s="2126">
        <v>0</v>
      </c>
      <c r="BK366" s="2126">
        <v>0</v>
      </c>
      <c r="BL366" s="2126">
        <v>0</v>
      </c>
      <c r="BM366" s="2126">
        <v>0</v>
      </c>
      <c r="BN366" s="2126">
        <v>0</v>
      </c>
      <c r="BO366" s="2126">
        <v>0</v>
      </c>
      <c r="BP366" s="2126">
        <v>0</v>
      </c>
      <c r="BQ366" s="2126">
        <v>0</v>
      </c>
      <c r="BR366" s="2126">
        <v>0</v>
      </c>
    </row>
    <row r="367" spans="1:70" s="1765" customFormat="1" ht="49.5">
      <c r="A367" s="1272">
        <v>2000</v>
      </c>
      <c r="B367" s="971" t="s">
        <v>119</v>
      </c>
      <c r="C367" s="1272">
        <v>2600</v>
      </c>
      <c r="D367" s="971" t="s">
        <v>838</v>
      </c>
      <c r="E367" s="971" t="s">
        <v>839</v>
      </c>
      <c r="F367" s="971" t="s">
        <v>840</v>
      </c>
      <c r="G367" s="971" t="s">
        <v>841</v>
      </c>
      <c r="H367" s="971" t="s">
        <v>842</v>
      </c>
      <c r="I367" s="1273" t="s">
        <v>852</v>
      </c>
      <c r="J367" s="971" t="s">
        <v>177</v>
      </c>
      <c r="K367" s="971" t="s">
        <v>844</v>
      </c>
      <c r="L367" s="971" t="s">
        <v>2850</v>
      </c>
      <c r="M367" s="971" t="s">
        <v>844</v>
      </c>
      <c r="N367" s="971" t="s">
        <v>179</v>
      </c>
      <c r="O367" s="971" t="s">
        <v>845</v>
      </c>
      <c r="P367" s="971"/>
      <c r="Q367" s="971" t="s">
        <v>846</v>
      </c>
      <c r="R367" s="1266" t="s">
        <v>853</v>
      </c>
      <c r="S367" s="2106">
        <v>1</v>
      </c>
      <c r="T367" s="1266" t="s">
        <v>242</v>
      </c>
      <c r="U367" s="1742">
        <v>679.40000000000009</v>
      </c>
      <c r="V367" s="1742">
        <v>7847.5</v>
      </c>
      <c r="W367" s="1742">
        <v>59882.315999999999</v>
      </c>
      <c r="X367" s="1742">
        <v>86554.786000000007</v>
      </c>
      <c r="Y367" s="2106">
        <v>154284.60200000001</v>
      </c>
      <c r="Z367" s="2106">
        <v>679.40000000000009</v>
      </c>
      <c r="AA367" s="2106">
        <v>7847.5</v>
      </c>
      <c r="AB367" s="2106">
        <v>59882.315999999999</v>
      </c>
      <c r="AC367" s="2106">
        <v>86554.786000000007</v>
      </c>
      <c r="AD367" s="1744">
        <v>154284.60200000001</v>
      </c>
      <c r="AE367" s="2126">
        <v>160</v>
      </c>
      <c r="AF367" s="2126">
        <v>160</v>
      </c>
      <c r="AG367" s="1212">
        <v>1</v>
      </c>
      <c r="AH367" s="1212">
        <v>0</v>
      </c>
      <c r="AI367" s="1212">
        <v>0</v>
      </c>
      <c r="AJ367" s="1212">
        <v>1</v>
      </c>
      <c r="AK367" s="2126">
        <v>154284.60200000001</v>
      </c>
      <c r="AL367" s="2126">
        <v>0</v>
      </c>
      <c r="AM367" s="2126">
        <v>0</v>
      </c>
      <c r="AN367" s="2126">
        <v>154284.60200000001</v>
      </c>
      <c r="AO367" s="1743" t="s">
        <v>131</v>
      </c>
      <c r="AP367" s="1743"/>
      <c r="AQ367" s="1764">
        <v>2014</v>
      </c>
      <c r="AR367" s="1743" t="s">
        <v>87</v>
      </c>
      <c r="AS367" s="2135"/>
      <c r="AT367" s="2135"/>
      <c r="AU367" s="1212">
        <v>0.5</v>
      </c>
      <c r="AV367" s="1212">
        <v>0.5</v>
      </c>
      <c r="AW367" s="1212"/>
      <c r="AX367" s="1212"/>
      <c r="AY367" s="1212"/>
      <c r="AZ367" s="1212"/>
      <c r="BA367" s="1212"/>
      <c r="BB367" s="1212"/>
      <c r="BC367" s="1212"/>
      <c r="BD367" s="1212"/>
      <c r="BE367" s="1212"/>
      <c r="BF367" s="2126">
        <v>0</v>
      </c>
      <c r="BG367" s="2126">
        <v>0</v>
      </c>
      <c r="BH367" s="2126">
        <v>77142.301000000007</v>
      </c>
      <c r="BI367" s="2126">
        <v>77142.301000000007</v>
      </c>
      <c r="BJ367" s="2126">
        <v>0</v>
      </c>
      <c r="BK367" s="2126">
        <v>0</v>
      </c>
      <c r="BL367" s="2126">
        <v>0</v>
      </c>
      <c r="BM367" s="2126">
        <v>0</v>
      </c>
      <c r="BN367" s="2126">
        <v>0</v>
      </c>
      <c r="BO367" s="2126">
        <v>0</v>
      </c>
      <c r="BP367" s="2126">
        <v>0</v>
      </c>
      <c r="BQ367" s="2126">
        <v>0</v>
      </c>
      <c r="BR367" s="2126">
        <v>0</v>
      </c>
    </row>
    <row r="368" spans="1:70" s="1765" customFormat="1" ht="49.5">
      <c r="A368" s="1272">
        <v>2000</v>
      </c>
      <c r="B368" s="971" t="s">
        <v>119</v>
      </c>
      <c r="C368" s="1272">
        <v>2600</v>
      </c>
      <c r="D368" s="971" t="s">
        <v>838</v>
      </c>
      <c r="E368" s="971" t="s">
        <v>839</v>
      </c>
      <c r="F368" s="971" t="s">
        <v>840</v>
      </c>
      <c r="G368" s="971" t="s">
        <v>841</v>
      </c>
      <c r="H368" s="971" t="s">
        <v>842</v>
      </c>
      <c r="I368" s="1273" t="s">
        <v>854</v>
      </c>
      <c r="J368" s="971" t="s">
        <v>177</v>
      </c>
      <c r="K368" s="971" t="s">
        <v>855</v>
      </c>
      <c r="L368" s="971" t="s">
        <v>2849</v>
      </c>
      <c r="M368" s="971" t="s">
        <v>855</v>
      </c>
      <c r="N368" s="971" t="s">
        <v>179</v>
      </c>
      <c r="O368" s="971" t="s">
        <v>856</v>
      </c>
      <c r="P368" s="971"/>
      <c r="Q368" s="971" t="s">
        <v>857</v>
      </c>
      <c r="R368" s="1266" t="s">
        <v>858</v>
      </c>
      <c r="S368" s="2106">
        <v>1</v>
      </c>
      <c r="T368" s="1266" t="s">
        <v>242</v>
      </c>
      <c r="U368" s="1742">
        <v>418.6</v>
      </c>
      <c r="V368" s="1742">
        <v>4887.5</v>
      </c>
      <c r="W368" s="1742">
        <v>36895.403999999995</v>
      </c>
      <c r="X368" s="1742">
        <v>53907.17</v>
      </c>
      <c r="Y368" s="2106">
        <v>95690.074000000008</v>
      </c>
      <c r="Z368" s="2106">
        <v>418.6</v>
      </c>
      <c r="AA368" s="2106">
        <v>4887.5</v>
      </c>
      <c r="AB368" s="2106">
        <v>36895.403999999995</v>
      </c>
      <c r="AC368" s="2106">
        <v>53907.17</v>
      </c>
      <c r="AD368" s="1744">
        <v>95690.073999999993</v>
      </c>
      <c r="AE368" s="2126">
        <v>80</v>
      </c>
      <c r="AF368" s="2126">
        <v>80</v>
      </c>
      <c r="AG368" s="1212">
        <v>1</v>
      </c>
      <c r="AH368" s="1212">
        <v>0</v>
      </c>
      <c r="AI368" s="1212">
        <v>0</v>
      </c>
      <c r="AJ368" s="1212">
        <v>1</v>
      </c>
      <c r="AK368" s="2126">
        <v>95690.073999999993</v>
      </c>
      <c r="AL368" s="2126">
        <v>0</v>
      </c>
      <c r="AM368" s="2126">
        <v>0</v>
      </c>
      <c r="AN368" s="2126">
        <v>95690.073999999993</v>
      </c>
      <c r="AO368" s="1743" t="s">
        <v>131</v>
      </c>
      <c r="AP368" s="1743"/>
      <c r="AQ368" s="1764">
        <v>2014</v>
      </c>
      <c r="AR368" s="1743" t="s">
        <v>87</v>
      </c>
      <c r="AS368" s="2135"/>
      <c r="AT368" s="2135"/>
      <c r="AU368" s="1212">
        <v>0.5</v>
      </c>
      <c r="AV368" s="1212">
        <v>0.5</v>
      </c>
      <c r="AW368" s="1212"/>
      <c r="AX368" s="1212"/>
      <c r="AY368" s="1212"/>
      <c r="AZ368" s="1212"/>
      <c r="BA368" s="1212"/>
      <c r="BB368" s="1212"/>
      <c r="BC368" s="1212"/>
      <c r="BD368" s="1212"/>
      <c r="BE368" s="1212"/>
      <c r="BF368" s="2126">
        <v>0</v>
      </c>
      <c r="BG368" s="2126">
        <v>0</v>
      </c>
      <c r="BH368" s="2126">
        <v>47845.036999999997</v>
      </c>
      <c r="BI368" s="2126">
        <v>47845.036999999997</v>
      </c>
      <c r="BJ368" s="2126">
        <v>0</v>
      </c>
      <c r="BK368" s="2126">
        <v>0</v>
      </c>
      <c r="BL368" s="2126">
        <v>0</v>
      </c>
      <c r="BM368" s="2126">
        <v>0</v>
      </c>
      <c r="BN368" s="2126">
        <v>0</v>
      </c>
      <c r="BO368" s="2126">
        <v>0</v>
      </c>
      <c r="BP368" s="2126">
        <v>0</v>
      </c>
      <c r="BQ368" s="2126">
        <v>0</v>
      </c>
      <c r="BR368" s="2126">
        <v>0</v>
      </c>
    </row>
    <row r="369" spans="1:70" s="1765" customFormat="1" ht="49.5">
      <c r="A369" s="1272">
        <v>2000</v>
      </c>
      <c r="B369" s="971" t="s">
        <v>119</v>
      </c>
      <c r="C369" s="1272">
        <v>2600</v>
      </c>
      <c r="D369" s="971" t="s">
        <v>838</v>
      </c>
      <c r="E369" s="971" t="s">
        <v>839</v>
      </c>
      <c r="F369" s="971" t="s">
        <v>840</v>
      </c>
      <c r="G369" s="971" t="s">
        <v>841</v>
      </c>
      <c r="H369" s="971" t="s">
        <v>842</v>
      </c>
      <c r="I369" s="1273" t="s">
        <v>859</v>
      </c>
      <c r="J369" s="971" t="s">
        <v>177</v>
      </c>
      <c r="K369" s="971" t="s">
        <v>855</v>
      </c>
      <c r="L369" s="971" t="s">
        <v>2849</v>
      </c>
      <c r="M369" s="971" t="s">
        <v>855</v>
      </c>
      <c r="N369" s="971" t="s">
        <v>179</v>
      </c>
      <c r="O369" s="971" t="s">
        <v>856</v>
      </c>
      <c r="P369" s="971"/>
      <c r="Q369" s="971" t="s">
        <v>857</v>
      </c>
      <c r="R369" s="1266" t="s">
        <v>860</v>
      </c>
      <c r="S369" s="2106">
        <v>1</v>
      </c>
      <c r="T369" s="1266" t="s">
        <v>242</v>
      </c>
      <c r="U369" s="1742">
        <v>418.6</v>
      </c>
      <c r="V369" s="1742">
        <v>4887.5</v>
      </c>
      <c r="W369" s="1742">
        <v>36895.403999999995</v>
      </c>
      <c r="X369" s="1742">
        <v>53907.17</v>
      </c>
      <c r="Y369" s="2106">
        <v>95690.074000000008</v>
      </c>
      <c r="Z369" s="2106">
        <v>418.6</v>
      </c>
      <c r="AA369" s="2106">
        <v>4887.5</v>
      </c>
      <c r="AB369" s="2106">
        <v>36895.403999999995</v>
      </c>
      <c r="AC369" s="2106">
        <v>53907.17</v>
      </c>
      <c r="AD369" s="1744">
        <v>95690.073999999993</v>
      </c>
      <c r="AE369" s="2126">
        <v>80</v>
      </c>
      <c r="AF369" s="2126">
        <v>80</v>
      </c>
      <c r="AG369" s="1212">
        <v>1</v>
      </c>
      <c r="AH369" s="1212">
        <v>0</v>
      </c>
      <c r="AI369" s="1212">
        <v>0</v>
      </c>
      <c r="AJ369" s="1212">
        <v>1</v>
      </c>
      <c r="AK369" s="2126">
        <v>95690.073999999993</v>
      </c>
      <c r="AL369" s="2126">
        <v>0</v>
      </c>
      <c r="AM369" s="2126">
        <v>0</v>
      </c>
      <c r="AN369" s="2126">
        <v>95690.073999999993</v>
      </c>
      <c r="AO369" s="1743" t="s">
        <v>131</v>
      </c>
      <c r="AP369" s="1743"/>
      <c r="AQ369" s="1764">
        <v>2014</v>
      </c>
      <c r="AR369" s="1743" t="s">
        <v>87</v>
      </c>
      <c r="AS369" s="2135"/>
      <c r="AT369" s="2135"/>
      <c r="AU369" s="1212">
        <v>0.5</v>
      </c>
      <c r="AV369" s="1212">
        <v>0.5</v>
      </c>
      <c r="AW369" s="1212"/>
      <c r="AX369" s="1212"/>
      <c r="AY369" s="1212"/>
      <c r="AZ369" s="1212"/>
      <c r="BA369" s="1212"/>
      <c r="BB369" s="1212"/>
      <c r="BC369" s="1212"/>
      <c r="BD369" s="1212"/>
      <c r="BE369" s="1212"/>
      <c r="BF369" s="2126">
        <v>0</v>
      </c>
      <c r="BG369" s="2126">
        <v>0</v>
      </c>
      <c r="BH369" s="2126">
        <v>47845.036999999997</v>
      </c>
      <c r="BI369" s="2126">
        <v>47845.036999999997</v>
      </c>
      <c r="BJ369" s="2126">
        <v>0</v>
      </c>
      <c r="BK369" s="2126">
        <v>0</v>
      </c>
      <c r="BL369" s="2126">
        <v>0</v>
      </c>
      <c r="BM369" s="2126">
        <v>0</v>
      </c>
      <c r="BN369" s="2126">
        <v>0</v>
      </c>
      <c r="BO369" s="2126">
        <v>0</v>
      </c>
      <c r="BP369" s="2126">
        <v>0</v>
      </c>
      <c r="BQ369" s="2126">
        <v>0</v>
      </c>
      <c r="BR369" s="2126">
        <v>0</v>
      </c>
    </row>
    <row r="370" spans="1:70" s="1765" customFormat="1" ht="49.5">
      <c r="A370" s="1272">
        <v>2000</v>
      </c>
      <c r="B370" s="971" t="s">
        <v>119</v>
      </c>
      <c r="C370" s="1272">
        <v>2600</v>
      </c>
      <c r="D370" s="971" t="s">
        <v>838</v>
      </c>
      <c r="E370" s="971" t="s">
        <v>839</v>
      </c>
      <c r="F370" s="971" t="s">
        <v>840</v>
      </c>
      <c r="G370" s="971" t="s">
        <v>861</v>
      </c>
      <c r="H370" s="971" t="s">
        <v>842</v>
      </c>
      <c r="I370" s="1273" t="s">
        <v>862</v>
      </c>
      <c r="J370" s="971" t="s">
        <v>124</v>
      </c>
      <c r="K370" s="971" t="s">
        <v>2857</v>
      </c>
      <c r="L370" s="971" t="s">
        <v>2858</v>
      </c>
      <c r="M370" s="971" t="s">
        <v>734</v>
      </c>
      <c r="N370" s="971" t="s">
        <v>488</v>
      </c>
      <c r="O370" s="971" t="s">
        <v>128</v>
      </c>
      <c r="P370" s="971"/>
      <c r="Q370" s="971" t="s">
        <v>863</v>
      </c>
      <c r="R370" s="1266" t="s">
        <v>864</v>
      </c>
      <c r="S370" s="2106">
        <v>29.739776951672862</v>
      </c>
      <c r="T370" s="1266" t="s">
        <v>136</v>
      </c>
      <c r="U370" s="1742">
        <v>0.56041666666666667</v>
      </c>
      <c r="V370" s="1742">
        <v>2.8020833333333335</v>
      </c>
      <c r="W370" s="1742">
        <v>49.395125</v>
      </c>
      <c r="X370" s="1742">
        <v>77.264645833333333</v>
      </c>
      <c r="Y370" s="2106">
        <v>129.46185416666665</v>
      </c>
      <c r="Z370" s="2106">
        <v>16.666666666666668</v>
      </c>
      <c r="AA370" s="2106">
        <v>83.333333333333343</v>
      </c>
      <c r="AB370" s="2106">
        <v>1469</v>
      </c>
      <c r="AC370" s="2106">
        <v>2297.8333333333335</v>
      </c>
      <c r="AD370" s="1744">
        <v>3850.166666666667</v>
      </c>
      <c r="AE370" s="2126">
        <v>1</v>
      </c>
      <c r="AF370" s="2126">
        <v>29.739776951672862</v>
      </c>
      <c r="AG370" s="1212">
        <v>1</v>
      </c>
      <c r="AH370" s="1212">
        <v>0</v>
      </c>
      <c r="AI370" s="1212">
        <v>0</v>
      </c>
      <c r="AJ370" s="1212">
        <v>1</v>
      </c>
      <c r="AK370" s="2126">
        <v>3850.166666666667</v>
      </c>
      <c r="AL370" s="2126">
        <v>0</v>
      </c>
      <c r="AM370" s="2126">
        <v>0</v>
      </c>
      <c r="AN370" s="2126">
        <v>3850.166666666667</v>
      </c>
      <c r="AO370" s="1743" t="s">
        <v>131</v>
      </c>
      <c r="AP370" s="1743"/>
      <c r="AQ370" s="1764">
        <v>2014</v>
      </c>
      <c r="AR370" s="1743" t="s">
        <v>87</v>
      </c>
      <c r="AS370" s="2135"/>
      <c r="AT370" s="2135"/>
      <c r="AU370" s="1212">
        <v>0.5</v>
      </c>
      <c r="AV370" s="1212">
        <v>0.5</v>
      </c>
      <c r="AW370" s="1212"/>
      <c r="AX370" s="1212"/>
      <c r="AY370" s="1212"/>
      <c r="AZ370" s="1212"/>
      <c r="BA370" s="1212"/>
      <c r="BB370" s="1212"/>
      <c r="BC370" s="1212"/>
      <c r="BD370" s="1212"/>
      <c r="BE370" s="1212"/>
      <c r="BF370" s="2126">
        <v>0</v>
      </c>
      <c r="BG370" s="2126">
        <v>0</v>
      </c>
      <c r="BH370" s="2126">
        <v>1925.0833333333335</v>
      </c>
      <c r="BI370" s="2126">
        <v>1925.0833333333335</v>
      </c>
      <c r="BJ370" s="2126">
        <v>0</v>
      </c>
      <c r="BK370" s="2126">
        <v>0</v>
      </c>
      <c r="BL370" s="2126">
        <v>0</v>
      </c>
      <c r="BM370" s="2126">
        <v>0</v>
      </c>
      <c r="BN370" s="2126">
        <v>0</v>
      </c>
      <c r="BO370" s="2126">
        <v>0</v>
      </c>
      <c r="BP370" s="2126">
        <v>0</v>
      </c>
      <c r="BQ370" s="2126">
        <v>0</v>
      </c>
      <c r="BR370" s="2126">
        <v>0</v>
      </c>
    </row>
    <row r="371" spans="1:70" s="1765" customFormat="1" ht="49.5">
      <c r="A371" s="1272">
        <v>2000</v>
      </c>
      <c r="B371" s="971" t="s">
        <v>119</v>
      </c>
      <c r="C371" s="1272">
        <v>2600</v>
      </c>
      <c r="D371" s="971" t="s">
        <v>838</v>
      </c>
      <c r="E371" s="971" t="s">
        <v>839</v>
      </c>
      <c r="F371" s="971" t="s">
        <v>840</v>
      </c>
      <c r="G371" s="971" t="s">
        <v>861</v>
      </c>
      <c r="H371" s="971" t="s">
        <v>842</v>
      </c>
      <c r="I371" s="1273" t="s">
        <v>865</v>
      </c>
      <c r="J371" s="971" t="s">
        <v>124</v>
      </c>
      <c r="K371" s="971" t="s">
        <v>2857</v>
      </c>
      <c r="L371" s="971" t="s">
        <v>2858</v>
      </c>
      <c r="M371" s="971" t="s">
        <v>734</v>
      </c>
      <c r="N371" s="971" t="s">
        <v>488</v>
      </c>
      <c r="O371" s="971" t="s">
        <v>128</v>
      </c>
      <c r="P371" s="971"/>
      <c r="Q371" s="971" t="s">
        <v>863</v>
      </c>
      <c r="R371" s="1266" t="s">
        <v>866</v>
      </c>
      <c r="S371" s="2106">
        <v>14.869888475836431</v>
      </c>
      <c r="T371" s="1266" t="s">
        <v>136</v>
      </c>
      <c r="U371" s="1742">
        <v>0.56041666666666667</v>
      </c>
      <c r="V371" s="1742">
        <v>2.8020833333333335</v>
      </c>
      <c r="W371" s="1742">
        <v>49.395125</v>
      </c>
      <c r="X371" s="1742">
        <v>77.264645833333333</v>
      </c>
      <c r="Y371" s="2106">
        <v>129.46185416666665</v>
      </c>
      <c r="Z371" s="2106">
        <v>8.3333333333333339</v>
      </c>
      <c r="AA371" s="2106">
        <v>41.666666666666671</v>
      </c>
      <c r="AB371" s="2106">
        <v>734.5</v>
      </c>
      <c r="AC371" s="2106">
        <v>1148.9166666666667</v>
      </c>
      <c r="AD371" s="1744">
        <v>1925.0833333333335</v>
      </c>
      <c r="AE371" s="2126">
        <v>1</v>
      </c>
      <c r="AF371" s="2126">
        <v>14.869888475836431</v>
      </c>
      <c r="AG371" s="1212">
        <v>1</v>
      </c>
      <c r="AH371" s="1212">
        <v>0</v>
      </c>
      <c r="AI371" s="1212">
        <v>0</v>
      </c>
      <c r="AJ371" s="1212">
        <v>1</v>
      </c>
      <c r="AK371" s="2126">
        <v>1925.0833333333335</v>
      </c>
      <c r="AL371" s="2126">
        <v>0</v>
      </c>
      <c r="AM371" s="2126">
        <v>0</v>
      </c>
      <c r="AN371" s="2126">
        <v>1925.0833333333335</v>
      </c>
      <c r="AO371" s="1743" t="s">
        <v>131</v>
      </c>
      <c r="AP371" s="1743"/>
      <c r="AQ371" s="1764">
        <v>2014</v>
      </c>
      <c r="AR371" s="1743" t="s">
        <v>87</v>
      </c>
      <c r="AS371" s="2135"/>
      <c r="AT371" s="2135"/>
      <c r="AU371" s="1212">
        <v>0.5</v>
      </c>
      <c r="AV371" s="1212">
        <v>0.5</v>
      </c>
      <c r="AW371" s="1212"/>
      <c r="AX371" s="1212"/>
      <c r="AY371" s="1212"/>
      <c r="AZ371" s="1212"/>
      <c r="BA371" s="1212"/>
      <c r="BB371" s="1212"/>
      <c r="BC371" s="1212"/>
      <c r="BD371" s="1212"/>
      <c r="BE371" s="1212"/>
      <c r="BF371" s="2126">
        <v>0</v>
      </c>
      <c r="BG371" s="2126">
        <v>0</v>
      </c>
      <c r="BH371" s="2126">
        <v>962.54166666666674</v>
      </c>
      <c r="BI371" s="2126">
        <v>962.54166666666674</v>
      </c>
      <c r="BJ371" s="2126">
        <v>0</v>
      </c>
      <c r="BK371" s="2126">
        <v>0</v>
      </c>
      <c r="BL371" s="2126">
        <v>0</v>
      </c>
      <c r="BM371" s="2126">
        <v>0</v>
      </c>
      <c r="BN371" s="2126">
        <v>0</v>
      </c>
      <c r="BO371" s="2126">
        <v>0</v>
      </c>
      <c r="BP371" s="2126">
        <v>0</v>
      </c>
      <c r="BQ371" s="2126">
        <v>0</v>
      </c>
      <c r="BR371" s="2126">
        <v>0</v>
      </c>
    </row>
    <row r="372" spans="1:70" s="1765" customFormat="1" ht="33">
      <c r="A372" s="1272">
        <v>2000</v>
      </c>
      <c r="B372" s="971" t="s">
        <v>119</v>
      </c>
      <c r="C372" s="1272">
        <v>2600</v>
      </c>
      <c r="D372" s="971" t="s">
        <v>838</v>
      </c>
      <c r="E372" s="971" t="s">
        <v>839</v>
      </c>
      <c r="F372" s="971" t="s">
        <v>840</v>
      </c>
      <c r="G372" s="971" t="s">
        <v>861</v>
      </c>
      <c r="H372" s="971" t="s">
        <v>842</v>
      </c>
      <c r="I372" s="1273" t="s">
        <v>867</v>
      </c>
      <c r="J372" s="971" t="s">
        <v>868</v>
      </c>
      <c r="K372" s="971"/>
      <c r="L372" s="971" t="e">
        <v>#N/A</v>
      </c>
      <c r="M372" s="971" t="s">
        <v>145</v>
      </c>
      <c r="N372" s="971" t="s">
        <v>141</v>
      </c>
      <c r="O372" s="971" t="s">
        <v>146</v>
      </c>
      <c r="P372" s="971"/>
      <c r="Q372" s="971" t="s">
        <v>869</v>
      </c>
      <c r="R372" s="1266" t="s">
        <v>866</v>
      </c>
      <c r="S372" s="2106">
        <v>14.864485999999999</v>
      </c>
      <c r="T372" s="1266" t="s">
        <v>136</v>
      </c>
      <c r="U372" s="1742" t="s">
        <v>6588</v>
      </c>
      <c r="V372" s="1742" t="s">
        <v>6588</v>
      </c>
      <c r="W372" s="1742" t="s">
        <v>6588</v>
      </c>
      <c r="X372" s="1742" t="s">
        <v>6588</v>
      </c>
      <c r="Y372" s="2106" t="s">
        <v>6588</v>
      </c>
      <c r="Z372" s="2106">
        <v>0</v>
      </c>
      <c r="AA372" s="2106">
        <v>0</v>
      </c>
      <c r="AB372" s="2106">
        <v>0</v>
      </c>
      <c r="AC372" s="2106">
        <v>0</v>
      </c>
      <c r="AD372" s="1744">
        <v>0</v>
      </c>
      <c r="AE372" s="2126">
        <v>0</v>
      </c>
      <c r="AF372" s="2126">
        <v>0</v>
      </c>
      <c r="AG372" s="1212">
        <v>1</v>
      </c>
      <c r="AH372" s="1212">
        <v>0</v>
      </c>
      <c r="AI372" s="1212">
        <v>0</v>
      </c>
      <c r="AJ372" s="1212">
        <v>1</v>
      </c>
      <c r="AK372" s="2126">
        <v>0</v>
      </c>
      <c r="AL372" s="2126">
        <v>0</v>
      </c>
      <c r="AM372" s="2126">
        <v>0</v>
      </c>
      <c r="AN372" s="2126">
        <v>0</v>
      </c>
      <c r="AO372" s="1743" t="s">
        <v>131</v>
      </c>
      <c r="AP372" s="1743"/>
      <c r="AQ372" s="1764">
        <v>2014</v>
      </c>
      <c r="AR372" s="1743" t="s">
        <v>87</v>
      </c>
      <c r="AS372" s="2135"/>
      <c r="AT372" s="2135"/>
      <c r="AU372" s="1212">
        <v>0.5</v>
      </c>
      <c r="AV372" s="1212">
        <v>0.5</v>
      </c>
      <c r="AW372" s="1212"/>
      <c r="AX372" s="1212"/>
      <c r="AY372" s="1212"/>
      <c r="AZ372" s="1212"/>
      <c r="BA372" s="1212"/>
      <c r="BB372" s="1212"/>
      <c r="BC372" s="1212"/>
      <c r="BD372" s="1212"/>
      <c r="BE372" s="1212"/>
      <c r="BF372" s="2126">
        <v>0</v>
      </c>
      <c r="BG372" s="2126">
        <v>0</v>
      </c>
      <c r="BH372" s="2126">
        <v>0</v>
      </c>
      <c r="BI372" s="2126">
        <v>0</v>
      </c>
      <c r="BJ372" s="2126">
        <v>0</v>
      </c>
      <c r="BK372" s="2126">
        <v>0</v>
      </c>
      <c r="BL372" s="2126">
        <v>0</v>
      </c>
      <c r="BM372" s="2126">
        <v>0</v>
      </c>
      <c r="BN372" s="2126">
        <v>0</v>
      </c>
      <c r="BO372" s="2126">
        <v>0</v>
      </c>
      <c r="BP372" s="2126">
        <v>0</v>
      </c>
      <c r="BQ372" s="2126">
        <v>0</v>
      </c>
      <c r="BR372" s="2126">
        <v>0</v>
      </c>
    </row>
    <row r="373" spans="1:70" s="1765" customFormat="1" ht="33">
      <c r="A373" s="1272">
        <v>2000</v>
      </c>
      <c r="B373" s="971" t="s">
        <v>119</v>
      </c>
      <c r="C373" s="1272">
        <v>2600</v>
      </c>
      <c r="D373" s="971" t="s">
        <v>838</v>
      </c>
      <c r="E373" s="971" t="s">
        <v>839</v>
      </c>
      <c r="F373" s="971" t="s">
        <v>840</v>
      </c>
      <c r="G373" s="971" t="s">
        <v>861</v>
      </c>
      <c r="H373" s="971" t="s">
        <v>842</v>
      </c>
      <c r="I373" s="1273" t="s">
        <v>870</v>
      </c>
      <c r="J373" s="971" t="s">
        <v>124</v>
      </c>
      <c r="K373" s="971" t="s">
        <v>140</v>
      </c>
      <c r="L373" s="971" t="s">
        <v>2909</v>
      </c>
      <c r="M373" s="971" t="s">
        <v>140</v>
      </c>
      <c r="N373" s="971" t="s">
        <v>141</v>
      </c>
      <c r="O373" s="971" t="s">
        <v>142</v>
      </c>
      <c r="P373" s="971"/>
      <c r="Q373" s="971" t="s">
        <v>871</v>
      </c>
      <c r="R373" s="1266" t="s">
        <v>866</v>
      </c>
      <c r="S373" s="2106">
        <v>14.869888475836431</v>
      </c>
      <c r="T373" s="1266" t="s">
        <v>136</v>
      </c>
      <c r="U373" s="1742">
        <v>0</v>
      </c>
      <c r="V373" s="1742">
        <v>0</v>
      </c>
      <c r="W373" s="1742">
        <v>0</v>
      </c>
      <c r="X373" s="1742">
        <v>0</v>
      </c>
      <c r="Y373" s="2106">
        <v>0</v>
      </c>
      <c r="Z373" s="2106">
        <v>0</v>
      </c>
      <c r="AA373" s="2106">
        <v>0</v>
      </c>
      <c r="AB373" s="2106">
        <v>0</v>
      </c>
      <c r="AC373" s="2106">
        <v>0</v>
      </c>
      <c r="AD373" s="1744">
        <v>0</v>
      </c>
      <c r="AE373" s="2126">
        <v>0</v>
      </c>
      <c r="AF373" s="2126">
        <v>0</v>
      </c>
      <c r="AG373" s="1212">
        <v>1</v>
      </c>
      <c r="AH373" s="1212">
        <v>0</v>
      </c>
      <c r="AI373" s="1212">
        <v>0</v>
      </c>
      <c r="AJ373" s="1212">
        <v>1</v>
      </c>
      <c r="AK373" s="2126">
        <v>0</v>
      </c>
      <c r="AL373" s="2126">
        <v>0</v>
      </c>
      <c r="AM373" s="2126">
        <v>0</v>
      </c>
      <c r="AN373" s="2126">
        <v>0</v>
      </c>
      <c r="AO373" s="1743" t="s">
        <v>131</v>
      </c>
      <c r="AP373" s="1743"/>
      <c r="AQ373" s="1764">
        <v>2014</v>
      </c>
      <c r="AR373" s="1743" t="s">
        <v>87</v>
      </c>
      <c r="AS373" s="2135"/>
      <c r="AT373" s="2135"/>
      <c r="AU373" s="1212">
        <v>0.5</v>
      </c>
      <c r="AV373" s="1212">
        <v>0.5</v>
      </c>
      <c r="AW373" s="1212"/>
      <c r="AX373" s="1212"/>
      <c r="AY373" s="1212"/>
      <c r="AZ373" s="1212"/>
      <c r="BA373" s="1212"/>
      <c r="BB373" s="1212"/>
      <c r="BC373" s="1212"/>
      <c r="BD373" s="1212"/>
      <c r="BE373" s="1212"/>
      <c r="BF373" s="2126">
        <v>0</v>
      </c>
      <c r="BG373" s="2126">
        <v>0</v>
      </c>
      <c r="BH373" s="2126">
        <v>0</v>
      </c>
      <c r="BI373" s="2126">
        <v>0</v>
      </c>
      <c r="BJ373" s="2126">
        <v>0</v>
      </c>
      <c r="BK373" s="2126">
        <v>0</v>
      </c>
      <c r="BL373" s="2126">
        <v>0</v>
      </c>
      <c r="BM373" s="2126">
        <v>0</v>
      </c>
      <c r="BN373" s="2126">
        <v>0</v>
      </c>
      <c r="BO373" s="2126">
        <v>0</v>
      </c>
      <c r="BP373" s="2126">
        <v>0</v>
      </c>
      <c r="BQ373" s="2126">
        <v>0</v>
      </c>
      <c r="BR373" s="2126">
        <v>0</v>
      </c>
    </row>
    <row r="374" spans="1:70" s="1765" customFormat="1" ht="33">
      <c r="A374" s="1272">
        <v>2000</v>
      </c>
      <c r="B374" s="971" t="s">
        <v>119</v>
      </c>
      <c r="C374" s="1272">
        <v>2600</v>
      </c>
      <c r="D374" s="971" t="s">
        <v>838</v>
      </c>
      <c r="E374" s="971" t="s">
        <v>839</v>
      </c>
      <c r="F374" s="971" t="s">
        <v>840</v>
      </c>
      <c r="G374" s="971" t="s">
        <v>861</v>
      </c>
      <c r="H374" s="971" t="s">
        <v>842</v>
      </c>
      <c r="I374" s="1273" t="s">
        <v>872</v>
      </c>
      <c r="J374" s="971" t="s">
        <v>868</v>
      </c>
      <c r="K374" s="971"/>
      <c r="L374" s="971" t="e">
        <v>#N/A</v>
      </c>
      <c r="M374" s="971" t="s">
        <v>145</v>
      </c>
      <c r="N374" s="971" t="s">
        <v>141</v>
      </c>
      <c r="O374" s="971" t="s">
        <v>146</v>
      </c>
      <c r="P374" s="971"/>
      <c r="Q374" s="971" t="s">
        <v>869</v>
      </c>
      <c r="R374" s="1266" t="s">
        <v>864</v>
      </c>
      <c r="S374" s="2106">
        <v>29.728973</v>
      </c>
      <c r="T374" s="1266" t="s">
        <v>136</v>
      </c>
      <c r="U374" s="1742" t="s">
        <v>6588</v>
      </c>
      <c r="V374" s="1742" t="s">
        <v>6588</v>
      </c>
      <c r="W374" s="1742" t="s">
        <v>6588</v>
      </c>
      <c r="X374" s="1742" t="s">
        <v>6588</v>
      </c>
      <c r="Y374" s="2106" t="s">
        <v>6588</v>
      </c>
      <c r="Z374" s="2106">
        <v>0</v>
      </c>
      <c r="AA374" s="2106">
        <v>0</v>
      </c>
      <c r="AB374" s="2106">
        <v>0</v>
      </c>
      <c r="AC374" s="2106">
        <v>0</v>
      </c>
      <c r="AD374" s="1744">
        <v>0</v>
      </c>
      <c r="AE374" s="2126">
        <v>0</v>
      </c>
      <c r="AF374" s="2126">
        <v>0</v>
      </c>
      <c r="AG374" s="1212">
        <v>1</v>
      </c>
      <c r="AH374" s="1212">
        <v>0</v>
      </c>
      <c r="AI374" s="1212">
        <v>0</v>
      </c>
      <c r="AJ374" s="1212">
        <v>1</v>
      </c>
      <c r="AK374" s="2126">
        <v>0</v>
      </c>
      <c r="AL374" s="2126">
        <v>0</v>
      </c>
      <c r="AM374" s="2126">
        <v>0</v>
      </c>
      <c r="AN374" s="2126">
        <v>0</v>
      </c>
      <c r="AO374" s="1743" t="s">
        <v>131</v>
      </c>
      <c r="AP374" s="1743"/>
      <c r="AQ374" s="1764">
        <v>2014</v>
      </c>
      <c r="AR374" s="1743" t="s">
        <v>87</v>
      </c>
      <c r="AS374" s="2135"/>
      <c r="AT374" s="2135"/>
      <c r="AU374" s="1212">
        <v>0.5</v>
      </c>
      <c r="AV374" s="1212">
        <v>0.5</v>
      </c>
      <c r="AW374" s="1212"/>
      <c r="AX374" s="1212"/>
      <c r="AY374" s="1212"/>
      <c r="AZ374" s="1212"/>
      <c r="BA374" s="1212"/>
      <c r="BB374" s="1212"/>
      <c r="BC374" s="1212"/>
      <c r="BD374" s="1212"/>
      <c r="BE374" s="1212"/>
      <c r="BF374" s="2126">
        <v>0</v>
      </c>
      <c r="BG374" s="2126">
        <v>0</v>
      </c>
      <c r="BH374" s="2126">
        <v>0</v>
      </c>
      <c r="BI374" s="2126">
        <v>0</v>
      </c>
      <c r="BJ374" s="2126">
        <v>0</v>
      </c>
      <c r="BK374" s="2126">
        <v>0</v>
      </c>
      <c r="BL374" s="2126">
        <v>0</v>
      </c>
      <c r="BM374" s="2126">
        <v>0</v>
      </c>
      <c r="BN374" s="2126">
        <v>0</v>
      </c>
      <c r="BO374" s="2126">
        <v>0</v>
      </c>
      <c r="BP374" s="2126">
        <v>0</v>
      </c>
      <c r="BQ374" s="2126">
        <v>0</v>
      </c>
      <c r="BR374" s="2126">
        <v>0</v>
      </c>
    </row>
    <row r="375" spans="1:70" s="1765" customFormat="1" ht="33">
      <c r="A375" s="1272">
        <v>2000</v>
      </c>
      <c r="B375" s="971" t="s">
        <v>119</v>
      </c>
      <c r="C375" s="1272">
        <v>2600</v>
      </c>
      <c r="D375" s="971" t="s">
        <v>838</v>
      </c>
      <c r="E375" s="971" t="s">
        <v>839</v>
      </c>
      <c r="F375" s="971" t="s">
        <v>840</v>
      </c>
      <c r="G375" s="971" t="s">
        <v>861</v>
      </c>
      <c r="H375" s="971" t="s">
        <v>842</v>
      </c>
      <c r="I375" s="1273" t="s">
        <v>873</v>
      </c>
      <c r="J375" s="971" t="s">
        <v>124</v>
      </c>
      <c r="K375" s="971" t="s">
        <v>140</v>
      </c>
      <c r="L375" s="971" t="s">
        <v>2909</v>
      </c>
      <c r="M375" s="971" t="s">
        <v>140</v>
      </c>
      <c r="N375" s="971" t="s">
        <v>141</v>
      </c>
      <c r="O375" s="971" t="s">
        <v>142</v>
      </c>
      <c r="P375" s="971"/>
      <c r="Q375" s="971" t="s">
        <v>871</v>
      </c>
      <c r="R375" s="1266" t="s">
        <v>864</v>
      </c>
      <c r="S375" s="2106">
        <v>29.739776951672862</v>
      </c>
      <c r="T375" s="1266" t="s">
        <v>136</v>
      </c>
      <c r="U375" s="1742">
        <v>0</v>
      </c>
      <c r="V375" s="1742">
        <v>0</v>
      </c>
      <c r="W375" s="1742">
        <v>0</v>
      </c>
      <c r="X375" s="1742">
        <v>0</v>
      </c>
      <c r="Y375" s="2106">
        <v>0</v>
      </c>
      <c r="Z375" s="2106">
        <v>0</v>
      </c>
      <c r="AA375" s="2106">
        <v>0</v>
      </c>
      <c r="AB375" s="2106">
        <v>0</v>
      </c>
      <c r="AC375" s="2106">
        <v>0</v>
      </c>
      <c r="AD375" s="1744">
        <v>0</v>
      </c>
      <c r="AE375" s="2126">
        <v>0</v>
      </c>
      <c r="AF375" s="2126">
        <v>0</v>
      </c>
      <c r="AG375" s="1212">
        <v>1</v>
      </c>
      <c r="AH375" s="1212">
        <v>0</v>
      </c>
      <c r="AI375" s="1212">
        <v>0</v>
      </c>
      <c r="AJ375" s="1212">
        <v>1</v>
      </c>
      <c r="AK375" s="2126">
        <v>0</v>
      </c>
      <c r="AL375" s="2126">
        <v>0</v>
      </c>
      <c r="AM375" s="2126">
        <v>0</v>
      </c>
      <c r="AN375" s="2126">
        <v>0</v>
      </c>
      <c r="AO375" s="1743" t="s">
        <v>131</v>
      </c>
      <c r="AP375" s="1743"/>
      <c r="AQ375" s="1764">
        <v>2014</v>
      </c>
      <c r="AR375" s="1743" t="s">
        <v>87</v>
      </c>
      <c r="AS375" s="2135"/>
      <c r="AT375" s="2135"/>
      <c r="AU375" s="1212">
        <v>0.5</v>
      </c>
      <c r="AV375" s="1212">
        <v>0.5</v>
      </c>
      <c r="AW375" s="1212"/>
      <c r="AX375" s="1212"/>
      <c r="AY375" s="1212"/>
      <c r="AZ375" s="1212"/>
      <c r="BA375" s="1212"/>
      <c r="BB375" s="1212"/>
      <c r="BC375" s="1212"/>
      <c r="BD375" s="1212"/>
      <c r="BE375" s="1212"/>
      <c r="BF375" s="2126">
        <v>0</v>
      </c>
      <c r="BG375" s="2126">
        <v>0</v>
      </c>
      <c r="BH375" s="2126">
        <v>0</v>
      </c>
      <c r="BI375" s="2126">
        <v>0</v>
      </c>
      <c r="BJ375" s="2126">
        <v>0</v>
      </c>
      <c r="BK375" s="2126">
        <v>0</v>
      </c>
      <c r="BL375" s="2126">
        <v>0</v>
      </c>
      <c r="BM375" s="2126">
        <v>0</v>
      </c>
      <c r="BN375" s="2126">
        <v>0</v>
      </c>
      <c r="BO375" s="2126">
        <v>0</v>
      </c>
      <c r="BP375" s="2126">
        <v>0</v>
      </c>
      <c r="BQ375" s="2126">
        <v>0</v>
      </c>
      <c r="BR375" s="2126">
        <v>0</v>
      </c>
    </row>
    <row r="376" spans="1:70" s="1765" customFormat="1" ht="49.5">
      <c r="A376" s="1272">
        <v>2000</v>
      </c>
      <c r="B376" s="971" t="s">
        <v>119</v>
      </c>
      <c r="C376" s="1272">
        <v>2600</v>
      </c>
      <c r="D376" s="971" t="s">
        <v>838</v>
      </c>
      <c r="E376" s="971" t="s">
        <v>839</v>
      </c>
      <c r="F376" s="971" t="s">
        <v>840</v>
      </c>
      <c r="G376" s="971" t="s">
        <v>841</v>
      </c>
      <c r="H376" s="971" t="s">
        <v>842</v>
      </c>
      <c r="I376" s="1273"/>
      <c r="J376" s="971" t="s">
        <v>177</v>
      </c>
      <c r="K376" s="971" t="s">
        <v>178</v>
      </c>
      <c r="L376" s="971" t="s">
        <v>1948</v>
      </c>
      <c r="M376" s="971" t="s">
        <v>178</v>
      </c>
      <c r="N376" s="971" t="s">
        <v>179</v>
      </c>
      <c r="O376" s="971" t="s">
        <v>180</v>
      </c>
      <c r="P376" s="971"/>
      <c r="Q376" s="971" t="s">
        <v>874</v>
      </c>
      <c r="R376" s="1266"/>
      <c r="S376" s="2106">
        <v>2</v>
      </c>
      <c r="T376" s="1266" t="s">
        <v>242</v>
      </c>
      <c r="U376" s="1742">
        <v>42.724999999999994</v>
      </c>
      <c r="V376" s="1742">
        <v>470.625</v>
      </c>
      <c r="W376" s="1742">
        <v>3765.7815000000001</v>
      </c>
      <c r="X376" s="1742">
        <v>5190.8055000000004</v>
      </c>
      <c r="Y376" s="2106">
        <v>9427.2119999999995</v>
      </c>
      <c r="Z376" s="2106">
        <v>85.449999999999989</v>
      </c>
      <c r="AA376" s="2106">
        <v>941.25</v>
      </c>
      <c r="AB376" s="2106">
        <v>7531.5630000000001</v>
      </c>
      <c r="AC376" s="2106">
        <v>10381.611000000001</v>
      </c>
      <c r="AD376" s="1744">
        <v>18854.423999999999</v>
      </c>
      <c r="AE376" s="2126">
        <v>30</v>
      </c>
      <c r="AF376" s="2126">
        <v>60</v>
      </c>
      <c r="AG376" s="1212">
        <v>1</v>
      </c>
      <c r="AH376" s="1212">
        <v>0</v>
      </c>
      <c r="AI376" s="1212">
        <v>0</v>
      </c>
      <c r="AJ376" s="1212">
        <v>1</v>
      </c>
      <c r="AK376" s="2126">
        <v>18854.423999999999</v>
      </c>
      <c r="AL376" s="2126">
        <v>0</v>
      </c>
      <c r="AM376" s="2126">
        <v>0</v>
      </c>
      <c r="AN376" s="2126">
        <v>18854.423999999999</v>
      </c>
      <c r="AO376" s="1743" t="s">
        <v>85</v>
      </c>
      <c r="AP376" s="1743" t="s">
        <v>90</v>
      </c>
      <c r="AQ376" s="1764">
        <v>2016</v>
      </c>
      <c r="AR376" s="1743" t="s">
        <v>87</v>
      </c>
      <c r="AS376" s="2135"/>
      <c r="AT376" s="2135"/>
      <c r="AU376" s="1212">
        <v>0.33333333333333331</v>
      </c>
      <c r="AV376" s="1212">
        <v>0.33333333333333331</v>
      </c>
      <c r="AW376" s="1212">
        <v>0.33333333333333331</v>
      </c>
      <c r="AX376" s="1212"/>
      <c r="AY376" s="1212"/>
      <c r="AZ376" s="1212"/>
      <c r="BA376" s="1212"/>
      <c r="BB376" s="1212"/>
      <c r="BC376" s="1212"/>
      <c r="BD376" s="1212"/>
      <c r="BE376" s="1212"/>
      <c r="BF376" s="2126">
        <v>0</v>
      </c>
      <c r="BG376" s="2126">
        <v>0</v>
      </c>
      <c r="BH376" s="2126">
        <v>6284.8079999999991</v>
      </c>
      <c r="BI376" s="2126">
        <v>6284.8079999999991</v>
      </c>
      <c r="BJ376" s="2126">
        <v>6284.8079999999991</v>
      </c>
      <c r="BK376" s="2126">
        <v>0</v>
      </c>
      <c r="BL376" s="2126">
        <v>0</v>
      </c>
      <c r="BM376" s="2126">
        <v>0</v>
      </c>
      <c r="BN376" s="2126">
        <v>0</v>
      </c>
      <c r="BO376" s="2126">
        <v>0</v>
      </c>
      <c r="BP376" s="2126">
        <v>0</v>
      </c>
      <c r="BQ376" s="2126">
        <v>0</v>
      </c>
      <c r="BR376" s="2126">
        <v>0</v>
      </c>
    </row>
    <row r="377" spans="1:70" s="1765" customFormat="1" ht="49.5">
      <c r="A377" s="1272">
        <v>2000</v>
      </c>
      <c r="B377" s="971" t="s">
        <v>119</v>
      </c>
      <c r="C377" s="1272">
        <v>2600</v>
      </c>
      <c r="D377" s="971" t="s">
        <v>838</v>
      </c>
      <c r="E377" s="971" t="s">
        <v>839</v>
      </c>
      <c r="F377" s="971" t="s">
        <v>840</v>
      </c>
      <c r="G377" s="971" t="s">
        <v>841</v>
      </c>
      <c r="H377" s="971" t="s">
        <v>842</v>
      </c>
      <c r="I377" s="1273"/>
      <c r="J377" s="971" t="s">
        <v>177</v>
      </c>
      <c r="K377" s="971" t="s">
        <v>844</v>
      </c>
      <c r="L377" s="971" t="s">
        <v>2850</v>
      </c>
      <c r="M377" s="971" t="s">
        <v>844</v>
      </c>
      <c r="N377" s="971" t="s">
        <v>179</v>
      </c>
      <c r="O377" s="971" t="s">
        <v>845</v>
      </c>
      <c r="P377" s="971"/>
      <c r="Q377" s="971" t="s">
        <v>875</v>
      </c>
      <c r="R377" s="1266"/>
      <c r="S377" s="2106">
        <v>1</v>
      </c>
      <c r="T377" s="1266" t="s">
        <v>242</v>
      </c>
      <c r="U377" s="1742">
        <v>679.40000000000009</v>
      </c>
      <c r="V377" s="1742">
        <v>7847.5</v>
      </c>
      <c r="W377" s="1742">
        <v>59882.315999999999</v>
      </c>
      <c r="X377" s="1742">
        <v>86554.786000000007</v>
      </c>
      <c r="Y377" s="2106">
        <v>154284.60200000001</v>
      </c>
      <c r="Z377" s="2106">
        <v>679.40000000000009</v>
      </c>
      <c r="AA377" s="2106">
        <v>7847.5</v>
      </c>
      <c r="AB377" s="2106">
        <v>59882.315999999999</v>
      </c>
      <c r="AC377" s="2106">
        <v>86554.786000000007</v>
      </c>
      <c r="AD377" s="1744">
        <v>154284.60200000001</v>
      </c>
      <c r="AE377" s="2126">
        <v>160</v>
      </c>
      <c r="AF377" s="2126">
        <v>160</v>
      </c>
      <c r="AG377" s="1212">
        <v>1</v>
      </c>
      <c r="AH377" s="1212">
        <v>0</v>
      </c>
      <c r="AI377" s="1212">
        <v>0</v>
      </c>
      <c r="AJ377" s="1212">
        <v>1</v>
      </c>
      <c r="AK377" s="2126">
        <v>154284.60200000001</v>
      </c>
      <c r="AL377" s="2126">
        <v>0</v>
      </c>
      <c r="AM377" s="2126">
        <v>0</v>
      </c>
      <c r="AN377" s="2126">
        <v>154284.60200000001</v>
      </c>
      <c r="AO377" s="1743" t="s">
        <v>85</v>
      </c>
      <c r="AP377" s="1743" t="s">
        <v>90</v>
      </c>
      <c r="AQ377" s="1764" t="s">
        <v>112</v>
      </c>
      <c r="AR377" s="1743" t="s">
        <v>87</v>
      </c>
      <c r="AS377" s="2135"/>
      <c r="AT377" s="2135"/>
      <c r="AU377" s="1212">
        <v>0.33333333333333331</v>
      </c>
      <c r="AV377" s="1212">
        <v>0.33333333333333331</v>
      </c>
      <c r="AW377" s="1212">
        <v>0.33333333333333331</v>
      </c>
      <c r="AX377" s="1212"/>
      <c r="AY377" s="1212"/>
      <c r="AZ377" s="1212"/>
      <c r="BA377" s="1212"/>
      <c r="BB377" s="1212"/>
      <c r="BC377" s="1212"/>
      <c r="BD377" s="1212"/>
      <c r="BE377" s="1212"/>
      <c r="BF377" s="2126">
        <v>0</v>
      </c>
      <c r="BG377" s="2126">
        <v>0</v>
      </c>
      <c r="BH377" s="2126">
        <v>51428.200666666671</v>
      </c>
      <c r="BI377" s="2126">
        <v>51428.200666666671</v>
      </c>
      <c r="BJ377" s="2126">
        <v>51428.200666666671</v>
      </c>
      <c r="BK377" s="2126">
        <v>0</v>
      </c>
      <c r="BL377" s="2126">
        <v>0</v>
      </c>
      <c r="BM377" s="2126">
        <v>0</v>
      </c>
      <c r="BN377" s="2126">
        <v>0</v>
      </c>
      <c r="BO377" s="2126">
        <v>0</v>
      </c>
      <c r="BP377" s="2126">
        <v>0</v>
      </c>
      <c r="BQ377" s="2126">
        <v>0</v>
      </c>
      <c r="BR377" s="2126">
        <v>0</v>
      </c>
    </row>
    <row r="378" spans="1:70" s="1765" customFormat="1" ht="49.5">
      <c r="A378" s="1272">
        <v>2000</v>
      </c>
      <c r="B378" s="971" t="s">
        <v>119</v>
      </c>
      <c r="C378" s="1272">
        <v>2600</v>
      </c>
      <c r="D378" s="971" t="s">
        <v>838</v>
      </c>
      <c r="E378" s="971" t="s">
        <v>839</v>
      </c>
      <c r="F378" s="971" t="s">
        <v>840</v>
      </c>
      <c r="G378" s="971" t="s">
        <v>841</v>
      </c>
      <c r="H378" s="971" t="s">
        <v>842</v>
      </c>
      <c r="I378" s="1273"/>
      <c r="J378" s="971" t="s">
        <v>177</v>
      </c>
      <c r="K378" s="971" t="s">
        <v>844</v>
      </c>
      <c r="L378" s="971" t="s">
        <v>2850</v>
      </c>
      <c r="M378" s="971" t="s">
        <v>844</v>
      </c>
      <c r="N378" s="971" t="s">
        <v>179</v>
      </c>
      <c r="O378" s="971" t="s">
        <v>845</v>
      </c>
      <c r="P378" s="971"/>
      <c r="Q378" s="971" t="s">
        <v>876</v>
      </c>
      <c r="R378" s="1266"/>
      <c r="S378" s="2106">
        <v>1</v>
      </c>
      <c r="T378" s="1266" t="s">
        <v>242</v>
      </c>
      <c r="U378" s="1742">
        <v>679.40000000000009</v>
      </c>
      <c r="V378" s="1742">
        <v>7847.5</v>
      </c>
      <c r="W378" s="1742">
        <v>59882.315999999999</v>
      </c>
      <c r="X378" s="1742">
        <v>86554.786000000007</v>
      </c>
      <c r="Y378" s="2106">
        <v>154284.60200000001</v>
      </c>
      <c r="Z378" s="2106">
        <v>679.40000000000009</v>
      </c>
      <c r="AA378" s="2106">
        <v>7847.5</v>
      </c>
      <c r="AB378" s="2106">
        <v>59882.315999999999</v>
      </c>
      <c r="AC378" s="2106">
        <v>86554.786000000007</v>
      </c>
      <c r="AD378" s="1744">
        <v>154284.60200000001</v>
      </c>
      <c r="AE378" s="2126">
        <v>160</v>
      </c>
      <c r="AF378" s="2126">
        <v>160</v>
      </c>
      <c r="AG378" s="1212">
        <v>1</v>
      </c>
      <c r="AH378" s="1212">
        <v>0</v>
      </c>
      <c r="AI378" s="1212">
        <v>0</v>
      </c>
      <c r="AJ378" s="1212">
        <v>1</v>
      </c>
      <c r="AK378" s="2126">
        <v>154284.60200000001</v>
      </c>
      <c r="AL378" s="2126">
        <v>0</v>
      </c>
      <c r="AM378" s="2126">
        <v>0</v>
      </c>
      <c r="AN378" s="2126">
        <v>154284.60200000001</v>
      </c>
      <c r="AO378" s="1743" t="s">
        <v>85</v>
      </c>
      <c r="AP378" s="1743" t="s">
        <v>90</v>
      </c>
      <c r="AQ378" s="1764" t="s">
        <v>112</v>
      </c>
      <c r="AR378" s="1743" t="s">
        <v>87</v>
      </c>
      <c r="AS378" s="2135"/>
      <c r="AT378" s="2135"/>
      <c r="AU378" s="1212">
        <v>0.33333333333333331</v>
      </c>
      <c r="AV378" s="1212">
        <v>0.33333333333333331</v>
      </c>
      <c r="AW378" s="1212">
        <v>0.33333333333333331</v>
      </c>
      <c r="AX378" s="1212"/>
      <c r="AY378" s="1212"/>
      <c r="AZ378" s="1212"/>
      <c r="BA378" s="1212"/>
      <c r="BB378" s="1212"/>
      <c r="BC378" s="1212"/>
      <c r="BD378" s="1212"/>
      <c r="BE378" s="1212"/>
      <c r="BF378" s="2126">
        <v>0</v>
      </c>
      <c r="BG378" s="2126">
        <v>0</v>
      </c>
      <c r="BH378" s="2126">
        <v>51428.200666666671</v>
      </c>
      <c r="BI378" s="2126">
        <v>51428.200666666671</v>
      </c>
      <c r="BJ378" s="2126">
        <v>51428.200666666671</v>
      </c>
      <c r="BK378" s="2126">
        <v>0</v>
      </c>
      <c r="BL378" s="2126">
        <v>0</v>
      </c>
      <c r="BM378" s="2126">
        <v>0</v>
      </c>
      <c r="BN378" s="2126">
        <v>0</v>
      </c>
      <c r="BO378" s="2126">
        <v>0</v>
      </c>
      <c r="BP378" s="2126">
        <v>0</v>
      </c>
      <c r="BQ378" s="2126">
        <v>0</v>
      </c>
      <c r="BR378" s="2126">
        <v>0</v>
      </c>
    </row>
    <row r="379" spans="1:70" s="1765" customFormat="1" ht="49.5">
      <c r="A379" s="1272">
        <v>2000</v>
      </c>
      <c r="B379" s="971" t="s">
        <v>119</v>
      </c>
      <c r="C379" s="1272">
        <v>2600</v>
      </c>
      <c r="D379" s="971" t="s">
        <v>838</v>
      </c>
      <c r="E379" s="971">
        <v>2610</v>
      </c>
      <c r="F379" s="971" t="s">
        <v>840</v>
      </c>
      <c r="G379" s="971">
        <v>2611</v>
      </c>
      <c r="H379" s="971" t="s">
        <v>877</v>
      </c>
      <c r="I379" s="1273"/>
      <c r="J379" s="971" t="s">
        <v>121</v>
      </c>
      <c r="K379" s="971" t="s">
        <v>255</v>
      </c>
      <c r="L379" s="971" t="s">
        <v>2802</v>
      </c>
      <c r="M379" s="971" t="s">
        <v>255</v>
      </c>
      <c r="N379" s="971" t="s">
        <v>83</v>
      </c>
      <c r="O379" s="971" t="s">
        <v>256</v>
      </c>
      <c r="P379" s="971"/>
      <c r="Q379" s="971" t="s">
        <v>878</v>
      </c>
      <c r="R379" s="1266"/>
      <c r="S379" s="2106">
        <v>25393</v>
      </c>
      <c r="T379" s="1266" t="s">
        <v>136</v>
      </c>
      <c r="U379" s="1742">
        <v>4.4491883296460179E-2</v>
      </c>
      <c r="V379" s="1742">
        <v>0.1701</v>
      </c>
      <c r="W379" s="1742">
        <v>3.92151459375</v>
      </c>
      <c r="X379" s="1742">
        <v>0.68180304577546291</v>
      </c>
      <c r="Y379" s="2106">
        <v>4.7480795457754628</v>
      </c>
      <c r="Z379" s="2106">
        <v>1129.7823925470134</v>
      </c>
      <c r="AA379" s="2106">
        <v>4319.3492999999999</v>
      </c>
      <c r="AB379" s="2106">
        <v>99579.020079093752</v>
      </c>
      <c r="AC379" s="2106">
        <v>17313.024741376328</v>
      </c>
      <c r="AD379" s="1744">
        <v>121211.39412047008</v>
      </c>
      <c r="AE379" s="2126">
        <v>0</v>
      </c>
      <c r="AF379" s="2126">
        <v>0</v>
      </c>
      <c r="AG379" s="1212">
        <v>1</v>
      </c>
      <c r="AH379" s="1212">
        <v>0</v>
      </c>
      <c r="AI379" s="1212">
        <v>0</v>
      </c>
      <c r="AJ379" s="1212">
        <v>1</v>
      </c>
      <c r="AK379" s="2126">
        <v>121211.39412047008</v>
      </c>
      <c r="AL379" s="2126">
        <v>0</v>
      </c>
      <c r="AM379" s="2126">
        <v>0</v>
      </c>
      <c r="AN379" s="2126">
        <v>121211.39412047008</v>
      </c>
      <c r="AO379" s="1743" t="s">
        <v>131</v>
      </c>
      <c r="AP379" s="1743"/>
      <c r="AQ379" s="1764">
        <v>2014</v>
      </c>
      <c r="AR379" s="1743" t="s">
        <v>87</v>
      </c>
      <c r="AS379" s="2135"/>
      <c r="AT379" s="2135"/>
      <c r="AU379" s="1212">
        <v>0.5</v>
      </c>
      <c r="AV379" s="1212">
        <v>0.5</v>
      </c>
      <c r="AW379" s="1212"/>
      <c r="AX379" s="1212"/>
      <c r="AY379" s="1212"/>
      <c r="AZ379" s="1212"/>
      <c r="BA379" s="1212"/>
      <c r="BB379" s="1212"/>
      <c r="BC379" s="1212"/>
      <c r="BD379" s="1212"/>
      <c r="BE379" s="1212"/>
      <c r="BF379" s="2126">
        <v>0</v>
      </c>
      <c r="BG379" s="2126">
        <v>0</v>
      </c>
      <c r="BH379" s="2126">
        <v>60605.697060235041</v>
      </c>
      <c r="BI379" s="2126">
        <v>60605.697060235041</v>
      </c>
      <c r="BJ379" s="2126">
        <v>0</v>
      </c>
      <c r="BK379" s="2126">
        <v>0</v>
      </c>
      <c r="BL379" s="2126">
        <v>0</v>
      </c>
      <c r="BM379" s="2126">
        <v>0</v>
      </c>
      <c r="BN379" s="2126">
        <v>0</v>
      </c>
      <c r="BO379" s="2126">
        <v>0</v>
      </c>
      <c r="BP379" s="2126">
        <v>0</v>
      </c>
      <c r="BQ379" s="2126">
        <v>0</v>
      </c>
      <c r="BR379" s="2126">
        <v>0</v>
      </c>
    </row>
    <row r="380" spans="1:70" s="1765" customFormat="1" ht="49.5">
      <c r="A380" s="1272">
        <v>2000</v>
      </c>
      <c r="B380" s="971" t="s">
        <v>119</v>
      </c>
      <c r="C380" s="1272">
        <v>2600</v>
      </c>
      <c r="D380" s="971" t="s">
        <v>838</v>
      </c>
      <c r="E380" s="971" t="s">
        <v>839</v>
      </c>
      <c r="F380" s="971" t="s">
        <v>840</v>
      </c>
      <c r="G380" s="971" t="s">
        <v>879</v>
      </c>
      <c r="H380" s="971" t="s">
        <v>880</v>
      </c>
      <c r="I380" s="1273" t="s">
        <v>881</v>
      </c>
      <c r="J380" s="971" t="s">
        <v>177</v>
      </c>
      <c r="K380" s="971" t="s">
        <v>882</v>
      </c>
      <c r="L380" s="971" t="s">
        <v>2848</v>
      </c>
      <c r="M380" s="971" t="s">
        <v>882</v>
      </c>
      <c r="N380" s="971" t="s">
        <v>179</v>
      </c>
      <c r="O380" s="971" t="s">
        <v>883</v>
      </c>
      <c r="P380" s="971"/>
      <c r="Q380" s="971" t="s">
        <v>884</v>
      </c>
      <c r="R380" s="1266" t="s">
        <v>885</v>
      </c>
      <c r="S380" s="2106">
        <v>1</v>
      </c>
      <c r="T380" s="1266" t="s">
        <v>242</v>
      </c>
      <c r="U380" s="1742">
        <v>65.790000000000006</v>
      </c>
      <c r="V380" s="1742">
        <v>726.75</v>
      </c>
      <c r="W380" s="1742">
        <v>5798.7305999999999</v>
      </c>
      <c r="X380" s="1742">
        <v>8015.7618000000002</v>
      </c>
      <c r="Y380" s="2106">
        <v>14541.242400000003</v>
      </c>
      <c r="Z380" s="2106">
        <v>65.790000000000006</v>
      </c>
      <c r="AA380" s="2106">
        <v>726.75</v>
      </c>
      <c r="AB380" s="2106">
        <v>5798.7305999999999</v>
      </c>
      <c r="AC380" s="2106">
        <v>8015.7618000000002</v>
      </c>
      <c r="AD380" s="1744">
        <v>14541.242399999999</v>
      </c>
      <c r="AE380" s="2126">
        <v>40</v>
      </c>
      <c r="AF380" s="2126">
        <v>40</v>
      </c>
      <c r="AG380" s="1212">
        <v>1</v>
      </c>
      <c r="AH380" s="1212">
        <v>0</v>
      </c>
      <c r="AI380" s="1212">
        <v>0</v>
      </c>
      <c r="AJ380" s="1212">
        <v>1</v>
      </c>
      <c r="AK380" s="2126">
        <v>14541.242399999999</v>
      </c>
      <c r="AL380" s="2126">
        <v>0</v>
      </c>
      <c r="AM380" s="2126">
        <v>0</v>
      </c>
      <c r="AN380" s="2126">
        <v>14541.242399999999</v>
      </c>
      <c r="AO380" s="1743" t="s">
        <v>131</v>
      </c>
      <c r="AP380" s="1743"/>
      <c r="AQ380" s="1764">
        <v>2014</v>
      </c>
      <c r="AR380" s="1743" t="s">
        <v>87</v>
      </c>
      <c r="AS380" s="2135"/>
      <c r="AT380" s="2135"/>
      <c r="AU380" s="1212">
        <v>0.5</v>
      </c>
      <c r="AV380" s="1212">
        <v>0.5</v>
      </c>
      <c r="AW380" s="1212"/>
      <c r="AX380" s="1212"/>
      <c r="AY380" s="1212"/>
      <c r="AZ380" s="1212"/>
      <c r="BA380" s="1212"/>
      <c r="BB380" s="1212"/>
      <c r="BC380" s="1212"/>
      <c r="BD380" s="1212"/>
      <c r="BE380" s="1212"/>
      <c r="BF380" s="2126">
        <v>0</v>
      </c>
      <c r="BG380" s="2126">
        <v>0</v>
      </c>
      <c r="BH380" s="2126">
        <v>7270.6211999999996</v>
      </c>
      <c r="BI380" s="2126">
        <v>7270.6211999999996</v>
      </c>
      <c r="BJ380" s="2126">
        <v>0</v>
      </c>
      <c r="BK380" s="2126">
        <v>0</v>
      </c>
      <c r="BL380" s="2126">
        <v>0</v>
      </c>
      <c r="BM380" s="2126">
        <v>0</v>
      </c>
      <c r="BN380" s="2126">
        <v>0</v>
      </c>
      <c r="BO380" s="2126">
        <v>0</v>
      </c>
      <c r="BP380" s="2126">
        <v>0</v>
      </c>
      <c r="BQ380" s="2126">
        <v>0</v>
      </c>
      <c r="BR380" s="2126">
        <v>0</v>
      </c>
    </row>
    <row r="381" spans="1:70" s="1765" customFormat="1" ht="49.5">
      <c r="A381" s="1272">
        <v>2000</v>
      </c>
      <c r="B381" s="971" t="s">
        <v>119</v>
      </c>
      <c r="C381" s="1272">
        <v>2600</v>
      </c>
      <c r="D381" s="971" t="s">
        <v>838</v>
      </c>
      <c r="E381" s="971" t="s">
        <v>839</v>
      </c>
      <c r="F381" s="971" t="s">
        <v>840</v>
      </c>
      <c r="G381" s="971" t="s">
        <v>879</v>
      </c>
      <c r="H381" s="971" t="s">
        <v>880</v>
      </c>
      <c r="I381" s="1273" t="s">
        <v>886</v>
      </c>
      <c r="J381" s="971" t="s">
        <v>177</v>
      </c>
      <c r="K381" s="971" t="s">
        <v>882</v>
      </c>
      <c r="L381" s="971" t="s">
        <v>2848</v>
      </c>
      <c r="M381" s="971" t="s">
        <v>882</v>
      </c>
      <c r="N381" s="971" t="s">
        <v>179</v>
      </c>
      <c r="O381" s="971" t="s">
        <v>883</v>
      </c>
      <c r="P381" s="971"/>
      <c r="Q381" s="971" t="s">
        <v>884</v>
      </c>
      <c r="R381" s="1266" t="s">
        <v>887</v>
      </c>
      <c r="S381" s="2106">
        <v>1</v>
      </c>
      <c r="T381" s="1266" t="s">
        <v>242</v>
      </c>
      <c r="U381" s="1742">
        <v>65.790000000000006</v>
      </c>
      <c r="V381" s="1742">
        <v>726.75</v>
      </c>
      <c r="W381" s="1742">
        <v>5798.7305999999999</v>
      </c>
      <c r="X381" s="1742">
        <v>8015.7618000000002</v>
      </c>
      <c r="Y381" s="2106">
        <v>14541.242400000003</v>
      </c>
      <c r="Z381" s="2106">
        <v>65.790000000000006</v>
      </c>
      <c r="AA381" s="2106">
        <v>726.75</v>
      </c>
      <c r="AB381" s="2106">
        <v>5798.7305999999999</v>
      </c>
      <c r="AC381" s="2106">
        <v>8015.7618000000002</v>
      </c>
      <c r="AD381" s="1744">
        <v>14541.242399999999</v>
      </c>
      <c r="AE381" s="2126">
        <v>40</v>
      </c>
      <c r="AF381" s="2126">
        <v>40</v>
      </c>
      <c r="AG381" s="1212">
        <v>1</v>
      </c>
      <c r="AH381" s="1212">
        <v>0</v>
      </c>
      <c r="AI381" s="1212">
        <v>0</v>
      </c>
      <c r="AJ381" s="1212">
        <v>1</v>
      </c>
      <c r="AK381" s="2126">
        <v>14541.242399999999</v>
      </c>
      <c r="AL381" s="2126">
        <v>0</v>
      </c>
      <c r="AM381" s="2126">
        <v>0</v>
      </c>
      <c r="AN381" s="2126">
        <v>14541.242399999999</v>
      </c>
      <c r="AO381" s="1743" t="s">
        <v>131</v>
      </c>
      <c r="AP381" s="1743"/>
      <c r="AQ381" s="1764">
        <v>2014</v>
      </c>
      <c r="AR381" s="1743" t="s">
        <v>87</v>
      </c>
      <c r="AS381" s="2135"/>
      <c r="AT381" s="2135"/>
      <c r="AU381" s="1212">
        <v>0.5</v>
      </c>
      <c r="AV381" s="1212">
        <v>0.5</v>
      </c>
      <c r="AW381" s="1212"/>
      <c r="AX381" s="1212"/>
      <c r="AY381" s="1212"/>
      <c r="AZ381" s="1212"/>
      <c r="BA381" s="1212"/>
      <c r="BB381" s="1212"/>
      <c r="BC381" s="1212"/>
      <c r="BD381" s="1212"/>
      <c r="BE381" s="1212"/>
      <c r="BF381" s="2126">
        <v>0</v>
      </c>
      <c r="BG381" s="2126">
        <v>0</v>
      </c>
      <c r="BH381" s="2126">
        <v>7270.6211999999996</v>
      </c>
      <c r="BI381" s="2126">
        <v>7270.6211999999996</v>
      </c>
      <c r="BJ381" s="2126">
        <v>0</v>
      </c>
      <c r="BK381" s="2126">
        <v>0</v>
      </c>
      <c r="BL381" s="2126">
        <v>0</v>
      </c>
      <c r="BM381" s="2126">
        <v>0</v>
      </c>
      <c r="BN381" s="2126">
        <v>0</v>
      </c>
      <c r="BO381" s="2126">
        <v>0</v>
      </c>
      <c r="BP381" s="2126">
        <v>0</v>
      </c>
      <c r="BQ381" s="2126">
        <v>0</v>
      </c>
      <c r="BR381" s="2126">
        <v>0</v>
      </c>
    </row>
    <row r="382" spans="1:70" s="1765" customFormat="1" ht="49.5">
      <c r="A382" s="1272">
        <v>2000</v>
      </c>
      <c r="B382" s="971" t="s">
        <v>119</v>
      </c>
      <c r="C382" s="1272">
        <v>2600</v>
      </c>
      <c r="D382" s="971" t="s">
        <v>838</v>
      </c>
      <c r="E382" s="971" t="s">
        <v>839</v>
      </c>
      <c r="F382" s="971" t="s">
        <v>840</v>
      </c>
      <c r="G382" s="971" t="s">
        <v>879</v>
      </c>
      <c r="H382" s="971" t="s">
        <v>880</v>
      </c>
      <c r="I382" s="1273" t="s">
        <v>888</v>
      </c>
      <c r="J382" s="971" t="s">
        <v>177</v>
      </c>
      <c r="K382" s="971" t="s">
        <v>882</v>
      </c>
      <c r="L382" s="971" t="s">
        <v>2848</v>
      </c>
      <c r="M382" s="971" t="s">
        <v>882</v>
      </c>
      <c r="N382" s="971" t="s">
        <v>179</v>
      </c>
      <c r="O382" s="971" t="s">
        <v>883</v>
      </c>
      <c r="P382" s="971"/>
      <c r="Q382" s="971" t="s">
        <v>884</v>
      </c>
      <c r="R382" s="1266" t="s">
        <v>889</v>
      </c>
      <c r="S382" s="2106">
        <v>1</v>
      </c>
      <c r="T382" s="1266" t="s">
        <v>242</v>
      </c>
      <c r="U382" s="1742">
        <v>65.790000000000006</v>
      </c>
      <c r="V382" s="1742">
        <v>726.75</v>
      </c>
      <c r="W382" s="1742">
        <v>5798.7305999999999</v>
      </c>
      <c r="X382" s="1742">
        <v>8015.7618000000002</v>
      </c>
      <c r="Y382" s="2106">
        <v>14541.242400000003</v>
      </c>
      <c r="Z382" s="2106">
        <v>65.790000000000006</v>
      </c>
      <c r="AA382" s="2106">
        <v>726.75</v>
      </c>
      <c r="AB382" s="2106">
        <v>5798.7305999999999</v>
      </c>
      <c r="AC382" s="2106">
        <v>8015.7618000000002</v>
      </c>
      <c r="AD382" s="1744">
        <v>14541.242399999999</v>
      </c>
      <c r="AE382" s="2126">
        <v>40</v>
      </c>
      <c r="AF382" s="2126">
        <v>40</v>
      </c>
      <c r="AG382" s="1212">
        <v>1</v>
      </c>
      <c r="AH382" s="1212">
        <v>0</v>
      </c>
      <c r="AI382" s="1212">
        <v>0</v>
      </c>
      <c r="AJ382" s="1212">
        <v>1</v>
      </c>
      <c r="AK382" s="2126">
        <v>14541.242399999999</v>
      </c>
      <c r="AL382" s="2126">
        <v>0</v>
      </c>
      <c r="AM382" s="2126">
        <v>0</v>
      </c>
      <c r="AN382" s="2126">
        <v>14541.242399999999</v>
      </c>
      <c r="AO382" s="1743" t="s">
        <v>131</v>
      </c>
      <c r="AP382" s="1743"/>
      <c r="AQ382" s="1764">
        <v>2014</v>
      </c>
      <c r="AR382" s="1743" t="s">
        <v>87</v>
      </c>
      <c r="AS382" s="2135"/>
      <c r="AT382" s="2135"/>
      <c r="AU382" s="1212">
        <v>0.5</v>
      </c>
      <c r="AV382" s="1212">
        <v>0.5</v>
      </c>
      <c r="AW382" s="1212"/>
      <c r="AX382" s="1212"/>
      <c r="AY382" s="1212"/>
      <c r="AZ382" s="1212"/>
      <c r="BA382" s="1212"/>
      <c r="BB382" s="1212"/>
      <c r="BC382" s="1212"/>
      <c r="BD382" s="1212"/>
      <c r="BE382" s="1212"/>
      <c r="BF382" s="2126">
        <v>0</v>
      </c>
      <c r="BG382" s="2126">
        <v>0</v>
      </c>
      <c r="BH382" s="2126">
        <v>7270.6211999999996</v>
      </c>
      <c r="BI382" s="2126">
        <v>7270.6211999999996</v>
      </c>
      <c r="BJ382" s="2126">
        <v>0</v>
      </c>
      <c r="BK382" s="2126">
        <v>0</v>
      </c>
      <c r="BL382" s="2126">
        <v>0</v>
      </c>
      <c r="BM382" s="2126">
        <v>0</v>
      </c>
      <c r="BN382" s="2126">
        <v>0</v>
      </c>
      <c r="BO382" s="2126">
        <v>0</v>
      </c>
      <c r="BP382" s="2126">
        <v>0</v>
      </c>
      <c r="BQ382" s="2126">
        <v>0</v>
      </c>
      <c r="BR382" s="2126">
        <v>0</v>
      </c>
    </row>
    <row r="383" spans="1:70" s="1765" customFormat="1" ht="49.5">
      <c r="A383" s="1272">
        <v>2000</v>
      </c>
      <c r="B383" s="971" t="s">
        <v>119</v>
      </c>
      <c r="C383" s="1272">
        <v>2600</v>
      </c>
      <c r="D383" s="971" t="s">
        <v>838</v>
      </c>
      <c r="E383" s="971" t="s">
        <v>839</v>
      </c>
      <c r="F383" s="971" t="s">
        <v>840</v>
      </c>
      <c r="G383" s="971" t="s">
        <v>879</v>
      </c>
      <c r="H383" s="971" t="s">
        <v>880</v>
      </c>
      <c r="I383" s="1273" t="s">
        <v>890</v>
      </c>
      <c r="J383" s="971" t="s">
        <v>177</v>
      </c>
      <c r="K383" s="971" t="s">
        <v>882</v>
      </c>
      <c r="L383" s="971" t="s">
        <v>2848</v>
      </c>
      <c r="M383" s="971" t="s">
        <v>882</v>
      </c>
      <c r="N383" s="971" t="s">
        <v>179</v>
      </c>
      <c r="O383" s="971" t="s">
        <v>883</v>
      </c>
      <c r="P383" s="971"/>
      <c r="Q383" s="971" t="s">
        <v>884</v>
      </c>
      <c r="R383" s="1266" t="s">
        <v>891</v>
      </c>
      <c r="S383" s="2106">
        <v>1</v>
      </c>
      <c r="T383" s="1266" t="s">
        <v>242</v>
      </c>
      <c r="U383" s="1742">
        <v>65.790000000000006</v>
      </c>
      <c r="V383" s="1742">
        <v>726.75</v>
      </c>
      <c r="W383" s="1742">
        <v>5798.7305999999999</v>
      </c>
      <c r="X383" s="1742">
        <v>8015.7618000000002</v>
      </c>
      <c r="Y383" s="2106">
        <v>14541.242400000003</v>
      </c>
      <c r="Z383" s="2106">
        <v>65.790000000000006</v>
      </c>
      <c r="AA383" s="2106">
        <v>726.75</v>
      </c>
      <c r="AB383" s="2106">
        <v>5798.7305999999999</v>
      </c>
      <c r="AC383" s="2106">
        <v>8015.7618000000002</v>
      </c>
      <c r="AD383" s="1744">
        <v>14541.242399999999</v>
      </c>
      <c r="AE383" s="2126">
        <v>40</v>
      </c>
      <c r="AF383" s="2126">
        <v>40</v>
      </c>
      <c r="AG383" s="1212">
        <v>1</v>
      </c>
      <c r="AH383" s="1212">
        <v>0</v>
      </c>
      <c r="AI383" s="1212">
        <v>0</v>
      </c>
      <c r="AJ383" s="1212">
        <v>1</v>
      </c>
      <c r="AK383" s="2126">
        <v>14541.242399999999</v>
      </c>
      <c r="AL383" s="2126">
        <v>0</v>
      </c>
      <c r="AM383" s="2126">
        <v>0</v>
      </c>
      <c r="AN383" s="2126">
        <v>14541.242399999999</v>
      </c>
      <c r="AO383" s="1743" t="s">
        <v>131</v>
      </c>
      <c r="AP383" s="1743"/>
      <c r="AQ383" s="1764">
        <v>2014</v>
      </c>
      <c r="AR383" s="1743" t="s">
        <v>87</v>
      </c>
      <c r="AS383" s="2135"/>
      <c r="AT383" s="2135"/>
      <c r="AU383" s="1212">
        <v>0.5</v>
      </c>
      <c r="AV383" s="1212">
        <v>0.5</v>
      </c>
      <c r="AW383" s="1212"/>
      <c r="AX383" s="1212"/>
      <c r="AY383" s="1212"/>
      <c r="AZ383" s="1212"/>
      <c r="BA383" s="1212"/>
      <c r="BB383" s="1212"/>
      <c r="BC383" s="1212"/>
      <c r="BD383" s="1212"/>
      <c r="BE383" s="1212"/>
      <c r="BF383" s="2126">
        <v>0</v>
      </c>
      <c r="BG383" s="2126">
        <v>0</v>
      </c>
      <c r="BH383" s="2126">
        <v>7270.6211999999996</v>
      </c>
      <c r="BI383" s="2126">
        <v>7270.6211999999996</v>
      </c>
      <c r="BJ383" s="2126">
        <v>0</v>
      </c>
      <c r="BK383" s="2126">
        <v>0</v>
      </c>
      <c r="BL383" s="2126">
        <v>0</v>
      </c>
      <c r="BM383" s="2126">
        <v>0</v>
      </c>
      <c r="BN383" s="2126">
        <v>0</v>
      </c>
      <c r="BO383" s="2126">
        <v>0</v>
      </c>
      <c r="BP383" s="2126">
        <v>0</v>
      </c>
      <c r="BQ383" s="2126">
        <v>0</v>
      </c>
      <c r="BR383" s="2126">
        <v>0</v>
      </c>
    </row>
    <row r="384" spans="1:70" s="1765" customFormat="1" ht="49.5">
      <c r="A384" s="1272">
        <v>2000</v>
      </c>
      <c r="B384" s="971" t="s">
        <v>119</v>
      </c>
      <c r="C384" s="1272">
        <v>2600</v>
      </c>
      <c r="D384" s="971" t="s">
        <v>838</v>
      </c>
      <c r="E384" s="971" t="s">
        <v>839</v>
      </c>
      <c r="F384" s="971" t="s">
        <v>840</v>
      </c>
      <c r="G384" s="971" t="s">
        <v>892</v>
      </c>
      <c r="H384" s="971" t="s">
        <v>880</v>
      </c>
      <c r="I384" s="1273" t="s">
        <v>893</v>
      </c>
      <c r="J384" s="971" t="s">
        <v>124</v>
      </c>
      <c r="K384" s="971" t="s">
        <v>2857</v>
      </c>
      <c r="L384" s="971" t="s">
        <v>2858</v>
      </c>
      <c r="M384" s="971" t="s">
        <v>734</v>
      </c>
      <c r="N384" s="971" t="s">
        <v>488</v>
      </c>
      <c r="O384" s="971" t="s">
        <v>128</v>
      </c>
      <c r="P384" s="971"/>
      <c r="Q384" s="971" t="s">
        <v>894</v>
      </c>
      <c r="R384" s="1266" t="s">
        <v>895</v>
      </c>
      <c r="S384" s="2106">
        <v>14.869888475836431</v>
      </c>
      <c r="T384" s="1266" t="s">
        <v>136</v>
      </c>
      <c r="U384" s="1742">
        <v>0.56041666666666667</v>
      </c>
      <c r="V384" s="1742">
        <v>2.8020833333333335</v>
      </c>
      <c r="W384" s="1742">
        <v>49.395125</v>
      </c>
      <c r="X384" s="1742">
        <v>77.264645833333333</v>
      </c>
      <c r="Y384" s="2106">
        <v>129.46185416666665</v>
      </c>
      <c r="Z384" s="2106">
        <v>8.3333333333333339</v>
      </c>
      <c r="AA384" s="2106">
        <v>41.666666666666671</v>
      </c>
      <c r="AB384" s="2106">
        <v>734.5</v>
      </c>
      <c r="AC384" s="2106">
        <v>1148.9166666666667</v>
      </c>
      <c r="AD384" s="1744">
        <v>1925.0833333333335</v>
      </c>
      <c r="AE384" s="2126">
        <v>1</v>
      </c>
      <c r="AF384" s="2126">
        <v>14.869888475836431</v>
      </c>
      <c r="AG384" s="1212">
        <v>1</v>
      </c>
      <c r="AH384" s="1212">
        <v>0</v>
      </c>
      <c r="AI384" s="1212">
        <v>0</v>
      </c>
      <c r="AJ384" s="1212">
        <v>1</v>
      </c>
      <c r="AK384" s="2126">
        <v>1925.0833333333335</v>
      </c>
      <c r="AL384" s="2126">
        <v>0</v>
      </c>
      <c r="AM384" s="2126">
        <v>0</v>
      </c>
      <c r="AN384" s="2126">
        <v>1925.0833333333335</v>
      </c>
      <c r="AO384" s="1743" t="s">
        <v>131</v>
      </c>
      <c r="AP384" s="1743"/>
      <c r="AQ384" s="1764">
        <v>2014</v>
      </c>
      <c r="AR384" s="1743" t="s">
        <v>87</v>
      </c>
      <c r="AS384" s="2135"/>
      <c r="AT384" s="2135"/>
      <c r="AU384" s="1212">
        <v>0.5</v>
      </c>
      <c r="AV384" s="1212">
        <v>0.5</v>
      </c>
      <c r="AW384" s="1212"/>
      <c r="AX384" s="1212"/>
      <c r="AY384" s="1212"/>
      <c r="AZ384" s="1212"/>
      <c r="BA384" s="1212"/>
      <c r="BB384" s="1212"/>
      <c r="BC384" s="1212"/>
      <c r="BD384" s="1212"/>
      <c r="BE384" s="1212"/>
      <c r="BF384" s="2126">
        <v>0</v>
      </c>
      <c r="BG384" s="2126">
        <v>0</v>
      </c>
      <c r="BH384" s="2126">
        <v>962.54166666666674</v>
      </c>
      <c r="BI384" s="2126">
        <v>962.54166666666674</v>
      </c>
      <c r="BJ384" s="2126">
        <v>0</v>
      </c>
      <c r="BK384" s="2126">
        <v>0</v>
      </c>
      <c r="BL384" s="2126">
        <v>0</v>
      </c>
      <c r="BM384" s="2126">
        <v>0</v>
      </c>
      <c r="BN384" s="2126">
        <v>0</v>
      </c>
      <c r="BO384" s="2126">
        <v>0</v>
      </c>
      <c r="BP384" s="2126">
        <v>0</v>
      </c>
      <c r="BQ384" s="2126">
        <v>0</v>
      </c>
      <c r="BR384" s="2126">
        <v>0</v>
      </c>
    </row>
    <row r="385" spans="1:70" s="1765" customFormat="1" ht="33">
      <c r="A385" s="1272">
        <v>2000</v>
      </c>
      <c r="B385" s="971" t="s">
        <v>119</v>
      </c>
      <c r="C385" s="1272">
        <v>2600</v>
      </c>
      <c r="D385" s="971" t="s">
        <v>838</v>
      </c>
      <c r="E385" s="971" t="s">
        <v>839</v>
      </c>
      <c r="F385" s="971" t="s">
        <v>840</v>
      </c>
      <c r="G385" s="971" t="s">
        <v>892</v>
      </c>
      <c r="H385" s="971" t="s">
        <v>880</v>
      </c>
      <c r="I385" s="1273" t="s">
        <v>896</v>
      </c>
      <c r="J385" s="971" t="s">
        <v>868</v>
      </c>
      <c r="K385" s="971"/>
      <c r="L385" s="971" t="e">
        <v>#N/A</v>
      </c>
      <c r="M385" s="971" t="s">
        <v>145</v>
      </c>
      <c r="N385" s="971" t="s">
        <v>141</v>
      </c>
      <c r="O385" s="971" t="s">
        <v>146</v>
      </c>
      <c r="P385" s="971"/>
      <c r="Q385" s="971" t="s">
        <v>897</v>
      </c>
      <c r="R385" s="1266" t="s">
        <v>895</v>
      </c>
      <c r="S385" s="2106">
        <v>14.864485999999999</v>
      </c>
      <c r="T385" s="1266" t="s">
        <v>136</v>
      </c>
      <c r="U385" s="1742" t="s">
        <v>6588</v>
      </c>
      <c r="V385" s="1742" t="s">
        <v>6588</v>
      </c>
      <c r="W385" s="1742" t="s">
        <v>6588</v>
      </c>
      <c r="X385" s="1742" t="s">
        <v>6588</v>
      </c>
      <c r="Y385" s="2106" t="s">
        <v>6588</v>
      </c>
      <c r="Z385" s="2106">
        <v>0</v>
      </c>
      <c r="AA385" s="2106">
        <v>0</v>
      </c>
      <c r="AB385" s="2106">
        <v>0</v>
      </c>
      <c r="AC385" s="2106">
        <v>0</v>
      </c>
      <c r="AD385" s="1744">
        <v>0</v>
      </c>
      <c r="AE385" s="2126">
        <v>0</v>
      </c>
      <c r="AF385" s="2126">
        <v>0</v>
      </c>
      <c r="AG385" s="1212">
        <v>1</v>
      </c>
      <c r="AH385" s="1212">
        <v>0</v>
      </c>
      <c r="AI385" s="1212">
        <v>0</v>
      </c>
      <c r="AJ385" s="1212">
        <v>1</v>
      </c>
      <c r="AK385" s="2126">
        <v>0</v>
      </c>
      <c r="AL385" s="2126">
        <v>0</v>
      </c>
      <c r="AM385" s="2126">
        <v>0</v>
      </c>
      <c r="AN385" s="2126">
        <v>0</v>
      </c>
      <c r="AO385" s="1743" t="s">
        <v>131</v>
      </c>
      <c r="AP385" s="1743"/>
      <c r="AQ385" s="1764">
        <v>2014</v>
      </c>
      <c r="AR385" s="1743" t="s">
        <v>87</v>
      </c>
      <c r="AS385" s="2135"/>
      <c r="AT385" s="2135"/>
      <c r="AU385" s="1212">
        <v>0.5</v>
      </c>
      <c r="AV385" s="1212">
        <v>0.5</v>
      </c>
      <c r="AW385" s="1212"/>
      <c r="AX385" s="1212"/>
      <c r="AY385" s="1212"/>
      <c r="AZ385" s="1212"/>
      <c r="BA385" s="1212"/>
      <c r="BB385" s="1212"/>
      <c r="BC385" s="1212"/>
      <c r="BD385" s="1212"/>
      <c r="BE385" s="1212"/>
      <c r="BF385" s="2126">
        <v>0</v>
      </c>
      <c r="BG385" s="2126">
        <v>0</v>
      </c>
      <c r="BH385" s="2126">
        <v>0</v>
      </c>
      <c r="BI385" s="2126">
        <v>0</v>
      </c>
      <c r="BJ385" s="2126">
        <v>0</v>
      </c>
      <c r="BK385" s="2126">
        <v>0</v>
      </c>
      <c r="BL385" s="2126">
        <v>0</v>
      </c>
      <c r="BM385" s="2126">
        <v>0</v>
      </c>
      <c r="BN385" s="2126">
        <v>0</v>
      </c>
      <c r="BO385" s="2126">
        <v>0</v>
      </c>
      <c r="BP385" s="2126">
        <v>0</v>
      </c>
      <c r="BQ385" s="2126">
        <v>0</v>
      </c>
      <c r="BR385" s="2126">
        <v>0</v>
      </c>
    </row>
    <row r="386" spans="1:70" s="1765" customFormat="1" ht="33">
      <c r="A386" s="1272">
        <v>2000</v>
      </c>
      <c r="B386" s="971" t="s">
        <v>119</v>
      </c>
      <c r="C386" s="1272">
        <v>2600</v>
      </c>
      <c r="D386" s="971" t="s">
        <v>838</v>
      </c>
      <c r="E386" s="971" t="s">
        <v>839</v>
      </c>
      <c r="F386" s="971" t="s">
        <v>840</v>
      </c>
      <c r="G386" s="971" t="s">
        <v>892</v>
      </c>
      <c r="H386" s="971" t="s">
        <v>880</v>
      </c>
      <c r="I386" s="1273" t="s">
        <v>898</v>
      </c>
      <c r="J386" s="971" t="s">
        <v>124</v>
      </c>
      <c r="K386" s="971" t="s">
        <v>140</v>
      </c>
      <c r="L386" s="971" t="s">
        <v>2909</v>
      </c>
      <c r="M386" s="971" t="s">
        <v>140</v>
      </c>
      <c r="N386" s="971" t="s">
        <v>141</v>
      </c>
      <c r="O386" s="971" t="s">
        <v>142</v>
      </c>
      <c r="P386" s="971"/>
      <c r="Q386" s="971" t="s">
        <v>899</v>
      </c>
      <c r="R386" s="1266" t="s">
        <v>895</v>
      </c>
      <c r="S386" s="2106">
        <v>14.869888475836431</v>
      </c>
      <c r="T386" s="1266" t="s">
        <v>136</v>
      </c>
      <c r="U386" s="1742">
        <v>0</v>
      </c>
      <c r="V386" s="1742">
        <v>0</v>
      </c>
      <c r="W386" s="1742">
        <v>0</v>
      </c>
      <c r="X386" s="1742">
        <v>0</v>
      </c>
      <c r="Y386" s="2106">
        <v>0</v>
      </c>
      <c r="Z386" s="2106">
        <v>0</v>
      </c>
      <c r="AA386" s="2106">
        <v>0</v>
      </c>
      <c r="AB386" s="2106">
        <v>0</v>
      </c>
      <c r="AC386" s="2106">
        <v>0</v>
      </c>
      <c r="AD386" s="1744">
        <v>0</v>
      </c>
      <c r="AE386" s="2126">
        <v>0</v>
      </c>
      <c r="AF386" s="2126">
        <v>0</v>
      </c>
      <c r="AG386" s="1212">
        <v>1</v>
      </c>
      <c r="AH386" s="1212">
        <v>0</v>
      </c>
      <c r="AI386" s="1212">
        <v>0</v>
      </c>
      <c r="AJ386" s="1212">
        <v>1</v>
      </c>
      <c r="AK386" s="2126">
        <v>0</v>
      </c>
      <c r="AL386" s="2126">
        <v>0</v>
      </c>
      <c r="AM386" s="2126">
        <v>0</v>
      </c>
      <c r="AN386" s="2126">
        <v>0</v>
      </c>
      <c r="AO386" s="1743" t="s">
        <v>131</v>
      </c>
      <c r="AP386" s="1743"/>
      <c r="AQ386" s="1764">
        <v>2014</v>
      </c>
      <c r="AR386" s="1743" t="s">
        <v>87</v>
      </c>
      <c r="AS386" s="2135"/>
      <c r="AT386" s="2135"/>
      <c r="AU386" s="1212">
        <v>0.5</v>
      </c>
      <c r="AV386" s="1212">
        <v>0.5</v>
      </c>
      <c r="AW386" s="1212"/>
      <c r="AX386" s="1212"/>
      <c r="AY386" s="1212"/>
      <c r="AZ386" s="1212"/>
      <c r="BA386" s="1212"/>
      <c r="BB386" s="1212"/>
      <c r="BC386" s="1212"/>
      <c r="BD386" s="1212"/>
      <c r="BE386" s="1212"/>
      <c r="BF386" s="2126">
        <v>0</v>
      </c>
      <c r="BG386" s="2126">
        <v>0</v>
      </c>
      <c r="BH386" s="2126">
        <v>0</v>
      </c>
      <c r="BI386" s="2126">
        <v>0</v>
      </c>
      <c r="BJ386" s="2126">
        <v>0</v>
      </c>
      <c r="BK386" s="2126">
        <v>0</v>
      </c>
      <c r="BL386" s="2126">
        <v>0</v>
      </c>
      <c r="BM386" s="2126">
        <v>0</v>
      </c>
      <c r="BN386" s="2126">
        <v>0</v>
      </c>
      <c r="BO386" s="2126">
        <v>0</v>
      </c>
      <c r="BP386" s="2126">
        <v>0</v>
      </c>
      <c r="BQ386" s="2126">
        <v>0</v>
      </c>
      <c r="BR386" s="2126">
        <v>0</v>
      </c>
    </row>
    <row r="387" spans="1:70" s="1765" customFormat="1" ht="49.5">
      <c r="A387" s="1272">
        <v>2000</v>
      </c>
      <c r="B387" s="971" t="s">
        <v>119</v>
      </c>
      <c r="C387" s="1272">
        <v>2600</v>
      </c>
      <c r="D387" s="971" t="s">
        <v>838</v>
      </c>
      <c r="E387" s="971" t="s">
        <v>839</v>
      </c>
      <c r="F387" s="971" t="s">
        <v>840</v>
      </c>
      <c r="G387" s="971" t="s">
        <v>879</v>
      </c>
      <c r="H387" s="971" t="s">
        <v>880</v>
      </c>
      <c r="I387" s="1273" t="s">
        <v>890</v>
      </c>
      <c r="J387" s="971" t="s">
        <v>177</v>
      </c>
      <c r="K387" s="971" t="s">
        <v>882</v>
      </c>
      <c r="L387" s="971" t="s">
        <v>2848</v>
      </c>
      <c r="M387" s="971" t="s">
        <v>882</v>
      </c>
      <c r="N387" s="971" t="s">
        <v>179</v>
      </c>
      <c r="O387" s="971" t="s">
        <v>883</v>
      </c>
      <c r="P387" s="971"/>
      <c r="Q387" s="971" t="s">
        <v>900</v>
      </c>
      <c r="R387" s="1266"/>
      <c r="S387" s="2106">
        <v>1</v>
      </c>
      <c r="T387" s="1266" t="s">
        <v>242</v>
      </c>
      <c r="U387" s="1742">
        <v>65.790000000000006</v>
      </c>
      <c r="V387" s="1742">
        <v>726.75</v>
      </c>
      <c r="W387" s="1742">
        <v>5798.7305999999999</v>
      </c>
      <c r="X387" s="1742">
        <v>8015.7618000000002</v>
      </c>
      <c r="Y387" s="2106">
        <v>14541.242400000003</v>
      </c>
      <c r="Z387" s="2106">
        <v>65.790000000000006</v>
      </c>
      <c r="AA387" s="2106">
        <v>726.75</v>
      </c>
      <c r="AB387" s="2106">
        <v>5798.7305999999999</v>
      </c>
      <c r="AC387" s="2106">
        <v>8015.7618000000002</v>
      </c>
      <c r="AD387" s="1744">
        <v>14541.242399999999</v>
      </c>
      <c r="AE387" s="2126">
        <v>40</v>
      </c>
      <c r="AF387" s="2126">
        <v>40</v>
      </c>
      <c r="AG387" s="1212">
        <v>1</v>
      </c>
      <c r="AH387" s="1212">
        <v>0</v>
      </c>
      <c r="AI387" s="1212">
        <v>0</v>
      </c>
      <c r="AJ387" s="1212">
        <v>1</v>
      </c>
      <c r="AK387" s="2126">
        <v>14541.242399999999</v>
      </c>
      <c r="AL387" s="2126">
        <v>0</v>
      </c>
      <c r="AM387" s="2126">
        <v>0</v>
      </c>
      <c r="AN387" s="2126">
        <v>14541.242399999999</v>
      </c>
      <c r="AO387" s="1743" t="s">
        <v>131</v>
      </c>
      <c r="AP387" s="1743" t="s">
        <v>90</v>
      </c>
      <c r="AQ387" s="1764" t="s">
        <v>112</v>
      </c>
      <c r="AR387" s="1743" t="s">
        <v>87</v>
      </c>
      <c r="AS387" s="2135"/>
      <c r="AT387" s="2135"/>
      <c r="AU387" s="1212">
        <v>0.5</v>
      </c>
      <c r="AV387" s="1212">
        <v>0.5</v>
      </c>
      <c r="AW387" s="1212"/>
      <c r="AX387" s="1212"/>
      <c r="AY387" s="1212"/>
      <c r="AZ387" s="1212"/>
      <c r="BA387" s="1212"/>
      <c r="BB387" s="1212"/>
      <c r="BC387" s="1212"/>
      <c r="BD387" s="1212"/>
      <c r="BE387" s="1212"/>
      <c r="BF387" s="2126">
        <v>0</v>
      </c>
      <c r="BG387" s="2126">
        <v>0</v>
      </c>
      <c r="BH387" s="2126">
        <v>7270.6211999999996</v>
      </c>
      <c r="BI387" s="2126">
        <v>7270.6211999999996</v>
      </c>
      <c r="BJ387" s="2126">
        <v>0</v>
      </c>
      <c r="BK387" s="2126">
        <v>0</v>
      </c>
      <c r="BL387" s="2126">
        <v>0</v>
      </c>
      <c r="BM387" s="2126">
        <v>0</v>
      </c>
      <c r="BN387" s="2126">
        <v>0</v>
      </c>
      <c r="BO387" s="2126">
        <v>0</v>
      </c>
      <c r="BP387" s="2126">
        <v>0</v>
      </c>
      <c r="BQ387" s="2126">
        <v>0</v>
      </c>
      <c r="BR387" s="2126">
        <v>0</v>
      </c>
    </row>
    <row r="388" spans="1:70" s="1765" customFormat="1" ht="66">
      <c r="A388" s="1272">
        <v>2000</v>
      </c>
      <c r="B388" s="971" t="s">
        <v>119</v>
      </c>
      <c r="C388" s="1272">
        <v>2600</v>
      </c>
      <c r="D388" s="971" t="s">
        <v>838</v>
      </c>
      <c r="E388" s="971" t="s">
        <v>839</v>
      </c>
      <c r="F388" s="971" t="s">
        <v>840</v>
      </c>
      <c r="G388" s="971" t="s">
        <v>901</v>
      </c>
      <c r="H388" s="971" t="s">
        <v>902</v>
      </c>
      <c r="I388" s="1273" t="s">
        <v>903</v>
      </c>
      <c r="J388" s="971" t="s">
        <v>124</v>
      </c>
      <c r="K388" s="971" t="s">
        <v>1747</v>
      </c>
      <c r="L388" s="971" t="s">
        <v>6606</v>
      </c>
      <c r="M388" s="971" t="s">
        <v>606</v>
      </c>
      <c r="N388" s="971" t="s">
        <v>488</v>
      </c>
      <c r="O388" s="971" t="s">
        <v>518</v>
      </c>
      <c r="P388" s="971"/>
      <c r="Q388" s="971" t="s">
        <v>904</v>
      </c>
      <c r="R388" s="1266" t="s">
        <v>905</v>
      </c>
      <c r="S388" s="2106">
        <v>31.598513011152416</v>
      </c>
      <c r="T388" s="1266" t="s">
        <v>136</v>
      </c>
      <c r="U388" s="1742">
        <v>0.56041666666666667</v>
      </c>
      <c r="V388" s="1742">
        <v>1.9614583333333333</v>
      </c>
      <c r="W388" s="1742">
        <v>49.395125</v>
      </c>
      <c r="X388" s="1742">
        <v>77.264645833333333</v>
      </c>
      <c r="Y388" s="2106">
        <v>128.62122916666667</v>
      </c>
      <c r="Z388" s="2106">
        <v>17.708333333333332</v>
      </c>
      <c r="AA388" s="2106">
        <v>61.979166666666664</v>
      </c>
      <c r="AB388" s="2106">
        <v>1560.8125</v>
      </c>
      <c r="AC388" s="2106">
        <v>2441.4479166666665</v>
      </c>
      <c r="AD388" s="1744">
        <v>4064.239583333333</v>
      </c>
      <c r="AE388" s="2126">
        <v>1</v>
      </c>
      <c r="AF388" s="2126">
        <v>31.598513011152416</v>
      </c>
      <c r="AG388" s="1212">
        <v>1</v>
      </c>
      <c r="AH388" s="1212">
        <v>0</v>
      </c>
      <c r="AI388" s="1212">
        <v>0</v>
      </c>
      <c r="AJ388" s="1212">
        <v>1</v>
      </c>
      <c r="AK388" s="2126">
        <v>4064.239583333333</v>
      </c>
      <c r="AL388" s="2126">
        <v>0</v>
      </c>
      <c r="AM388" s="2126">
        <v>0</v>
      </c>
      <c r="AN388" s="2126">
        <v>4064.239583333333</v>
      </c>
      <c r="AO388" s="1743" t="s">
        <v>131</v>
      </c>
      <c r="AP388" s="1743"/>
      <c r="AQ388" s="1764">
        <v>2014</v>
      </c>
      <c r="AR388" s="1743" t="s">
        <v>87</v>
      </c>
      <c r="AS388" s="2135"/>
      <c r="AT388" s="2135"/>
      <c r="AU388" s="1212">
        <v>0.33333333333333331</v>
      </c>
      <c r="AV388" s="1212">
        <v>0.33333333333333331</v>
      </c>
      <c r="AW388" s="1212">
        <v>0.33333333333333331</v>
      </c>
      <c r="AX388" s="1212"/>
      <c r="AY388" s="1212"/>
      <c r="AZ388" s="1212"/>
      <c r="BA388" s="1212"/>
      <c r="BB388" s="1212"/>
      <c r="BC388" s="1212"/>
      <c r="BD388" s="1212"/>
      <c r="BE388" s="1212"/>
      <c r="BF388" s="2126">
        <v>0</v>
      </c>
      <c r="BG388" s="2126">
        <v>0</v>
      </c>
      <c r="BH388" s="2126">
        <v>1354.7465277777776</v>
      </c>
      <c r="BI388" s="2126">
        <v>1354.7465277777776</v>
      </c>
      <c r="BJ388" s="2126">
        <v>1354.7465277777776</v>
      </c>
      <c r="BK388" s="2126">
        <v>0</v>
      </c>
      <c r="BL388" s="2126">
        <v>0</v>
      </c>
      <c r="BM388" s="2126">
        <v>0</v>
      </c>
      <c r="BN388" s="2126">
        <v>0</v>
      </c>
      <c r="BO388" s="2126">
        <v>0</v>
      </c>
      <c r="BP388" s="2126">
        <v>0</v>
      </c>
      <c r="BQ388" s="2126">
        <v>0</v>
      </c>
      <c r="BR388" s="2126">
        <v>0</v>
      </c>
    </row>
    <row r="389" spans="1:70" s="1765" customFormat="1" ht="66">
      <c r="A389" s="1272">
        <v>2000</v>
      </c>
      <c r="B389" s="971" t="s">
        <v>119</v>
      </c>
      <c r="C389" s="1272">
        <v>2600</v>
      </c>
      <c r="D389" s="971" t="s">
        <v>838</v>
      </c>
      <c r="E389" s="971" t="s">
        <v>839</v>
      </c>
      <c r="F389" s="971" t="s">
        <v>840</v>
      </c>
      <c r="G389" s="971" t="s">
        <v>901</v>
      </c>
      <c r="H389" s="971" t="s">
        <v>902</v>
      </c>
      <c r="I389" s="1273" t="s">
        <v>906</v>
      </c>
      <c r="J389" s="971" t="s">
        <v>124</v>
      </c>
      <c r="K389" s="971" t="s">
        <v>1747</v>
      </c>
      <c r="L389" s="971" t="s">
        <v>6606</v>
      </c>
      <c r="M389" s="971" t="s">
        <v>606</v>
      </c>
      <c r="N389" s="971" t="s">
        <v>488</v>
      </c>
      <c r="O389" s="971" t="s">
        <v>518</v>
      </c>
      <c r="P389" s="971"/>
      <c r="Q389" s="971" t="s">
        <v>907</v>
      </c>
      <c r="R389" s="1266" t="s">
        <v>905</v>
      </c>
      <c r="S389" s="2106">
        <v>31.598513011152416</v>
      </c>
      <c r="T389" s="1266" t="s">
        <v>136</v>
      </c>
      <c r="U389" s="1742">
        <v>0.56041666666666667</v>
      </c>
      <c r="V389" s="1742">
        <v>1.9614583333333333</v>
      </c>
      <c r="W389" s="1742">
        <v>49.395125</v>
      </c>
      <c r="X389" s="1742">
        <v>77.264645833333333</v>
      </c>
      <c r="Y389" s="2106">
        <v>128.62122916666667</v>
      </c>
      <c r="Z389" s="2106">
        <v>17.708333333333332</v>
      </c>
      <c r="AA389" s="2106">
        <v>61.979166666666664</v>
      </c>
      <c r="AB389" s="2106">
        <v>1560.8125</v>
      </c>
      <c r="AC389" s="2106">
        <v>2441.4479166666665</v>
      </c>
      <c r="AD389" s="1744">
        <v>4064.239583333333</v>
      </c>
      <c r="AE389" s="2126">
        <v>1</v>
      </c>
      <c r="AF389" s="2126">
        <v>31.598513011152416</v>
      </c>
      <c r="AG389" s="1212">
        <v>1</v>
      </c>
      <c r="AH389" s="1212">
        <v>0</v>
      </c>
      <c r="AI389" s="1212">
        <v>0</v>
      </c>
      <c r="AJ389" s="1212">
        <v>1</v>
      </c>
      <c r="AK389" s="2126">
        <v>4064.239583333333</v>
      </c>
      <c r="AL389" s="2126">
        <v>0</v>
      </c>
      <c r="AM389" s="2126">
        <v>0</v>
      </c>
      <c r="AN389" s="2126">
        <v>4064.239583333333</v>
      </c>
      <c r="AO389" s="1743" t="s">
        <v>131</v>
      </c>
      <c r="AP389" s="1743"/>
      <c r="AQ389" s="1764">
        <v>2014</v>
      </c>
      <c r="AR389" s="1743" t="s">
        <v>87</v>
      </c>
      <c r="AS389" s="2135"/>
      <c r="AT389" s="2135"/>
      <c r="AU389" s="1212">
        <v>0.33333333333333331</v>
      </c>
      <c r="AV389" s="1212">
        <v>0.33333333333333331</v>
      </c>
      <c r="AW389" s="1212">
        <v>0.33333333333333331</v>
      </c>
      <c r="AX389" s="1212"/>
      <c r="AY389" s="1212"/>
      <c r="AZ389" s="1212"/>
      <c r="BA389" s="1212"/>
      <c r="BB389" s="1212"/>
      <c r="BC389" s="1212"/>
      <c r="BD389" s="1212"/>
      <c r="BE389" s="1212"/>
      <c r="BF389" s="2126">
        <v>0</v>
      </c>
      <c r="BG389" s="2126">
        <v>0</v>
      </c>
      <c r="BH389" s="2126">
        <v>1354.7465277777776</v>
      </c>
      <c r="BI389" s="2126">
        <v>1354.7465277777776</v>
      </c>
      <c r="BJ389" s="2126">
        <v>1354.7465277777776</v>
      </c>
      <c r="BK389" s="2126">
        <v>0</v>
      </c>
      <c r="BL389" s="2126">
        <v>0</v>
      </c>
      <c r="BM389" s="2126">
        <v>0</v>
      </c>
      <c r="BN389" s="2126">
        <v>0</v>
      </c>
      <c r="BO389" s="2126">
        <v>0</v>
      </c>
      <c r="BP389" s="2126">
        <v>0</v>
      </c>
      <c r="BQ389" s="2126">
        <v>0</v>
      </c>
      <c r="BR389" s="2126">
        <v>0</v>
      </c>
    </row>
    <row r="390" spans="1:70" s="1765" customFormat="1" ht="33">
      <c r="A390" s="1272">
        <v>2000</v>
      </c>
      <c r="B390" s="971" t="s">
        <v>119</v>
      </c>
      <c r="C390" s="1272">
        <v>2600</v>
      </c>
      <c r="D390" s="971" t="s">
        <v>838</v>
      </c>
      <c r="E390" s="971" t="s">
        <v>839</v>
      </c>
      <c r="F390" s="971" t="s">
        <v>840</v>
      </c>
      <c r="G390" s="971" t="s">
        <v>901</v>
      </c>
      <c r="H390" s="971" t="s">
        <v>902</v>
      </c>
      <c r="I390" s="1273" t="s">
        <v>908</v>
      </c>
      <c r="J390" s="971" t="s">
        <v>124</v>
      </c>
      <c r="K390" s="971"/>
      <c r="L390" s="971" t="e">
        <v>#N/A</v>
      </c>
      <c r="M390" s="971" t="s">
        <v>145</v>
      </c>
      <c r="N390" s="971" t="s">
        <v>141</v>
      </c>
      <c r="O390" s="971" t="s">
        <v>146</v>
      </c>
      <c r="P390" s="971"/>
      <c r="Q390" s="971" t="s">
        <v>909</v>
      </c>
      <c r="R390" s="1266" t="s">
        <v>905</v>
      </c>
      <c r="S390" s="2106">
        <v>31.598513011152416</v>
      </c>
      <c r="T390" s="1266" t="s">
        <v>136</v>
      </c>
      <c r="U390" s="1742" t="s">
        <v>6588</v>
      </c>
      <c r="V390" s="1742" t="s">
        <v>6588</v>
      </c>
      <c r="W390" s="1742" t="s">
        <v>6588</v>
      </c>
      <c r="X390" s="1742" t="s">
        <v>6588</v>
      </c>
      <c r="Y390" s="2106" t="s">
        <v>6588</v>
      </c>
      <c r="Z390" s="2106">
        <v>0</v>
      </c>
      <c r="AA390" s="2106">
        <v>0</v>
      </c>
      <c r="AB390" s="2106">
        <v>0</v>
      </c>
      <c r="AC390" s="2106">
        <v>0</v>
      </c>
      <c r="AD390" s="1744">
        <v>0</v>
      </c>
      <c r="AE390" s="2126">
        <v>0</v>
      </c>
      <c r="AF390" s="2126">
        <v>0</v>
      </c>
      <c r="AG390" s="1212">
        <v>1</v>
      </c>
      <c r="AH390" s="1212">
        <v>0</v>
      </c>
      <c r="AI390" s="1212">
        <v>0</v>
      </c>
      <c r="AJ390" s="1212">
        <v>1</v>
      </c>
      <c r="AK390" s="2126">
        <v>0</v>
      </c>
      <c r="AL390" s="2126">
        <v>0</v>
      </c>
      <c r="AM390" s="2126">
        <v>0</v>
      </c>
      <c r="AN390" s="2126">
        <v>0</v>
      </c>
      <c r="AO390" s="1743" t="s">
        <v>131</v>
      </c>
      <c r="AP390" s="1743"/>
      <c r="AQ390" s="1764">
        <v>2014</v>
      </c>
      <c r="AR390" s="1743" t="s">
        <v>87</v>
      </c>
      <c r="AS390" s="2135"/>
      <c r="AT390" s="2135"/>
      <c r="AU390" s="1212">
        <v>0.33333333333333331</v>
      </c>
      <c r="AV390" s="1212">
        <v>0.33333333333333331</v>
      </c>
      <c r="AW390" s="1212">
        <v>0.33333333333333331</v>
      </c>
      <c r="AX390" s="1212"/>
      <c r="AY390" s="1212"/>
      <c r="AZ390" s="1212"/>
      <c r="BA390" s="1212"/>
      <c r="BB390" s="1212"/>
      <c r="BC390" s="1212"/>
      <c r="BD390" s="1212"/>
      <c r="BE390" s="1212"/>
      <c r="BF390" s="2126">
        <v>0</v>
      </c>
      <c r="BG390" s="2126">
        <v>0</v>
      </c>
      <c r="BH390" s="2126">
        <v>0</v>
      </c>
      <c r="BI390" s="2126">
        <v>0</v>
      </c>
      <c r="BJ390" s="2126">
        <v>0</v>
      </c>
      <c r="BK390" s="2126">
        <v>0</v>
      </c>
      <c r="BL390" s="2126">
        <v>0</v>
      </c>
      <c r="BM390" s="2126">
        <v>0</v>
      </c>
      <c r="BN390" s="2126">
        <v>0</v>
      </c>
      <c r="BO390" s="2126">
        <v>0</v>
      </c>
      <c r="BP390" s="2126">
        <v>0</v>
      </c>
      <c r="BQ390" s="2126">
        <v>0</v>
      </c>
      <c r="BR390" s="2126">
        <v>0</v>
      </c>
    </row>
    <row r="391" spans="1:70" s="1765" customFormat="1" ht="49.5">
      <c r="A391" s="1272">
        <v>2000</v>
      </c>
      <c r="B391" s="971" t="s">
        <v>119</v>
      </c>
      <c r="C391" s="1272">
        <v>2600</v>
      </c>
      <c r="D391" s="971" t="s">
        <v>838</v>
      </c>
      <c r="E391" s="971" t="s">
        <v>839</v>
      </c>
      <c r="F391" s="971" t="s">
        <v>840</v>
      </c>
      <c r="G391" s="971">
        <v>2616</v>
      </c>
      <c r="H391" s="971" t="s">
        <v>910</v>
      </c>
      <c r="I391" s="1273"/>
      <c r="J391" s="971" t="s">
        <v>121</v>
      </c>
      <c r="K391" s="971" t="s">
        <v>255</v>
      </c>
      <c r="L391" s="971" t="s">
        <v>2802</v>
      </c>
      <c r="M391" s="971" t="s">
        <v>255</v>
      </c>
      <c r="N391" s="971" t="s">
        <v>83</v>
      </c>
      <c r="O391" s="971" t="s">
        <v>256</v>
      </c>
      <c r="P391" s="971"/>
      <c r="Q391" s="971" t="s">
        <v>911</v>
      </c>
      <c r="R391" s="1266"/>
      <c r="S391" s="2106">
        <v>500</v>
      </c>
      <c r="T391" s="1266" t="s">
        <v>136</v>
      </c>
      <c r="U391" s="1742">
        <v>4.4491883296460179E-2</v>
      </c>
      <c r="V391" s="1742">
        <v>0.1701</v>
      </c>
      <c r="W391" s="1742">
        <v>3.92151459375</v>
      </c>
      <c r="X391" s="1742">
        <v>0.68180304577546291</v>
      </c>
      <c r="Y391" s="2106">
        <v>4.7480795457754628</v>
      </c>
      <c r="Z391" s="2106">
        <v>22.24594164823009</v>
      </c>
      <c r="AA391" s="2106">
        <v>85.05</v>
      </c>
      <c r="AB391" s="2106">
        <v>1960.7572968750001</v>
      </c>
      <c r="AC391" s="2106">
        <v>340.90152288773146</v>
      </c>
      <c r="AD391" s="1744">
        <v>2374.0397728877315</v>
      </c>
      <c r="AE391" s="2126">
        <v>0</v>
      </c>
      <c r="AF391" s="2126">
        <v>0</v>
      </c>
      <c r="AG391" s="1212">
        <v>1</v>
      </c>
      <c r="AH391" s="1212">
        <v>0</v>
      </c>
      <c r="AI391" s="1212">
        <v>0</v>
      </c>
      <c r="AJ391" s="1212">
        <v>1</v>
      </c>
      <c r="AK391" s="2126">
        <v>2374.0397728877315</v>
      </c>
      <c r="AL391" s="2126">
        <v>0</v>
      </c>
      <c r="AM391" s="2126">
        <v>0</v>
      </c>
      <c r="AN391" s="2126">
        <v>2374.0397728877315</v>
      </c>
      <c r="AO391" s="1743" t="s">
        <v>85</v>
      </c>
      <c r="AP391" s="1743" t="s">
        <v>90</v>
      </c>
      <c r="AQ391" s="1764" t="s">
        <v>108</v>
      </c>
      <c r="AR391" s="1743" t="s">
        <v>87</v>
      </c>
      <c r="AS391" s="2135"/>
      <c r="AT391" s="2135"/>
      <c r="AU391" s="1212">
        <v>0.33333333333333331</v>
      </c>
      <c r="AV391" s="1212">
        <v>0.33333333333333331</v>
      </c>
      <c r="AW391" s="1212">
        <v>0.33333333333333331</v>
      </c>
      <c r="AX391" s="1212"/>
      <c r="AY391" s="1212"/>
      <c r="AZ391" s="1212"/>
      <c r="BA391" s="1212"/>
      <c r="BB391" s="1212"/>
      <c r="BC391" s="1212"/>
      <c r="BD391" s="1212"/>
      <c r="BE391" s="1212"/>
      <c r="BF391" s="2126">
        <v>0</v>
      </c>
      <c r="BG391" s="2126">
        <v>0</v>
      </c>
      <c r="BH391" s="2126">
        <v>791.34659096257712</v>
      </c>
      <c r="BI391" s="2126">
        <v>791.34659096257712</v>
      </c>
      <c r="BJ391" s="2126">
        <v>791.34659096257712</v>
      </c>
      <c r="BK391" s="2126">
        <v>0</v>
      </c>
      <c r="BL391" s="2126">
        <v>0</v>
      </c>
      <c r="BM391" s="2126">
        <v>0</v>
      </c>
      <c r="BN391" s="2126">
        <v>0</v>
      </c>
      <c r="BO391" s="2126">
        <v>0</v>
      </c>
      <c r="BP391" s="2126">
        <v>0</v>
      </c>
      <c r="BQ391" s="2126">
        <v>0</v>
      </c>
      <c r="BR391" s="2126">
        <v>0</v>
      </c>
    </row>
    <row r="392" spans="1:70" s="1765" customFormat="1">
      <c r="A392" s="1802">
        <v>2000</v>
      </c>
      <c r="B392" s="1803" t="s">
        <v>119</v>
      </c>
      <c r="C392" s="1802">
        <v>2700</v>
      </c>
      <c r="D392" s="1803" t="s">
        <v>912</v>
      </c>
      <c r="E392" s="1803"/>
      <c r="F392" s="1803"/>
      <c r="G392" s="1803"/>
      <c r="H392" s="1803"/>
      <c r="I392" s="1803"/>
      <c r="J392" s="1803" t="s">
        <v>121</v>
      </c>
      <c r="K392" s="1803"/>
      <c r="L392" s="1803"/>
      <c r="M392" s="1803"/>
      <c r="N392" s="1803"/>
      <c r="O392" s="1803"/>
      <c r="P392" s="1803"/>
      <c r="Q392" s="1803"/>
      <c r="R392" s="1774"/>
      <c r="S392" s="2107"/>
      <c r="T392" s="1774"/>
      <c r="U392" s="1776"/>
      <c r="V392" s="1776"/>
      <c r="W392" s="1776"/>
      <c r="X392" s="1776"/>
      <c r="Y392" s="2107"/>
      <c r="Z392" s="2107"/>
      <c r="AA392" s="2107"/>
      <c r="AB392" s="2107"/>
      <c r="AC392" s="2107"/>
      <c r="AD392" s="1775"/>
      <c r="AE392" s="2127"/>
      <c r="AF392" s="2127"/>
      <c r="AG392" s="1777"/>
      <c r="AH392" s="1777"/>
      <c r="AI392" s="1777"/>
      <c r="AJ392" s="1777"/>
      <c r="AK392" s="2127"/>
      <c r="AL392" s="2127"/>
      <c r="AM392" s="2127"/>
      <c r="AN392" s="2127"/>
      <c r="AO392" s="1775"/>
      <c r="AP392" s="1775"/>
      <c r="AQ392" s="1773"/>
      <c r="AR392" s="1775"/>
      <c r="AS392" s="1777"/>
      <c r="AT392" s="1777"/>
      <c r="AU392" s="1777"/>
      <c r="AV392" s="1777"/>
      <c r="AW392" s="1777"/>
      <c r="AX392" s="1777"/>
      <c r="AY392" s="1777"/>
      <c r="AZ392" s="1777"/>
      <c r="BA392" s="1777"/>
      <c r="BB392" s="1777"/>
      <c r="BC392" s="1777"/>
      <c r="BD392" s="1777"/>
      <c r="BE392" s="1777"/>
      <c r="BF392" s="2127"/>
      <c r="BG392" s="2127"/>
      <c r="BH392" s="2127"/>
      <c r="BI392" s="2127"/>
      <c r="BJ392" s="2127"/>
      <c r="BK392" s="2127"/>
      <c r="BL392" s="2127"/>
      <c r="BM392" s="2127"/>
      <c r="BN392" s="2127"/>
      <c r="BO392" s="2127"/>
      <c r="BP392" s="2127"/>
      <c r="BQ392" s="2127"/>
      <c r="BR392" s="2127"/>
    </row>
    <row r="393" spans="1:70" s="1765" customFormat="1" ht="33">
      <c r="A393" s="1272">
        <v>2000</v>
      </c>
      <c r="B393" s="971" t="s">
        <v>119</v>
      </c>
      <c r="C393" s="1272">
        <v>2700</v>
      </c>
      <c r="D393" s="971" t="s">
        <v>912</v>
      </c>
      <c r="E393" s="971" t="s">
        <v>6588</v>
      </c>
      <c r="F393" s="971" t="s">
        <v>913</v>
      </c>
      <c r="G393" s="971" t="s">
        <v>121</v>
      </c>
      <c r="H393" s="971" t="s">
        <v>913</v>
      </c>
      <c r="I393" s="1273" t="s">
        <v>914</v>
      </c>
      <c r="J393" s="971" t="s">
        <v>638</v>
      </c>
      <c r="K393" s="971" t="s">
        <v>2914</v>
      </c>
      <c r="L393" s="971" t="s">
        <v>915</v>
      </c>
      <c r="M393" s="971" t="s">
        <v>915</v>
      </c>
      <c r="N393" s="971" t="s">
        <v>640</v>
      </c>
      <c r="O393" s="971" t="s">
        <v>915</v>
      </c>
      <c r="P393" s="971"/>
      <c r="Q393" s="971" t="s">
        <v>916</v>
      </c>
      <c r="R393" s="1266"/>
      <c r="S393" s="2106">
        <v>3500</v>
      </c>
      <c r="T393" s="1266" t="s">
        <v>991</v>
      </c>
      <c r="U393" s="1742">
        <v>0.1</v>
      </c>
      <c r="V393" s="1742">
        <v>1.25</v>
      </c>
      <c r="W393" s="1742">
        <v>8.8140000000000001</v>
      </c>
      <c r="X393" s="1742">
        <v>13.787000000000001</v>
      </c>
      <c r="Y393" s="2106">
        <v>23.850999999999999</v>
      </c>
      <c r="Z393" s="2106">
        <v>350</v>
      </c>
      <c r="AA393" s="2106">
        <v>4375</v>
      </c>
      <c r="AB393" s="2106">
        <v>30849</v>
      </c>
      <c r="AC393" s="2106">
        <v>48254.5</v>
      </c>
      <c r="AD393" s="1744">
        <v>83478.5</v>
      </c>
      <c r="AE393" s="2126">
        <v>1.0000000000000002E-2</v>
      </c>
      <c r="AF393" s="2126">
        <v>35.000000000000007</v>
      </c>
      <c r="AG393" s="1212">
        <v>1</v>
      </c>
      <c r="AH393" s="1212">
        <v>0</v>
      </c>
      <c r="AI393" s="1212">
        <v>0</v>
      </c>
      <c r="AJ393" s="1212">
        <v>1</v>
      </c>
      <c r="AK393" s="2126">
        <v>83478.5</v>
      </c>
      <c r="AL393" s="2126">
        <v>0</v>
      </c>
      <c r="AM393" s="2126">
        <v>0</v>
      </c>
      <c r="AN393" s="2126">
        <v>83478.5</v>
      </c>
      <c r="AO393" s="1743" t="s">
        <v>131</v>
      </c>
      <c r="AP393" s="1743"/>
      <c r="AQ393" s="1764">
        <v>2017</v>
      </c>
      <c r="AR393" s="1743" t="s">
        <v>87</v>
      </c>
      <c r="AS393" s="2135"/>
      <c r="AT393" s="2135"/>
      <c r="AU393" s="1212">
        <v>0.33333333333333331</v>
      </c>
      <c r="AV393" s="1212">
        <v>0.33333333333333331</v>
      </c>
      <c r="AW393" s="1212">
        <v>0.33333333333333331</v>
      </c>
      <c r="AX393" s="1212"/>
      <c r="AY393" s="1212"/>
      <c r="AZ393" s="1212"/>
      <c r="BA393" s="1212"/>
      <c r="BB393" s="1212"/>
      <c r="BC393" s="1212"/>
      <c r="BD393" s="1212"/>
      <c r="BE393" s="1212"/>
      <c r="BF393" s="2126">
        <v>0</v>
      </c>
      <c r="BG393" s="2126">
        <v>0</v>
      </c>
      <c r="BH393" s="2126">
        <v>27826.166666666664</v>
      </c>
      <c r="BI393" s="2126">
        <v>27826.166666666664</v>
      </c>
      <c r="BJ393" s="2126">
        <v>27826.166666666664</v>
      </c>
      <c r="BK393" s="2126">
        <v>0</v>
      </c>
      <c r="BL393" s="2126">
        <v>0</v>
      </c>
      <c r="BM393" s="2126">
        <v>0</v>
      </c>
      <c r="BN393" s="2126">
        <v>0</v>
      </c>
      <c r="BO393" s="2126">
        <v>0</v>
      </c>
      <c r="BP393" s="2126">
        <v>0</v>
      </c>
      <c r="BQ393" s="2126">
        <v>0</v>
      </c>
      <c r="BR393" s="2126">
        <v>0</v>
      </c>
    </row>
    <row r="394" spans="1:70" s="1765" customFormat="1" ht="49.5">
      <c r="A394" s="1272">
        <v>2000</v>
      </c>
      <c r="B394" s="971" t="s">
        <v>119</v>
      </c>
      <c r="C394" s="1272">
        <v>2700</v>
      </c>
      <c r="D394" s="971" t="s">
        <v>912</v>
      </c>
      <c r="E394" s="971" t="s">
        <v>839</v>
      </c>
      <c r="F394" s="971" t="s">
        <v>840</v>
      </c>
      <c r="G394" s="971" t="s">
        <v>841</v>
      </c>
      <c r="H394" s="971" t="s">
        <v>842</v>
      </c>
      <c r="I394" s="1273"/>
      <c r="J394" s="971" t="s">
        <v>121</v>
      </c>
      <c r="K394" s="971" t="s">
        <v>255</v>
      </c>
      <c r="L394" s="971" t="s">
        <v>2802</v>
      </c>
      <c r="M394" s="971" t="s">
        <v>255</v>
      </c>
      <c r="N394" s="971" t="s">
        <v>83</v>
      </c>
      <c r="O394" s="971" t="s">
        <v>256</v>
      </c>
      <c r="P394" s="971"/>
      <c r="Q394" s="971" t="s">
        <v>874</v>
      </c>
      <c r="R394" s="1266"/>
      <c r="S394" s="2106">
        <v>1364</v>
      </c>
      <c r="T394" s="1266" t="s">
        <v>136</v>
      </c>
      <c r="U394" s="1742">
        <v>4.4491883296460179E-2</v>
      </c>
      <c r="V394" s="1742">
        <v>0.1701</v>
      </c>
      <c r="W394" s="1742">
        <v>3.92151459375</v>
      </c>
      <c r="X394" s="1742">
        <v>0.68180304577546291</v>
      </c>
      <c r="Y394" s="2106">
        <v>4.7480795457754628</v>
      </c>
      <c r="Z394" s="2106">
        <v>60.686928816371683</v>
      </c>
      <c r="AA394" s="2106">
        <v>232.0164</v>
      </c>
      <c r="AB394" s="2106">
        <v>5348.9459058749999</v>
      </c>
      <c r="AC394" s="2106">
        <v>929.97935443773144</v>
      </c>
      <c r="AD394" s="1744">
        <v>6510.941660312732</v>
      </c>
      <c r="AE394" s="2126">
        <v>0</v>
      </c>
      <c r="AF394" s="2126">
        <v>0</v>
      </c>
      <c r="AG394" s="1212">
        <v>1</v>
      </c>
      <c r="AH394" s="1212">
        <v>0</v>
      </c>
      <c r="AI394" s="1212">
        <v>0</v>
      </c>
      <c r="AJ394" s="1212">
        <v>1</v>
      </c>
      <c r="AK394" s="2126">
        <v>6510.941660312732</v>
      </c>
      <c r="AL394" s="2126">
        <v>0</v>
      </c>
      <c r="AM394" s="2126">
        <v>0</v>
      </c>
      <c r="AN394" s="2126">
        <v>6510.941660312732</v>
      </c>
      <c r="AO394" s="1743" t="s">
        <v>131</v>
      </c>
      <c r="AP394" s="1743" t="s">
        <v>90</v>
      </c>
      <c r="AQ394" s="1764">
        <v>2016</v>
      </c>
      <c r="AR394" s="1743" t="s">
        <v>87</v>
      </c>
      <c r="AS394" s="2135"/>
      <c r="AT394" s="2135"/>
      <c r="AU394" s="1212">
        <v>0.33333333333333331</v>
      </c>
      <c r="AV394" s="1212">
        <v>0.33333333333333331</v>
      </c>
      <c r="AW394" s="1212">
        <v>0.33333333333333331</v>
      </c>
      <c r="AX394" s="1212"/>
      <c r="AY394" s="1212"/>
      <c r="AZ394" s="1212"/>
      <c r="BA394" s="1212"/>
      <c r="BB394" s="1212"/>
      <c r="BC394" s="1212"/>
      <c r="BD394" s="1212"/>
      <c r="BE394" s="1212"/>
      <c r="BF394" s="2126">
        <v>0</v>
      </c>
      <c r="BG394" s="2126">
        <v>0</v>
      </c>
      <c r="BH394" s="2126">
        <v>2170.3138867709104</v>
      </c>
      <c r="BI394" s="2126">
        <v>2170.3138867709104</v>
      </c>
      <c r="BJ394" s="2126">
        <v>2170.3138867709104</v>
      </c>
      <c r="BK394" s="2126">
        <v>0</v>
      </c>
      <c r="BL394" s="2126">
        <v>0</v>
      </c>
      <c r="BM394" s="2126">
        <v>0</v>
      </c>
      <c r="BN394" s="2126">
        <v>0</v>
      </c>
      <c r="BO394" s="2126">
        <v>0</v>
      </c>
      <c r="BP394" s="2126">
        <v>0</v>
      </c>
      <c r="BQ394" s="2126">
        <v>0</v>
      </c>
      <c r="BR394" s="2126">
        <v>0</v>
      </c>
    </row>
    <row r="395" spans="1:70" s="1765" customFormat="1" ht="33">
      <c r="A395" s="1272">
        <v>2000</v>
      </c>
      <c r="B395" s="971" t="s">
        <v>119</v>
      </c>
      <c r="C395" s="1272">
        <v>2700</v>
      </c>
      <c r="D395" s="971" t="s">
        <v>912</v>
      </c>
      <c r="E395" s="971">
        <v>2710</v>
      </c>
      <c r="F395" s="971" t="s">
        <v>917</v>
      </c>
      <c r="G395" s="971">
        <v>2710</v>
      </c>
      <c r="H395" s="971" t="s">
        <v>917</v>
      </c>
      <c r="I395" s="1273"/>
      <c r="J395" s="971" t="s">
        <v>177</v>
      </c>
      <c r="K395" s="971" t="s">
        <v>530</v>
      </c>
      <c r="L395" s="971" t="s">
        <v>531</v>
      </c>
      <c r="M395" s="971" t="s">
        <v>530</v>
      </c>
      <c r="N395" s="971" t="s">
        <v>179</v>
      </c>
      <c r="O395" s="971" t="s">
        <v>531</v>
      </c>
      <c r="P395" s="971"/>
      <c r="Q395" s="971" t="s">
        <v>918</v>
      </c>
      <c r="R395" s="1266"/>
      <c r="S395" s="2106">
        <v>1</v>
      </c>
      <c r="T395" s="1266" t="s">
        <v>242</v>
      </c>
      <c r="U395" s="1742">
        <v>31</v>
      </c>
      <c r="V395" s="1742">
        <v>325</v>
      </c>
      <c r="W395" s="1742">
        <v>2732.34</v>
      </c>
      <c r="X395" s="1742">
        <v>3584.62</v>
      </c>
      <c r="Y395" s="2106">
        <v>6641.9599999999991</v>
      </c>
      <c r="Z395" s="2106">
        <v>31</v>
      </c>
      <c r="AA395" s="2106">
        <v>325</v>
      </c>
      <c r="AB395" s="2106">
        <v>2732.34</v>
      </c>
      <c r="AC395" s="2106">
        <v>3584.62</v>
      </c>
      <c r="AD395" s="1744">
        <v>6641.9599999999991</v>
      </c>
      <c r="AE395" s="2126">
        <v>2</v>
      </c>
      <c r="AF395" s="2126">
        <v>2</v>
      </c>
      <c r="AG395" s="1212">
        <v>1</v>
      </c>
      <c r="AH395" s="1212">
        <v>0</v>
      </c>
      <c r="AI395" s="1212">
        <v>0</v>
      </c>
      <c r="AJ395" s="1212">
        <v>1</v>
      </c>
      <c r="AK395" s="2126">
        <v>6641.9599999999991</v>
      </c>
      <c r="AL395" s="2126">
        <v>0</v>
      </c>
      <c r="AM395" s="2126">
        <v>0</v>
      </c>
      <c r="AN395" s="2126">
        <v>6641.9599999999991</v>
      </c>
      <c r="AO395" s="1743" t="s">
        <v>85</v>
      </c>
      <c r="AP395" s="1743" t="s">
        <v>90</v>
      </c>
      <c r="AQ395" s="1764" t="s">
        <v>103</v>
      </c>
      <c r="AR395" s="1743" t="s">
        <v>87</v>
      </c>
      <c r="AS395" s="2135"/>
      <c r="AT395" s="2135"/>
      <c r="AU395" s="1212">
        <v>0.5</v>
      </c>
      <c r="AV395" s="1212">
        <v>0.5</v>
      </c>
      <c r="AW395" s="1212"/>
      <c r="AX395" s="1212"/>
      <c r="AY395" s="1212"/>
      <c r="AZ395" s="1212"/>
      <c r="BA395" s="1212"/>
      <c r="BB395" s="1212"/>
      <c r="BC395" s="1212"/>
      <c r="BD395" s="1212"/>
      <c r="BE395" s="1212"/>
      <c r="BF395" s="2126">
        <v>0</v>
      </c>
      <c r="BG395" s="2126">
        <v>0</v>
      </c>
      <c r="BH395" s="2126">
        <v>3320.9799999999996</v>
      </c>
      <c r="BI395" s="2126">
        <v>3320.9799999999996</v>
      </c>
      <c r="BJ395" s="2126">
        <v>0</v>
      </c>
      <c r="BK395" s="2126">
        <v>0</v>
      </c>
      <c r="BL395" s="2126">
        <v>0</v>
      </c>
      <c r="BM395" s="2126">
        <v>0</v>
      </c>
      <c r="BN395" s="2126">
        <v>0</v>
      </c>
      <c r="BO395" s="2126">
        <v>0</v>
      </c>
      <c r="BP395" s="2126">
        <v>0</v>
      </c>
      <c r="BQ395" s="2126">
        <v>0</v>
      </c>
      <c r="BR395" s="2126">
        <v>0</v>
      </c>
    </row>
    <row r="396" spans="1:70" s="1765" customFormat="1" ht="33">
      <c r="A396" s="1272">
        <v>2000</v>
      </c>
      <c r="B396" s="971" t="s">
        <v>119</v>
      </c>
      <c r="C396" s="1272">
        <v>2700</v>
      </c>
      <c r="D396" s="971" t="s">
        <v>912</v>
      </c>
      <c r="E396" s="971">
        <v>2710</v>
      </c>
      <c r="F396" s="971" t="s">
        <v>917</v>
      </c>
      <c r="G396" s="971">
        <v>2710</v>
      </c>
      <c r="H396" s="971" t="s">
        <v>917</v>
      </c>
      <c r="I396" s="1273"/>
      <c r="J396" s="971" t="s">
        <v>177</v>
      </c>
      <c r="K396" s="971" t="s">
        <v>196</v>
      </c>
      <c r="L396" s="971" t="s">
        <v>197</v>
      </c>
      <c r="M396" s="971" t="s">
        <v>196</v>
      </c>
      <c r="N396" s="971" t="s">
        <v>179</v>
      </c>
      <c r="O396" s="971" t="s">
        <v>197</v>
      </c>
      <c r="P396" s="971"/>
      <c r="Q396" s="971" t="s">
        <v>919</v>
      </c>
      <c r="R396" s="1266"/>
      <c r="S396" s="2106">
        <v>0</v>
      </c>
      <c r="T396" s="1266" t="s">
        <v>242</v>
      </c>
      <c r="U396" s="1742">
        <v>9.6666666666666661</v>
      </c>
      <c r="V396" s="1742">
        <v>89.583333333333329</v>
      </c>
      <c r="W396" s="1742">
        <v>852.02</v>
      </c>
      <c r="X396" s="1742">
        <v>988.06833333333327</v>
      </c>
      <c r="Y396" s="2106">
        <v>1929.6716666666666</v>
      </c>
      <c r="Z396" s="2106">
        <v>0</v>
      </c>
      <c r="AA396" s="2106">
        <v>0</v>
      </c>
      <c r="AB396" s="2106">
        <v>0</v>
      </c>
      <c r="AC396" s="2106">
        <v>0</v>
      </c>
      <c r="AD396" s="1744">
        <v>0</v>
      </c>
      <c r="AE396" s="2126">
        <v>1</v>
      </c>
      <c r="AF396" s="2126">
        <v>0</v>
      </c>
      <c r="AG396" s="1212">
        <v>1</v>
      </c>
      <c r="AH396" s="1212">
        <v>0</v>
      </c>
      <c r="AI396" s="1212">
        <v>0</v>
      </c>
      <c r="AJ396" s="1212">
        <v>1</v>
      </c>
      <c r="AK396" s="2126">
        <v>0</v>
      </c>
      <c r="AL396" s="2126">
        <v>0</v>
      </c>
      <c r="AM396" s="2126">
        <v>0</v>
      </c>
      <c r="AN396" s="2126">
        <v>0</v>
      </c>
      <c r="AO396" s="1743" t="s">
        <v>131</v>
      </c>
      <c r="AP396" s="1743" t="s">
        <v>96</v>
      </c>
      <c r="AQ396" s="1764" t="s">
        <v>107</v>
      </c>
      <c r="AR396" s="1743" t="s">
        <v>87</v>
      </c>
      <c r="AS396" s="2135"/>
      <c r="AT396" s="2135"/>
      <c r="AU396" s="1212">
        <v>0.5</v>
      </c>
      <c r="AV396" s="1212">
        <v>0.5</v>
      </c>
      <c r="AW396" s="1212"/>
      <c r="AX396" s="1212"/>
      <c r="AY396" s="1212"/>
      <c r="AZ396" s="1212"/>
      <c r="BA396" s="1212"/>
      <c r="BB396" s="1212"/>
      <c r="BC396" s="1212"/>
      <c r="BD396" s="1212"/>
      <c r="BE396" s="1212"/>
      <c r="BF396" s="2126">
        <v>0</v>
      </c>
      <c r="BG396" s="2126">
        <v>0</v>
      </c>
      <c r="BH396" s="2126">
        <v>0</v>
      </c>
      <c r="BI396" s="2126">
        <v>0</v>
      </c>
      <c r="BJ396" s="2126">
        <v>0</v>
      </c>
      <c r="BK396" s="2126">
        <v>0</v>
      </c>
      <c r="BL396" s="2126">
        <v>0</v>
      </c>
      <c r="BM396" s="2126">
        <v>0</v>
      </c>
      <c r="BN396" s="2126">
        <v>0</v>
      </c>
      <c r="BO396" s="2126">
        <v>0</v>
      </c>
      <c r="BP396" s="2126">
        <v>0</v>
      </c>
      <c r="BQ396" s="2126">
        <v>0</v>
      </c>
      <c r="BR396" s="2126">
        <v>0</v>
      </c>
    </row>
    <row r="397" spans="1:70" s="1765" customFormat="1" ht="33">
      <c r="A397" s="1272">
        <v>2000</v>
      </c>
      <c r="B397" s="971" t="s">
        <v>119</v>
      </c>
      <c r="C397" s="1272">
        <v>2700</v>
      </c>
      <c r="D397" s="971" t="s">
        <v>912</v>
      </c>
      <c r="E397" s="971">
        <v>2710</v>
      </c>
      <c r="F397" s="971" t="s">
        <v>917</v>
      </c>
      <c r="G397" s="971">
        <v>2710</v>
      </c>
      <c r="H397" s="971" t="s">
        <v>917</v>
      </c>
      <c r="I397" s="1273"/>
      <c r="J397" s="971" t="s">
        <v>177</v>
      </c>
      <c r="K397" s="971" t="s">
        <v>530</v>
      </c>
      <c r="L397" s="971" t="s">
        <v>531</v>
      </c>
      <c r="M397" s="971" t="s">
        <v>530</v>
      </c>
      <c r="N397" s="971" t="s">
        <v>179</v>
      </c>
      <c r="O397" s="971" t="s">
        <v>531</v>
      </c>
      <c r="P397" s="971"/>
      <c r="Q397" s="971" t="s">
        <v>920</v>
      </c>
      <c r="R397" s="1266"/>
      <c r="S397" s="2106">
        <v>0</v>
      </c>
      <c r="T397" s="1266" t="s">
        <v>242</v>
      </c>
      <c r="U397" s="1742">
        <v>31</v>
      </c>
      <c r="V397" s="1742">
        <v>325</v>
      </c>
      <c r="W397" s="1742">
        <v>2732.34</v>
      </c>
      <c r="X397" s="1742">
        <v>3584.62</v>
      </c>
      <c r="Y397" s="2106">
        <v>6641.9599999999991</v>
      </c>
      <c r="Z397" s="2106">
        <v>0</v>
      </c>
      <c r="AA397" s="2106">
        <v>0</v>
      </c>
      <c r="AB397" s="2106">
        <v>0</v>
      </c>
      <c r="AC397" s="2106">
        <v>0</v>
      </c>
      <c r="AD397" s="1744">
        <v>0</v>
      </c>
      <c r="AE397" s="2126">
        <v>2</v>
      </c>
      <c r="AF397" s="2126">
        <v>0</v>
      </c>
      <c r="AG397" s="1212">
        <v>1</v>
      </c>
      <c r="AH397" s="1212">
        <v>0</v>
      </c>
      <c r="AI397" s="1212">
        <v>0</v>
      </c>
      <c r="AJ397" s="1212">
        <v>1</v>
      </c>
      <c r="AK397" s="2126">
        <v>0</v>
      </c>
      <c r="AL397" s="2126">
        <v>0</v>
      </c>
      <c r="AM397" s="2126">
        <v>0</v>
      </c>
      <c r="AN397" s="2126">
        <v>0</v>
      </c>
      <c r="AO397" s="1743" t="s">
        <v>131</v>
      </c>
      <c r="AP397" s="1743" t="s">
        <v>96</v>
      </c>
      <c r="AQ397" s="1764" t="s">
        <v>107</v>
      </c>
      <c r="AR397" s="1743" t="s">
        <v>87</v>
      </c>
      <c r="AS397" s="2135"/>
      <c r="AT397" s="2135"/>
      <c r="AU397" s="1212">
        <v>0.5</v>
      </c>
      <c r="AV397" s="1212">
        <v>0.5</v>
      </c>
      <c r="AW397" s="1212"/>
      <c r="AX397" s="1212"/>
      <c r="AY397" s="1212"/>
      <c r="AZ397" s="1212"/>
      <c r="BA397" s="1212"/>
      <c r="BB397" s="1212"/>
      <c r="BC397" s="1212"/>
      <c r="BD397" s="1212"/>
      <c r="BE397" s="1212"/>
      <c r="BF397" s="2126">
        <v>0</v>
      </c>
      <c r="BG397" s="2126">
        <v>0</v>
      </c>
      <c r="BH397" s="2126">
        <v>0</v>
      </c>
      <c r="BI397" s="2126">
        <v>0</v>
      </c>
      <c r="BJ397" s="2126">
        <v>0</v>
      </c>
      <c r="BK397" s="2126">
        <v>0</v>
      </c>
      <c r="BL397" s="2126">
        <v>0</v>
      </c>
      <c r="BM397" s="2126">
        <v>0</v>
      </c>
      <c r="BN397" s="2126">
        <v>0</v>
      </c>
      <c r="BO397" s="2126">
        <v>0</v>
      </c>
      <c r="BP397" s="2126">
        <v>0</v>
      </c>
      <c r="BQ397" s="2126">
        <v>0</v>
      </c>
      <c r="BR397" s="2126">
        <v>0</v>
      </c>
    </row>
    <row r="398" spans="1:70" s="1765" customFormat="1" ht="33">
      <c r="A398" s="1272">
        <v>2000</v>
      </c>
      <c r="B398" s="971" t="s">
        <v>119</v>
      </c>
      <c r="C398" s="1272">
        <v>2700</v>
      </c>
      <c r="D398" s="971" t="s">
        <v>912</v>
      </c>
      <c r="E398" s="971">
        <v>2710</v>
      </c>
      <c r="F398" s="971" t="s">
        <v>917</v>
      </c>
      <c r="G398" s="971">
        <v>2710</v>
      </c>
      <c r="H398" s="971" t="s">
        <v>917</v>
      </c>
      <c r="I398" s="1273"/>
      <c r="J398" s="971" t="s">
        <v>177</v>
      </c>
      <c r="K398" s="971" t="s">
        <v>530</v>
      </c>
      <c r="L398" s="971" t="s">
        <v>531</v>
      </c>
      <c r="M398" s="971" t="s">
        <v>530</v>
      </c>
      <c r="N398" s="971" t="s">
        <v>179</v>
      </c>
      <c r="O398" s="971" t="s">
        <v>531</v>
      </c>
      <c r="P398" s="971"/>
      <c r="Q398" s="971" t="s">
        <v>921</v>
      </c>
      <c r="R398" s="1266"/>
      <c r="S398" s="2106">
        <v>1</v>
      </c>
      <c r="T398" s="1266" t="s">
        <v>242</v>
      </c>
      <c r="U398" s="1742">
        <v>31</v>
      </c>
      <c r="V398" s="1742">
        <v>325</v>
      </c>
      <c r="W398" s="1742">
        <v>2732.34</v>
      </c>
      <c r="X398" s="1742">
        <v>3584.62</v>
      </c>
      <c r="Y398" s="2106">
        <v>6641.9599999999991</v>
      </c>
      <c r="Z398" s="2106">
        <v>31</v>
      </c>
      <c r="AA398" s="2106">
        <v>325</v>
      </c>
      <c r="AB398" s="2106">
        <v>2732.34</v>
      </c>
      <c r="AC398" s="2106">
        <v>3584.62</v>
      </c>
      <c r="AD398" s="1744">
        <v>6641.9599999999991</v>
      </c>
      <c r="AE398" s="2126">
        <v>2</v>
      </c>
      <c r="AF398" s="2126">
        <v>2</v>
      </c>
      <c r="AG398" s="1212">
        <v>1</v>
      </c>
      <c r="AH398" s="1212">
        <v>0</v>
      </c>
      <c r="AI398" s="1212">
        <v>0</v>
      </c>
      <c r="AJ398" s="1212">
        <v>1</v>
      </c>
      <c r="AK398" s="2126">
        <v>6641.9599999999991</v>
      </c>
      <c r="AL398" s="2126">
        <v>0</v>
      </c>
      <c r="AM398" s="2126">
        <v>0</v>
      </c>
      <c r="AN398" s="2126">
        <v>6641.9599999999991</v>
      </c>
      <c r="AO398" s="1743" t="s">
        <v>85</v>
      </c>
      <c r="AP398" s="1743" t="s">
        <v>90</v>
      </c>
      <c r="AQ398" s="1764" t="s">
        <v>202</v>
      </c>
      <c r="AR398" s="1743" t="s">
        <v>87</v>
      </c>
      <c r="AS398" s="2135"/>
      <c r="AT398" s="2135"/>
      <c r="AU398" s="1212">
        <v>0.5</v>
      </c>
      <c r="AV398" s="1212">
        <v>0.5</v>
      </c>
      <c r="AW398" s="1212"/>
      <c r="AX398" s="1212"/>
      <c r="AY398" s="1212"/>
      <c r="AZ398" s="1212"/>
      <c r="BA398" s="1212"/>
      <c r="BB398" s="1212"/>
      <c r="BC398" s="1212"/>
      <c r="BD398" s="1212"/>
      <c r="BE398" s="1212"/>
      <c r="BF398" s="2126">
        <v>0</v>
      </c>
      <c r="BG398" s="2126">
        <v>0</v>
      </c>
      <c r="BH398" s="2126">
        <v>3320.9799999999996</v>
      </c>
      <c r="BI398" s="2126">
        <v>3320.9799999999996</v>
      </c>
      <c r="BJ398" s="2126">
        <v>0</v>
      </c>
      <c r="BK398" s="2126">
        <v>0</v>
      </c>
      <c r="BL398" s="2126">
        <v>0</v>
      </c>
      <c r="BM398" s="2126">
        <v>0</v>
      </c>
      <c r="BN398" s="2126">
        <v>0</v>
      </c>
      <c r="BO398" s="2126">
        <v>0</v>
      </c>
      <c r="BP398" s="2126">
        <v>0</v>
      </c>
      <c r="BQ398" s="2126">
        <v>0</v>
      </c>
      <c r="BR398" s="2126">
        <v>0</v>
      </c>
    </row>
    <row r="399" spans="1:70" s="1765" customFormat="1" ht="33">
      <c r="A399" s="1272">
        <v>2000</v>
      </c>
      <c r="B399" s="971" t="s">
        <v>119</v>
      </c>
      <c r="C399" s="1272">
        <v>2700</v>
      </c>
      <c r="D399" s="971" t="s">
        <v>912</v>
      </c>
      <c r="E399" s="971">
        <v>2710</v>
      </c>
      <c r="F399" s="971" t="s">
        <v>917</v>
      </c>
      <c r="G399" s="971">
        <v>2710</v>
      </c>
      <c r="H399" s="971" t="s">
        <v>917</v>
      </c>
      <c r="I399" s="1273"/>
      <c r="J399" s="971" t="s">
        <v>177</v>
      </c>
      <c r="K399" s="971" t="s">
        <v>196</v>
      </c>
      <c r="L399" s="971" t="s">
        <v>197</v>
      </c>
      <c r="M399" s="971" t="s">
        <v>196</v>
      </c>
      <c r="N399" s="971" t="s">
        <v>179</v>
      </c>
      <c r="O399" s="971" t="s">
        <v>197</v>
      </c>
      <c r="P399" s="971"/>
      <c r="Q399" s="971" t="s">
        <v>921</v>
      </c>
      <c r="R399" s="1266"/>
      <c r="S399" s="2106">
        <v>1</v>
      </c>
      <c r="T399" s="1266" t="s">
        <v>242</v>
      </c>
      <c r="U399" s="1742">
        <v>9.6666666666666661</v>
      </c>
      <c r="V399" s="1742">
        <v>89.583333333333329</v>
      </c>
      <c r="W399" s="1742">
        <v>852.02</v>
      </c>
      <c r="X399" s="1742">
        <v>988.06833333333327</v>
      </c>
      <c r="Y399" s="2106">
        <v>1929.6716666666666</v>
      </c>
      <c r="Z399" s="2106">
        <v>9.6666666666666661</v>
      </c>
      <c r="AA399" s="2106">
        <v>89.583333333333329</v>
      </c>
      <c r="AB399" s="2106">
        <v>852.02</v>
      </c>
      <c r="AC399" s="2106">
        <v>988.06833333333327</v>
      </c>
      <c r="AD399" s="1744">
        <v>1929.6716666666666</v>
      </c>
      <c r="AE399" s="2126">
        <v>1</v>
      </c>
      <c r="AF399" s="2126">
        <v>1</v>
      </c>
      <c r="AG399" s="1212">
        <v>1</v>
      </c>
      <c r="AH399" s="1212">
        <v>0</v>
      </c>
      <c r="AI399" s="1212">
        <v>0</v>
      </c>
      <c r="AJ399" s="1212">
        <v>1</v>
      </c>
      <c r="AK399" s="2126">
        <v>1929.6716666666666</v>
      </c>
      <c r="AL399" s="2126">
        <v>0</v>
      </c>
      <c r="AM399" s="2126">
        <v>0</v>
      </c>
      <c r="AN399" s="2126">
        <v>1929.6716666666666</v>
      </c>
      <c r="AO399" s="1743" t="s">
        <v>85</v>
      </c>
      <c r="AP399" s="1743" t="s">
        <v>90</v>
      </c>
      <c r="AQ399" s="1764" t="s">
        <v>202</v>
      </c>
      <c r="AR399" s="1743" t="s">
        <v>87</v>
      </c>
      <c r="AS399" s="2135"/>
      <c r="AT399" s="2135"/>
      <c r="AU399" s="1212">
        <v>0.5</v>
      </c>
      <c r="AV399" s="1212">
        <v>0.5</v>
      </c>
      <c r="AW399" s="1212"/>
      <c r="AX399" s="1212"/>
      <c r="AY399" s="1212"/>
      <c r="AZ399" s="1212"/>
      <c r="BA399" s="1212"/>
      <c r="BB399" s="1212"/>
      <c r="BC399" s="1212"/>
      <c r="BD399" s="1212"/>
      <c r="BE399" s="1212"/>
      <c r="BF399" s="2126">
        <v>0</v>
      </c>
      <c r="BG399" s="2126">
        <v>0</v>
      </c>
      <c r="BH399" s="2126">
        <v>964.83583333333331</v>
      </c>
      <c r="BI399" s="2126">
        <v>964.83583333333331</v>
      </c>
      <c r="BJ399" s="2126">
        <v>0</v>
      </c>
      <c r="BK399" s="2126">
        <v>0</v>
      </c>
      <c r="BL399" s="2126">
        <v>0</v>
      </c>
      <c r="BM399" s="2126">
        <v>0</v>
      </c>
      <c r="BN399" s="2126">
        <v>0</v>
      </c>
      <c r="BO399" s="2126">
        <v>0</v>
      </c>
      <c r="BP399" s="2126">
        <v>0</v>
      </c>
      <c r="BQ399" s="2126">
        <v>0</v>
      </c>
      <c r="BR399" s="2126">
        <v>0</v>
      </c>
    </row>
    <row r="400" spans="1:70" s="1765" customFormat="1" ht="66">
      <c r="A400" s="1272">
        <v>2000</v>
      </c>
      <c r="B400" s="971" t="s">
        <v>119</v>
      </c>
      <c r="C400" s="1272">
        <v>2700</v>
      </c>
      <c r="D400" s="971" t="s">
        <v>912</v>
      </c>
      <c r="E400" s="971" t="s">
        <v>922</v>
      </c>
      <c r="F400" s="971" t="s">
        <v>923</v>
      </c>
      <c r="G400" s="971" t="s">
        <v>922</v>
      </c>
      <c r="H400" s="971" t="s">
        <v>923</v>
      </c>
      <c r="I400" s="1273" t="s">
        <v>924</v>
      </c>
      <c r="J400" s="971" t="s">
        <v>124</v>
      </c>
      <c r="K400" s="971" t="s">
        <v>516</v>
      </c>
      <c r="L400" s="971" t="s">
        <v>2860</v>
      </c>
      <c r="M400" s="971" t="s">
        <v>517</v>
      </c>
      <c r="N400" s="971" t="s">
        <v>127</v>
      </c>
      <c r="O400" s="971" t="s">
        <v>518</v>
      </c>
      <c r="P400" s="971"/>
      <c r="Q400" s="971" t="s">
        <v>925</v>
      </c>
      <c r="R400" s="1266" t="s">
        <v>926</v>
      </c>
      <c r="S400" s="2106">
        <v>390.33457249070631</v>
      </c>
      <c r="T400" s="1266" t="s">
        <v>136</v>
      </c>
      <c r="U400" s="1742">
        <v>0.15691666666666668</v>
      </c>
      <c r="V400" s="1742">
        <v>1.9614583333333333</v>
      </c>
      <c r="W400" s="1742">
        <v>13.830634999999999</v>
      </c>
      <c r="X400" s="1742">
        <v>21.634100833333331</v>
      </c>
      <c r="Y400" s="2106">
        <v>37.426194166666662</v>
      </c>
      <c r="Z400" s="2106">
        <v>61.25</v>
      </c>
      <c r="AA400" s="2106">
        <v>765.625</v>
      </c>
      <c r="AB400" s="2106">
        <v>5398.5749999999998</v>
      </c>
      <c r="AC400" s="2106">
        <v>8444.5374999999985</v>
      </c>
      <c r="AD400" s="1744">
        <v>14608.737499999999</v>
      </c>
      <c r="AE400" s="2126">
        <v>1</v>
      </c>
      <c r="AF400" s="2126">
        <v>390.33457249070631</v>
      </c>
      <c r="AG400" s="1212">
        <v>1</v>
      </c>
      <c r="AH400" s="1212">
        <v>0</v>
      </c>
      <c r="AI400" s="1212">
        <v>0</v>
      </c>
      <c r="AJ400" s="1212">
        <v>1</v>
      </c>
      <c r="AK400" s="2126">
        <v>14608.737499999999</v>
      </c>
      <c r="AL400" s="2126">
        <v>0</v>
      </c>
      <c r="AM400" s="2126">
        <v>0</v>
      </c>
      <c r="AN400" s="2126">
        <v>14608.737499999999</v>
      </c>
      <c r="AO400" s="1743" t="s">
        <v>131</v>
      </c>
      <c r="AP400" s="1743"/>
      <c r="AQ400" s="1764">
        <v>2014</v>
      </c>
      <c r="AR400" s="1743" t="s">
        <v>87</v>
      </c>
      <c r="AS400" s="2135"/>
      <c r="AT400" s="2135"/>
      <c r="AU400" s="1212">
        <v>0.33333333333333331</v>
      </c>
      <c r="AV400" s="1212">
        <v>0.33333333333333331</v>
      </c>
      <c r="AW400" s="1212">
        <v>0.33333333333333331</v>
      </c>
      <c r="AX400" s="1212"/>
      <c r="AY400" s="1212"/>
      <c r="AZ400" s="1212"/>
      <c r="BA400" s="1212"/>
      <c r="BB400" s="1212"/>
      <c r="BC400" s="1212"/>
      <c r="BD400" s="1212"/>
      <c r="BE400" s="1212"/>
      <c r="BF400" s="2126">
        <v>0</v>
      </c>
      <c r="BG400" s="2126">
        <v>0</v>
      </c>
      <c r="BH400" s="2126">
        <v>4869.5791666666664</v>
      </c>
      <c r="BI400" s="2126">
        <v>4869.5791666666664</v>
      </c>
      <c r="BJ400" s="2126">
        <v>4869.5791666666664</v>
      </c>
      <c r="BK400" s="2126">
        <v>0</v>
      </c>
      <c r="BL400" s="2126">
        <v>0</v>
      </c>
      <c r="BM400" s="2126">
        <v>0</v>
      </c>
      <c r="BN400" s="2126">
        <v>0</v>
      </c>
      <c r="BO400" s="2126">
        <v>0</v>
      </c>
      <c r="BP400" s="2126">
        <v>0</v>
      </c>
      <c r="BQ400" s="2126">
        <v>0</v>
      </c>
      <c r="BR400" s="2126">
        <v>0</v>
      </c>
    </row>
    <row r="401" spans="1:70" s="1765" customFormat="1" ht="49.5">
      <c r="A401" s="1272">
        <v>2000</v>
      </c>
      <c r="B401" s="971" t="s">
        <v>119</v>
      </c>
      <c r="C401" s="1272">
        <v>2700</v>
      </c>
      <c r="D401" s="971" t="s">
        <v>912</v>
      </c>
      <c r="E401" s="971" t="s">
        <v>922</v>
      </c>
      <c r="F401" s="971" t="s">
        <v>923</v>
      </c>
      <c r="G401" s="971" t="s">
        <v>922</v>
      </c>
      <c r="H401" s="971" t="s">
        <v>923</v>
      </c>
      <c r="I401" s="1273" t="s">
        <v>927</v>
      </c>
      <c r="J401" s="971" t="s">
        <v>124</v>
      </c>
      <c r="K401" s="971" t="s">
        <v>523</v>
      </c>
      <c r="L401" s="971" t="s">
        <v>6607</v>
      </c>
      <c r="M401" s="971" t="s">
        <v>523</v>
      </c>
      <c r="N401" s="971" t="s">
        <v>141</v>
      </c>
      <c r="O401" s="971" t="s">
        <v>524</v>
      </c>
      <c r="P401" s="971"/>
      <c r="Q401" s="971" t="s">
        <v>928</v>
      </c>
      <c r="R401" s="1266" t="s">
        <v>926</v>
      </c>
      <c r="S401" s="2106">
        <v>390.33457249070631</v>
      </c>
      <c r="T401" s="1266" t="s">
        <v>136</v>
      </c>
      <c r="U401" s="1742">
        <v>0.14520631503408685</v>
      </c>
      <c r="V401" s="1742">
        <v>1.8150789379260854</v>
      </c>
      <c r="W401" s="1742">
        <v>12.798484607104415</v>
      </c>
      <c r="X401" s="1742">
        <v>20.019594653749554</v>
      </c>
      <c r="Y401" s="2106">
        <v>34.633158198780052</v>
      </c>
      <c r="Z401" s="2106">
        <v>56.679044901781111</v>
      </c>
      <c r="AA401" s="2106">
        <v>708.48806127226385</v>
      </c>
      <c r="AB401" s="2106">
        <v>4995.6910176429874</v>
      </c>
      <c r="AC401" s="2106">
        <v>7814.3399206085614</v>
      </c>
      <c r="AD401" s="1744">
        <v>13518.518999523812</v>
      </c>
      <c r="AE401" s="2126">
        <v>0.75</v>
      </c>
      <c r="AF401" s="2126">
        <v>292.75092936802974</v>
      </c>
      <c r="AG401" s="1212">
        <v>1</v>
      </c>
      <c r="AH401" s="1212">
        <v>0</v>
      </c>
      <c r="AI401" s="1212">
        <v>0</v>
      </c>
      <c r="AJ401" s="1212">
        <v>1</v>
      </c>
      <c r="AK401" s="2126">
        <v>13518.518999523812</v>
      </c>
      <c r="AL401" s="2126">
        <v>0</v>
      </c>
      <c r="AM401" s="2126">
        <v>0</v>
      </c>
      <c r="AN401" s="2126">
        <v>13518.518999523812</v>
      </c>
      <c r="AO401" s="1743" t="s">
        <v>131</v>
      </c>
      <c r="AP401" s="1743"/>
      <c r="AQ401" s="1764">
        <v>2014</v>
      </c>
      <c r="AR401" s="1743" t="s">
        <v>87</v>
      </c>
      <c r="AS401" s="2135"/>
      <c r="AT401" s="2135"/>
      <c r="AU401" s="1212">
        <v>0.33333333333333331</v>
      </c>
      <c r="AV401" s="1212">
        <v>0.33333333333333331</v>
      </c>
      <c r="AW401" s="1212">
        <v>0.33333333333333331</v>
      </c>
      <c r="AX401" s="1212"/>
      <c r="AY401" s="1212"/>
      <c r="AZ401" s="1212"/>
      <c r="BA401" s="1212"/>
      <c r="BB401" s="1212"/>
      <c r="BC401" s="1212"/>
      <c r="BD401" s="1212"/>
      <c r="BE401" s="1212"/>
      <c r="BF401" s="2126">
        <v>0</v>
      </c>
      <c r="BG401" s="2126">
        <v>0</v>
      </c>
      <c r="BH401" s="2126">
        <v>4506.1729998412702</v>
      </c>
      <c r="BI401" s="2126">
        <v>4506.1729998412702</v>
      </c>
      <c r="BJ401" s="2126">
        <v>4506.1729998412702</v>
      </c>
      <c r="BK401" s="2126">
        <v>0</v>
      </c>
      <c r="BL401" s="2126">
        <v>0</v>
      </c>
      <c r="BM401" s="2126">
        <v>0</v>
      </c>
      <c r="BN401" s="2126">
        <v>0</v>
      </c>
      <c r="BO401" s="2126">
        <v>0</v>
      </c>
      <c r="BP401" s="2126">
        <v>0</v>
      </c>
      <c r="BQ401" s="2126">
        <v>0</v>
      </c>
      <c r="BR401" s="2126">
        <v>0</v>
      </c>
    </row>
    <row r="402" spans="1:70" s="1765" customFormat="1" ht="33">
      <c r="A402" s="1272">
        <v>2000</v>
      </c>
      <c r="B402" s="971" t="s">
        <v>119</v>
      </c>
      <c r="C402" s="1272">
        <v>2700</v>
      </c>
      <c r="D402" s="971" t="s">
        <v>912</v>
      </c>
      <c r="E402" s="971" t="s">
        <v>922</v>
      </c>
      <c r="F402" s="971" t="s">
        <v>923</v>
      </c>
      <c r="G402" s="971" t="s">
        <v>929</v>
      </c>
      <c r="H402" s="971" t="s">
        <v>923</v>
      </c>
      <c r="I402" s="1273" t="s">
        <v>930</v>
      </c>
      <c r="J402" s="971" t="s">
        <v>799</v>
      </c>
      <c r="K402" s="971" t="s">
        <v>931</v>
      </c>
      <c r="L402" s="971" t="s">
        <v>2895</v>
      </c>
      <c r="M402" s="971" t="s">
        <v>931</v>
      </c>
      <c r="N402" s="971" t="s">
        <v>269</v>
      </c>
      <c r="O402" s="971" t="s">
        <v>932</v>
      </c>
      <c r="P402" s="971"/>
      <c r="Q402" s="971" t="s">
        <v>933</v>
      </c>
      <c r="R402" s="1266"/>
      <c r="S402" s="2106">
        <v>-1</v>
      </c>
      <c r="T402" s="1266" t="s">
        <v>2700</v>
      </c>
      <c r="U402" s="1742">
        <v>47</v>
      </c>
      <c r="V402" s="1742">
        <v>400</v>
      </c>
      <c r="W402" s="1742">
        <v>4142.58</v>
      </c>
      <c r="X402" s="1742">
        <v>4411.84</v>
      </c>
      <c r="Y402" s="2106">
        <v>8954.4199999999983</v>
      </c>
      <c r="Z402" s="2106">
        <v>-47</v>
      </c>
      <c r="AA402" s="2106">
        <v>-400</v>
      </c>
      <c r="AB402" s="2106">
        <v>-4142.58</v>
      </c>
      <c r="AC402" s="2106">
        <v>-4411.84</v>
      </c>
      <c r="AD402" s="2132">
        <v>-8954.42</v>
      </c>
      <c r="AE402" s="2126">
        <v>329.26829268292681</v>
      </c>
      <c r="AF402" s="2126">
        <v>-329.26829268292681</v>
      </c>
      <c r="AG402" s="1212">
        <v>1</v>
      </c>
      <c r="AH402" s="1212">
        <v>0</v>
      </c>
      <c r="AI402" s="1212">
        <v>1</v>
      </c>
      <c r="AJ402" s="1212">
        <v>0</v>
      </c>
      <c r="AK402" s="2126">
        <v>-8954.42</v>
      </c>
      <c r="AL402" s="2126">
        <v>0</v>
      </c>
      <c r="AM402" s="2126">
        <v>-8954.42</v>
      </c>
      <c r="AN402" s="2126">
        <v>0</v>
      </c>
      <c r="AO402" s="1743" t="s">
        <v>85</v>
      </c>
      <c r="AP402" s="1743" t="s">
        <v>96</v>
      </c>
      <c r="AQ402" s="1764" t="s">
        <v>192</v>
      </c>
      <c r="AR402" s="1743" t="s">
        <v>87</v>
      </c>
      <c r="AS402" s="2135"/>
      <c r="AT402" s="2135"/>
      <c r="AU402" s="1212">
        <v>0.33333333333333331</v>
      </c>
      <c r="AV402" s="1212">
        <v>0.33333333333333331</v>
      </c>
      <c r="AW402" s="1212">
        <v>0.33333333333333331</v>
      </c>
      <c r="AX402" s="1212"/>
      <c r="AY402" s="1212"/>
      <c r="AZ402" s="1212"/>
      <c r="BA402" s="1212"/>
      <c r="BB402" s="1212"/>
      <c r="BC402" s="1212"/>
      <c r="BD402" s="1212"/>
      <c r="BE402" s="1212"/>
      <c r="BF402" s="2126">
        <v>0</v>
      </c>
      <c r="BG402" s="2126">
        <v>0</v>
      </c>
      <c r="BH402" s="2126">
        <v>-2984.8066666666664</v>
      </c>
      <c r="BI402" s="2126">
        <v>-2984.8066666666664</v>
      </c>
      <c r="BJ402" s="2126">
        <v>-2984.8066666666664</v>
      </c>
      <c r="BK402" s="2126">
        <v>0</v>
      </c>
      <c r="BL402" s="2126">
        <v>0</v>
      </c>
      <c r="BM402" s="2126">
        <v>0</v>
      </c>
      <c r="BN402" s="2126">
        <v>0</v>
      </c>
      <c r="BO402" s="2126">
        <v>0</v>
      </c>
      <c r="BP402" s="2126">
        <v>0</v>
      </c>
      <c r="BQ402" s="2126">
        <v>0</v>
      </c>
      <c r="BR402" s="2126">
        <v>0</v>
      </c>
    </row>
    <row r="403" spans="1:70" s="1765" customFormat="1" ht="33">
      <c r="A403" s="1272">
        <v>2000</v>
      </c>
      <c r="B403" s="971" t="s">
        <v>119</v>
      </c>
      <c r="C403" s="1272">
        <v>2700</v>
      </c>
      <c r="D403" s="971" t="s">
        <v>912</v>
      </c>
      <c r="E403" s="971" t="s">
        <v>922</v>
      </c>
      <c r="F403" s="971" t="s">
        <v>923</v>
      </c>
      <c r="G403" s="971" t="s">
        <v>929</v>
      </c>
      <c r="H403" s="971" t="s">
        <v>923</v>
      </c>
      <c r="I403" s="1273" t="s">
        <v>930</v>
      </c>
      <c r="J403" s="971" t="s">
        <v>799</v>
      </c>
      <c r="K403" s="971" t="s">
        <v>931</v>
      </c>
      <c r="L403" s="971" t="s">
        <v>2895</v>
      </c>
      <c r="M403" s="971" t="s">
        <v>931</v>
      </c>
      <c r="N403" s="971" t="s">
        <v>269</v>
      </c>
      <c r="O403" s="971" t="s">
        <v>932</v>
      </c>
      <c r="P403" s="971"/>
      <c r="Q403" s="971" t="s">
        <v>933</v>
      </c>
      <c r="R403" s="1266"/>
      <c r="S403" s="2106">
        <v>1</v>
      </c>
      <c r="T403" s="1266" t="s">
        <v>2700</v>
      </c>
      <c r="U403" s="1742">
        <v>47</v>
      </c>
      <c r="V403" s="1742">
        <v>400</v>
      </c>
      <c r="W403" s="1742">
        <v>4142.58</v>
      </c>
      <c r="X403" s="1742">
        <v>4411.84</v>
      </c>
      <c r="Y403" s="2106">
        <v>8954.4199999999983</v>
      </c>
      <c r="Z403" s="2106">
        <v>47</v>
      </c>
      <c r="AA403" s="2106">
        <v>400</v>
      </c>
      <c r="AB403" s="2106">
        <v>4142.58</v>
      </c>
      <c r="AC403" s="2106">
        <v>4411.84</v>
      </c>
      <c r="AD403" s="2132">
        <v>8954.42</v>
      </c>
      <c r="AE403" s="2126">
        <v>329.26829268292681</v>
      </c>
      <c r="AF403" s="2126">
        <v>329.26829268292681</v>
      </c>
      <c r="AG403" s="1212">
        <v>1</v>
      </c>
      <c r="AH403" s="1212">
        <v>0</v>
      </c>
      <c r="AI403" s="1212">
        <v>1</v>
      </c>
      <c r="AJ403" s="1212">
        <v>0</v>
      </c>
      <c r="AK403" s="2126">
        <v>8954.42</v>
      </c>
      <c r="AL403" s="2126">
        <v>0</v>
      </c>
      <c r="AM403" s="2126">
        <v>8954.42</v>
      </c>
      <c r="AN403" s="2126">
        <v>0</v>
      </c>
      <c r="AO403" s="1743" t="s">
        <v>85</v>
      </c>
      <c r="AP403" s="1743" t="s">
        <v>90</v>
      </c>
      <c r="AQ403" s="1764">
        <v>2019</v>
      </c>
      <c r="AR403" s="1743" t="s">
        <v>87</v>
      </c>
      <c r="AS403" s="2135"/>
      <c r="AT403" s="2135"/>
      <c r="AU403" s="1212">
        <v>0.33333333333333331</v>
      </c>
      <c r="AV403" s="1212">
        <v>0.33333333333333331</v>
      </c>
      <c r="AW403" s="1212">
        <v>0.33333333333333331</v>
      </c>
      <c r="AX403" s="1212"/>
      <c r="AY403" s="1212"/>
      <c r="AZ403" s="1212"/>
      <c r="BA403" s="1212"/>
      <c r="BB403" s="1212"/>
      <c r="BC403" s="1212"/>
      <c r="BD403" s="1212"/>
      <c r="BE403" s="1212"/>
      <c r="BF403" s="2126">
        <v>0</v>
      </c>
      <c r="BG403" s="2126">
        <v>0</v>
      </c>
      <c r="BH403" s="2126">
        <v>2984.8066666666664</v>
      </c>
      <c r="BI403" s="2126">
        <v>2984.8066666666664</v>
      </c>
      <c r="BJ403" s="2126">
        <v>2984.8066666666664</v>
      </c>
      <c r="BK403" s="2126">
        <v>0</v>
      </c>
      <c r="BL403" s="2126">
        <v>0</v>
      </c>
      <c r="BM403" s="2126">
        <v>0</v>
      </c>
      <c r="BN403" s="2126">
        <v>0</v>
      </c>
      <c r="BO403" s="2126">
        <v>0</v>
      </c>
      <c r="BP403" s="2126">
        <v>0</v>
      </c>
      <c r="BQ403" s="2126">
        <v>0</v>
      </c>
      <c r="BR403" s="2126">
        <v>0</v>
      </c>
    </row>
    <row r="404" spans="1:70" s="1765" customFormat="1" ht="33">
      <c r="A404" s="1272">
        <v>2000</v>
      </c>
      <c r="B404" s="971" t="s">
        <v>119</v>
      </c>
      <c r="C404" s="1272">
        <v>2700</v>
      </c>
      <c r="D404" s="971" t="s">
        <v>912</v>
      </c>
      <c r="E404" s="971" t="s">
        <v>922</v>
      </c>
      <c r="F404" s="971" t="s">
        <v>923</v>
      </c>
      <c r="G404" s="971" t="s">
        <v>929</v>
      </c>
      <c r="H404" s="971" t="s">
        <v>923</v>
      </c>
      <c r="I404" s="1273" t="s">
        <v>930</v>
      </c>
      <c r="J404" s="971" t="s">
        <v>799</v>
      </c>
      <c r="K404" s="971" t="s">
        <v>931</v>
      </c>
      <c r="L404" s="971" t="s">
        <v>2895</v>
      </c>
      <c r="M404" s="971" t="s">
        <v>931</v>
      </c>
      <c r="N404" s="971" t="s">
        <v>269</v>
      </c>
      <c r="O404" s="971" t="s">
        <v>932</v>
      </c>
      <c r="P404" s="971"/>
      <c r="Q404" s="971" t="s">
        <v>933</v>
      </c>
      <c r="R404" s="1266" t="s">
        <v>934</v>
      </c>
      <c r="S404" s="2106">
        <v>1</v>
      </c>
      <c r="T404" s="1266" t="s">
        <v>2700</v>
      </c>
      <c r="U404" s="1742">
        <v>47</v>
      </c>
      <c r="V404" s="1742">
        <v>400</v>
      </c>
      <c r="W404" s="1742">
        <v>4142.58</v>
      </c>
      <c r="X404" s="1742">
        <v>4411.84</v>
      </c>
      <c r="Y404" s="2106">
        <v>8954.4199999999983</v>
      </c>
      <c r="Z404" s="2106">
        <v>47</v>
      </c>
      <c r="AA404" s="2106">
        <v>400</v>
      </c>
      <c r="AB404" s="2106">
        <v>4142.58</v>
      </c>
      <c r="AC404" s="2106">
        <v>4411.84</v>
      </c>
      <c r="AD404" s="2132">
        <v>8954.42</v>
      </c>
      <c r="AE404" s="2126">
        <v>329.26829268292681</v>
      </c>
      <c r="AF404" s="2126">
        <v>329.26829268292681</v>
      </c>
      <c r="AG404" s="1212">
        <v>1</v>
      </c>
      <c r="AH404" s="1212">
        <v>0</v>
      </c>
      <c r="AI404" s="1212">
        <v>1</v>
      </c>
      <c r="AJ404" s="1212">
        <v>0</v>
      </c>
      <c r="AK404" s="2126">
        <v>8954.42</v>
      </c>
      <c r="AL404" s="2126">
        <v>0</v>
      </c>
      <c r="AM404" s="2126">
        <v>8954.42</v>
      </c>
      <c r="AN404" s="2126">
        <v>0</v>
      </c>
      <c r="AO404" s="1743" t="s">
        <v>85</v>
      </c>
      <c r="AP404" s="1743" t="s">
        <v>90</v>
      </c>
      <c r="AQ404" s="1764">
        <v>2021</v>
      </c>
      <c r="AR404" s="1743" t="s">
        <v>87</v>
      </c>
      <c r="AS404" s="2135"/>
      <c r="AT404" s="2135"/>
      <c r="AU404" s="1212">
        <v>0.33333333333333331</v>
      </c>
      <c r="AV404" s="1212">
        <v>0.33333333333333331</v>
      </c>
      <c r="AW404" s="1212">
        <v>0.33333333333333331</v>
      </c>
      <c r="AX404" s="1212"/>
      <c r="AY404" s="1212"/>
      <c r="AZ404" s="1212"/>
      <c r="BA404" s="1212"/>
      <c r="BB404" s="1212"/>
      <c r="BC404" s="1212"/>
      <c r="BD404" s="1212"/>
      <c r="BE404" s="1212"/>
      <c r="BF404" s="2126">
        <v>0</v>
      </c>
      <c r="BG404" s="2126">
        <v>0</v>
      </c>
      <c r="BH404" s="2126">
        <v>2984.8066666666664</v>
      </c>
      <c r="BI404" s="2126">
        <v>2984.8066666666664</v>
      </c>
      <c r="BJ404" s="2126">
        <v>2984.8066666666664</v>
      </c>
      <c r="BK404" s="2126">
        <v>0</v>
      </c>
      <c r="BL404" s="2126">
        <v>0</v>
      </c>
      <c r="BM404" s="2126">
        <v>0</v>
      </c>
      <c r="BN404" s="2126">
        <v>0</v>
      </c>
      <c r="BO404" s="2126">
        <v>0</v>
      </c>
      <c r="BP404" s="2126">
        <v>0</v>
      </c>
      <c r="BQ404" s="2126">
        <v>0</v>
      </c>
      <c r="BR404" s="2126">
        <v>0</v>
      </c>
    </row>
    <row r="405" spans="1:70" s="1765" customFormat="1" ht="33">
      <c r="A405" s="1272">
        <v>2000</v>
      </c>
      <c r="B405" s="971" t="s">
        <v>119</v>
      </c>
      <c r="C405" s="1272">
        <v>2700</v>
      </c>
      <c r="D405" s="971" t="s">
        <v>912</v>
      </c>
      <c r="E405" s="971" t="s">
        <v>922</v>
      </c>
      <c r="F405" s="971" t="s">
        <v>923</v>
      </c>
      <c r="G405" s="971" t="s">
        <v>929</v>
      </c>
      <c r="H405" s="971" t="s">
        <v>923</v>
      </c>
      <c r="I405" s="1273" t="s">
        <v>930</v>
      </c>
      <c r="J405" s="971" t="s">
        <v>799</v>
      </c>
      <c r="K405" s="971" t="s">
        <v>931</v>
      </c>
      <c r="L405" s="971" t="s">
        <v>2895</v>
      </c>
      <c r="M405" s="971" t="s">
        <v>931</v>
      </c>
      <c r="N405" s="971" t="s">
        <v>269</v>
      </c>
      <c r="O405" s="971" t="s">
        <v>932</v>
      </c>
      <c r="P405" s="971"/>
      <c r="Q405" s="971" t="s">
        <v>933</v>
      </c>
      <c r="R405" s="1266" t="s">
        <v>934</v>
      </c>
      <c r="S405" s="2106">
        <v>-1</v>
      </c>
      <c r="T405" s="1266" t="s">
        <v>2700</v>
      </c>
      <c r="U405" s="1742">
        <v>47</v>
      </c>
      <c r="V405" s="1742">
        <v>400</v>
      </c>
      <c r="W405" s="1742">
        <v>4142.58</v>
      </c>
      <c r="X405" s="1742">
        <v>4411.84</v>
      </c>
      <c r="Y405" s="2106">
        <v>8954.4199999999983</v>
      </c>
      <c r="Z405" s="2106">
        <v>-47</v>
      </c>
      <c r="AA405" s="2106">
        <v>-400</v>
      </c>
      <c r="AB405" s="2106">
        <v>-4142.58</v>
      </c>
      <c r="AC405" s="2106">
        <v>-4411.84</v>
      </c>
      <c r="AD405" s="2132">
        <v>-8954.42</v>
      </c>
      <c r="AE405" s="2126">
        <v>329.26829268292681</v>
      </c>
      <c r="AF405" s="2126">
        <v>-329.26829268292681</v>
      </c>
      <c r="AG405" s="1212">
        <v>1</v>
      </c>
      <c r="AH405" s="1212">
        <v>0</v>
      </c>
      <c r="AI405" s="1212">
        <v>1</v>
      </c>
      <c r="AJ405" s="1212">
        <v>0</v>
      </c>
      <c r="AK405" s="2126">
        <v>-8954.42</v>
      </c>
      <c r="AL405" s="2126">
        <v>0</v>
      </c>
      <c r="AM405" s="2126">
        <v>-8954.42</v>
      </c>
      <c r="AN405" s="2126">
        <v>0</v>
      </c>
      <c r="AO405" s="1743" t="s">
        <v>85</v>
      </c>
      <c r="AP405" s="1743" t="s">
        <v>96</v>
      </c>
      <c r="AQ405" s="1764" t="s">
        <v>118</v>
      </c>
      <c r="AR405" s="1743" t="s">
        <v>87</v>
      </c>
      <c r="AS405" s="2135"/>
      <c r="AT405" s="2135"/>
      <c r="AU405" s="1212">
        <v>0.33333333333333331</v>
      </c>
      <c r="AV405" s="1212">
        <v>0.33333333333333331</v>
      </c>
      <c r="AW405" s="1212">
        <v>0.33333333333333331</v>
      </c>
      <c r="AX405" s="1212"/>
      <c r="AY405" s="1212"/>
      <c r="AZ405" s="1212"/>
      <c r="BA405" s="1212"/>
      <c r="BB405" s="1212"/>
      <c r="BC405" s="1212"/>
      <c r="BD405" s="1212"/>
      <c r="BE405" s="1212"/>
      <c r="BF405" s="2126">
        <v>0</v>
      </c>
      <c r="BG405" s="2126">
        <v>0</v>
      </c>
      <c r="BH405" s="2126">
        <v>-2984.8066666666664</v>
      </c>
      <c r="BI405" s="2126">
        <v>-2984.8066666666664</v>
      </c>
      <c r="BJ405" s="2126">
        <v>-2984.8066666666664</v>
      </c>
      <c r="BK405" s="2126">
        <v>0</v>
      </c>
      <c r="BL405" s="2126">
        <v>0</v>
      </c>
      <c r="BM405" s="2126">
        <v>0</v>
      </c>
      <c r="BN405" s="2126">
        <v>0</v>
      </c>
      <c r="BO405" s="2126">
        <v>0</v>
      </c>
      <c r="BP405" s="2126">
        <v>0</v>
      </c>
      <c r="BQ405" s="2126">
        <v>0</v>
      </c>
      <c r="BR405" s="2126">
        <v>0</v>
      </c>
    </row>
    <row r="406" spans="1:70" s="1765" customFormat="1" ht="49.5">
      <c r="A406" s="1272">
        <v>2000</v>
      </c>
      <c r="B406" s="971" t="s">
        <v>119</v>
      </c>
      <c r="C406" s="1272">
        <v>2700</v>
      </c>
      <c r="D406" s="971" t="s">
        <v>912</v>
      </c>
      <c r="E406" s="971" t="s">
        <v>922</v>
      </c>
      <c r="F406" s="971" t="s">
        <v>923</v>
      </c>
      <c r="G406" s="971" t="s">
        <v>929</v>
      </c>
      <c r="H406" s="971" t="s">
        <v>923</v>
      </c>
      <c r="I406" s="1273" t="s">
        <v>930</v>
      </c>
      <c r="J406" s="971" t="s">
        <v>799</v>
      </c>
      <c r="K406" s="971" t="s">
        <v>931</v>
      </c>
      <c r="L406" s="971" t="s">
        <v>2895</v>
      </c>
      <c r="M406" s="971" t="s">
        <v>931</v>
      </c>
      <c r="N406" s="971" t="s">
        <v>269</v>
      </c>
      <c r="O406" s="971" t="s">
        <v>932</v>
      </c>
      <c r="P406" s="971"/>
      <c r="Q406" s="971" t="s">
        <v>935</v>
      </c>
      <c r="R406" s="1266" t="s">
        <v>936</v>
      </c>
      <c r="S406" s="2106">
        <v>1</v>
      </c>
      <c r="T406" s="1266" t="s">
        <v>2700</v>
      </c>
      <c r="U406" s="1742">
        <v>47</v>
      </c>
      <c r="V406" s="1742">
        <v>400</v>
      </c>
      <c r="W406" s="1742">
        <v>4142.58</v>
      </c>
      <c r="X406" s="1742">
        <v>4411.84</v>
      </c>
      <c r="Y406" s="2106">
        <v>8954.4199999999983</v>
      </c>
      <c r="Z406" s="2106">
        <v>47</v>
      </c>
      <c r="AA406" s="2106">
        <v>400</v>
      </c>
      <c r="AB406" s="2106">
        <v>4142.58</v>
      </c>
      <c r="AC406" s="2106">
        <v>4411.84</v>
      </c>
      <c r="AD406" s="2132">
        <v>8954.42</v>
      </c>
      <c r="AE406" s="2126">
        <v>329.26829268292681</v>
      </c>
      <c r="AF406" s="2126">
        <v>329.26829268292681</v>
      </c>
      <c r="AG406" s="1212">
        <v>1</v>
      </c>
      <c r="AH406" s="1212">
        <v>0</v>
      </c>
      <c r="AI406" s="1212">
        <v>1</v>
      </c>
      <c r="AJ406" s="1212">
        <v>0</v>
      </c>
      <c r="AK406" s="2126">
        <v>8954.42</v>
      </c>
      <c r="AL406" s="2126">
        <v>0</v>
      </c>
      <c r="AM406" s="2126">
        <v>8954.42</v>
      </c>
      <c r="AN406" s="2126">
        <v>0</v>
      </c>
      <c r="AO406" s="1743" t="s">
        <v>131</v>
      </c>
      <c r="AP406" s="1743"/>
      <c r="AQ406" s="1764">
        <v>2014</v>
      </c>
      <c r="AR406" s="1743" t="s">
        <v>87</v>
      </c>
      <c r="AS406" s="2135"/>
      <c r="AT406" s="2135"/>
      <c r="AU406" s="1212">
        <v>0.33333333333333331</v>
      </c>
      <c r="AV406" s="1212">
        <v>0.33333333333333331</v>
      </c>
      <c r="AW406" s="1212">
        <v>0.33333333333333331</v>
      </c>
      <c r="AX406" s="1212"/>
      <c r="AY406" s="1212"/>
      <c r="AZ406" s="1212"/>
      <c r="BA406" s="1212"/>
      <c r="BB406" s="1212"/>
      <c r="BC406" s="1212"/>
      <c r="BD406" s="1212"/>
      <c r="BE406" s="1212"/>
      <c r="BF406" s="2126">
        <v>0</v>
      </c>
      <c r="BG406" s="2126">
        <v>0</v>
      </c>
      <c r="BH406" s="2126">
        <v>2984.8066666666664</v>
      </c>
      <c r="BI406" s="2126">
        <v>2984.8066666666664</v>
      </c>
      <c r="BJ406" s="2126">
        <v>2984.8066666666664</v>
      </c>
      <c r="BK406" s="2126">
        <v>0</v>
      </c>
      <c r="BL406" s="2126">
        <v>0</v>
      </c>
      <c r="BM406" s="2126">
        <v>0</v>
      </c>
      <c r="BN406" s="2126">
        <v>0</v>
      </c>
      <c r="BO406" s="2126">
        <v>0</v>
      </c>
      <c r="BP406" s="2126">
        <v>0</v>
      </c>
      <c r="BQ406" s="2126">
        <v>0</v>
      </c>
      <c r="BR406" s="2126">
        <v>0</v>
      </c>
    </row>
    <row r="407" spans="1:70" s="1765" customFormat="1" ht="33">
      <c r="A407" s="1272">
        <v>2000</v>
      </c>
      <c r="B407" s="971" t="s">
        <v>119</v>
      </c>
      <c r="C407" s="1272">
        <v>2700</v>
      </c>
      <c r="D407" s="971" t="s">
        <v>912</v>
      </c>
      <c r="E407" s="971" t="s">
        <v>922</v>
      </c>
      <c r="F407" s="971" t="s">
        <v>923</v>
      </c>
      <c r="G407" s="971" t="s">
        <v>929</v>
      </c>
      <c r="H407" s="971" t="s">
        <v>923</v>
      </c>
      <c r="I407" s="1273" t="s">
        <v>937</v>
      </c>
      <c r="J407" s="971" t="s">
        <v>177</v>
      </c>
      <c r="K407" s="971" t="s">
        <v>530</v>
      </c>
      <c r="L407" s="971" t="s">
        <v>531</v>
      </c>
      <c r="M407" s="971" t="s">
        <v>530</v>
      </c>
      <c r="N407" s="971" t="s">
        <v>179</v>
      </c>
      <c r="O407" s="971" t="s">
        <v>531</v>
      </c>
      <c r="P407" s="971"/>
      <c r="Q407" s="971" t="s">
        <v>938</v>
      </c>
      <c r="R407" s="1266" t="s">
        <v>939</v>
      </c>
      <c r="S407" s="2106">
        <v>1</v>
      </c>
      <c r="T407" s="1266" t="s">
        <v>242</v>
      </c>
      <c r="U407" s="1742">
        <v>31</v>
      </c>
      <c r="V407" s="1742">
        <v>325</v>
      </c>
      <c r="W407" s="1742">
        <v>2732.34</v>
      </c>
      <c r="X407" s="1742">
        <v>3584.62</v>
      </c>
      <c r="Y407" s="2106">
        <v>6641.9599999999991</v>
      </c>
      <c r="Z407" s="2106">
        <v>31</v>
      </c>
      <c r="AA407" s="2106">
        <v>325</v>
      </c>
      <c r="AB407" s="2106">
        <v>2732.34</v>
      </c>
      <c r="AC407" s="2106">
        <v>3584.62</v>
      </c>
      <c r="AD407" s="1744">
        <v>6641.96</v>
      </c>
      <c r="AE407" s="2126">
        <v>2</v>
      </c>
      <c r="AF407" s="2126">
        <v>2</v>
      </c>
      <c r="AG407" s="1212">
        <v>1</v>
      </c>
      <c r="AH407" s="1212">
        <v>0</v>
      </c>
      <c r="AI407" s="1212">
        <v>0</v>
      </c>
      <c r="AJ407" s="1212">
        <v>1</v>
      </c>
      <c r="AK407" s="2126">
        <v>6641.96</v>
      </c>
      <c r="AL407" s="2126">
        <v>0</v>
      </c>
      <c r="AM407" s="2126">
        <v>0</v>
      </c>
      <c r="AN407" s="2126">
        <v>6641.96</v>
      </c>
      <c r="AO407" s="1743" t="s">
        <v>131</v>
      </c>
      <c r="AP407" s="1743"/>
      <c r="AQ407" s="1764">
        <v>2014</v>
      </c>
      <c r="AR407" s="1743" t="s">
        <v>87</v>
      </c>
      <c r="AS407" s="2135"/>
      <c r="AT407" s="2135"/>
      <c r="AU407" s="1212">
        <v>0.33333333333333331</v>
      </c>
      <c r="AV407" s="1212">
        <v>0.33333333333333331</v>
      </c>
      <c r="AW407" s="1212">
        <v>0.33333333333333331</v>
      </c>
      <c r="AX407" s="1212"/>
      <c r="AY407" s="1212"/>
      <c r="AZ407" s="1212"/>
      <c r="BA407" s="1212"/>
      <c r="BB407" s="1212"/>
      <c r="BC407" s="1212"/>
      <c r="BD407" s="1212"/>
      <c r="BE407" s="1212"/>
      <c r="BF407" s="2126">
        <v>0</v>
      </c>
      <c r="BG407" s="2126">
        <v>0</v>
      </c>
      <c r="BH407" s="2126">
        <v>2213.9866666666667</v>
      </c>
      <c r="BI407" s="2126">
        <v>2213.9866666666667</v>
      </c>
      <c r="BJ407" s="2126">
        <v>2213.9866666666667</v>
      </c>
      <c r="BK407" s="2126">
        <v>0</v>
      </c>
      <c r="BL407" s="2126">
        <v>0</v>
      </c>
      <c r="BM407" s="2126">
        <v>0</v>
      </c>
      <c r="BN407" s="2126">
        <v>0</v>
      </c>
      <c r="BO407" s="2126">
        <v>0</v>
      </c>
      <c r="BP407" s="2126">
        <v>0</v>
      </c>
      <c r="BQ407" s="2126">
        <v>0</v>
      </c>
      <c r="BR407" s="2126">
        <v>0</v>
      </c>
    </row>
    <row r="408" spans="1:70" s="1765" customFormat="1" ht="33">
      <c r="A408" s="1272">
        <v>2000</v>
      </c>
      <c r="B408" s="971" t="s">
        <v>119</v>
      </c>
      <c r="C408" s="1272">
        <v>2700</v>
      </c>
      <c r="D408" s="971" t="s">
        <v>912</v>
      </c>
      <c r="E408" s="971" t="s">
        <v>922</v>
      </c>
      <c r="F408" s="971" t="s">
        <v>923</v>
      </c>
      <c r="G408" s="971" t="s">
        <v>929</v>
      </c>
      <c r="H408" s="971" t="s">
        <v>923</v>
      </c>
      <c r="I408" s="1273" t="s">
        <v>940</v>
      </c>
      <c r="J408" s="971" t="s">
        <v>177</v>
      </c>
      <c r="K408" s="971" t="s">
        <v>530</v>
      </c>
      <c r="L408" s="971" t="s">
        <v>531</v>
      </c>
      <c r="M408" s="971" t="s">
        <v>530</v>
      </c>
      <c r="N408" s="971" t="s">
        <v>179</v>
      </c>
      <c r="O408" s="971" t="s">
        <v>531</v>
      </c>
      <c r="P408" s="971"/>
      <c r="Q408" s="971" t="s">
        <v>941</v>
      </c>
      <c r="R408" s="1266" t="s">
        <v>942</v>
      </c>
      <c r="S408" s="2106">
        <v>1</v>
      </c>
      <c r="T408" s="1266" t="s">
        <v>242</v>
      </c>
      <c r="U408" s="1742">
        <v>31</v>
      </c>
      <c r="V408" s="1742">
        <v>325</v>
      </c>
      <c r="W408" s="1742">
        <v>2732.34</v>
      </c>
      <c r="X408" s="1742">
        <v>3584.62</v>
      </c>
      <c r="Y408" s="2106">
        <v>6641.9599999999991</v>
      </c>
      <c r="Z408" s="2106">
        <v>31</v>
      </c>
      <c r="AA408" s="2106">
        <v>325</v>
      </c>
      <c r="AB408" s="2106">
        <v>2732.34</v>
      </c>
      <c r="AC408" s="2106">
        <v>3584.62</v>
      </c>
      <c r="AD408" s="1744">
        <v>6641.96</v>
      </c>
      <c r="AE408" s="2126">
        <v>2</v>
      </c>
      <c r="AF408" s="2126">
        <v>2</v>
      </c>
      <c r="AG408" s="1212">
        <v>1</v>
      </c>
      <c r="AH408" s="1212">
        <v>0</v>
      </c>
      <c r="AI408" s="1212">
        <v>0</v>
      </c>
      <c r="AJ408" s="1212">
        <v>1</v>
      </c>
      <c r="AK408" s="2126">
        <v>6641.96</v>
      </c>
      <c r="AL408" s="2126">
        <v>0</v>
      </c>
      <c r="AM408" s="2126">
        <v>0</v>
      </c>
      <c r="AN408" s="2126">
        <v>6641.96</v>
      </c>
      <c r="AO408" s="1743" t="s">
        <v>131</v>
      </c>
      <c r="AP408" s="1743"/>
      <c r="AQ408" s="1764">
        <v>2014</v>
      </c>
      <c r="AR408" s="1743" t="s">
        <v>87</v>
      </c>
      <c r="AS408" s="2135"/>
      <c r="AT408" s="2135"/>
      <c r="AU408" s="1212">
        <v>0.33333333333333331</v>
      </c>
      <c r="AV408" s="1212">
        <v>0.33333333333333331</v>
      </c>
      <c r="AW408" s="1212">
        <v>0.33333333333333331</v>
      </c>
      <c r="AX408" s="1212"/>
      <c r="AY408" s="1212"/>
      <c r="AZ408" s="1212"/>
      <c r="BA408" s="1212"/>
      <c r="BB408" s="1212"/>
      <c r="BC408" s="1212"/>
      <c r="BD408" s="1212"/>
      <c r="BE408" s="1212"/>
      <c r="BF408" s="2126">
        <v>0</v>
      </c>
      <c r="BG408" s="2126">
        <v>0</v>
      </c>
      <c r="BH408" s="2126">
        <v>2213.9866666666667</v>
      </c>
      <c r="BI408" s="2126">
        <v>2213.9866666666667</v>
      </c>
      <c r="BJ408" s="2126">
        <v>2213.9866666666667</v>
      </c>
      <c r="BK408" s="2126">
        <v>0</v>
      </c>
      <c r="BL408" s="2126">
        <v>0</v>
      </c>
      <c r="BM408" s="2126">
        <v>0</v>
      </c>
      <c r="BN408" s="2126">
        <v>0</v>
      </c>
      <c r="BO408" s="2126">
        <v>0</v>
      </c>
      <c r="BP408" s="2126">
        <v>0</v>
      </c>
      <c r="BQ408" s="2126">
        <v>0</v>
      </c>
      <c r="BR408" s="2126">
        <v>0</v>
      </c>
    </row>
    <row r="409" spans="1:70" s="1765" customFormat="1" ht="33">
      <c r="A409" s="1272">
        <v>2000</v>
      </c>
      <c r="B409" s="971" t="s">
        <v>119</v>
      </c>
      <c r="C409" s="1272">
        <v>2700</v>
      </c>
      <c r="D409" s="971" t="s">
        <v>912</v>
      </c>
      <c r="E409" s="971" t="s">
        <v>922</v>
      </c>
      <c r="F409" s="971" t="s">
        <v>923</v>
      </c>
      <c r="G409" s="971" t="s">
        <v>929</v>
      </c>
      <c r="H409" s="971" t="s">
        <v>923</v>
      </c>
      <c r="I409" s="1273" t="s">
        <v>943</v>
      </c>
      <c r="J409" s="971" t="s">
        <v>177</v>
      </c>
      <c r="K409" s="971" t="s">
        <v>530</v>
      </c>
      <c r="L409" s="971" t="s">
        <v>531</v>
      </c>
      <c r="M409" s="971" t="s">
        <v>530</v>
      </c>
      <c r="N409" s="971" t="s">
        <v>179</v>
      </c>
      <c r="O409" s="971" t="s">
        <v>531</v>
      </c>
      <c r="P409" s="971"/>
      <c r="Q409" s="971" t="s">
        <v>944</v>
      </c>
      <c r="R409" s="1266" t="s">
        <v>945</v>
      </c>
      <c r="S409" s="2106">
        <v>1</v>
      </c>
      <c r="T409" s="1266" t="s">
        <v>242</v>
      </c>
      <c r="U409" s="1742">
        <v>31</v>
      </c>
      <c r="V409" s="1742">
        <v>325</v>
      </c>
      <c r="W409" s="1742">
        <v>2732.34</v>
      </c>
      <c r="X409" s="1742">
        <v>3584.62</v>
      </c>
      <c r="Y409" s="2106">
        <v>6641.9599999999991</v>
      </c>
      <c r="Z409" s="2106">
        <v>31</v>
      </c>
      <c r="AA409" s="2106">
        <v>325</v>
      </c>
      <c r="AB409" s="2106">
        <v>2732.34</v>
      </c>
      <c r="AC409" s="2106">
        <v>3584.62</v>
      </c>
      <c r="AD409" s="1744">
        <v>6641.96</v>
      </c>
      <c r="AE409" s="2126">
        <v>2</v>
      </c>
      <c r="AF409" s="2126">
        <v>2</v>
      </c>
      <c r="AG409" s="1212">
        <v>1</v>
      </c>
      <c r="AH409" s="1212">
        <v>0</v>
      </c>
      <c r="AI409" s="1212">
        <v>0</v>
      </c>
      <c r="AJ409" s="1212">
        <v>1</v>
      </c>
      <c r="AK409" s="2126">
        <v>6641.96</v>
      </c>
      <c r="AL409" s="2126">
        <v>0</v>
      </c>
      <c r="AM409" s="2126">
        <v>0</v>
      </c>
      <c r="AN409" s="2126">
        <v>6641.96</v>
      </c>
      <c r="AO409" s="1743" t="s">
        <v>131</v>
      </c>
      <c r="AP409" s="1743"/>
      <c r="AQ409" s="1764">
        <v>2014</v>
      </c>
      <c r="AR409" s="1743" t="s">
        <v>87</v>
      </c>
      <c r="AS409" s="2135"/>
      <c r="AT409" s="2135"/>
      <c r="AU409" s="1212">
        <v>0.33333333333333331</v>
      </c>
      <c r="AV409" s="1212">
        <v>0.33333333333333331</v>
      </c>
      <c r="AW409" s="1212">
        <v>0.33333333333333331</v>
      </c>
      <c r="AX409" s="1212"/>
      <c r="AY409" s="1212"/>
      <c r="AZ409" s="1212"/>
      <c r="BA409" s="1212"/>
      <c r="BB409" s="1212"/>
      <c r="BC409" s="1212"/>
      <c r="BD409" s="1212"/>
      <c r="BE409" s="1212"/>
      <c r="BF409" s="2126">
        <v>0</v>
      </c>
      <c r="BG409" s="2126">
        <v>0</v>
      </c>
      <c r="BH409" s="2126">
        <v>2213.9866666666667</v>
      </c>
      <c r="BI409" s="2126">
        <v>2213.9866666666667</v>
      </c>
      <c r="BJ409" s="2126">
        <v>2213.9866666666667</v>
      </c>
      <c r="BK409" s="2126">
        <v>0</v>
      </c>
      <c r="BL409" s="2126">
        <v>0</v>
      </c>
      <c r="BM409" s="2126">
        <v>0</v>
      </c>
      <c r="BN409" s="2126">
        <v>0</v>
      </c>
      <c r="BO409" s="2126">
        <v>0</v>
      </c>
      <c r="BP409" s="2126">
        <v>0</v>
      </c>
      <c r="BQ409" s="2126">
        <v>0</v>
      </c>
      <c r="BR409" s="2126">
        <v>0</v>
      </c>
    </row>
    <row r="410" spans="1:70" s="1765" customFormat="1" ht="33">
      <c r="A410" s="1272">
        <v>2000</v>
      </c>
      <c r="B410" s="971" t="s">
        <v>119</v>
      </c>
      <c r="C410" s="1272">
        <v>2700</v>
      </c>
      <c r="D410" s="971" t="s">
        <v>912</v>
      </c>
      <c r="E410" s="971" t="s">
        <v>922</v>
      </c>
      <c r="F410" s="971" t="s">
        <v>923</v>
      </c>
      <c r="G410" s="971" t="s">
        <v>929</v>
      </c>
      <c r="H410" s="971" t="s">
        <v>923</v>
      </c>
      <c r="I410" s="1273" t="s">
        <v>946</v>
      </c>
      <c r="J410" s="971" t="s">
        <v>177</v>
      </c>
      <c r="K410" s="971" t="s">
        <v>530</v>
      </c>
      <c r="L410" s="971" t="s">
        <v>531</v>
      </c>
      <c r="M410" s="971" t="s">
        <v>530</v>
      </c>
      <c r="N410" s="971" t="s">
        <v>179</v>
      </c>
      <c r="O410" s="971" t="s">
        <v>531</v>
      </c>
      <c r="P410" s="971"/>
      <c r="Q410" s="971" t="s">
        <v>947</v>
      </c>
      <c r="R410" s="1266" t="s">
        <v>948</v>
      </c>
      <c r="S410" s="2106">
        <v>1</v>
      </c>
      <c r="T410" s="1266" t="s">
        <v>242</v>
      </c>
      <c r="U410" s="1742">
        <v>31</v>
      </c>
      <c r="V410" s="1742">
        <v>325</v>
      </c>
      <c r="W410" s="1742">
        <v>2732.34</v>
      </c>
      <c r="X410" s="1742">
        <v>3584.62</v>
      </c>
      <c r="Y410" s="2106">
        <v>6641.9599999999991</v>
      </c>
      <c r="Z410" s="2106">
        <v>31</v>
      </c>
      <c r="AA410" s="2106">
        <v>325</v>
      </c>
      <c r="AB410" s="2106">
        <v>2732.34</v>
      </c>
      <c r="AC410" s="2106">
        <v>3584.62</v>
      </c>
      <c r="AD410" s="1744">
        <v>6641.96</v>
      </c>
      <c r="AE410" s="2126">
        <v>2</v>
      </c>
      <c r="AF410" s="2126">
        <v>2</v>
      </c>
      <c r="AG410" s="1212">
        <v>1</v>
      </c>
      <c r="AH410" s="1212">
        <v>0</v>
      </c>
      <c r="AI410" s="1212">
        <v>0</v>
      </c>
      <c r="AJ410" s="1212">
        <v>1</v>
      </c>
      <c r="AK410" s="2126">
        <v>6641.96</v>
      </c>
      <c r="AL410" s="2126">
        <v>0</v>
      </c>
      <c r="AM410" s="2126">
        <v>0</v>
      </c>
      <c r="AN410" s="2126">
        <v>6641.96</v>
      </c>
      <c r="AO410" s="1743" t="s">
        <v>131</v>
      </c>
      <c r="AP410" s="1743"/>
      <c r="AQ410" s="1764">
        <v>2014</v>
      </c>
      <c r="AR410" s="1743" t="s">
        <v>87</v>
      </c>
      <c r="AS410" s="2135"/>
      <c r="AT410" s="2135"/>
      <c r="AU410" s="1212">
        <v>0.33333333333333331</v>
      </c>
      <c r="AV410" s="1212">
        <v>0.33333333333333331</v>
      </c>
      <c r="AW410" s="1212">
        <v>0.33333333333333331</v>
      </c>
      <c r="AX410" s="1212"/>
      <c r="AY410" s="1212"/>
      <c r="AZ410" s="1212"/>
      <c r="BA410" s="1212"/>
      <c r="BB410" s="1212"/>
      <c r="BC410" s="1212"/>
      <c r="BD410" s="1212"/>
      <c r="BE410" s="1212"/>
      <c r="BF410" s="2126">
        <v>0</v>
      </c>
      <c r="BG410" s="2126">
        <v>0</v>
      </c>
      <c r="BH410" s="2126">
        <v>2213.9866666666667</v>
      </c>
      <c r="BI410" s="2126">
        <v>2213.9866666666667</v>
      </c>
      <c r="BJ410" s="2126">
        <v>2213.9866666666667</v>
      </c>
      <c r="BK410" s="2126">
        <v>0</v>
      </c>
      <c r="BL410" s="2126">
        <v>0</v>
      </c>
      <c r="BM410" s="2126">
        <v>0</v>
      </c>
      <c r="BN410" s="2126">
        <v>0</v>
      </c>
      <c r="BO410" s="2126">
        <v>0</v>
      </c>
      <c r="BP410" s="2126">
        <v>0</v>
      </c>
      <c r="BQ410" s="2126">
        <v>0</v>
      </c>
      <c r="BR410" s="2126">
        <v>0</v>
      </c>
    </row>
    <row r="411" spans="1:70" s="1765" customFormat="1" ht="49.5">
      <c r="A411" s="1272">
        <v>2000</v>
      </c>
      <c r="B411" s="971" t="s">
        <v>119</v>
      </c>
      <c r="C411" s="1272">
        <v>2700</v>
      </c>
      <c r="D411" s="971" t="s">
        <v>912</v>
      </c>
      <c r="E411" s="971" t="s">
        <v>922</v>
      </c>
      <c r="F411" s="971" t="s">
        <v>923</v>
      </c>
      <c r="G411" s="971" t="s">
        <v>929</v>
      </c>
      <c r="H411" s="971" t="s">
        <v>923</v>
      </c>
      <c r="I411" s="1273" t="s">
        <v>949</v>
      </c>
      <c r="J411" s="971" t="s">
        <v>177</v>
      </c>
      <c r="K411" s="971" t="s">
        <v>188</v>
      </c>
      <c r="L411" s="971" t="s">
        <v>2841</v>
      </c>
      <c r="M411" s="971" t="s">
        <v>188</v>
      </c>
      <c r="N411" s="971" t="s">
        <v>179</v>
      </c>
      <c r="O411" s="971" t="s">
        <v>189</v>
      </c>
      <c r="P411" s="971"/>
      <c r="Q411" s="971" t="s">
        <v>950</v>
      </c>
      <c r="R411" s="1266" t="s">
        <v>951</v>
      </c>
      <c r="S411" s="2106">
        <v>1</v>
      </c>
      <c r="T411" s="1266" t="s">
        <v>242</v>
      </c>
      <c r="U411" s="1742">
        <v>15.5</v>
      </c>
      <c r="V411" s="1742">
        <v>162.5</v>
      </c>
      <c r="W411" s="1742">
        <v>1366.17</v>
      </c>
      <c r="X411" s="1742">
        <v>1792.3100000000002</v>
      </c>
      <c r="Y411" s="2106">
        <v>3320.98</v>
      </c>
      <c r="Z411" s="2106">
        <v>15.5</v>
      </c>
      <c r="AA411" s="2106">
        <v>162.5</v>
      </c>
      <c r="AB411" s="2106">
        <v>1366.17</v>
      </c>
      <c r="AC411" s="2106">
        <v>1792.3100000000002</v>
      </c>
      <c r="AD411" s="1744">
        <v>3320.9800000000005</v>
      </c>
      <c r="AE411" s="2126">
        <v>20</v>
      </c>
      <c r="AF411" s="2126">
        <v>20</v>
      </c>
      <c r="AG411" s="1212">
        <v>1</v>
      </c>
      <c r="AH411" s="1212">
        <v>0</v>
      </c>
      <c r="AI411" s="1212">
        <v>0</v>
      </c>
      <c r="AJ411" s="1212">
        <v>1</v>
      </c>
      <c r="AK411" s="2126">
        <v>3320.9800000000005</v>
      </c>
      <c r="AL411" s="2126">
        <v>0</v>
      </c>
      <c r="AM411" s="2126">
        <v>0</v>
      </c>
      <c r="AN411" s="2126">
        <v>3320.9800000000005</v>
      </c>
      <c r="AO411" s="1743" t="s">
        <v>131</v>
      </c>
      <c r="AP411" s="1743"/>
      <c r="AQ411" s="1764">
        <v>2014</v>
      </c>
      <c r="AR411" s="1743" t="s">
        <v>87</v>
      </c>
      <c r="AS411" s="2135"/>
      <c r="AT411" s="2135"/>
      <c r="AU411" s="1212">
        <v>0.5</v>
      </c>
      <c r="AV411" s="1212">
        <v>0.5</v>
      </c>
      <c r="AW411" s="1212"/>
      <c r="AX411" s="1212"/>
      <c r="AY411" s="1212"/>
      <c r="AZ411" s="1212"/>
      <c r="BA411" s="1212"/>
      <c r="BB411" s="1212"/>
      <c r="BC411" s="1212"/>
      <c r="BD411" s="1212"/>
      <c r="BE411" s="1212"/>
      <c r="BF411" s="2126">
        <v>0</v>
      </c>
      <c r="BG411" s="2126">
        <v>0</v>
      </c>
      <c r="BH411" s="2126">
        <v>1660.4900000000002</v>
      </c>
      <c r="BI411" s="2126">
        <v>1660.4900000000002</v>
      </c>
      <c r="BJ411" s="2126">
        <v>0</v>
      </c>
      <c r="BK411" s="2126">
        <v>0</v>
      </c>
      <c r="BL411" s="2126">
        <v>0</v>
      </c>
      <c r="BM411" s="2126">
        <v>0</v>
      </c>
      <c r="BN411" s="2126">
        <v>0</v>
      </c>
      <c r="BO411" s="2126">
        <v>0</v>
      </c>
      <c r="BP411" s="2126">
        <v>0</v>
      </c>
      <c r="BQ411" s="2126">
        <v>0</v>
      </c>
      <c r="BR411" s="2126">
        <v>0</v>
      </c>
    </row>
    <row r="412" spans="1:70" s="1765" customFormat="1" ht="33">
      <c r="A412" s="1272">
        <v>2000</v>
      </c>
      <c r="B412" s="971" t="s">
        <v>119</v>
      </c>
      <c r="C412" s="1272">
        <v>2700</v>
      </c>
      <c r="D412" s="971" t="s">
        <v>912</v>
      </c>
      <c r="E412" s="971" t="s">
        <v>922</v>
      </c>
      <c r="F412" s="971" t="s">
        <v>923</v>
      </c>
      <c r="G412" s="971" t="s">
        <v>922</v>
      </c>
      <c r="H412" s="971" t="s">
        <v>923</v>
      </c>
      <c r="I412" s="1273" t="s">
        <v>952</v>
      </c>
      <c r="J412" s="971" t="s">
        <v>124</v>
      </c>
      <c r="K412" s="971" t="s">
        <v>140</v>
      </c>
      <c r="L412" s="971" t="s">
        <v>2909</v>
      </c>
      <c r="M412" s="971" t="s">
        <v>140</v>
      </c>
      <c r="N412" s="971" t="s">
        <v>141</v>
      </c>
      <c r="O412" s="971" t="s">
        <v>142</v>
      </c>
      <c r="P412" s="971"/>
      <c r="Q412" s="971" t="s">
        <v>953</v>
      </c>
      <c r="R412" s="1266" t="s">
        <v>926</v>
      </c>
      <c r="S412" s="2106">
        <v>390.33457249070631</v>
      </c>
      <c r="T412" s="1266" t="s">
        <v>136</v>
      </c>
      <c r="U412" s="1742">
        <v>0</v>
      </c>
      <c r="V412" s="1742">
        <v>0</v>
      </c>
      <c r="W412" s="1742">
        <v>0</v>
      </c>
      <c r="X412" s="1742">
        <v>0</v>
      </c>
      <c r="Y412" s="2106">
        <v>0</v>
      </c>
      <c r="Z412" s="2106">
        <v>0</v>
      </c>
      <c r="AA412" s="2106">
        <v>0</v>
      </c>
      <c r="AB412" s="2106">
        <v>0</v>
      </c>
      <c r="AC412" s="2106">
        <v>0</v>
      </c>
      <c r="AD412" s="1744">
        <v>0</v>
      </c>
      <c r="AE412" s="2126">
        <v>0</v>
      </c>
      <c r="AF412" s="2126">
        <v>0</v>
      </c>
      <c r="AG412" s="1212">
        <v>1</v>
      </c>
      <c r="AH412" s="1212">
        <v>0</v>
      </c>
      <c r="AI412" s="1212">
        <v>0</v>
      </c>
      <c r="AJ412" s="1212">
        <v>1</v>
      </c>
      <c r="AK412" s="2126">
        <v>0</v>
      </c>
      <c r="AL412" s="2126">
        <v>0</v>
      </c>
      <c r="AM412" s="2126">
        <v>0</v>
      </c>
      <c r="AN412" s="2126">
        <v>0</v>
      </c>
      <c r="AO412" s="1743" t="s">
        <v>131</v>
      </c>
      <c r="AP412" s="1743"/>
      <c r="AQ412" s="1764">
        <v>2014</v>
      </c>
      <c r="AR412" s="1743" t="s">
        <v>87</v>
      </c>
      <c r="AS412" s="2135"/>
      <c r="AT412" s="2135"/>
      <c r="AU412" s="1212">
        <v>0.33333333333333331</v>
      </c>
      <c r="AV412" s="1212">
        <v>0.33333333333333331</v>
      </c>
      <c r="AW412" s="1212">
        <v>0.33333333333333331</v>
      </c>
      <c r="AX412" s="1212"/>
      <c r="AY412" s="1212"/>
      <c r="AZ412" s="1212"/>
      <c r="BA412" s="1212"/>
      <c r="BB412" s="1212"/>
      <c r="BC412" s="1212"/>
      <c r="BD412" s="1212"/>
      <c r="BE412" s="1212"/>
      <c r="BF412" s="2126">
        <v>0</v>
      </c>
      <c r="BG412" s="2126">
        <v>0</v>
      </c>
      <c r="BH412" s="2126">
        <v>0</v>
      </c>
      <c r="BI412" s="2126">
        <v>0</v>
      </c>
      <c r="BJ412" s="2126">
        <v>0</v>
      </c>
      <c r="BK412" s="2126">
        <v>0</v>
      </c>
      <c r="BL412" s="2126">
        <v>0</v>
      </c>
      <c r="BM412" s="2126">
        <v>0</v>
      </c>
      <c r="BN412" s="2126">
        <v>0</v>
      </c>
      <c r="BO412" s="2126">
        <v>0</v>
      </c>
      <c r="BP412" s="2126">
        <v>0</v>
      </c>
      <c r="BQ412" s="2126">
        <v>0</v>
      </c>
      <c r="BR412" s="2126">
        <v>0</v>
      </c>
    </row>
    <row r="413" spans="1:70" s="1765" customFormat="1" ht="33">
      <c r="A413" s="1272">
        <v>2000</v>
      </c>
      <c r="B413" s="971" t="s">
        <v>119</v>
      </c>
      <c r="C413" s="1272">
        <v>2700</v>
      </c>
      <c r="D413" s="971" t="s">
        <v>912</v>
      </c>
      <c r="E413" s="971" t="s">
        <v>922</v>
      </c>
      <c r="F413" s="971" t="s">
        <v>923</v>
      </c>
      <c r="G413" s="971">
        <v>2720</v>
      </c>
      <c r="H413" s="971" t="s">
        <v>923</v>
      </c>
      <c r="I413" s="1273"/>
      <c r="J413" s="971" t="s">
        <v>177</v>
      </c>
      <c r="K413" s="971" t="s">
        <v>196</v>
      </c>
      <c r="L413" s="971" t="s">
        <v>197</v>
      </c>
      <c r="M413" s="971" t="s">
        <v>196</v>
      </c>
      <c r="N413" s="971" t="s">
        <v>179</v>
      </c>
      <c r="O413" s="971" t="s">
        <v>197</v>
      </c>
      <c r="P413" s="971"/>
      <c r="Q413" s="971" t="s">
        <v>954</v>
      </c>
      <c r="R413" s="1266"/>
      <c r="S413" s="2106">
        <v>1</v>
      </c>
      <c r="T413" s="1266" t="s">
        <v>242</v>
      </c>
      <c r="U413" s="1742">
        <v>9.6666666666666661</v>
      </c>
      <c r="V413" s="1742">
        <v>89.583333333333329</v>
      </c>
      <c r="W413" s="1742">
        <v>852.02</v>
      </c>
      <c r="X413" s="1742">
        <v>988.06833333333327</v>
      </c>
      <c r="Y413" s="2106">
        <v>1929.6716666666666</v>
      </c>
      <c r="Z413" s="2106">
        <v>9.6666666666666661</v>
      </c>
      <c r="AA413" s="2106">
        <v>89.583333333333329</v>
      </c>
      <c r="AB413" s="2106">
        <v>852.02</v>
      </c>
      <c r="AC413" s="2106">
        <v>988.06833333333327</v>
      </c>
      <c r="AD413" s="1744">
        <v>1929.6716666666666</v>
      </c>
      <c r="AE413" s="2126">
        <v>1</v>
      </c>
      <c r="AF413" s="2126">
        <v>1</v>
      </c>
      <c r="AG413" s="1212">
        <v>1</v>
      </c>
      <c r="AH413" s="1212">
        <v>0</v>
      </c>
      <c r="AI413" s="1212">
        <v>0</v>
      </c>
      <c r="AJ413" s="1212">
        <v>1</v>
      </c>
      <c r="AK413" s="2126">
        <v>1929.6716666666666</v>
      </c>
      <c r="AL413" s="2126">
        <v>0</v>
      </c>
      <c r="AM413" s="2126">
        <v>0</v>
      </c>
      <c r="AN413" s="2126">
        <v>1929.6716666666666</v>
      </c>
      <c r="AO413" s="1743" t="s">
        <v>85</v>
      </c>
      <c r="AP413" s="1743" t="s">
        <v>955</v>
      </c>
      <c r="AQ413" s="1764" t="s">
        <v>107</v>
      </c>
      <c r="AR413" s="1743" t="s">
        <v>87</v>
      </c>
      <c r="AS413" s="2135"/>
      <c r="AT413" s="2135"/>
      <c r="AU413" s="1212">
        <v>0.33333333333333331</v>
      </c>
      <c r="AV413" s="1212">
        <v>0.33333333333333331</v>
      </c>
      <c r="AW413" s="1212">
        <v>0.33333333333333331</v>
      </c>
      <c r="AX413" s="1212"/>
      <c r="AY413" s="1212"/>
      <c r="AZ413" s="1212"/>
      <c r="BA413" s="1212"/>
      <c r="BB413" s="1212"/>
      <c r="BC413" s="1212"/>
      <c r="BD413" s="1212"/>
      <c r="BE413" s="1212"/>
      <c r="BF413" s="2126">
        <v>0</v>
      </c>
      <c r="BG413" s="2126">
        <v>0</v>
      </c>
      <c r="BH413" s="2126">
        <v>643.22388888888884</v>
      </c>
      <c r="BI413" s="2126">
        <v>643.22388888888884</v>
      </c>
      <c r="BJ413" s="2126">
        <v>643.22388888888884</v>
      </c>
      <c r="BK413" s="2126">
        <v>0</v>
      </c>
      <c r="BL413" s="2126">
        <v>0</v>
      </c>
      <c r="BM413" s="2126">
        <v>0</v>
      </c>
      <c r="BN413" s="2126">
        <v>0</v>
      </c>
      <c r="BO413" s="2126">
        <v>0</v>
      </c>
      <c r="BP413" s="2126">
        <v>0</v>
      </c>
      <c r="BQ413" s="2126">
        <v>0</v>
      </c>
      <c r="BR413" s="2126">
        <v>0</v>
      </c>
    </row>
    <row r="414" spans="1:70" s="1765" customFormat="1" ht="33">
      <c r="A414" s="1272">
        <v>2000</v>
      </c>
      <c r="B414" s="971" t="s">
        <v>119</v>
      </c>
      <c r="C414" s="1272">
        <v>2700</v>
      </c>
      <c r="D414" s="971" t="s">
        <v>912</v>
      </c>
      <c r="E414" s="971" t="s">
        <v>922</v>
      </c>
      <c r="F414" s="971" t="s">
        <v>923</v>
      </c>
      <c r="G414" s="971">
        <v>2720</v>
      </c>
      <c r="H414" s="971" t="s">
        <v>923</v>
      </c>
      <c r="I414" s="1273"/>
      <c r="J414" s="971" t="s">
        <v>177</v>
      </c>
      <c r="K414" s="971" t="s">
        <v>196</v>
      </c>
      <c r="L414" s="971" t="s">
        <v>197</v>
      </c>
      <c r="M414" s="971" t="s">
        <v>196</v>
      </c>
      <c r="N414" s="971" t="s">
        <v>179</v>
      </c>
      <c r="O414" s="971" t="s">
        <v>197</v>
      </c>
      <c r="P414" s="971"/>
      <c r="Q414" s="971" t="s">
        <v>956</v>
      </c>
      <c r="R414" s="1266"/>
      <c r="S414" s="2106">
        <v>0</v>
      </c>
      <c r="T414" s="1266" t="s">
        <v>242</v>
      </c>
      <c r="U414" s="1742">
        <v>9.6666666666666661</v>
      </c>
      <c r="V414" s="1742">
        <v>89.583333333333329</v>
      </c>
      <c r="W414" s="1742">
        <v>852.02</v>
      </c>
      <c r="X414" s="1742">
        <v>988.06833333333327</v>
      </c>
      <c r="Y414" s="2106">
        <v>1929.6716666666666</v>
      </c>
      <c r="Z414" s="2106">
        <v>0</v>
      </c>
      <c r="AA414" s="2106">
        <v>0</v>
      </c>
      <c r="AB414" s="2106">
        <v>0</v>
      </c>
      <c r="AC414" s="2106">
        <v>0</v>
      </c>
      <c r="AD414" s="1744">
        <v>0</v>
      </c>
      <c r="AE414" s="2126">
        <v>1</v>
      </c>
      <c r="AF414" s="2126">
        <v>0</v>
      </c>
      <c r="AG414" s="1212">
        <v>1</v>
      </c>
      <c r="AH414" s="1212">
        <v>0</v>
      </c>
      <c r="AI414" s="1212">
        <v>0</v>
      </c>
      <c r="AJ414" s="1212">
        <v>1</v>
      </c>
      <c r="AK414" s="2126">
        <v>0</v>
      </c>
      <c r="AL414" s="2126">
        <v>0</v>
      </c>
      <c r="AM414" s="2126">
        <v>0</v>
      </c>
      <c r="AN414" s="2126">
        <v>0</v>
      </c>
      <c r="AO414" s="1743" t="s">
        <v>85</v>
      </c>
      <c r="AP414" s="1743" t="s">
        <v>96</v>
      </c>
      <c r="AQ414" s="1764" t="s">
        <v>107</v>
      </c>
      <c r="AR414" s="1743" t="s">
        <v>87</v>
      </c>
      <c r="AS414" s="2135"/>
      <c r="AT414" s="2135"/>
      <c r="AU414" s="1212">
        <v>0.33333333333333331</v>
      </c>
      <c r="AV414" s="1212">
        <v>0.33333333333333331</v>
      </c>
      <c r="AW414" s="1212">
        <v>0.33333333333333331</v>
      </c>
      <c r="AX414" s="1212"/>
      <c r="AY414" s="1212"/>
      <c r="AZ414" s="1212"/>
      <c r="BA414" s="1212"/>
      <c r="BB414" s="1212"/>
      <c r="BC414" s="1212"/>
      <c r="BD414" s="1212"/>
      <c r="BE414" s="1212"/>
      <c r="BF414" s="2126">
        <v>0</v>
      </c>
      <c r="BG414" s="2126">
        <v>0</v>
      </c>
      <c r="BH414" s="2126">
        <v>0</v>
      </c>
      <c r="BI414" s="2126">
        <v>0</v>
      </c>
      <c r="BJ414" s="2126">
        <v>0</v>
      </c>
      <c r="BK414" s="2126">
        <v>0</v>
      </c>
      <c r="BL414" s="2126">
        <v>0</v>
      </c>
      <c r="BM414" s="2126">
        <v>0</v>
      </c>
      <c r="BN414" s="2126">
        <v>0</v>
      </c>
      <c r="BO414" s="2126">
        <v>0</v>
      </c>
      <c r="BP414" s="2126">
        <v>0</v>
      </c>
      <c r="BQ414" s="2126">
        <v>0</v>
      </c>
      <c r="BR414" s="2126">
        <v>0</v>
      </c>
    </row>
    <row r="415" spans="1:70" s="1765" customFormat="1" ht="33">
      <c r="A415" s="1272">
        <v>2000</v>
      </c>
      <c r="B415" s="971" t="s">
        <v>119</v>
      </c>
      <c r="C415" s="1272">
        <v>2700</v>
      </c>
      <c r="D415" s="971" t="s">
        <v>912</v>
      </c>
      <c r="E415" s="971" t="s">
        <v>922</v>
      </c>
      <c r="F415" s="971" t="s">
        <v>923</v>
      </c>
      <c r="G415" s="971" t="s">
        <v>929</v>
      </c>
      <c r="H415" s="971" t="s">
        <v>923</v>
      </c>
      <c r="I415" s="1273" t="s">
        <v>930</v>
      </c>
      <c r="J415" s="971" t="s">
        <v>799</v>
      </c>
      <c r="K415" s="971" t="s">
        <v>931</v>
      </c>
      <c r="L415" s="971" t="s">
        <v>2895</v>
      </c>
      <c r="M415" s="971" t="s">
        <v>931</v>
      </c>
      <c r="N415" s="971" t="s">
        <v>269</v>
      </c>
      <c r="O415" s="971" t="s">
        <v>932</v>
      </c>
      <c r="P415" s="971"/>
      <c r="Q415" s="971" t="s">
        <v>957</v>
      </c>
      <c r="R415" s="1266"/>
      <c r="S415" s="2106">
        <v>1</v>
      </c>
      <c r="T415" s="1266" t="s">
        <v>2700</v>
      </c>
      <c r="U415" s="1742">
        <v>47</v>
      </c>
      <c r="V415" s="1742">
        <v>400</v>
      </c>
      <c r="W415" s="1742">
        <v>4142.58</v>
      </c>
      <c r="X415" s="1742">
        <v>4411.84</v>
      </c>
      <c r="Y415" s="2106">
        <v>8954.4199999999983</v>
      </c>
      <c r="Z415" s="2106">
        <v>47</v>
      </c>
      <c r="AA415" s="2106">
        <v>400</v>
      </c>
      <c r="AB415" s="2106">
        <v>4142.58</v>
      </c>
      <c r="AC415" s="2106">
        <v>4411.84</v>
      </c>
      <c r="AD415" s="2132">
        <v>8954.42</v>
      </c>
      <c r="AE415" s="2126">
        <v>329.26829268292681</v>
      </c>
      <c r="AF415" s="2126">
        <v>329.26829268292681</v>
      </c>
      <c r="AG415" s="1212">
        <v>1</v>
      </c>
      <c r="AH415" s="1212">
        <v>0</v>
      </c>
      <c r="AI415" s="1212">
        <v>1</v>
      </c>
      <c r="AJ415" s="1212">
        <v>0</v>
      </c>
      <c r="AK415" s="2126">
        <v>8954.42</v>
      </c>
      <c r="AL415" s="2126">
        <v>0</v>
      </c>
      <c r="AM415" s="2126">
        <v>8954.42</v>
      </c>
      <c r="AN415" s="2126">
        <v>0</v>
      </c>
      <c r="AO415" s="1743" t="s">
        <v>131</v>
      </c>
      <c r="AP415" s="1743" t="s">
        <v>90</v>
      </c>
      <c r="AQ415" s="1764" t="s">
        <v>112</v>
      </c>
      <c r="AR415" s="1743" t="s">
        <v>87</v>
      </c>
      <c r="AS415" s="2135"/>
      <c r="AT415" s="2135"/>
      <c r="AU415" s="1212">
        <v>0.33333333333333331</v>
      </c>
      <c r="AV415" s="1212">
        <v>0.33333333333333331</v>
      </c>
      <c r="AW415" s="1212">
        <v>0.33333333333333331</v>
      </c>
      <c r="AX415" s="1212"/>
      <c r="AY415" s="1212"/>
      <c r="AZ415" s="1212"/>
      <c r="BA415" s="1212"/>
      <c r="BB415" s="1212"/>
      <c r="BC415" s="1212"/>
      <c r="BD415" s="1212"/>
      <c r="BE415" s="1212"/>
      <c r="BF415" s="2126">
        <v>0</v>
      </c>
      <c r="BG415" s="2126">
        <v>0</v>
      </c>
      <c r="BH415" s="2126">
        <v>2984.8066666666664</v>
      </c>
      <c r="BI415" s="2126">
        <v>2984.8066666666664</v>
      </c>
      <c r="BJ415" s="2126">
        <v>2984.8066666666664</v>
      </c>
      <c r="BK415" s="2126">
        <v>0</v>
      </c>
      <c r="BL415" s="2126">
        <v>0</v>
      </c>
      <c r="BM415" s="2126">
        <v>0</v>
      </c>
      <c r="BN415" s="2126">
        <v>0</v>
      </c>
      <c r="BO415" s="2126">
        <v>0</v>
      </c>
      <c r="BP415" s="2126">
        <v>0</v>
      </c>
      <c r="BQ415" s="2126">
        <v>0</v>
      </c>
      <c r="BR415" s="2126">
        <v>0</v>
      </c>
    </row>
    <row r="416" spans="1:70" s="1765" customFormat="1" ht="49.5">
      <c r="A416" s="1272">
        <v>2000</v>
      </c>
      <c r="B416" s="971" t="s">
        <v>119</v>
      </c>
      <c r="C416" s="1272">
        <v>2700</v>
      </c>
      <c r="D416" s="971" t="s">
        <v>912</v>
      </c>
      <c r="E416" s="971">
        <v>2730</v>
      </c>
      <c r="F416" s="971" t="s">
        <v>958</v>
      </c>
      <c r="G416" s="971">
        <v>2735</v>
      </c>
      <c r="H416" s="971" t="s">
        <v>959</v>
      </c>
      <c r="I416" s="1273"/>
      <c r="J416" s="971" t="s">
        <v>121</v>
      </c>
      <c r="K416" s="971" t="s">
        <v>255</v>
      </c>
      <c r="L416" s="971" t="s">
        <v>2802</v>
      </c>
      <c r="M416" s="971" t="s">
        <v>255</v>
      </c>
      <c r="N416" s="971" t="s">
        <v>83</v>
      </c>
      <c r="O416" s="971" t="s">
        <v>256</v>
      </c>
      <c r="P416" s="971"/>
      <c r="Q416" s="971" t="s">
        <v>960</v>
      </c>
      <c r="R416" s="1266" t="s">
        <v>961</v>
      </c>
      <c r="S416" s="2106">
        <v>4180</v>
      </c>
      <c r="T416" s="1266" t="s">
        <v>136</v>
      </c>
      <c r="U416" s="1742">
        <v>4.4491883296460179E-2</v>
      </c>
      <c r="V416" s="1742">
        <v>0.1701</v>
      </c>
      <c r="W416" s="1742">
        <v>3.92151459375</v>
      </c>
      <c r="X416" s="1742">
        <v>0.68180304577546291</v>
      </c>
      <c r="Y416" s="2106">
        <v>4.7480795457754628</v>
      </c>
      <c r="Z416" s="2106">
        <v>185.97607217920356</v>
      </c>
      <c r="AA416" s="2106">
        <v>711.01800000000003</v>
      </c>
      <c r="AB416" s="2106">
        <v>16391.931001875</v>
      </c>
      <c r="AC416" s="2106">
        <v>2849.936731341435</v>
      </c>
      <c r="AD416" s="1744">
        <v>19846.972501341435</v>
      </c>
      <c r="AE416" s="2126">
        <v>0</v>
      </c>
      <c r="AF416" s="2126">
        <v>0</v>
      </c>
      <c r="AG416" s="1212">
        <v>1</v>
      </c>
      <c r="AH416" s="1212">
        <v>0</v>
      </c>
      <c r="AI416" s="1212">
        <v>0</v>
      </c>
      <c r="AJ416" s="1212">
        <v>1</v>
      </c>
      <c r="AK416" s="2126">
        <v>19846.972501341435</v>
      </c>
      <c r="AL416" s="2126">
        <v>0</v>
      </c>
      <c r="AM416" s="2126">
        <v>0</v>
      </c>
      <c r="AN416" s="2126">
        <v>19846.972501341435</v>
      </c>
      <c r="AO416" s="1743" t="s">
        <v>131</v>
      </c>
      <c r="AP416" s="1743" t="s">
        <v>86</v>
      </c>
      <c r="AQ416" s="1764">
        <v>2014</v>
      </c>
      <c r="AR416" s="1743" t="s">
        <v>87</v>
      </c>
      <c r="AS416" s="2135"/>
      <c r="AT416" s="2135"/>
      <c r="AU416" s="1212">
        <v>0.33333333333333331</v>
      </c>
      <c r="AV416" s="1212">
        <v>0.33333333333333331</v>
      </c>
      <c r="AW416" s="1212">
        <v>0.33333333333333331</v>
      </c>
      <c r="AX416" s="1212"/>
      <c r="AY416" s="1212"/>
      <c r="AZ416" s="1212"/>
      <c r="BA416" s="1212"/>
      <c r="BB416" s="1212"/>
      <c r="BC416" s="1212"/>
      <c r="BD416" s="1212"/>
      <c r="BE416" s="1212"/>
      <c r="BF416" s="2126">
        <v>0</v>
      </c>
      <c r="BG416" s="2126">
        <v>0</v>
      </c>
      <c r="BH416" s="2126">
        <v>6615.6575004471451</v>
      </c>
      <c r="BI416" s="2126">
        <v>6615.6575004471451</v>
      </c>
      <c r="BJ416" s="2126">
        <v>6615.6575004471451</v>
      </c>
      <c r="BK416" s="2126">
        <v>0</v>
      </c>
      <c r="BL416" s="2126">
        <v>0</v>
      </c>
      <c r="BM416" s="2126">
        <v>0</v>
      </c>
      <c r="BN416" s="2126">
        <v>0</v>
      </c>
      <c r="BO416" s="2126">
        <v>0</v>
      </c>
      <c r="BP416" s="2126">
        <v>0</v>
      </c>
      <c r="BQ416" s="2126">
        <v>0</v>
      </c>
      <c r="BR416" s="2126">
        <v>0</v>
      </c>
    </row>
    <row r="417" spans="1:70" s="1765" customFormat="1" ht="49.5">
      <c r="A417" s="1272">
        <v>2000</v>
      </c>
      <c r="B417" s="971" t="s">
        <v>119</v>
      </c>
      <c r="C417" s="1272">
        <v>2700</v>
      </c>
      <c r="D417" s="971" t="s">
        <v>912</v>
      </c>
      <c r="E417" s="971">
        <v>2730</v>
      </c>
      <c r="F417" s="971" t="s">
        <v>958</v>
      </c>
      <c r="G417" s="971">
        <v>2735</v>
      </c>
      <c r="H417" s="971" t="s">
        <v>959</v>
      </c>
      <c r="I417" s="1273"/>
      <c r="J417" s="971" t="s">
        <v>121</v>
      </c>
      <c r="K417" s="971" t="s">
        <v>255</v>
      </c>
      <c r="L417" s="971" t="s">
        <v>2802</v>
      </c>
      <c r="M417" s="971" t="s">
        <v>255</v>
      </c>
      <c r="N417" s="971" t="s">
        <v>83</v>
      </c>
      <c r="O417" s="971" t="s">
        <v>256</v>
      </c>
      <c r="P417" s="971"/>
      <c r="Q417" s="971" t="s">
        <v>962</v>
      </c>
      <c r="R417" s="1266"/>
      <c r="S417" s="2106"/>
      <c r="T417" s="1266" t="s">
        <v>136</v>
      </c>
      <c r="U417" s="1742">
        <v>4.4491883296460179E-2</v>
      </c>
      <c r="V417" s="1742">
        <v>0.1701</v>
      </c>
      <c r="W417" s="1742">
        <v>3.92151459375</v>
      </c>
      <c r="X417" s="1742">
        <v>0.68180304577546291</v>
      </c>
      <c r="Y417" s="2106">
        <v>4.7480795457754628</v>
      </c>
      <c r="Z417" s="2106">
        <v>0</v>
      </c>
      <c r="AA417" s="2106">
        <v>0</v>
      </c>
      <c r="AB417" s="2106">
        <v>0</v>
      </c>
      <c r="AC417" s="2106">
        <v>0</v>
      </c>
      <c r="AD417" s="1744">
        <v>0</v>
      </c>
      <c r="AE417" s="2126">
        <v>0</v>
      </c>
      <c r="AF417" s="2126">
        <v>0</v>
      </c>
      <c r="AG417" s="1212">
        <v>1</v>
      </c>
      <c r="AH417" s="1212">
        <v>0</v>
      </c>
      <c r="AI417" s="1212">
        <v>0</v>
      </c>
      <c r="AJ417" s="1212">
        <v>1</v>
      </c>
      <c r="AK417" s="2126">
        <v>0</v>
      </c>
      <c r="AL417" s="2126">
        <v>0</v>
      </c>
      <c r="AM417" s="2126">
        <v>0</v>
      </c>
      <c r="AN417" s="2126">
        <v>0</v>
      </c>
      <c r="AO417" s="1743" t="s">
        <v>131</v>
      </c>
      <c r="AP417" s="1743" t="s">
        <v>96</v>
      </c>
      <c r="AQ417" s="1764">
        <v>2014</v>
      </c>
      <c r="AR417" s="1743" t="s">
        <v>87</v>
      </c>
      <c r="AS417" s="2135"/>
      <c r="AT417" s="2135"/>
      <c r="AU417" s="1212">
        <v>0.33333333333333331</v>
      </c>
      <c r="AV417" s="1212">
        <v>0.33333333333333331</v>
      </c>
      <c r="AW417" s="1212">
        <v>0.33333333333333331</v>
      </c>
      <c r="AX417" s="1212"/>
      <c r="AY417" s="1212"/>
      <c r="AZ417" s="1212"/>
      <c r="BA417" s="1212"/>
      <c r="BB417" s="1212"/>
      <c r="BC417" s="1212"/>
      <c r="BD417" s="1212"/>
      <c r="BE417" s="1212"/>
      <c r="BF417" s="2126">
        <v>0</v>
      </c>
      <c r="BG417" s="2126">
        <v>0</v>
      </c>
      <c r="BH417" s="2126">
        <v>0</v>
      </c>
      <c r="BI417" s="2126">
        <v>0</v>
      </c>
      <c r="BJ417" s="2126">
        <v>0</v>
      </c>
      <c r="BK417" s="2126">
        <v>0</v>
      </c>
      <c r="BL417" s="2126">
        <v>0</v>
      </c>
      <c r="BM417" s="2126">
        <v>0</v>
      </c>
      <c r="BN417" s="2126">
        <v>0</v>
      </c>
      <c r="BO417" s="2126">
        <v>0</v>
      </c>
      <c r="BP417" s="2126">
        <v>0</v>
      </c>
      <c r="BQ417" s="2126">
        <v>0</v>
      </c>
      <c r="BR417" s="2126">
        <v>0</v>
      </c>
    </row>
    <row r="418" spans="1:70" s="1765" customFormat="1" ht="49.5">
      <c r="A418" s="1272">
        <v>2000</v>
      </c>
      <c r="B418" s="971" t="s">
        <v>119</v>
      </c>
      <c r="C418" s="1272">
        <v>2700</v>
      </c>
      <c r="D418" s="971" t="s">
        <v>912</v>
      </c>
      <c r="E418" s="971">
        <v>2730</v>
      </c>
      <c r="F418" s="971" t="s">
        <v>958</v>
      </c>
      <c r="G418" s="971">
        <v>2735</v>
      </c>
      <c r="H418" s="971" t="s">
        <v>959</v>
      </c>
      <c r="I418" s="1273"/>
      <c r="J418" s="971" t="s">
        <v>121</v>
      </c>
      <c r="K418" s="971" t="s">
        <v>255</v>
      </c>
      <c r="L418" s="971" t="s">
        <v>2802</v>
      </c>
      <c r="M418" s="971" t="s">
        <v>255</v>
      </c>
      <c r="N418" s="971" t="s">
        <v>83</v>
      </c>
      <c r="O418" s="971" t="s">
        <v>256</v>
      </c>
      <c r="P418" s="971"/>
      <c r="Q418" s="971" t="s">
        <v>960</v>
      </c>
      <c r="R418" s="1266" t="s">
        <v>964</v>
      </c>
      <c r="S418" s="2106">
        <v>4260</v>
      </c>
      <c r="T418" s="1266" t="s">
        <v>136</v>
      </c>
      <c r="U418" s="1742">
        <v>4.4491883296460179E-2</v>
      </c>
      <c r="V418" s="1742">
        <v>0.1701</v>
      </c>
      <c r="W418" s="1742">
        <v>3.92151459375</v>
      </c>
      <c r="X418" s="1742">
        <v>0.68180304577546291</v>
      </c>
      <c r="Y418" s="2106">
        <v>4.7480795457754628</v>
      </c>
      <c r="Z418" s="2106">
        <v>189.53542284292035</v>
      </c>
      <c r="AA418" s="2106">
        <v>724.62599999999998</v>
      </c>
      <c r="AB418" s="2106">
        <v>16705.652169375</v>
      </c>
      <c r="AC418" s="2106">
        <v>2904.4809750034719</v>
      </c>
      <c r="AD418" s="1744">
        <v>20226.818865003472</v>
      </c>
      <c r="AE418" s="2126">
        <v>0</v>
      </c>
      <c r="AF418" s="2126">
        <v>0</v>
      </c>
      <c r="AG418" s="1212">
        <v>1</v>
      </c>
      <c r="AH418" s="1212">
        <v>0</v>
      </c>
      <c r="AI418" s="1212">
        <v>0</v>
      </c>
      <c r="AJ418" s="1212">
        <v>1</v>
      </c>
      <c r="AK418" s="2126">
        <v>20226.818865003472</v>
      </c>
      <c r="AL418" s="2126">
        <v>0</v>
      </c>
      <c r="AM418" s="2126">
        <v>0</v>
      </c>
      <c r="AN418" s="2126">
        <v>20226.818865003472</v>
      </c>
      <c r="AO418" s="1743" t="s">
        <v>131</v>
      </c>
      <c r="AP418" s="1743" t="s">
        <v>90</v>
      </c>
      <c r="AQ418" s="1764">
        <v>2016</v>
      </c>
      <c r="AR418" s="1743" t="s">
        <v>87</v>
      </c>
      <c r="AS418" s="2135"/>
      <c r="AT418" s="2135"/>
      <c r="AU418" s="1212">
        <v>0.33333333333333331</v>
      </c>
      <c r="AV418" s="1212">
        <v>0.33333333333333331</v>
      </c>
      <c r="AW418" s="1212">
        <v>0.33333333333333331</v>
      </c>
      <c r="AX418" s="1212"/>
      <c r="AY418" s="1212"/>
      <c r="AZ418" s="1212"/>
      <c r="BA418" s="1212"/>
      <c r="BB418" s="1212"/>
      <c r="BC418" s="1212"/>
      <c r="BD418" s="1212"/>
      <c r="BE418" s="1212"/>
      <c r="BF418" s="2126">
        <v>0</v>
      </c>
      <c r="BG418" s="2126">
        <v>0</v>
      </c>
      <c r="BH418" s="2126">
        <v>6742.2729550011572</v>
      </c>
      <c r="BI418" s="2126">
        <v>6742.2729550011572</v>
      </c>
      <c r="BJ418" s="2126">
        <v>6742.2729550011572</v>
      </c>
      <c r="BK418" s="2126">
        <v>0</v>
      </c>
      <c r="BL418" s="2126">
        <v>0</v>
      </c>
      <c r="BM418" s="2126">
        <v>0</v>
      </c>
      <c r="BN418" s="2126">
        <v>0</v>
      </c>
      <c r="BO418" s="2126">
        <v>0</v>
      </c>
      <c r="BP418" s="2126">
        <v>0</v>
      </c>
      <c r="BQ418" s="2126">
        <v>0</v>
      </c>
      <c r="BR418" s="2126">
        <v>0</v>
      </c>
    </row>
    <row r="419" spans="1:70" s="1765" customFormat="1" ht="49.5">
      <c r="A419" s="1272">
        <v>2000</v>
      </c>
      <c r="B419" s="971" t="s">
        <v>119</v>
      </c>
      <c r="C419" s="1272">
        <v>2700</v>
      </c>
      <c r="D419" s="971" t="s">
        <v>912</v>
      </c>
      <c r="E419" s="971" t="s">
        <v>966</v>
      </c>
      <c r="F419" s="971" t="s">
        <v>958</v>
      </c>
      <c r="G419" s="971" t="s">
        <v>967</v>
      </c>
      <c r="H419" s="971" t="s">
        <v>968</v>
      </c>
      <c r="I419" s="1273" t="s">
        <v>969</v>
      </c>
      <c r="J419" s="971" t="s">
        <v>124</v>
      </c>
      <c r="K419" s="971" t="s">
        <v>2857</v>
      </c>
      <c r="L419" s="971" t="s">
        <v>2858</v>
      </c>
      <c r="M419" s="971" t="s">
        <v>627</v>
      </c>
      <c r="N419" s="971" t="s">
        <v>488</v>
      </c>
      <c r="O419" s="971" t="s">
        <v>539</v>
      </c>
      <c r="P419" s="971"/>
      <c r="Q419" s="971" t="s">
        <v>970</v>
      </c>
      <c r="R419" s="1266" t="s">
        <v>971</v>
      </c>
      <c r="S419" s="2106">
        <v>178.43866171003717</v>
      </c>
      <c r="T419" s="1266" t="s">
        <v>136</v>
      </c>
      <c r="U419" s="1742">
        <v>0.56041666666666667</v>
      </c>
      <c r="V419" s="1742">
        <v>2.8020833333333335</v>
      </c>
      <c r="W419" s="1742">
        <v>49.395125</v>
      </c>
      <c r="X419" s="1742">
        <v>77.264645833333333</v>
      </c>
      <c r="Y419" s="2106">
        <v>129.46185416666665</v>
      </c>
      <c r="Z419" s="2106">
        <v>100</v>
      </c>
      <c r="AA419" s="2106">
        <v>500</v>
      </c>
      <c r="AB419" s="2106">
        <v>8814</v>
      </c>
      <c r="AC419" s="2106">
        <v>13787</v>
      </c>
      <c r="AD419" s="1744">
        <v>23101</v>
      </c>
      <c r="AE419" s="2126">
        <v>1</v>
      </c>
      <c r="AF419" s="2126">
        <v>178.43866171003717</v>
      </c>
      <c r="AG419" s="1212">
        <v>1</v>
      </c>
      <c r="AH419" s="1212">
        <v>0</v>
      </c>
      <c r="AI419" s="1212">
        <v>0</v>
      </c>
      <c r="AJ419" s="1212">
        <v>1</v>
      </c>
      <c r="AK419" s="2126">
        <v>23101</v>
      </c>
      <c r="AL419" s="2126">
        <v>0</v>
      </c>
      <c r="AM419" s="2126">
        <v>0</v>
      </c>
      <c r="AN419" s="2126">
        <v>23101</v>
      </c>
      <c r="AO419" s="1743" t="s">
        <v>131</v>
      </c>
      <c r="AP419" s="1743"/>
      <c r="AQ419" s="1764">
        <v>2014</v>
      </c>
      <c r="AR419" s="1743" t="s">
        <v>87</v>
      </c>
      <c r="AS419" s="2135"/>
      <c r="AT419" s="2135"/>
      <c r="AU419" s="1212">
        <v>0.5</v>
      </c>
      <c r="AV419" s="1212">
        <v>0.5</v>
      </c>
      <c r="AW419" s="1212"/>
      <c r="AX419" s="1212"/>
      <c r="AY419" s="1212"/>
      <c r="AZ419" s="1212"/>
      <c r="BA419" s="1212"/>
      <c r="BB419" s="1212"/>
      <c r="BC419" s="1212"/>
      <c r="BD419" s="1212"/>
      <c r="BE419" s="1212"/>
      <c r="BF419" s="2126">
        <v>0</v>
      </c>
      <c r="BG419" s="2126">
        <v>0</v>
      </c>
      <c r="BH419" s="2126">
        <v>11550.5</v>
      </c>
      <c r="BI419" s="2126">
        <v>11550.5</v>
      </c>
      <c r="BJ419" s="2126">
        <v>0</v>
      </c>
      <c r="BK419" s="2126">
        <v>0</v>
      </c>
      <c r="BL419" s="2126">
        <v>0</v>
      </c>
      <c r="BM419" s="2126">
        <v>0</v>
      </c>
      <c r="BN419" s="2126">
        <v>0</v>
      </c>
      <c r="BO419" s="2126">
        <v>0</v>
      </c>
      <c r="BP419" s="2126">
        <v>0</v>
      </c>
      <c r="BQ419" s="2126">
        <v>0</v>
      </c>
      <c r="BR419" s="2126">
        <v>0</v>
      </c>
    </row>
    <row r="420" spans="1:70" s="1765" customFormat="1" ht="49.5">
      <c r="A420" s="1272">
        <v>2000</v>
      </c>
      <c r="B420" s="971" t="s">
        <v>119</v>
      </c>
      <c r="C420" s="1272">
        <v>2700</v>
      </c>
      <c r="D420" s="971" t="s">
        <v>912</v>
      </c>
      <c r="E420" s="971" t="s">
        <v>966</v>
      </c>
      <c r="F420" s="971" t="s">
        <v>958</v>
      </c>
      <c r="G420" s="971" t="s">
        <v>967</v>
      </c>
      <c r="H420" s="971" t="s">
        <v>968</v>
      </c>
      <c r="I420" s="1273" t="s">
        <v>972</v>
      </c>
      <c r="J420" s="971" t="s">
        <v>638</v>
      </c>
      <c r="K420" s="971" t="s">
        <v>1971</v>
      </c>
      <c r="L420" s="971" t="s">
        <v>639</v>
      </c>
      <c r="M420" s="971" t="s">
        <v>639</v>
      </c>
      <c r="N420" s="971" t="s">
        <v>640</v>
      </c>
      <c r="O420" s="971" t="s">
        <v>639</v>
      </c>
      <c r="P420" s="971"/>
      <c r="Q420" s="971" t="s">
        <v>973</v>
      </c>
      <c r="R420" s="1266" t="s">
        <v>974</v>
      </c>
      <c r="S420" s="2106">
        <v>258</v>
      </c>
      <c r="T420" s="1266" t="s">
        <v>991</v>
      </c>
      <c r="U420" s="1742">
        <v>0.25</v>
      </c>
      <c r="V420" s="1742">
        <v>3.125</v>
      </c>
      <c r="W420" s="1742">
        <v>22.035</v>
      </c>
      <c r="X420" s="1742">
        <v>34.467500000000001</v>
      </c>
      <c r="Y420" s="2106">
        <v>59.627499999999998</v>
      </c>
      <c r="Z420" s="2106">
        <v>64.5</v>
      </c>
      <c r="AA420" s="2106">
        <v>806.25</v>
      </c>
      <c r="AB420" s="2106">
        <v>5685.03</v>
      </c>
      <c r="AC420" s="2106">
        <v>8892.6149999999998</v>
      </c>
      <c r="AD420" s="2132">
        <v>15383.895</v>
      </c>
      <c r="AE420" s="2126">
        <v>1.0000000000000002E-2</v>
      </c>
      <c r="AF420" s="2126">
        <v>2.5800000000000005</v>
      </c>
      <c r="AG420" s="1212">
        <v>1</v>
      </c>
      <c r="AH420" s="1212">
        <v>0</v>
      </c>
      <c r="AI420" s="1212">
        <v>1</v>
      </c>
      <c r="AJ420" s="1212">
        <v>0</v>
      </c>
      <c r="AK420" s="2126">
        <v>15383.895</v>
      </c>
      <c r="AL420" s="2126">
        <v>0</v>
      </c>
      <c r="AM420" s="2126">
        <v>15383.895</v>
      </c>
      <c r="AN420" s="2126">
        <v>0</v>
      </c>
      <c r="AO420" s="1743" t="s">
        <v>131</v>
      </c>
      <c r="AP420" s="1743"/>
      <c r="AQ420" s="1764">
        <v>2014</v>
      </c>
      <c r="AR420" s="1743" t="s">
        <v>87</v>
      </c>
      <c r="AS420" s="2135"/>
      <c r="AT420" s="2135"/>
      <c r="AU420" s="1212">
        <v>0.5</v>
      </c>
      <c r="AV420" s="1212">
        <v>0.5</v>
      </c>
      <c r="AW420" s="1212"/>
      <c r="AX420" s="1212"/>
      <c r="AY420" s="1212"/>
      <c r="AZ420" s="1212"/>
      <c r="BA420" s="1212"/>
      <c r="BB420" s="1212"/>
      <c r="BC420" s="1212"/>
      <c r="BD420" s="1212"/>
      <c r="BE420" s="1212"/>
      <c r="BF420" s="2126">
        <v>0</v>
      </c>
      <c r="BG420" s="2126">
        <v>0</v>
      </c>
      <c r="BH420" s="2126">
        <v>7691.9475000000002</v>
      </c>
      <c r="BI420" s="2126">
        <v>7691.9475000000002</v>
      </c>
      <c r="BJ420" s="2126">
        <v>0</v>
      </c>
      <c r="BK420" s="2126">
        <v>0</v>
      </c>
      <c r="BL420" s="2126">
        <v>0</v>
      </c>
      <c r="BM420" s="2126">
        <v>0</v>
      </c>
      <c r="BN420" s="2126">
        <v>0</v>
      </c>
      <c r="BO420" s="2126">
        <v>0</v>
      </c>
      <c r="BP420" s="2126">
        <v>0</v>
      </c>
      <c r="BQ420" s="2126">
        <v>0</v>
      </c>
      <c r="BR420" s="2126">
        <v>0</v>
      </c>
    </row>
    <row r="421" spans="1:70" s="1765" customFormat="1" ht="49.5">
      <c r="A421" s="1272">
        <v>2000</v>
      </c>
      <c r="B421" s="971" t="s">
        <v>119</v>
      </c>
      <c r="C421" s="1272">
        <v>2700</v>
      </c>
      <c r="D421" s="971" t="s">
        <v>912</v>
      </c>
      <c r="E421" s="971" t="s">
        <v>966</v>
      </c>
      <c r="F421" s="971" t="s">
        <v>958</v>
      </c>
      <c r="G421" s="971" t="s">
        <v>975</v>
      </c>
      <c r="H421" s="971" t="s">
        <v>968</v>
      </c>
      <c r="I421" s="1273" t="s">
        <v>976</v>
      </c>
      <c r="J421" s="971" t="s">
        <v>799</v>
      </c>
      <c r="K421" s="971" t="s">
        <v>977</v>
      </c>
      <c r="L421" s="971" t="s">
        <v>2896</v>
      </c>
      <c r="M421" s="971" t="s">
        <v>977</v>
      </c>
      <c r="N421" s="971" t="s">
        <v>269</v>
      </c>
      <c r="O421" s="971" t="s">
        <v>978</v>
      </c>
      <c r="P421" s="971"/>
      <c r="Q421" s="971" t="s">
        <v>979</v>
      </c>
      <c r="R421" s="1266" t="s">
        <v>971</v>
      </c>
      <c r="S421" s="2106">
        <v>1</v>
      </c>
      <c r="T421" s="1266" t="s">
        <v>2700</v>
      </c>
      <c r="U421" s="1742">
        <v>51</v>
      </c>
      <c r="V421" s="1742">
        <v>450</v>
      </c>
      <c r="W421" s="1742">
        <v>4495.1399999999994</v>
      </c>
      <c r="X421" s="1742">
        <v>4963.32</v>
      </c>
      <c r="Y421" s="2106">
        <v>9908.4599999999991</v>
      </c>
      <c r="Z421" s="2106">
        <v>51</v>
      </c>
      <c r="AA421" s="2106">
        <v>450</v>
      </c>
      <c r="AB421" s="2106">
        <v>4495.1399999999994</v>
      </c>
      <c r="AC421" s="2106">
        <v>4963.32</v>
      </c>
      <c r="AD421" s="2132">
        <v>9908.4599999999991</v>
      </c>
      <c r="AE421" s="2126">
        <v>329.26829268292681</v>
      </c>
      <c r="AF421" s="2126">
        <v>329.26829268292681</v>
      </c>
      <c r="AG421" s="1212">
        <v>1</v>
      </c>
      <c r="AH421" s="1212">
        <v>0</v>
      </c>
      <c r="AI421" s="1212">
        <v>1</v>
      </c>
      <c r="AJ421" s="1212">
        <v>0</v>
      </c>
      <c r="AK421" s="2126">
        <v>9908.4599999999991</v>
      </c>
      <c r="AL421" s="2126">
        <v>0</v>
      </c>
      <c r="AM421" s="2126">
        <v>9908.4599999999991</v>
      </c>
      <c r="AN421" s="2126">
        <v>0</v>
      </c>
      <c r="AO421" s="1743" t="s">
        <v>131</v>
      </c>
      <c r="AP421" s="1743"/>
      <c r="AQ421" s="1764">
        <v>2014</v>
      </c>
      <c r="AR421" s="1743" t="s">
        <v>87</v>
      </c>
      <c r="AS421" s="2135"/>
      <c r="AT421" s="2135"/>
      <c r="AU421" s="1212">
        <v>0.5</v>
      </c>
      <c r="AV421" s="1212">
        <v>0.5</v>
      </c>
      <c r="AW421" s="1212"/>
      <c r="AX421" s="1212"/>
      <c r="AY421" s="1212"/>
      <c r="AZ421" s="1212"/>
      <c r="BA421" s="1212"/>
      <c r="BB421" s="1212"/>
      <c r="BC421" s="1212"/>
      <c r="BD421" s="1212"/>
      <c r="BE421" s="1212"/>
      <c r="BF421" s="2126">
        <v>0</v>
      </c>
      <c r="BG421" s="2126">
        <v>0</v>
      </c>
      <c r="BH421" s="2126">
        <v>4954.2299999999996</v>
      </c>
      <c r="BI421" s="2126">
        <v>4954.2299999999996</v>
      </c>
      <c r="BJ421" s="2126">
        <v>0</v>
      </c>
      <c r="BK421" s="2126">
        <v>0</v>
      </c>
      <c r="BL421" s="2126">
        <v>0</v>
      </c>
      <c r="BM421" s="2126">
        <v>0</v>
      </c>
      <c r="BN421" s="2126">
        <v>0</v>
      </c>
      <c r="BO421" s="2126">
        <v>0</v>
      </c>
      <c r="BP421" s="2126">
        <v>0</v>
      </c>
      <c r="BQ421" s="2126">
        <v>0</v>
      </c>
      <c r="BR421" s="2126">
        <v>0</v>
      </c>
    </row>
    <row r="422" spans="1:70" s="1765" customFormat="1" ht="49.5">
      <c r="A422" s="1272">
        <v>2000</v>
      </c>
      <c r="B422" s="971" t="s">
        <v>119</v>
      </c>
      <c r="C422" s="1272">
        <v>2700</v>
      </c>
      <c r="D422" s="971" t="s">
        <v>912</v>
      </c>
      <c r="E422" s="971" t="s">
        <v>966</v>
      </c>
      <c r="F422" s="971" t="s">
        <v>958</v>
      </c>
      <c r="G422" s="971" t="s">
        <v>967</v>
      </c>
      <c r="H422" s="971" t="s">
        <v>968</v>
      </c>
      <c r="I422" s="1273" t="s">
        <v>980</v>
      </c>
      <c r="J422" s="971" t="s">
        <v>124</v>
      </c>
      <c r="K422" s="971" t="s">
        <v>2857</v>
      </c>
      <c r="L422" s="971" t="s">
        <v>2858</v>
      </c>
      <c r="M422" s="971" t="s">
        <v>734</v>
      </c>
      <c r="N422" s="971" t="s">
        <v>488</v>
      </c>
      <c r="O422" s="971" t="s">
        <v>128</v>
      </c>
      <c r="P422" s="971"/>
      <c r="Q422" s="971" t="s">
        <v>981</v>
      </c>
      <c r="R422" s="1266" t="s">
        <v>982</v>
      </c>
      <c r="S422" s="2106">
        <v>29.739776951672862</v>
      </c>
      <c r="T422" s="1266" t="s">
        <v>136</v>
      </c>
      <c r="U422" s="1742">
        <v>0.56041666666666667</v>
      </c>
      <c r="V422" s="1742">
        <v>2.8020833333333335</v>
      </c>
      <c r="W422" s="1742">
        <v>49.395125</v>
      </c>
      <c r="X422" s="1742">
        <v>77.264645833333333</v>
      </c>
      <c r="Y422" s="2106">
        <v>129.46185416666665</v>
      </c>
      <c r="Z422" s="2106">
        <v>16.666666666666668</v>
      </c>
      <c r="AA422" s="2106">
        <v>83.333333333333343</v>
      </c>
      <c r="AB422" s="2106">
        <v>1469</v>
      </c>
      <c r="AC422" s="2106">
        <v>2297.8333333333335</v>
      </c>
      <c r="AD422" s="1744">
        <v>3850.166666666667</v>
      </c>
      <c r="AE422" s="2126">
        <v>1</v>
      </c>
      <c r="AF422" s="2126">
        <v>29.739776951672862</v>
      </c>
      <c r="AG422" s="1212">
        <v>1</v>
      </c>
      <c r="AH422" s="1212">
        <v>0</v>
      </c>
      <c r="AI422" s="1212">
        <v>0</v>
      </c>
      <c r="AJ422" s="1212">
        <v>1</v>
      </c>
      <c r="AK422" s="2126">
        <v>3850.166666666667</v>
      </c>
      <c r="AL422" s="2126">
        <v>0</v>
      </c>
      <c r="AM422" s="2126">
        <v>0</v>
      </c>
      <c r="AN422" s="2126">
        <v>3850.166666666667</v>
      </c>
      <c r="AO422" s="1743" t="s">
        <v>131</v>
      </c>
      <c r="AP422" s="1743"/>
      <c r="AQ422" s="1764">
        <v>2014</v>
      </c>
      <c r="AR422" s="1743" t="s">
        <v>87</v>
      </c>
      <c r="AS422" s="2135"/>
      <c r="AT422" s="2135"/>
      <c r="AU422" s="1212">
        <v>0.5</v>
      </c>
      <c r="AV422" s="1212">
        <v>0.5</v>
      </c>
      <c r="AW422" s="1212"/>
      <c r="AX422" s="1212"/>
      <c r="AY422" s="1212"/>
      <c r="AZ422" s="1212"/>
      <c r="BA422" s="1212"/>
      <c r="BB422" s="1212"/>
      <c r="BC422" s="1212"/>
      <c r="BD422" s="1212"/>
      <c r="BE422" s="1212"/>
      <c r="BF422" s="2126">
        <v>0</v>
      </c>
      <c r="BG422" s="2126">
        <v>0</v>
      </c>
      <c r="BH422" s="2126">
        <v>1925.0833333333335</v>
      </c>
      <c r="BI422" s="2126">
        <v>1925.0833333333335</v>
      </c>
      <c r="BJ422" s="2126">
        <v>0</v>
      </c>
      <c r="BK422" s="2126">
        <v>0</v>
      </c>
      <c r="BL422" s="2126">
        <v>0</v>
      </c>
      <c r="BM422" s="2126">
        <v>0</v>
      </c>
      <c r="BN422" s="2126">
        <v>0</v>
      </c>
      <c r="BO422" s="2126">
        <v>0</v>
      </c>
      <c r="BP422" s="2126">
        <v>0</v>
      </c>
      <c r="BQ422" s="2126">
        <v>0</v>
      </c>
      <c r="BR422" s="2126">
        <v>0</v>
      </c>
    </row>
    <row r="423" spans="1:70" s="1765" customFormat="1" ht="49.5">
      <c r="A423" s="1272">
        <v>2000</v>
      </c>
      <c r="B423" s="971" t="s">
        <v>119</v>
      </c>
      <c r="C423" s="1272">
        <v>2700</v>
      </c>
      <c r="D423" s="971" t="s">
        <v>912</v>
      </c>
      <c r="E423" s="971" t="s">
        <v>966</v>
      </c>
      <c r="F423" s="971" t="s">
        <v>958</v>
      </c>
      <c r="G423" s="971" t="s">
        <v>967</v>
      </c>
      <c r="H423" s="971" t="s">
        <v>968</v>
      </c>
      <c r="I423" s="1273" t="s">
        <v>983</v>
      </c>
      <c r="J423" s="971" t="s">
        <v>124</v>
      </c>
      <c r="K423" s="971" t="s">
        <v>140</v>
      </c>
      <c r="L423" s="971" t="s">
        <v>2909</v>
      </c>
      <c r="M423" s="971" t="s">
        <v>140</v>
      </c>
      <c r="N423" s="971" t="s">
        <v>141</v>
      </c>
      <c r="O423" s="971" t="s">
        <v>142</v>
      </c>
      <c r="P423" s="971"/>
      <c r="Q423" s="971" t="s">
        <v>984</v>
      </c>
      <c r="R423" s="1266" t="s">
        <v>982</v>
      </c>
      <c r="S423" s="2106">
        <v>29.739776951672862</v>
      </c>
      <c r="T423" s="1266" t="s">
        <v>136</v>
      </c>
      <c r="U423" s="1742">
        <v>0</v>
      </c>
      <c r="V423" s="1742">
        <v>0</v>
      </c>
      <c r="W423" s="1742">
        <v>0</v>
      </c>
      <c r="X423" s="1742">
        <v>0</v>
      </c>
      <c r="Y423" s="2106">
        <v>0</v>
      </c>
      <c r="Z423" s="2106">
        <v>0</v>
      </c>
      <c r="AA423" s="2106">
        <v>0</v>
      </c>
      <c r="AB423" s="2106">
        <v>0</v>
      </c>
      <c r="AC423" s="2106">
        <v>0</v>
      </c>
      <c r="AD423" s="1744">
        <v>0</v>
      </c>
      <c r="AE423" s="2126">
        <v>0</v>
      </c>
      <c r="AF423" s="2126">
        <v>0</v>
      </c>
      <c r="AG423" s="1212">
        <v>1</v>
      </c>
      <c r="AH423" s="1212">
        <v>0</v>
      </c>
      <c r="AI423" s="1212">
        <v>0</v>
      </c>
      <c r="AJ423" s="1212">
        <v>1</v>
      </c>
      <c r="AK423" s="2126">
        <v>0</v>
      </c>
      <c r="AL423" s="2126">
        <v>0</v>
      </c>
      <c r="AM423" s="2126">
        <v>0</v>
      </c>
      <c r="AN423" s="2126">
        <v>0</v>
      </c>
      <c r="AO423" s="1743" t="s">
        <v>131</v>
      </c>
      <c r="AP423" s="1743"/>
      <c r="AQ423" s="1764">
        <v>2014</v>
      </c>
      <c r="AR423" s="1743" t="s">
        <v>87</v>
      </c>
      <c r="AS423" s="2135"/>
      <c r="AT423" s="2135"/>
      <c r="AU423" s="1212">
        <v>0.5</v>
      </c>
      <c r="AV423" s="1212">
        <v>0.5</v>
      </c>
      <c r="AW423" s="1212"/>
      <c r="AX423" s="1212"/>
      <c r="AY423" s="1212"/>
      <c r="AZ423" s="1212"/>
      <c r="BA423" s="1212"/>
      <c r="BB423" s="1212"/>
      <c r="BC423" s="1212"/>
      <c r="BD423" s="1212"/>
      <c r="BE423" s="1212"/>
      <c r="BF423" s="2126">
        <v>0</v>
      </c>
      <c r="BG423" s="2126">
        <v>0</v>
      </c>
      <c r="BH423" s="2126">
        <v>0</v>
      </c>
      <c r="BI423" s="2126">
        <v>0</v>
      </c>
      <c r="BJ423" s="2126">
        <v>0</v>
      </c>
      <c r="BK423" s="2126">
        <v>0</v>
      </c>
      <c r="BL423" s="2126">
        <v>0</v>
      </c>
      <c r="BM423" s="2126">
        <v>0</v>
      </c>
      <c r="BN423" s="2126">
        <v>0</v>
      </c>
      <c r="BO423" s="2126">
        <v>0</v>
      </c>
      <c r="BP423" s="2126">
        <v>0</v>
      </c>
      <c r="BQ423" s="2126">
        <v>0</v>
      </c>
      <c r="BR423" s="2126">
        <v>0</v>
      </c>
    </row>
    <row r="424" spans="1:70" s="1765" customFormat="1" ht="49.5">
      <c r="A424" s="1272">
        <v>2000</v>
      </c>
      <c r="B424" s="971" t="s">
        <v>119</v>
      </c>
      <c r="C424" s="1272">
        <v>2700</v>
      </c>
      <c r="D424" s="971" t="s">
        <v>912</v>
      </c>
      <c r="E424" s="971" t="s">
        <v>966</v>
      </c>
      <c r="F424" s="971" t="s">
        <v>958</v>
      </c>
      <c r="G424" s="971" t="s">
        <v>967</v>
      </c>
      <c r="H424" s="971" t="s">
        <v>968</v>
      </c>
      <c r="I424" s="1273" t="s">
        <v>985</v>
      </c>
      <c r="J424" s="971" t="s">
        <v>124</v>
      </c>
      <c r="K424" s="971"/>
      <c r="L424" s="971" t="e">
        <v>#N/A</v>
      </c>
      <c r="M424" s="971" t="s">
        <v>145</v>
      </c>
      <c r="N424" s="971" t="s">
        <v>141</v>
      </c>
      <c r="O424" s="971" t="s">
        <v>146</v>
      </c>
      <c r="P424" s="971"/>
      <c r="Q424" s="971" t="s">
        <v>986</v>
      </c>
      <c r="R424" s="1266" t="s">
        <v>982</v>
      </c>
      <c r="S424" s="2106">
        <v>29.739776951672862</v>
      </c>
      <c r="T424" s="1266" t="s">
        <v>136</v>
      </c>
      <c r="U424" s="1742" t="s">
        <v>6588</v>
      </c>
      <c r="V424" s="1742" t="s">
        <v>6588</v>
      </c>
      <c r="W424" s="1742" t="s">
        <v>6588</v>
      </c>
      <c r="X424" s="1742" t="s">
        <v>6588</v>
      </c>
      <c r="Y424" s="2106" t="s">
        <v>6588</v>
      </c>
      <c r="Z424" s="2106">
        <v>0</v>
      </c>
      <c r="AA424" s="2106">
        <v>0</v>
      </c>
      <c r="AB424" s="2106">
        <v>0</v>
      </c>
      <c r="AC424" s="2106">
        <v>0</v>
      </c>
      <c r="AD424" s="1744">
        <v>0</v>
      </c>
      <c r="AE424" s="2126">
        <v>0</v>
      </c>
      <c r="AF424" s="2126">
        <v>0</v>
      </c>
      <c r="AG424" s="1212">
        <v>1</v>
      </c>
      <c r="AH424" s="1212">
        <v>0</v>
      </c>
      <c r="AI424" s="1212">
        <v>0</v>
      </c>
      <c r="AJ424" s="1212">
        <v>1</v>
      </c>
      <c r="AK424" s="2126">
        <v>0</v>
      </c>
      <c r="AL424" s="2126">
        <v>0</v>
      </c>
      <c r="AM424" s="2126">
        <v>0</v>
      </c>
      <c r="AN424" s="2126">
        <v>0</v>
      </c>
      <c r="AO424" s="1743" t="s">
        <v>131</v>
      </c>
      <c r="AP424" s="1743"/>
      <c r="AQ424" s="1764">
        <v>2014</v>
      </c>
      <c r="AR424" s="1743" t="s">
        <v>87</v>
      </c>
      <c r="AS424" s="2135"/>
      <c r="AT424" s="2135"/>
      <c r="AU424" s="1212">
        <v>0.5</v>
      </c>
      <c r="AV424" s="1212">
        <v>0.5</v>
      </c>
      <c r="AW424" s="1212"/>
      <c r="AX424" s="1212"/>
      <c r="AY424" s="1212"/>
      <c r="AZ424" s="1212"/>
      <c r="BA424" s="1212"/>
      <c r="BB424" s="1212"/>
      <c r="BC424" s="1212"/>
      <c r="BD424" s="1212"/>
      <c r="BE424" s="1212"/>
      <c r="BF424" s="2126">
        <v>0</v>
      </c>
      <c r="BG424" s="2126">
        <v>0</v>
      </c>
      <c r="BH424" s="2126">
        <v>0</v>
      </c>
      <c r="BI424" s="2126">
        <v>0</v>
      </c>
      <c r="BJ424" s="2126">
        <v>0</v>
      </c>
      <c r="BK424" s="2126">
        <v>0</v>
      </c>
      <c r="BL424" s="2126">
        <v>0</v>
      </c>
      <c r="BM424" s="2126">
        <v>0</v>
      </c>
      <c r="BN424" s="2126">
        <v>0</v>
      </c>
      <c r="BO424" s="2126">
        <v>0</v>
      </c>
      <c r="BP424" s="2126">
        <v>0</v>
      </c>
      <c r="BQ424" s="2126">
        <v>0</v>
      </c>
      <c r="BR424" s="2126">
        <v>0</v>
      </c>
    </row>
    <row r="425" spans="1:70" s="1765" customFormat="1" ht="49.5">
      <c r="A425" s="1272">
        <v>2000</v>
      </c>
      <c r="B425" s="971" t="s">
        <v>119</v>
      </c>
      <c r="C425" s="1272">
        <v>2700</v>
      </c>
      <c r="D425" s="971" t="s">
        <v>912</v>
      </c>
      <c r="E425" s="971" t="s">
        <v>966</v>
      </c>
      <c r="F425" s="971" t="s">
        <v>958</v>
      </c>
      <c r="G425" s="971" t="s">
        <v>967</v>
      </c>
      <c r="H425" s="971" t="s">
        <v>968</v>
      </c>
      <c r="I425" s="1273" t="s">
        <v>987</v>
      </c>
      <c r="J425" s="971" t="s">
        <v>638</v>
      </c>
      <c r="K425" s="971"/>
      <c r="L425" s="971" t="e">
        <v>#N/A</v>
      </c>
      <c r="M425" s="971" t="s">
        <v>988</v>
      </c>
      <c r="N425" s="971" t="s">
        <v>640</v>
      </c>
      <c r="O425" s="971" t="s">
        <v>988</v>
      </c>
      <c r="P425" s="971"/>
      <c r="Q425" s="971" t="s">
        <v>989</v>
      </c>
      <c r="R425" s="1266" t="s">
        <v>990</v>
      </c>
      <c r="S425" s="2106">
        <v>128</v>
      </c>
      <c r="T425" s="1266" t="s">
        <v>991</v>
      </c>
      <c r="U425" s="1742" t="s">
        <v>6588</v>
      </c>
      <c r="V425" s="1742" t="s">
        <v>6588</v>
      </c>
      <c r="W425" s="1742" t="s">
        <v>6588</v>
      </c>
      <c r="X425" s="1742" t="s">
        <v>6588</v>
      </c>
      <c r="Y425" s="2106" t="s">
        <v>6588</v>
      </c>
      <c r="Z425" s="2106">
        <v>0</v>
      </c>
      <c r="AA425" s="2106">
        <v>0</v>
      </c>
      <c r="AB425" s="2106">
        <v>0</v>
      </c>
      <c r="AC425" s="2106">
        <v>0</v>
      </c>
      <c r="AD425" s="1744">
        <v>0</v>
      </c>
      <c r="AE425" s="2126">
        <v>0</v>
      </c>
      <c r="AF425" s="2126">
        <v>0</v>
      </c>
      <c r="AG425" s="1212">
        <v>1</v>
      </c>
      <c r="AH425" s="1212">
        <v>0</v>
      </c>
      <c r="AI425" s="1212">
        <v>0</v>
      </c>
      <c r="AJ425" s="1212">
        <v>1</v>
      </c>
      <c r="AK425" s="2126">
        <v>0</v>
      </c>
      <c r="AL425" s="2126">
        <v>0</v>
      </c>
      <c r="AM425" s="2126">
        <v>0</v>
      </c>
      <c r="AN425" s="2126">
        <v>0</v>
      </c>
      <c r="AO425" s="1743" t="s">
        <v>131</v>
      </c>
      <c r="AP425" s="1743"/>
      <c r="AQ425" s="1764">
        <v>2014</v>
      </c>
      <c r="AR425" s="1743" t="s">
        <v>87</v>
      </c>
      <c r="AS425" s="2135"/>
      <c r="AT425" s="2135"/>
      <c r="AU425" s="1212">
        <v>0.5</v>
      </c>
      <c r="AV425" s="1212">
        <v>0.5</v>
      </c>
      <c r="AW425" s="1212"/>
      <c r="AX425" s="1212"/>
      <c r="AY425" s="1212"/>
      <c r="AZ425" s="1212"/>
      <c r="BA425" s="1212"/>
      <c r="BB425" s="1212"/>
      <c r="BC425" s="1212"/>
      <c r="BD425" s="1212"/>
      <c r="BE425" s="1212"/>
      <c r="BF425" s="2126">
        <v>0</v>
      </c>
      <c r="BG425" s="2126">
        <v>0</v>
      </c>
      <c r="BH425" s="2126">
        <v>0</v>
      </c>
      <c r="BI425" s="2126">
        <v>0</v>
      </c>
      <c r="BJ425" s="2126">
        <v>0</v>
      </c>
      <c r="BK425" s="2126">
        <v>0</v>
      </c>
      <c r="BL425" s="2126">
        <v>0</v>
      </c>
      <c r="BM425" s="2126">
        <v>0</v>
      </c>
      <c r="BN425" s="2126">
        <v>0</v>
      </c>
      <c r="BO425" s="2126">
        <v>0</v>
      </c>
      <c r="BP425" s="2126">
        <v>0</v>
      </c>
      <c r="BQ425" s="2126">
        <v>0</v>
      </c>
      <c r="BR425" s="2126">
        <v>0</v>
      </c>
    </row>
    <row r="426" spans="1:70" s="1765" customFormat="1" ht="49.5">
      <c r="A426" s="1272">
        <v>2000</v>
      </c>
      <c r="B426" s="971" t="s">
        <v>119</v>
      </c>
      <c r="C426" s="1272">
        <v>2700</v>
      </c>
      <c r="D426" s="971" t="s">
        <v>912</v>
      </c>
      <c r="E426" s="971" t="s">
        <v>966</v>
      </c>
      <c r="F426" s="971" t="s">
        <v>958</v>
      </c>
      <c r="G426" s="971" t="s">
        <v>967</v>
      </c>
      <c r="H426" s="971" t="s">
        <v>968</v>
      </c>
      <c r="I426" s="1273" t="s">
        <v>992</v>
      </c>
      <c r="J426" s="971" t="s">
        <v>124</v>
      </c>
      <c r="K426" s="971" t="s">
        <v>140</v>
      </c>
      <c r="L426" s="971" t="s">
        <v>2909</v>
      </c>
      <c r="M426" s="971" t="s">
        <v>140</v>
      </c>
      <c r="N426" s="971" t="s">
        <v>141</v>
      </c>
      <c r="O426" s="971" t="s">
        <v>142</v>
      </c>
      <c r="P426" s="971"/>
      <c r="Q426" s="971" t="s">
        <v>993</v>
      </c>
      <c r="R426" s="1266" t="s">
        <v>971</v>
      </c>
      <c r="S426" s="2106">
        <v>178.43866171003717</v>
      </c>
      <c r="T426" s="1266" t="s">
        <v>136</v>
      </c>
      <c r="U426" s="1742">
        <v>0</v>
      </c>
      <c r="V426" s="1742">
        <v>0</v>
      </c>
      <c r="W426" s="1742">
        <v>0</v>
      </c>
      <c r="X426" s="1742">
        <v>0</v>
      </c>
      <c r="Y426" s="2106">
        <v>0</v>
      </c>
      <c r="Z426" s="2106">
        <v>0</v>
      </c>
      <c r="AA426" s="2106">
        <v>0</v>
      </c>
      <c r="AB426" s="2106">
        <v>0</v>
      </c>
      <c r="AC426" s="2106">
        <v>0</v>
      </c>
      <c r="AD426" s="1744">
        <v>0</v>
      </c>
      <c r="AE426" s="2126">
        <v>0</v>
      </c>
      <c r="AF426" s="2126">
        <v>0</v>
      </c>
      <c r="AG426" s="1212">
        <v>1</v>
      </c>
      <c r="AH426" s="1212">
        <v>0</v>
      </c>
      <c r="AI426" s="1212">
        <v>0</v>
      </c>
      <c r="AJ426" s="1212">
        <v>1</v>
      </c>
      <c r="AK426" s="2126">
        <v>0</v>
      </c>
      <c r="AL426" s="2126">
        <v>0</v>
      </c>
      <c r="AM426" s="2126">
        <v>0</v>
      </c>
      <c r="AN426" s="2126">
        <v>0</v>
      </c>
      <c r="AO426" s="1743" t="s">
        <v>131</v>
      </c>
      <c r="AP426" s="1743"/>
      <c r="AQ426" s="1764">
        <v>2014</v>
      </c>
      <c r="AR426" s="1743" t="s">
        <v>87</v>
      </c>
      <c r="AS426" s="2135"/>
      <c r="AT426" s="2135"/>
      <c r="AU426" s="1212">
        <v>0.5</v>
      </c>
      <c r="AV426" s="1212">
        <v>0.5</v>
      </c>
      <c r="AW426" s="1212"/>
      <c r="AX426" s="1212"/>
      <c r="AY426" s="1212"/>
      <c r="AZ426" s="1212"/>
      <c r="BA426" s="1212"/>
      <c r="BB426" s="1212"/>
      <c r="BC426" s="1212"/>
      <c r="BD426" s="1212"/>
      <c r="BE426" s="1212"/>
      <c r="BF426" s="2126">
        <v>0</v>
      </c>
      <c r="BG426" s="2126">
        <v>0</v>
      </c>
      <c r="BH426" s="2126">
        <v>0</v>
      </c>
      <c r="BI426" s="2126">
        <v>0</v>
      </c>
      <c r="BJ426" s="2126">
        <v>0</v>
      </c>
      <c r="BK426" s="2126">
        <v>0</v>
      </c>
      <c r="BL426" s="2126">
        <v>0</v>
      </c>
      <c r="BM426" s="2126">
        <v>0</v>
      </c>
      <c r="BN426" s="2126">
        <v>0</v>
      </c>
      <c r="BO426" s="2126">
        <v>0</v>
      </c>
      <c r="BP426" s="2126">
        <v>0</v>
      </c>
      <c r="BQ426" s="2126">
        <v>0</v>
      </c>
      <c r="BR426" s="2126">
        <v>0</v>
      </c>
    </row>
    <row r="427" spans="1:70" s="1765" customFormat="1" ht="49.5">
      <c r="A427" s="1272">
        <v>2000</v>
      </c>
      <c r="B427" s="971" t="s">
        <v>119</v>
      </c>
      <c r="C427" s="1272">
        <v>2700</v>
      </c>
      <c r="D427" s="971" t="s">
        <v>912</v>
      </c>
      <c r="E427" s="971" t="s">
        <v>966</v>
      </c>
      <c r="F427" s="971" t="s">
        <v>958</v>
      </c>
      <c r="G427" s="971" t="s">
        <v>967</v>
      </c>
      <c r="H427" s="971" t="s">
        <v>968</v>
      </c>
      <c r="I427" s="1273" t="s">
        <v>994</v>
      </c>
      <c r="J427" s="971" t="s">
        <v>799</v>
      </c>
      <c r="K427" s="971"/>
      <c r="L427" s="971" t="e">
        <v>#N/A</v>
      </c>
      <c r="M427" s="971" t="s">
        <v>145</v>
      </c>
      <c r="N427" s="971" t="s">
        <v>141</v>
      </c>
      <c r="O427" s="971" t="s">
        <v>146</v>
      </c>
      <c r="P427" s="971"/>
      <c r="Q427" s="971" t="s">
        <v>995</v>
      </c>
      <c r="R427" s="1266" t="s">
        <v>971</v>
      </c>
      <c r="S427" s="2106">
        <v>178.43866171003717</v>
      </c>
      <c r="T427" s="1266" t="s">
        <v>136</v>
      </c>
      <c r="U427" s="1742" t="s">
        <v>6588</v>
      </c>
      <c r="V427" s="1742" t="s">
        <v>6588</v>
      </c>
      <c r="W427" s="1742" t="s">
        <v>6588</v>
      </c>
      <c r="X427" s="1742" t="s">
        <v>6588</v>
      </c>
      <c r="Y427" s="2106" t="s">
        <v>6588</v>
      </c>
      <c r="Z427" s="2106">
        <v>0</v>
      </c>
      <c r="AA427" s="2106">
        <v>0</v>
      </c>
      <c r="AB427" s="2106">
        <v>0</v>
      </c>
      <c r="AC427" s="2106">
        <v>0</v>
      </c>
      <c r="AD427" s="1744">
        <v>0</v>
      </c>
      <c r="AE427" s="2126">
        <v>0</v>
      </c>
      <c r="AF427" s="2126">
        <v>0</v>
      </c>
      <c r="AG427" s="1212">
        <v>1</v>
      </c>
      <c r="AH427" s="1212">
        <v>0</v>
      </c>
      <c r="AI427" s="1212">
        <v>0</v>
      </c>
      <c r="AJ427" s="1212">
        <v>1</v>
      </c>
      <c r="AK427" s="2126">
        <v>0</v>
      </c>
      <c r="AL427" s="2126">
        <v>0</v>
      </c>
      <c r="AM427" s="2126">
        <v>0</v>
      </c>
      <c r="AN427" s="2126">
        <v>0</v>
      </c>
      <c r="AO427" s="1743" t="s">
        <v>131</v>
      </c>
      <c r="AP427" s="1743"/>
      <c r="AQ427" s="1764">
        <v>2014</v>
      </c>
      <c r="AR427" s="1743" t="s">
        <v>87</v>
      </c>
      <c r="AS427" s="2135"/>
      <c r="AT427" s="2135"/>
      <c r="AU427" s="1212">
        <v>0.5</v>
      </c>
      <c r="AV427" s="1212">
        <v>0.5</v>
      </c>
      <c r="AW427" s="1212"/>
      <c r="AX427" s="1212"/>
      <c r="AY427" s="1212"/>
      <c r="AZ427" s="1212"/>
      <c r="BA427" s="1212"/>
      <c r="BB427" s="1212"/>
      <c r="BC427" s="1212"/>
      <c r="BD427" s="1212"/>
      <c r="BE427" s="1212"/>
      <c r="BF427" s="2126">
        <v>0</v>
      </c>
      <c r="BG427" s="2126">
        <v>0</v>
      </c>
      <c r="BH427" s="2126">
        <v>0</v>
      </c>
      <c r="BI427" s="2126">
        <v>0</v>
      </c>
      <c r="BJ427" s="2126">
        <v>0</v>
      </c>
      <c r="BK427" s="2126">
        <v>0</v>
      </c>
      <c r="BL427" s="2126">
        <v>0</v>
      </c>
      <c r="BM427" s="2126">
        <v>0</v>
      </c>
      <c r="BN427" s="2126">
        <v>0</v>
      </c>
      <c r="BO427" s="2126">
        <v>0</v>
      </c>
      <c r="BP427" s="2126">
        <v>0</v>
      </c>
      <c r="BQ427" s="2126">
        <v>0</v>
      </c>
      <c r="BR427" s="2126">
        <v>0</v>
      </c>
    </row>
    <row r="428" spans="1:70" s="1765" customFormat="1" ht="49.5">
      <c r="A428" s="1272">
        <v>2000</v>
      </c>
      <c r="B428" s="971" t="s">
        <v>119</v>
      </c>
      <c r="C428" s="1272">
        <v>2700</v>
      </c>
      <c r="D428" s="971" t="s">
        <v>912</v>
      </c>
      <c r="E428" s="971" t="s">
        <v>966</v>
      </c>
      <c r="F428" s="971" t="s">
        <v>958</v>
      </c>
      <c r="G428" s="971" t="s">
        <v>975</v>
      </c>
      <c r="H428" s="971" t="s">
        <v>968</v>
      </c>
      <c r="I428" s="1273" t="s">
        <v>976</v>
      </c>
      <c r="J428" s="971" t="s">
        <v>799</v>
      </c>
      <c r="K428" s="971" t="s">
        <v>977</v>
      </c>
      <c r="L428" s="971" t="s">
        <v>2896</v>
      </c>
      <c r="M428" s="971" t="s">
        <v>977</v>
      </c>
      <c r="N428" s="971" t="s">
        <v>269</v>
      </c>
      <c r="O428" s="971" t="s">
        <v>978</v>
      </c>
      <c r="P428" s="971"/>
      <c r="Q428" s="971" t="s">
        <v>996</v>
      </c>
      <c r="R428" s="1266"/>
      <c r="S428" s="2106">
        <v>1</v>
      </c>
      <c r="T428" s="1266" t="s">
        <v>2700</v>
      </c>
      <c r="U428" s="1742">
        <v>51</v>
      </c>
      <c r="V428" s="1742">
        <v>450</v>
      </c>
      <c r="W428" s="1742">
        <v>4495.1399999999994</v>
      </c>
      <c r="X428" s="1742">
        <v>4963.32</v>
      </c>
      <c r="Y428" s="2106">
        <v>9908.4599999999991</v>
      </c>
      <c r="Z428" s="2106">
        <v>51</v>
      </c>
      <c r="AA428" s="2106">
        <v>450</v>
      </c>
      <c r="AB428" s="2106">
        <v>4495.1399999999994</v>
      </c>
      <c r="AC428" s="2106">
        <v>4963.32</v>
      </c>
      <c r="AD428" s="2132">
        <v>9908.4599999999991</v>
      </c>
      <c r="AE428" s="2126">
        <v>329.26829268292681</v>
      </c>
      <c r="AF428" s="2126">
        <v>329.26829268292681</v>
      </c>
      <c r="AG428" s="1212">
        <v>1</v>
      </c>
      <c r="AH428" s="1212">
        <v>0</v>
      </c>
      <c r="AI428" s="1212">
        <v>1</v>
      </c>
      <c r="AJ428" s="1212">
        <v>0</v>
      </c>
      <c r="AK428" s="2126">
        <v>9908.4599999999991</v>
      </c>
      <c r="AL428" s="2126">
        <v>0</v>
      </c>
      <c r="AM428" s="2126">
        <v>9908.4599999999991</v>
      </c>
      <c r="AN428" s="2126">
        <v>0</v>
      </c>
      <c r="AO428" s="1743" t="s">
        <v>131</v>
      </c>
      <c r="AP428" s="1743" t="s">
        <v>90</v>
      </c>
      <c r="AQ428" s="1764" t="s">
        <v>112</v>
      </c>
      <c r="AR428" s="1743" t="s">
        <v>87</v>
      </c>
      <c r="AS428" s="2135"/>
      <c r="AT428" s="2135"/>
      <c r="AU428" s="1212">
        <v>0.5</v>
      </c>
      <c r="AV428" s="1212">
        <v>0.5</v>
      </c>
      <c r="AW428" s="1212"/>
      <c r="AX428" s="1212"/>
      <c r="AY428" s="1212"/>
      <c r="AZ428" s="1212"/>
      <c r="BA428" s="1212"/>
      <c r="BB428" s="1212"/>
      <c r="BC428" s="1212"/>
      <c r="BD428" s="1212"/>
      <c r="BE428" s="1212"/>
      <c r="BF428" s="2126">
        <v>0</v>
      </c>
      <c r="BG428" s="2126">
        <v>0</v>
      </c>
      <c r="BH428" s="2126">
        <v>4954.2299999999996</v>
      </c>
      <c r="BI428" s="2126">
        <v>4954.2299999999996</v>
      </c>
      <c r="BJ428" s="2126">
        <v>0</v>
      </c>
      <c r="BK428" s="2126">
        <v>0</v>
      </c>
      <c r="BL428" s="2126">
        <v>0</v>
      </c>
      <c r="BM428" s="2126">
        <v>0</v>
      </c>
      <c r="BN428" s="2126">
        <v>0</v>
      </c>
      <c r="BO428" s="2126">
        <v>0</v>
      </c>
      <c r="BP428" s="2126">
        <v>0</v>
      </c>
      <c r="BQ428" s="2126">
        <v>0</v>
      </c>
      <c r="BR428" s="2126">
        <v>0</v>
      </c>
    </row>
    <row r="429" spans="1:70" s="1765" customFormat="1" ht="66">
      <c r="A429" s="1272">
        <v>2000</v>
      </c>
      <c r="B429" s="971" t="s">
        <v>119</v>
      </c>
      <c r="C429" s="1272">
        <v>2700</v>
      </c>
      <c r="D429" s="971" t="s">
        <v>912</v>
      </c>
      <c r="E429" s="971" t="s">
        <v>966</v>
      </c>
      <c r="F429" s="971" t="s">
        <v>958</v>
      </c>
      <c r="G429" s="971" t="s">
        <v>997</v>
      </c>
      <c r="H429" s="971" t="s">
        <v>998</v>
      </c>
      <c r="I429" s="1273" t="s">
        <v>999</v>
      </c>
      <c r="J429" s="971" t="s">
        <v>124</v>
      </c>
      <c r="K429" s="971" t="s">
        <v>1747</v>
      </c>
      <c r="L429" s="971" t="s">
        <v>6606</v>
      </c>
      <c r="M429" s="971" t="s">
        <v>606</v>
      </c>
      <c r="N429" s="971" t="s">
        <v>488</v>
      </c>
      <c r="O429" s="971" t="s">
        <v>518</v>
      </c>
      <c r="P429" s="971"/>
      <c r="Q429" s="971" t="s">
        <v>1000</v>
      </c>
      <c r="R429" s="1266" t="s">
        <v>1001</v>
      </c>
      <c r="S429" s="2106">
        <v>55.762081784386616</v>
      </c>
      <c r="T429" s="1266" t="s">
        <v>136</v>
      </c>
      <c r="U429" s="1742">
        <v>0.56041666666666667</v>
      </c>
      <c r="V429" s="1742">
        <v>1.9614583333333333</v>
      </c>
      <c r="W429" s="1742">
        <v>49.395125</v>
      </c>
      <c r="X429" s="1742">
        <v>77.264645833333333</v>
      </c>
      <c r="Y429" s="2106">
        <v>128.62122916666667</v>
      </c>
      <c r="Z429" s="2106">
        <v>31.25</v>
      </c>
      <c r="AA429" s="2106">
        <v>109.375</v>
      </c>
      <c r="AB429" s="2106">
        <v>2754.375</v>
      </c>
      <c r="AC429" s="2106">
        <v>4308.4375</v>
      </c>
      <c r="AD429" s="1744">
        <v>7172.1875</v>
      </c>
      <c r="AE429" s="2126">
        <v>1</v>
      </c>
      <c r="AF429" s="2126">
        <v>55.762081784386616</v>
      </c>
      <c r="AG429" s="1212">
        <v>1</v>
      </c>
      <c r="AH429" s="1212">
        <v>0</v>
      </c>
      <c r="AI429" s="1212">
        <v>0</v>
      </c>
      <c r="AJ429" s="1212">
        <v>1</v>
      </c>
      <c r="AK429" s="2126">
        <v>7172.1875</v>
      </c>
      <c r="AL429" s="2126">
        <v>0</v>
      </c>
      <c r="AM429" s="2126">
        <v>0</v>
      </c>
      <c r="AN429" s="2126">
        <v>7172.1875</v>
      </c>
      <c r="AO429" s="1743" t="s">
        <v>131</v>
      </c>
      <c r="AP429" s="1743"/>
      <c r="AQ429" s="1764">
        <v>2014</v>
      </c>
      <c r="AR429" s="1743" t="s">
        <v>87</v>
      </c>
      <c r="AS429" s="2135"/>
      <c r="AT429" s="2135"/>
      <c r="AU429" s="1212">
        <v>0.5</v>
      </c>
      <c r="AV429" s="1212">
        <v>0.5</v>
      </c>
      <c r="AW429" s="1212"/>
      <c r="AX429" s="1212"/>
      <c r="AY429" s="1212"/>
      <c r="AZ429" s="1212"/>
      <c r="BA429" s="1212"/>
      <c r="BB429" s="1212"/>
      <c r="BC429" s="1212"/>
      <c r="BD429" s="1212"/>
      <c r="BE429" s="1212"/>
      <c r="BF429" s="2126">
        <v>0</v>
      </c>
      <c r="BG429" s="2126">
        <v>0</v>
      </c>
      <c r="BH429" s="2126">
        <v>3586.09375</v>
      </c>
      <c r="BI429" s="2126">
        <v>3586.09375</v>
      </c>
      <c r="BJ429" s="2126">
        <v>0</v>
      </c>
      <c r="BK429" s="2126">
        <v>0</v>
      </c>
      <c r="BL429" s="2126">
        <v>0</v>
      </c>
      <c r="BM429" s="2126">
        <v>0</v>
      </c>
      <c r="BN429" s="2126">
        <v>0</v>
      </c>
      <c r="BO429" s="2126">
        <v>0</v>
      </c>
      <c r="BP429" s="2126">
        <v>0</v>
      </c>
      <c r="BQ429" s="2126">
        <v>0</v>
      </c>
      <c r="BR429" s="2126">
        <v>0</v>
      </c>
    </row>
    <row r="430" spans="1:70" s="1765" customFormat="1" ht="49.5">
      <c r="A430" s="1272">
        <v>2000</v>
      </c>
      <c r="B430" s="971" t="s">
        <v>119</v>
      </c>
      <c r="C430" s="1272">
        <v>2700</v>
      </c>
      <c r="D430" s="971" t="s">
        <v>912</v>
      </c>
      <c r="E430" s="971" t="s">
        <v>966</v>
      </c>
      <c r="F430" s="971" t="s">
        <v>958</v>
      </c>
      <c r="G430" s="971" t="s">
        <v>1002</v>
      </c>
      <c r="H430" s="971" t="s">
        <v>998</v>
      </c>
      <c r="I430" s="1273" t="s">
        <v>1003</v>
      </c>
      <c r="J430" s="971" t="s">
        <v>177</v>
      </c>
      <c r="K430" s="971" t="s">
        <v>188</v>
      </c>
      <c r="L430" s="971" t="s">
        <v>2841</v>
      </c>
      <c r="M430" s="971" t="s">
        <v>188</v>
      </c>
      <c r="N430" s="971" t="s">
        <v>179</v>
      </c>
      <c r="O430" s="971" t="s">
        <v>189</v>
      </c>
      <c r="P430" s="971"/>
      <c r="Q430" s="971" t="s">
        <v>1004</v>
      </c>
      <c r="R430" s="1266" t="s">
        <v>1005</v>
      </c>
      <c r="S430" s="2106">
        <v>1</v>
      </c>
      <c r="T430" s="1266" t="s">
        <v>242</v>
      </c>
      <c r="U430" s="1742">
        <v>15.5</v>
      </c>
      <c r="V430" s="1742">
        <v>162.5</v>
      </c>
      <c r="W430" s="1742">
        <v>1366.17</v>
      </c>
      <c r="X430" s="1742">
        <v>1792.3100000000002</v>
      </c>
      <c r="Y430" s="2106">
        <v>3320.98</v>
      </c>
      <c r="Z430" s="2106">
        <v>15.5</v>
      </c>
      <c r="AA430" s="2106">
        <v>162.5</v>
      </c>
      <c r="AB430" s="2106">
        <v>1366.17</v>
      </c>
      <c r="AC430" s="2106">
        <v>1792.3100000000002</v>
      </c>
      <c r="AD430" s="1744">
        <v>3320.9800000000005</v>
      </c>
      <c r="AE430" s="2126">
        <v>20</v>
      </c>
      <c r="AF430" s="2126">
        <v>20</v>
      </c>
      <c r="AG430" s="1212">
        <v>1</v>
      </c>
      <c r="AH430" s="1212">
        <v>0</v>
      </c>
      <c r="AI430" s="1212">
        <v>0</v>
      </c>
      <c r="AJ430" s="1212">
        <v>1</v>
      </c>
      <c r="AK430" s="2126">
        <v>3320.9800000000005</v>
      </c>
      <c r="AL430" s="2126">
        <v>0</v>
      </c>
      <c r="AM430" s="2126">
        <v>0</v>
      </c>
      <c r="AN430" s="2126">
        <v>3320.9800000000005</v>
      </c>
      <c r="AO430" s="1743" t="s">
        <v>131</v>
      </c>
      <c r="AP430" s="1743"/>
      <c r="AQ430" s="1764">
        <v>2014</v>
      </c>
      <c r="AR430" s="1743" t="s">
        <v>87</v>
      </c>
      <c r="AS430" s="2135"/>
      <c r="AT430" s="2135"/>
      <c r="AU430" s="1212">
        <v>0.5</v>
      </c>
      <c r="AV430" s="1212">
        <v>0.5</v>
      </c>
      <c r="AW430" s="1212"/>
      <c r="AX430" s="1212"/>
      <c r="AY430" s="1212"/>
      <c r="AZ430" s="1212"/>
      <c r="BA430" s="1212"/>
      <c r="BB430" s="1212"/>
      <c r="BC430" s="1212"/>
      <c r="BD430" s="1212"/>
      <c r="BE430" s="1212"/>
      <c r="BF430" s="2126">
        <v>0</v>
      </c>
      <c r="BG430" s="2126">
        <v>0</v>
      </c>
      <c r="BH430" s="2126">
        <v>1660.4900000000002</v>
      </c>
      <c r="BI430" s="2126">
        <v>1660.4900000000002</v>
      </c>
      <c r="BJ430" s="2126">
        <v>0</v>
      </c>
      <c r="BK430" s="2126">
        <v>0</v>
      </c>
      <c r="BL430" s="2126">
        <v>0</v>
      </c>
      <c r="BM430" s="2126">
        <v>0</v>
      </c>
      <c r="BN430" s="2126">
        <v>0</v>
      </c>
      <c r="BO430" s="2126">
        <v>0</v>
      </c>
      <c r="BP430" s="2126">
        <v>0</v>
      </c>
      <c r="BQ430" s="2126">
        <v>0</v>
      </c>
      <c r="BR430" s="2126">
        <v>0</v>
      </c>
    </row>
    <row r="431" spans="1:70" s="1765" customFormat="1" ht="49.5">
      <c r="A431" s="1272">
        <v>2000</v>
      </c>
      <c r="B431" s="971" t="s">
        <v>119</v>
      </c>
      <c r="C431" s="1272">
        <v>2700</v>
      </c>
      <c r="D431" s="971" t="s">
        <v>912</v>
      </c>
      <c r="E431" s="971" t="s">
        <v>966</v>
      </c>
      <c r="F431" s="971" t="s">
        <v>958</v>
      </c>
      <c r="G431" s="971" t="s">
        <v>997</v>
      </c>
      <c r="H431" s="971" t="s">
        <v>998</v>
      </c>
      <c r="I431" s="1273" t="s">
        <v>1006</v>
      </c>
      <c r="J431" s="971" t="s">
        <v>124</v>
      </c>
      <c r="K431" s="971" t="s">
        <v>523</v>
      </c>
      <c r="L431" s="971" t="s">
        <v>6607</v>
      </c>
      <c r="M431" s="971" t="s">
        <v>523</v>
      </c>
      <c r="N431" s="971" t="s">
        <v>141</v>
      </c>
      <c r="O431" s="971" t="s">
        <v>524</v>
      </c>
      <c r="P431" s="971"/>
      <c r="Q431" s="971" t="s">
        <v>1007</v>
      </c>
      <c r="R431" s="1266" t="s">
        <v>1001</v>
      </c>
      <c r="S431" s="2106">
        <v>55.762081784386616</v>
      </c>
      <c r="T431" s="1266" t="s">
        <v>136</v>
      </c>
      <c r="U431" s="1742">
        <v>0.14520631503408685</v>
      </c>
      <c r="V431" s="1742">
        <v>1.8150789379260854</v>
      </c>
      <c r="W431" s="1742">
        <v>12.798484607104415</v>
      </c>
      <c r="X431" s="1742">
        <v>20.019594653749554</v>
      </c>
      <c r="Y431" s="2106">
        <v>34.633158198780052</v>
      </c>
      <c r="Z431" s="2106">
        <v>8.097006414540159</v>
      </c>
      <c r="AA431" s="2106">
        <v>101.21258018175197</v>
      </c>
      <c r="AB431" s="2106">
        <v>713.67014537756961</v>
      </c>
      <c r="AC431" s="2106">
        <v>1116.3342743726516</v>
      </c>
      <c r="AD431" s="1744">
        <v>1931.2169999319731</v>
      </c>
      <c r="AE431" s="2126">
        <v>0.75</v>
      </c>
      <c r="AF431" s="2126">
        <v>41.82156133828996</v>
      </c>
      <c r="AG431" s="1212">
        <v>1</v>
      </c>
      <c r="AH431" s="1212">
        <v>0</v>
      </c>
      <c r="AI431" s="1212">
        <v>0</v>
      </c>
      <c r="AJ431" s="1212">
        <v>1</v>
      </c>
      <c r="AK431" s="2126">
        <v>1931.2169999319731</v>
      </c>
      <c r="AL431" s="2126">
        <v>0</v>
      </c>
      <c r="AM431" s="2126">
        <v>0</v>
      </c>
      <c r="AN431" s="2126">
        <v>1931.2169999319731</v>
      </c>
      <c r="AO431" s="1743" t="s">
        <v>131</v>
      </c>
      <c r="AP431" s="1743"/>
      <c r="AQ431" s="1764">
        <v>2014</v>
      </c>
      <c r="AR431" s="1743" t="s">
        <v>87</v>
      </c>
      <c r="AS431" s="2135"/>
      <c r="AT431" s="2135"/>
      <c r="AU431" s="1212">
        <v>0.5</v>
      </c>
      <c r="AV431" s="1212">
        <v>0.5</v>
      </c>
      <c r="AW431" s="1212"/>
      <c r="AX431" s="1212"/>
      <c r="AY431" s="1212"/>
      <c r="AZ431" s="1212"/>
      <c r="BA431" s="1212"/>
      <c r="BB431" s="1212"/>
      <c r="BC431" s="1212"/>
      <c r="BD431" s="1212"/>
      <c r="BE431" s="1212"/>
      <c r="BF431" s="2126">
        <v>0</v>
      </c>
      <c r="BG431" s="2126">
        <v>0</v>
      </c>
      <c r="BH431" s="2126">
        <v>965.60849996598654</v>
      </c>
      <c r="BI431" s="2126">
        <v>965.60849996598654</v>
      </c>
      <c r="BJ431" s="2126">
        <v>0</v>
      </c>
      <c r="BK431" s="2126">
        <v>0</v>
      </c>
      <c r="BL431" s="2126">
        <v>0</v>
      </c>
      <c r="BM431" s="2126">
        <v>0</v>
      </c>
      <c r="BN431" s="2126">
        <v>0</v>
      </c>
      <c r="BO431" s="2126">
        <v>0</v>
      </c>
      <c r="BP431" s="2126">
        <v>0</v>
      </c>
      <c r="BQ431" s="2126">
        <v>0</v>
      </c>
      <c r="BR431" s="2126">
        <v>0</v>
      </c>
    </row>
    <row r="432" spans="1:70" s="1765" customFormat="1" ht="33">
      <c r="A432" s="1272">
        <v>2000</v>
      </c>
      <c r="B432" s="971" t="s">
        <v>119</v>
      </c>
      <c r="C432" s="1272">
        <v>2700</v>
      </c>
      <c r="D432" s="971" t="s">
        <v>912</v>
      </c>
      <c r="E432" s="971" t="s">
        <v>966</v>
      </c>
      <c r="F432" s="971" t="s">
        <v>958</v>
      </c>
      <c r="G432" s="971" t="s">
        <v>997</v>
      </c>
      <c r="H432" s="971" t="s">
        <v>998</v>
      </c>
      <c r="I432" s="1273" t="s">
        <v>1008</v>
      </c>
      <c r="J432" s="971" t="s">
        <v>124</v>
      </c>
      <c r="K432" s="971" t="s">
        <v>140</v>
      </c>
      <c r="L432" s="971" t="s">
        <v>2909</v>
      </c>
      <c r="M432" s="971" t="s">
        <v>140</v>
      </c>
      <c r="N432" s="971" t="s">
        <v>141</v>
      </c>
      <c r="O432" s="971" t="s">
        <v>142</v>
      </c>
      <c r="P432" s="971"/>
      <c r="Q432" s="971" t="s">
        <v>1009</v>
      </c>
      <c r="R432" s="1266" t="s">
        <v>1001</v>
      </c>
      <c r="S432" s="2106">
        <v>55.762081784386616</v>
      </c>
      <c r="T432" s="1266" t="s">
        <v>136</v>
      </c>
      <c r="U432" s="1742">
        <v>0</v>
      </c>
      <c r="V432" s="1742">
        <v>0</v>
      </c>
      <c r="W432" s="1742">
        <v>0</v>
      </c>
      <c r="X432" s="1742">
        <v>0</v>
      </c>
      <c r="Y432" s="2106">
        <v>0</v>
      </c>
      <c r="Z432" s="2106">
        <v>0</v>
      </c>
      <c r="AA432" s="2106">
        <v>0</v>
      </c>
      <c r="AB432" s="2106">
        <v>0</v>
      </c>
      <c r="AC432" s="2106">
        <v>0</v>
      </c>
      <c r="AD432" s="1744">
        <v>0</v>
      </c>
      <c r="AE432" s="2126">
        <v>0</v>
      </c>
      <c r="AF432" s="2126">
        <v>0</v>
      </c>
      <c r="AG432" s="1212">
        <v>1</v>
      </c>
      <c r="AH432" s="1212">
        <v>0</v>
      </c>
      <c r="AI432" s="1212">
        <v>0</v>
      </c>
      <c r="AJ432" s="1212">
        <v>1</v>
      </c>
      <c r="AK432" s="2126">
        <v>0</v>
      </c>
      <c r="AL432" s="2126">
        <v>0</v>
      </c>
      <c r="AM432" s="2126">
        <v>0</v>
      </c>
      <c r="AN432" s="2126">
        <v>0</v>
      </c>
      <c r="AO432" s="1743" t="s">
        <v>131</v>
      </c>
      <c r="AP432" s="1743"/>
      <c r="AQ432" s="1764">
        <v>2014</v>
      </c>
      <c r="AR432" s="1743" t="s">
        <v>87</v>
      </c>
      <c r="AS432" s="2135"/>
      <c r="AT432" s="2135"/>
      <c r="AU432" s="1212">
        <v>0.5</v>
      </c>
      <c r="AV432" s="1212">
        <v>0.5</v>
      </c>
      <c r="AW432" s="1212"/>
      <c r="AX432" s="1212"/>
      <c r="AY432" s="1212"/>
      <c r="AZ432" s="1212"/>
      <c r="BA432" s="1212"/>
      <c r="BB432" s="1212"/>
      <c r="BC432" s="1212"/>
      <c r="BD432" s="1212"/>
      <c r="BE432" s="1212"/>
      <c r="BF432" s="2126">
        <v>0</v>
      </c>
      <c r="BG432" s="2126">
        <v>0</v>
      </c>
      <c r="BH432" s="2126">
        <v>0</v>
      </c>
      <c r="BI432" s="2126">
        <v>0</v>
      </c>
      <c r="BJ432" s="2126">
        <v>0</v>
      </c>
      <c r="BK432" s="2126">
        <v>0</v>
      </c>
      <c r="BL432" s="2126">
        <v>0</v>
      </c>
      <c r="BM432" s="2126">
        <v>0</v>
      </c>
      <c r="BN432" s="2126">
        <v>0</v>
      </c>
      <c r="BO432" s="2126">
        <v>0</v>
      </c>
      <c r="BP432" s="2126">
        <v>0</v>
      </c>
      <c r="BQ432" s="2126">
        <v>0</v>
      </c>
      <c r="BR432" s="2126">
        <v>0</v>
      </c>
    </row>
    <row r="433" spans="1:70" s="1765" customFormat="1" ht="33">
      <c r="A433" s="1272">
        <v>2000</v>
      </c>
      <c r="B433" s="971" t="s">
        <v>119</v>
      </c>
      <c r="C433" s="1272">
        <v>2700</v>
      </c>
      <c r="D433" s="971" t="s">
        <v>912</v>
      </c>
      <c r="E433" s="971" t="s">
        <v>966</v>
      </c>
      <c r="F433" s="971" t="s">
        <v>958</v>
      </c>
      <c r="G433" s="971" t="s">
        <v>6587</v>
      </c>
      <c r="H433" s="971" t="s">
        <v>1010</v>
      </c>
      <c r="I433" s="1273" t="s">
        <v>1011</v>
      </c>
      <c r="J433" s="971" t="s">
        <v>638</v>
      </c>
      <c r="K433" s="971" t="s">
        <v>1971</v>
      </c>
      <c r="L433" s="971" t="s">
        <v>639</v>
      </c>
      <c r="M433" s="971" t="s">
        <v>639</v>
      </c>
      <c r="N433" s="971" t="s">
        <v>640</v>
      </c>
      <c r="O433" s="971" t="s">
        <v>639</v>
      </c>
      <c r="P433" s="971"/>
      <c r="Q433" s="971" t="s">
        <v>1012</v>
      </c>
      <c r="R433" s="1266" t="s">
        <v>1013</v>
      </c>
      <c r="S433" s="2106">
        <v>2595</v>
      </c>
      <c r="T433" s="1266" t="s">
        <v>991</v>
      </c>
      <c r="U433" s="1742">
        <v>0.25</v>
      </c>
      <c r="V433" s="1742">
        <v>3.125</v>
      </c>
      <c r="W433" s="1742">
        <v>22.035</v>
      </c>
      <c r="X433" s="1742">
        <v>34.467500000000001</v>
      </c>
      <c r="Y433" s="2106">
        <v>59.627499999999998</v>
      </c>
      <c r="Z433" s="2106">
        <v>648.75</v>
      </c>
      <c r="AA433" s="2106">
        <v>8109.375</v>
      </c>
      <c r="AB433" s="2106">
        <v>57180.824999999997</v>
      </c>
      <c r="AC433" s="2106">
        <v>89443.162500000006</v>
      </c>
      <c r="AD433" s="2132">
        <v>154733.36249999999</v>
      </c>
      <c r="AE433" s="2126">
        <v>1.0000000000000002E-2</v>
      </c>
      <c r="AF433" s="2126">
        <v>25.950000000000006</v>
      </c>
      <c r="AG433" s="1212">
        <v>1</v>
      </c>
      <c r="AH433" s="1212">
        <v>0</v>
      </c>
      <c r="AI433" s="1212">
        <v>1</v>
      </c>
      <c r="AJ433" s="1212">
        <v>0</v>
      </c>
      <c r="AK433" s="2126">
        <v>154733.36249999999</v>
      </c>
      <c r="AL433" s="2126">
        <v>0</v>
      </c>
      <c r="AM433" s="2126">
        <v>154733.36249999999</v>
      </c>
      <c r="AN433" s="2126">
        <v>0</v>
      </c>
      <c r="AO433" s="1743" t="s">
        <v>131</v>
      </c>
      <c r="AP433" s="1743"/>
      <c r="AQ433" s="1764">
        <v>2014</v>
      </c>
      <c r="AR433" s="1743" t="s">
        <v>87</v>
      </c>
      <c r="AS433" s="2135"/>
      <c r="AT433" s="2135"/>
      <c r="AU433" s="1212">
        <v>0.33333333333333331</v>
      </c>
      <c r="AV433" s="1212">
        <v>0.33333333333333331</v>
      </c>
      <c r="AW433" s="1212">
        <v>0.33333333333333331</v>
      </c>
      <c r="AX433" s="1212"/>
      <c r="AY433" s="1212"/>
      <c r="AZ433" s="1212"/>
      <c r="BA433" s="1212"/>
      <c r="BB433" s="1212"/>
      <c r="BC433" s="1212"/>
      <c r="BD433" s="1212"/>
      <c r="BE433" s="1212"/>
      <c r="BF433" s="2126">
        <v>0</v>
      </c>
      <c r="BG433" s="2126">
        <v>0</v>
      </c>
      <c r="BH433" s="2126">
        <v>51577.787499999991</v>
      </c>
      <c r="BI433" s="2126">
        <v>51577.787499999991</v>
      </c>
      <c r="BJ433" s="2126">
        <v>51577.787499999991</v>
      </c>
      <c r="BK433" s="2126">
        <v>0</v>
      </c>
      <c r="BL433" s="2126">
        <v>0</v>
      </c>
      <c r="BM433" s="2126">
        <v>0</v>
      </c>
      <c r="BN433" s="2126">
        <v>0</v>
      </c>
      <c r="BO433" s="2126">
        <v>0</v>
      </c>
      <c r="BP433" s="2126">
        <v>0</v>
      </c>
      <c r="BQ433" s="2126">
        <v>0</v>
      </c>
      <c r="BR433" s="2126">
        <v>0</v>
      </c>
    </row>
    <row r="434" spans="1:70" s="1765" customFormat="1" ht="33">
      <c r="A434" s="1272">
        <v>2000</v>
      </c>
      <c r="B434" s="971" t="s">
        <v>119</v>
      </c>
      <c r="C434" s="1272">
        <v>2700</v>
      </c>
      <c r="D434" s="971" t="s">
        <v>912</v>
      </c>
      <c r="E434" s="971" t="s">
        <v>6588</v>
      </c>
      <c r="F434" s="971" t="s">
        <v>958</v>
      </c>
      <c r="G434" s="971" t="s">
        <v>121</v>
      </c>
      <c r="H434" s="971" t="s">
        <v>1010</v>
      </c>
      <c r="I434" s="1273"/>
      <c r="J434" s="971" t="s">
        <v>638</v>
      </c>
      <c r="K434" s="971" t="s">
        <v>1971</v>
      </c>
      <c r="L434" s="971" t="s">
        <v>639</v>
      </c>
      <c r="M434" s="971" t="s">
        <v>639</v>
      </c>
      <c r="N434" s="971" t="s">
        <v>640</v>
      </c>
      <c r="O434" s="971" t="s">
        <v>639</v>
      </c>
      <c r="P434" s="971"/>
      <c r="Q434" s="971" t="s">
        <v>1014</v>
      </c>
      <c r="R434" s="1266"/>
      <c r="S434" s="2106">
        <v>750</v>
      </c>
      <c r="T434" s="1266" t="s">
        <v>991</v>
      </c>
      <c r="U434" s="1742">
        <v>0.25</v>
      </c>
      <c r="V434" s="1742">
        <v>3.125</v>
      </c>
      <c r="W434" s="1742">
        <v>22.035</v>
      </c>
      <c r="X434" s="1742">
        <v>34.467500000000001</v>
      </c>
      <c r="Y434" s="2106">
        <v>59.627499999999998</v>
      </c>
      <c r="Z434" s="2106">
        <v>187.5</v>
      </c>
      <c r="AA434" s="2106">
        <v>2343.75</v>
      </c>
      <c r="AB434" s="2106">
        <v>16526.25</v>
      </c>
      <c r="AC434" s="2106">
        <v>25850.625</v>
      </c>
      <c r="AD434" s="2132">
        <v>44720.625</v>
      </c>
      <c r="AE434" s="2126">
        <v>1.0000000000000002E-2</v>
      </c>
      <c r="AF434" s="2126">
        <v>7.5000000000000018</v>
      </c>
      <c r="AG434" s="1212">
        <v>1</v>
      </c>
      <c r="AH434" s="1212">
        <v>0</v>
      </c>
      <c r="AI434" s="1212">
        <v>1</v>
      </c>
      <c r="AJ434" s="1212">
        <v>0</v>
      </c>
      <c r="AK434" s="2126">
        <v>44720.625</v>
      </c>
      <c r="AL434" s="2126">
        <v>0</v>
      </c>
      <c r="AM434" s="2126">
        <v>44720.625</v>
      </c>
      <c r="AN434" s="2126">
        <v>0</v>
      </c>
      <c r="AO434" s="1743" t="s">
        <v>85</v>
      </c>
      <c r="AP434" s="1743"/>
      <c r="AQ434" s="1764" t="s">
        <v>105</v>
      </c>
      <c r="AR434" s="1743" t="s">
        <v>87</v>
      </c>
      <c r="AS434" s="2135"/>
      <c r="AT434" s="2135"/>
      <c r="AU434" s="1212">
        <v>0.33333333333333331</v>
      </c>
      <c r="AV434" s="1212">
        <v>0.33333333333333331</v>
      </c>
      <c r="AW434" s="1212">
        <v>0.33333333333333331</v>
      </c>
      <c r="AX434" s="1212"/>
      <c r="AY434" s="1212"/>
      <c r="AZ434" s="1212"/>
      <c r="BA434" s="1212"/>
      <c r="BB434" s="1212"/>
      <c r="BC434" s="1212"/>
      <c r="BD434" s="1212"/>
      <c r="BE434" s="1212"/>
      <c r="BF434" s="2126">
        <v>0</v>
      </c>
      <c r="BG434" s="2126">
        <v>0</v>
      </c>
      <c r="BH434" s="2126">
        <v>14906.875</v>
      </c>
      <c r="BI434" s="2126">
        <v>14906.875</v>
      </c>
      <c r="BJ434" s="2126">
        <v>14906.875</v>
      </c>
      <c r="BK434" s="2126">
        <v>0</v>
      </c>
      <c r="BL434" s="2126">
        <v>0</v>
      </c>
      <c r="BM434" s="2126">
        <v>0</v>
      </c>
      <c r="BN434" s="2126">
        <v>0</v>
      </c>
      <c r="BO434" s="2126">
        <v>0</v>
      </c>
      <c r="BP434" s="2126">
        <v>0</v>
      </c>
      <c r="BQ434" s="2126">
        <v>0</v>
      </c>
      <c r="BR434" s="2126">
        <v>0</v>
      </c>
    </row>
    <row r="435" spans="1:70" s="1765" customFormat="1" ht="33">
      <c r="A435" s="1272">
        <v>2000</v>
      </c>
      <c r="B435" s="971" t="s">
        <v>119</v>
      </c>
      <c r="C435" s="1272">
        <v>2700</v>
      </c>
      <c r="D435" s="971" t="s">
        <v>912</v>
      </c>
      <c r="E435" s="971" t="s">
        <v>7821</v>
      </c>
      <c r="F435" s="971" t="s">
        <v>958</v>
      </c>
      <c r="G435" s="971" t="s">
        <v>7822</v>
      </c>
      <c r="H435" s="971" t="s">
        <v>1010</v>
      </c>
      <c r="I435" s="1273"/>
      <c r="J435" s="971" t="s">
        <v>638</v>
      </c>
      <c r="K435" s="971" t="s">
        <v>1971</v>
      </c>
      <c r="L435" s="971" t="s">
        <v>639</v>
      </c>
      <c r="M435" s="971" t="s">
        <v>639</v>
      </c>
      <c r="N435" s="971" t="s">
        <v>640</v>
      </c>
      <c r="O435" s="971" t="s">
        <v>639</v>
      </c>
      <c r="P435" s="971"/>
      <c r="Q435" s="971" t="s">
        <v>1015</v>
      </c>
      <c r="R435" s="1266" t="s">
        <v>1016</v>
      </c>
      <c r="S435" s="2106">
        <v>750</v>
      </c>
      <c r="T435" s="1266" t="s">
        <v>991</v>
      </c>
      <c r="U435" s="1742">
        <v>0.25</v>
      </c>
      <c r="V435" s="1742">
        <v>3.125</v>
      </c>
      <c r="W435" s="1742">
        <v>22.035</v>
      </c>
      <c r="X435" s="1742">
        <v>34.467500000000001</v>
      </c>
      <c r="Y435" s="2106">
        <v>59.627499999999998</v>
      </c>
      <c r="Z435" s="2106">
        <v>187.5</v>
      </c>
      <c r="AA435" s="2106">
        <v>2343.75</v>
      </c>
      <c r="AB435" s="2106">
        <v>16526.25</v>
      </c>
      <c r="AC435" s="2106">
        <v>25850.625</v>
      </c>
      <c r="AD435" s="2132">
        <v>44720.625</v>
      </c>
      <c r="AE435" s="2126">
        <v>1.0000000000000002E-2</v>
      </c>
      <c r="AF435" s="2126">
        <v>7.5000000000000018</v>
      </c>
      <c r="AG435" s="1212">
        <v>1</v>
      </c>
      <c r="AH435" s="1212">
        <v>0</v>
      </c>
      <c r="AI435" s="1212">
        <v>1</v>
      </c>
      <c r="AJ435" s="1212">
        <v>0</v>
      </c>
      <c r="AK435" s="2126">
        <v>44720.625</v>
      </c>
      <c r="AL435" s="2126">
        <v>0</v>
      </c>
      <c r="AM435" s="2126">
        <v>44720.625</v>
      </c>
      <c r="AN435" s="2126">
        <v>0</v>
      </c>
      <c r="AO435" s="1743" t="s">
        <v>85</v>
      </c>
      <c r="AP435" s="1743"/>
      <c r="AQ435" s="1764" t="s">
        <v>105</v>
      </c>
      <c r="AR435" s="1743" t="s">
        <v>87</v>
      </c>
      <c r="AS435" s="2135"/>
      <c r="AT435" s="2135"/>
      <c r="AU435" s="1212">
        <v>0.33333333333333331</v>
      </c>
      <c r="AV435" s="1212">
        <v>0.33333333333333331</v>
      </c>
      <c r="AW435" s="1212">
        <v>0.33333333333333331</v>
      </c>
      <c r="AX435" s="1212"/>
      <c r="AY435" s="1212"/>
      <c r="AZ435" s="1212"/>
      <c r="BA435" s="1212"/>
      <c r="BB435" s="1212"/>
      <c r="BC435" s="1212"/>
      <c r="BD435" s="1212"/>
      <c r="BE435" s="1212"/>
      <c r="BF435" s="2126">
        <v>0</v>
      </c>
      <c r="BG435" s="2126">
        <v>0</v>
      </c>
      <c r="BH435" s="2126">
        <v>14906.875</v>
      </c>
      <c r="BI435" s="2126">
        <v>14906.875</v>
      </c>
      <c r="BJ435" s="2126">
        <v>14906.875</v>
      </c>
      <c r="BK435" s="2126">
        <v>0</v>
      </c>
      <c r="BL435" s="2126">
        <v>0</v>
      </c>
      <c r="BM435" s="2126">
        <v>0</v>
      </c>
      <c r="BN435" s="2126">
        <v>0</v>
      </c>
      <c r="BO435" s="2126">
        <v>0</v>
      </c>
      <c r="BP435" s="2126">
        <v>0</v>
      </c>
      <c r="BQ435" s="2126">
        <v>0</v>
      </c>
      <c r="BR435" s="2126">
        <v>0</v>
      </c>
    </row>
    <row r="436" spans="1:70" s="1765" customFormat="1" ht="33">
      <c r="A436" s="1272">
        <v>2000</v>
      </c>
      <c r="B436" s="971" t="s">
        <v>119</v>
      </c>
      <c r="C436" s="1272">
        <v>2700</v>
      </c>
      <c r="D436" s="971" t="s">
        <v>912</v>
      </c>
      <c r="E436" s="971" t="s">
        <v>7821</v>
      </c>
      <c r="F436" s="971" t="s">
        <v>958</v>
      </c>
      <c r="G436" s="971" t="s">
        <v>7822</v>
      </c>
      <c r="H436" s="971" t="s">
        <v>1010</v>
      </c>
      <c r="I436" s="1273"/>
      <c r="J436" s="971" t="s">
        <v>638</v>
      </c>
      <c r="K436" s="971" t="s">
        <v>1971</v>
      </c>
      <c r="L436" s="971" t="s">
        <v>639</v>
      </c>
      <c r="M436" s="971" t="s">
        <v>639</v>
      </c>
      <c r="N436" s="971" t="s">
        <v>640</v>
      </c>
      <c r="O436" s="971" t="s">
        <v>639</v>
      </c>
      <c r="P436" s="971"/>
      <c r="Q436" s="971" t="s">
        <v>1015</v>
      </c>
      <c r="R436" s="1266" t="s">
        <v>1016</v>
      </c>
      <c r="S436" s="2106">
        <v>-750</v>
      </c>
      <c r="T436" s="1266" t="s">
        <v>991</v>
      </c>
      <c r="U436" s="1742">
        <v>0.25</v>
      </c>
      <c r="V436" s="1742">
        <v>3.125</v>
      </c>
      <c r="W436" s="1742">
        <v>22.035</v>
      </c>
      <c r="X436" s="1742">
        <v>34.467500000000001</v>
      </c>
      <c r="Y436" s="2106">
        <v>59.627499999999998</v>
      </c>
      <c r="Z436" s="2106">
        <v>-187.5</v>
      </c>
      <c r="AA436" s="2106">
        <v>-2343.75</v>
      </c>
      <c r="AB436" s="2106">
        <v>-16526.25</v>
      </c>
      <c r="AC436" s="2106">
        <v>-25850.625</v>
      </c>
      <c r="AD436" s="2132">
        <v>-44720.625</v>
      </c>
      <c r="AE436" s="2126">
        <v>1.0000000000000002E-2</v>
      </c>
      <c r="AF436" s="2126">
        <v>-7.5000000000000018</v>
      </c>
      <c r="AG436" s="1212">
        <v>1</v>
      </c>
      <c r="AH436" s="1212">
        <v>0</v>
      </c>
      <c r="AI436" s="1212">
        <v>1</v>
      </c>
      <c r="AJ436" s="1212">
        <v>0</v>
      </c>
      <c r="AK436" s="2126">
        <v>-44720.625</v>
      </c>
      <c r="AL436" s="2126">
        <v>0</v>
      </c>
      <c r="AM436" s="2126">
        <v>-44720.625</v>
      </c>
      <c r="AN436" s="2126">
        <v>0</v>
      </c>
      <c r="AO436" s="1743" t="s">
        <v>85</v>
      </c>
      <c r="AP436" s="1743"/>
      <c r="AQ436" s="1764" t="s">
        <v>105</v>
      </c>
      <c r="AR436" s="1743" t="s">
        <v>87</v>
      </c>
      <c r="AS436" s="2135"/>
      <c r="AT436" s="2135"/>
      <c r="AU436" s="1212">
        <v>0.33333333333333331</v>
      </c>
      <c r="AV436" s="1212">
        <v>0.33333333333333331</v>
      </c>
      <c r="AW436" s="1212">
        <v>0.33333333333333331</v>
      </c>
      <c r="AX436" s="1212"/>
      <c r="AY436" s="1212"/>
      <c r="AZ436" s="1212"/>
      <c r="BA436" s="1212"/>
      <c r="BB436" s="1212"/>
      <c r="BC436" s="1212"/>
      <c r="BD436" s="1212"/>
      <c r="BE436" s="1212"/>
      <c r="BF436" s="2126">
        <v>0</v>
      </c>
      <c r="BG436" s="2126">
        <v>0</v>
      </c>
      <c r="BH436" s="2126">
        <v>-14906.875</v>
      </c>
      <c r="BI436" s="2126">
        <v>-14906.875</v>
      </c>
      <c r="BJ436" s="2126">
        <v>-14906.875</v>
      </c>
      <c r="BK436" s="2126">
        <v>0</v>
      </c>
      <c r="BL436" s="2126">
        <v>0</v>
      </c>
      <c r="BM436" s="2126">
        <v>0</v>
      </c>
      <c r="BN436" s="2126">
        <v>0</v>
      </c>
      <c r="BO436" s="2126">
        <v>0</v>
      </c>
      <c r="BP436" s="2126">
        <v>0</v>
      </c>
      <c r="BQ436" s="2126">
        <v>0</v>
      </c>
      <c r="BR436" s="2126">
        <v>0</v>
      </c>
    </row>
    <row r="437" spans="1:70" s="1765" customFormat="1" ht="49.5">
      <c r="A437" s="1272">
        <v>2000</v>
      </c>
      <c r="B437" s="971" t="s">
        <v>119</v>
      </c>
      <c r="C437" s="1272">
        <v>2700</v>
      </c>
      <c r="D437" s="971" t="s">
        <v>912</v>
      </c>
      <c r="E437" s="971" t="s">
        <v>966</v>
      </c>
      <c r="F437" s="971" t="s">
        <v>958</v>
      </c>
      <c r="G437" s="971" t="s">
        <v>6587</v>
      </c>
      <c r="H437" s="971" t="s">
        <v>1010</v>
      </c>
      <c r="I437" s="1273" t="s">
        <v>1017</v>
      </c>
      <c r="J437" s="971" t="s">
        <v>638</v>
      </c>
      <c r="K437" s="971"/>
      <c r="L437" s="971" t="e">
        <v>#N/A</v>
      </c>
      <c r="M437" s="971" t="s">
        <v>988</v>
      </c>
      <c r="N437" s="971" t="s">
        <v>640</v>
      </c>
      <c r="O437" s="971" t="s">
        <v>988</v>
      </c>
      <c r="P437" s="971"/>
      <c r="Q437" s="971" t="s">
        <v>1018</v>
      </c>
      <c r="R437" s="1266" t="s">
        <v>1019</v>
      </c>
      <c r="S437" s="2106">
        <v>1330</v>
      </c>
      <c r="T437" s="1266" t="s">
        <v>991</v>
      </c>
      <c r="U437" s="1742" t="s">
        <v>6588</v>
      </c>
      <c r="V437" s="1742" t="s">
        <v>6588</v>
      </c>
      <c r="W437" s="1742" t="s">
        <v>6588</v>
      </c>
      <c r="X437" s="1742" t="s">
        <v>6588</v>
      </c>
      <c r="Y437" s="2106" t="s">
        <v>6588</v>
      </c>
      <c r="Z437" s="2106">
        <v>0</v>
      </c>
      <c r="AA437" s="2106">
        <v>0</v>
      </c>
      <c r="AB437" s="2106">
        <v>0</v>
      </c>
      <c r="AC437" s="2106">
        <v>0</v>
      </c>
      <c r="AD437" s="1744">
        <v>0</v>
      </c>
      <c r="AE437" s="2126">
        <v>0</v>
      </c>
      <c r="AF437" s="2126">
        <v>0</v>
      </c>
      <c r="AG437" s="1212">
        <v>1</v>
      </c>
      <c r="AH437" s="1212">
        <v>0</v>
      </c>
      <c r="AI437" s="1212">
        <v>0</v>
      </c>
      <c r="AJ437" s="1212">
        <v>1</v>
      </c>
      <c r="AK437" s="2126">
        <v>0</v>
      </c>
      <c r="AL437" s="2126">
        <v>0</v>
      </c>
      <c r="AM437" s="2126">
        <v>0</v>
      </c>
      <c r="AN437" s="2126">
        <v>0</v>
      </c>
      <c r="AO437" s="1743" t="s">
        <v>131</v>
      </c>
      <c r="AP437" s="1743"/>
      <c r="AQ437" s="1764">
        <v>2014</v>
      </c>
      <c r="AR437" s="1743" t="s">
        <v>87</v>
      </c>
      <c r="AS437" s="2135"/>
      <c r="AT437" s="2135"/>
      <c r="AU437" s="1212">
        <v>0.33333333333333331</v>
      </c>
      <c r="AV437" s="1212">
        <v>0.33333333333333331</v>
      </c>
      <c r="AW437" s="1212">
        <v>0.33333333333333331</v>
      </c>
      <c r="AX437" s="1212"/>
      <c r="AY437" s="1212"/>
      <c r="AZ437" s="1212"/>
      <c r="BA437" s="1212"/>
      <c r="BB437" s="1212"/>
      <c r="BC437" s="1212"/>
      <c r="BD437" s="1212"/>
      <c r="BE437" s="1212"/>
      <c r="BF437" s="2126">
        <v>0</v>
      </c>
      <c r="BG437" s="2126">
        <v>0</v>
      </c>
      <c r="BH437" s="2126">
        <v>0</v>
      </c>
      <c r="BI437" s="2126">
        <v>0</v>
      </c>
      <c r="BJ437" s="2126">
        <v>0</v>
      </c>
      <c r="BK437" s="2126">
        <v>0</v>
      </c>
      <c r="BL437" s="2126">
        <v>0</v>
      </c>
      <c r="BM437" s="2126">
        <v>0</v>
      </c>
      <c r="BN437" s="2126">
        <v>0</v>
      </c>
      <c r="BO437" s="2126">
        <v>0</v>
      </c>
      <c r="BP437" s="2126">
        <v>0</v>
      </c>
      <c r="BQ437" s="2126">
        <v>0</v>
      </c>
      <c r="BR437" s="2126">
        <v>0</v>
      </c>
    </row>
    <row r="438" spans="1:70" s="1765" customFormat="1" ht="49.5">
      <c r="A438" s="1272">
        <v>2000</v>
      </c>
      <c r="B438" s="971" t="s">
        <v>119</v>
      </c>
      <c r="C438" s="1272">
        <v>2700</v>
      </c>
      <c r="D438" s="971" t="s">
        <v>912</v>
      </c>
      <c r="E438" s="971" t="s">
        <v>1026</v>
      </c>
      <c r="F438" s="971" t="s">
        <v>913</v>
      </c>
      <c r="G438" s="971" t="s">
        <v>1026</v>
      </c>
      <c r="H438" s="971" t="s">
        <v>913</v>
      </c>
      <c r="I438" s="1273" t="s">
        <v>1020</v>
      </c>
      <c r="J438" s="971" t="s">
        <v>638</v>
      </c>
      <c r="K438" s="971" t="s">
        <v>2914</v>
      </c>
      <c r="L438" s="971" t="s">
        <v>915</v>
      </c>
      <c r="M438" s="971" t="s">
        <v>915</v>
      </c>
      <c r="N438" s="971" t="s">
        <v>640</v>
      </c>
      <c r="O438" s="971" t="s">
        <v>915</v>
      </c>
      <c r="P438" s="971"/>
      <c r="Q438" s="971" t="s">
        <v>1021</v>
      </c>
      <c r="R438" s="1266" t="s">
        <v>1022</v>
      </c>
      <c r="S438" s="2106">
        <v>6100</v>
      </c>
      <c r="T438" s="1266" t="s">
        <v>991</v>
      </c>
      <c r="U438" s="1742">
        <v>0.1</v>
      </c>
      <c r="V438" s="1742">
        <v>1.25</v>
      </c>
      <c r="W438" s="1742">
        <v>8.8140000000000001</v>
      </c>
      <c r="X438" s="1742">
        <v>13.787000000000001</v>
      </c>
      <c r="Y438" s="2106">
        <v>23.850999999999999</v>
      </c>
      <c r="Z438" s="2106">
        <v>610</v>
      </c>
      <c r="AA438" s="2106">
        <v>7625</v>
      </c>
      <c r="AB438" s="2106">
        <v>53765.4</v>
      </c>
      <c r="AC438" s="2106">
        <v>84100.700000000012</v>
      </c>
      <c r="AD438" s="1744">
        <v>145491.1</v>
      </c>
      <c r="AE438" s="2126">
        <v>1.0000000000000002E-2</v>
      </c>
      <c r="AF438" s="2126">
        <v>61.000000000000014</v>
      </c>
      <c r="AG438" s="1212">
        <v>1</v>
      </c>
      <c r="AH438" s="1212">
        <v>0</v>
      </c>
      <c r="AI438" s="1212">
        <v>0</v>
      </c>
      <c r="AJ438" s="1212">
        <v>1</v>
      </c>
      <c r="AK438" s="2126">
        <v>145491.1</v>
      </c>
      <c r="AL438" s="2126">
        <v>0</v>
      </c>
      <c r="AM438" s="2126">
        <v>0</v>
      </c>
      <c r="AN438" s="2126">
        <v>145491.1</v>
      </c>
      <c r="AO438" s="1743" t="s">
        <v>131</v>
      </c>
      <c r="AP438" s="1743"/>
      <c r="AQ438" s="1764">
        <v>2014</v>
      </c>
      <c r="AR438" s="1743" t="s">
        <v>87</v>
      </c>
      <c r="AS438" s="2135"/>
      <c r="AT438" s="2135"/>
      <c r="AU438" s="1212">
        <v>0.33333333333333331</v>
      </c>
      <c r="AV438" s="1212">
        <v>0.33333333333333331</v>
      </c>
      <c r="AW438" s="1212">
        <v>0.33333333333333331</v>
      </c>
      <c r="AX438" s="1212"/>
      <c r="AY438" s="1212"/>
      <c r="AZ438" s="1212"/>
      <c r="BA438" s="1212"/>
      <c r="BB438" s="1212"/>
      <c r="BC438" s="1212"/>
      <c r="BD438" s="1212"/>
      <c r="BE438" s="1212"/>
      <c r="BF438" s="2126">
        <v>0</v>
      </c>
      <c r="BG438" s="2126">
        <v>0</v>
      </c>
      <c r="BH438" s="2126">
        <v>48497.033333333333</v>
      </c>
      <c r="BI438" s="2126">
        <v>48497.033333333333</v>
      </c>
      <c r="BJ438" s="2126">
        <v>48497.033333333333</v>
      </c>
      <c r="BK438" s="2126">
        <v>0</v>
      </c>
      <c r="BL438" s="2126">
        <v>0</v>
      </c>
      <c r="BM438" s="2126">
        <v>0</v>
      </c>
      <c r="BN438" s="2126">
        <v>0</v>
      </c>
      <c r="BO438" s="2126">
        <v>0</v>
      </c>
      <c r="BP438" s="2126">
        <v>0</v>
      </c>
      <c r="BQ438" s="2126">
        <v>0</v>
      </c>
      <c r="BR438" s="2126">
        <v>0</v>
      </c>
    </row>
    <row r="439" spans="1:70" s="1765" customFormat="1" ht="49.5">
      <c r="A439" s="1272">
        <v>2000</v>
      </c>
      <c r="B439" s="971" t="s">
        <v>119</v>
      </c>
      <c r="C439" s="1272">
        <v>2700</v>
      </c>
      <c r="D439" s="971" t="s">
        <v>912</v>
      </c>
      <c r="E439" s="971" t="s">
        <v>1026</v>
      </c>
      <c r="F439" s="971" t="s">
        <v>913</v>
      </c>
      <c r="G439" s="971" t="s">
        <v>1026</v>
      </c>
      <c r="H439" s="971" t="s">
        <v>913</v>
      </c>
      <c r="I439" s="1273" t="s">
        <v>914</v>
      </c>
      <c r="J439" s="971" t="s">
        <v>638</v>
      </c>
      <c r="K439" s="971" t="s">
        <v>2914</v>
      </c>
      <c r="L439" s="971" t="s">
        <v>915</v>
      </c>
      <c r="M439" s="971" t="s">
        <v>915</v>
      </c>
      <c r="N439" s="971" t="s">
        <v>640</v>
      </c>
      <c r="O439" s="971" t="s">
        <v>915</v>
      </c>
      <c r="P439" s="971"/>
      <c r="Q439" s="971" t="s">
        <v>1023</v>
      </c>
      <c r="R439" s="1266" t="s">
        <v>1024</v>
      </c>
      <c r="S439" s="2106">
        <v>5000</v>
      </c>
      <c r="T439" s="1266" t="s">
        <v>991</v>
      </c>
      <c r="U439" s="1742">
        <v>0.1</v>
      </c>
      <c r="V439" s="1742">
        <v>1.25</v>
      </c>
      <c r="W439" s="1742">
        <v>8.8140000000000001</v>
      </c>
      <c r="X439" s="1742">
        <v>13.787000000000001</v>
      </c>
      <c r="Y439" s="2106">
        <v>23.850999999999999</v>
      </c>
      <c r="Z439" s="2106">
        <v>500</v>
      </c>
      <c r="AA439" s="2106">
        <v>6250</v>
      </c>
      <c r="AB439" s="2106">
        <v>44070</v>
      </c>
      <c r="AC439" s="2106">
        <v>68935</v>
      </c>
      <c r="AD439" s="1744">
        <v>119255</v>
      </c>
      <c r="AE439" s="2126">
        <v>1.0000000000000002E-2</v>
      </c>
      <c r="AF439" s="2126">
        <v>50.000000000000007</v>
      </c>
      <c r="AG439" s="1212">
        <v>1</v>
      </c>
      <c r="AH439" s="1212">
        <v>0</v>
      </c>
      <c r="AI439" s="1212">
        <v>0</v>
      </c>
      <c r="AJ439" s="1212">
        <v>1</v>
      </c>
      <c r="AK439" s="2126">
        <v>119255</v>
      </c>
      <c r="AL439" s="2126">
        <v>0</v>
      </c>
      <c r="AM439" s="2126">
        <v>0</v>
      </c>
      <c r="AN439" s="2126">
        <v>119255</v>
      </c>
      <c r="AO439" s="1743" t="s">
        <v>131</v>
      </c>
      <c r="AP439" s="1743"/>
      <c r="AQ439" s="1764">
        <v>2014</v>
      </c>
      <c r="AR439" s="1743" t="s">
        <v>87</v>
      </c>
      <c r="AS439" s="2135"/>
      <c r="AT439" s="2135"/>
      <c r="AU439" s="1212">
        <v>0.33333333333333331</v>
      </c>
      <c r="AV439" s="1212">
        <v>0.33333333333333331</v>
      </c>
      <c r="AW439" s="1212">
        <v>0.33333333333333331</v>
      </c>
      <c r="AX439" s="1212"/>
      <c r="AY439" s="1212"/>
      <c r="AZ439" s="1212"/>
      <c r="BA439" s="1212"/>
      <c r="BB439" s="1212"/>
      <c r="BC439" s="1212"/>
      <c r="BD439" s="1212"/>
      <c r="BE439" s="1212"/>
      <c r="BF439" s="2126">
        <v>0</v>
      </c>
      <c r="BG439" s="2126">
        <v>0</v>
      </c>
      <c r="BH439" s="2126">
        <v>39751.666666666664</v>
      </c>
      <c r="BI439" s="2126">
        <v>39751.666666666664</v>
      </c>
      <c r="BJ439" s="2126">
        <v>39751.666666666664</v>
      </c>
      <c r="BK439" s="2126">
        <v>0</v>
      </c>
      <c r="BL439" s="2126">
        <v>0</v>
      </c>
      <c r="BM439" s="2126">
        <v>0</v>
      </c>
      <c r="BN439" s="2126">
        <v>0</v>
      </c>
      <c r="BO439" s="2126">
        <v>0</v>
      </c>
      <c r="BP439" s="2126">
        <v>0</v>
      </c>
      <c r="BQ439" s="2126">
        <v>0</v>
      </c>
      <c r="BR439" s="2126">
        <v>0</v>
      </c>
    </row>
    <row r="440" spans="1:70" s="1765" customFormat="1" ht="49.5">
      <c r="A440" s="1272">
        <v>2000</v>
      </c>
      <c r="B440" s="971" t="s">
        <v>119</v>
      </c>
      <c r="C440" s="1272">
        <v>2700</v>
      </c>
      <c r="D440" s="971" t="s">
        <v>912</v>
      </c>
      <c r="E440" s="971" t="s">
        <v>1026</v>
      </c>
      <c r="F440" s="971" t="s">
        <v>913</v>
      </c>
      <c r="G440" s="971" t="s">
        <v>1026</v>
      </c>
      <c r="H440" s="971" t="s">
        <v>913</v>
      </c>
      <c r="I440" s="1273" t="s">
        <v>914</v>
      </c>
      <c r="J440" s="971" t="s">
        <v>638</v>
      </c>
      <c r="K440" s="971" t="s">
        <v>2914</v>
      </c>
      <c r="L440" s="971" t="s">
        <v>915</v>
      </c>
      <c r="M440" s="971" t="s">
        <v>915</v>
      </c>
      <c r="N440" s="971" t="s">
        <v>640</v>
      </c>
      <c r="O440" s="971" t="s">
        <v>915</v>
      </c>
      <c r="P440" s="971"/>
      <c r="Q440" s="971" t="s">
        <v>1025</v>
      </c>
      <c r="R440" s="1266" t="s">
        <v>1024</v>
      </c>
      <c r="S440" s="2106">
        <v>100</v>
      </c>
      <c r="T440" s="1266" t="s">
        <v>991</v>
      </c>
      <c r="U440" s="1742">
        <v>0.1</v>
      </c>
      <c r="V440" s="1742">
        <v>1.25</v>
      </c>
      <c r="W440" s="1742">
        <v>8.8140000000000001</v>
      </c>
      <c r="X440" s="1742">
        <v>13.787000000000001</v>
      </c>
      <c r="Y440" s="2106">
        <v>23.850999999999999</v>
      </c>
      <c r="Z440" s="2106">
        <v>10</v>
      </c>
      <c r="AA440" s="2106">
        <v>125</v>
      </c>
      <c r="AB440" s="2106">
        <v>881.4</v>
      </c>
      <c r="AC440" s="2106">
        <v>1378.7</v>
      </c>
      <c r="AD440" s="1744">
        <v>2385.1</v>
      </c>
      <c r="AE440" s="2126">
        <v>1.0000000000000002E-2</v>
      </c>
      <c r="AF440" s="2126">
        <v>1.0000000000000002</v>
      </c>
      <c r="AG440" s="1212">
        <v>1</v>
      </c>
      <c r="AH440" s="1212">
        <v>0</v>
      </c>
      <c r="AI440" s="1212">
        <v>0</v>
      </c>
      <c r="AJ440" s="1212">
        <v>1</v>
      </c>
      <c r="AK440" s="2126">
        <v>2385.1</v>
      </c>
      <c r="AL440" s="2126">
        <v>0</v>
      </c>
      <c r="AM440" s="2126">
        <v>0</v>
      </c>
      <c r="AN440" s="2126">
        <v>2385.1</v>
      </c>
      <c r="AO440" s="1743" t="s">
        <v>131</v>
      </c>
      <c r="AP440" s="1743" t="s">
        <v>90</v>
      </c>
      <c r="AQ440" s="1764">
        <v>2021</v>
      </c>
      <c r="AR440" s="1743" t="s">
        <v>87</v>
      </c>
      <c r="AS440" s="2135"/>
      <c r="AT440" s="2135"/>
      <c r="AU440" s="1212">
        <v>0.33333333333333331</v>
      </c>
      <c r="AV440" s="1212">
        <v>0.33333333333333331</v>
      </c>
      <c r="AW440" s="1212">
        <v>0.33333333333333331</v>
      </c>
      <c r="AX440" s="1212"/>
      <c r="AY440" s="1212"/>
      <c r="AZ440" s="1212"/>
      <c r="BA440" s="1212"/>
      <c r="BB440" s="1212"/>
      <c r="BC440" s="1212"/>
      <c r="BD440" s="1212"/>
      <c r="BE440" s="1212"/>
      <c r="BF440" s="2126">
        <v>0</v>
      </c>
      <c r="BG440" s="2126">
        <v>0</v>
      </c>
      <c r="BH440" s="2126">
        <v>795.0333333333333</v>
      </c>
      <c r="BI440" s="2126">
        <v>795.0333333333333</v>
      </c>
      <c r="BJ440" s="2126">
        <v>795.0333333333333</v>
      </c>
      <c r="BK440" s="2126">
        <v>0</v>
      </c>
      <c r="BL440" s="2126">
        <v>0</v>
      </c>
      <c r="BM440" s="2126">
        <v>0</v>
      </c>
      <c r="BN440" s="2126">
        <v>0</v>
      </c>
      <c r="BO440" s="2126">
        <v>0</v>
      </c>
      <c r="BP440" s="2126">
        <v>0</v>
      </c>
      <c r="BQ440" s="2126">
        <v>0</v>
      </c>
      <c r="BR440" s="2126">
        <v>0</v>
      </c>
    </row>
    <row r="441" spans="1:70" s="1765" customFormat="1" ht="49.5">
      <c r="A441" s="1272">
        <v>2000</v>
      </c>
      <c r="B441" s="971" t="s">
        <v>119</v>
      </c>
      <c r="C441" s="1272">
        <v>2700</v>
      </c>
      <c r="D441" s="971" t="s">
        <v>912</v>
      </c>
      <c r="E441" s="971" t="s">
        <v>1026</v>
      </c>
      <c r="F441" s="971" t="s">
        <v>913</v>
      </c>
      <c r="G441" s="971" t="s">
        <v>1026</v>
      </c>
      <c r="H441" s="971" t="s">
        <v>913</v>
      </c>
      <c r="I441" s="1273" t="s">
        <v>1027</v>
      </c>
      <c r="J441" s="971" t="s">
        <v>124</v>
      </c>
      <c r="K441" s="971" t="s">
        <v>784</v>
      </c>
      <c r="L441" s="971" t="s">
        <v>2852</v>
      </c>
      <c r="M441" s="971" t="s">
        <v>458</v>
      </c>
      <c r="N441" s="971" t="s">
        <v>127</v>
      </c>
      <c r="O441" s="971" t="s">
        <v>459</v>
      </c>
      <c r="P441" s="971"/>
      <c r="Q441" s="971" t="s">
        <v>1028</v>
      </c>
      <c r="R441" s="1266" t="s">
        <v>1029</v>
      </c>
      <c r="S441" s="2106">
        <v>59.479553903345725</v>
      </c>
      <c r="T441" s="1266" t="s">
        <v>136</v>
      </c>
      <c r="U441" s="1742">
        <v>0.22416666666666665</v>
      </c>
      <c r="V441" s="1742">
        <v>2.8020833333333335</v>
      </c>
      <c r="W441" s="1742">
        <v>19.758049999999997</v>
      </c>
      <c r="X441" s="1742">
        <v>30.905858333333335</v>
      </c>
      <c r="Y441" s="2106">
        <v>53.46599166666666</v>
      </c>
      <c r="Z441" s="2106">
        <v>13.333333333333332</v>
      </c>
      <c r="AA441" s="2106">
        <v>166.66666666666669</v>
      </c>
      <c r="AB441" s="2106">
        <v>1175.1999999999998</v>
      </c>
      <c r="AC441" s="2106">
        <v>1838.2666666666667</v>
      </c>
      <c r="AD441" s="1744">
        <v>3180.1333333333332</v>
      </c>
      <c r="AE441" s="2126">
        <v>1</v>
      </c>
      <c r="AF441" s="2126">
        <v>59.479553903345725</v>
      </c>
      <c r="AG441" s="1212">
        <v>1</v>
      </c>
      <c r="AH441" s="1212">
        <v>0</v>
      </c>
      <c r="AI441" s="1212">
        <v>0</v>
      </c>
      <c r="AJ441" s="1212">
        <v>1</v>
      </c>
      <c r="AK441" s="2126">
        <v>3180.1333333333332</v>
      </c>
      <c r="AL441" s="2126">
        <v>0</v>
      </c>
      <c r="AM441" s="2126">
        <v>0</v>
      </c>
      <c r="AN441" s="2126">
        <v>3180.1333333333332</v>
      </c>
      <c r="AO441" s="1743" t="s">
        <v>131</v>
      </c>
      <c r="AP441" s="1743"/>
      <c r="AQ441" s="1764">
        <v>2014</v>
      </c>
      <c r="AR441" s="1743" t="s">
        <v>87</v>
      </c>
      <c r="AS441" s="2135"/>
      <c r="AT441" s="2135"/>
      <c r="AU441" s="1212">
        <v>0.33333333333333331</v>
      </c>
      <c r="AV441" s="1212">
        <v>0.33333333333333331</v>
      </c>
      <c r="AW441" s="1212">
        <v>0.33333333333333331</v>
      </c>
      <c r="AX441" s="1212"/>
      <c r="AY441" s="1212"/>
      <c r="AZ441" s="1212"/>
      <c r="BA441" s="1212"/>
      <c r="BB441" s="1212"/>
      <c r="BC441" s="1212"/>
      <c r="BD441" s="1212"/>
      <c r="BE441" s="1212"/>
      <c r="BF441" s="2126">
        <v>0</v>
      </c>
      <c r="BG441" s="2126">
        <v>0</v>
      </c>
      <c r="BH441" s="2126">
        <v>1060.0444444444443</v>
      </c>
      <c r="BI441" s="2126">
        <v>1060.0444444444443</v>
      </c>
      <c r="BJ441" s="2126">
        <v>1060.0444444444443</v>
      </c>
      <c r="BK441" s="2126">
        <v>0</v>
      </c>
      <c r="BL441" s="2126">
        <v>0</v>
      </c>
      <c r="BM441" s="2126">
        <v>0</v>
      </c>
      <c r="BN441" s="2126">
        <v>0</v>
      </c>
      <c r="BO441" s="2126">
        <v>0</v>
      </c>
      <c r="BP441" s="2126">
        <v>0</v>
      </c>
      <c r="BQ441" s="2126">
        <v>0</v>
      </c>
      <c r="BR441" s="2126">
        <v>0</v>
      </c>
    </row>
    <row r="442" spans="1:70" s="1765" customFormat="1" ht="49.5">
      <c r="A442" s="1272">
        <v>2000</v>
      </c>
      <c r="B442" s="971" t="s">
        <v>119</v>
      </c>
      <c r="C442" s="1272">
        <v>2700</v>
      </c>
      <c r="D442" s="971" t="s">
        <v>912</v>
      </c>
      <c r="E442" s="971" t="s">
        <v>1026</v>
      </c>
      <c r="F442" s="971" t="s">
        <v>913</v>
      </c>
      <c r="G442" s="971" t="s">
        <v>1026</v>
      </c>
      <c r="H442" s="971" t="s">
        <v>913</v>
      </c>
      <c r="I442" s="1273" t="s">
        <v>1030</v>
      </c>
      <c r="J442" s="971" t="s">
        <v>124</v>
      </c>
      <c r="K442" s="971" t="s">
        <v>784</v>
      </c>
      <c r="L442" s="971" t="s">
        <v>2852</v>
      </c>
      <c r="M442" s="971" t="s">
        <v>458</v>
      </c>
      <c r="N442" s="971" t="s">
        <v>127</v>
      </c>
      <c r="O442" s="971" t="s">
        <v>459</v>
      </c>
      <c r="P442" s="971"/>
      <c r="Q442" s="971" t="s">
        <v>1031</v>
      </c>
      <c r="R442" s="1266" t="s">
        <v>1032</v>
      </c>
      <c r="S442" s="2106">
        <v>37.174721189591082</v>
      </c>
      <c r="T442" s="1266" t="s">
        <v>136</v>
      </c>
      <c r="U442" s="1742">
        <v>0.22416666666666665</v>
      </c>
      <c r="V442" s="1742">
        <v>2.8020833333333335</v>
      </c>
      <c r="W442" s="1742">
        <v>19.758049999999997</v>
      </c>
      <c r="X442" s="1742">
        <v>30.905858333333335</v>
      </c>
      <c r="Y442" s="2106">
        <v>53.46599166666666</v>
      </c>
      <c r="Z442" s="2106">
        <v>8.3333333333333339</v>
      </c>
      <c r="AA442" s="2106">
        <v>104.16666666666669</v>
      </c>
      <c r="AB442" s="2106">
        <v>734.5</v>
      </c>
      <c r="AC442" s="2106">
        <v>1148.9166666666667</v>
      </c>
      <c r="AD442" s="1744">
        <v>1987.5833333333335</v>
      </c>
      <c r="AE442" s="2126">
        <v>1</v>
      </c>
      <c r="AF442" s="2126">
        <v>37.174721189591082</v>
      </c>
      <c r="AG442" s="1212">
        <v>1</v>
      </c>
      <c r="AH442" s="1212">
        <v>0</v>
      </c>
      <c r="AI442" s="1212">
        <v>0</v>
      </c>
      <c r="AJ442" s="1212">
        <v>1</v>
      </c>
      <c r="AK442" s="2126">
        <v>1987.5833333333335</v>
      </c>
      <c r="AL442" s="2126">
        <v>0</v>
      </c>
      <c r="AM442" s="2126">
        <v>0</v>
      </c>
      <c r="AN442" s="2126">
        <v>1987.5833333333335</v>
      </c>
      <c r="AO442" s="1743" t="s">
        <v>131</v>
      </c>
      <c r="AP442" s="1743"/>
      <c r="AQ442" s="1764">
        <v>2014</v>
      </c>
      <c r="AR442" s="1743" t="s">
        <v>87</v>
      </c>
      <c r="AS442" s="2135"/>
      <c r="AT442" s="2135"/>
      <c r="AU442" s="1212">
        <v>0.33333333333333331</v>
      </c>
      <c r="AV442" s="1212">
        <v>0.33333333333333331</v>
      </c>
      <c r="AW442" s="1212">
        <v>0.33333333333333331</v>
      </c>
      <c r="AX442" s="1212"/>
      <c r="AY442" s="1212"/>
      <c r="AZ442" s="1212"/>
      <c r="BA442" s="1212"/>
      <c r="BB442" s="1212"/>
      <c r="BC442" s="1212"/>
      <c r="BD442" s="1212"/>
      <c r="BE442" s="1212"/>
      <c r="BF442" s="2126">
        <v>0</v>
      </c>
      <c r="BG442" s="2126">
        <v>0</v>
      </c>
      <c r="BH442" s="2126">
        <v>662.52777777777783</v>
      </c>
      <c r="BI442" s="2126">
        <v>662.52777777777783</v>
      </c>
      <c r="BJ442" s="2126">
        <v>662.52777777777783</v>
      </c>
      <c r="BK442" s="2126">
        <v>0</v>
      </c>
      <c r="BL442" s="2126">
        <v>0</v>
      </c>
      <c r="BM442" s="2126">
        <v>0</v>
      </c>
      <c r="BN442" s="2126">
        <v>0</v>
      </c>
      <c r="BO442" s="2126">
        <v>0</v>
      </c>
      <c r="BP442" s="2126">
        <v>0</v>
      </c>
      <c r="BQ442" s="2126">
        <v>0</v>
      </c>
      <c r="BR442" s="2126">
        <v>0</v>
      </c>
    </row>
    <row r="443" spans="1:70" s="1765" customFormat="1" ht="49.5">
      <c r="A443" s="1272">
        <v>2000</v>
      </c>
      <c r="B443" s="971" t="s">
        <v>119</v>
      </c>
      <c r="C443" s="1272">
        <v>2700</v>
      </c>
      <c r="D443" s="971" t="s">
        <v>912</v>
      </c>
      <c r="E443" s="971" t="s">
        <v>1026</v>
      </c>
      <c r="F443" s="971" t="s">
        <v>913</v>
      </c>
      <c r="G443" s="971" t="s">
        <v>1026</v>
      </c>
      <c r="H443" s="971" t="s">
        <v>913</v>
      </c>
      <c r="I443" s="1273" t="s">
        <v>1033</v>
      </c>
      <c r="J443" s="971" t="s">
        <v>124</v>
      </c>
      <c r="K443" s="971" t="s">
        <v>784</v>
      </c>
      <c r="L443" s="971" t="s">
        <v>2852</v>
      </c>
      <c r="M443" s="971" t="s">
        <v>458</v>
      </c>
      <c r="N443" s="971" t="s">
        <v>127</v>
      </c>
      <c r="O443" s="971" t="s">
        <v>459</v>
      </c>
      <c r="P443" s="971"/>
      <c r="Q443" s="971" t="s">
        <v>1034</v>
      </c>
      <c r="R443" s="1266"/>
      <c r="S443" s="2106">
        <v>37.174721189591082</v>
      </c>
      <c r="T443" s="1266" t="s">
        <v>136</v>
      </c>
      <c r="U443" s="1742">
        <v>0.22416666666666665</v>
      </c>
      <c r="V443" s="1742">
        <v>2.8020833333333335</v>
      </c>
      <c r="W443" s="1742">
        <v>19.758049999999997</v>
      </c>
      <c r="X443" s="1742">
        <v>30.905858333333335</v>
      </c>
      <c r="Y443" s="2106">
        <v>53.46599166666666</v>
      </c>
      <c r="Z443" s="2106">
        <v>8.3333333333333339</v>
      </c>
      <c r="AA443" s="2106">
        <v>104.16666666666669</v>
      </c>
      <c r="AB443" s="2106">
        <v>734.5</v>
      </c>
      <c r="AC443" s="2106">
        <v>1148.9166666666667</v>
      </c>
      <c r="AD443" s="1744">
        <v>1987.5833333333335</v>
      </c>
      <c r="AE443" s="2126">
        <v>1</v>
      </c>
      <c r="AF443" s="2126">
        <v>37.174721189591082</v>
      </c>
      <c r="AG443" s="1212">
        <v>1</v>
      </c>
      <c r="AH443" s="1212">
        <v>0</v>
      </c>
      <c r="AI443" s="1212">
        <v>0</v>
      </c>
      <c r="AJ443" s="1212">
        <v>1</v>
      </c>
      <c r="AK443" s="2126">
        <v>1987.5833333333335</v>
      </c>
      <c r="AL443" s="2126">
        <v>0</v>
      </c>
      <c r="AM443" s="2126">
        <v>0</v>
      </c>
      <c r="AN443" s="2126">
        <v>1987.5833333333335</v>
      </c>
      <c r="AO443" s="1743" t="s">
        <v>85</v>
      </c>
      <c r="AP443" s="1743" t="s">
        <v>90</v>
      </c>
      <c r="AQ443" s="1764">
        <v>2019</v>
      </c>
      <c r="AR443" s="1743" t="s">
        <v>87</v>
      </c>
      <c r="AS443" s="2135"/>
      <c r="AT443" s="2135"/>
      <c r="AU443" s="1212">
        <v>0.33333333333333331</v>
      </c>
      <c r="AV443" s="1212">
        <v>0.33333333333333331</v>
      </c>
      <c r="AW443" s="1212">
        <v>0.33333333333333331</v>
      </c>
      <c r="AX443" s="1212"/>
      <c r="AY443" s="1212"/>
      <c r="AZ443" s="1212"/>
      <c r="BA443" s="1212"/>
      <c r="BB443" s="1212"/>
      <c r="BC443" s="1212"/>
      <c r="BD443" s="1212"/>
      <c r="BE443" s="1212"/>
      <c r="BF443" s="2126">
        <v>0</v>
      </c>
      <c r="BG443" s="2126">
        <v>0</v>
      </c>
      <c r="BH443" s="2126">
        <v>662.52777777777783</v>
      </c>
      <c r="BI443" s="2126">
        <v>662.52777777777783</v>
      </c>
      <c r="BJ443" s="2126">
        <v>662.52777777777783</v>
      </c>
      <c r="BK443" s="2126">
        <v>0</v>
      </c>
      <c r="BL443" s="2126">
        <v>0</v>
      </c>
      <c r="BM443" s="2126">
        <v>0</v>
      </c>
      <c r="BN443" s="2126">
        <v>0</v>
      </c>
      <c r="BO443" s="2126">
        <v>0</v>
      </c>
      <c r="BP443" s="2126">
        <v>0</v>
      </c>
      <c r="BQ443" s="2126">
        <v>0</v>
      </c>
      <c r="BR443" s="2126">
        <v>0</v>
      </c>
    </row>
    <row r="444" spans="1:70" s="1765" customFormat="1" ht="49.5">
      <c r="A444" s="1272">
        <v>2000</v>
      </c>
      <c r="B444" s="971" t="s">
        <v>119</v>
      </c>
      <c r="C444" s="1272">
        <v>2700</v>
      </c>
      <c r="D444" s="971" t="s">
        <v>912</v>
      </c>
      <c r="E444" s="971" t="s">
        <v>1026</v>
      </c>
      <c r="F444" s="971" t="s">
        <v>913</v>
      </c>
      <c r="G444" s="971" t="s">
        <v>1026</v>
      </c>
      <c r="H444" s="971" t="s">
        <v>913</v>
      </c>
      <c r="I444" s="1273" t="s">
        <v>1033</v>
      </c>
      <c r="J444" s="971" t="s">
        <v>124</v>
      </c>
      <c r="K444" s="971" t="s">
        <v>784</v>
      </c>
      <c r="L444" s="971" t="s">
        <v>2852</v>
      </c>
      <c r="M444" s="971" t="s">
        <v>458</v>
      </c>
      <c r="N444" s="971" t="s">
        <v>127</v>
      </c>
      <c r="O444" s="971" t="s">
        <v>459</v>
      </c>
      <c r="P444" s="971"/>
      <c r="Q444" s="971" t="s">
        <v>1035</v>
      </c>
      <c r="R444" s="1266" t="s">
        <v>1036</v>
      </c>
      <c r="S444" s="2106">
        <v>37.174721189591082</v>
      </c>
      <c r="T444" s="1266" t="s">
        <v>136</v>
      </c>
      <c r="U444" s="1742">
        <v>0.22416666666666665</v>
      </c>
      <c r="V444" s="1742">
        <v>2.8020833333333335</v>
      </c>
      <c r="W444" s="1742">
        <v>19.758049999999997</v>
      </c>
      <c r="X444" s="1742">
        <v>30.905858333333335</v>
      </c>
      <c r="Y444" s="2106">
        <v>53.46599166666666</v>
      </c>
      <c r="Z444" s="2106">
        <v>8.3333333333333339</v>
      </c>
      <c r="AA444" s="2106">
        <v>104.16666666666669</v>
      </c>
      <c r="AB444" s="2106">
        <v>734.5</v>
      </c>
      <c r="AC444" s="2106">
        <v>1148.9166666666667</v>
      </c>
      <c r="AD444" s="1744">
        <v>1987.5833333333335</v>
      </c>
      <c r="AE444" s="2126">
        <v>1</v>
      </c>
      <c r="AF444" s="2126">
        <v>37.174721189591082</v>
      </c>
      <c r="AG444" s="1212">
        <v>1</v>
      </c>
      <c r="AH444" s="1212">
        <v>0</v>
      </c>
      <c r="AI444" s="1212">
        <v>0</v>
      </c>
      <c r="AJ444" s="1212">
        <v>1</v>
      </c>
      <c r="AK444" s="2126">
        <v>1987.5833333333335</v>
      </c>
      <c r="AL444" s="2126">
        <v>0</v>
      </c>
      <c r="AM444" s="2126">
        <v>0</v>
      </c>
      <c r="AN444" s="2126">
        <v>1987.5833333333335</v>
      </c>
      <c r="AO444" s="1743" t="s">
        <v>131</v>
      </c>
      <c r="AP444" s="1743"/>
      <c r="AQ444" s="1764">
        <v>2014</v>
      </c>
      <c r="AR444" s="1743" t="s">
        <v>87</v>
      </c>
      <c r="AS444" s="2135"/>
      <c r="AT444" s="2135"/>
      <c r="AU444" s="1212">
        <v>0.33333333333333331</v>
      </c>
      <c r="AV444" s="1212">
        <v>0.33333333333333331</v>
      </c>
      <c r="AW444" s="1212">
        <v>0.33333333333333331</v>
      </c>
      <c r="AX444" s="1212"/>
      <c r="AY444" s="1212"/>
      <c r="AZ444" s="1212"/>
      <c r="BA444" s="1212"/>
      <c r="BB444" s="1212"/>
      <c r="BC444" s="1212"/>
      <c r="BD444" s="1212"/>
      <c r="BE444" s="1212"/>
      <c r="BF444" s="2126">
        <v>0</v>
      </c>
      <c r="BG444" s="2126">
        <v>0</v>
      </c>
      <c r="BH444" s="2126">
        <v>662.52777777777783</v>
      </c>
      <c r="BI444" s="2126">
        <v>662.52777777777783</v>
      </c>
      <c r="BJ444" s="2126">
        <v>662.52777777777783</v>
      </c>
      <c r="BK444" s="2126">
        <v>0</v>
      </c>
      <c r="BL444" s="2126">
        <v>0</v>
      </c>
      <c r="BM444" s="2126">
        <v>0</v>
      </c>
      <c r="BN444" s="2126">
        <v>0</v>
      </c>
      <c r="BO444" s="2126">
        <v>0</v>
      </c>
      <c r="BP444" s="2126">
        <v>0</v>
      </c>
      <c r="BQ444" s="2126">
        <v>0</v>
      </c>
      <c r="BR444" s="2126">
        <v>0</v>
      </c>
    </row>
    <row r="445" spans="1:70" s="1765" customFormat="1" ht="49.5">
      <c r="A445" s="1272">
        <v>2000</v>
      </c>
      <c r="B445" s="971" t="s">
        <v>119</v>
      </c>
      <c r="C445" s="1272">
        <v>2700</v>
      </c>
      <c r="D445" s="971" t="s">
        <v>912</v>
      </c>
      <c r="E445" s="971" t="s">
        <v>1026</v>
      </c>
      <c r="F445" s="971" t="s">
        <v>913</v>
      </c>
      <c r="G445" s="971" t="s">
        <v>1026</v>
      </c>
      <c r="H445" s="971" t="s">
        <v>913</v>
      </c>
      <c r="I445" s="1273" t="s">
        <v>1037</v>
      </c>
      <c r="J445" s="971" t="s">
        <v>124</v>
      </c>
      <c r="K445" s="971" t="s">
        <v>784</v>
      </c>
      <c r="L445" s="971" t="s">
        <v>2852</v>
      </c>
      <c r="M445" s="971" t="s">
        <v>458</v>
      </c>
      <c r="N445" s="971" t="s">
        <v>127</v>
      </c>
      <c r="O445" s="971" t="s">
        <v>459</v>
      </c>
      <c r="P445" s="971"/>
      <c r="Q445" s="971" t="s">
        <v>1038</v>
      </c>
      <c r="R445" s="1266" t="s">
        <v>1039</v>
      </c>
      <c r="S445" s="2106">
        <v>37.174721189591082</v>
      </c>
      <c r="T445" s="1266" t="s">
        <v>136</v>
      </c>
      <c r="U445" s="1742">
        <v>0.22416666666666665</v>
      </c>
      <c r="V445" s="1742">
        <v>2.8020833333333335</v>
      </c>
      <c r="W445" s="1742">
        <v>19.758049999999997</v>
      </c>
      <c r="X445" s="1742">
        <v>30.905858333333335</v>
      </c>
      <c r="Y445" s="2106">
        <v>53.46599166666666</v>
      </c>
      <c r="Z445" s="2106">
        <v>8.3333333333333339</v>
      </c>
      <c r="AA445" s="2106">
        <v>104.16666666666669</v>
      </c>
      <c r="AB445" s="2106">
        <v>734.5</v>
      </c>
      <c r="AC445" s="2106">
        <v>1148.9166666666667</v>
      </c>
      <c r="AD445" s="1744">
        <v>1987.5833333333335</v>
      </c>
      <c r="AE445" s="2126">
        <v>1</v>
      </c>
      <c r="AF445" s="2126">
        <v>37.174721189591082</v>
      </c>
      <c r="AG445" s="1212">
        <v>1</v>
      </c>
      <c r="AH445" s="1212">
        <v>0</v>
      </c>
      <c r="AI445" s="1212">
        <v>0</v>
      </c>
      <c r="AJ445" s="1212">
        <v>1</v>
      </c>
      <c r="AK445" s="2126">
        <v>1987.5833333333335</v>
      </c>
      <c r="AL445" s="2126">
        <v>0</v>
      </c>
      <c r="AM445" s="2126">
        <v>0</v>
      </c>
      <c r="AN445" s="2126">
        <v>1987.5833333333335</v>
      </c>
      <c r="AO445" s="1743" t="s">
        <v>131</v>
      </c>
      <c r="AP445" s="1743"/>
      <c r="AQ445" s="1764">
        <v>2014</v>
      </c>
      <c r="AR445" s="1743" t="s">
        <v>87</v>
      </c>
      <c r="AS445" s="2135"/>
      <c r="AT445" s="2135"/>
      <c r="AU445" s="1212">
        <v>0.33333333333333331</v>
      </c>
      <c r="AV445" s="1212">
        <v>0.33333333333333331</v>
      </c>
      <c r="AW445" s="1212">
        <v>0.33333333333333331</v>
      </c>
      <c r="AX445" s="1212"/>
      <c r="AY445" s="1212"/>
      <c r="AZ445" s="1212"/>
      <c r="BA445" s="1212"/>
      <c r="BB445" s="1212"/>
      <c r="BC445" s="1212"/>
      <c r="BD445" s="1212"/>
      <c r="BE445" s="1212"/>
      <c r="BF445" s="2126">
        <v>0</v>
      </c>
      <c r="BG445" s="2126">
        <v>0</v>
      </c>
      <c r="BH445" s="2126">
        <v>662.52777777777783</v>
      </c>
      <c r="BI445" s="2126">
        <v>662.52777777777783</v>
      </c>
      <c r="BJ445" s="2126">
        <v>662.52777777777783</v>
      </c>
      <c r="BK445" s="2126">
        <v>0</v>
      </c>
      <c r="BL445" s="2126">
        <v>0</v>
      </c>
      <c r="BM445" s="2126">
        <v>0</v>
      </c>
      <c r="BN445" s="2126">
        <v>0</v>
      </c>
      <c r="BO445" s="2126">
        <v>0</v>
      </c>
      <c r="BP445" s="2126">
        <v>0</v>
      </c>
      <c r="BQ445" s="2126">
        <v>0</v>
      </c>
      <c r="BR445" s="2126">
        <v>0</v>
      </c>
    </row>
    <row r="446" spans="1:70" s="1765" customFormat="1" ht="49.5">
      <c r="A446" s="1272">
        <v>2000</v>
      </c>
      <c r="B446" s="971" t="s">
        <v>119</v>
      </c>
      <c r="C446" s="1272">
        <v>2700</v>
      </c>
      <c r="D446" s="971" t="s">
        <v>912</v>
      </c>
      <c r="E446" s="971" t="s">
        <v>1026</v>
      </c>
      <c r="F446" s="971" t="s">
        <v>913</v>
      </c>
      <c r="G446" s="971" t="s">
        <v>1026</v>
      </c>
      <c r="H446" s="971" t="s">
        <v>913</v>
      </c>
      <c r="I446" s="1273" t="s">
        <v>1040</v>
      </c>
      <c r="J446" s="971" t="s">
        <v>124</v>
      </c>
      <c r="K446" s="971" t="s">
        <v>784</v>
      </c>
      <c r="L446" s="971" t="s">
        <v>2852</v>
      </c>
      <c r="M446" s="971" t="s">
        <v>458</v>
      </c>
      <c r="N446" s="971" t="s">
        <v>127</v>
      </c>
      <c r="O446" s="971" t="s">
        <v>459</v>
      </c>
      <c r="P446" s="971"/>
      <c r="Q446" s="971" t="s">
        <v>1041</v>
      </c>
      <c r="R446" s="1266" t="s">
        <v>1042</v>
      </c>
      <c r="S446" s="2106">
        <v>2.3234200743494426</v>
      </c>
      <c r="T446" s="1266" t="s">
        <v>136</v>
      </c>
      <c r="U446" s="1742">
        <v>0.22416666666666665</v>
      </c>
      <c r="V446" s="1742">
        <v>2.8020833333333335</v>
      </c>
      <c r="W446" s="1742">
        <v>19.758049999999997</v>
      </c>
      <c r="X446" s="1742">
        <v>30.905858333333335</v>
      </c>
      <c r="Y446" s="2106">
        <v>53.46599166666666</v>
      </c>
      <c r="Z446" s="2106">
        <v>0.52083333333333337</v>
      </c>
      <c r="AA446" s="2106">
        <v>6.5104166666666679</v>
      </c>
      <c r="AB446" s="2106">
        <v>45.90625</v>
      </c>
      <c r="AC446" s="2106">
        <v>71.807291666666671</v>
      </c>
      <c r="AD446" s="1744">
        <v>124.22395833333334</v>
      </c>
      <c r="AE446" s="2126">
        <v>1</v>
      </c>
      <c r="AF446" s="2126">
        <v>2.3234200743494426</v>
      </c>
      <c r="AG446" s="1212">
        <v>1</v>
      </c>
      <c r="AH446" s="1212">
        <v>0</v>
      </c>
      <c r="AI446" s="1212">
        <v>0</v>
      </c>
      <c r="AJ446" s="1212">
        <v>1</v>
      </c>
      <c r="AK446" s="2126">
        <v>124.22395833333334</v>
      </c>
      <c r="AL446" s="2126">
        <v>0</v>
      </c>
      <c r="AM446" s="2126">
        <v>0</v>
      </c>
      <c r="AN446" s="2126">
        <v>124.22395833333334</v>
      </c>
      <c r="AO446" s="1743" t="s">
        <v>131</v>
      </c>
      <c r="AP446" s="1743"/>
      <c r="AQ446" s="1764">
        <v>2014</v>
      </c>
      <c r="AR446" s="1743" t="s">
        <v>87</v>
      </c>
      <c r="AS446" s="2135"/>
      <c r="AT446" s="2135"/>
      <c r="AU446" s="1212">
        <v>0.5</v>
      </c>
      <c r="AV446" s="1212">
        <v>0.5</v>
      </c>
      <c r="AW446" s="1212"/>
      <c r="AX446" s="1212"/>
      <c r="AY446" s="1212"/>
      <c r="AZ446" s="1212"/>
      <c r="BA446" s="1212"/>
      <c r="BB446" s="1212"/>
      <c r="BC446" s="1212"/>
      <c r="BD446" s="1212"/>
      <c r="BE446" s="1212"/>
      <c r="BF446" s="2126">
        <v>0</v>
      </c>
      <c r="BG446" s="2126">
        <v>0</v>
      </c>
      <c r="BH446" s="2126">
        <v>62.111979166666671</v>
      </c>
      <c r="BI446" s="2126">
        <v>62.111979166666671</v>
      </c>
      <c r="BJ446" s="2126">
        <v>0</v>
      </c>
      <c r="BK446" s="2126">
        <v>0</v>
      </c>
      <c r="BL446" s="2126">
        <v>0</v>
      </c>
      <c r="BM446" s="2126">
        <v>0</v>
      </c>
      <c r="BN446" s="2126">
        <v>0</v>
      </c>
      <c r="BO446" s="2126">
        <v>0</v>
      </c>
      <c r="BP446" s="2126">
        <v>0</v>
      </c>
      <c r="BQ446" s="2126">
        <v>0</v>
      </c>
      <c r="BR446" s="2126">
        <v>0</v>
      </c>
    </row>
    <row r="447" spans="1:70" s="1765" customFormat="1" ht="33">
      <c r="A447" s="1272">
        <v>2000</v>
      </c>
      <c r="B447" s="971" t="s">
        <v>119</v>
      </c>
      <c r="C447" s="1272">
        <v>2700</v>
      </c>
      <c r="D447" s="971" t="s">
        <v>912</v>
      </c>
      <c r="E447" s="971" t="s">
        <v>1026</v>
      </c>
      <c r="F447" s="971" t="s">
        <v>913</v>
      </c>
      <c r="G447" s="971" t="s">
        <v>1026</v>
      </c>
      <c r="H447" s="971" t="s">
        <v>913</v>
      </c>
      <c r="I447" s="1273" t="s">
        <v>1043</v>
      </c>
      <c r="J447" s="971" t="s">
        <v>124</v>
      </c>
      <c r="K447" s="971" t="s">
        <v>140</v>
      </c>
      <c r="L447" s="971" t="s">
        <v>2909</v>
      </c>
      <c r="M447" s="971" t="s">
        <v>140</v>
      </c>
      <c r="N447" s="971" t="s">
        <v>141</v>
      </c>
      <c r="O447" s="971" t="s">
        <v>142</v>
      </c>
      <c r="P447" s="971"/>
      <c r="Q447" s="971" t="s">
        <v>1044</v>
      </c>
      <c r="R447" s="1266" t="s">
        <v>1042</v>
      </c>
      <c r="S447" s="2106">
        <v>2.3234200743494426</v>
      </c>
      <c r="T447" s="1266" t="s">
        <v>136</v>
      </c>
      <c r="U447" s="1742">
        <v>0</v>
      </c>
      <c r="V447" s="1742">
        <v>0</v>
      </c>
      <c r="W447" s="1742">
        <v>0</v>
      </c>
      <c r="X447" s="1742">
        <v>0</v>
      </c>
      <c r="Y447" s="2106">
        <v>0</v>
      </c>
      <c r="Z447" s="2106">
        <v>0</v>
      </c>
      <c r="AA447" s="2106">
        <v>0</v>
      </c>
      <c r="AB447" s="2106">
        <v>0</v>
      </c>
      <c r="AC447" s="2106">
        <v>0</v>
      </c>
      <c r="AD447" s="1744">
        <v>0</v>
      </c>
      <c r="AE447" s="2126">
        <v>0</v>
      </c>
      <c r="AF447" s="2126">
        <v>0</v>
      </c>
      <c r="AG447" s="1212">
        <v>1</v>
      </c>
      <c r="AH447" s="1212">
        <v>0</v>
      </c>
      <c r="AI447" s="1212">
        <v>0</v>
      </c>
      <c r="AJ447" s="1212">
        <v>1</v>
      </c>
      <c r="AK447" s="2126">
        <v>0</v>
      </c>
      <c r="AL447" s="2126">
        <v>0</v>
      </c>
      <c r="AM447" s="2126">
        <v>0</v>
      </c>
      <c r="AN447" s="2126">
        <v>0</v>
      </c>
      <c r="AO447" s="1743" t="s">
        <v>131</v>
      </c>
      <c r="AP447" s="1743"/>
      <c r="AQ447" s="1764">
        <v>2014</v>
      </c>
      <c r="AR447" s="1743" t="s">
        <v>87</v>
      </c>
      <c r="AS447" s="2135"/>
      <c r="AT447" s="2135"/>
      <c r="AU447" s="1212">
        <v>0.5</v>
      </c>
      <c r="AV447" s="1212">
        <v>0.5</v>
      </c>
      <c r="AW447" s="1212"/>
      <c r="AX447" s="1212"/>
      <c r="AY447" s="1212"/>
      <c r="AZ447" s="1212"/>
      <c r="BA447" s="1212"/>
      <c r="BB447" s="1212"/>
      <c r="BC447" s="1212"/>
      <c r="BD447" s="1212"/>
      <c r="BE447" s="1212"/>
      <c r="BF447" s="2126">
        <v>0</v>
      </c>
      <c r="BG447" s="2126">
        <v>0</v>
      </c>
      <c r="BH447" s="2126">
        <v>0</v>
      </c>
      <c r="BI447" s="2126">
        <v>0</v>
      </c>
      <c r="BJ447" s="2126">
        <v>0</v>
      </c>
      <c r="BK447" s="2126">
        <v>0</v>
      </c>
      <c r="BL447" s="2126">
        <v>0</v>
      </c>
      <c r="BM447" s="2126">
        <v>0</v>
      </c>
      <c r="BN447" s="2126">
        <v>0</v>
      </c>
      <c r="BO447" s="2126">
        <v>0</v>
      </c>
      <c r="BP447" s="2126">
        <v>0</v>
      </c>
      <c r="BQ447" s="2126">
        <v>0</v>
      </c>
      <c r="BR447" s="2126">
        <v>0</v>
      </c>
    </row>
    <row r="448" spans="1:70" s="1765" customFormat="1" ht="33">
      <c r="A448" s="1272">
        <v>2000</v>
      </c>
      <c r="B448" s="971" t="s">
        <v>119</v>
      </c>
      <c r="C448" s="1272">
        <v>2700</v>
      </c>
      <c r="D448" s="971" t="s">
        <v>912</v>
      </c>
      <c r="E448" s="971" t="s">
        <v>1026</v>
      </c>
      <c r="F448" s="971" t="s">
        <v>913</v>
      </c>
      <c r="G448" s="971" t="s">
        <v>1026</v>
      </c>
      <c r="H448" s="971" t="s">
        <v>913</v>
      </c>
      <c r="I448" s="1273" t="s">
        <v>1045</v>
      </c>
      <c r="J448" s="971" t="s">
        <v>124</v>
      </c>
      <c r="K448" s="971"/>
      <c r="L448" s="971" t="e">
        <v>#N/A</v>
      </c>
      <c r="M448" s="971" t="s">
        <v>145</v>
      </c>
      <c r="N448" s="971" t="s">
        <v>141</v>
      </c>
      <c r="O448" s="971" t="s">
        <v>146</v>
      </c>
      <c r="P448" s="971"/>
      <c r="Q448" s="971" t="s">
        <v>1046</v>
      </c>
      <c r="R448" s="1266" t="s">
        <v>1042</v>
      </c>
      <c r="S448" s="2106">
        <v>2.3234200743494426</v>
      </c>
      <c r="T448" s="1266" t="s">
        <v>136</v>
      </c>
      <c r="U448" s="1742" t="s">
        <v>6588</v>
      </c>
      <c r="V448" s="1742" t="s">
        <v>6588</v>
      </c>
      <c r="W448" s="1742" t="s">
        <v>6588</v>
      </c>
      <c r="X448" s="1742" t="s">
        <v>6588</v>
      </c>
      <c r="Y448" s="2106" t="s">
        <v>6588</v>
      </c>
      <c r="Z448" s="2106">
        <v>0</v>
      </c>
      <c r="AA448" s="2106">
        <v>0</v>
      </c>
      <c r="AB448" s="2106">
        <v>0</v>
      </c>
      <c r="AC448" s="2106">
        <v>0</v>
      </c>
      <c r="AD448" s="1744">
        <v>0</v>
      </c>
      <c r="AE448" s="2126">
        <v>0</v>
      </c>
      <c r="AF448" s="2126">
        <v>0</v>
      </c>
      <c r="AG448" s="1212">
        <v>1</v>
      </c>
      <c r="AH448" s="1212">
        <v>0</v>
      </c>
      <c r="AI448" s="1212">
        <v>0</v>
      </c>
      <c r="AJ448" s="1212">
        <v>1</v>
      </c>
      <c r="AK448" s="2126">
        <v>0</v>
      </c>
      <c r="AL448" s="2126">
        <v>0</v>
      </c>
      <c r="AM448" s="2126">
        <v>0</v>
      </c>
      <c r="AN448" s="2126">
        <v>0</v>
      </c>
      <c r="AO448" s="1743" t="s">
        <v>131</v>
      </c>
      <c r="AP448" s="1743"/>
      <c r="AQ448" s="1764">
        <v>2014</v>
      </c>
      <c r="AR448" s="1743" t="s">
        <v>87</v>
      </c>
      <c r="AS448" s="2135"/>
      <c r="AT448" s="2135"/>
      <c r="AU448" s="1212">
        <v>0.5</v>
      </c>
      <c r="AV448" s="1212">
        <v>0.5</v>
      </c>
      <c r="AW448" s="1212"/>
      <c r="AX448" s="1212"/>
      <c r="AY448" s="1212"/>
      <c r="AZ448" s="1212"/>
      <c r="BA448" s="1212"/>
      <c r="BB448" s="1212"/>
      <c r="BC448" s="1212"/>
      <c r="BD448" s="1212"/>
      <c r="BE448" s="1212"/>
      <c r="BF448" s="2126">
        <v>0</v>
      </c>
      <c r="BG448" s="2126">
        <v>0</v>
      </c>
      <c r="BH448" s="2126">
        <v>0</v>
      </c>
      <c r="BI448" s="2126">
        <v>0</v>
      </c>
      <c r="BJ448" s="2126">
        <v>0</v>
      </c>
      <c r="BK448" s="2126">
        <v>0</v>
      </c>
      <c r="BL448" s="2126">
        <v>0</v>
      </c>
      <c r="BM448" s="2126">
        <v>0</v>
      </c>
      <c r="BN448" s="2126">
        <v>0</v>
      </c>
      <c r="BO448" s="2126">
        <v>0</v>
      </c>
      <c r="BP448" s="2126">
        <v>0</v>
      </c>
      <c r="BQ448" s="2126">
        <v>0</v>
      </c>
      <c r="BR448" s="2126">
        <v>0</v>
      </c>
    </row>
    <row r="449" spans="1:70" s="1765" customFormat="1" ht="33">
      <c r="A449" s="1272">
        <v>2000</v>
      </c>
      <c r="B449" s="971" t="s">
        <v>119</v>
      </c>
      <c r="C449" s="1272">
        <v>2700</v>
      </c>
      <c r="D449" s="971" t="s">
        <v>912</v>
      </c>
      <c r="E449" s="971" t="s">
        <v>1026</v>
      </c>
      <c r="F449" s="971" t="s">
        <v>913</v>
      </c>
      <c r="G449" s="971" t="s">
        <v>1026</v>
      </c>
      <c r="H449" s="971" t="s">
        <v>913</v>
      </c>
      <c r="I449" s="1273" t="s">
        <v>1047</v>
      </c>
      <c r="J449" s="971" t="s">
        <v>124</v>
      </c>
      <c r="K449" s="971" t="s">
        <v>140</v>
      </c>
      <c r="L449" s="971" t="s">
        <v>2909</v>
      </c>
      <c r="M449" s="971" t="s">
        <v>140</v>
      </c>
      <c r="N449" s="971" t="s">
        <v>141</v>
      </c>
      <c r="O449" s="971" t="s">
        <v>142</v>
      </c>
      <c r="P449" s="971"/>
      <c r="Q449" s="971" t="s">
        <v>1048</v>
      </c>
      <c r="R449" s="1266" t="s">
        <v>1032</v>
      </c>
      <c r="S449" s="2106">
        <v>37.174721189591082</v>
      </c>
      <c r="T449" s="1266" t="s">
        <v>136</v>
      </c>
      <c r="U449" s="1742">
        <v>0</v>
      </c>
      <c r="V449" s="1742">
        <v>0</v>
      </c>
      <c r="W449" s="1742">
        <v>0</v>
      </c>
      <c r="X449" s="1742">
        <v>0</v>
      </c>
      <c r="Y449" s="2106">
        <v>0</v>
      </c>
      <c r="Z449" s="2106">
        <v>0</v>
      </c>
      <c r="AA449" s="2106">
        <v>0</v>
      </c>
      <c r="AB449" s="2106">
        <v>0</v>
      </c>
      <c r="AC449" s="2106">
        <v>0</v>
      </c>
      <c r="AD449" s="1744">
        <v>0</v>
      </c>
      <c r="AE449" s="2126">
        <v>0</v>
      </c>
      <c r="AF449" s="2126">
        <v>0</v>
      </c>
      <c r="AG449" s="1212">
        <v>1</v>
      </c>
      <c r="AH449" s="1212">
        <v>0</v>
      </c>
      <c r="AI449" s="1212">
        <v>0</v>
      </c>
      <c r="AJ449" s="1212">
        <v>1</v>
      </c>
      <c r="AK449" s="2126">
        <v>0</v>
      </c>
      <c r="AL449" s="2126">
        <v>0</v>
      </c>
      <c r="AM449" s="2126">
        <v>0</v>
      </c>
      <c r="AN449" s="2126">
        <v>0</v>
      </c>
      <c r="AO449" s="1743" t="s">
        <v>131</v>
      </c>
      <c r="AP449" s="1743"/>
      <c r="AQ449" s="1764">
        <v>2014</v>
      </c>
      <c r="AR449" s="1743" t="s">
        <v>87</v>
      </c>
      <c r="AS449" s="2135"/>
      <c r="AT449" s="2135"/>
      <c r="AU449" s="1212">
        <v>0.33333333333333331</v>
      </c>
      <c r="AV449" s="1212">
        <v>0.33333333333333331</v>
      </c>
      <c r="AW449" s="1212">
        <v>0.33333333333333331</v>
      </c>
      <c r="AX449" s="1212"/>
      <c r="AY449" s="1212"/>
      <c r="AZ449" s="1212"/>
      <c r="BA449" s="1212"/>
      <c r="BB449" s="1212"/>
      <c r="BC449" s="1212"/>
      <c r="BD449" s="1212"/>
      <c r="BE449" s="1212"/>
      <c r="BF449" s="2126">
        <v>0</v>
      </c>
      <c r="BG449" s="2126">
        <v>0</v>
      </c>
      <c r="BH449" s="2126">
        <v>0</v>
      </c>
      <c r="BI449" s="2126">
        <v>0</v>
      </c>
      <c r="BJ449" s="2126">
        <v>0</v>
      </c>
      <c r="BK449" s="2126">
        <v>0</v>
      </c>
      <c r="BL449" s="2126">
        <v>0</v>
      </c>
      <c r="BM449" s="2126">
        <v>0</v>
      </c>
      <c r="BN449" s="2126">
        <v>0</v>
      </c>
      <c r="BO449" s="2126">
        <v>0</v>
      </c>
      <c r="BP449" s="2126">
        <v>0</v>
      </c>
      <c r="BQ449" s="2126">
        <v>0</v>
      </c>
      <c r="BR449" s="2126">
        <v>0</v>
      </c>
    </row>
    <row r="450" spans="1:70" s="1765" customFormat="1" ht="33">
      <c r="A450" s="1272">
        <v>2000</v>
      </c>
      <c r="B450" s="971" t="s">
        <v>119</v>
      </c>
      <c r="C450" s="1272">
        <v>2700</v>
      </c>
      <c r="D450" s="971" t="s">
        <v>912</v>
      </c>
      <c r="E450" s="971" t="s">
        <v>1026</v>
      </c>
      <c r="F450" s="971" t="s">
        <v>913</v>
      </c>
      <c r="G450" s="971" t="s">
        <v>1026</v>
      </c>
      <c r="H450" s="971" t="s">
        <v>913</v>
      </c>
      <c r="I450" s="1273" t="s">
        <v>1049</v>
      </c>
      <c r="J450" s="971" t="s">
        <v>124</v>
      </c>
      <c r="K450" s="971"/>
      <c r="L450" s="971" t="e">
        <v>#N/A</v>
      </c>
      <c r="M450" s="971" t="s">
        <v>145</v>
      </c>
      <c r="N450" s="971" t="s">
        <v>141</v>
      </c>
      <c r="O450" s="971" t="s">
        <v>146</v>
      </c>
      <c r="P450" s="971"/>
      <c r="Q450" s="971" t="s">
        <v>1050</v>
      </c>
      <c r="R450" s="1266" t="s">
        <v>1032</v>
      </c>
      <c r="S450" s="2106">
        <v>37.174721189591082</v>
      </c>
      <c r="T450" s="1266" t="s">
        <v>136</v>
      </c>
      <c r="U450" s="1742" t="s">
        <v>6588</v>
      </c>
      <c r="V450" s="1742" t="s">
        <v>6588</v>
      </c>
      <c r="W450" s="1742" t="s">
        <v>6588</v>
      </c>
      <c r="X450" s="1742" t="s">
        <v>6588</v>
      </c>
      <c r="Y450" s="2106" t="s">
        <v>6588</v>
      </c>
      <c r="Z450" s="2106">
        <v>0</v>
      </c>
      <c r="AA450" s="2106">
        <v>0</v>
      </c>
      <c r="AB450" s="2106">
        <v>0</v>
      </c>
      <c r="AC450" s="2106">
        <v>0</v>
      </c>
      <c r="AD450" s="1744">
        <v>0</v>
      </c>
      <c r="AE450" s="2126">
        <v>0</v>
      </c>
      <c r="AF450" s="2126">
        <v>0</v>
      </c>
      <c r="AG450" s="1212">
        <v>1</v>
      </c>
      <c r="AH450" s="1212">
        <v>0</v>
      </c>
      <c r="AI450" s="1212">
        <v>0</v>
      </c>
      <c r="AJ450" s="1212">
        <v>1</v>
      </c>
      <c r="AK450" s="2126">
        <v>0</v>
      </c>
      <c r="AL450" s="2126">
        <v>0</v>
      </c>
      <c r="AM450" s="2126">
        <v>0</v>
      </c>
      <c r="AN450" s="2126">
        <v>0</v>
      </c>
      <c r="AO450" s="1743" t="s">
        <v>131</v>
      </c>
      <c r="AP450" s="1743"/>
      <c r="AQ450" s="1764">
        <v>2014</v>
      </c>
      <c r="AR450" s="1743" t="s">
        <v>87</v>
      </c>
      <c r="AS450" s="2135"/>
      <c r="AT450" s="2135"/>
      <c r="AU450" s="1212">
        <v>0.33333333333333331</v>
      </c>
      <c r="AV450" s="1212">
        <v>0.33333333333333331</v>
      </c>
      <c r="AW450" s="1212">
        <v>0.33333333333333331</v>
      </c>
      <c r="AX450" s="1212"/>
      <c r="AY450" s="1212"/>
      <c r="AZ450" s="1212"/>
      <c r="BA450" s="1212"/>
      <c r="BB450" s="1212"/>
      <c r="BC450" s="1212"/>
      <c r="BD450" s="1212"/>
      <c r="BE450" s="1212"/>
      <c r="BF450" s="2126">
        <v>0</v>
      </c>
      <c r="BG450" s="2126">
        <v>0</v>
      </c>
      <c r="BH450" s="2126">
        <v>0</v>
      </c>
      <c r="BI450" s="2126">
        <v>0</v>
      </c>
      <c r="BJ450" s="2126">
        <v>0</v>
      </c>
      <c r="BK450" s="2126">
        <v>0</v>
      </c>
      <c r="BL450" s="2126">
        <v>0</v>
      </c>
      <c r="BM450" s="2126">
        <v>0</v>
      </c>
      <c r="BN450" s="2126">
        <v>0</v>
      </c>
      <c r="BO450" s="2126">
        <v>0</v>
      </c>
      <c r="BP450" s="2126">
        <v>0</v>
      </c>
      <c r="BQ450" s="2126">
        <v>0</v>
      </c>
      <c r="BR450" s="2126">
        <v>0</v>
      </c>
    </row>
    <row r="451" spans="1:70" s="1765" customFormat="1" ht="33">
      <c r="A451" s="1272">
        <v>2000</v>
      </c>
      <c r="B451" s="971" t="s">
        <v>119</v>
      </c>
      <c r="C451" s="1272">
        <v>2700</v>
      </c>
      <c r="D451" s="971" t="s">
        <v>912</v>
      </c>
      <c r="E451" s="971" t="s">
        <v>1026</v>
      </c>
      <c r="F451" s="971" t="s">
        <v>913</v>
      </c>
      <c r="G451" s="971" t="s">
        <v>1026</v>
      </c>
      <c r="H451" s="971" t="s">
        <v>913</v>
      </c>
      <c r="I451" s="1273" t="s">
        <v>1051</v>
      </c>
      <c r="J451" s="971" t="s">
        <v>124</v>
      </c>
      <c r="K451" s="971" t="s">
        <v>140</v>
      </c>
      <c r="L451" s="971" t="s">
        <v>2909</v>
      </c>
      <c r="M451" s="971" t="s">
        <v>140</v>
      </c>
      <c r="N451" s="971" t="s">
        <v>141</v>
      </c>
      <c r="O451" s="971" t="s">
        <v>142</v>
      </c>
      <c r="P451" s="971"/>
      <c r="Q451" s="971" t="s">
        <v>1052</v>
      </c>
      <c r="R451" s="1266" t="s">
        <v>1036</v>
      </c>
      <c r="S451" s="2106">
        <v>37.174721189591082</v>
      </c>
      <c r="T451" s="1266" t="s">
        <v>136</v>
      </c>
      <c r="U451" s="1742">
        <v>0</v>
      </c>
      <c r="V451" s="1742">
        <v>0</v>
      </c>
      <c r="W451" s="1742">
        <v>0</v>
      </c>
      <c r="X451" s="1742">
        <v>0</v>
      </c>
      <c r="Y451" s="2106">
        <v>0</v>
      </c>
      <c r="Z451" s="2106">
        <v>0</v>
      </c>
      <c r="AA451" s="2106">
        <v>0</v>
      </c>
      <c r="AB451" s="2106">
        <v>0</v>
      </c>
      <c r="AC451" s="2106">
        <v>0</v>
      </c>
      <c r="AD451" s="1744">
        <v>0</v>
      </c>
      <c r="AE451" s="2126">
        <v>0</v>
      </c>
      <c r="AF451" s="2126">
        <v>0</v>
      </c>
      <c r="AG451" s="1212">
        <v>1</v>
      </c>
      <c r="AH451" s="1212">
        <v>0</v>
      </c>
      <c r="AI451" s="1212">
        <v>0</v>
      </c>
      <c r="AJ451" s="1212">
        <v>1</v>
      </c>
      <c r="AK451" s="2126">
        <v>0</v>
      </c>
      <c r="AL451" s="2126">
        <v>0</v>
      </c>
      <c r="AM451" s="2126">
        <v>0</v>
      </c>
      <c r="AN451" s="2126">
        <v>0</v>
      </c>
      <c r="AO451" s="1743" t="s">
        <v>131</v>
      </c>
      <c r="AP451" s="1743"/>
      <c r="AQ451" s="1764">
        <v>2014</v>
      </c>
      <c r="AR451" s="1743" t="s">
        <v>87</v>
      </c>
      <c r="AS451" s="2135"/>
      <c r="AT451" s="2135"/>
      <c r="AU451" s="1212">
        <v>0.33333333333333331</v>
      </c>
      <c r="AV451" s="1212">
        <v>0.33333333333333331</v>
      </c>
      <c r="AW451" s="1212">
        <v>0.33333333333333331</v>
      </c>
      <c r="AX451" s="1212"/>
      <c r="AY451" s="1212"/>
      <c r="AZ451" s="1212"/>
      <c r="BA451" s="1212"/>
      <c r="BB451" s="1212"/>
      <c r="BC451" s="1212"/>
      <c r="BD451" s="1212"/>
      <c r="BE451" s="1212"/>
      <c r="BF451" s="2126">
        <v>0</v>
      </c>
      <c r="BG451" s="2126">
        <v>0</v>
      </c>
      <c r="BH451" s="2126">
        <v>0</v>
      </c>
      <c r="BI451" s="2126">
        <v>0</v>
      </c>
      <c r="BJ451" s="2126">
        <v>0</v>
      </c>
      <c r="BK451" s="2126">
        <v>0</v>
      </c>
      <c r="BL451" s="2126">
        <v>0</v>
      </c>
      <c r="BM451" s="2126">
        <v>0</v>
      </c>
      <c r="BN451" s="2126">
        <v>0</v>
      </c>
      <c r="BO451" s="2126">
        <v>0</v>
      </c>
      <c r="BP451" s="2126">
        <v>0</v>
      </c>
      <c r="BQ451" s="2126">
        <v>0</v>
      </c>
      <c r="BR451" s="2126">
        <v>0</v>
      </c>
    </row>
    <row r="452" spans="1:70" s="1765" customFormat="1" ht="33">
      <c r="A452" s="1272">
        <v>2000</v>
      </c>
      <c r="B452" s="971" t="s">
        <v>119</v>
      </c>
      <c r="C452" s="1272">
        <v>2700</v>
      </c>
      <c r="D452" s="971" t="s">
        <v>912</v>
      </c>
      <c r="E452" s="971" t="s">
        <v>1026</v>
      </c>
      <c r="F452" s="971" t="s">
        <v>913</v>
      </c>
      <c r="G452" s="971" t="s">
        <v>1026</v>
      </c>
      <c r="H452" s="971" t="s">
        <v>913</v>
      </c>
      <c r="I452" s="1273" t="s">
        <v>1053</v>
      </c>
      <c r="J452" s="971" t="s">
        <v>124</v>
      </c>
      <c r="K452" s="971"/>
      <c r="L452" s="971" t="e">
        <v>#N/A</v>
      </c>
      <c r="M452" s="971" t="s">
        <v>145</v>
      </c>
      <c r="N452" s="971" t="s">
        <v>141</v>
      </c>
      <c r="O452" s="971" t="s">
        <v>146</v>
      </c>
      <c r="P452" s="971"/>
      <c r="Q452" s="971" t="s">
        <v>1054</v>
      </c>
      <c r="R452" s="1266" t="s">
        <v>1036</v>
      </c>
      <c r="S452" s="2106">
        <v>37.174721189591082</v>
      </c>
      <c r="T452" s="1266" t="s">
        <v>136</v>
      </c>
      <c r="U452" s="1742" t="s">
        <v>6588</v>
      </c>
      <c r="V452" s="1742" t="s">
        <v>6588</v>
      </c>
      <c r="W452" s="1742" t="s">
        <v>6588</v>
      </c>
      <c r="X452" s="1742" t="s">
        <v>6588</v>
      </c>
      <c r="Y452" s="2106" t="s">
        <v>6588</v>
      </c>
      <c r="Z452" s="2106">
        <v>0</v>
      </c>
      <c r="AA452" s="2106">
        <v>0</v>
      </c>
      <c r="AB452" s="2106">
        <v>0</v>
      </c>
      <c r="AC452" s="2106">
        <v>0</v>
      </c>
      <c r="AD452" s="1744">
        <v>0</v>
      </c>
      <c r="AE452" s="2126">
        <v>0</v>
      </c>
      <c r="AF452" s="2126">
        <v>0</v>
      </c>
      <c r="AG452" s="1212">
        <v>1</v>
      </c>
      <c r="AH452" s="1212">
        <v>0</v>
      </c>
      <c r="AI452" s="1212">
        <v>0</v>
      </c>
      <c r="AJ452" s="1212">
        <v>1</v>
      </c>
      <c r="AK452" s="2126">
        <v>0</v>
      </c>
      <c r="AL452" s="2126">
        <v>0</v>
      </c>
      <c r="AM452" s="2126">
        <v>0</v>
      </c>
      <c r="AN452" s="2126">
        <v>0</v>
      </c>
      <c r="AO452" s="1743" t="s">
        <v>131</v>
      </c>
      <c r="AP452" s="1743"/>
      <c r="AQ452" s="1764">
        <v>2014</v>
      </c>
      <c r="AR452" s="1743" t="s">
        <v>87</v>
      </c>
      <c r="AS452" s="2135"/>
      <c r="AT452" s="2135"/>
      <c r="AU452" s="1212">
        <v>0.33333333333333331</v>
      </c>
      <c r="AV452" s="1212">
        <v>0.33333333333333331</v>
      </c>
      <c r="AW452" s="1212">
        <v>0.33333333333333331</v>
      </c>
      <c r="AX452" s="1212"/>
      <c r="AY452" s="1212"/>
      <c r="AZ452" s="1212"/>
      <c r="BA452" s="1212"/>
      <c r="BB452" s="1212"/>
      <c r="BC452" s="1212"/>
      <c r="BD452" s="1212"/>
      <c r="BE452" s="1212"/>
      <c r="BF452" s="2126">
        <v>0</v>
      </c>
      <c r="BG452" s="2126">
        <v>0</v>
      </c>
      <c r="BH452" s="2126">
        <v>0</v>
      </c>
      <c r="BI452" s="2126">
        <v>0</v>
      </c>
      <c r="BJ452" s="2126">
        <v>0</v>
      </c>
      <c r="BK452" s="2126">
        <v>0</v>
      </c>
      <c r="BL452" s="2126">
        <v>0</v>
      </c>
      <c r="BM452" s="2126">
        <v>0</v>
      </c>
      <c r="BN452" s="2126">
        <v>0</v>
      </c>
      <c r="BO452" s="2126">
        <v>0</v>
      </c>
      <c r="BP452" s="2126">
        <v>0</v>
      </c>
      <c r="BQ452" s="2126">
        <v>0</v>
      </c>
      <c r="BR452" s="2126">
        <v>0</v>
      </c>
    </row>
    <row r="453" spans="1:70" s="1765" customFormat="1" ht="33">
      <c r="A453" s="1272">
        <v>2000</v>
      </c>
      <c r="B453" s="971" t="s">
        <v>119</v>
      </c>
      <c r="C453" s="1272">
        <v>2700</v>
      </c>
      <c r="D453" s="971" t="s">
        <v>912</v>
      </c>
      <c r="E453" s="971" t="s">
        <v>1026</v>
      </c>
      <c r="F453" s="971" t="s">
        <v>913</v>
      </c>
      <c r="G453" s="971" t="s">
        <v>1026</v>
      </c>
      <c r="H453" s="971" t="s">
        <v>913</v>
      </c>
      <c r="I453" s="1273" t="s">
        <v>1055</v>
      </c>
      <c r="J453" s="971" t="s">
        <v>124</v>
      </c>
      <c r="K453" s="971" t="s">
        <v>140</v>
      </c>
      <c r="L453" s="971" t="s">
        <v>2909</v>
      </c>
      <c r="M453" s="971" t="s">
        <v>140</v>
      </c>
      <c r="N453" s="971" t="s">
        <v>141</v>
      </c>
      <c r="O453" s="971" t="s">
        <v>142</v>
      </c>
      <c r="P453" s="971"/>
      <c r="Q453" s="971" t="s">
        <v>1056</v>
      </c>
      <c r="R453" s="1266" t="s">
        <v>1039</v>
      </c>
      <c r="S453" s="2106">
        <v>37.174721189591082</v>
      </c>
      <c r="T453" s="1266" t="s">
        <v>136</v>
      </c>
      <c r="U453" s="1742">
        <v>0</v>
      </c>
      <c r="V453" s="1742">
        <v>0</v>
      </c>
      <c r="W453" s="1742">
        <v>0</v>
      </c>
      <c r="X453" s="1742">
        <v>0</v>
      </c>
      <c r="Y453" s="2106">
        <v>0</v>
      </c>
      <c r="Z453" s="2106">
        <v>0</v>
      </c>
      <c r="AA453" s="2106">
        <v>0</v>
      </c>
      <c r="AB453" s="2106">
        <v>0</v>
      </c>
      <c r="AC453" s="2106">
        <v>0</v>
      </c>
      <c r="AD453" s="1744">
        <v>0</v>
      </c>
      <c r="AE453" s="2126">
        <v>0</v>
      </c>
      <c r="AF453" s="2126">
        <v>0</v>
      </c>
      <c r="AG453" s="1212">
        <v>1</v>
      </c>
      <c r="AH453" s="1212">
        <v>0</v>
      </c>
      <c r="AI453" s="1212">
        <v>0</v>
      </c>
      <c r="AJ453" s="1212">
        <v>1</v>
      </c>
      <c r="AK453" s="2126">
        <v>0</v>
      </c>
      <c r="AL453" s="2126">
        <v>0</v>
      </c>
      <c r="AM453" s="2126">
        <v>0</v>
      </c>
      <c r="AN453" s="2126">
        <v>0</v>
      </c>
      <c r="AO453" s="1743" t="s">
        <v>131</v>
      </c>
      <c r="AP453" s="1743"/>
      <c r="AQ453" s="1764">
        <v>2014</v>
      </c>
      <c r="AR453" s="1743" t="s">
        <v>87</v>
      </c>
      <c r="AS453" s="2135"/>
      <c r="AT453" s="2135"/>
      <c r="AU453" s="1212">
        <v>0.33333333333333331</v>
      </c>
      <c r="AV453" s="1212">
        <v>0.33333333333333331</v>
      </c>
      <c r="AW453" s="1212">
        <v>0.33333333333333331</v>
      </c>
      <c r="AX453" s="1212"/>
      <c r="AY453" s="1212"/>
      <c r="AZ453" s="1212"/>
      <c r="BA453" s="1212"/>
      <c r="BB453" s="1212"/>
      <c r="BC453" s="1212"/>
      <c r="BD453" s="1212"/>
      <c r="BE453" s="1212"/>
      <c r="BF453" s="2126">
        <v>0</v>
      </c>
      <c r="BG453" s="2126">
        <v>0</v>
      </c>
      <c r="BH453" s="2126">
        <v>0</v>
      </c>
      <c r="BI453" s="2126">
        <v>0</v>
      </c>
      <c r="BJ453" s="2126">
        <v>0</v>
      </c>
      <c r="BK453" s="2126">
        <v>0</v>
      </c>
      <c r="BL453" s="2126">
        <v>0</v>
      </c>
      <c r="BM453" s="2126">
        <v>0</v>
      </c>
      <c r="BN453" s="2126">
        <v>0</v>
      </c>
      <c r="BO453" s="2126">
        <v>0</v>
      </c>
      <c r="BP453" s="2126">
        <v>0</v>
      </c>
      <c r="BQ453" s="2126">
        <v>0</v>
      </c>
      <c r="BR453" s="2126">
        <v>0</v>
      </c>
    </row>
    <row r="454" spans="1:70" s="1765" customFormat="1" ht="33">
      <c r="A454" s="1272">
        <v>2000</v>
      </c>
      <c r="B454" s="971" t="s">
        <v>119</v>
      </c>
      <c r="C454" s="1272">
        <v>2700</v>
      </c>
      <c r="D454" s="971" t="s">
        <v>912</v>
      </c>
      <c r="E454" s="971" t="s">
        <v>1026</v>
      </c>
      <c r="F454" s="971" t="s">
        <v>913</v>
      </c>
      <c r="G454" s="971" t="s">
        <v>1026</v>
      </c>
      <c r="H454" s="971" t="s">
        <v>913</v>
      </c>
      <c r="I454" s="1273" t="s">
        <v>1057</v>
      </c>
      <c r="J454" s="971" t="s">
        <v>124</v>
      </c>
      <c r="K454" s="971"/>
      <c r="L454" s="971" t="e">
        <v>#N/A</v>
      </c>
      <c r="M454" s="971" t="s">
        <v>145</v>
      </c>
      <c r="N454" s="971" t="s">
        <v>141</v>
      </c>
      <c r="O454" s="971" t="s">
        <v>146</v>
      </c>
      <c r="P454" s="971"/>
      <c r="Q454" s="971" t="s">
        <v>1058</v>
      </c>
      <c r="R454" s="1266" t="s">
        <v>1039</v>
      </c>
      <c r="S454" s="2106">
        <v>37.174721189591082</v>
      </c>
      <c r="T454" s="1266" t="s">
        <v>136</v>
      </c>
      <c r="U454" s="1742" t="s">
        <v>6588</v>
      </c>
      <c r="V454" s="1742" t="s">
        <v>6588</v>
      </c>
      <c r="W454" s="1742" t="s">
        <v>6588</v>
      </c>
      <c r="X454" s="1742" t="s">
        <v>6588</v>
      </c>
      <c r="Y454" s="2106" t="s">
        <v>6588</v>
      </c>
      <c r="Z454" s="2106">
        <v>0</v>
      </c>
      <c r="AA454" s="2106">
        <v>0</v>
      </c>
      <c r="AB454" s="2106">
        <v>0</v>
      </c>
      <c r="AC454" s="2106">
        <v>0</v>
      </c>
      <c r="AD454" s="1744">
        <v>0</v>
      </c>
      <c r="AE454" s="2126">
        <v>0</v>
      </c>
      <c r="AF454" s="2126">
        <v>0</v>
      </c>
      <c r="AG454" s="1212">
        <v>1</v>
      </c>
      <c r="AH454" s="1212">
        <v>0</v>
      </c>
      <c r="AI454" s="1212">
        <v>0</v>
      </c>
      <c r="AJ454" s="1212">
        <v>1</v>
      </c>
      <c r="AK454" s="2126">
        <v>0</v>
      </c>
      <c r="AL454" s="2126">
        <v>0</v>
      </c>
      <c r="AM454" s="2126">
        <v>0</v>
      </c>
      <c r="AN454" s="2126">
        <v>0</v>
      </c>
      <c r="AO454" s="1743" t="s">
        <v>131</v>
      </c>
      <c r="AP454" s="1743"/>
      <c r="AQ454" s="1764">
        <v>2014</v>
      </c>
      <c r="AR454" s="1743" t="s">
        <v>87</v>
      </c>
      <c r="AS454" s="2135"/>
      <c r="AT454" s="2135"/>
      <c r="AU454" s="1212">
        <v>0.33333333333333331</v>
      </c>
      <c r="AV454" s="1212">
        <v>0.33333333333333331</v>
      </c>
      <c r="AW454" s="1212">
        <v>0.33333333333333331</v>
      </c>
      <c r="AX454" s="1212"/>
      <c r="AY454" s="1212"/>
      <c r="AZ454" s="1212"/>
      <c r="BA454" s="1212"/>
      <c r="BB454" s="1212"/>
      <c r="BC454" s="1212"/>
      <c r="BD454" s="1212"/>
      <c r="BE454" s="1212"/>
      <c r="BF454" s="2126">
        <v>0</v>
      </c>
      <c r="BG454" s="2126">
        <v>0</v>
      </c>
      <c r="BH454" s="2126">
        <v>0</v>
      </c>
      <c r="BI454" s="2126">
        <v>0</v>
      </c>
      <c r="BJ454" s="2126">
        <v>0</v>
      </c>
      <c r="BK454" s="2126">
        <v>0</v>
      </c>
      <c r="BL454" s="2126">
        <v>0</v>
      </c>
      <c r="BM454" s="2126">
        <v>0</v>
      </c>
      <c r="BN454" s="2126">
        <v>0</v>
      </c>
      <c r="BO454" s="2126">
        <v>0</v>
      </c>
      <c r="BP454" s="2126">
        <v>0</v>
      </c>
      <c r="BQ454" s="2126">
        <v>0</v>
      </c>
      <c r="BR454" s="2126">
        <v>0</v>
      </c>
    </row>
    <row r="455" spans="1:70" s="1765" customFormat="1" ht="33">
      <c r="A455" s="1272">
        <v>2000</v>
      </c>
      <c r="B455" s="971" t="s">
        <v>119</v>
      </c>
      <c r="C455" s="1272">
        <v>2700</v>
      </c>
      <c r="D455" s="971" t="s">
        <v>912</v>
      </c>
      <c r="E455" s="971" t="s">
        <v>1026</v>
      </c>
      <c r="F455" s="971" t="s">
        <v>913</v>
      </c>
      <c r="G455" s="971" t="s">
        <v>1026</v>
      </c>
      <c r="H455" s="971" t="s">
        <v>913</v>
      </c>
      <c r="I455" s="1273" t="s">
        <v>1059</v>
      </c>
      <c r="J455" s="971" t="s">
        <v>124</v>
      </c>
      <c r="K455" s="971" t="s">
        <v>140</v>
      </c>
      <c r="L455" s="971" t="s">
        <v>2909</v>
      </c>
      <c r="M455" s="971" t="s">
        <v>140</v>
      </c>
      <c r="N455" s="971" t="s">
        <v>141</v>
      </c>
      <c r="O455" s="971" t="s">
        <v>142</v>
      </c>
      <c r="P455" s="971"/>
      <c r="Q455" s="971" t="s">
        <v>1060</v>
      </c>
      <c r="R455" s="1266" t="s">
        <v>1029</v>
      </c>
      <c r="S455" s="2106">
        <v>59.479553903345725</v>
      </c>
      <c r="T455" s="1266" t="s">
        <v>136</v>
      </c>
      <c r="U455" s="1742">
        <v>0</v>
      </c>
      <c r="V455" s="1742">
        <v>0</v>
      </c>
      <c r="W455" s="1742">
        <v>0</v>
      </c>
      <c r="X455" s="1742">
        <v>0</v>
      </c>
      <c r="Y455" s="2106">
        <v>0</v>
      </c>
      <c r="Z455" s="2106">
        <v>0</v>
      </c>
      <c r="AA455" s="2106">
        <v>0</v>
      </c>
      <c r="AB455" s="2106">
        <v>0</v>
      </c>
      <c r="AC455" s="2106">
        <v>0</v>
      </c>
      <c r="AD455" s="1744">
        <v>0</v>
      </c>
      <c r="AE455" s="2126">
        <v>0</v>
      </c>
      <c r="AF455" s="2126">
        <v>0</v>
      </c>
      <c r="AG455" s="1212">
        <v>1</v>
      </c>
      <c r="AH455" s="1212">
        <v>0</v>
      </c>
      <c r="AI455" s="1212">
        <v>0</v>
      </c>
      <c r="AJ455" s="1212">
        <v>1</v>
      </c>
      <c r="AK455" s="2126">
        <v>0</v>
      </c>
      <c r="AL455" s="2126">
        <v>0</v>
      </c>
      <c r="AM455" s="2126">
        <v>0</v>
      </c>
      <c r="AN455" s="2126">
        <v>0</v>
      </c>
      <c r="AO455" s="1743" t="s">
        <v>131</v>
      </c>
      <c r="AP455" s="1743"/>
      <c r="AQ455" s="1764">
        <v>2014</v>
      </c>
      <c r="AR455" s="1743" t="s">
        <v>87</v>
      </c>
      <c r="AS455" s="2135"/>
      <c r="AT455" s="2135"/>
      <c r="AU455" s="1212">
        <v>0.33333333333333331</v>
      </c>
      <c r="AV455" s="1212">
        <v>0.33333333333333331</v>
      </c>
      <c r="AW455" s="1212">
        <v>0.33333333333333331</v>
      </c>
      <c r="AX455" s="1212"/>
      <c r="AY455" s="1212"/>
      <c r="AZ455" s="1212"/>
      <c r="BA455" s="1212"/>
      <c r="BB455" s="1212"/>
      <c r="BC455" s="1212"/>
      <c r="BD455" s="1212"/>
      <c r="BE455" s="1212"/>
      <c r="BF455" s="2126">
        <v>0</v>
      </c>
      <c r="BG455" s="2126">
        <v>0</v>
      </c>
      <c r="BH455" s="2126">
        <v>0</v>
      </c>
      <c r="BI455" s="2126">
        <v>0</v>
      </c>
      <c r="BJ455" s="2126">
        <v>0</v>
      </c>
      <c r="BK455" s="2126">
        <v>0</v>
      </c>
      <c r="BL455" s="2126">
        <v>0</v>
      </c>
      <c r="BM455" s="2126">
        <v>0</v>
      </c>
      <c r="BN455" s="2126">
        <v>0</v>
      </c>
      <c r="BO455" s="2126">
        <v>0</v>
      </c>
      <c r="BP455" s="2126">
        <v>0</v>
      </c>
      <c r="BQ455" s="2126">
        <v>0</v>
      </c>
      <c r="BR455" s="2126">
        <v>0</v>
      </c>
    </row>
    <row r="456" spans="1:70" s="1765" customFormat="1" ht="33">
      <c r="A456" s="1272">
        <v>2000</v>
      </c>
      <c r="B456" s="971" t="s">
        <v>119</v>
      </c>
      <c r="C456" s="1272">
        <v>2700</v>
      </c>
      <c r="D456" s="971" t="s">
        <v>912</v>
      </c>
      <c r="E456" s="971" t="s">
        <v>1026</v>
      </c>
      <c r="F456" s="971" t="s">
        <v>913</v>
      </c>
      <c r="G456" s="971" t="s">
        <v>1026</v>
      </c>
      <c r="H456" s="971" t="s">
        <v>913</v>
      </c>
      <c r="I456" s="1273" t="s">
        <v>1061</v>
      </c>
      <c r="J456" s="971" t="s">
        <v>124</v>
      </c>
      <c r="K456" s="971"/>
      <c r="L456" s="971" t="e">
        <v>#N/A</v>
      </c>
      <c r="M456" s="971" t="s">
        <v>145</v>
      </c>
      <c r="N456" s="971" t="s">
        <v>141</v>
      </c>
      <c r="O456" s="971" t="s">
        <v>146</v>
      </c>
      <c r="P456" s="971"/>
      <c r="Q456" s="971" t="s">
        <v>1062</v>
      </c>
      <c r="R456" s="1266" t="s">
        <v>1029</v>
      </c>
      <c r="S456" s="2106">
        <v>59.479553903345725</v>
      </c>
      <c r="T456" s="1266" t="s">
        <v>136</v>
      </c>
      <c r="U456" s="1742" t="s">
        <v>6588</v>
      </c>
      <c r="V456" s="1742" t="s">
        <v>6588</v>
      </c>
      <c r="W456" s="1742" t="s">
        <v>6588</v>
      </c>
      <c r="X456" s="1742" t="s">
        <v>6588</v>
      </c>
      <c r="Y456" s="2106" t="s">
        <v>6588</v>
      </c>
      <c r="Z456" s="2106">
        <v>0</v>
      </c>
      <c r="AA456" s="2106">
        <v>0</v>
      </c>
      <c r="AB456" s="2106">
        <v>0</v>
      </c>
      <c r="AC456" s="2106">
        <v>0</v>
      </c>
      <c r="AD456" s="1744">
        <v>0</v>
      </c>
      <c r="AE456" s="2126">
        <v>0</v>
      </c>
      <c r="AF456" s="2126">
        <v>0</v>
      </c>
      <c r="AG456" s="1212">
        <v>1</v>
      </c>
      <c r="AH456" s="1212">
        <v>0</v>
      </c>
      <c r="AI456" s="1212">
        <v>0</v>
      </c>
      <c r="AJ456" s="1212">
        <v>1</v>
      </c>
      <c r="AK456" s="2126">
        <v>0</v>
      </c>
      <c r="AL456" s="2126">
        <v>0</v>
      </c>
      <c r="AM456" s="2126">
        <v>0</v>
      </c>
      <c r="AN456" s="2126">
        <v>0</v>
      </c>
      <c r="AO456" s="1743" t="s">
        <v>131</v>
      </c>
      <c r="AP456" s="1743"/>
      <c r="AQ456" s="1764">
        <v>2014</v>
      </c>
      <c r="AR456" s="1743" t="s">
        <v>87</v>
      </c>
      <c r="AS456" s="2135"/>
      <c r="AT456" s="2135"/>
      <c r="AU456" s="1212">
        <v>0.33333333333333331</v>
      </c>
      <c r="AV456" s="1212">
        <v>0.33333333333333331</v>
      </c>
      <c r="AW456" s="1212">
        <v>0.33333333333333331</v>
      </c>
      <c r="AX456" s="1212"/>
      <c r="AY456" s="1212"/>
      <c r="AZ456" s="1212"/>
      <c r="BA456" s="1212"/>
      <c r="BB456" s="1212"/>
      <c r="BC456" s="1212"/>
      <c r="BD456" s="1212"/>
      <c r="BE456" s="1212"/>
      <c r="BF456" s="2126">
        <v>0</v>
      </c>
      <c r="BG456" s="2126">
        <v>0</v>
      </c>
      <c r="BH456" s="2126">
        <v>0</v>
      </c>
      <c r="BI456" s="2126">
        <v>0</v>
      </c>
      <c r="BJ456" s="2126">
        <v>0</v>
      </c>
      <c r="BK456" s="2126">
        <v>0</v>
      </c>
      <c r="BL456" s="2126">
        <v>0</v>
      </c>
      <c r="BM456" s="2126">
        <v>0</v>
      </c>
      <c r="BN456" s="2126">
        <v>0</v>
      </c>
      <c r="BO456" s="2126">
        <v>0</v>
      </c>
      <c r="BP456" s="2126">
        <v>0</v>
      </c>
      <c r="BQ456" s="2126">
        <v>0</v>
      </c>
      <c r="BR456" s="2126">
        <v>0</v>
      </c>
    </row>
    <row r="457" spans="1:70" s="1765" customFormat="1" ht="49.5">
      <c r="A457" s="1272">
        <v>2000</v>
      </c>
      <c r="B457" s="971" t="s">
        <v>119</v>
      </c>
      <c r="C457" s="1272">
        <v>2700</v>
      </c>
      <c r="D457" s="971" t="s">
        <v>912</v>
      </c>
      <c r="E457" s="971" t="s">
        <v>1026</v>
      </c>
      <c r="F457" s="971" t="s">
        <v>913</v>
      </c>
      <c r="G457" s="971">
        <v>2750</v>
      </c>
      <c r="H457" s="971" t="s">
        <v>913</v>
      </c>
      <c r="I457" s="1273" t="s">
        <v>503</v>
      </c>
      <c r="J457" s="971" t="s">
        <v>124</v>
      </c>
      <c r="K457" s="971" t="s">
        <v>784</v>
      </c>
      <c r="L457" s="971" t="s">
        <v>2852</v>
      </c>
      <c r="M457" s="971" t="s">
        <v>458</v>
      </c>
      <c r="N457" s="971" t="s">
        <v>127</v>
      </c>
      <c r="O457" s="971" t="s">
        <v>459</v>
      </c>
      <c r="P457" s="971"/>
      <c r="Q457" s="971" t="s">
        <v>1063</v>
      </c>
      <c r="R457" s="1266" t="s">
        <v>1064</v>
      </c>
      <c r="S457" s="2106">
        <v>0</v>
      </c>
      <c r="T457" s="1266" t="s">
        <v>136</v>
      </c>
      <c r="U457" s="1742">
        <v>0.22416666666666665</v>
      </c>
      <c r="V457" s="1742">
        <v>2.8020833333333335</v>
      </c>
      <c r="W457" s="1742">
        <v>19.758049999999997</v>
      </c>
      <c r="X457" s="1742">
        <v>30.905858333333335</v>
      </c>
      <c r="Y457" s="2106">
        <v>53.46599166666666</v>
      </c>
      <c r="Z457" s="2106">
        <v>0</v>
      </c>
      <c r="AA457" s="2106">
        <v>0</v>
      </c>
      <c r="AB457" s="2106">
        <v>0</v>
      </c>
      <c r="AC457" s="2106">
        <v>0</v>
      </c>
      <c r="AD457" s="1744">
        <v>0</v>
      </c>
      <c r="AE457" s="2126">
        <v>1</v>
      </c>
      <c r="AF457" s="2126">
        <v>0</v>
      </c>
      <c r="AG457" s="1212">
        <v>1</v>
      </c>
      <c r="AH457" s="1212">
        <v>0</v>
      </c>
      <c r="AI457" s="1212">
        <v>0</v>
      </c>
      <c r="AJ457" s="1212">
        <v>1</v>
      </c>
      <c r="AK457" s="2126">
        <v>0</v>
      </c>
      <c r="AL457" s="2126">
        <v>0</v>
      </c>
      <c r="AM457" s="2126">
        <v>0</v>
      </c>
      <c r="AN457" s="2126">
        <v>0</v>
      </c>
      <c r="AO457" s="1743" t="s">
        <v>85</v>
      </c>
      <c r="AP457" s="1743" t="s">
        <v>96</v>
      </c>
      <c r="AQ457" s="1764" t="s">
        <v>107</v>
      </c>
      <c r="AR457" s="1743" t="s">
        <v>87</v>
      </c>
      <c r="AS457" s="2135"/>
      <c r="AT457" s="2135"/>
      <c r="AU457" s="1212">
        <v>0.33333333333333331</v>
      </c>
      <c r="AV457" s="1212">
        <v>0.33333333333333331</v>
      </c>
      <c r="AW457" s="1212">
        <v>0.33333333333333331</v>
      </c>
      <c r="AX457" s="1212"/>
      <c r="AY457" s="1212"/>
      <c r="AZ457" s="1212"/>
      <c r="BA457" s="1212"/>
      <c r="BB457" s="1212"/>
      <c r="BC457" s="1212"/>
      <c r="BD457" s="1212"/>
      <c r="BE457" s="1212"/>
      <c r="BF457" s="2126">
        <v>0</v>
      </c>
      <c r="BG457" s="2126">
        <v>0</v>
      </c>
      <c r="BH457" s="2126">
        <v>0</v>
      </c>
      <c r="BI457" s="2126">
        <v>0</v>
      </c>
      <c r="BJ457" s="2126">
        <v>0</v>
      </c>
      <c r="BK457" s="2126">
        <v>0</v>
      </c>
      <c r="BL457" s="2126">
        <v>0</v>
      </c>
      <c r="BM457" s="2126">
        <v>0</v>
      </c>
      <c r="BN457" s="2126">
        <v>0</v>
      </c>
      <c r="BO457" s="2126">
        <v>0</v>
      </c>
      <c r="BP457" s="2126">
        <v>0</v>
      </c>
      <c r="BQ457" s="2126">
        <v>0</v>
      </c>
      <c r="BR457" s="2126">
        <v>0</v>
      </c>
    </row>
    <row r="458" spans="1:70" s="1765" customFormat="1" ht="33">
      <c r="A458" s="1272">
        <v>2000</v>
      </c>
      <c r="B458" s="971" t="s">
        <v>119</v>
      </c>
      <c r="C458" s="1272">
        <v>2700</v>
      </c>
      <c r="D458" s="971" t="s">
        <v>912</v>
      </c>
      <c r="E458" s="971" t="s">
        <v>1026</v>
      </c>
      <c r="F458" s="971" t="s">
        <v>913</v>
      </c>
      <c r="G458" s="971">
        <v>2750</v>
      </c>
      <c r="H458" s="971" t="s">
        <v>913</v>
      </c>
      <c r="I458" s="1273" t="s">
        <v>503</v>
      </c>
      <c r="J458" s="971" t="s">
        <v>124</v>
      </c>
      <c r="K458" s="971" t="s">
        <v>140</v>
      </c>
      <c r="L458" s="971" t="s">
        <v>2909</v>
      </c>
      <c r="M458" s="971" t="s">
        <v>140</v>
      </c>
      <c r="N458" s="971" t="s">
        <v>141</v>
      </c>
      <c r="O458" s="971" t="s">
        <v>142</v>
      </c>
      <c r="P458" s="971"/>
      <c r="Q458" s="971" t="s">
        <v>1065</v>
      </c>
      <c r="R458" s="1266" t="s">
        <v>1064</v>
      </c>
      <c r="S458" s="2106">
        <v>0</v>
      </c>
      <c r="T458" s="1266" t="s">
        <v>136</v>
      </c>
      <c r="U458" s="1742">
        <v>0</v>
      </c>
      <c r="V458" s="1742">
        <v>0</v>
      </c>
      <c r="W458" s="1742">
        <v>0</v>
      </c>
      <c r="X458" s="1742">
        <v>0</v>
      </c>
      <c r="Y458" s="2106">
        <v>0</v>
      </c>
      <c r="Z458" s="2106">
        <v>0</v>
      </c>
      <c r="AA458" s="2106">
        <v>0</v>
      </c>
      <c r="AB458" s="2106">
        <v>0</v>
      </c>
      <c r="AC458" s="2106">
        <v>0</v>
      </c>
      <c r="AD458" s="1744">
        <v>0</v>
      </c>
      <c r="AE458" s="2126">
        <v>0</v>
      </c>
      <c r="AF458" s="2126">
        <v>0</v>
      </c>
      <c r="AG458" s="1212">
        <v>1</v>
      </c>
      <c r="AH458" s="1212">
        <v>0</v>
      </c>
      <c r="AI458" s="1212">
        <v>0</v>
      </c>
      <c r="AJ458" s="1212">
        <v>1</v>
      </c>
      <c r="AK458" s="2126">
        <v>0</v>
      </c>
      <c r="AL458" s="2126">
        <v>0</v>
      </c>
      <c r="AM458" s="2126">
        <v>0</v>
      </c>
      <c r="AN458" s="2126">
        <v>0</v>
      </c>
      <c r="AO458" s="1743" t="s">
        <v>85</v>
      </c>
      <c r="AP458" s="1743" t="s">
        <v>96</v>
      </c>
      <c r="AQ458" s="1764" t="s">
        <v>107</v>
      </c>
      <c r="AR458" s="1743" t="s">
        <v>87</v>
      </c>
      <c r="AS458" s="2135"/>
      <c r="AT458" s="2135"/>
      <c r="AU458" s="1212">
        <v>0.33333333333333331</v>
      </c>
      <c r="AV458" s="1212">
        <v>0.33333333333333331</v>
      </c>
      <c r="AW458" s="1212">
        <v>0.33333333333333331</v>
      </c>
      <c r="AX458" s="1212"/>
      <c r="AY458" s="1212"/>
      <c r="AZ458" s="1212"/>
      <c r="BA458" s="1212"/>
      <c r="BB458" s="1212"/>
      <c r="BC458" s="1212"/>
      <c r="BD458" s="1212"/>
      <c r="BE458" s="1212"/>
      <c r="BF458" s="2126">
        <v>0</v>
      </c>
      <c r="BG458" s="2126">
        <v>0</v>
      </c>
      <c r="BH458" s="2126">
        <v>0</v>
      </c>
      <c r="BI458" s="2126">
        <v>0</v>
      </c>
      <c r="BJ458" s="2126">
        <v>0</v>
      </c>
      <c r="BK458" s="2126">
        <v>0</v>
      </c>
      <c r="BL458" s="2126">
        <v>0</v>
      </c>
      <c r="BM458" s="2126">
        <v>0</v>
      </c>
      <c r="BN458" s="2126">
        <v>0</v>
      </c>
      <c r="BO458" s="2126">
        <v>0</v>
      </c>
      <c r="BP458" s="2126">
        <v>0</v>
      </c>
      <c r="BQ458" s="2126">
        <v>0</v>
      </c>
      <c r="BR458" s="2126">
        <v>0</v>
      </c>
    </row>
    <row r="459" spans="1:70" s="1765" customFormat="1" ht="33">
      <c r="A459" s="1272">
        <v>2000</v>
      </c>
      <c r="B459" s="971" t="s">
        <v>119</v>
      </c>
      <c r="C459" s="1272">
        <v>2700</v>
      </c>
      <c r="D459" s="971" t="s">
        <v>912</v>
      </c>
      <c r="E459" s="971" t="s">
        <v>1026</v>
      </c>
      <c r="F459" s="971" t="s">
        <v>913</v>
      </c>
      <c r="G459" s="971">
        <v>2750</v>
      </c>
      <c r="H459" s="971" t="s">
        <v>913</v>
      </c>
      <c r="I459" s="1273" t="s">
        <v>503</v>
      </c>
      <c r="J459" s="971" t="s">
        <v>124</v>
      </c>
      <c r="K459" s="971"/>
      <c r="L459" s="971" t="e">
        <v>#N/A</v>
      </c>
      <c r="M459" s="971" t="s">
        <v>145</v>
      </c>
      <c r="N459" s="971" t="s">
        <v>141</v>
      </c>
      <c r="O459" s="971" t="s">
        <v>146</v>
      </c>
      <c r="P459" s="971"/>
      <c r="Q459" s="971" t="s">
        <v>1066</v>
      </c>
      <c r="R459" s="1266" t="s">
        <v>1064</v>
      </c>
      <c r="S459" s="2106">
        <v>0</v>
      </c>
      <c r="T459" s="1266" t="s">
        <v>136</v>
      </c>
      <c r="U459" s="1742" t="s">
        <v>6588</v>
      </c>
      <c r="V459" s="1742" t="s">
        <v>6588</v>
      </c>
      <c r="W459" s="1742" t="s">
        <v>6588</v>
      </c>
      <c r="X459" s="1742" t="s">
        <v>6588</v>
      </c>
      <c r="Y459" s="2106" t="s">
        <v>6588</v>
      </c>
      <c r="Z459" s="2106">
        <v>0</v>
      </c>
      <c r="AA459" s="2106">
        <v>0</v>
      </c>
      <c r="AB459" s="2106">
        <v>0</v>
      </c>
      <c r="AC459" s="2106">
        <v>0</v>
      </c>
      <c r="AD459" s="1744">
        <v>0</v>
      </c>
      <c r="AE459" s="2126">
        <v>0</v>
      </c>
      <c r="AF459" s="2126">
        <v>0</v>
      </c>
      <c r="AG459" s="1212">
        <v>1</v>
      </c>
      <c r="AH459" s="1212">
        <v>0</v>
      </c>
      <c r="AI459" s="1212">
        <v>0</v>
      </c>
      <c r="AJ459" s="1212">
        <v>1</v>
      </c>
      <c r="AK459" s="2126">
        <v>0</v>
      </c>
      <c r="AL459" s="2126">
        <v>0</v>
      </c>
      <c r="AM459" s="2126">
        <v>0</v>
      </c>
      <c r="AN459" s="2126">
        <v>0</v>
      </c>
      <c r="AO459" s="1743" t="s">
        <v>85</v>
      </c>
      <c r="AP459" s="1743" t="s">
        <v>96</v>
      </c>
      <c r="AQ459" s="1764" t="s">
        <v>107</v>
      </c>
      <c r="AR459" s="1743" t="s">
        <v>87</v>
      </c>
      <c r="AS459" s="2135"/>
      <c r="AT459" s="2135"/>
      <c r="AU459" s="1212">
        <v>0.33333333333333331</v>
      </c>
      <c r="AV459" s="1212">
        <v>0.33333333333333331</v>
      </c>
      <c r="AW459" s="1212">
        <v>0.33333333333333331</v>
      </c>
      <c r="AX459" s="1212"/>
      <c r="AY459" s="1212"/>
      <c r="AZ459" s="1212"/>
      <c r="BA459" s="1212"/>
      <c r="BB459" s="1212"/>
      <c r="BC459" s="1212"/>
      <c r="BD459" s="1212"/>
      <c r="BE459" s="1212"/>
      <c r="BF459" s="2126">
        <v>0</v>
      </c>
      <c r="BG459" s="2126">
        <v>0</v>
      </c>
      <c r="BH459" s="2126">
        <v>0</v>
      </c>
      <c r="BI459" s="2126">
        <v>0</v>
      </c>
      <c r="BJ459" s="2126">
        <v>0</v>
      </c>
      <c r="BK459" s="2126">
        <v>0</v>
      </c>
      <c r="BL459" s="2126">
        <v>0</v>
      </c>
      <c r="BM459" s="2126">
        <v>0</v>
      </c>
      <c r="BN459" s="2126">
        <v>0</v>
      </c>
      <c r="BO459" s="2126">
        <v>0</v>
      </c>
      <c r="BP459" s="2126">
        <v>0</v>
      </c>
      <c r="BQ459" s="2126">
        <v>0</v>
      </c>
      <c r="BR459" s="2126">
        <v>0</v>
      </c>
    </row>
    <row r="460" spans="1:70" s="1765" customFormat="1" ht="49.5">
      <c r="A460" s="1272">
        <v>2000</v>
      </c>
      <c r="B460" s="971" t="s">
        <v>119</v>
      </c>
      <c r="C460" s="1272">
        <v>2700</v>
      </c>
      <c r="D460" s="971" t="s">
        <v>912</v>
      </c>
      <c r="E460" s="971" t="s">
        <v>1026</v>
      </c>
      <c r="F460" s="971" t="s">
        <v>913</v>
      </c>
      <c r="G460" s="971">
        <v>2750</v>
      </c>
      <c r="H460" s="971" t="s">
        <v>913</v>
      </c>
      <c r="I460" s="1273" t="s">
        <v>1067</v>
      </c>
      <c r="J460" s="971" t="s">
        <v>124</v>
      </c>
      <c r="K460" s="971" t="s">
        <v>784</v>
      </c>
      <c r="L460" s="971" t="s">
        <v>2852</v>
      </c>
      <c r="M460" s="971" t="s">
        <v>458</v>
      </c>
      <c r="N460" s="971" t="s">
        <v>127</v>
      </c>
      <c r="O460" s="971" t="s">
        <v>459</v>
      </c>
      <c r="P460" s="971"/>
      <c r="Q460" s="971" t="s">
        <v>1068</v>
      </c>
      <c r="R460" s="1266" t="s">
        <v>1069</v>
      </c>
      <c r="S460" s="2106">
        <v>0</v>
      </c>
      <c r="T460" s="1266" t="s">
        <v>136</v>
      </c>
      <c r="U460" s="1742">
        <v>0.22416666666666665</v>
      </c>
      <c r="V460" s="1742">
        <v>2.8020833333333335</v>
      </c>
      <c r="W460" s="1742">
        <v>19.758049999999997</v>
      </c>
      <c r="X460" s="1742">
        <v>30.905858333333335</v>
      </c>
      <c r="Y460" s="2106">
        <v>53.46599166666666</v>
      </c>
      <c r="Z460" s="2106">
        <v>0</v>
      </c>
      <c r="AA460" s="2106">
        <v>0</v>
      </c>
      <c r="AB460" s="2106">
        <v>0</v>
      </c>
      <c r="AC460" s="2106">
        <v>0</v>
      </c>
      <c r="AD460" s="1744">
        <v>0</v>
      </c>
      <c r="AE460" s="2126">
        <v>1</v>
      </c>
      <c r="AF460" s="2126">
        <v>0</v>
      </c>
      <c r="AG460" s="1212">
        <v>1</v>
      </c>
      <c r="AH460" s="1212">
        <v>0</v>
      </c>
      <c r="AI460" s="1212">
        <v>0</v>
      </c>
      <c r="AJ460" s="1212">
        <v>1</v>
      </c>
      <c r="AK460" s="2126">
        <v>0</v>
      </c>
      <c r="AL460" s="2126">
        <v>0</v>
      </c>
      <c r="AM460" s="2126">
        <v>0</v>
      </c>
      <c r="AN460" s="2126">
        <v>0</v>
      </c>
      <c r="AO460" s="1743" t="s">
        <v>85</v>
      </c>
      <c r="AP460" s="1743" t="s">
        <v>96</v>
      </c>
      <c r="AQ460" s="1764" t="s">
        <v>107</v>
      </c>
      <c r="AR460" s="1743" t="s">
        <v>87</v>
      </c>
      <c r="AS460" s="2135"/>
      <c r="AT460" s="2135"/>
      <c r="AU460" s="1212">
        <v>0.33333333333333331</v>
      </c>
      <c r="AV460" s="1212">
        <v>0.33333333333333331</v>
      </c>
      <c r="AW460" s="1212">
        <v>0.33333333333333331</v>
      </c>
      <c r="AX460" s="1212"/>
      <c r="AY460" s="1212"/>
      <c r="AZ460" s="1212"/>
      <c r="BA460" s="1212"/>
      <c r="BB460" s="1212"/>
      <c r="BC460" s="1212"/>
      <c r="BD460" s="1212"/>
      <c r="BE460" s="1212"/>
      <c r="BF460" s="2126">
        <v>0</v>
      </c>
      <c r="BG460" s="2126">
        <v>0</v>
      </c>
      <c r="BH460" s="2126">
        <v>0</v>
      </c>
      <c r="BI460" s="2126">
        <v>0</v>
      </c>
      <c r="BJ460" s="2126">
        <v>0</v>
      </c>
      <c r="BK460" s="2126">
        <v>0</v>
      </c>
      <c r="BL460" s="2126">
        <v>0</v>
      </c>
      <c r="BM460" s="2126">
        <v>0</v>
      </c>
      <c r="BN460" s="2126">
        <v>0</v>
      </c>
      <c r="BO460" s="2126">
        <v>0</v>
      </c>
      <c r="BP460" s="2126">
        <v>0</v>
      </c>
      <c r="BQ460" s="2126">
        <v>0</v>
      </c>
      <c r="BR460" s="2126">
        <v>0</v>
      </c>
    </row>
    <row r="461" spans="1:70" s="1765" customFormat="1" ht="33">
      <c r="A461" s="1272">
        <v>2000</v>
      </c>
      <c r="B461" s="971" t="s">
        <v>119</v>
      </c>
      <c r="C461" s="1272">
        <v>2700</v>
      </c>
      <c r="D461" s="971" t="s">
        <v>912</v>
      </c>
      <c r="E461" s="971" t="s">
        <v>1026</v>
      </c>
      <c r="F461" s="971" t="s">
        <v>913</v>
      </c>
      <c r="G461" s="971">
        <v>2750</v>
      </c>
      <c r="H461" s="971" t="s">
        <v>913</v>
      </c>
      <c r="I461" s="1273" t="s">
        <v>1067</v>
      </c>
      <c r="J461" s="971" t="s">
        <v>124</v>
      </c>
      <c r="K461" s="971" t="s">
        <v>140</v>
      </c>
      <c r="L461" s="971" t="s">
        <v>2909</v>
      </c>
      <c r="M461" s="971" t="s">
        <v>140</v>
      </c>
      <c r="N461" s="971" t="s">
        <v>141</v>
      </c>
      <c r="O461" s="971" t="s">
        <v>142</v>
      </c>
      <c r="P461" s="971"/>
      <c r="Q461" s="971" t="s">
        <v>1070</v>
      </c>
      <c r="R461" s="1266" t="s">
        <v>1069</v>
      </c>
      <c r="S461" s="2106">
        <v>0</v>
      </c>
      <c r="T461" s="1266" t="s">
        <v>136</v>
      </c>
      <c r="U461" s="1742">
        <v>0</v>
      </c>
      <c r="V461" s="1742">
        <v>0</v>
      </c>
      <c r="W461" s="1742">
        <v>0</v>
      </c>
      <c r="X461" s="1742">
        <v>0</v>
      </c>
      <c r="Y461" s="2106">
        <v>0</v>
      </c>
      <c r="Z461" s="2106">
        <v>0</v>
      </c>
      <c r="AA461" s="2106">
        <v>0</v>
      </c>
      <c r="AB461" s="2106">
        <v>0</v>
      </c>
      <c r="AC461" s="2106">
        <v>0</v>
      </c>
      <c r="AD461" s="1744">
        <v>0</v>
      </c>
      <c r="AE461" s="2126">
        <v>0</v>
      </c>
      <c r="AF461" s="2126">
        <v>0</v>
      </c>
      <c r="AG461" s="1212">
        <v>1</v>
      </c>
      <c r="AH461" s="1212">
        <v>0</v>
      </c>
      <c r="AI461" s="1212">
        <v>0</v>
      </c>
      <c r="AJ461" s="1212">
        <v>1</v>
      </c>
      <c r="AK461" s="2126">
        <v>0</v>
      </c>
      <c r="AL461" s="2126">
        <v>0</v>
      </c>
      <c r="AM461" s="2126">
        <v>0</v>
      </c>
      <c r="AN461" s="2126">
        <v>0</v>
      </c>
      <c r="AO461" s="1743" t="s">
        <v>85</v>
      </c>
      <c r="AP461" s="1743" t="s">
        <v>96</v>
      </c>
      <c r="AQ461" s="1764" t="s">
        <v>107</v>
      </c>
      <c r="AR461" s="1743" t="s">
        <v>87</v>
      </c>
      <c r="AS461" s="2135"/>
      <c r="AT461" s="2135"/>
      <c r="AU461" s="1212">
        <v>0.33333333333333331</v>
      </c>
      <c r="AV461" s="1212">
        <v>0.33333333333333331</v>
      </c>
      <c r="AW461" s="1212">
        <v>0.33333333333333331</v>
      </c>
      <c r="AX461" s="1212"/>
      <c r="AY461" s="1212"/>
      <c r="AZ461" s="1212"/>
      <c r="BA461" s="1212"/>
      <c r="BB461" s="1212"/>
      <c r="BC461" s="1212"/>
      <c r="BD461" s="1212"/>
      <c r="BE461" s="1212"/>
      <c r="BF461" s="2126">
        <v>0</v>
      </c>
      <c r="BG461" s="2126">
        <v>0</v>
      </c>
      <c r="BH461" s="2126">
        <v>0</v>
      </c>
      <c r="BI461" s="2126">
        <v>0</v>
      </c>
      <c r="BJ461" s="2126">
        <v>0</v>
      </c>
      <c r="BK461" s="2126">
        <v>0</v>
      </c>
      <c r="BL461" s="2126">
        <v>0</v>
      </c>
      <c r="BM461" s="2126">
        <v>0</v>
      </c>
      <c r="BN461" s="2126">
        <v>0</v>
      </c>
      <c r="BO461" s="2126">
        <v>0</v>
      </c>
      <c r="BP461" s="2126">
        <v>0</v>
      </c>
      <c r="BQ461" s="2126">
        <v>0</v>
      </c>
      <c r="BR461" s="2126">
        <v>0</v>
      </c>
    </row>
    <row r="462" spans="1:70" s="1765" customFormat="1" ht="33">
      <c r="A462" s="1272">
        <v>2000</v>
      </c>
      <c r="B462" s="971" t="s">
        <v>119</v>
      </c>
      <c r="C462" s="1272">
        <v>2700</v>
      </c>
      <c r="D462" s="971" t="s">
        <v>912</v>
      </c>
      <c r="E462" s="971" t="s">
        <v>1026</v>
      </c>
      <c r="F462" s="971" t="s">
        <v>913</v>
      </c>
      <c r="G462" s="971">
        <v>2750</v>
      </c>
      <c r="H462" s="971" t="s">
        <v>913</v>
      </c>
      <c r="I462" s="1273" t="s">
        <v>1067</v>
      </c>
      <c r="J462" s="971" t="s">
        <v>124</v>
      </c>
      <c r="K462" s="971"/>
      <c r="L462" s="971" t="e">
        <v>#N/A</v>
      </c>
      <c r="M462" s="971" t="s">
        <v>145</v>
      </c>
      <c r="N462" s="971" t="s">
        <v>141</v>
      </c>
      <c r="O462" s="971" t="s">
        <v>146</v>
      </c>
      <c r="P462" s="971"/>
      <c r="Q462" s="971" t="s">
        <v>1071</v>
      </c>
      <c r="R462" s="1266" t="s">
        <v>1069</v>
      </c>
      <c r="S462" s="2106">
        <v>0</v>
      </c>
      <c r="T462" s="1266" t="s">
        <v>136</v>
      </c>
      <c r="U462" s="1742" t="s">
        <v>6588</v>
      </c>
      <c r="V462" s="1742" t="s">
        <v>6588</v>
      </c>
      <c r="W462" s="1742" t="s">
        <v>6588</v>
      </c>
      <c r="X462" s="1742" t="s">
        <v>6588</v>
      </c>
      <c r="Y462" s="2106" t="s">
        <v>6588</v>
      </c>
      <c r="Z462" s="2106">
        <v>0</v>
      </c>
      <c r="AA462" s="2106">
        <v>0</v>
      </c>
      <c r="AB462" s="2106">
        <v>0</v>
      </c>
      <c r="AC462" s="2106">
        <v>0</v>
      </c>
      <c r="AD462" s="1744">
        <v>0</v>
      </c>
      <c r="AE462" s="2126">
        <v>0</v>
      </c>
      <c r="AF462" s="2126">
        <v>0</v>
      </c>
      <c r="AG462" s="1212">
        <v>1</v>
      </c>
      <c r="AH462" s="1212">
        <v>0</v>
      </c>
      <c r="AI462" s="1212">
        <v>0</v>
      </c>
      <c r="AJ462" s="1212">
        <v>1</v>
      </c>
      <c r="AK462" s="2126">
        <v>0</v>
      </c>
      <c r="AL462" s="2126">
        <v>0</v>
      </c>
      <c r="AM462" s="2126">
        <v>0</v>
      </c>
      <c r="AN462" s="2126">
        <v>0</v>
      </c>
      <c r="AO462" s="1743" t="s">
        <v>85</v>
      </c>
      <c r="AP462" s="1743" t="s">
        <v>96</v>
      </c>
      <c r="AQ462" s="1764" t="s">
        <v>107</v>
      </c>
      <c r="AR462" s="1743" t="s">
        <v>87</v>
      </c>
      <c r="AS462" s="2135"/>
      <c r="AT462" s="2135"/>
      <c r="AU462" s="1212">
        <v>0.33333333333333331</v>
      </c>
      <c r="AV462" s="1212">
        <v>0.33333333333333331</v>
      </c>
      <c r="AW462" s="1212">
        <v>0.33333333333333331</v>
      </c>
      <c r="AX462" s="1212"/>
      <c r="AY462" s="1212"/>
      <c r="AZ462" s="1212"/>
      <c r="BA462" s="1212"/>
      <c r="BB462" s="1212"/>
      <c r="BC462" s="1212"/>
      <c r="BD462" s="1212"/>
      <c r="BE462" s="1212"/>
      <c r="BF462" s="2126">
        <v>0</v>
      </c>
      <c r="BG462" s="2126">
        <v>0</v>
      </c>
      <c r="BH462" s="2126">
        <v>0</v>
      </c>
      <c r="BI462" s="2126">
        <v>0</v>
      </c>
      <c r="BJ462" s="2126">
        <v>0</v>
      </c>
      <c r="BK462" s="2126">
        <v>0</v>
      </c>
      <c r="BL462" s="2126">
        <v>0</v>
      </c>
      <c r="BM462" s="2126">
        <v>0</v>
      </c>
      <c r="BN462" s="2126">
        <v>0</v>
      </c>
      <c r="BO462" s="2126">
        <v>0</v>
      </c>
      <c r="BP462" s="2126">
        <v>0</v>
      </c>
      <c r="BQ462" s="2126">
        <v>0</v>
      </c>
      <c r="BR462" s="2126">
        <v>0</v>
      </c>
    </row>
    <row r="463" spans="1:70" s="1765" customFormat="1">
      <c r="A463" s="1317">
        <v>3000</v>
      </c>
      <c r="B463" s="1318" t="s">
        <v>1072</v>
      </c>
      <c r="C463" s="1317"/>
      <c r="D463" s="1318"/>
      <c r="E463" s="1318"/>
      <c r="F463" s="1318"/>
      <c r="G463" s="1318"/>
      <c r="H463" s="1318"/>
      <c r="I463" s="1318"/>
      <c r="J463" s="1318" t="s">
        <v>121</v>
      </c>
      <c r="K463" s="1318"/>
      <c r="L463" s="1318"/>
      <c r="M463" s="1318"/>
      <c r="N463" s="1318"/>
      <c r="O463" s="1318"/>
      <c r="P463" s="1318"/>
      <c r="Q463" s="1318"/>
      <c r="R463" s="1320"/>
      <c r="S463" s="2105"/>
      <c r="T463" s="1320"/>
      <c r="U463" s="1321"/>
      <c r="V463" s="1321"/>
      <c r="W463" s="1321"/>
      <c r="X463" s="1321"/>
      <c r="Y463" s="2105"/>
      <c r="Z463" s="2105"/>
      <c r="AA463" s="2105"/>
      <c r="AB463" s="2105"/>
      <c r="AC463" s="2105"/>
      <c r="AD463" s="1778"/>
      <c r="AE463" s="2128"/>
      <c r="AF463" s="2128"/>
      <c r="AG463" s="1322"/>
      <c r="AH463" s="1322"/>
      <c r="AI463" s="1322"/>
      <c r="AJ463" s="1322"/>
      <c r="AK463" s="2125"/>
      <c r="AL463" s="2125"/>
      <c r="AM463" s="2125"/>
      <c r="AN463" s="2125"/>
      <c r="AO463" s="1319"/>
      <c r="AP463" s="1319"/>
      <c r="AQ463" s="1763"/>
      <c r="AR463" s="1319"/>
      <c r="AS463" s="1322"/>
      <c r="AT463" s="1322"/>
      <c r="AU463" s="1322"/>
      <c r="AV463" s="1322"/>
      <c r="AW463" s="1322"/>
      <c r="AX463" s="1322"/>
      <c r="AY463" s="1322"/>
      <c r="AZ463" s="1322"/>
      <c r="BA463" s="1322"/>
      <c r="BB463" s="1322"/>
      <c r="BC463" s="1322"/>
      <c r="BD463" s="1322"/>
      <c r="BE463" s="1322"/>
      <c r="BF463" s="2149"/>
      <c r="BG463" s="2149"/>
      <c r="BH463" s="2125"/>
      <c r="BI463" s="2125"/>
      <c r="BJ463" s="2125"/>
      <c r="BK463" s="2125"/>
      <c r="BL463" s="2125"/>
      <c r="BM463" s="2125"/>
      <c r="BN463" s="2125"/>
      <c r="BO463" s="2125"/>
      <c r="BP463" s="2125"/>
      <c r="BQ463" s="2125"/>
      <c r="BR463" s="2125"/>
    </row>
    <row r="464" spans="1:70" s="1765" customFormat="1">
      <c r="A464" s="1802">
        <v>3000</v>
      </c>
      <c r="B464" s="1803" t="s">
        <v>1072</v>
      </c>
      <c r="C464" s="1802">
        <v>3100</v>
      </c>
      <c r="D464" s="1803" t="s">
        <v>120</v>
      </c>
      <c r="E464" s="1803"/>
      <c r="F464" s="1803"/>
      <c r="G464" s="1803"/>
      <c r="H464" s="1803"/>
      <c r="I464" s="1803"/>
      <c r="J464" s="1803" t="s">
        <v>121</v>
      </c>
      <c r="K464" s="1803"/>
      <c r="L464" s="1803"/>
      <c r="M464" s="1803"/>
      <c r="N464" s="1803"/>
      <c r="O464" s="1803"/>
      <c r="P464" s="1803"/>
      <c r="Q464" s="1803"/>
      <c r="R464" s="1774"/>
      <c r="S464" s="2107"/>
      <c r="T464" s="1774"/>
      <c r="U464" s="1776"/>
      <c r="V464" s="1776"/>
      <c r="W464" s="1776"/>
      <c r="X464" s="1776"/>
      <c r="Y464" s="2107"/>
      <c r="Z464" s="2107"/>
      <c r="AA464" s="2107"/>
      <c r="AB464" s="2107"/>
      <c r="AC464" s="2107"/>
      <c r="AD464" s="1775"/>
      <c r="AE464" s="2129"/>
      <c r="AF464" s="2129"/>
      <c r="AG464" s="1777"/>
      <c r="AH464" s="1777"/>
      <c r="AI464" s="1777"/>
      <c r="AJ464" s="1777"/>
      <c r="AK464" s="2127"/>
      <c r="AL464" s="2127"/>
      <c r="AM464" s="2127"/>
      <c r="AN464" s="2127"/>
      <c r="AO464" s="1775"/>
      <c r="AP464" s="1775"/>
      <c r="AQ464" s="1773"/>
      <c r="AR464" s="1775"/>
      <c r="AS464" s="1777"/>
      <c r="AT464" s="1777"/>
      <c r="AU464" s="1777"/>
      <c r="AV464" s="1777"/>
      <c r="AW464" s="1777"/>
      <c r="AX464" s="1777"/>
      <c r="AY464" s="1777"/>
      <c r="AZ464" s="1777"/>
      <c r="BA464" s="1777"/>
      <c r="BB464" s="1777"/>
      <c r="BC464" s="1777"/>
      <c r="BD464" s="1777"/>
      <c r="BE464" s="1777"/>
      <c r="BF464" s="2127"/>
      <c r="BG464" s="2127"/>
      <c r="BH464" s="2127"/>
      <c r="BI464" s="2127"/>
      <c r="BJ464" s="2127"/>
      <c r="BK464" s="2127"/>
      <c r="BL464" s="2127"/>
      <c r="BM464" s="2127"/>
      <c r="BN464" s="2127"/>
      <c r="BO464" s="2127"/>
      <c r="BP464" s="2127"/>
      <c r="BQ464" s="2127"/>
      <c r="BR464" s="2127"/>
    </row>
    <row r="465" spans="1:70" s="1765" customFormat="1" ht="49.5">
      <c r="A465" s="1272">
        <v>3000</v>
      </c>
      <c r="B465" s="971" t="s">
        <v>1072</v>
      </c>
      <c r="C465" s="1272">
        <v>3100</v>
      </c>
      <c r="D465" s="971" t="s">
        <v>120</v>
      </c>
      <c r="E465" s="971" t="s">
        <v>1073</v>
      </c>
      <c r="F465" s="971" t="s">
        <v>122</v>
      </c>
      <c r="G465" s="971" t="s">
        <v>1074</v>
      </c>
      <c r="H465" s="971" t="s">
        <v>1075</v>
      </c>
      <c r="I465" s="1273" t="s">
        <v>1076</v>
      </c>
      <c r="J465" s="971" t="s">
        <v>124</v>
      </c>
      <c r="K465" s="971" t="s">
        <v>125</v>
      </c>
      <c r="L465" s="971" t="s">
        <v>2868</v>
      </c>
      <c r="M465" s="971" t="s">
        <v>126</v>
      </c>
      <c r="N465" s="971" t="s">
        <v>127</v>
      </c>
      <c r="O465" s="971" t="s">
        <v>128</v>
      </c>
      <c r="P465" s="971"/>
      <c r="Q465" s="971" t="s">
        <v>1077</v>
      </c>
      <c r="R465" s="1266" t="s">
        <v>1078</v>
      </c>
      <c r="S465" s="2106">
        <v>14.869888475836431</v>
      </c>
      <c r="T465" s="1266" t="s">
        <v>136</v>
      </c>
      <c r="U465" s="1742">
        <v>0.11208333333333333</v>
      </c>
      <c r="V465" s="1742">
        <v>1.4010416666666667</v>
      </c>
      <c r="W465" s="1742">
        <v>9.8790250000000004</v>
      </c>
      <c r="X465" s="1742">
        <v>15.452929166666667</v>
      </c>
      <c r="Y465" s="2106">
        <v>26.73299583333333</v>
      </c>
      <c r="Z465" s="2106">
        <v>1.6666666666666665</v>
      </c>
      <c r="AA465" s="2106">
        <v>20.833333333333336</v>
      </c>
      <c r="AB465" s="2106">
        <v>146.9</v>
      </c>
      <c r="AC465" s="2106">
        <v>229.78333333333333</v>
      </c>
      <c r="AD465" s="1744">
        <v>397.51666666666665</v>
      </c>
      <c r="AE465" s="2126">
        <v>1</v>
      </c>
      <c r="AF465" s="2126">
        <v>14.869888475836431</v>
      </c>
      <c r="AG465" s="1212">
        <v>1</v>
      </c>
      <c r="AH465" s="1212">
        <v>0</v>
      </c>
      <c r="AI465" s="1212">
        <v>0</v>
      </c>
      <c r="AJ465" s="1212">
        <v>1</v>
      </c>
      <c r="AK465" s="2126">
        <v>397.51666666666665</v>
      </c>
      <c r="AL465" s="2126">
        <v>0</v>
      </c>
      <c r="AM465" s="2126">
        <v>0</v>
      </c>
      <c r="AN465" s="2126">
        <v>397.51666666666665</v>
      </c>
      <c r="AO465" s="1743" t="s">
        <v>85</v>
      </c>
      <c r="AP465" s="1743"/>
      <c r="AQ465" s="1764">
        <v>2014</v>
      </c>
      <c r="AR465" s="1743" t="s">
        <v>87</v>
      </c>
      <c r="AS465" s="2135"/>
      <c r="AT465" s="2135"/>
      <c r="AU465" s="1212">
        <v>0.33333333333333331</v>
      </c>
      <c r="AV465" s="1212">
        <v>0.33333333333333331</v>
      </c>
      <c r="AW465" s="1212">
        <v>0.33333333333333331</v>
      </c>
      <c r="AX465" s="1212"/>
      <c r="AY465" s="1212"/>
      <c r="AZ465" s="1212"/>
      <c r="BA465" s="1212"/>
      <c r="BB465" s="1212"/>
      <c r="BC465" s="1212"/>
      <c r="BD465" s="1212"/>
      <c r="BE465" s="1212"/>
      <c r="BF465" s="2126">
        <v>0</v>
      </c>
      <c r="BG465" s="2126">
        <v>0</v>
      </c>
      <c r="BH465" s="2126">
        <v>132.50555555555553</v>
      </c>
      <c r="BI465" s="2126">
        <v>132.50555555555553</v>
      </c>
      <c r="BJ465" s="2126">
        <v>132.50555555555553</v>
      </c>
      <c r="BK465" s="2126">
        <v>0</v>
      </c>
      <c r="BL465" s="2126">
        <v>0</v>
      </c>
      <c r="BM465" s="2126">
        <v>0</v>
      </c>
      <c r="BN465" s="2126">
        <v>0</v>
      </c>
      <c r="BO465" s="2126">
        <v>0</v>
      </c>
      <c r="BP465" s="2126">
        <v>0</v>
      </c>
      <c r="BQ465" s="2126">
        <v>0</v>
      </c>
      <c r="BR465" s="2126">
        <v>0</v>
      </c>
    </row>
    <row r="466" spans="1:70" s="1765" customFormat="1" ht="49.5">
      <c r="A466" s="1272">
        <v>3000</v>
      </c>
      <c r="B466" s="971" t="s">
        <v>1072</v>
      </c>
      <c r="C466" s="1272">
        <v>3100</v>
      </c>
      <c r="D466" s="971" t="s">
        <v>120</v>
      </c>
      <c r="E466" s="971" t="s">
        <v>1073</v>
      </c>
      <c r="F466" s="971" t="s">
        <v>122</v>
      </c>
      <c r="G466" s="971" t="s">
        <v>1074</v>
      </c>
      <c r="H466" s="971" t="s">
        <v>1075</v>
      </c>
      <c r="I466" s="1273" t="s">
        <v>1079</v>
      </c>
      <c r="J466" s="971" t="s">
        <v>124</v>
      </c>
      <c r="K466" s="971" t="s">
        <v>125</v>
      </c>
      <c r="L466" s="971" t="s">
        <v>2868</v>
      </c>
      <c r="M466" s="971" t="s">
        <v>126</v>
      </c>
      <c r="N466" s="971" t="s">
        <v>127</v>
      </c>
      <c r="O466" s="971" t="s">
        <v>128</v>
      </c>
      <c r="P466" s="971"/>
      <c r="Q466" s="971" t="s">
        <v>1080</v>
      </c>
      <c r="R466" s="1266" t="s">
        <v>1081</v>
      </c>
      <c r="S466" s="2106">
        <v>14.869888475836431</v>
      </c>
      <c r="T466" s="1266" t="s">
        <v>136</v>
      </c>
      <c r="U466" s="1742">
        <v>0.11208333333333333</v>
      </c>
      <c r="V466" s="1742">
        <v>1.4010416666666667</v>
      </c>
      <c r="W466" s="1742">
        <v>9.8790250000000004</v>
      </c>
      <c r="X466" s="1742">
        <v>15.452929166666667</v>
      </c>
      <c r="Y466" s="2106">
        <v>26.73299583333333</v>
      </c>
      <c r="Z466" s="2106">
        <v>1.6666666666666665</v>
      </c>
      <c r="AA466" s="2106">
        <v>20.833333333333336</v>
      </c>
      <c r="AB466" s="2106">
        <v>146.9</v>
      </c>
      <c r="AC466" s="2106">
        <v>229.78333333333333</v>
      </c>
      <c r="AD466" s="1744">
        <v>397.51666666666665</v>
      </c>
      <c r="AE466" s="2126">
        <v>1</v>
      </c>
      <c r="AF466" s="2126">
        <v>14.869888475836431</v>
      </c>
      <c r="AG466" s="1212">
        <v>1</v>
      </c>
      <c r="AH466" s="1212">
        <v>0</v>
      </c>
      <c r="AI466" s="1212">
        <v>0</v>
      </c>
      <c r="AJ466" s="1212">
        <v>1</v>
      </c>
      <c r="AK466" s="2126">
        <v>397.51666666666665</v>
      </c>
      <c r="AL466" s="2126">
        <v>0</v>
      </c>
      <c r="AM466" s="2126">
        <v>0</v>
      </c>
      <c r="AN466" s="2126">
        <v>397.51666666666665</v>
      </c>
      <c r="AO466" s="1743" t="s">
        <v>85</v>
      </c>
      <c r="AP466" s="1743"/>
      <c r="AQ466" s="1764">
        <v>2014</v>
      </c>
      <c r="AR466" s="1743" t="s">
        <v>87</v>
      </c>
      <c r="AS466" s="2135"/>
      <c r="AT466" s="2135"/>
      <c r="AU466" s="1212">
        <v>0.33333333333333331</v>
      </c>
      <c r="AV466" s="1212">
        <v>0.33333333333333331</v>
      </c>
      <c r="AW466" s="1212">
        <v>0.33333333333333331</v>
      </c>
      <c r="AX466" s="1212"/>
      <c r="AY466" s="1212"/>
      <c r="AZ466" s="1212"/>
      <c r="BA466" s="1212"/>
      <c r="BB466" s="1212"/>
      <c r="BC466" s="1212"/>
      <c r="BD466" s="1212"/>
      <c r="BE466" s="1212"/>
      <c r="BF466" s="2126">
        <v>0</v>
      </c>
      <c r="BG466" s="2126">
        <v>0</v>
      </c>
      <c r="BH466" s="2126">
        <v>132.50555555555553</v>
      </c>
      <c r="BI466" s="2126">
        <v>132.50555555555553</v>
      </c>
      <c r="BJ466" s="2126">
        <v>132.50555555555553</v>
      </c>
      <c r="BK466" s="2126">
        <v>0</v>
      </c>
      <c r="BL466" s="2126">
        <v>0</v>
      </c>
      <c r="BM466" s="2126">
        <v>0</v>
      </c>
      <c r="BN466" s="2126">
        <v>0</v>
      </c>
      <c r="BO466" s="2126">
        <v>0</v>
      </c>
      <c r="BP466" s="2126">
        <v>0</v>
      </c>
      <c r="BQ466" s="2126">
        <v>0</v>
      </c>
      <c r="BR466" s="2126">
        <v>0</v>
      </c>
    </row>
    <row r="467" spans="1:70" s="1765" customFormat="1" ht="49.5">
      <c r="A467" s="1272">
        <v>3000</v>
      </c>
      <c r="B467" s="971" t="s">
        <v>1072</v>
      </c>
      <c r="C467" s="1272">
        <v>3100</v>
      </c>
      <c r="D467" s="971" t="s">
        <v>120</v>
      </c>
      <c r="E467" s="971" t="s">
        <v>1073</v>
      </c>
      <c r="F467" s="971" t="s">
        <v>122</v>
      </c>
      <c r="G467" s="971" t="s">
        <v>1074</v>
      </c>
      <c r="H467" s="971" t="s">
        <v>1075</v>
      </c>
      <c r="I467" s="1273" t="s">
        <v>1082</v>
      </c>
      <c r="J467" s="971" t="s">
        <v>124</v>
      </c>
      <c r="K467" s="971" t="s">
        <v>125</v>
      </c>
      <c r="L467" s="971" t="s">
        <v>2868</v>
      </c>
      <c r="M467" s="971" t="s">
        <v>126</v>
      </c>
      <c r="N467" s="971" t="s">
        <v>127</v>
      </c>
      <c r="O467" s="971" t="s">
        <v>128</v>
      </c>
      <c r="P467" s="971"/>
      <c r="Q467" s="971" t="s">
        <v>1083</v>
      </c>
      <c r="R467" s="1266" t="s">
        <v>1084</v>
      </c>
      <c r="S467" s="2106">
        <v>14.869888475836431</v>
      </c>
      <c r="T467" s="1266" t="s">
        <v>136</v>
      </c>
      <c r="U467" s="1742">
        <v>0.11208333333333333</v>
      </c>
      <c r="V467" s="1742">
        <v>1.4010416666666667</v>
      </c>
      <c r="W467" s="1742">
        <v>9.8790250000000004</v>
      </c>
      <c r="X467" s="1742">
        <v>15.452929166666667</v>
      </c>
      <c r="Y467" s="2106">
        <v>26.73299583333333</v>
      </c>
      <c r="Z467" s="2106">
        <v>1.6666666666666665</v>
      </c>
      <c r="AA467" s="2106">
        <v>20.833333333333336</v>
      </c>
      <c r="AB467" s="2106">
        <v>146.9</v>
      </c>
      <c r="AC467" s="2106">
        <v>229.78333333333333</v>
      </c>
      <c r="AD467" s="1744">
        <v>397.51666666666665</v>
      </c>
      <c r="AE467" s="2126">
        <v>1</v>
      </c>
      <c r="AF467" s="2126">
        <v>14.869888475836431</v>
      </c>
      <c r="AG467" s="1212">
        <v>1</v>
      </c>
      <c r="AH467" s="1212">
        <v>0</v>
      </c>
      <c r="AI467" s="1212">
        <v>0</v>
      </c>
      <c r="AJ467" s="1212">
        <v>1</v>
      </c>
      <c r="AK467" s="2126">
        <v>397.51666666666665</v>
      </c>
      <c r="AL467" s="2126">
        <v>0</v>
      </c>
      <c r="AM467" s="2126">
        <v>0</v>
      </c>
      <c r="AN467" s="2126">
        <v>397.51666666666665</v>
      </c>
      <c r="AO467" s="1743" t="s">
        <v>85</v>
      </c>
      <c r="AP467" s="1743"/>
      <c r="AQ467" s="1764">
        <v>2014</v>
      </c>
      <c r="AR467" s="1743" t="s">
        <v>87</v>
      </c>
      <c r="AS467" s="2135"/>
      <c r="AT467" s="2135"/>
      <c r="AU467" s="1212">
        <v>0.33333333333333331</v>
      </c>
      <c r="AV467" s="1212">
        <v>0.33333333333333331</v>
      </c>
      <c r="AW467" s="1212">
        <v>0.33333333333333331</v>
      </c>
      <c r="AX467" s="1212"/>
      <c r="AY467" s="1212"/>
      <c r="AZ467" s="1212"/>
      <c r="BA467" s="1212"/>
      <c r="BB467" s="1212"/>
      <c r="BC467" s="1212"/>
      <c r="BD467" s="1212"/>
      <c r="BE467" s="1212"/>
      <c r="BF467" s="2126">
        <v>0</v>
      </c>
      <c r="BG467" s="2126">
        <v>0</v>
      </c>
      <c r="BH467" s="2126">
        <v>132.50555555555553</v>
      </c>
      <c r="BI467" s="2126">
        <v>132.50555555555553</v>
      </c>
      <c r="BJ467" s="2126">
        <v>132.50555555555553</v>
      </c>
      <c r="BK467" s="2126">
        <v>0</v>
      </c>
      <c r="BL467" s="2126">
        <v>0</v>
      </c>
      <c r="BM467" s="2126">
        <v>0</v>
      </c>
      <c r="BN467" s="2126">
        <v>0</v>
      </c>
      <c r="BO467" s="2126">
        <v>0</v>
      </c>
      <c r="BP467" s="2126">
        <v>0</v>
      </c>
      <c r="BQ467" s="2126">
        <v>0</v>
      </c>
      <c r="BR467" s="2126">
        <v>0</v>
      </c>
    </row>
    <row r="468" spans="1:70" s="1765" customFormat="1" ht="49.5">
      <c r="A468" s="1272">
        <v>3000</v>
      </c>
      <c r="B468" s="971" t="s">
        <v>1072</v>
      </c>
      <c r="C468" s="1272">
        <v>3100</v>
      </c>
      <c r="D468" s="971" t="s">
        <v>120</v>
      </c>
      <c r="E468" s="971" t="s">
        <v>1073</v>
      </c>
      <c r="F468" s="971" t="s">
        <v>122</v>
      </c>
      <c r="G468" s="971" t="s">
        <v>1074</v>
      </c>
      <c r="H468" s="971" t="s">
        <v>1075</v>
      </c>
      <c r="I468" s="1273" t="s">
        <v>1085</v>
      </c>
      <c r="J468" s="971" t="s">
        <v>124</v>
      </c>
      <c r="K468" s="971" t="s">
        <v>125</v>
      </c>
      <c r="L468" s="971" t="s">
        <v>2868</v>
      </c>
      <c r="M468" s="971" t="s">
        <v>126</v>
      </c>
      <c r="N468" s="971" t="s">
        <v>127</v>
      </c>
      <c r="O468" s="971" t="s">
        <v>128</v>
      </c>
      <c r="P468" s="971"/>
      <c r="Q468" s="971" t="s">
        <v>1086</v>
      </c>
      <c r="R468" s="1266" t="s">
        <v>1087</v>
      </c>
      <c r="S468" s="2106">
        <v>14.869888475836431</v>
      </c>
      <c r="T468" s="1266" t="s">
        <v>136</v>
      </c>
      <c r="U468" s="1742">
        <v>0.11208333333333333</v>
      </c>
      <c r="V468" s="1742">
        <v>1.4010416666666667</v>
      </c>
      <c r="W468" s="1742">
        <v>9.8790250000000004</v>
      </c>
      <c r="X468" s="1742">
        <v>15.452929166666667</v>
      </c>
      <c r="Y468" s="2106">
        <v>26.73299583333333</v>
      </c>
      <c r="Z468" s="2106">
        <v>1.6666666666666665</v>
      </c>
      <c r="AA468" s="2106">
        <v>20.833333333333336</v>
      </c>
      <c r="AB468" s="2106">
        <v>146.9</v>
      </c>
      <c r="AC468" s="2106">
        <v>229.78333333333333</v>
      </c>
      <c r="AD468" s="1744">
        <v>397.51666666666665</v>
      </c>
      <c r="AE468" s="2126">
        <v>1</v>
      </c>
      <c r="AF468" s="2126">
        <v>14.869888475836431</v>
      </c>
      <c r="AG468" s="1212">
        <v>1</v>
      </c>
      <c r="AH468" s="1212">
        <v>0</v>
      </c>
      <c r="AI468" s="1212">
        <v>0</v>
      </c>
      <c r="AJ468" s="1212">
        <v>1</v>
      </c>
      <c r="AK468" s="2126">
        <v>397.51666666666665</v>
      </c>
      <c r="AL468" s="2126">
        <v>0</v>
      </c>
      <c r="AM468" s="2126">
        <v>0</v>
      </c>
      <c r="AN468" s="2126">
        <v>397.51666666666665</v>
      </c>
      <c r="AO468" s="1743" t="s">
        <v>85</v>
      </c>
      <c r="AP468" s="1743"/>
      <c r="AQ468" s="1764">
        <v>2014</v>
      </c>
      <c r="AR468" s="1743" t="s">
        <v>87</v>
      </c>
      <c r="AS468" s="2135"/>
      <c r="AT468" s="2135"/>
      <c r="AU468" s="1212">
        <v>0.33333333333333331</v>
      </c>
      <c r="AV468" s="1212">
        <v>0.33333333333333331</v>
      </c>
      <c r="AW468" s="1212">
        <v>0.33333333333333331</v>
      </c>
      <c r="AX468" s="1212"/>
      <c r="AY468" s="1212"/>
      <c r="AZ468" s="1212"/>
      <c r="BA468" s="1212"/>
      <c r="BB468" s="1212"/>
      <c r="BC468" s="1212"/>
      <c r="BD468" s="1212"/>
      <c r="BE468" s="1212"/>
      <c r="BF468" s="2126">
        <v>0</v>
      </c>
      <c r="BG468" s="2126">
        <v>0</v>
      </c>
      <c r="BH468" s="2126">
        <v>132.50555555555553</v>
      </c>
      <c r="BI468" s="2126">
        <v>132.50555555555553</v>
      </c>
      <c r="BJ468" s="2126">
        <v>132.50555555555553</v>
      </c>
      <c r="BK468" s="2126">
        <v>0</v>
      </c>
      <c r="BL468" s="2126">
        <v>0</v>
      </c>
      <c r="BM468" s="2126">
        <v>0</v>
      </c>
      <c r="BN468" s="2126">
        <v>0</v>
      </c>
      <c r="BO468" s="2126">
        <v>0</v>
      </c>
      <c r="BP468" s="2126">
        <v>0</v>
      </c>
      <c r="BQ468" s="2126">
        <v>0</v>
      </c>
      <c r="BR468" s="2126">
        <v>0</v>
      </c>
    </row>
    <row r="469" spans="1:70" s="1765" customFormat="1" ht="49.5">
      <c r="A469" s="1272">
        <v>3000</v>
      </c>
      <c r="B469" s="971" t="s">
        <v>1072</v>
      </c>
      <c r="C469" s="1272">
        <v>3100</v>
      </c>
      <c r="D469" s="971" t="s">
        <v>120</v>
      </c>
      <c r="E469" s="971" t="s">
        <v>1073</v>
      </c>
      <c r="F469" s="971" t="s">
        <v>122</v>
      </c>
      <c r="G469" s="971" t="s">
        <v>1074</v>
      </c>
      <c r="H469" s="971" t="s">
        <v>1075</v>
      </c>
      <c r="I469" s="1273" t="s">
        <v>1088</v>
      </c>
      <c r="J469" s="971" t="s">
        <v>124</v>
      </c>
      <c r="K469" s="971" t="s">
        <v>140</v>
      </c>
      <c r="L469" s="971" t="s">
        <v>2909</v>
      </c>
      <c r="M469" s="971" t="s">
        <v>140</v>
      </c>
      <c r="N469" s="971" t="s">
        <v>141</v>
      </c>
      <c r="O469" s="971" t="s">
        <v>142</v>
      </c>
      <c r="P469" s="971"/>
      <c r="Q469" s="971" t="s">
        <v>1089</v>
      </c>
      <c r="R469" s="1266" t="s">
        <v>1078</v>
      </c>
      <c r="S469" s="2106">
        <v>14.869888475836431</v>
      </c>
      <c r="T469" s="1266" t="s">
        <v>136</v>
      </c>
      <c r="U469" s="1742">
        <v>0</v>
      </c>
      <c r="V469" s="1742">
        <v>0</v>
      </c>
      <c r="W469" s="1742">
        <v>0</v>
      </c>
      <c r="X469" s="1742">
        <v>0</v>
      </c>
      <c r="Y469" s="2106">
        <v>0</v>
      </c>
      <c r="Z469" s="2106">
        <v>0</v>
      </c>
      <c r="AA469" s="2106">
        <v>0</v>
      </c>
      <c r="AB469" s="2106">
        <v>0</v>
      </c>
      <c r="AC469" s="2106">
        <v>0</v>
      </c>
      <c r="AD469" s="1744">
        <v>0</v>
      </c>
      <c r="AE469" s="2126">
        <v>0</v>
      </c>
      <c r="AF469" s="2126">
        <v>0</v>
      </c>
      <c r="AG469" s="1212">
        <v>1</v>
      </c>
      <c r="AH469" s="1212">
        <v>0</v>
      </c>
      <c r="AI469" s="1212">
        <v>0</v>
      </c>
      <c r="AJ469" s="1212">
        <v>1</v>
      </c>
      <c r="AK469" s="2126">
        <v>0</v>
      </c>
      <c r="AL469" s="2126">
        <v>0</v>
      </c>
      <c r="AM469" s="2126">
        <v>0</v>
      </c>
      <c r="AN469" s="2126">
        <v>0</v>
      </c>
      <c r="AO469" s="1743" t="s">
        <v>85</v>
      </c>
      <c r="AP469" s="1743"/>
      <c r="AQ469" s="1764">
        <v>2014</v>
      </c>
      <c r="AR469" s="1743" t="s">
        <v>87</v>
      </c>
      <c r="AS469" s="2135"/>
      <c r="AT469" s="2135"/>
      <c r="AU469" s="1212">
        <v>0.33333333333333331</v>
      </c>
      <c r="AV469" s="1212">
        <v>0.33333333333333331</v>
      </c>
      <c r="AW469" s="1212">
        <v>0.33333333333333331</v>
      </c>
      <c r="AX469" s="1212"/>
      <c r="AY469" s="1212"/>
      <c r="AZ469" s="1212"/>
      <c r="BA469" s="1212"/>
      <c r="BB469" s="1212"/>
      <c r="BC469" s="1212"/>
      <c r="BD469" s="1212"/>
      <c r="BE469" s="1212"/>
      <c r="BF469" s="2126">
        <v>0</v>
      </c>
      <c r="BG469" s="2126">
        <v>0</v>
      </c>
      <c r="BH469" s="2126">
        <v>0</v>
      </c>
      <c r="BI469" s="2126">
        <v>0</v>
      </c>
      <c r="BJ469" s="2126">
        <v>0</v>
      </c>
      <c r="BK469" s="2126">
        <v>0</v>
      </c>
      <c r="BL469" s="2126">
        <v>0</v>
      </c>
      <c r="BM469" s="2126">
        <v>0</v>
      </c>
      <c r="BN469" s="2126">
        <v>0</v>
      </c>
      <c r="BO469" s="2126">
        <v>0</v>
      </c>
      <c r="BP469" s="2126">
        <v>0</v>
      </c>
      <c r="BQ469" s="2126">
        <v>0</v>
      </c>
      <c r="BR469" s="2126">
        <v>0</v>
      </c>
    </row>
    <row r="470" spans="1:70" s="1765" customFormat="1" ht="49.5">
      <c r="A470" s="1272">
        <v>3000</v>
      </c>
      <c r="B470" s="971" t="s">
        <v>1072</v>
      </c>
      <c r="C470" s="1272">
        <v>3100</v>
      </c>
      <c r="D470" s="971" t="s">
        <v>120</v>
      </c>
      <c r="E470" s="971" t="s">
        <v>1073</v>
      </c>
      <c r="F470" s="971" t="s">
        <v>122</v>
      </c>
      <c r="G470" s="971" t="s">
        <v>1074</v>
      </c>
      <c r="H470" s="971" t="s">
        <v>1075</v>
      </c>
      <c r="I470" s="1273" t="s">
        <v>1090</v>
      </c>
      <c r="J470" s="971" t="s">
        <v>124</v>
      </c>
      <c r="K470" s="971"/>
      <c r="L470" s="971" t="e">
        <v>#N/A</v>
      </c>
      <c r="M470" s="971" t="s">
        <v>145</v>
      </c>
      <c r="N470" s="971" t="s">
        <v>141</v>
      </c>
      <c r="O470" s="971" t="s">
        <v>146</v>
      </c>
      <c r="P470" s="971"/>
      <c r="Q470" s="971" t="s">
        <v>1091</v>
      </c>
      <c r="R470" s="1266" t="s">
        <v>1078</v>
      </c>
      <c r="S470" s="2106">
        <v>14.869888475836431</v>
      </c>
      <c r="T470" s="1266" t="s">
        <v>136</v>
      </c>
      <c r="U470" s="1742" t="s">
        <v>6588</v>
      </c>
      <c r="V470" s="1742" t="s">
        <v>6588</v>
      </c>
      <c r="W470" s="1742" t="s">
        <v>6588</v>
      </c>
      <c r="X470" s="1742" t="s">
        <v>6588</v>
      </c>
      <c r="Y470" s="2106" t="s">
        <v>6588</v>
      </c>
      <c r="Z470" s="2106">
        <v>0</v>
      </c>
      <c r="AA470" s="2106">
        <v>0</v>
      </c>
      <c r="AB470" s="2106">
        <v>0</v>
      </c>
      <c r="AC470" s="2106">
        <v>0</v>
      </c>
      <c r="AD470" s="1744">
        <v>0</v>
      </c>
      <c r="AE470" s="2126">
        <v>0</v>
      </c>
      <c r="AF470" s="2126">
        <v>0</v>
      </c>
      <c r="AG470" s="1212">
        <v>1</v>
      </c>
      <c r="AH470" s="1212">
        <v>0</v>
      </c>
      <c r="AI470" s="1212">
        <v>0</v>
      </c>
      <c r="AJ470" s="1212">
        <v>1</v>
      </c>
      <c r="AK470" s="2126">
        <v>0</v>
      </c>
      <c r="AL470" s="2126">
        <v>0</v>
      </c>
      <c r="AM470" s="2126">
        <v>0</v>
      </c>
      <c r="AN470" s="2126">
        <v>0</v>
      </c>
      <c r="AO470" s="1743" t="s">
        <v>85</v>
      </c>
      <c r="AP470" s="1743"/>
      <c r="AQ470" s="1764">
        <v>2014</v>
      </c>
      <c r="AR470" s="1743" t="s">
        <v>87</v>
      </c>
      <c r="AS470" s="2135"/>
      <c r="AT470" s="2135"/>
      <c r="AU470" s="1212">
        <v>0.33333333333333331</v>
      </c>
      <c r="AV470" s="1212">
        <v>0.33333333333333331</v>
      </c>
      <c r="AW470" s="1212">
        <v>0.33333333333333331</v>
      </c>
      <c r="AX470" s="1212"/>
      <c r="AY470" s="1212"/>
      <c r="AZ470" s="1212"/>
      <c r="BA470" s="1212"/>
      <c r="BB470" s="1212"/>
      <c r="BC470" s="1212"/>
      <c r="BD470" s="1212"/>
      <c r="BE470" s="1212"/>
      <c r="BF470" s="2126">
        <v>0</v>
      </c>
      <c r="BG470" s="2126">
        <v>0</v>
      </c>
      <c r="BH470" s="2126">
        <v>0</v>
      </c>
      <c r="BI470" s="2126">
        <v>0</v>
      </c>
      <c r="BJ470" s="2126">
        <v>0</v>
      </c>
      <c r="BK470" s="2126">
        <v>0</v>
      </c>
      <c r="BL470" s="2126">
        <v>0</v>
      </c>
      <c r="BM470" s="2126">
        <v>0</v>
      </c>
      <c r="BN470" s="2126">
        <v>0</v>
      </c>
      <c r="BO470" s="2126">
        <v>0</v>
      </c>
      <c r="BP470" s="2126">
        <v>0</v>
      </c>
      <c r="BQ470" s="2126">
        <v>0</v>
      </c>
      <c r="BR470" s="2126">
        <v>0</v>
      </c>
    </row>
    <row r="471" spans="1:70" s="1765" customFormat="1" ht="49.5">
      <c r="A471" s="1272">
        <v>3000</v>
      </c>
      <c r="B471" s="971" t="s">
        <v>1072</v>
      </c>
      <c r="C471" s="1272">
        <v>3100</v>
      </c>
      <c r="D471" s="971" t="s">
        <v>120</v>
      </c>
      <c r="E471" s="971" t="s">
        <v>1073</v>
      </c>
      <c r="F471" s="971" t="s">
        <v>122</v>
      </c>
      <c r="G471" s="971" t="s">
        <v>1074</v>
      </c>
      <c r="H471" s="971" t="s">
        <v>1075</v>
      </c>
      <c r="I471" s="1273" t="s">
        <v>1092</v>
      </c>
      <c r="J471" s="971" t="s">
        <v>124</v>
      </c>
      <c r="K471" s="971" t="s">
        <v>140</v>
      </c>
      <c r="L471" s="971" t="s">
        <v>2909</v>
      </c>
      <c r="M471" s="971" t="s">
        <v>140</v>
      </c>
      <c r="N471" s="971" t="s">
        <v>141</v>
      </c>
      <c r="O471" s="971" t="s">
        <v>142</v>
      </c>
      <c r="P471" s="971"/>
      <c r="Q471" s="971" t="s">
        <v>1093</v>
      </c>
      <c r="R471" s="1266" t="s">
        <v>1081</v>
      </c>
      <c r="S471" s="2106">
        <v>14.869888475836431</v>
      </c>
      <c r="T471" s="1266" t="s">
        <v>136</v>
      </c>
      <c r="U471" s="1742">
        <v>0</v>
      </c>
      <c r="V471" s="1742">
        <v>0</v>
      </c>
      <c r="W471" s="1742">
        <v>0</v>
      </c>
      <c r="X471" s="1742">
        <v>0</v>
      </c>
      <c r="Y471" s="2106">
        <v>0</v>
      </c>
      <c r="Z471" s="2106">
        <v>0</v>
      </c>
      <c r="AA471" s="2106">
        <v>0</v>
      </c>
      <c r="AB471" s="2106">
        <v>0</v>
      </c>
      <c r="AC471" s="2106">
        <v>0</v>
      </c>
      <c r="AD471" s="1744">
        <v>0</v>
      </c>
      <c r="AE471" s="2126">
        <v>0</v>
      </c>
      <c r="AF471" s="2126">
        <v>0</v>
      </c>
      <c r="AG471" s="1212">
        <v>1</v>
      </c>
      <c r="AH471" s="1212">
        <v>0</v>
      </c>
      <c r="AI471" s="1212">
        <v>0</v>
      </c>
      <c r="AJ471" s="1212">
        <v>1</v>
      </c>
      <c r="AK471" s="2126">
        <v>0</v>
      </c>
      <c r="AL471" s="2126">
        <v>0</v>
      </c>
      <c r="AM471" s="2126">
        <v>0</v>
      </c>
      <c r="AN471" s="2126">
        <v>0</v>
      </c>
      <c r="AO471" s="1743" t="s">
        <v>85</v>
      </c>
      <c r="AP471" s="1743"/>
      <c r="AQ471" s="1764">
        <v>2014</v>
      </c>
      <c r="AR471" s="1743" t="s">
        <v>87</v>
      </c>
      <c r="AS471" s="2135"/>
      <c r="AT471" s="2135"/>
      <c r="AU471" s="1212">
        <v>0.33333333333333331</v>
      </c>
      <c r="AV471" s="1212">
        <v>0.33333333333333331</v>
      </c>
      <c r="AW471" s="1212">
        <v>0.33333333333333331</v>
      </c>
      <c r="AX471" s="1212"/>
      <c r="AY471" s="1212"/>
      <c r="AZ471" s="1212"/>
      <c r="BA471" s="1212"/>
      <c r="BB471" s="1212"/>
      <c r="BC471" s="1212"/>
      <c r="BD471" s="1212"/>
      <c r="BE471" s="1212"/>
      <c r="BF471" s="2126">
        <v>0</v>
      </c>
      <c r="BG471" s="2126">
        <v>0</v>
      </c>
      <c r="BH471" s="2126">
        <v>0</v>
      </c>
      <c r="BI471" s="2126">
        <v>0</v>
      </c>
      <c r="BJ471" s="2126">
        <v>0</v>
      </c>
      <c r="BK471" s="2126">
        <v>0</v>
      </c>
      <c r="BL471" s="2126">
        <v>0</v>
      </c>
      <c r="BM471" s="2126">
        <v>0</v>
      </c>
      <c r="BN471" s="2126">
        <v>0</v>
      </c>
      <c r="BO471" s="2126">
        <v>0</v>
      </c>
      <c r="BP471" s="2126">
        <v>0</v>
      </c>
      <c r="BQ471" s="2126">
        <v>0</v>
      </c>
      <c r="BR471" s="2126">
        <v>0</v>
      </c>
    </row>
    <row r="472" spans="1:70" s="1765" customFormat="1" ht="49.5">
      <c r="A472" s="1272">
        <v>3000</v>
      </c>
      <c r="B472" s="971" t="s">
        <v>1072</v>
      </c>
      <c r="C472" s="1272">
        <v>3100</v>
      </c>
      <c r="D472" s="971" t="s">
        <v>120</v>
      </c>
      <c r="E472" s="971" t="s">
        <v>1073</v>
      </c>
      <c r="F472" s="971" t="s">
        <v>122</v>
      </c>
      <c r="G472" s="971" t="s">
        <v>1074</v>
      </c>
      <c r="H472" s="971" t="s">
        <v>1075</v>
      </c>
      <c r="I472" s="1273" t="s">
        <v>1094</v>
      </c>
      <c r="J472" s="971" t="s">
        <v>124</v>
      </c>
      <c r="K472" s="971"/>
      <c r="L472" s="971" t="e">
        <v>#N/A</v>
      </c>
      <c r="M472" s="971" t="s">
        <v>145</v>
      </c>
      <c r="N472" s="971" t="s">
        <v>141</v>
      </c>
      <c r="O472" s="971" t="s">
        <v>146</v>
      </c>
      <c r="P472" s="971"/>
      <c r="Q472" s="971" t="s">
        <v>1095</v>
      </c>
      <c r="R472" s="1266" t="s">
        <v>1081</v>
      </c>
      <c r="S472" s="2106">
        <v>14.869888475836431</v>
      </c>
      <c r="T472" s="1266" t="s">
        <v>136</v>
      </c>
      <c r="U472" s="1742" t="s">
        <v>6588</v>
      </c>
      <c r="V472" s="1742" t="s">
        <v>6588</v>
      </c>
      <c r="W472" s="1742" t="s">
        <v>6588</v>
      </c>
      <c r="X472" s="1742" t="s">
        <v>6588</v>
      </c>
      <c r="Y472" s="2106" t="s">
        <v>6588</v>
      </c>
      <c r="Z472" s="2106">
        <v>0</v>
      </c>
      <c r="AA472" s="2106">
        <v>0</v>
      </c>
      <c r="AB472" s="2106">
        <v>0</v>
      </c>
      <c r="AC472" s="2106">
        <v>0</v>
      </c>
      <c r="AD472" s="1744">
        <v>0</v>
      </c>
      <c r="AE472" s="2126">
        <v>0</v>
      </c>
      <c r="AF472" s="2126">
        <v>0</v>
      </c>
      <c r="AG472" s="1212">
        <v>1</v>
      </c>
      <c r="AH472" s="1212">
        <v>0</v>
      </c>
      <c r="AI472" s="1212">
        <v>0</v>
      </c>
      <c r="AJ472" s="1212">
        <v>1</v>
      </c>
      <c r="AK472" s="2126">
        <v>0</v>
      </c>
      <c r="AL472" s="2126">
        <v>0</v>
      </c>
      <c r="AM472" s="2126">
        <v>0</v>
      </c>
      <c r="AN472" s="2126">
        <v>0</v>
      </c>
      <c r="AO472" s="1743" t="s">
        <v>85</v>
      </c>
      <c r="AP472" s="1743"/>
      <c r="AQ472" s="1764">
        <v>2014</v>
      </c>
      <c r="AR472" s="1743" t="s">
        <v>87</v>
      </c>
      <c r="AS472" s="2135"/>
      <c r="AT472" s="2135"/>
      <c r="AU472" s="1212">
        <v>0.33333333333333331</v>
      </c>
      <c r="AV472" s="1212">
        <v>0.33333333333333331</v>
      </c>
      <c r="AW472" s="1212">
        <v>0.33333333333333331</v>
      </c>
      <c r="AX472" s="1212"/>
      <c r="AY472" s="1212"/>
      <c r="AZ472" s="1212"/>
      <c r="BA472" s="1212"/>
      <c r="BB472" s="1212"/>
      <c r="BC472" s="1212"/>
      <c r="BD472" s="1212"/>
      <c r="BE472" s="1212"/>
      <c r="BF472" s="2126">
        <v>0</v>
      </c>
      <c r="BG472" s="2126">
        <v>0</v>
      </c>
      <c r="BH472" s="2126">
        <v>0</v>
      </c>
      <c r="BI472" s="2126">
        <v>0</v>
      </c>
      <c r="BJ472" s="2126">
        <v>0</v>
      </c>
      <c r="BK472" s="2126">
        <v>0</v>
      </c>
      <c r="BL472" s="2126">
        <v>0</v>
      </c>
      <c r="BM472" s="2126">
        <v>0</v>
      </c>
      <c r="BN472" s="2126">
        <v>0</v>
      </c>
      <c r="BO472" s="2126">
        <v>0</v>
      </c>
      <c r="BP472" s="2126">
        <v>0</v>
      </c>
      <c r="BQ472" s="2126">
        <v>0</v>
      </c>
      <c r="BR472" s="2126">
        <v>0</v>
      </c>
    </row>
    <row r="473" spans="1:70" s="1765" customFormat="1" ht="49.5">
      <c r="A473" s="1272">
        <v>3000</v>
      </c>
      <c r="B473" s="971" t="s">
        <v>1072</v>
      </c>
      <c r="C473" s="1272">
        <v>3100</v>
      </c>
      <c r="D473" s="971" t="s">
        <v>120</v>
      </c>
      <c r="E473" s="971" t="s">
        <v>1073</v>
      </c>
      <c r="F473" s="971" t="s">
        <v>122</v>
      </c>
      <c r="G473" s="971" t="s">
        <v>1074</v>
      </c>
      <c r="H473" s="971" t="s">
        <v>1075</v>
      </c>
      <c r="I473" s="1273" t="s">
        <v>1096</v>
      </c>
      <c r="J473" s="971" t="s">
        <v>124</v>
      </c>
      <c r="K473" s="971" t="s">
        <v>140</v>
      </c>
      <c r="L473" s="971" t="s">
        <v>2909</v>
      </c>
      <c r="M473" s="971" t="s">
        <v>140</v>
      </c>
      <c r="N473" s="971" t="s">
        <v>141</v>
      </c>
      <c r="O473" s="971" t="s">
        <v>142</v>
      </c>
      <c r="P473" s="971"/>
      <c r="Q473" s="971" t="s">
        <v>1097</v>
      </c>
      <c r="R473" s="1266" t="s">
        <v>1084</v>
      </c>
      <c r="S473" s="2106">
        <v>14.869888475836431</v>
      </c>
      <c r="T473" s="1266" t="s">
        <v>136</v>
      </c>
      <c r="U473" s="1742">
        <v>0</v>
      </c>
      <c r="V473" s="1742">
        <v>0</v>
      </c>
      <c r="W473" s="1742">
        <v>0</v>
      </c>
      <c r="X473" s="1742">
        <v>0</v>
      </c>
      <c r="Y473" s="2106">
        <v>0</v>
      </c>
      <c r="Z473" s="2106">
        <v>0</v>
      </c>
      <c r="AA473" s="2106">
        <v>0</v>
      </c>
      <c r="AB473" s="2106">
        <v>0</v>
      </c>
      <c r="AC473" s="2106">
        <v>0</v>
      </c>
      <c r="AD473" s="1744">
        <v>0</v>
      </c>
      <c r="AE473" s="2126">
        <v>0</v>
      </c>
      <c r="AF473" s="2126">
        <v>0</v>
      </c>
      <c r="AG473" s="1212">
        <v>1</v>
      </c>
      <c r="AH473" s="1212">
        <v>0</v>
      </c>
      <c r="AI473" s="1212">
        <v>0</v>
      </c>
      <c r="AJ473" s="1212">
        <v>1</v>
      </c>
      <c r="AK473" s="2126">
        <v>0</v>
      </c>
      <c r="AL473" s="2126">
        <v>0</v>
      </c>
      <c r="AM473" s="2126">
        <v>0</v>
      </c>
      <c r="AN473" s="2126">
        <v>0</v>
      </c>
      <c r="AO473" s="1743" t="s">
        <v>85</v>
      </c>
      <c r="AP473" s="1743"/>
      <c r="AQ473" s="1764">
        <v>2014</v>
      </c>
      <c r="AR473" s="1743" t="s">
        <v>87</v>
      </c>
      <c r="AS473" s="2135"/>
      <c r="AT473" s="2135"/>
      <c r="AU473" s="1212">
        <v>0.33333333333333331</v>
      </c>
      <c r="AV473" s="1212">
        <v>0.33333333333333331</v>
      </c>
      <c r="AW473" s="1212">
        <v>0.33333333333333331</v>
      </c>
      <c r="AX473" s="1212"/>
      <c r="AY473" s="1212"/>
      <c r="AZ473" s="1212"/>
      <c r="BA473" s="1212"/>
      <c r="BB473" s="1212"/>
      <c r="BC473" s="1212"/>
      <c r="BD473" s="1212"/>
      <c r="BE473" s="1212"/>
      <c r="BF473" s="2126">
        <v>0</v>
      </c>
      <c r="BG473" s="2126">
        <v>0</v>
      </c>
      <c r="BH473" s="2126">
        <v>0</v>
      </c>
      <c r="BI473" s="2126">
        <v>0</v>
      </c>
      <c r="BJ473" s="2126">
        <v>0</v>
      </c>
      <c r="BK473" s="2126">
        <v>0</v>
      </c>
      <c r="BL473" s="2126">
        <v>0</v>
      </c>
      <c r="BM473" s="2126">
        <v>0</v>
      </c>
      <c r="BN473" s="2126">
        <v>0</v>
      </c>
      <c r="BO473" s="2126">
        <v>0</v>
      </c>
      <c r="BP473" s="2126">
        <v>0</v>
      </c>
      <c r="BQ473" s="2126">
        <v>0</v>
      </c>
      <c r="BR473" s="2126">
        <v>0</v>
      </c>
    </row>
    <row r="474" spans="1:70" s="1765" customFormat="1" ht="49.5">
      <c r="A474" s="1272">
        <v>3000</v>
      </c>
      <c r="B474" s="971" t="s">
        <v>1072</v>
      </c>
      <c r="C474" s="1272">
        <v>3100</v>
      </c>
      <c r="D474" s="971" t="s">
        <v>120</v>
      </c>
      <c r="E474" s="971" t="s">
        <v>1073</v>
      </c>
      <c r="F474" s="971" t="s">
        <v>122</v>
      </c>
      <c r="G474" s="971" t="s">
        <v>1074</v>
      </c>
      <c r="H474" s="971" t="s">
        <v>1075</v>
      </c>
      <c r="I474" s="1273" t="s">
        <v>1098</v>
      </c>
      <c r="J474" s="971" t="s">
        <v>124</v>
      </c>
      <c r="K474" s="971"/>
      <c r="L474" s="971" t="e">
        <v>#N/A</v>
      </c>
      <c r="M474" s="971" t="s">
        <v>145</v>
      </c>
      <c r="N474" s="971" t="s">
        <v>141</v>
      </c>
      <c r="O474" s="971" t="s">
        <v>146</v>
      </c>
      <c r="P474" s="971"/>
      <c r="Q474" s="971" t="s">
        <v>1099</v>
      </c>
      <c r="R474" s="1266" t="s">
        <v>1084</v>
      </c>
      <c r="S474" s="2106">
        <v>14.869888475836431</v>
      </c>
      <c r="T474" s="1266" t="s">
        <v>136</v>
      </c>
      <c r="U474" s="1742" t="s">
        <v>6588</v>
      </c>
      <c r="V474" s="1742" t="s">
        <v>6588</v>
      </c>
      <c r="W474" s="1742" t="s">
        <v>6588</v>
      </c>
      <c r="X474" s="1742" t="s">
        <v>6588</v>
      </c>
      <c r="Y474" s="2106" t="s">
        <v>6588</v>
      </c>
      <c r="Z474" s="2106">
        <v>0</v>
      </c>
      <c r="AA474" s="2106">
        <v>0</v>
      </c>
      <c r="AB474" s="2106">
        <v>0</v>
      </c>
      <c r="AC474" s="2106">
        <v>0</v>
      </c>
      <c r="AD474" s="1744">
        <v>0</v>
      </c>
      <c r="AE474" s="2126">
        <v>0</v>
      </c>
      <c r="AF474" s="2126">
        <v>0</v>
      </c>
      <c r="AG474" s="1212">
        <v>1</v>
      </c>
      <c r="AH474" s="1212">
        <v>0</v>
      </c>
      <c r="AI474" s="1212">
        <v>0</v>
      </c>
      <c r="AJ474" s="1212">
        <v>1</v>
      </c>
      <c r="AK474" s="2126">
        <v>0</v>
      </c>
      <c r="AL474" s="2126">
        <v>0</v>
      </c>
      <c r="AM474" s="2126">
        <v>0</v>
      </c>
      <c r="AN474" s="2126">
        <v>0</v>
      </c>
      <c r="AO474" s="1743" t="s">
        <v>85</v>
      </c>
      <c r="AP474" s="1743"/>
      <c r="AQ474" s="1764">
        <v>2014</v>
      </c>
      <c r="AR474" s="1743" t="s">
        <v>87</v>
      </c>
      <c r="AS474" s="2135"/>
      <c r="AT474" s="2135"/>
      <c r="AU474" s="1212">
        <v>0.33333333333333331</v>
      </c>
      <c r="AV474" s="1212">
        <v>0.33333333333333331</v>
      </c>
      <c r="AW474" s="1212">
        <v>0.33333333333333331</v>
      </c>
      <c r="AX474" s="1212"/>
      <c r="AY474" s="1212"/>
      <c r="AZ474" s="1212"/>
      <c r="BA474" s="1212"/>
      <c r="BB474" s="1212"/>
      <c r="BC474" s="1212"/>
      <c r="BD474" s="1212"/>
      <c r="BE474" s="1212"/>
      <c r="BF474" s="2126">
        <v>0</v>
      </c>
      <c r="BG474" s="2126">
        <v>0</v>
      </c>
      <c r="BH474" s="2126">
        <v>0</v>
      </c>
      <c r="BI474" s="2126">
        <v>0</v>
      </c>
      <c r="BJ474" s="2126">
        <v>0</v>
      </c>
      <c r="BK474" s="2126">
        <v>0</v>
      </c>
      <c r="BL474" s="2126">
        <v>0</v>
      </c>
      <c r="BM474" s="2126">
        <v>0</v>
      </c>
      <c r="BN474" s="2126">
        <v>0</v>
      </c>
      <c r="BO474" s="2126">
        <v>0</v>
      </c>
      <c r="BP474" s="2126">
        <v>0</v>
      </c>
      <c r="BQ474" s="2126">
        <v>0</v>
      </c>
      <c r="BR474" s="2126">
        <v>0</v>
      </c>
    </row>
    <row r="475" spans="1:70" s="1765" customFormat="1" ht="49.5">
      <c r="A475" s="1272">
        <v>3000</v>
      </c>
      <c r="B475" s="971" t="s">
        <v>1072</v>
      </c>
      <c r="C475" s="1272">
        <v>3100</v>
      </c>
      <c r="D475" s="971" t="s">
        <v>120</v>
      </c>
      <c r="E475" s="971" t="s">
        <v>1073</v>
      </c>
      <c r="F475" s="971" t="s">
        <v>122</v>
      </c>
      <c r="G475" s="971" t="s">
        <v>1074</v>
      </c>
      <c r="H475" s="971" t="s">
        <v>1075</v>
      </c>
      <c r="I475" s="1273" t="s">
        <v>1100</v>
      </c>
      <c r="J475" s="971" t="s">
        <v>124</v>
      </c>
      <c r="K475" s="971" t="s">
        <v>140</v>
      </c>
      <c r="L475" s="971" t="s">
        <v>2909</v>
      </c>
      <c r="M475" s="971" t="s">
        <v>140</v>
      </c>
      <c r="N475" s="971" t="s">
        <v>141</v>
      </c>
      <c r="O475" s="971" t="s">
        <v>142</v>
      </c>
      <c r="P475" s="971"/>
      <c r="Q475" s="971" t="s">
        <v>1101</v>
      </c>
      <c r="R475" s="1266" t="s">
        <v>1087</v>
      </c>
      <c r="S475" s="2106">
        <v>14.869888475836431</v>
      </c>
      <c r="T475" s="1266" t="s">
        <v>136</v>
      </c>
      <c r="U475" s="1742">
        <v>0</v>
      </c>
      <c r="V475" s="1742">
        <v>0</v>
      </c>
      <c r="W475" s="1742">
        <v>0</v>
      </c>
      <c r="X475" s="1742">
        <v>0</v>
      </c>
      <c r="Y475" s="2106">
        <v>0</v>
      </c>
      <c r="Z475" s="2106">
        <v>0</v>
      </c>
      <c r="AA475" s="2106">
        <v>0</v>
      </c>
      <c r="AB475" s="2106">
        <v>0</v>
      </c>
      <c r="AC475" s="2106">
        <v>0</v>
      </c>
      <c r="AD475" s="1744">
        <v>0</v>
      </c>
      <c r="AE475" s="2126">
        <v>0</v>
      </c>
      <c r="AF475" s="2126">
        <v>0</v>
      </c>
      <c r="AG475" s="1212">
        <v>1</v>
      </c>
      <c r="AH475" s="1212">
        <v>0</v>
      </c>
      <c r="AI475" s="1212">
        <v>0</v>
      </c>
      <c r="AJ475" s="1212">
        <v>1</v>
      </c>
      <c r="AK475" s="2126">
        <v>0</v>
      </c>
      <c r="AL475" s="2126">
        <v>0</v>
      </c>
      <c r="AM475" s="2126">
        <v>0</v>
      </c>
      <c r="AN475" s="2126">
        <v>0</v>
      </c>
      <c r="AO475" s="1743" t="s">
        <v>85</v>
      </c>
      <c r="AP475" s="1743"/>
      <c r="AQ475" s="1764">
        <v>2014</v>
      </c>
      <c r="AR475" s="1743" t="s">
        <v>87</v>
      </c>
      <c r="AS475" s="2135"/>
      <c r="AT475" s="2135"/>
      <c r="AU475" s="1212">
        <v>0.33333333333333331</v>
      </c>
      <c r="AV475" s="1212">
        <v>0.33333333333333331</v>
      </c>
      <c r="AW475" s="1212">
        <v>0.33333333333333331</v>
      </c>
      <c r="AX475" s="1212"/>
      <c r="AY475" s="1212"/>
      <c r="AZ475" s="1212"/>
      <c r="BA475" s="1212"/>
      <c r="BB475" s="1212"/>
      <c r="BC475" s="1212"/>
      <c r="BD475" s="1212"/>
      <c r="BE475" s="1212"/>
      <c r="BF475" s="2126">
        <v>0</v>
      </c>
      <c r="BG475" s="2126">
        <v>0</v>
      </c>
      <c r="BH475" s="2126">
        <v>0</v>
      </c>
      <c r="BI475" s="2126">
        <v>0</v>
      </c>
      <c r="BJ475" s="2126">
        <v>0</v>
      </c>
      <c r="BK475" s="2126">
        <v>0</v>
      </c>
      <c r="BL475" s="2126">
        <v>0</v>
      </c>
      <c r="BM475" s="2126">
        <v>0</v>
      </c>
      <c r="BN475" s="2126">
        <v>0</v>
      </c>
      <c r="BO475" s="2126">
        <v>0</v>
      </c>
      <c r="BP475" s="2126">
        <v>0</v>
      </c>
      <c r="BQ475" s="2126">
        <v>0</v>
      </c>
      <c r="BR475" s="2126">
        <v>0</v>
      </c>
    </row>
    <row r="476" spans="1:70" s="1765" customFormat="1" ht="49.5">
      <c r="A476" s="1272">
        <v>3000</v>
      </c>
      <c r="B476" s="971" t="s">
        <v>1072</v>
      </c>
      <c r="C476" s="1272">
        <v>3100</v>
      </c>
      <c r="D476" s="971" t="s">
        <v>120</v>
      </c>
      <c r="E476" s="971" t="s">
        <v>1073</v>
      </c>
      <c r="F476" s="971" t="s">
        <v>122</v>
      </c>
      <c r="G476" s="971" t="s">
        <v>1074</v>
      </c>
      <c r="H476" s="971" t="s">
        <v>1075</v>
      </c>
      <c r="I476" s="1273" t="s">
        <v>1102</v>
      </c>
      <c r="J476" s="971" t="s">
        <v>124</v>
      </c>
      <c r="K476" s="971"/>
      <c r="L476" s="971" t="e">
        <v>#N/A</v>
      </c>
      <c r="M476" s="971" t="s">
        <v>145</v>
      </c>
      <c r="N476" s="971" t="s">
        <v>141</v>
      </c>
      <c r="O476" s="971" t="s">
        <v>146</v>
      </c>
      <c r="P476" s="971"/>
      <c r="Q476" s="971" t="s">
        <v>1103</v>
      </c>
      <c r="R476" s="1266" t="s">
        <v>1087</v>
      </c>
      <c r="S476" s="2106">
        <v>14.869888475836431</v>
      </c>
      <c r="T476" s="1266" t="s">
        <v>136</v>
      </c>
      <c r="U476" s="1742" t="s">
        <v>6588</v>
      </c>
      <c r="V476" s="1742" t="s">
        <v>6588</v>
      </c>
      <c r="W476" s="1742" t="s">
        <v>6588</v>
      </c>
      <c r="X476" s="1742" t="s">
        <v>6588</v>
      </c>
      <c r="Y476" s="2106" t="s">
        <v>6588</v>
      </c>
      <c r="Z476" s="2106">
        <v>0</v>
      </c>
      <c r="AA476" s="2106">
        <v>0</v>
      </c>
      <c r="AB476" s="2106">
        <v>0</v>
      </c>
      <c r="AC476" s="2106">
        <v>0</v>
      </c>
      <c r="AD476" s="1744">
        <v>0</v>
      </c>
      <c r="AE476" s="2126">
        <v>0</v>
      </c>
      <c r="AF476" s="2126">
        <v>0</v>
      </c>
      <c r="AG476" s="1212">
        <v>1</v>
      </c>
      <c r="AH476" s="1212">
        <v>0</v>
      </c>
      <c r="AI476" s="1212">
        <v>0</v>
      </c>
      <c r="AJ476" s="1212">
        <v>1</v>
      </c>
      <c r="AK476" s="2126">
        <v>0</v>
      </c>
      <c r="AL476" s="2126">
        <v>0</v>
      </c>
      <c r="AM476" s="2126">
        <v>0</v>
      </c>
      <c r="AN476" s="2126">
        <v>0</v>
      </c>
      <c r="AO476" s="1743" t="s">
        <v>85</v>
      </c>
      <c r="AP476" s="1743"/>
      <c r="AQ476" s="1764">
        <v>2014</v>
      </c>
      <c r="AR476" s="1743" t="s">
        <v>87</v>
      </c>
      <c r="AS476" s="2135"/>
      <c r="AT476" s="2135"/>
      <c r="AU476" s="1212">
        <v>0.33333333333333331</v>
      </c>
      <c r="AV476" s="1212">
        <v>0.33333333333333331</v>
      </c>
      <c r="AW476" s="1212">
        <v>0.33333333333333331</v>
      </c>
      <c r="AX476" s="1212"/>
      <c r="AY476" s="1212"/>
      <c r="AZ476" s="1212"/>
      <c r="BA476" s="1212"/>
      <c r="BB476" s="1212"/>
      <c r="BC476" s="1212"/>
      <c r="BD476" s="1212"/>
      <c r="BE476" s="1212"/>
      <c r="BF476" s="2126">
        <v>0</v>
      </c>
      <c r="BG476" s="2126">
        <v>0</v>
      </c>
      <c r="BH476" s="2126">
        <v>0</v>
      </c>
      <c r="BI476" s="2126">
        <v>0</v>
      </c>
      <c r="BJ476" s="2126">
        <v>0</v>
      </c>
      <c r="BK476" s="2126">
        <v>0</v>
      </c>
      <c r="BL476" s="2126">
        <v>0</v>
      </c>
      <c r="BM476" s="2126">
        <v>0</v>
      </c>
      <c r="BN476" s="2126">
        <v>0</v>
      </c>
      <c r="BO476" s="2126">
        <v>0</v>
      </c>
      <c r="BP476" s="2126">
        <v>0</v>
      </c>
      <c r="BQ476" s="2126">
        <v>0</v>
      </c>
      <c r="BR476" s="2126">
        <v>0</v>
      </c>
    </row>
    <row r="477" spans="1:70" s="1765" customFormat="1" ht="49.5">
      <c r="A477" s="1272">
        <v>3000</v>
      </c>
      <c r="B477" s="971" t="s">
        <v>1072</v>
      </c>
      <c r="C477" s="1272">
        <v>3100</v>
      </c>
      <c r="D477" s="971" t="s">
        <v>120</v>
      </c>
      <c r="E477" s="971" t="s">
        <v>1073</v>
      </c>
      <c r="F477" s="971" t="s">
        <v>122</v>
      </c>
      <c r="G477" s="971" t="s">
        <v>1074</v>
      </c>
      <c r="H477" s="971" t="s">
        <v>1075</v>
      </c>
      <c r="I477" s="1273" t="s">
        <v>1076</v>
      </c>
      <c r="J477" s="971" t="s">
        <v>124</v>
      </c>
      <c r="K477" s="971" t="s">
        <v>125</v>
      </c>
      <c r="L477" s="971" t="s">
        <v>2868</v>
      </c>
      <c r="M477" s="971" t="s">
        <v>126</v>
      </c>
      <c r="N477" s="971" t="s">
        <v>127</v>
      </c>
      <c r="O477" s="971" t="s">
        <v>128</v>
      </c>
      <c r="P477" s="971"/>
      <c r="Q477" s="971" t="s">
        <v>1104</v>
      </c>
      <c r="R477" s="1266"/>
      <c r="S477" s="2106">
        <v>150</v>
      </c>
      <c r="T477" s="1266" t="s">
        <v>136</v>
      </c>
      <c r="U477" s="1742">
        <v>0.11208333333333333</v>
      </c>
      <c r="V477" s="1742">
        <v>1.4010416666666667</v>
      </c>
      <c r="W477" s="1742">
        <v>9.8790250000000004</v>
      </c>
      <c r="X477" s="1742">
        <v>15.452929166666667</v>
      </c>
      <c r="Y477" s="2106">
        <v>26.73299583333333</v>
      </c>
      <c r="Z477" s="2106">
        <v>16.8125</v>
      </c>
      <c r="AA477" s="2106">
        <v>210.15625</v>
      </c>
      <c r="AB477" s="2106">
        <v>1481.85375</v>
      </c>
      <c r="AC477" s="2106">
        <v>2317.9393749999999</v>
      </c>
      <c r="AD477" s="1744">
        <v>4009.9493750000001</v>
      </c>
      <c r="AE477" s="2126">
        <v>1</v>
      </c>
      <c r="AF477" s="2126">
        <v>150</v>
      </c>
      <c r="AG477" s="1212">
        <v>1</v>
      </c>
      <c r="AH477" s="1212">
        <v>0</v>
      </c>
      <c r="AI477" s="1212">
        <v>0</v>
      </c>
      <c r="AJ477" s="1212">
        <v>1</v>
      </c>
      <c r="AK477" s="2126">
        <v>4009.9493750000001</v>
      </c>
      <c r="AL477" s="2126">
        <v>0</v>
      </c>
      <c r="AM477" s="2126">
        <v>0</v>
      </c>
      <c r="AN477" s="2126">
        <v>4009.9493750000001</v>
      </c>
      <c r="AO477" s="1743" t="s">
        <v>85</v>
      </c>
      <c r="AP477" s="1743" t="s">
        <v>1105</v>
      </c>
      <c r="AQ477" s="1764" t="s">
        <v>202</v>
      </c>
      <c r="AR477" s="1743" t="s">
        <v>87</v>
      </c>
      <c r="AS477" s="2135"/>
      <c r="AT477" s="2135"/>
      <c r="AU477" s="1212">
        <v>0.33333333333333331</v>
      </c>
      <c r="AV477" s="1212">
        <v>0.33333333333333331</v>
      </c>
      <c r="AW477" s="1212">
        <v>0.33333333333333331</v>
      </c>
      <c r="AX477" s="1212"/>
      <c r="AY477" s="1212"/>
      <c r="AZ477" s="1212"/>
      <c r="BA477" s="1212"/>
      <c r="BB477" s="1212"/>
      <c r="BC477" s="1212"/>
      <c r="BD477" s="1212"/>
      <c r="BE477" s="1212"/>
      <c r="BF477" s="2126">
        <v>0</v>
      </c>
      <c r="BG477" s="2126">
        <v>0</v>
      </c>
      <c r="BH477" s="2126">
        <v>1336.6497916666667</v>
      </c>
      <c r="BI477" s="2126">
        <v>1336.6497916666667</v>
      </c>
      <c r="BJ477" s="2126">
        <v>1336.6497916666667</v>
      </c>
      <c r="BK477" s="2126">
        <v>0</v>
      </c>
      <c r="BL477" s="2126">
        <v>0</v>
      </c>
      <c r="BM477" s="2126">
        <v>0</v>
      </c>
      <c r="BN477" s="2126">
        <v>0</v>
      </c>
      <c r="BO477" s="2126">
        <v>0</v>
      </c>
      <c r="BP477" s="2126">
        <v>0</v>
      </c>
      <c r="BQ477" s="2126">
        <v>0</v>
      </c>
      <c r="BR477" s="2126">
        <v>0</v>
      </c>
    </row>
    <row r="478" spans="1:70" s="1765" customFormat="1" ht="49.5">
      <c r="A478" s="1272">
        <v>3000</v>
      </c>
      <c r="B478" s="971" t="s">
        <v>1072</v>
      </c>
      <c r="C478" s="1272">
        <v>3100</v>
      </c>
      <c r="D478" s="971" t="s">
        <v>120</v>
      </c>
      <c r="E478" s="971" t="s">
        <v>1073</v>
      </c>
      <c r="F478" s="971" t="s">
        <v>122</v>
      </c>
      <c r="G478" s="971" t="s">
        <v>1074</v>
      </c>
      <c r="H478" s="971" t="s">
        <v>1075</v>
      </c>
      <c r="I478" s="1273" t="s">
        <v>1076</v>
      </c>
      <c r="J478" s="971" t="s">
        <v>124</v>
      </c>
      <c r="K478" s="971" t="s">
        <v>125</v>
      </c>
      <c r="L478" s="971" t="s">
        <v>2868</v>
      </c>
      <c r="M478" s="971" t="s">
        <v>126</v>
      </c>
      <c r="N478" s="971" t="s">
        <v>127</v>
      </c>
      <c r="O478" s="971" t="s">
        <v>128</v>
      </c>
      <c r="P478" s="971"/>
      <c r="Q478" s="971" t="s">
        <v>1106</v>
      </c>
      <c r="R478" s="1266"/>
      <c r="S478" s="2106">
        <v>150</v>
      </c>
      <c r="T478" s="1266" t="s">
        <v>136</v>
      </c>
      <c r="U478" s="1742">
        <v>0.11208333333333333</v>
      </c>
      <c r="V478" s="1742">
        <v>1.4010416666666667</v>
      </c>
      <c r="W478" s="1742">
        <v>9.8790250000000004</v>
      </c>
      <c r="X478" s="1742">
        <v>15.452929166666667</v>
      </c>
      <c r="Y478" s="2106">
        <v>26.73299583333333</v>
      </c>
      <c r="Z478" s="2106">
        <v>16.8125</v>
      </c>
      <c r="AA478" s="2106">
        <v>210.15625</v>
      </c>
      <c r="AB478" s="2106">
        <v>1481.85375</v>
      </c>
      <c r="AC478" s="2106">
        <v>2317.9393749999999</v>
      </c>
      <c r="AD478" s="1744">
        <v>4009.9493750000001</v>
      </c>
      <c r="AE478" s="2126">
        <v>1</v>
      </c>
      <c r="AF478" s="2126">
        <v>150</v>
      </c>
      <c r="AG478" s="1212">
        <v>1</v>
      </c>
      <c r="AH478" s="1212">
        <v>0</v>
      </c>
      <c r="AI478" s="1212">
        <v>0</v>
      </c>
      <c r="AJ478" s="1212">
        <v>1</v>
      </c>
      <c r="AK478" s="2126">
        <v>4009.9493750000001</v>
      </c>
      <c r="AL478" s="2126">
        <v>0</v>
      </c>
      <c r="AM478" s="2126">
        <v>0</v>
      </c>
      <c r="AN478" s="2126">
        <v>4009.9493750000001</v>
      </c>
      <c r="AO478" s="1743" t="s">
        <v>85</v>
      </c>
      <c r="AP478" s="1743" t="s">
        <v>1105</v>
      </c>
      <c r="AQ478" s="1764" t="s">
        <v>202</v>
      </c>
      <c r="AR478" s="1743" t="s">
        <v>87</v>
      </c>
      <c r="AS478" s="2135"/>
      <c r="AT478" s="2135"/>
      <c r="AU478" s="1212">
        <v>0.33333333333333331</v>
      </c>
      <c r="AV478" s="1212">
        <v>0.33333333333333331</v>
      </c>
      <c r="AW478" s="1212">
        <v>0.33333333333333331</v>
      </c>
      <c r="AX478" s="1212"/>
      <c r="AY478" s="1212"/>
      <c r="AZ478" s="1212"/>
      <c r="BA478" s="1212"/>
      <c r="BB478" s="1212"/>
      <c r="BC478" s="1212"/>
      <c r="BD478" s="1212"/>
      <c r="BE478" s="1212"/>
      <c r="BF478" s="2126">
        <v>0</v>
      </c>
      <c r="BG478" s="2126">
        <v>0</v>
      </c>
      <c r="BH478" s="2126">
        <v>1336.6497916666667</v>
      </c>
      <c r="BI478" s="2126">
        <v>1336.6497916666667</v>
      </c>
      <c r="BJ478" s="2126">
        <v>1336.6497916666667</v>
      </c>
      <c r="BK478" s="2126">
        <v>0</v>
      </c>
      <c r="BL478" s="2126">
        <v>0</v>
      </c>
      <c r="BM478" s="2126">
        <v>0</v>
      </c>
      <c r="BN478" s="2126">
        <v>0</v>
      </c>
      <c r="BO478" s="2126">
        <v>0</v>
      </c>
      <c r="BP478" s="2126">
        <v>0</v>
      </c>
      <c r="BQ478" s="2126">
        <v>0</v>
      </c>
      <c r="BR478" s="2126">
        <v>0</v>
      </c>
    </row>
    <row r="479" spans="1:70" s="1765" customFormat="1" ht="49.5">
      <c r="A479" s="1272">
        <v>3000</v>
      </c>
      <c r="B479" s="971" t="s">
        <v>1072</v>
      </c>
      <c r="C479" s="1272">
        <v>3100</v>
      </c>
      <c r="D479" s="971" t="s">
        <v>120</v>
      </c>
      <c r="E479" s="971" t="s">
        <v>1073</v>
      </c>
      <c r="F479" s="971" t="s">
        <v>122</v>
      </c>
      <c r="G479" s="971" t="s">
        <v>1074</v>
      </c>
      <c r="H479" s="971" t="s">
        <v>1075</v>
      </c>
      <c r="I479" s="1273" t="s">
        <v>1076</v>
      </c>
      <c r="J479" s="971" t="s">
        <v>124</v>
      </c>
      <c r="K479" s="971" t="s">
        <v>125</v>
      </c>
      <c r="L479" s="971" t="s">
        <v>2868</v>
      </c>
      <c r="M479" s="971" t="s">
        <v>126</v>
      </c>
      <c r="N479" s="971" t="s">
        <v>127</v>
      </c>
      <c r="O479" s="971" t="s">
        <v>128</v>
      </c>
      <c r="P479" s="971"/>
      <c r="Q479" s="971" t="s">
        <v>1107</v>
      </c>
      <c r="R479" s="1266"/>
      <c r="S479" s="2106">
        <v>150</v>
      </c>
      <c r="T479" s="1266" t="s">
        <v>136</v>
      </c>
      <c r="U479" s="1742">
        <v>0.11208333333333333</v>
      </c>
      <c r="V479" s="1742">
        <v>1.4010416666666667</v>
      </c>
      <c r="W479" s="1742">
        <v>9.8790250000000004</v>
      </c>
      <c r="X479" s="1742">
        <v>15.452929166666667</v>
      </c>
      <c r="Y479" s="2106">
        <v>26.73299583333333</v>
      </c>
      <c r="Z479" s="2106">
        <v>16.8125</v>
      </c>
      <c r="AA479" s="2106">
        <v>210.15625</v>
      </c>
      <c r="AB479" s="2106">
        <v>1481.85375</v>
      </c>
      <c r="AC479" s="2106">
        <v>2317.9393749999999</v>
      </c>
      <c r="AD479" s="1744">
        <v>4009.9493750000001</v>
      </c>
      <c r="AE479" s="2126">
        <v>1</v>
      </c>
      <c r="AF479" s="2126">
        <v>150</v>
      </c>
      <c r="AG479" s="1212">
        <v>1</v>
      </c>
      <c r="AH479" s="1212">
        <v>0</v>
      </c>
      <c r="AI479" s="1212">
        <v>0</v>
      </c>
      <c r="AJ479" s="1212">
        <v>1</v>
      </c>
      <c r="AK479" s="2126">
        <v>4009.9493750000001</v>
      </c>
      <c r="AL479" s="2126">
        <v>0</v>
      </c>
      <c r="AM479" s="2126">
        <v>0</v>
      </c>
      <c r="AN479" s="2126">
        <v>4009.9493750000001</v>
      </c>
      <c r="AO479" s="1743" t="s">
        <v>85</v>
      </c>
      <c r="AP479" s="1743" t="s">
        <v>1105</v>
      </c>
      <c r="AQ479" s="1764" t="s">
        <v>202</v>
      </c>
      <c r="AR479" s="1743" t="s">
        <v>87</v>
      </c>
      <c r="AS479" s="2135"/>
      <c r="AT479" s="2135"/>
      <c r="AU479" s="1212">
        <v>0.33333333333333331</v>
      </c>
      <c r="AV479" s="1212">
        <v>0.33333333333333331</v>
      </c>
      <c r="AW479" s="1212">
        <v>0.33333333333333331</v>
      </c>
      <c r="AX479" s="1212"/>
      <c r="AY479" s="1212"/>
      <c r="AZ479" s="1212"/>
      <c r="BA479" s="1212"/>
      <c r="BB479" s="1212"/>
      <c r="BC479" s="1212"/>
      <c r="BD479" s="1212"/>
      <c r="BE479" s="1212"/>
      <c r="BF479" s="2126">
        <v>0</v>
      </c>
      <c r="BG479" s="2126">
        <v>0</v>
      </c>
      <c r="BH479" s="2126">
        <v>1336.6497916666667</v>
      </c>
      <c r="BI479" s="2126">
        <v>1336.6497916666667</v>
      </c>
      <c r="BJ479" s="2126">
        <v>1336.6497916666667</v>
      </c>
      <c r="BK479" s="2126">
        <v>0</v>
      </c>
      <c r="BL479" s="2126">
        <v>0</v>
      </c>
      <c r="BM479" s="2126">
        <v>0</v>
      </c>
      <c r="BN479" s="2126">
        <v>0</v>
      </c>
      <c r="BO479" s="2126">
        <v>0</v>
      </c>
      <c r="BP479" s="2126">
        <v>0</v>
      </c>
      <c r="BQ479" s="2126">
        <v>0</v>
      </c>
      <c r="BR479" s="2126">
        <v>0</v>
      </c>
    </row>
    <row r="480" spans="1:70" s="1765" customFormat="1" ht="49.5">
      <c r="A480" s="1272">
        <v>3000</v>
      </c>
      <c r="B480" s="971" t="s">
        <v>1072</v>
      </c>
      <c r="C480" s="1272">
        <v>3100</v>
      </c>
      <c r="D480" s="971" t="s">
        <v>120</v>
      </c>
      <c r="E480" s="971" t="s">
        <v>1073</v>
      </c>
      <c r="F480" s="971" t="s">
        <v>122</v>
      </c>
      <c r="G480" s="971" t="s">
        <v>1074</v>
      </c>
      <c r="H480" s="971" t="s">
        <v>1075</v>
      </c>
      <c r="I480" s="1273" t="s">
        <v>1076</v>
      </c>
      <c r="J480" s="971" t="s">
        <v>124</v>
      </c>
      <c r="K480" s="971" t="s">
        <v>125</v>
      </c>
      <c r="L480" s="971" t="s">
        <v>2868</v>
      </c>
      <c r="M480" s="971" t="s">
        <v>126</v>
      </c>
      <c r="N480" s="971" t="s">
        <v>127</v>
      </c>
      <c r="O480" s="971" t="s">
        <v>128</v>
      </c>
      <c r="P480" s="971"/>
      <c r="Q480" s="971" t="s">
        <v>1108</v>
      </c>
      <c r="R480" s="1266"/>
      <c r="S480" s="2106">
        <v>150</v>
      </c>
      <c r="T480" s="1266" t="s">
        <v>136</v>
      </c>
      <c r="U480" s="1742">
        <v>0.11208333333333333</v>
      </c>
      <c r="V480" s="1742">
        <v>1.4010416666666667</v>
      </c>
      <c r="W480" s="1742">
        <v>9.8790250000000004</v>
      </c>
      <c r="X480" s="1742">
        <v>15.452929166666667</v>
      </c>
      <c r="Y480" s="2106">
        <v>26.73299583333333</v>
      </c>
      <c r="Z480" s="2106">
        <v>16.8125</v>
      </c>
      <c r="AA480" s="2106">
        <v>210.15625</v>
      </c>
      <c r="AB480" s="2106">
        <v>1481.85375</v>
      </c>
      <c r="AC480" s="2106">
        <v>2317.9393749999999</v>
      </c>
      <c r="AD480" s="1744">
        <v>4009.9493750000001</v>
      </c>
      <c r="AE480" s="2126">
        <v>1</v>
      </c>
      <c r="AF480" s="2126">
        <v>150</v>
      </c>
      <c r="AG480" s="1212">
        <v>1</v>
      </c>
      <c r="AH480" s="1212">
        <v>0</v>
      </c>
      <c r="AI480" s="1212">
        <v>0</v>
      </c>
      <c r="AJ480" s="1212">
        <v>1</v>
      </c>
      <c r="AK480" s="2126">
        <v>4009.9493750000001</v>
      </c>
      <c r="AL480" s="2126">
        <v>0</v>
      </c>
      <c r="AM480" s="2126">
        <v>0</v>
      </c>
      <c r="AN480" s="2126">
        <v>4009.9493750000001</v>
      </c>
      <c r="AO480" s="1743" t="s">
        <v>85</v>
      </c>
      <c r="AP480" s="1743" t="s">
        <v>1105</v>
      </c>
      <c r="AQ480" s="1764" t="s">
        <v>202</v>
      </c>
      <c r="AR480" s="1743" t="s">
        <v>87</v>
      </c>
      <c r="AS480" s="2135"/>
      <c r="AT480" s="2135"/>
      <c r="AU480" s="1212">
        <v>0.33333333333333331</v>
      </c>
      <c r="AV480" s="1212">
        <v>0.33333333333333331</v>
      </c>
      <c r="AW480" s="1212">
        <v>0.33333333333333331</v>
      </c>
      <c r="AX480" s="1212"/>
      <c r="AY480" s="1212"/>
      <c r="AZ480" s="1212"/>
      <c r="BA480" s="1212"/>
      <c r="BB480" s="1212"/>
      <c r="BC480" s="1212"/>
      <c r="BD480" s="1212"/>
      <c r="BE480" s="1212"/>
      <c r="BF480" s="2126">
        <v>0</v>
      </c>
      <c r="BG480" s="2126">
        <v>0</v>
      </c>
      <c r="BH480" s="2126">
        <v>1336.6497916666667</v>
      </c>
      <c r="BI480" s="2126">
        <v>1336.6497916666667</v>
      </c>
      <c r="BJ480" s="2126">
        <v>1336.6497916666667</v>
      </c>
      <c r="BK480" s="2126">
        <v>0</v>
      </c>
      <c r="BL480" s="2126">
        <v>0</v>
      </c>
      <c r="BM480" s="2126">
        <v>0</v>
      </c>
      <c r="BN480" s="2126">
        <v>0</v>
      </c>
      <c r="BO480" s="2126">
        <v>0</v>
      </c>
      <c r="BP480" s="2126">
        <v>0</v>
      </c>
      <c r="BQ480" s="2126">
        <v>0</v>
      </c>
      <c r="BR480" s="2126">
        <v>0</v>
      </c>
    </row>
    <row r="481" spans="1:70" s="1765" customFormat="1" ht="49.5">
      <c r="A481" s="1272">
        <v>3000</v>
      </c>
      <c r="B481" s="971" t="s">
        <v>1072</v>
      </c>
      <c r="C481" s="1272">
        <v>3100</v>
      </c>
      <c r="D481" s="971" t="s">
        <v>120</v>
      </c>
      <c r="E481" s="971" t="s">
        <v>1073</v>
      </c>
      <c r="F481" s="971" t="s">
        <v>122</v>
      </c>
      <c r="G481" s="971" t="s">
        <v>1074</v>
      </c>
      <c r="H481" s="971" t="s">
        <v>1075</v>
      </c>
      <c r="I481" s="1273" t="s">
        <v>1076</v>
      </c>
      <c r="J481" s="971" t="s">
        <v>124</v>
      </c>
      <c r="K481" s="971" t="s">
        <v>125</v>
      </c>
      <c r="L481" s="971" t="s">
        <v>2868</v>
      </c>
      <c r="M481" s="971" t="s">
        <v>126</v>
      </c>
      <c r="N481" s="971" t="s">
        <v>127</v>
      </c>
      <c r="O481" s="971" t="s">
        <v>128</v>
      </c>
      <c r="P481" s="971"/>
      <c r="Q481" s="971" t="s">
        <v>1109</v>
      </c>
      <c r="R481" s="1266"/>
      <c r="S481" s="2106">
        <v>150</v>
      </c>
      <c r="T481" s="1266" t="s">
        <v>136</v>
      </c>
      <c r="U481" s="1742">
        <v>0.11208333333333333</v>
      </c>
      <c r="V481" s="1742">
        <v>1.4010416666666667</v>
      </c>
      <c r="W481" s="1742">
        <v>9.8790250000000004</v>
      </c>
      <c r="X481" s="1742">
        <v>15.452929166666667</v>
      </c>
      <c r="Y481" s="2106">
        <v>26.73299583333333</v>
      </c>
      <c r="Z481" s="2106">
        <v>16.8125</v>
      </c>
      <c r="AA481" s="2106">
        <v>210.15625</v>
      </c>
      <c r="AB481" s="2106">
        <v>1481.85375</v>
      </c>
      <c r="AC481" s="2106">
        <v>2317.9393749999999</v>
      </c>
      <c r="AD481" s="1744">
        <v>4009.9493750000001</v>
      </c>
      <c r="AE481" s="2126">
        <v>1</v>
      </c>
      <c r="AF481" s="2126">
        <v>150</v>
      </c>
      <c r="AG481" s="1212">
        <v>1</v>
      </c>
      <c r="AH481" s="1212">
        <v>0</v>
      </c>
      <c r="AI481" s="1212">
        <v>0</v>
      </c>
      <c r="AJ481" s="1212">
        <v>1</v>
      </c>
      <c r="AK481" s="2126">
        <v>4009.9493750000001</v>
      </c>
      <c r="AL481" s="2126">
        <v>0</v>
      </c>
      <c r="AM481" s="2126">
        <v>0</v>
      </c>
      <c r="AN481" s="2126">
        <v>4009.9493750000001</v>
      </c>
      <c r="AO481" s="1743" t="s">
        <v>85</v>
      </c>
      <c r="AP481" s="1743" t="s">
        <v>1105</v>
      </c>
      <c r="AQ481" s="1764" t="s">
        <v>202</v>
      </c>
      <c r="AR481" s="1743" t="s">
        <v>87</v>
      </c>
      <c r="AS481" s="2135"/>
      <c r="AT481" s="2135"/>
      <c r="AU481" s="1212">
        <v>0.33333333333333331</v>
      </c>
      <c r="AV481" s="1212">
        <v>0.33333333333333331</v>
      </c>
      <c r="AW481" s="1212">
        <v>0.33333333333333331</v>
      </c>
      <c r="AX481" s="1212"/>
      <c r="AY481" s="1212"/>
      <c r="AZ481" s="1212"/>
      <c r="BA481" s="1212"/>
      <c r="BB481" s="1212"/>
      <c r="BC481" s="1212"/>
      <c r="BD481" s="1212"/>
      <c r="BE481" s="1212"/>
      <c r="BF481" s="2126">
        <v>0</v>
      </c>
      <c r="BG481" s="2126">
        <v>0</v>
      </c>
      <c r="BH481" s="2126">
        <v>1336.6497916666667</v>
      </c>
      <c r="BI481" s="2126">
        <v>1336.6497916666667</v>
      </c>
      <c r="BJ481" s="2126">
        <v>1336.6497916666667</v>
      </c>
      <c r="BK481" s="2126">
        <v>0</v>
      </c>
      <c r="BL481" s="2126">
        <v>0</v>
      </c>
      <c r="BM481" s="2126">
        <v>0</v>
      </c>
      <c r="BN481" s="2126">
        <v>0</v>
      </c>
      <c r="BO481" s="2126">
        <v>0</v>
      </c>
      <c r="BP481" s="2126">
        <v>0</v>
      </c>
      <c r="BQ481" s="2126">
        <v>0</v>
      </c>
      <c r="BR481" s="2126">
        <v>0</v>
      </c>
    </row>
    <row r="482" spans="1:70" s="1765" customFormat="1" ht="49.5">
      <c r="A482" s="1272">
        <v>3000</v>
      </c>
      <c r="B482" s="971" t="s">
        <v>1072</v>
      </c>
      <c r="C482" s="1272">
        <v>3100</v>
      </c>
      <c r="D482" s="971" t="s">
        <v>120</v>
      </c>
      <c r="E482" s="971" t="s">
        <v>1073</v>
      </c>
      <c r="F482" s="971" t="s">
        <v>122</v>
      </c>
      <c r="G482" s="971" t="s">
        <v>1074</v>
      </c>
      <c r="H482" s="971" t="s">
        <v>1075</v>
      </c>
      <c r="I482" s="1273" t="s">
        <v>1076</v>
      </c>
      <c r="J482" s="971" t="s">
        <v>124</v>
      </c>
      <c r="K482" s="971" t="s">
        <v>125</v>
      </c>
      <c r="L482" s="971" t="s">
        <v>2868</v>
      </c>
      <c r="M482" s="971" t="s">
        <v>126</v>
      </c>
      <c r="N482" s="971" t="s">
        <v>127</v>
      </c>
      <c r="O482" s="971" t="s">
        <v>128</v>
      </c>
      <c r="P482" s="971"/>
      <c r="Q482" s="971" t="s">
        <v>1110</v>
      </c>
      <c r="R482" s="1266"/>
      <c r="S482" s="2106">
        <v>150</v>
      </c>
      <c r="T482" s="1266" t="s">
        <v>136</v>
      </c>
      <c r="U482" s="1742">
        <v>0.11208333333333333</v>
      </c>
      <c r="V482" s="1742">
        <v>1.4010416666666667</v>
      </c>
      <c r="W482" s="1742">
        <v>9.8790250000000004</v>
      </c>
      <c r="X482" s="1742">
        <v>15.452929166666667</v>
      </c>
      <c r="Y482" s="2106">
        <v>26.73299583333333</v>
      </c>
      <c r="Z482" s="2106">
        <v>16.8125</v>
      </c>
      <c r="AA482" s="2106">
        <v>210.15625</v>
      </c>
      <c r="AB482" s="2106">
        <v>1481.85375</v>
      </c>
      <c r="AC482" s="2106">
        <v>2317.9393749999999</v>
      </c>
      <c r="AD482" s="1744">
        <v>4009.9493750000001</v>
      </c>
      <c r="AE482" s="2126">
        <v>1</v>
      </c>
      <c r="AF482" s="2126">
        <v>150</v>
      </c>
      <c r="AG482" s="1212">
        <v>1</v>
      </c>
      <c r="AH482" s="1212">
        <v>0</v>
      </c>
      <c r="AI482" s="1212">
        <v>0</v>
      </c>
      <c r="AJ482" s="1212">
        <v>1</v>
      </c>
      <c r="AK482" s="2126">
        <v>4009.9493750000001</v>
      </c>
      <c r="AL482" s="2126">
        <v>0</v>
      </c>
      <c r="AM482" s="2126">
        <v>0</v>
      </c>
      <c r="AN482" s="2126">
        <v>4009.9493750000001</v>
      </c>
      <c r="AO482" s="1743" t="s">
        <v>85</v>
      </c>
      <c r="AP482" s="1743" t="s">
        <v>1105</v>
      </c>
      <c r="AQ482" s="1764" t="s">
        <v>202</v>
      </c>
      <c r="AR482" s="1743" t="s">
        <v>87</v>
      </c>
      <c r="AS482" s="2135"/>
      <c r="AT482" s="2135"/>
      <c r="AU482" s="1212">
        <v>0.33333333333333331</v>
      </c>
      <c r="AV482" s="1212">
        <v>0.33333333333333331</v>
      </c>
      <c r="AW482" s="1212">
        <v>0.33333333333333331</v>
      </c>
      <c r="AX482" s="1212"/>
      <c r="AY482" s="1212"/>
      <c r="AZ482" s="1212"/>
      <c r="BA482" s="1212"/>
      <c r="BB482" s="1212"/>
      <c r="BC482" s="1212"/>
      <c r="BD482" s="1212"/>
      <c r="BE482" s="1212"/>
      <c r="BF482" s="2126">
        <v>0</v>
      </c>
      <c r="BG482" s="2126">
        <v>0</v>
      </c>
      <c r="BH482" s="2126">
        <v>1336.6497916666667</v>
      </c>
      <c r="BI482" s="2126">
        <v>1336.6497916666667</v>
      </c>
      <c r="BJ482" s="2126">
        <v>1336.6497916666667</v>
      </c>
      <c r="BK482" s="2126">
        <v>0</v>
      </c>
      <c r="BL482" s="2126">
        <v>0</v>
      </c>
      <c r="BM482" s="2126">
        <v>0</v>
      </c>
      <c r="BN482" s="2126">
        <v>0</v>
      </c>
      <c r="BO482" s="2126">
        <v>0</v>
      </c>
      <c r="BP482" s="2126">
        <v>0</v>
      </c>
      <c r="BQ482" s="2126">
        <v>0</v>
      </c>
      <c r="BR482" s="2126">
        <v>0</v>
      </c>
    </row>
    <row r="483" spans="1:70" s="1765" customFormat="1" ht="49.5">
      <c r="A483" s="1272">
        <v>3000</v>
      </c>
      <c r="B483" s="971" t="s">
        <v>1072</v>
      </c>
      <c r="C483" s="1272">
        <v>3100</v>
      </c>
      <c r="D483" s="971" t="s">
        <v>120</v>
      </c>
      <c r="E483" s="971" t="s">
        <v>1073</v>
      </c>
      <c r="F483" s="971" t="s">
        <v>122</v>
      </c>
      <c r="G483" s="971" t="s">
        <v>1074</v>
      </c>
      <c r="H483" s="971" t="s">
        <v>1075</v>
      </c>
      <c r="I483" s="1273" t="s">
        <v>1076</v>
      </c>
      <c r="J483" s="971" t="s">
        <v>124</v>
      </c>
      <c r="K483" s="971" t="s">
        <v>125</v>
      </c>
      <c r="L483" s="971" t="s">
        <v>2868</v>
      </c>
      <c r="M483" s="971" t="s">
        <v>126</v>
      </c>
      <c r="N483" s="971" t="s">
        <v>127</v>
      </c>
      <c r="O483" s="971" t="s">
        <v>128</v>
      </c>
      <c r="P483" s="971"/>
      <c r="Q483" s="971" t="s">
        <v>1111</v>
      </c>
      <c r="R483" s="1266"/>
      <c r="S483" s="2106">
        <v>150</v>
      </c>
      <c r="T483" s="1266" t="s">
        <v>136</v>
      </c>
      <c r="U483" s="1742">
        <v>0.11208333333333333</v>
      </c>
      <c r="V483" s="1742">
        <v>1.4010416666666667</v>
      </c>
      <c r="W483" s="1742">
        <v>9.8790250000000004</v>
      </c>
      <c r="X483" s="1742">
        <v>15.452929166666667</v>
      </c>
      <c r="Y483" s="2106">
        <v>26.73299583333333</v>
      </c>
      <c r="Z483" s="2106">
        <v>16.8125</v>
      </c>
      <c r="AA483" s="2106">
        <v>210.15625</v>
      </c>
      <c r="AB483" s="2106">
        <v>1481.85375</v>
      </c>
      <c r="AC483" s="2106">
        <v>2317.9393749999999</v>
      </c>
      <c r="AD483" s="1744">
        <v>4009.9493750000001</v>
      </c>
      <c r="AE483" s="2126">
        <v>1</v>
      </c>
      <c r="AF483" s="2126">
        <v>150</v>
      </c>
      <c r="AG483" s="1212">
        <v>1</v>
      </c>
      <c r="AH483" s="1212">
        <v>0</v>
      </c>
      <c r="AI483" s="1212">
        <v>0</v>
      </c>
      <c r="AJ483" s="1212">
        <v>1</v>
      </c>
      <c r="AK483" s="2126">
        <v>4009.9493750000001</v>
      </c>
      <c r="AL483" s="2126">
        <v>0</v>
      </c>
      <c r="AM483" s="2126">
        <v>0</v>
      </c>
      <c r="AN483" s="2126">
        <v>4009.9493750000001</v>
      </c>
      <c r="AO483" s="1743" t="s">
        <v>85</v>
      </c>
      <c r="AP483" s="1743" t="s">
        <v>1105</v>
      </c>
      <c r="AQ483" s="1764" t="s">
        <v>202</v>
      </c>
      <c r="AR483" s="1743" t="s">
        <v>87</v>
      </c>
      <c r="AS483" s="2135"/>
      <c r="AT483" s="2135"/>
      <c r="AU483" s="1212">
        <v>0.33333333333333331</v>
      </c>
      <c r="AV483" s="1212">
        <v>0.33333333333333331</v>
      </c>
      <c r="AW483" s="1212">
        <v>0.33333333333333331</v>
      </c>
      <c r="AX483" s="1212"/>
      <c r="AY483" s="1212"/>
      <c r="AZ483" s="1212"/>
      <c r="BA483" s="1212"/>
      <c r="BB483" s="1212"/>
      <c r="BC483" s="1212"/>
      <c r="BD483" s="1212"/>
      <c r="BE483" s="1212"/>
      <c r="BF483" s="2126">
        <v>0</v>
      </c>
      <c r="BG483" s="2126">
        <v>0</v>
      </c>
      <c r="BH483" s="2126">
        <v>1336.6497916666667</v>
      </c>
      <c r="BI483" s="2126">
        <v>1336.6497916666667</v>
      </c>
      <c r="BJ483" s="2126">
        <v>1336.6497916666667</v>
      </c>
      <c r="BK483" s="2126">
        <v>0</v>
      </c>
      <c r="BL483" s="2126">
        <v>0</v>
      </c>
      <c r="BM483" s="2126">
        <v>0</v>
      </c>
      <c r="BN483" s="2126">
        <v>0</v>
      </c>
      <c r="BO483" s="2126">
        <v>0</v>
      </c>
      <c r="BP483" s="2126">
        <v>0</v>
      </c>
      <c r="BQ483" s="2126">
        <v>0</v>
      </c>
      <c r="BR483" s="2126">
        <v>0</v>
      </c>
    </row>
    <row r="484" spans="1:70" s="1765" customFormat="1" ht="49.5">
      <c r="A484" s="1272">
        <v>3000</v>
      </c>
      <c r="B484" s="971" t="s">
        <v>1072</v>
      </c>
      <c r="C484" s="1272">
        <v>3100</v>
      </c>
      <c r="D484" s="971" t="s">
        <v>120</v>
      </c>
      <c r="E484" s="971" t="s">
        <v>1073</v>
      </c>
      <c r="F484" s="971" t="s">
        <v>122</v>
      </c>
      <c r="G484" s="971" t="s">
        <v>1112</v>
      </c>
      <c r="H484" s="971" t="s">
        <v>1113</v>
      </c>
      <c r="I484" s="1273" t="s">
        <v>1114</v>
      </c>
      <c r="J484" s="971" t="s">
        <v>124</v>
      </c>
      <c r="K484" s="971" t="s">
        <v>125</v>
      </c>
      <c r="L484" s="971" t="s">
        <v>2868</v>
      </c>
      <c r="M484" s="971" t="s">
        <v>126</v>
      </c>
      <c r="N484" s="971" t="s">
        <v>127</v>
      </c>
      <c r="O484" s="971" t="s">
        <v>128</v>
      </c>
      <c r="P484" s="971"/>
      <c r="Q484" s="971" t="s">
        <v>1115</v>
      </c>
      <c r="R484" s="1266" t="s">
        <v>1116</v>
      </c>
      <c r="S484" s="2106">
        <v>14.869888475836431</v>
      </c>
      <c r="T484" s="1266" t="s">
        <v>136</v>
      </c>
      <c r="U484" s="1742">
        <v>0.11208333333333333</v>
      </c>
      <c r="V484" s="1742">
        <v>1.4010416666666667</v>
      </c>
      <c r="W484" s="1742">
        <v>9.8790250000000004</v>
      </c>
      <c r="X484" s="1742">
        <v>15.452929166666667</v>
      </c>
      <c r="Y484" s="2106">
        <v>26.73299583333333</v>
      </c>
      <c r="Z484" s="2106">
        <v>1.6666666666666665</v>
      </c>
      <c r="AA484" s="2106">
        <v>20.833333333333336</v>
      </c>
      <c r="AB484" s="2106">
        <v>146.9</v>
      </c>
      <c r="AC484" s="2106">
        <v>229.78333333333333</v>
      </c>
      <c r="AD484" s="1744">
        <v>397.51666666666665</v>
      </c>
      <c r="AE484" s="2126">
        <v>1</v>
      </c>
      <c r="AF484" s="2126">
        <v>14.869888475836431</v>
      </c>
      <c r="AG484" s="1212">
        <v>1</v>
      </c>
      <c r="AH484" s="1212">
        <v>0</v>
      </c>
      <c r="AI484" s="1212">
        <v>0</v>
      </c>
      <c r="AJ484" s="1212">
        <v>1</v>
      </c>
      <c r="AK484" s="2126">
        <v>397.51666666666665</v>
      </c>
      <c r="AL484" s="2126">
        <v>0</v>
      </c>
      <c r="AM484" s="2126">
        <v>0</v>
      </c>
      <c r="AN484" s="2126">
        <v>397.51666666666665</v>
      </c>
      <c r="AO484" s="1743" t="s">
        <v>85</v>
      </c>
      <c r="AP484" s="1743"/>
      <c r="AQ484" s="1764">
        <v>2014</v>
      </c>
      <c r="AR484" s="1743" t="s">
        <v>87</v>
      </c>
      <c r="AS484" s="2135"/>
      <c r="AT484" s="2135"/>
      <c r="AU484" s="1212">
        <v>0.33333333333333331</v>
      </c>
      <c r="AV484" s="1212">
        <v>0.33333333333333331</v>
      </c>
      <c r="AW484" s="1212">
        <v>0.33333333333333331</v>
      </c>
      <c r="AX484" s="1212"/>
      <c r="AY484" s="1212"/>
      <c r="AZ484" s="1212"/>
      <c r="BA484" s="1212"/>
      <c r="BB484" s="1212"/>
      <c r="BC484" s="1212"/>
      <c r="BD484" s="1212"/>
      <c r="BE484" s="1212"/>
      <c r="BF484" s="2126">
        <v>0</v>
      </c>
      <c r="BG484" s="2126">
        <v>0</v>
      </c>
      <c r="BH484" s="2126">
        <v>132.50555555555553</v>
      </c>
      <c r="BI484" s="2126">
        <v>132.50555555555553</v>
      </c>
      <c r="BJ484" s="2126">
        <v>132.50555555555553</v>
      </c>
      <c r="BK484" s="2126">
        <v>0</v>
      </c>
      <c r="BL484" s="2126">
        <v>0</v>
      </c>
      <c r="BM484" s="2126">
        <v>0</v>
      </c>
      <c r="BN484" s="2126">
        <v>0</v>
      </c>
      <c r="BO484" s="2126">
        <v>0</v>
      </c>
      <c r="BP484" s="2126">
        <v>0</v>
      </c>
      <c r="BQ484" s="2126">
        <v>0</v>
      </c>
      <c r="BR484" s="2126">
        <v>0</v>
      </c>
    </row>
    <row r="485" spans="1:70" s="1765" customFormat="1" ht="49.5">
      <c r="A485" s="1272">
        <v>3000</v>
      </c>
      <c r="B485" s="971" t="s">
        <v>1072</v>
      </c>
      <c r="C485" s="1272">
        <v>3100</v>
      </c>
      <c r="D485" s="971" t="s">
        <v>120</v>
      </c>
      <c r="E485" s="971" t="s">
        <v>1073</v>
      </c>
      <c r="F485" s="971" t="s">
        <v>122</v>
      </c>
      <c r="G485" s="971" t="s">
        <v>1112</v>
      </c>
      <c r="H485" s="971" t="s">
        <v>1113</v>
      </c>
      <c r="I485" s="1273" t="s">
        <v>1117</v>
      </c>
      <c r="J485" s="971" t="s">
        <v>124</v>
      </c>
      <c r="K485" s="971" t="s">
        <v>125</v>
      </c>
      <c r="L485" s="971" t="s">
        <v>2868</v>
      </c>
      <c r="M485" s="971" t="s">
        <v>126</v>
      </c>
      <c r="N485" s="971" t="s">
        <v>127</v>
      </c>
      <c r="O485" s="971" t="s">
        <v>128</v>
      </c>
      <c r="P485" s="971"/>
      <c r="Q485" s="971" t="s">
        <v>1118</v>
      </c>
      <c r="R485" s="1266" t="s">
        <v>1119</v>
      </c>
      <c r="S485" s="2106">
        <v>14.869888475836431</v>
      </c>
      <c r="T485" s="1266" t="s">
        <v>136</v>
      </c>
      <c r="U485" s="1742">
        <v>0.11208333333333333</v>
      </c>
      <c r="V485" s="1742">
        <v>1.4010416666666667</v>
      </c>
      <c r="W485" s="1742">
        <v>9.8790250000000004</v>
      </c>
      <c r="X485" s="1742">
        <v>15.452929166666667</v>
      </c>
      <c r="Y485" s="2106">
        <v>26.73299583333333</v>
      </c>
      <c r="Z485" s="2106">
        <v>1.6666666666666665</v>
      </c>
      <c r="AA485" s="2106">
        <v>20.833333333333336</v>
      </c>
      <c r="AB485" s="2106">
        <v>146.9</v>
      </c>
      <c r="AC485" s="2106">
        <v>229.78333333333333</v>
      </c>
      <c r="AD485" s="1744">
        <v>397.51666666666665</v>
      </c>
      <c r="AE485" s="2126">
        <v>1</v>
      </c>
      <c r="AF485" s="2126">
        <v>14.869888475836431</v>
      </c>
      <c r="AG485" s="1212">
        <v>1</v>
      </c>
      <c r="AH485" s="1212">
        <v>0</v>
      </c>
      <c r="AI485" s="1212">
        <v>0</v>
      </c>
      <c r="AJ485" s="1212">
        <v>1</v>
      </c>
      <c r="AK485" s="2126">
        <v>397.51666666666665</v>
      </c>
      <c r="AL485" s="2126">
        <v>0</v>
      </c>
      <c r="AM485" s="2126">
        <v>0</v>
      </c>
      <c r="AN485" s="2126">
        <v>397.51666666666665</v>
      </c>
      <c r="AO485" s="1743" t="s">
        <v>85</v>
      </c>
      <c r="AP485" s="1743"/>
      <c r="AQ485" s="1764">
        <v>2014</v>
      </c>
      <c r="AR485" s="1743" t="s">
        <v>87</v>
      </c>
      <c r="AS485" s="2135"/>
      <c r="AT485" s="2135"/>
      <c r="AU485" s="1212">
        <v>0.33333333333333331</v>
      </c>
      <c r="AV485" s="1212">
        <v>0.33333333333333331</v>
      </c>
      <c r="AW485" s="1212">
        <v>0.33333333333333331</v>
      </c>
      <c r="AX485" s="1212"/>
      <c r="AY485" s="1212"/>
      <c r="AZ485" s="1212"/>
      <c r="BA485" s="1212"/>
      <c r="BB485" s="1212"/>
      <c r="BC485" s="1212"/>
      <c r="BD485" s="1212"/>
      <c r="BE485" s="1212"/>
      <c r="BF485" s="2126">
        <v>0</v>
      </c>
      <c r="BG485" s="2126">
        <v>0</v>
      </c>
      <c r="BH485" s="2126">
        <v>132.50555555555553</v>
      </c>
      <c r="BI485" s="2126">
        <v>132.50555555555553</v>
      </c>
      <c r="BJ485" s="2126">
        <v>132.50555555555553</v>
      </c>
      <c r="BK485" s="2126">
        <v>0</v>
      </c>
      <c r="BL485" s="2126">
        <v>0</v>
      </c>
      <c r="BM485" s="2126">
        <v>0</v>
      </c>
      <c r="BN485" s="2126">
        <v>0</v>
      </c>
      <c r="BO485" s="2126">
        <v>0</v>
      </c>
      <c r="BP485" s="2126">
        <v>0</v>
      </c>
      <c r="BQ485" s="2126">
        <v>0</v>
      </c>
      <c r="BR485" s="2126">
        <v>0</v>
      </c>
    </row>
    <row r="486" spans="1:70" s="1765" customFormat="1" ht="49.5">
      <c r="A486" s="1272">
        <v>3000</v>
      </c>
      <c r="B486" s="971" t="s">
        <v>1072</v>
      </c>
      <c r="C486" s="1272">
        <v>3100</v>
      </c>
      <c r="D486" s="971" t="s">
        <v>120</v>
      </c>
      <c r="E486" s="971" t="s">
        <v>1073</v>
      </c>
      <c r="F486" s="971" t="s">
        <v>122</v>
      </c>
      <c r="G486" s="971" t="s">
        <v>1112</v>
      </c>
      <c r="H486" s="971" t="s">
        <v>1113</v>
      </c>
      <c r="I486" s="1273" t="s">
        <v>1120</v>
      </c>
      <c r="J486" s="971" t="s">
        <v>124</v>
      </c>
      <c r="K486" s="971" t="s">
        <v>125</v>
      </c>
      <c r="L486" s="971" t="s">
        <v>2868</v>
      </c>
      <c r="M486" s="971" t="s">
        <v>126</v>
      </c>
      <c r="N486" s="971" t="s">
        <v>127</v>
      </c>
      <c r="O486" s="971" t="s">
        <v>128</v>
      </c>
      <c r="P486" s="971"/>
      <c r="Q486" s="971" t="s">
        <v>1121</v>
      </c>
      <c r="R486" s="1266" t="s">
        <v>1122</v>
      </c>
      <c r="S486" s="2106">
        <v>14.869888475836431</v>
      </c>
      <c r="T486" s="1266" t="s">
        <v>136</v>
      </c>
      <c r="U486" s="1742">
        <v>0.11208333333333333</v>
      </c>
      <c r="V486" s="1742">
        <v>1.4010416666666667</v>
      </c>
      <c r="W486" s="1742">
        <v>9.8790250000000004</v>
      </c>
      <c r="X486" s="1742">
        <v>15.452929166666667</v>
      </c>
      <c r="Y486" s="2106">
        <v>26.73299583333333</v>
      </c>
      <c r="Z486" s="2106">
        <v>1.6666666666666665</v>
      </c>
      <c r="AA486" s="2106">
        <v>20.833333333333336</v>
      </c>
      <c r="AB486" s="2106">
        <v>146.9</v>
      </c>
      <c r="AC486" s="2106">
        <v>229.78333333333333</v>
      </c>
      <c r="AD486" s="1744">
        <v>397.51666666666665</v>
      </c>
      <c r="AE486" s="2126">
        <v>1</v>
      </c>
      <c r="AF486" s="2126">
        <v>14.869888475836431</v>
      </c>
      <c r="AG486" s="1212">
        <v>1</v>
      </c>
      <c r="AH486" s="1212">
        <v>0</v>
      </c>
      <c r="AI486" s="1212">
        <v>0</v>
      </c>
      <c r="AJ486" s="1212">
        <v>1</v>
      </c>
      <c r="AK486" s="2126">
        <v>397.51666666666665</v>
      </c>
      <c r="AL486" s="2126">
        <v>0</v>
      </c>
      <c r="AM486" s="2126">
        <v>0</v>
      </c>
      <c r="AN486" s="2126">
        <v>397.51666666666665</v>
      </c>
      <c r="AO486" s="1743" t="s">
        <v>85</v>
      </c>
      <c r="AP486" s="1743"/>
      <c r="AQ486" s="1764">
        <v>2014</v>
      </c>
      <c r="AR486" s="1743" t="s">
        <v>87</v>
      </c>
      <c r="AS486" s="2135"/>
      <c r="AT486" s="2135"/>
      <c r="AU486" s="1212">
        <v>0.33333333333333331</v>
      </c>
      <c r="AV486" s="1212">
        <v>0.33333333333333331</v>
      </c>
      <c r="AW486" s="1212">
        <v>0.33333333333333331</v>
      </c>
      <c r="AX486" s="1212"/>
      <c r="AY486" s="1212"/>
      <c r="AZ486" s="1212"/>
      <c r="BA486" s="1212"/>
      <c r="BB486" s="1212"/>
      <c r="BC486" s="1212"/>
      <c r="BD486" s="1212"/>
      <c r="BE486" s="1212"/>
      <c r="BF486" s="2126">
        <v>0</v>
      </c>
      <c r="BG486" s="2126">
        <v>0</v>
      </c>
      <c r="BH486" s="2126">
        <v>132.50555555555553</v>
      </c>
      <c r="BI486" s="2126">
        <v>132.50555555555553</v>
      </c>
      <c r="BJ486" s="2126">
        <v>132.50555555555553</v>
      </c>
      <c r="BK486" s="2126">
        <v>0</v>
      </c>
      <c r="BL486" s="2126">
        <v>0</v>
      </c>
      <c r="BM486" s="2126">
        <v>0</v>
      </c>
      <c r="BN486" s="2126">
        <v>0</v>
      </c>
      <c r="BO486" s="2126">
        <v>0</v>
      </c>
      <c r="BP486" s="2126">
        <v>0</v>
      </c>
      <c r="BQ486" s="2126">
        <v>0</v>
      </c>
      <c r="BR486" s="2126">
        <v>0</v>
      </c>
    </row>
    <row r="487" spans="1:70" s="1765" customFormat="1" ht="49.5">
      <c r="A487" s="1272">
        <v>3000</v>
      </c>
      <c r="B487" s="971" t="s">
        <v>1072</v>
      </c>
      <c r="C487" s="1272">
        <v>3100</v>
      </c>
      <c r="D487" s="971" t="s">
        <v>120</v>
      </c>
      <c r="E487" s="971" t="s">
        <v>1073</v>
      </c>
      <c r="F487" s="971" t="s">
        <v>122</v>
      </c>
      <c r="G487" s="971" t="s">
        <v>1112</v>
      </c>
      <c r="H487" s="971" t="s">
        <v>1113</v>
      </c>
      <c r="I487" s="1273" t="s">
        <v>1123</v>
      </c>
      <c r="J487" s="971" t="s">
        <v>124</v>
      </c>
      <c r="K487" s="971" t="s">
        <v>125</v>
      </c>
      <c r="L487" s="971" t="s">
        <v>2868</v>
      </c>
      <c r="M487" s="971" t="s">
        <v>126</v>
      </c>
      <c r="N487" s="971" t="s">
        <v>127</v>
      </c>
      <c r="O487" s="971" t="s">
        <v>128</v>
      </c>
      <c r="P487" s="971"/>
      <c r="Q487" s="971" t="s">
        <v>1124</v>
      </c>
      <c r="R487" s="1266" t="s">
        <v>1125</v>
      </c>
      <c r="S487" s="2106">
        <v>14.869888475836431</v>
      </c>
      <c r="T487" s="1266" t="s">
        <v>136</v>
      </c>
      <c r="U487" s="1742">
        <v>0.11208333333333333</v>
      </c>
      <c r="V487" s="1742">
        <v>1.4010416666666667</v>
      </c>
      <c r="W487" s="1742">
        <v>9.8790250000000004</v>
      </c>
      <c r="X487" s="1742">
        <v>15.452929166666667</v>
      </c>
      <c r="Y487" s="2106">
        <v>26.73299583333333</v>
      </c>
      <c r="Z487" s="2106">
        <v>1.6666666666666665</v>
      </c>
      <c r="AA487" s="2106">
        <v>20.833333333333336</v>
      </c>
      <c r="AB487" s="2106">
        <v>146.9</v>
      </c>
      <c r="AC487" s="2106">
        <v>229.78333333333333</v>
      </c>
      <c r="AD487" s="1744">
        <v>397.51666666666665</v>
      </c>
      <c r="AE487" s="2126">
        <v>1</v>
      </c>
      <c r="AF487" s="2126">
        <v>14.869888475836431</v>
      </c>
      <c r="AG487" s="1212">
        <v>1</v>
      </c>
      <c r="AH487" s="1212">
        <v>0</v>
      </c>
      <c r="AI487" s="1212">
        <v>0</v>
      </c>
      <c r="AJ487" s="1212">
        <v>1</v>
      </c>
      <c r="AK487" s="2126">
        <v>397.51666666666665</v>
      </c>
      <c r="AL487" s="2126">
        <v>0</v>
      </c>
      <c r="AM487" s="2126">
        <v>0</v>
      </c>
      <c r="AN487" s="2126">
        <v>397.51666666666665</v>
      </c>
      <c r="AO487" s="1743" t="s">
        <v>85</v>
      </c>
      <c r="AP487" s="1743"/>
      <c r="AQ487" s="1764">
        <v>2014</v>
      </c>
      <c r="AR487" s="1743" t="s">
        <v>87</v>
      </c>
      <c r="AS487" s="2135"/>
      <c r="AT487" s="2135"/>
      <c r="AU487" s="1212">
        <v>0.33333333333333331</v>
      </c>
      <c r="AV487" s="1212">
        <v>0.33333333333333331</v>
      </c>
      <c r="AW487" s="1212">
        <v>0.33333333333333331</v>
      </c>
      <c r="AX487" s="1212"/>
      <c r="AY487" s="1212"/>
      <c r="AZ487" s="1212"/>
      <c r="BA487" s="1212"/>
      <c r="BB487" s="1212"/>
      <c r="BC487" s="1212"/>
      <c r="BD487" s="1212"/>
      <c r="BE487" s="1212"/>
      <c r="BF487" s="2126">
        <v>0</v>
      </c>
      <c r="BG487" s="2126">
        <v>0</v>
      </c>
      <c r="BH487" s="2126">
        <v>132.50555555555553</v>
      </c>
      <c r="BI487" s="2126">
        <v>132.50555555555553</v>
      </c>
      <c r="BJ487" s="2126">
        <v>132.50555555555553</v>
      </c>
      <c r="BK487" s="2126">
        <v>0</v>
      </c>
      <c r="BL487" s="2126">
        <v>0</v>
      </c>
      <c r="BM487" s="2126">
        <v>0</v>
      </c>
      <c r="BN487" s="2126">
        <v>0</v>
      </c>
      <c r="BO487" s="2126">
        <v>0</v>
      </c>
      <c r="BP487" s="2126">
        <v>0</v>
      </c>
      <c r="BQ487" s="2126">
        <v>0</v>
      </c>
      <c r="BR487" s="2126">
        <v>0</v>
      </c>
    </row>
    <row r="488" spans="1:70" s="1765" customFormat="1" ht="49.5">
      <c r="A488" s="1272">
        <v>3000</v>
      </c>
      <c r="B488" s="971" t="s">
        <v>1072</v>
      </c>
      <c r="C488" s="1272">
        <v>3100</v>
      </c>
      <c r="D488" s="971" t="s">
        <v>120</v>
      </c>
      <c r="E488" s="971" t="s">
        <v>1073</v>
      </c>
      <c r="F488" s="971" t="s">
        <v>122</v>
      </c>
      <c r="G488" s="971" t="s">
        <v>1112</v>
      </c>
      <c r="H488" s="971" t="s">
        <v>1113</v>
      </c>
      <c r="I488" s="1273" t="s">
        <v>1126</v>
      </c>
      <c r="J488" s="971" t="s">
        <v>124</v>
      </c>
      <c r="K488" s="971" t="s">
        <v>140</v>
      </c>
      <c r="L488" s="971" t="s">
        <v>2909</v>
      </c>
      <c r="M488" s="971" t="s">
        <v>140</v>
      </c>
      <c r="N488" s="971" t="s">
        <v>141</v>
      </c>
      <c r="O488" s="971" t="s">
        <v>142</v>
      </c>
      <c r="P488" s="971"/>
      <c r="Q488" s="971" t="s">
        <v>1127</v>
      </c>
      <c r="R488" s="1266" t="s">
        <v>1116</v>
      </c>
      <c r="S488" s="2106">
        <v>14.869888475836431</v>
      </c>
      <c r="T488" s="1266" t="s">
        <v>136</v>
      </c>
      <c r="U488" s="1742">
        <v>0</v>
      </c>
      <c r="V488" s="1742">
        <v>0</v>
      </c>
      <c r="W488" s="1742">
        <v>0</v>
      </c>
      <c r="X488" s="1742">
        <v>0</v>
      </c>
      <c r="Y488" s="2106">
        <v>0</v>
      </c>
      <c r="Z488" s="2106">
        <v>0</v>
      </c>
      <c r="AA488" s="2106">
        <v>0</v>
      </c>
      <c r="AB488" s="2106">
        <v>0</v>
      </c>
      <c r="AC488" s="2106">
        <v>0</v>
      </c>
      <c r="AD488" s="1744">
        <v>0</v>
      </c>
      <c r="AE488" s="2126">
        <v>0</v>
      </c>
      <c r="AF488" s="2126">
        <v>0</v>
      </c>
      <c r="AG488" s="1212">
        <v>1</v>
      </c>
      <c r="AH488" s="1212">
        <v>0</v>
      </c>
      <c r="AI488" s="1212">
        <v>0</v>
      </c>
      <c r="AJ488" s="1212">
        <v>1</v>
      </c>
      <c r="AK488" s="2126">
        <v>0</v>
      </c>
      <c r="AL488" s="2126">
        <v>0</v>
      </c>
      <c r="AM488" s="2126">
        <v>0</v>
      </c>
      <c r="AN488" s="2126">
        <v>0</v>
      </c>
      <c r="AO488" s="1743" t="s">
        <v>85</v>
      </c>
      <c r="AP488" s="1743"/>
      <c r="AQ488" s="1764">
        <v>2014</v>
      </c>
      <c r="AR488" s="1743" t="s">
        <v>87</v>
      </c>
      <c r="AS488" s="2135"/>
      <c r="AT488" s="2135"/>
      <c r="AU488" s="1212">
        <v>0.33333333333333331</v>
      </c>
      <c r="AV488" s="1212">
        <v>0.33333333333333331</v>
      </c>
      <c r="AW488" s="1212">
        <v>0.33333333333333331</v>
      </c>
      <c r="AX488" s="1212"/>
      <c r="AY488" s="1212"/>
      <c r="AZ488" s="1212"/>
      <c r="BA488" s="1212"/>
      <c r="BB488" s="1212"/>
      <c r="BC488" s="1212"/>
      <c r="BD488" s="1212"/>
      <c r="BE488" s="1212"/>
      <c r="BF488" s="2126">
        <v>0</v>
      </c>
      <c r="BG488" s="2126">
        <v>0</v>
      </c>
      <c r="BH488" s="2126">
        <v>0</v>
      </c>
      <c r="BI488" s="2126">
        <v>0</v>
      </c>
      <c r="BJ488" s="2126">
        <v>0</v>
      </c>
      <c r="BK488" s="2126">
        <v>0</v>
      </c>
      <c r="BL488" s="2126">
        <v>0</v>
      </c>
      <c r="BM488" s="2126">
        <v>0</v>
      </c>
      <c r="BN488" s="2126">
        <v>0</v>
      </c>
      <c r="BO488" s="2126">
        <v>0</v>
      </c>
      <c r="BP488" s="2126">
        <v>0</v>
      </c>
      <c r="BQ488" s="2126">
        <v>0</v>
      </c>
      <c r="BR488" s="2126">
        <v>0</v>
      </c>
    </row>
    <row r="489" spans="1:70" s="1765" customFormat="1" ht="49.5">
      <c r="A489" s="1272">
        <v>3000</v>
      </c>
      <c r="B489" s="971" t="s">
        <v>1072</v>
      </c>
      <c r="C489" s="1272">
        <v>3100</v>
      </c>
      <c r="D489" s="971" t="s">
        <v>120</v>
      </c>
      <c r="E489" s="971" t="s">
        <v>1073</v>
      </c>
      <c r="F489" s="971" t="s">
        <v>122</v>
      </c>
      <c r="G489" s="971" t="s">
        <v>1112</v>
      </c>
      <c r="H489" s="971" t="s">
        <v>1113</v>
      </c>
      <c r="I489" s="1273" t="s">
        <v>1128</v>
      </c>
      <c r="J489" s="971" t="s">
        <v>124</v>
      </c>
      <c r="K489" s="971"/>
      <c r="L489" s="971" t="e">
        <v>#N/A</v>
      </c>
      <c r="M489" s="971" t="s">
        <v>145</v>
      </c>
      <c r="N489" s="971" t="s">
        <v>141</v>
      </c>
      <c r="O489" s="971" t="s">
        <v>146</v>
      </c>
      <c r="P489" s="971"/>
      <c r="Q489" s="971" t="s">
        <v>1129</v>
      </c>
      <c r="R489" s="1266" t="s">
        <v>1116</v>
      </c>
      <c r="S489" s="2106">
        <v>14.869888475836431</v>
      </c>
      <c r="T489" s="1266" t="s">
        <v>136</v>
      </c>
      <c r="U489" s="1742" t="s">
        <v>6588</v>
      </c>
      <c r="V489" s="1742" t="s">
        <v>6588</v>
      </c>
      <c r="W489" s="1742" t="s">
        <v>6588</v>
      </c>
      <c r="X489" s="1742" t="s">
        <v>6588</v>
      </c>
      <c r="Y489" s="2106" t="s">
        <v>6588</v>
      </c>
      <c r="Z489" s="2106">
        <v>0</v>
      </c>
      <c r="AA489" s="2106">
        <v>0</v>
      </c>
      <c r="AB489" s="2106">
        <v>0</v>
      </c>
      <c r="AC489" s="2106">
        <v>0</v>
      </c>
      <c r="AD489" s="1744">
        <v>0</v>
      </c>
      <c r="AE489" s="2126">
        <v>0</v>
      </c>
      <c r="AF489" s="2126">
        <v>0</v>
      </c>
      <c r="AG489" s="1212">
        <v>1</v>
      </c>
      <c r="AH489" s="1212">
        <v>0</v>
      </c>
      <c r="AI489" s="1212">
        <v>0</v>
      </c>
      <c r="AJ489" s="1212">
        <v>1</v>
      </c>
      <c r="AK489" s="2126">
        <v>0</v>
      </c>
      <c r="AL489" s="2126">
        <v>0</v>
      </c>
      <c r="AM489" s="2126">
        <v>0</v>
      </c>
      <c r="AN489" s="2126">
        <v>0</v>
      </c>
      <c r="AO489" s="1743" t="s">
        <v>85</v>
      </c>
      <c r="AP489" s="1743"/>
      <c r="AQ489" s="1764">
        <v>2014</v>
      </c>
      <c r="AR489" s="1743" t="s">
        <v>87</v>
      </c>
      <c r="AS489" s="2135"/>
      <c r="AT489" s="2135"/>
      <c r="AU489" s="1212">
        <v>0.33333333333333331</v>
      </c>
      <c r="AV489" s="1212">
        <v>0.33333333333333331</v>
      </c>
      <c r="AW489" s="1212">
        <v>0.33333333333333331</v>
      </c>
      <c r="AX489" s="1212"/>
      <c r="AY489" s="1212"/>
      <c r="AZ489" s="1212"/>
      <c r="BA489" s="1212"/>
      <c r="BB489" s="1212"/>
      <c r="BC489" s="1212"/>
      <c r="BD489" s="1212"/>
      <c r="BE489" s="1212"/>
      <c r="BF489" s="2126">
        <v>0</v>
      </c>
      <c r="BG489" s="2126">
        <v>0</v>
      </c>
      <c r="BH489" s="2126">
        <v>0</v>
      </c>
      <c r="BI489" s="2126">
        <v>0</v>
      </c>
      <c r="BJ489" s="2126">
        <v>0</v>
      </c>
      <c r="BK489" s="2126">
        <v>0</v>
      </c>
      <c r="BL489" s="2126">
        <v>0</v>
      </c>
      <c r="BM489" s="2126">
        <v>0</v>
      </c>
      <c r="BN489" s="2126">
        <v>0</v>
      </c>
      <c r="BO489" s="2126">
        <v>0</v>
      </c>
      <c r="BP489" s="2126">
        <v>0</v>
      </c>
      <c r="BQ489" s="2126">
        <v>0</v>
      </c>
      <c r="BR489" s="2126">
        <v>0</v>
      </c>
    </row>
    <row r="490" spans="1:70" s="1765" customFormat="1" ht="49.5">
      <c r="A490" s="1272">
        <v>3000</v>
      </c>
      <c r="B490" s="971" t="s">
        <v>1072</v>
      </c>
      <c r="C490" s="1272">
        <v>3100</v>
      </c>
      <c r="D490" s="971" t="s">
        <v>120</v>
      </c>
      <c r="E490" s="971" t="s">
        <v>1073</v>
      </c>
      <c r="F490" s="971" t="s">
        <v>122</v>
      </c>
      <c r="G490" s="971" t="s">
        <v>1112</v>
      </c>
      <c r="H490" s="971" t="s">
        <v>1113</v>
      </c>
      <c r="I490" s="1273" t="s">
        <v>1130</v>
      </c>
      <c r="J490" s="971" t="s">
        <v>124</v>
      </c>
      <c r="K490" s="971" t="s">
        <v>140</v>
      </c>
      <c r="L490" s="971" t="s">
        <v>2909</v>
      </c>
      <c r="M490" s="971" t="s">
        <v>140</v>
      </c>
      <c r="N490" s="971" t="s">
        <v>141</v>
      </c>
      <c r="O490" s="971" t="s">
        <v>142</v>
      </c>
      <c r="P490" s="971"/>
      <c r="Q490" s="971" t="s">
        <v>1131</v>
      </c>
      <c r="R490" s="1266" t="s">
        <v>1119</v>
      </c>
      <c r="S490" s="2106">
        <v>14.869888475836431</v>
      </c>
      <c r="T490" s="1266" t="s">
        <v>136</v>
      </c>
      <c r="U490" s="1742">
        <v>0</v>
      </c>
      <c r="V490" s="1742">
        <v>0</v>
      </c>
      <c r="W490" s="1742">
        <v>0</v>
      </c>
      <c r="X490" s="1742">
        <v>0</v>
      </c>
      <c r="Y490" s="2106">
        <v>0</v>
      </c>
      <c r="Z490" s="2106">
        <v>0</v>
      </c>
      <c r="AA490" s="2106">
        <v>0</v>
      </c>
      <c r="AB490" s="2106">
        <v>0</v>
      </c>
      <c r="AC490" s="2106">
        <v>0</v>
      </c>
      <c r="AD490" s="1744">
        <v>0</v>
      </c>
      <c r="AE490" s="2126">
        <v>0</v>
      </c>
      <c r="AF490" s="2126">
        <v>0</v>
      </c>
      <c r="AG490" s="1212">
        <v>1</v>
      </c>
      <c r="AH490" s="1212">
        <v>0</v>
      </c>
      <c r="AI490" s="1212">
        <v>0</v>
      </c>
      <c r="AJ490" s="1212">
        <v>1</v>
      </c>
      <c r="AK490" s="2126">
        <v>0</v>
      </c>
      <c r="AL490" s="2126">
        <v>0</v>
      </c>
      <c r="AM490" s="2126">
        <v>0</v>
      </c>
      <c r="AN490" s="2126">
        <v>0</v>
      </c>
      <c r="AO490" s="1743" t="s">
        <v>85</v>
      </c>
      <c r="AP490" s="1743"/>
      <c r="AQ490" s="1764">
        <v>2014</v>
      </c>
      <c r="AR490" s="1743" t="s">
        <v>87</v>
      </c>
      <c r="AS490" s="2135"/>
      <c r="AT490" s="2135"/>
      <c r="AU490" s="1212">
        <v>0.33333333333333331</v>
      </c>
      <c r="AV490" s="1212">
        <v>0.33333333333333331</v>
      </c>
      <c r="AW490" s="1212">
        <v>0.33333333333333331</v>
      </c>
      <c r="AX490" s="1212"/>
      <c r="AY490" s="1212"/>
      <c r="AZ490" s="1212"/>
      <c r="BA490" s="1212"/>
      <c r="BB490" s="1212"/>
      <c r="BC490" s="1212"/>
      <c r="BD490" s="1212"/>
      <c r="BE490" s="1212"/>
      <c r="BF490" s="2126">
        <v>0</v>
      </c>
      <c r="BG490" s="2126">
        <v>0</v>
      </c>
      <c r="BH490" s="2126">
        <v>0</v>
      </c>
      <c r="BI490" s="2126">
        <v>0</v>
      </c>
      <c r="BJ490" s="2126">
        <v>0</v>
      </c>
      <c r="BK490" s="2126">
        <v>0</v>
      </c>
      <c r="BL490" s="2126">
        <v>0</v>
      </c>
      <c r="BM490" s="2126">
        <v>0</v>
      </c>
      <c r="BN490" s="2126">
        <v>0</v>
      </c>
      <c r="BO490" s="2126">
        <v>0</v>
      </c>
      <c r="BP490" s="2126">
        <v>0</v>
      </c>
      <c r="BQ490" s="2126">
        <v>0</v>
      </c>
      <c r="BR490" s="2126">
        <v>0</v>
      </c>
    </row>
    <row r="491" spans="1:70" s="1765" customFormat="1" ht="49.5">
      <c r="A491" s="1272">
        <v>3000</v>
      </c>
      <c r="B491" s="971" t="s">
        <v>1072</v>
      </c>
      <c r="C491" s="1272">
        <v>3100</v>
      </c>
      <c r="D491" s="971" t="s">
        <v>120</v>
      </c>
      <c r="E491" s="971" t="s">
        <v>1073</v>
      </c>
      <c r="F491" s="971" t="s">
        <v>122</v>
      </c>
      <c r="G491" s="971" t="s">
        <v>1112</v>
      </c>
      <c r="H491" s="971" t="s">
        <v>1113</v>
      </c>
      <c r="I491" s="1273" t="s">
        <v>1132</v>
      </c>
      <c r="J491" s="971" t="s">
        <v>124</v>
      </c>
      <c r="K491" s="971"/>
      <c r="L491" s="971" t="e">
        <v>#N/A</v>
      </c>
      <c r="M491" s="971" t="s">
        <v>145</v>
      </c>
      <c r="N491" s="971" t="s">
        <v>141</v>
      </c>
      <c r="O491" s="971" t="s">
        <v>146</v>
      </c>
      <c r="P491" s="971"/>
      <c r="Q491" s="971" t="s">
        <v>1133</v>
      </c>
      <c r="R491" s="1266" t="s">
        <v>1119</v>
      </c>
      <c r="S491" s="2106">
        <v>14.869888475836431</v>
      </c>
      <c r="T491" s="1266" t="s">
        <v>136</v>
      </c>
      <c r="U491" s="1742" t="s">
        <v>6588</v>
      </c>
      <c r="V491" s="1742" t="s">
        <v>6588</v>
      </c>
      <c r="W491" s="1742" t="s">
        <v>6588</v>
      </c>
      <c r="X491" s="1742" t="s">
        <v>6588</v>
      </c>
      <c r="Y491" s="2106" t="s">
        <v>6588</v>
      </c>
      <c r="Z491" s="2106">
        <v>0</v>
      </c>
      <c r="AA491" s="2106">
        <v>0</v>
      </c>
      <c r="AB491" s="2106">
        <v>0</v>
      </c>
      <c r="AC491" s="2106">
        <v>0</v>
      </c>
      <c r="AD491" s="1744">
        <v>0</v>
      </c>
      <c r="AE491" s="2126">
        <v>0</v>
      </c>
      <c r="AF491" s="2126">
        <v>0</v>
      </c>
      <c r="AG491" s="1212">
        <v>1</v>
      </c>
      <c r="AH491" s="1212">
        <v>0</v>
      </c>
      <c r="AI491" s="1212">
        <v>0</v>
      </c>
      <c r="AJ491" s="1212">
        <v>1</v>
      </c>
      <c r="AK491" s="2126">
        <v>0</v>
      </c>
      <c r="AL491" s="2126">
        <v>0</v>
      </c>
      <c r="AM491" s="2126">
        <v>0</v>
      </c>
      <c r="AN491" s="2126">
        <v>0</v>
      </c>
      <c r="AO491" s="1743" t="s">
        <v>85</v>
      </c>
      <c r="AP491" s="1743"/>
      <c r="AQ491" s="1764">
        <v>2014</v>
      </c>
      <c r="AR491" s="1743" t="s">
        <v>87</v>
      </c>
      <c r="AS491" s="2135"/>
      <c r="AT491" s="2135"/>
      <c r="AU491" s="1212">
        <v>0.33333333333333331</v>
      </c>
      <c r="AV491" s="1212">
        <v>0.33333333333333331</v>
      </c>
      <c r="AW491" s="1212">
        <v>0.33333333333333331</v>
      </c>
      <c r="AX491" s="1212"/>
      <c r="AY491" s="1212"/>
      <c r="AZ491" s="1212"/>
      <c r="BA491" s="1212"/>
      <c r="BB491" s="1212"/>
      <c r="BC491" s="1212"/>
      <c r="BD491" s="1212"/>
      <c r="BE491" s="1212"/>
      <c r="BF491" s="2126">
        <v>0</v>
      </c>
      <c r="BG491" s="2126">
        <v>0</v>
      </c>
      <c r="BH491" s="2126">
        <v>0</v>
      </c>
      <c r="BI491" s="2126">
        <v>0</v>
      </c>
      <c r="BJ491" s="2126">
        <v>0</v>
      </c>
      <c r="BK491" s="2126">
        <v>0</v>
      </c>
      <c r="BL491" s="2126">
        <v>0</v>
      </c>
      <c r="BM491" s="2126">
        <v>0</v>
      </c>
      <c r="BN491" s="2126">
        <v>0</v>
      </c>
      <c r="BO491" s="2126">
        <v>0</v>
      </c>
      <c r="BP491" s="2126">
        <v>0</v>
      </c>
      <c r="BQ491" s="2126">
        <v>0</v>
      </c>
      <c r="BR491" s="2126">
        <v>0</v>
      </c>
    </row>
    <row r="492" spans="1:70" s="1765" customFormat="1" ht="49.5">
      <c r="A492" s="1272">
        <v>3000</v>
      </c>
      <c r="B492" s="971" t="s">
        <v>1072</v>
      </c>
      <c r="C492" s="1272">
        <v>3100</v>
      </c>
      <c r="D492" s="971" t="s">
        <v>120</v>
      </c>
      <c r="E492" s="971" t="s">
        <v>1073</v>
      </c>
      <c r="F492" s="971" t="s">
        <v>122</v>
      </c>
      <c r="G492" s="971" t="s">
        <v>1112</v>
      </c>
      <c r="H492" s="971" t="s">
        <v>1113</v>
      </c>
      <c r="I492" s="1273" t="s">
        <v>1134</v>
      </c>
      <c r="J492" s="971" t="s">
        <v>124</v>
      </c>
      <c r="K492" s="971" t="s">
        <v>140</v>
      </c>
      <c r="L492" s="971" t="s">
        <v>2909</v>
      </c>
      <c r="M492" s="971" t="s">
        <v>140</v>
      </c>
      <c r="N492" s="971" t="s">
        <v>141</v>
      </c>
      <c r="O492" s="971" t="s">
        <v>142</v>
      </c>
      <c r="P492" s="971"/>
      <c r="Q492" s="971" t="s">
        <v>1135</v>
      </c>
      <c r="R492" s="1266" t="s">
        <v>1122</v>
      </c>
      <c r="S492" s="2106">
        <v>14.869888475836431</v>
      </c>
      <c r="T492" s="1266" t="s">
        <v>136</v>
      </c>
      <c r="U492" s="1742">
        <v>0</v>
      </c>
      <c r="V492" s="1742">
        <v>0</v>
      </c>
      <c r="W492" s="1742">
        <v>0</v>
      </c>
      <c r="X492" s="1742">
        <v>0</v>
      </c>
      <c r="Y492" s="2106">
        <v>0</v>
      </c>
      <c r="Z492" s="2106">
        <v>0</v>
      </c>
      <c r="AA492" s="2106">
        <v>0</v>
      </c>
      <c r="AB492" s="2106">
        <v>0</v>
      </c>
      <c r="AC492" s="2106">
        <v>0</v>
      </c>
      <c r="AD492" s="1744">
        <v>0</v>
      </c>
      <c r="AE492" s="2126">
        <v>0</v>
      </c>
      <c r="AF492" s="2126">
        <v>0</v>
      </c>
      <c r="AG492" s="1212">
        <v>1</v>
      </c>
      <c r="AH492" s="1212">
        <v>0</v>
      </c>
      <c r="AI492" s="1212">
        <v>0</v>
      </c>
      <c r="AJ492" s="1212">
        <v>1</v>
      </c>
      <c r="AK492" s="2126">
        <v>0</v>
      </c>
      <c r="AL492" s="2126">
        <v>0</v>
      </c>
      <c r="AM492" s="2126">
        <v>0</v>
      </c>
      <c r="AN492" s="2126">
        <v>0</v>
      </c>
      <c r="AO492" s="1743" t="s">
        <v>85</v>
      </c>
      <c r="AP492" s="1743"/>
      <c r="AQ492" s="1764">
        <v>2014</v>
      </c>
      <c r="AR492" s="1743" t="s">
        <v>87</v>
      </c>
      <c r="AS492" s="2135"/>
      <c r="AT492" s="2135"/>
      <c r="AU492" s="1212">
        <v>0.33333333333333331</v>
      </c>
      <c r="AV492" s="1212">
        <v>0.33333333333333331</v>
      </c>
      <c r="AW492" s="1212">
        <v>0.33333333333333331</v>
      </c>
      <c r="AX492" s="1212"/>
      <c r="AY492" s="1212"/>
      <c r="AZ492" s="1212"/>
      <c r="BA492" s="1212"/>
      <c r="BB492" s="1212"/>
      <c r="BC492" s="1212"/>
      <c r="BD492" s="1212"/>
      <c r="BE492" s="1212"/>
      <c r="BF492" s="2126">
        <v>0</v>
      </c>
      <c r="BG492" s="2126">
        <v>0</v>
      </c>
      <c r="BH492" s="2126">
        <v>0</v>
      </c>
      <c r="BI492" s="2126">
        <v>0</v>
      </c>
      <c r="BJ492" s="2126">
        <v>0</v>
      </c>
      <c r="BK492" s="2126">
        <v>0</v>
      </c>
      <c r="BL492" s="2126">
        <v>0</v>
      </c>
      <c r="BM492" s="2126">
        <v>0</v>
      </c>
      <c r="BN492" s="2126">
        <v>0</v>
      </c>
      <c r="BO492" s="2126">
        <v>0</v>
      </c>
      <c r="BP492" s="2126">
        <v>0</v>
      </c>
      <c r="BQ492" s="2126">
        <v>0</v>
      </c>
      <c r="BR492" s="2126">
        <v>0</v>
      </c>
    </row>
    <row r="493" spans="1:70" s="1765" customFormat="1" ht="49.5">
      <c r="A493" s="1272">
        <v>3000</v>
      </c>
      <c r="B493" s="971" t="s">
        <v>1072</v>
      </c>
      <c r="C493" s="1272">
        <v>3100</v>
      </c>
      <c r="D493" s="971" t="s">
        <v>120</v>
      </c>
      <c r="E493" s="971" t="s">
        <v>1073</v>
      </c>
      <c r="F493" s="971" t="s">
        <v>122</v>
      </c>
      <c r="G493" s="971" t="s">
        <v>1112</v>
      </c>
      <c r="H493" s="971" t="s">
        <v>1113</v>
      </c>
      <c r="I493" s="1273" t="s">
        <v>1136</v>
      </c>
      <c r="J493" s="971" t="s">
        <v>124</v>
      </c>
      <c r="K493" s="971"/>
      <c r="L493" s="971" t="e">
        <v>#N/A</v>
      </c>
      <c r="M493" s="971" t="s">
        <v>145</v>
      </c>
      <c r="N493" s="971" t="s">
        <v>141</v>
      </c>
      <c r="O493" s="971" t="s">
        <v>146</v>
      </c>
      <c r="P493" s="971"/>
      <c r="Q493" s="971" t="s">
        <v>1137</v>
      </c>
      <c r="R493" s="1266" t="s">
        <v>1122</v>
      </c>
      <c r="S493" s="2106">
        <v>14.869888475836431</v>
      </c>
      <c r="T493" s="1266" t="s">
        <v>136</v>
      </c>
      <c r="U493" s="1742" t="s">
        <v>6588</v>
      </c>
      <c r="V493" s="1742" t="s">
        <v>6588</v>
      </c>
      <c r="W493" s="1742" t="s">
        <v>6588</v>
      </c>
      <c r="X493" s="1742" t="s">
        <v>6588</v>
      </c>
      <c r="Y493" s="2106" t="s">
        <v>6588</v>
      </c>
      <c r="Z493" s="2106">
        <v>0</v>
      </c>
      <c r="AA493" s="2106">
        <v>0</v>
      </c>
      <c r="AB493" s="2106">
        <v>0</v>
      </c>
      <c r="AC493" s="2106">
        <v>0</v>
      </c>
      <c r="AD493" s="1744">
        <v>0</v>
      </c>
      <c r="AE493" s="2126">
        <v>0</v>
      </c>
      <c r="AF493" s="2126">
        <v>0</v>
      </c>
      <c r="AG493" s="1212">
        <v>1</v>
      </c>
      <c r="AH493" s="1212">
        <v>0</v>
      </c>
      <c r="AI493" s="1212">
        <v>0</v>
      </c>
      <c r="AJ493" s="1212">
        <v>1</v>
      </c>
      <c r="AK493" s="2126">
        <v>0</v>
      </c>
      <c r="AL493" s="2126">
        <v>0</v>
      </c>
      <c r="AM493" s="2126">
        <v>0</v>
      </c>
      <c r="AN493" s="2126">
        <v>0</v>
      </c>
      <c r="AO493" s="1743" t="s">
        <v>85</v>
      </c>
      <c r="AP493" s="1743"/>
      <c r="AQ493" s="1764">
        <v>2014</v>
      </c>
      <c r="AR493" s="1743" t="s">
        <v>87</v>
      </c>
      <c r="AS493" s="2135"/>
      <c r="AT493" s="2135"/>
      <c r="AU493" s="1212">
        <v>0.33333333333333331</v>
      </c>
      <c r="AV493" s="1212">
        <v>0.33333333333333331</v>
      </c>
      <c r="AW493" s="1212">
        <v>0.33333333333333331</v>
      </c>
      <c r="AX493" s="1212"/>
      <c r="AY493" s="1212"/>
      <c r="AZ493" s="1212"/>
      <c r="BA493" s="1212"/>
      <c r="BB493" s="1212"/>
      <c r="BC493" s="1212"/>
      <c r="BD493" s="1212"/>
      <c r="BE493" s="1212"/>
      <c r="BF493" s="2126">
        <v>0</v>
      </c>
      <c r="BG493" s="2126">
        <v>0</v>
      </c>
      <c r="BH493" s="2126">
        <v>0</v>
      </c>
      <c r="BI493" s="2126">
        <v>0</v>
      </c>
      <c r="BJ493" s="2126">
        <v>0</v>
      </c>
      <c r="BK493" s="2126">
        <v>0</v>
      </c>
      <c r="BL493" s="2126">
        <v>0</v>
      </c>
      <c r="BM493" s="2126">
        <v>0</v>
      </c>
      <c r="BN493" s="2126">
        <v>0</v>
      </c>
      <c r="BO493" s="2126">
        <v>0</v>
      </c>
      <c r="BP493" s="2126">
        <v>0</v>
      </c>
      <c r="BQ493" s="2126">
        <v>0</v>
      </c>
      <c r="BR493" s="2126">
        <v>0</v>
      </c>
    </row>
    <row r="494" spans="1:70" s="1765" customFormat="1" ht="49.5">
      <c r="A494" s="1272">
        <v>3000</v>
      </c>
      <c r="B494" s="971" t="s">
        <v>1072</v>
      </c>
      <c r="C494" s="1272">
        <v>3100</v>
      </c>
      <c r="D494" s="971" t="s">
        <v>120</v>
      </c>
      <c r="E494" s="971" t="s">
        <v>1073</v>
      </c>
      <c r="F494" s="971" t="s">
        <v>122</v>
      </c>
      <c r="G494" s="971" t="s">
        <v>1112</v>
      </c>
      <c r="H494" s="971" t="s">
        <v>1113</v>
      </c>
      <c r="I494" s="1273" t="s">
        <v>1138</v>
      </c>
      <c r="J494" s="971" t="s">
        <v>124</v>
      </c>
      <c r="K494" s="971" t="s">
        <v>140</v>
      </c>
      <c r="L494" s="971" t="s">
        <v>2909</v>
      </c>
      <c r="M494" s="971" t="s">
        <v>140</v>
      </c>
      <c r="N494" s="971" t="s">
        <v>141</v>
      </c>
      <c r="O494" s="971" t="s">
        <v>142</v>
      </c>
      <c r="P494" s="971"/>
      <c r="Q494" s="971" t="s">
        <v>1139</v>
      </c>
      <c r="R494" s="1266" t="s">
        <v>1125</v>
      </c>
      <c r="S494" s="2106">
        <v>14.869888475836431</v>
      </c>
      <c r="T494" s="1266" t="s">
        <v>136</v>
      </c>
      <c r="U494" s="1742">
        <v>0</v>
      </c>
      <c r="V494" s="1742">
        <v>0</v>
      </c>
      <c r="W494" s="1742">
        <v>0</v>
      </c>
      <c r="X494" s="1742">
        <v>0</v>
      </c>
      <c r="Y494" s="2106">
        <v>0</v>
      </c>
      <c r="Z494" s="2106">
        <v>0</v>
      </c>
      <c r="AA494" s="2106">
        <v>0</v>
      </c>
      <c r="AB494" s="2106">
        <v>0</v>
      </c>
      <c r="AC494" s="2106">
        <v>0</v>
      </c>
      <c r="AD494" s="1744">
        <v>0</v>
      </c>
      <c r="AE494" s="2126">
        <v>0</v>
      </c>
      <c r="AF494" s="2126">
        <v>0</v>
      </c>
      <c r="AG494" s="1212">
        <v>1</v>
      </c>
      <c r="AH494" s="1212">
        <v>0</v>
      </c>
      <c r="AI494" s="1212">
        <v>0</v>
      </c>
      <c r="AJ494" s="1212">
        <v>1</v>
      </c>
      <c r="AK494" s="2126">
        <v>0</v>
      </c>
      <c r="AL494" s="2126">
        <v>0</v>
      </c>
      <c r="AM494" s="2126">
        <v>0</v>
      </c>
      <c r="AN494" s="2126">
        <v>0</v>
      </c>
      <c r="AO494" s="1743" t="s">
        <v>85</v>
      </c>
      <c r="AP494" s="1743"/>
      <c r="AQ494" s="1764">
        <v>2014</v>
      </c>
      <c r="AR494" s="1743" t="s">
        <v>87</v>
      </c>
      <c r="AS494" s="2135"/>
      <c r="AT494" s="2135"/>
      <c r="AU494" s="1212">
        <v>0.33333333333333331</v>
      </c>
      <c r="AV494" s="1212">
        <v>0.33333333333333331</v>
      </c>
      <c r="AW494" s="1212">
        <v>0.33333333333333331</v>
      </c>
      <c r="AX494" s="1212"/>
      <c r="AY494" s="1212"/>
      <c r="AZ494" s="1212"/>
      <c r="BA494" s="1212"/>
      <c r="BB494" s="1212"/>
      <c r="BC494" s="1212"/>
      <c r="BD494" s="1212"/>
      <c r="BE494" s="1212"/>
      <c r="BF494" s="2126">
        <v>0</v>
      </c>
      <c r="BG494" s="2126">
        <v>0</v>
      </c>
      <c r="BH494" s="2126">
        <v>0</v>
      </c>
      <c r="BI494" s="2126">
        <v>0</v>
      </c>
      <c r="BJ494" s="2126">
        <v>0</v>
      </c>
      <c r="BK494" s="2126">
        <v>0</v>
      </c>
      <c r="BL494" s="2126">
        <v>0</v>
      </c>
      <c r="BM494" s="2126">
        <v>0</v>
      </c>
      <c r="BN494" s="2126">
        <v>0</v>
      </c>
      <c r="BO494" s="2126">
        <v>0</v>
      </c>
      <c r="BP494" s="2126">
        <v>0</v>
      </c>
      <c r="BQ494" s="2126">
        <v>0</v>
      </c>
      <c r="BR494" s="2126">
        <v>0</v>
      </c>
    </row>
    <row r="495" spans="1:70" s="1765" customFormat="1" ht="49.5">
      <c r="A495" s="1272">
        <v>3000</v>
      </c>
      <c r="B495" s="971" t="s">
        <v>1072</v>
      </c>
      <c r="C495" s="1272">
        <v>3100</v>
      </c>
      <c r="D495" s="971" t="s">
        <v>120</v>
      </c>
      <c r="E495" s="971" t="s">
        <v>1073</v>
      </c>
      <c r="F495" s="971" t="s">
        <v>122</v>
      </c>
      <c r="G495" s="971" t="s">
        <v>1112</v>
      </c>
      <c r="H495" s="971" t="s">
        <v>1113</v>
      </c>
      <c r="I495" s="1273" t="s">
        <v>1140</v>
      </c>
      <c r="J495" s="971" t="s">
        <v>124</v>
      </c>
      <c r="K495" s="971"/>
      <c r="L495" s="971" t="e">
        <v>#N/A</v>
      </c>
      <c r="M495" s="971" t="s">
        <v>145</v>
      </c>
      <c r="N495" s="971" t="s">
        <v>141</v>
      </c>
      <c r="O495" s="971" t="s">
        <v>146</v>
      </c>
      <c r="P495" s="971"/>
      <c r="Q495" s="971" t="s">
        <v>1141</v>
      </c>
      <c r="R495" s="1266" t="s">
        <v>1125</v>
      </c>
      <c r="S495" s="2106">
        <v>14.869888475836431</v>
      </c>
      <c r="T495" s="1266" t="s">
        <v>136</v>
      </c>
      <c r="U495" s="1742" t="s">
        <v>6588</v>
      </c>
      <c r="V495" s="1742" t="s">
        <v>6588</v>
      </c>
      <c r="W495" s="1742" t="s">
        <v>6588</v>
      </c>
      <c r="X495" s="1742" t="s">
        <v>6588</v>
      </c>
      <c r="Y495" s="2106" t="s">
        <v>6588</v>
      </c>
      <c r="Z495" s="2106">
        <v>0</v>
      </c>
      <c r="AA495" s="2106">
        <v>0</v>
      </c>
      <c r="AB495" s="2106">
        <v>0</v>
      </c>
      <c r="AC495" s="2106">
        <v>0</v>
      </c>
      <c r="AD495" s="1744">
        <v>0</v>
      </c>
      <c r="AE495" s="2126">
        <v>0</v>
      </c>
      <c r="AF495" s="2126">
        <v>0</v>
      </c>
      <c r="AG495" s="1212">
        <v>1</v>
      </c>
      <c r="AH495" s="1212">
        <v>0</v>
      </c>
      <c r="AI495" s="1212">
        <v>0</v>
      </c>
      <c r="AJ495" s="1212">
        <v>1</v>
      </c>
      <c r="AK495" s="2126">
        <v>0</v>
      </c>
      <c r="AL495" s="2126">
        <v>0</v>
      </c>
      <c r="AM495" s="2126">
        <v>0</v>
      </c>
      <c r="AN495" s="2126">
        <v>0</v>
      </c>
      <c r="AO495" s="1743" t="s">
        <v>85</v>
      </c>
      <c r="AP495" s="1743"/>
      <c r="AQ495" s="1764">
        <v>2014</v>
      </c>
      <c r="AR495" s="1743" t="s">
        <v>87</v>
      </c>
      <c r="AS495" s="2135"/>
      <c r="AT495" s="2135"/>
      <c r="AU495" s="1212">
        <v>0.33333333333333331</v>
      </c>
      <c r="AV495" s="1212">
        <v>0.33333333333333331</v>
      </c>
      <c r="AW495" s="1212">
        <v>0.33333333333333331</v>
      </c>
      <c r="AX495" s="1212"/>
      <c r="AY495" s="1212"/>
      <c r="AZ495" s="1212"/>
      <c r="BA495" s="1212"/>
      <c r="BB495" s="1212"/>
      <c r="BC495" s="1212"/>
      <c r="BD495" s="1212"/>
      <c r="BE495" s="1212"/>
      <c r="BF495" s="2126">
        <v>0</v>
      </c>
      <c r="BG495" s="2126">
        <v>0</v>
      </c>
      <c r="BH495" s="2126">
        <v>0</v>
      </c>
      <c r="BI495" s="2126">
        <v>0</v>
      </c>
      <c r="BJ495" s="2126">
        <v>0</v>
      </c>
      <c r="BK495" s="2126">
        <v>0</v>
      </c>
      <c r="BL495" s="2126">
        <v>0</v>
      </c>
      <c r="BM495" s="2126">
        <v>0</v>
      </c>
      <c r="BN495" s="2126">
        <v>0</v>
      </c>
      <c r="BO495" s="2126">
        <v>0</v>
      </c>
      <c r="BP495" s="2126">
        <v>0</v>
      </c>
      <c r="BQ495" s="2126">
        <v>0</v>
      </c>
      <c r="BR495" s="2126">
        <v>0</v>
      </c>
    </row>
    <row r="496" spans="1:70" s="1765" customFormat="1" ht="49.5">
      <c r="A496" s="1272">
        <v>3000</v>
      </c>
      <c r="B496" s="971" t="s">
        <v>1072</v>
      </c>
      <c r="C496" s="1272">
        <v>3100</v>
      </c>
      <c r="D496" s="971" t="s">
        <v>120</v>
      </c>
      <c r="E496" s="971" t="s">
        <v>1073</v>
      </c>
      <c r="F496" s="971" t="s">
        <v>122</v>
      </c>
      <c r="G496" s="971" t="s">
        <v>1142</v>
      </c>
      <c r="H496" s="971" t="s">
        <v>1143</v>
      </c>
      <c r="I496" s="1273" t="s">
        <v>1144</v>
      </c>
      <c r="J496" s="971" t="s">
        <v>124</v>
      </c>
      <c r="K496" s="971" t="s">
        <v>125</v>
      </c>
      <c r="L496" s="971" t="s">
        <v>2868</v>
      </c>
      <c r="M496" s="971" t="s">
        <v>126</v>
      </c>
      <c r="N496" s="971" t="s">
        <v>127</v>
      </c>
      <c r="O496" s="971" t="s">
        <v>128</v>
      </c>
      <c r="P496" s="971"/>
      <c r="Q496" s="971" t="s">
        <v>1145</v>
      </c>
      <c r="R496" s="1266" t="s">
        <v>1146</v>
      </c>
      <c r="S496" s="2106">
        <v>14.869888475836431</v>
      </c>
      <c r="T496" s="1266" t="s">
        <v>136</v>
      </c>
      <c r="U496" s="1742">
        <v>0.11208333333333333</v>
      </c>
      <c r="V496" s="1742">
        <v>1.4010416666666667</v>
      </c>
      <c r="W496" s="1742">
        <v>9.8790250000000004</v>
      </c>
      <c r="X496" s="1742">
        <v>15.452929166666667</v>
      </c>
      <c r="Y496" s="2106">
        <v>26.73299583333333</v>
      </c>
      <c r="Z496" s="2106">
        <v>1.6666666666666665</v>
      </c>
      <c r="AA496" s="2106">
        <v>20.833333333333336</v>
      </c>
      <c r="AB496" s="2106">
        <v>146.9</v>
      </c>
      <c r="AC496" s="2106">
        <v>229.78333333333333</v>
      </c>
      <c r="AD496" s="1744">
        <v>397.51666666666665</v>
      </c>
      <c r="AE496" s="2126">
        <v>1</v>
      </c>
      <c r="AF496" s="2126">
        <v>14.869888475836431</v>
      </c>
      <c r="AG496" s="1212">
        <v>1</v>
      </c>
      <c r="AH496" s="1212">
        <v>0</v>
      </c>
      <c r="AI496" s="1212">
        <v>0</v>
      </c>
      <c r="AJ496" s="1212">
        <v>1</v>
      </c>
      <c r="AK496" s="2126">
        <v>397.51666666666665</v>
      </c>
      <c r="AL496" s="2126">
        <v>0</v>
      </c>
      <c r="AM496" s="2126">
        <v>0</v>
      </c>
      <c r="AN496" s="2126">
        <v>397.51666666666665</v>
      </c>
      <c r="AO496" s="1743" t="s">
        <v>85</v>
      </c>
      <c r="AP496" s="1743"/>
      <c r="AQ496" s="1764">
        <v>2014</v>
      </c>
      <c r="AR496" s="1743" t="s">
        <v>87</v>
      </c>
      <c r="AS496" s="2135"/>
      <c r="AT496" s="2135"/>
      <c r="AU496" s="1212">
        <v>0.33333333333333331</v>
      </c>
      <c r="AV496" s="1212">
        <v>0.33333333333333331</v>
      </c>
      <c r="AW496" s="1212">
        <v>0.33333333333333331</v>
      </c>
      <c r="AX496" s="1212"/>
      <c r="AY496" s="1212"/>
      <c r="AZ496" s="1212"/>
      <c r="BA496" s="1212"/>
      <c r="BB496" s="1212"/>
      <c r="BC496" s="1212"/>
      <c r="BD496" s="1212"/>
      <c r="BE496" s="1212"/>
      <c r="BF496" s="2126">
        <v>0</v>
      </c>
      <c r="BG496" s="2126">
        <v>0</v>
      </c>
      <c r="BH496" s="2126">
        <v>132.50555555555553</v>
      </c>
      <c r="BI496" s="2126">
        <v>132.50555555555553</v>
      </c>
      <c r="BJ496" s="2126">
        <v>132.50555555555553</v>
      </c>
      <c r="BK496" s="2126">
        <v>0</v>
      </c>
      <c r="BL496" s="2126">
        <v>0</v>
      </c>
      <c r="BM496" s="2126">
        <v>0</v>
      </c>
      <c r="BN496" s="2126">
        <v>0</v>
      </c>
      <c r="BO496" s="2126">
        <v>0</v>
      </c>
      <c r="BP496" s="2126">
        <v>0</v>
      </c>
      <c r="BQ496" s="2126">
        <v>0</v>
      </c>
      <c r="BR496" s="2126">
        <v>0</v>
      </c>
    </row>
    <row r="497" spans="1:70" s="1765" customFormat="1" ht="49.5">
      <c r="A497" s="1272">
        <v>3000</v>
      </c>
      <c r="B497" s="971" t="s">
        <v>1072</v>
      </c>
      <c r="C497" s="1272">
        <v>3100</v>
      </c>
      <c r="D497" s="971" t="s">
        <v>120</v>
      </c>
      <c r="E497" s="971" t="s">
        <v>1073</v>
      </c>
      <c r="F497" s="971" t="s">
        <v>122</v>
      </c>
      <c r="G497" s="971" t="s">
        <v>1142</v>
      </c>
      <c r="H497" s="971" t="s">
        <v>1143</v>
      </c>
      <c r="I497" s="1273" t="s">
        <v>1147</v>
      </c>
      <c r="J497" s="971" t="s">
        <v>124</v>
      </c>
      <c r="K497" s="971" t="s">
        <v>125</v>
      </c>
      <c r="L497" s="971" t="s">
        <v>2868</v>
      </c>
      <c r="M497" s="971" t="s">
        <v>126</v>
      </c>
      <c r="N497" s="971" t="s">
        <v>127</v>
      </c>
      <c r="O497" s="971" t="s">
        <v>128</v>
      </c>
      <c r="P497" s="971"/>
      <c r="Q497" s="971" t="s">
        <v>1148</v>
      </c>
      <c r="R497" s="1266" t="s">
        <v>1149</v>
      </c>
      <c r="S497" s="2106">
        <v>14.869888475836431</v>
      </c>
      <c r="T497" s="1266" t="s">
        <v>136</v>
      </c>
      <c r="U497" s="1742">
        <v>0.11208333333333333</v>
      </c>
      <c r="V497" s="1742">
        <v>1.4010416666666667</v>
      </c>
      <c r="W497" s="1742">
        <v>9.8790250000000004</v>
      </c>
      <c r="X497" s="1742">
        <v>15.452929166666667</v>
      </c>
      <c r="Y497" s="2106">
        <v>26.73299583333333</v>
      </c>
      <c r="Z497" s="2106">
        <v>1.6666666666666665</v>
      </c>
      <c r="AA497" s="2106">
        <v>20.833333333333336</v>
      </c>
      <c r="AB497" s="2106">
        <v>146.9</v>
      </c>
      <c r="AC497" s="2106">
        <v>229.78333333333333</v>
      </c>
      <c r="AD497" s="1744">
        <v>397.51666666666665</v>
      </c>
      <c r="AE497" s="2126">
        <v>1</v>
      </c>
      <c r="AF497" s="2126">
        <v>14.869888475836431</v>
      </c>
      <c r="AG497" s="1212">
        <v>1</v>
      </c>
      <c r="AH497" s="1212">
        <v>0</v>
      </c>
      <c r="AI497" s="1212">
        <v>0</v>
      </c>
      <c r="AJ497" s="1212">
        <v>1</v>
      </c>
      <c r="AK497" s="2126">
        <v>397.51666666666665</v>
      </c>
      <c r="AL497" s="2126">
        <v>0</v>
      </c>
      <c r="AM497" s="2126">
        <v>0</v>
      </c>
      <c r="AN497" s="2126">
        <v>397.51666666666665</v>
      </c>
      <c r="AO497" s="1743" t="s">
        <v>85</v>
      </c>
      <c r="AP497" s="1743"/>
      <c r="AQ497" s="1764">
        <v>2014</v>
      </c>
      <c r="AR497" s="1743" t="s">
        <v>87</v>
      </c>
      <c r="AS497" s="2135"/>
      <c r="AT497" s="2135"/>
      <c r="AU497" s="1212">
        <v>0.33333333333333331</v>
      </c>
      <c r="AV497" s="1212">
        <v>0.33333333333333331</v>
      </c>
      <c r="AW497" s="1212">
        <v>0.33333333333333331</v>
      </c>
      <c r="AX497" s="1212"/>
      <c r="AY497" s="1212"/>
      <c r="AZ497" s="1212"/>
      <c r="BA497" s="1212"/>
      <c r="BB497" s="1212"/>
      <c r="BC497" s="1212"/>
      <c r="BD497" s="1212"/>
      <c r="BE497" s="1212"/>
      <c r="BF497" s="2126">
        <v>0</v>
      </c>
      <c r="BG497" s="2126">
        <v>0</v>
      </c>
      <c r="BH497" s="2126">
        <v>132.50555555555553</v>
      </c>
      <c r="BI497" s="2126">
        <v>132.50555555555553</v>
      </c>
      <c r="BJ497" s="2126">
        <v>132.50555555555553</v>
      </c>
      <c r="BK497" s="2126">
        <v>0</v>
      </c>
      <c r="BL497" s="2126">
        <v>0</v>
      </c>
      <c r="BM497" s="2126">
        <v>0</v>
      </c>
      <c r="BN497" s="2126">
        <v>0</v>
      </c>
      <c r="BO497" s="2126">
        <v>0</v>
      </c>
      <c r="BP497" s="2126">
        <v>0</v>
      </c>
      <c r="BQ497" s="2126">
        <v>0</v>
      </c>
      <c r="BR497" s="2126">
        <v>0</v>
      </c>
    </row>
    <row r="498" spans="1:70" s="1765" customFormat="1" ht="49.5">
      <c r="A498" s="1272">
        <v>3000</v>
      </c>
      <c r="B498" s="971" t="s">
        <v>1072</v>
      </c>
      <c r="C498" s="1272">
        <v>3100</v>
      </c>
      <c r="D498" s="971" t="s">
        <v>120</v>
      </c>
      <c r="E498" s="971" t="s">
        <v>1073</v>
      </c>
      <c r="F498" s="971" t="s">
        <v>122</v>
      </c>
      <c r="G498" s="971" t="s">
        <v>1142</v>
      </c>
      <c r="H498" s="971" t="s">
        <v>1143</v>
      </c>
      <c r="I498" s="1273" t="s">
        <v>1150</v>
      </c>
      <c r="J498" s="971" t="s">
        <v>124</v>
      </c>
      <c r="K498" s="971" t="s">
        <v>125</v>
      </c>
      <c r="L498" s="971" t="s">
        <v>2868</v>
      </c>
      <c r="M498" s="971" t="s">
        <v>126</v>
      </c>
      <c r="N498" s="971" t="s">
        <v>127</v>
      </c>
      <c r="O498" s="971" t="s">
        <v>128</v>
      </c>
      <c r="P498" s="971"/>
      <c r="Q498" s="971" t="s">
        <v>1151</v>
      </c>
      <c r="R498" s="1266" t="s">
        <v>1152</v>
      </c>
      <c r="S498" s="2106">
        <v>14.869888475836431</v>
      </c>
      <c r="T498" s="1266" t="s">
        <v>136</v>
      </c>
      <c r="U498" s="1742">
        <v>0.11208333333333333</v>
      </c>
      <c r="V498" s="1742">
        <v>1.4010416666666667</v>
      </c>
      <c r="W498" s="1742">
        <v>9.8790250000000004</v>
      </c>
      <c r="X498" s="1742">
        <v>15.452929166666667</v>
      </c>
      <c r="Y498" s="2106">
        <v>26.73299583333333</v>
      </c>
      <c r="Z498" s="2106">
        <v>1.6666666666666665</v>
      </c>
      <c r="AA498" s="2106">
        <v>20.833333333333336</v>
      </c>
      <c r="AB498" s="2106">
        <v>146.9</v>
      </c>
      <c r="AC498" s="2106">
        <v>229.78333333333333</v>
      </c>
      <c r="AD498" s="1744">
        <v>397.51666666666665</v>
      </c>
      <c r="AE498" s="2126">
        <v>1</v>
      </c>
      <c r="AF498" s="2126">
        <v>14.869888475836431</v>
      </c>
      <c r="AG498" s="1212">
        <v>1</v>
      </c>
      <c r="AH498" s="1212">
        <v>0</v>
      </c>
      <c r="AI498" s="1212">
        <v>0</v>
      </c>
      <c r="AJ498" s="1212">
        <v>1</v>
      </c>
      <c r="AK498" s="2126">
        <v>397.51666666666665</v>
      </c>
      <c r="AL498" s="2126">
        <v>0</v>
      </c>
      <c r="AM498" s="2126">
        <v>0</v>
      </c>
      <c r="AN498" s="2126">
        <v>397.51666666666665</v>
      </c>
      <c r="AO498" s="1743" t="s">
        <v>85</v>
      </c>
      <c r="AP498" s="1743"/>
      <c r="AQ498" s="1764">
        <v>2014</v>
      </c>
      <c r="AR498" s="1743" t="s">
        <v>87</v>
      </c>
      <c r="AS498" s="2135"/>
      <c r="AT498" s="2135"/>
      <c r="AU498" s="1212">
        <v>0.33333333333333331</v>
      </c>
      <c r="AV498" s="1212">
        <v>0.33333333333333331</v>
      </c>
      <c r="AW498" s="1212">
        <v>0.33333333333333331</v>
      </c>
      <c r="AX498" s="1212"/>
      <c r="AY498" s="1212"/>
      <c r="AZ498" s="1212"/>
      <c r="BA498" s="1212"/>
      <c r="BB498" s="1212"/>
      <c r="BC498" s="1212"/>
      <c r="BD498" s="1212"/>
      <c r="BE498" s="1212"/>
      <c r="BF498" s="2126">
        <v>0</v>
      </c>
      <c r="BG498" s="2126">
        <v>0</v>
      </c>
      <c r="BH498" s="2126">
        <v>132.50555555555553</v>
      </c>
      <c r="BI498" s="2126">
        <v>132.50555555555553</v>
      </c>
      <c r="BJ498" s="2126">
        <v>132.50555555555553</v>
      </c>
      <c r="BK498" s="2126">
        <v>0</v>
      </c>
      <c r="BL498" s="2126">
        <v>0</v>
      </c>
      <c r="BM498" s="2126">
        <v>0</v>
      </c>
      <c r="BN498" s="2126">
        <v>0</v>
      </c>
      <c r="BO498" s="2126">
        <v>0</v>
      </c>
      <c r="BP498" s="2126">
        <v>0</v>
      </c>
      <c r="BQ498" s="2126">
        <v>0</v>
      </c>
      <c r="BR498" s="2126">
        <v>0</v>
      </c>
    </row>
    <row r="499" spans="1:70" s="1765" customFormat="1" ht="49.5">
      <c r="A499" s="1272">
        <v>3000</v>
      </c>
      <c r="B499" s="971" t="s">
        <v>1072</v>
      </c>
      <c r="C499" s="1272">
        <v>3100</v>
      </c>
      <c r="D499" s="971" t="s">
        <v>120</v>
      </c>
      <c r="E499" s="971" t="s">
        <v>1073</v>
      </c>
      <c r="F499" s="971" t="s">
        <v>122</v>
      </c>
      <c r="G499" s="971" t="s">
        <v>1142</v>
      </c>
      <c r="H499" s="971" t="s">
        <v>1143</v>
      </c>
      <c r="I499" s="1273" t="s">
        <v>1153</v>
      </c>
      <c r="J499" s="971" t="s">
        <v>124</v>
      </c>
      <c r="K499" s="971" t="s">
        <v>140</v>
      </c>
      <c r="L499" s="971" t="s">
        <v>2909</v>
      </c>
      <c r="M499" s="971" t="s">
        <v>140</v>
      </c>
      <c r="N499" s="971" t="s">
        <v>141</v>
      </c>
      <c r="O499" s="971" t="s">
        <v>142</v>
      </c>
      <c r="P499" s="971"/>
      <c r="Q499" s="971" t="s">
        <v>1154</v>
      </c>
      <c r="R499" s="1266" t="s">
        <v>1146</v>
      </c>
      <c r="S499" s="2106">
        <v>14.869888475836431</v>
      </c>
      <c r="T499" s="1266" t="s">
        <v>136</v>
      </c>
      <c r="U499" s="1742">
        <v>0</v>
      </c>
      <c r="V499" s="1742">
        <v>0</v>
      </c>
      <c r="W499" s="1742">
        <v>0</v>
      </c>
      <c r="X499" s="1742">
        <v>0</v>
      </c>
      <c r="Y499" s="2106">
        <v>0</v>
      </c>
      <c r="Z499" s="2106">
        <v>0</v>
      </c>
      <c r="AA499" s="2106">
        <v>0</v>
      </c>
      <c r="AB499" s="2106">
        <v>0</v>
      </c>
      <c r="AC499" s="2106">
        <v>0</v>
      </c>
      <c r="AD499" s="1744">
        <v>0</v>
      </c>
      <c r="AE499" s="2126">
        <v>0</v>
      </c>
      <c r="AF499" s="2126">
        <v>0</v>
      </c>
      <c r="AG499" s="1212">
        <v>1</v>
      </c>
      <c r="AH499" s="1212">
        <v>0</v>
      </c>
      <c r="AI499" s="1212">
        <v>0</v>
      </c>
      <c r="AJ499" s="1212">
        <v>1</v>
      </c>
      <c r="AK499" s="2126">
        <v>0</v>
      </c>
      <c r="AL499" s="2126">
        <v>0</v>
      </c>
      <c r="AM499" s="2126">
        <v>0</v>
      </c>
      <c r="AN499" s="2126">
        <v>0</v>
      </c>
      <c r="AO499" s="1743" t="s">
        <v>85</v>
      </c>
      <c r="AP499" s="1743"/>
      <c r="AQ499" s="1764">
        <v>2014</v>
      </c>
      <c r="AR499" s="1743" t="s">
        <v>87</v>
      </c>
      <c r="AS499" s="2135"/>
      <c r="AT499" s="2135"/>
      <c r="AU499" s="1212">
        <v>0.33333333333333331</v>
      </c>
      <c r="AV499" s="1212">
        <v>0.33333333333333331</v>
      </c>
      <c r="AW499" s="1212">
        <v>0.33333333333333331</v>
      </c>
      <c r="AX499" s="1212"/>
      <c r="AY499" s="1212"/>
      <c r="AZ499" s="1212"/>
      <c r="BA499" s="1212"/>
      <c r="BB499" s="1212"/>
      <c r="BC499" s="1212"/>
      <c r="BD499" s="1212"/>
      <c r="BE499" s="1212"/>
      <c r="BF499" s="2126">
        <v>0</v>
      </c>
      <c r="BG499" s="2126">
        <v>0</v>
      </c>
      <c r="BH499" s="2126">
        <v>0</v>
      </c>
      <c r="BI499" s="2126">
        <v>0</v>
      </c>
      <c r="BJ499" s="2126">
        <v>0</v>
      </c>
      <c r="BK499" s="2126">
        <v>0</v>
      </c>
      <c r="BL499" s="2126">
        <v>0</v>
      </c>
      <c r="BM499" s="2126">
        <v>0</v>
      </c>
      <c r="BN499" s="2126">
        <v>0</v>
      </c>
      <c r="BO499" s="2126">
        <v>0</v>
      </c>
      <c r="BP499" s="2126">
        <v>0</v>
      </c>
      <c r="BQ499" s="2126">
        <v>0</v>
      </c>
      <c r="BR499" s="2126">
        <v>0</v>
      </c>
    </row>
    <row r="500" spans="1:70" s="1765" customFormat="1" ht="49.5">
      <c r="A500" s="1272">
        <v>3000</v>
      </c>
      <c r="B500" s="971" t="s">
        <v>1072</v>
      </c>
      <c r="C500" s="1272">
        <v>3100</v>
      </c>
      <c r="D500" s="971" t="s">
        <v>120</v>
      </c>
      <c r="E500" s="971" t="s">
        <v>1073</v>
      </c>
      <c r="F500" s="971" t="s">
        <v>122</v>
      </c>
      <c r="G500" s="971" t="s">
        <v>1142</v>
      </c>
      <c r="H500" s="971" t="s">
        <v>1143</v>
      </c>
      <c r="I500" s="1273" t="s">
        <v>1155</v>
      </c>
      <c r="J500" s="971" t="s">
        <v>124</v>
      </c>
      <c r="K500" s="971"/>
      <c r="L500" s="971" t="e">
        <v>#N/A</v>
      </c>
      <c r="M500" s="971" t="s">
        <v>145</v>
      </c>
      <c r="N500" s="971" t="s">
        <v>141</v>
      </c>
      <c r="O500" s="971" t="s">
        <v>146</v>
      </c>
      <c r="P500" s="971"/>
      <c r="Q500" s="971" t="s">
        <v>1156</v>
      </c>
      <c r="R500" s="1266" t="s">
        <v>1146</v>
      </c>
      <c r="S500" s="2106">
        <v>14.869888475836431</v>
      </c>
      <c r="T500" s="1266" t="s">
        <v>136</v>
      </c>
      <c r="U500" s="1742" t="s">
        <v>6588</v>
      </c>
      <c r="V500" s="1742" t="s">
        <v>6588</v>
      </c>
      <c r="W500" s="1742" t="s">
        <v>6588</v>
      </c>
      <c r="X500" s="1742" t="s">
        <v>6588</v>
      </c>
      <c r="Y500" s="2106" t="s">
        <v>6588</v>
      </c>
      <c r="Z500" s="2106">
        <v>0</v>
      </c>
      <c r="AA500" s="2106">
        <v>0</v>
      </c>
      <c r="AB500" s="2106">
        <v>0</v>
      </c>
      <c r="AC500" s="2106">
        <v>0</v>
      </c>
      <c r="AD500" s="1744">
        <v>0</v>
      </c>
      <c r="AE500" s="2126">
        <v>0</v>
      </c>
      <c r="AF500" s="2126">
        <v>0</v>
      </c>
      <c r="AG500" s="1212">
        <v>1</v>
      </c>
      <c r="AH500" s="1212">
        <v>0</v>
      </c>
      <c r="AI500" s="1212">
        <v>0</v>
      </c>
      <c r="AJ500" s="1212">
        <v>1</v>
      </c>
      <c r="AK500" s="2126">
        <v>0</v>
      </c>
      <c r="AL500" s="2126">
        <v>0</v>
      </c>
      <c r="AM500" s="2126">
        <v>0</v>
      </c>
      <c r="AN500" s="2126">
        <v>0</v>
      </c>
      <c r="AO500" s="1743" t="s">
        <v>85</v>
      </c>
      <c r="AP500" s="1743"/>
      <c r="AQ500" s="1764">
        <v>2014</v>
      </c>
      <c r="AR500" s="1743" t="s">
        <v>87</v>
      </c>
      <c r="AS500" s="2135"/>
      <c r="AT500" s="2135"/>
      <c r="AU500" s="1212">
        <v>0.33333333333333331</v>
      </c>
      <c r="AV500" s="1212">
        <v>0.33333333333333331</v>
      </c>
      <c r="AW500" s="1212">
        <v>0.33333333333333331</v>
      </c>
      <c r="AX500" s="1212"/>
      <c r="AY500" s="1212"/>
      <c r="AZ500" s="1212"/>
      <c r="BA500" s="1212"/>
      <c r="BB500" s="1212"/>
      <c r="BC500" s="1212"/>
      <c r="BD500" s="1212"/>
      <c r="BE500" s="1212"/>
      <c r="BF500" s="2126">
        <v>0</v>
      </c>
      <c r="BG500" s="2126">
        <v>0</v>
      </c>
      <c r="BH500" s="2126">
        <v>0</v>
      </c>
      <c r="BI500" s="2126">
        <v>0</v>
      </c>
      <c r="BJ500" s="2126">
        <v>0</v>
      </c>
      <c r="BK500" s="2126">
        <v>0</v>
      </c>
      <c r="BL500" s="2126">
        <v>0</v>
      </c>
      <c r="BM500" s="2126">
        <v>0</v>
      </c>
      <c r="BN500" s="2126">
        <v>0</v>
      </c>
      <c r="BO500" s="2126">
        <v>0</v>
      </c>
      <c r="BP500" s="2126">
        <v>0</v>
      </c>
      <c r="BQ500" s="2126">
        <v>0</v>
      </c>
      <c r="BR500" s="2126">
        <v>0</v>
      </c>
    </row>
    <row r="501" spans="1:70" s="1765" customFormat="1" ht="49.5">
      <c r="A501" s="1272">
        <v>3000</v>
      </c>
      <c r="B501" s="971" t="s">
        <v>1072</v>
      </c>
      <c r="C501" s="1272">
        <v>3100</v>
      </c>
      <c r="D501" s="971" t="s">
        <v>120</v>
      </c>
      <c r="E501" s="971" t="s">
        <v>1073</v>
      </c>
      <c r="F501" s="971" t="s">
        <v>122</v>
      </c>
      <c r="G501" s="971" t="s">
        <v>1142</v>
      </c>
      <c r="H501" s="971" t="s">
        <v>1143</v>
      </c>
      <c r="I501" s="1273" t="s">
        <v>1157</v>
      </c>
      <c r="J501" s="971" t="s">
        <v>124</v>
      </c>
      <c r="K501" s="971" t="s">
        <v>140</v>
      </c>
      <c r="L501" s="971" t="s">
        <v>2909</v>
      </c>
      <c r="M501" s="971" t="s">
        <v>140</v>
      </c>
      <c r="N501" s="971" t="s">
        <v>141</v>
      </c>
      <c r="O501" s="971" t="s">
        <v>142</v>
      </c>
      <c r="P501" s="971"/>
      <c r="Q501" s="971" t="s">
        <v>1158</v>
      </c>
      <c r="R501" s="1266" t="s">
        <v>1149</v>
      </c>
      <c r="S501" s="2106">
        <v>14.869888475836431</v>
      </c>
      <c r="T501" s="1266" t="s">
        <v>136</v>
      </c>
      <c r="U501" s="1742">
        <v>0</v>
      </c>
      <c r="V501" s="1742">
        <v>0</v>
      </c>
      <c r="W501" s="1742">
        <v>0</v>
      </c>
      <c r="X501" s="1742">
        <v>0</v>
      </c>
      <c r="Y501" s="2106">
        <v>0</v>
      </c>
      <c r="Z501" s="2106">
        <v>0</v>
      </c>
      <c r="AA501" s="2106">
        <v>0</v>
      </c>
      <c r="AB501" s="2106">
        <v>0</v>
      </c>
      <c r="AC501" s="2106">
        <v>0</v>
      </c>
      <c r="AD501" s="1744">
        <v>0</v>
      </c>
      <c r="AE501" s="2126">
        <v>0</v>
      </c>
      <c r="AF501" s="2126">
        <v>0</v>
      </c>
      <c r="AG501" s="1212">
        <v>1</v>
      </c>
      <c r="AH501" s="1212">
        <v>0</v>
      </c>
      <c r="AI501" s="1212">
        <v>0</v>
      </c>
      <c r="AJ501" s="1212">
        <v>1</v>
      </c>
      <c r="AK501" s="2126">
        <v>0</v>
      </c>
      <c r="AL501" s="2126">
        <v>0</v>
      </c>
      <c r="AM501" s="2126">
        <v>0</v>
      </c>
      <c r="AN501" s="2126">
        <v>0</v>
      </c>
      <c r="AO501" s="1743" t="s">
        <v>85</v>
      </c>
      <c r="AP501" s="1743"/>
      <c r="AQ501" s="1764">
        <v>2014</v>
      </c>
      <c r="AR501" s="1743" t="s">
        <v>87</v>
      </c>
      <c r="AS501" s="2135"/>
      <c r="AT501" s="2135"/>
      <c r="AU501" s="1212">
        <v>0.33333333333333331</v>
      </c>
      <c r="AV501" s="1212">
        <v>0.33333333333333331</v>
      </c>
      <c r="AW501" s="1212">
        <v>0.33333333333333331</v>
      </c>
      <c r="AX501" s="1212"/>
      <c r="AY501" s="1212"/>
      <c r="AZ501" s="1212"/>
      <c r="BA501" s="1212"/>
      <c r="BB501" s="1212"/>
      <c r="BC501" s="1212"/>
      <c r="BD501" s="1212"/>
      <c r="BE501" s="1212"/>
      <c r="BF501" s="2126">
        <v>0</v>
      </c>
      <c r="BG501" s="2126">
        <v>0</v>
      </c>
      <c r="BH501" s="2126">
        <v>0</v>
      </c>
      <c r="BI501" s="2126">
        <v>0</v>
      </c>
      <c r="BJ501" s="2126">
        <v>0</v>
      </c>
      <c r="BK501" s="2126">
        <v>0</v>
      </c>
      <c r="BL501" s="2126">
        <v>0</v>
      </c>
      <c r="BM501" s="2126">
        <v>0</v>
      </c>
      <c r="BN501" s="2126">
        <v>0</v>
      </c>
      <c r="BO501" s="2126">
        <v>0</v>
      </c>
      <c r="BP501" s="2126">
        <v>0</v>
      </c>
      <c r="BQ501" s="2126">
        <v>0</v>
      </c>
      <c r="BR501" s="2126">
        <v>0</v>
      </c>
    </row>
    <row r="502" spans="1:70" s="1765" customFormat="1" ht="49.5">
      <c r="A502" s="1272">
        <v>3000</v>
      </c>
      <c r="B502" s="971" t="s">
        <v>1072</v>
      </c>
      <c r="C502" s="1272">
        <v>3100</v>
      </c>
      <c r="D502" s="971" t="s">
        <v>120</v>
      </c>
      <c r="E502" s="971" t="s">
        <v>1073</v>
      </c>
      <c r="F502" s="971" t="s">
        <v>122</v>
      </c>
      <c r="G502" s="971" t="s">
        <v>1142</v>
      </c>
      <c r="H502" s="971" t="s">
        <v>1143</v>
      </c>
      <c r="I502" s="1273" t="s">
        <v>1159</v>
      </c>
      <c r="J502" s="971" t="s">
        <v>124</v>
      </c>
      <c r="K502" s="971"/>
      <c r="L502" s="971" t="e">
        <v>#N/A</v>
      </c>
      <c r="M502" s="971" t="s">
        <v>145</v>
      </c>
      <c r="N502" s="971" t="s">
        <v>141</v>
      </c>
      <c r="O502" s="971" t="s">
        <v>146</v>
      </c>
      <c r="P502" s="971"/>
      <c r="Q502" s="971" t="s">
        <v>1160</v>
      </c>
      <c r="R502" s="1266" t="s">
        <v>1149</v>
      </c>
      <c r="S502" s="2106">
        <v>14.869888475836431</v>
      </c>
      <c r="T502" s="1266" t="s">
        <v>136</v>
      </c>
      <c r="U502" s="1742" t="s">
        <v>6588</v>
      </c>
      <c r="V502" s="1742" t="s">
        <v>6588</v>
      </c>
      <c r="W502" s="1742" t="s">
        <v>6588</v>
      </c>
      <c r="X502" s="1742" t="s">
        <v>6588</v>
      </c>
      <c r="Y502" s="2106" t="s">
        <v>6588</v>
      </c>
      <c r="Z502" s="2106">
        <v>0</v>
      </c>
      <c r="AA502" s="2106">
        <v>0</v>
      </c>
      <c r="AB502" s="2106">
        <v>0</v>
      </c>
      <c r="AC502" s="2106">
        <v>0</v>
      </c>
      <c r="AD502" s="1744">
        <v>0</v>
      </c>
      <c r="AE502" s="2126">
        <v>0</v>
      </c>
      <c r="AF502" s="2126">
        <v>0</v>
      </c>
      <c r="AG502" s="1212">
        <v>1</v>
      </c>
      <c r="AH502" s="1212">
        <v>0</v>
      </c>
      <c r="AI502" s="1212">
        <v>0</v>
      </c>
      <c r="AJ502" s="1212">
        <v>1</v>
      </c>
      <c r="AK502" s="2126">
        <v>0</v>
      </c>
      <c r="AL502" s="2126">
        <v>0</v>
      </c>
      <c r="AM502" s="2126">
        <v>0</v>
      </c>
      <c r="AN502" s="2126">
        <v>0</v>
      </c>
      <c r="AO502" s="1743" t="s">
        <v>85</v>
      </c>
      <c r="AP502" s="1743"/>
      <c r="AQ502" s="1764">
        <v>2014</v>
      </c>
      <c r="AR502" s="1743" t="s">
        <v>87</v>
      </c>
      <c r="AS502" s="2135"/>
      <c r="AT502" s="2135"/>
      <c r="AU502" s="1212">
        <v>0.33333333333333331</v>
      </c>
      <c r="AV502" s="1212">
        <v>0.33333333333333331</v>
      </c>
      <c r="AW502" s="1212">
        <v>0.33333333333333331</v>
      </c>
      <c r="AX502" s="1212"/>
      <c r="AY502" s="1212"/>
      <c r="AZ502" s="1212"/>
      <c r="BA502" s="1212"/>
      <c r="BB502" s="1212"/>
      <c r="BC502" s="1212"/>
      <c r="BD502" s="1212"/>
      <c r="BE502" s="1212"/>
      <c r="BF502" s="2126">
        <v>0</v>
      </c>
      <c r="BG502" s="2126">
        <v>0</v>
      </c>
      <c r="BH502" s="2126">
        <v>0</v>
      </c>
      <c r="BI502" s="2126">
        <v>0</v>
      </c>
      <c r="BJ502" s="2126">
        <v>0</v>
      </c>
      <c r="BK502" s="2126">
        <v>0</v>
      </c>
      <c r="BL502" s="2126">
        <v>0</v>
      </c>
      <c r="BM502" s="2126">
        <v>0</v>
      </c>
      <c r="BN502" s="2126">
        <v>0</v>
      </c>
      <c r="BO502" s="2126">
        <v>0</v>
      </c>
      <c r="BP502" s="2126">
        <v>0</v>
      </c>
      <c r="BQ502" s="2126">
        <v>0</v>
      </c>
      <c r="BR502" s="2126">
        <v>0</v>
      </c>
    </row>
    <row r="503" spans="1:70" s="1765" customFormat="1" ht="49.5">
      <c r="A503" s="1272">
        <v>3000</v>
      </c>
      <c r="B503" s="971" t="s">
        <v>1072</v>
      </c>
      <c r="C503" s="1272">
        <v>3100</v>
      </c>
      <c r="D503" s="971" t="s">
        <v>120</v>
      </c>
      <c r="E503" s="971" t="s">
        <v>1073</v>
      </c>
      <c r="F503" s="971" t="s">
        <v>122</v>
      </c>
      <c r="G503" s="971" t="s">
        <v>1142</v>
      </c>
      <c r="H503" s="971" t="s">
        <v>1143</v>
      </c>
      <c r="I503" s="1273" t="s">
        <v>1161</v>
      </c>
      <c r="J503" s="971" t="s">
        <v>124</v>
      </c>
      <c r="K503" s="971" t="s">
        <v>140</v>
      </c>
      <c r="L503" s="971" t="s">
        <v>2909</v>
      </c>
      <c r="M503" s="971" t="s">
        <v>140</v>
      </c>
      <c r="N503" s="971" t="s">
        <v>141</v>
      </c>
      <c r="O503" s="971" t="s">
        <v>142</v>
      </c>
      <c r="P503" s="971"/>
      <c r="Q503" s="971" t="s">
        <v>1162</v>
      </c>
      <c r="R503" s="1266" t="s">
        <v>1152</v>
      </c>
      <c r="S503" s="2106">
        <v>14.869888475836431</v>
      </c>
      <c r="T503" s="1266" t="s">
        <v>136</v>
      </c>
      <c r="U503" s="1742">
        <v>0</v>
      </c>
      <c r="V503" s="1742">
        <v>0</v>
      </c>
      <c r="W503" s="1742">
        <v>0</v>
      </c>
      <c r="X503" s="1742">
        <v>0</v>
      </c>
      <c r="Y503" s="2106">
        <v>0</v>
      </c>
      <c r="Z503" s="2106">
        <v>0</v>
      </c>
      <c r="AA503" s="2106">
        <v>0</v>
      </c>
      <c r="AB503" s="2106">
        <v>0</v>
      </c>
      <c r="AC503" s="2106">
        <v>0</v>
      </c>
      <c r="AD503" s="1744">
        <v>0</v>
      </c>
      <c r="AE503" s="2126">
        <v>0</v>
      </c>
      <c r="AF503" s="2126">
        <v>0</v>
      </c>
      <c r="AG503" s="1212">
        <v>1</v>
      </c>
      <c r="AH503" s="1212">
        <v>0</v>
      </c>
      <c r="AI503" s="1212">
        <v>0</v>
      </c>
      <c r="AJ503" s="1212">
        <v>1</v>
      </c>
      <c r="AK503" s="2126">
        <v>0</v>
      </c>
      <c r="AL503" s="2126">
        <v>0</v>
      </c>
      <c r="AM503" s="2126">
        <v>0</v>
      </c>
      <c r="AN503" s="2126">
        <v>0</v>
      </c>
      <c r="AO503" s="1743" t="s">
        <v>85</v>
      </c>
      <c r="AP503" s="1743"/>
      <c r="AQ503" s="1764">
        <v>2014</v>
      </c>
      <c r="AR503" s="1743" t="s">
        <v>87</v>
      </c>
      <c r="AS503" s="2135"/>
      <c r="AT503" s="2135"/>
      <c r="AU503" s="1212">
        <v>0.33333333333333331</v>
      </c>
      <c r="AV503" s="1212">
        <v>0.33333333333333331</v>
      </c>
      <c r="AW503" s="1212">
        <v>0.33333333333333331</v>
      </c>
      <c r="AX503" s="1212"/>
      <c r="AY503" s="1212"/>
      <c r="AZ503" s="1212"/>
      <c r="BA503" s="1212"/>
      <c r="BB503" s="1212"/>
      <c r="BC503" s="1212"/>
      <c r="BD503" s="1212"/>
      <c r="BE503" s="1212"/>
      <c r="BF503" s="2126">
        <v>0</v>
      </c>
      <c r="BG503" s="2126">
        <v>0</v>
      </c>
      <c r="BH503" s="2126">
        <v>0</v>
      </c>
      <c r="BI503" s="2126">
        <v>0</v>
      </c>
      <c r="BJ503" s="2126">
        <v>0</v>
      </c>
      <c r="BK503" s="2126">
        <v>0</v>
      </c>
      <c r="BL503" s="2126">
        <v>0</v>
      </c>
      <c r="BM503" s="2126">
        <v>0</v>
      </c>
      <c r="BN503" s="2126">
        <v>0</v>
      </c>
      <c r="BO503" s="2126">
        <v>0</v>
      </c>
      <c r="BP503" s="2126">
        <v>0</v>
      </c>
      <c r="BQ503" s="2126">
        <v>0</v>
      </c>
      <c r="BR503" s="2126">
        <v>0</v>
      </c>
    </row>
    <row r="504" spans="1:70" s="1765" customFormat="1" ht="49.5">
      <c r="A504" s="1272">
        <v>3000</v>
      </c>
      <c r="B504" s="971" t="s">
        <v>1072</v>
      </c>
      <c r="C504" s="1272">
        <v>3100</v>
      </c>
      <c r="D504" s="971" t="s">
        <v>120</v>
      </c>
      <c r="E504" s="971" t="s">
        <v>1073</v>
      </c>
      <c r="F504" s="971" t="s">
        <v>122</v>
      </c>
      <c r="G504" s="971" t="s">
        <v>1142</v>
      </c>
      <c r="H504" s="971" t="s">
        <v>1143</v>
      </c>
      <c r="I504" s="1273" t="s">
        <v>1163</v>
      </c>
      <c r="J504" s="971" t="s">
        <v>124</v>
      </c>
      <c r="K504" s="971"/>
      <c r="L504" s="971" t="e">
        <v>#N/A</v>
      </c>
      <c r="M504" s="971" t="s">
        <v>145</v>
      </c>
      <c r="N504" s="971" t="s">
        <v>141</v>
      </c>
      <c r="O504" s="971" t="s">
        <v>146</v>
      </c>
      <c r="P504" s="971"/>
      <c r="Q504" s="971" t="s">
        <v>1164</v>
      </c>
      <c r="R504" s="1266" t="s">
        <v>1152</v>
      </c>
      <c r="S504" s="2106">
        <v>14.869888475836431</v>
      </c>
      <c r="T504" s="1266" t="s">
        <v>136</v>
      </c>
      <c r="U504" s="1742" t="s">
        <v>6588</v>
      </c>
      <c r="V504" s="1742" t="s">
        <v>6588</v>
      </c>
      <c r="W504" s="1742" t="s">
        <v>6588</v>
      </c>
      <c r="X504" s="1742" t="s">
        <v>6588</v>
      </c>
      <c r="Y504" s="2106" t="s">
        <v>6588</v>
      </c>
      <c r="Z504" s="2106">
        <v>0</v>
      </c>
      <c r="AA504" s="2106">
        <v>0</v>
      </c>
      <c r="AB504" s="2106">
        <v>0</v>
      </c>
      <c r="AC504" s="2106">
        <v>0</v>
      </c>
      <c r="AD504" s="1744">
        <v>0</v>
      </c>
      <c r="AE504" s="2126">
        <v>0</v>
      </c>
      <c r="AF504" s="2126">
        <v>0</v>
      </c>
      <c r="AG504" s="1212">
        <v>1</v>
      </c>
      <c r="AH504" s="1212">
        <v>0</v>
      </c>
      <c r="AI504" s="1212">
        <v>0</v>
      </c>
      <c r="AJ504" s="1212">
        <v>1</v>
      </c>
      <c r="AK504" s="2126">
        <v>0</v>
      </c>
      <c r="AL504" s="2126">
        <v>0</v>
      </c>
      <c r="AM504" s="2126">
        <v>0</v>
      </c>
      <c r="AN504" s="2126">
        <v>0</v>
      </c>
      <c r="AO504" s="1743" t="s">
        <v>85</v>
      </c>
      <c r="AP504" s="1743"/>
      <c r="AQ504" s="1764">
        <v>2014</v>
      </c>
      <c r="AR504" s="1743" t="s">
        <v>87</v>
      </c>
      <c r="AS504" s="2135"/>
      <c r="AT504" s="2135"/>
      <c r="AU504" s="1212">
        <v>0.33333333333333331</v>
      </c>
      <c r="AV504" s="1212">
        <v>0.33333333333333331</v>
      </c>
      <c r="AW504" s="1212">
        <v>0.33333333333333331</v>
      </c>
      <c r="AX504" s="1212"/>
      <c r="AY504" s="1212"/>
      <c r="AZ504" s="1212"/>
      <c r="BA504" s="1212"/>
      <c r="BB504" s="1212"/>
      <c r="BC504" s="1212"/>
      <c r="BD504" s="1212"/>
      <c r="BE504" s="1212"/>
      <c r="BF504" s="2126">
        <v>0</v>
      </c>
      <c r="BG504" s="2126">
        <v>0</v>
      </c>
      <c r="BH504" s="2126">
        <v>0</v>
      </c>
      <c r="BI504" s="2126">
        <v>0</v>
      </c>
      <c r="BJ504" s="2126">
        <v>0</v>
      </c>
      <c r="BK504" s="2126">
        <v>0</v>
      </c>
      <c r="BL504" s="2126">
        <v>0</v>
      </c>
      <c r="BM504" s="2126">
        <v>0</v>
      </c>
      <c r="BN504" s="2126">
        <v>0</v>
      </c>
      <c r="BO504" s="2126">
        <v>0</v>
      </c>
      <c r="BP504" s="2126">
        <v>0</v>
      </c>
      <c r="BQ504" s="2126">
        <v>0</v>
      </c>
      <c r="BR504" s="2126">
        <v>0</v>
      </c>
    </row>
    <row r="505" spans="1:70" s="1765" customFormat="1" ht="33">
      <c r="A505" s="1272">
        <v>3000</v>
      </c>
      <c r="B505" s="971" t="s">
        <v>1072</v>
      </c>
      <c r="C505" s="1272">
        <v>3100</v>
      </c>
      <c r="D505" s="971" t="s">
        <v>120</v>
      </c>
      <c r="E505" s="971">
        <v>3130</v>
      </c>
      <c r="F505" s="971" t="s">
        <v>148</v>
      </c>
      <c r="G505" s="971">
        <v>3138</v>
      </c>
      <c r="H505" s="971" t="s">
        <v>1165</v>
      </c>
      <c r="I505" s="1273"/>
      <c r="J505" s="971" t="s">
        <v>121</v>
      </c>
      <c r="K505" s="971" t="s">
        <v>150</v>
      </c>
      <c r="L505" s="971" t="s">
        <v>2800</v>
      </c>
      <c r="M505" s="971" t="s">
        <v>80</v>
      </c>
      <c r="N505" s="971" t="s">
        <v>83</v>
      </c>
      <c r="O505" s="971" t="s">
        <v>151</v>
      </c>
      <c r="P505" s="971" t="s">
        <v>152</v>
      </c>
      <c r="Q505" s="971" t="s">
        <v>1166</v>
      </c>
      <c r="R505" s="1266"/>
      <c r="S505" s="2106">
        <v>41795</v>
      </c>
      <c r="T505" s="1266" t="s">
        <v>136</v>
      </c>
      <c r="U505" s="1742">
        <v>1.2691883296460175E-2</v>
      </c>
      <c r="V505" s="1742">
        <v>0.14624999999999999</v>
      </c>
      <c r="W505" s="1742">
        <v>1.1186625937499999</v>
      </c>
      <c r="X505" s="1742">
        <v>0.4015178457754629</v>
      </c>
      <c r="Y505" s="2106">
        <v>1.6649423457754629</v>
      </c>
      <c r="Z505" s="2106">
        <v>530.457262375553</v>
      </c>
      <c r="AA505" s="2106">
        <v>6112.5187499999993</v>
      </c>
      <c r="AB505" s="2106">
        <v>46754.503105781245</v>
      </c>
      <c r="AC505" s="2106">
        <v>16781.438364185473</v>
      </c>
      <c r="AD505" s="1744">
        <v>69648.460219966713</v>
      </c>
      <c r="AE505" s="2126">
        <v>0</v>
      </c>
      <c r="AF505" s="2126">
        <v>0</v>
      </c>
      <c r="AG505" s="1212">
        <v>1</v>
      </c>
      <c r="AH505" s="1212">
        <v>0</v>
      </c>
      <c r="AI505" s="1212">
        <v>0</v>
      </c>
      <c r="AJ505" s="1212">
        <v>1</v>
      </c>
      <c r="AK505" s="2126">
        <v>69648.460219966713</v>
      </c>
      <c r="AL505" s="2126">
        <v>0</v>
      </c>
      <c r="AM505" s="2126">
        <v>0</v>
      </c>
      <c r="AN505" s="2126">
        <v>69648.460219966713</v>
      </c>
      <c r="AO505" s="1743" t="s">
        <v>85</v>
      </c>
      <c r="AP505" s="1743" t="s">
        <v>1167</v>
      </c>
      <c r="AQ505" s="1764">
        <v>2015</v>
      </c>
      <c r="AR505" s="1743" t="s">
        <v>87</v>
      </c>
      <c r="AS505" s="2135"/>
      <c r="AT505" s="2135"/>
      <c r="AU505" s="1212">
        <v>1</v>
      </c>
      <c r="AV505" s="1212"/>
      <c r="AW505" s="1212"/>
      <c r="AX505" s="1212"/>
      <c r="AY505" s="1212"/>
      <c r="AZ505" s="1212"/>
      <c r="BA505" s="1212"/>
      <c r="BB505" s="1212"/>
      <c r="BC505" s="1212"/>
      <c r="BD505" s="1212"/>
      <c r="BE505" s="1212"/>
      <c r="BF505" s="2126">
        <v>0</v>
      </c>
      <c r="BG505" s="2126">
        <v>0</v>
      </c>
      <c r="BH505" s="2126">
        <v>69648.460219966713</v>
      </c>
      <c r="BI505" s="2126">
        <v>0</v>
      </c>
      <c r="BJ505" s="2126">
        <v>0</v>
      </c>
      <c r="BK505" s="2126">
        <v>0</v>
      </c>
      <c r="BL505" s="2126">
        <v>0</v>
      </c>
      <c r="BM505" s="2126">
        <v>0</v>
      </c>
      <c r="BN505" s="2126">
        <v>0</v>
      </c>
      <c r="BO505" s="2126">
        <v>0</v>
      </c>
      <c r="BP505" s="2126">
        <v>0</v>
      </c>
      <c r="BQ505" s="2126">
        <v>0</v>
      </c>
      <c r="BR505" s="2126">
        <v>0</v>
      </c>
    </row>
    <row r="506" spans="1:70" s="1765" customFormat="1" ht="33">
      <c r="A506" s="1272">
        <v>3000</v>
      </c>
      <c r="B506" s="971" t="s">
        <v>1072</v>
      </c>
      <c r="C506" s="1272">
        <v>3100</v>
      </c>
      <c r="D506" s="971" t="s">
        <v>120</v>
      </c>
      <c r="E506" s="971">
        <v>3130</v>
      </c>
      <c r="F506" s="971" t="s">
        <v>148</v>
      </c>
      <c r="G506" s="971">
        <v>3138</v>
      </c>
      <c r="H506" s="971" t="s">
        <v>1165</v>
      </c>
      <c r="I506" s="1273"/>
      <c r="J506" s="971" t="s">
        <v>121</v>
      </c>
      <c r="K506" s="971" t="s">
        <v>150</v>
      </c>
      <c r="L506" s="971" t="s">
        <v>2800</v>
      </c>
      <c r="M506" s="971" t="s">
        <v>80</v>
      </c>
      <c r="N506" s="971" t="s">
        <v>83</v>
      </c>
      <c r="O506" s="971" t="s">
        <v>151</v>
      </c>
      <c r="P506" s="971" t="s">
        <v>152</v>
      </c>
      <c r="Q506" s="971" t="s">
        <v>1168</v>
      </c>
      <c r="R506" s="1266"/>
      <c r="S506" s="2106">
        <v>1000</v>
      </c>
      <c r="T506" s="1266" t="s">
        <v>136</v>
      </c>
      <c r="U506" s="1742">
        <v>1.2691883296460175E-2</v>
      </c>
      <c r="V506" s="1742">
        <v>0.14624999999999999</v>
      </c>
      <c r="W506" s="1742">
        <v>1.1186625937499999</v>
      </c>
      <c r="X506" s="1742">
        <v>0.4015178457754629</v>
      </c>
      <c r="Y506" s="2106">
        <v>1.6649423457754629</v>
      </c>
      <c r="Z506" s="2106">
        <v>12.691883296460174</v>
      </c>
      <c r="AA506" s="2106">
        <v>146.25</v>
      </c>
      <c r="AB506" s="2106">
        <v>1118.6625937499998</v>
      </c>
      <c r="AC506" s="2106">
        <v>401.51784577546289</v>
      </c>
      <c r="AD506" s="1744">
        <v>1666.4304395254626</v>
      </c>
      <c r="AE506" s="2126">
        <v>0</v>
      </c>
      <c r="AF506" s="2126">
        <v>0</v>
      </c>
      <c r="AG506" s="1212">
        <v>1</v>
      </c>
      <c r="AH506" s="1212">
        <v>0</v>
      </c>
      <c r="AI506" s="1212">
        <v>0</v>
      </c>
      <c r="AJ506" s="1212">
        <v>1</v>
      </c>
      <c r="AK506" s="2126">
        <v>1666.4304395254626</v>
      </c>
      <c r="AL506" s="2126">
        <v>0</v>
      </c>
      <c r="AM506" s="2126">
        <v>0</v>
      </c>
      <c r="AN506" s="2126">
        <v>1666.4304395254626</v>
      </c>
      <c r="AO506" s="1743" t="s">
        <v>85</v>
      </c>
      <c r="AP506" s="1743" t="s">
        <v>90</v>
      </c>
      <c r="AQ506" s="1764">
        <v>2017</v>
      </c>
      <c r="AR506" s="1743" t="s">
        <v>87</v>
      </c>
      <c r="AS506" s="2135"/>
      <c r="AT506" s="2135"/>
      <c r="AU506" s="1212">
        <v>1</v>
      </c>
      <c r="AV506" s="1212"/>
      <c r="AW506" s="1212"/>
      <c r="AX506" s="1212"/>
      <c r="AY506" s="1212"/>
      <c r="AZ506" s="1212"/>
      <c r="BA506" s="1212"/>
      <c r="BB506" s="1212"/>
      <c r="BC506" s="1212"/>
      <c r="BD506" s="1212"/>
      <c r="BE506" s="1212"/>
      <c r="BF506" s="2126">
        <v>0</v>
      </c>
      <c r="BG506" s="2126">
        <v>0</v>
      </c>
      <c r="BH506" s="2126">
        <v>1666.4304395254626</v>
      </c>
      <c r="BI506" s="2126">
        <v>0</v>
      </c>
      <c r="BJ506" s="2126">
        <v>0</v>
      </c>
      <c r="BK506" s="2126">
        <v>0</v>
      </c>
      <c r="BL506" s="2126">
        <v>0</v>
      </c>
      <c r="BM506" s="2126">
        <v>0</v>
      </c>
      <c r="BN506" s="2126">
        <v>0</v>
      </c>
      <c r="BO506" s="2126">
        <v>0</v>
      </c>
      <c r="BP506" s="2126">
        <v>0</v>
      </c>
      <c r="BQ506" s="2126">
        <v>0</v>
      </c>
      <c r="BR506" s="2126">
        <v>0</v>
      </c>
    </row>
    <row r="507" spans="1:70" s="1765" customFormat="1" ht="33">
      <c r="A507" s="1272">
        <v>3000</v>
      </c>
      <c r="B507" s="971" t="s">
        <v>1072</v>
      </c>
      <c r="C507" s="1272">
        <v>3100</v>
      </c>
      <c r="D507" s="971" t="s">
        <v>120</v>
      </c>
      <c r="E507" s="971">
        <v>3130</v>
      </c>
      <c r="F507" s="971" t="s">
        <v>148</v>
      </c>
      <c r="G507" s="971">
        <v>3138</v>
      </c>
      <c r="H507" s="971" t="s">
        <v>1165</v>
      </c>
      <c r="I507" s="1273"/>
      <c r="J507" s="971" t="s">
        <v>121</v>
      </c>
      <c r="K507" s="971" t="s">
        <v>150</v>
      </c>
      <c r="L507" s="971" t="s">
        <v>2800</v>
      </c>
      <c r="M507" s="971" t="s">
        <v>80</v>
      </c>
      <c r="N507" s="971" t="s">
        <v>83</v>
      </c>
      <c r="O507" s="971" t="s">
        <v>151</v>
      </c>
      <c r="P507" s="971" t="s">
        <v>152</v>
      </c>
      <c r="Q507" s="971" t="s">
        <v>1169</v>
      </c>
      <c r="R507" s="1266"/>
      <c r="S507" s="2106">
        <v>1500</v>
      </c>
      <c r="T507" s="1266" t="s">
        <v>136</v>
      </c>
      <c r="U507" s="1742">
        <v>1.2691883296460175E-2</v>
      </c>
      <c r="V507" s="1742">
        <v>0.14624999999999999</v>
      </c>
      <c r="W507" s="1742">
        <v>1.1186625937499999</v>
      </c>
      <c r="X507" s="1742">
        <v>0.4015178457754629</v>
      </c>
      <c r="Y507" s="2106">
        <v>1.6649423457754629</v>
      </c>
      <c r="Z507" s="2106">
        <v>19.037824944690264</v>
      </c>
      <c r="AA507" s="2106">
        <v>219.375</v>
      </c>
      <c r="AB507" s="2106">
        <v>1677.9938906249997</v>
      </c>
      <c r="AC507" s="2106">
        <v>602.27676866319439</v>
      </c>
      <c r="AD507" s="1744">
        <v>2499.6456592881941</v>
      </c>
      <c r="AE507" s="2126">
        <v>0</v>
      </c>
      <c r="AF507" s="2126">
        <v>0</v>
      </c>
      <c r="AG507" s="1212">
        <v>1</v>
      </c>
      <c r="AH507" s="1212">
        <v>0</v>
      </c>
      <c r="AI507" s="1212">
        <v>0</v>
      </c>
      <c r="AJ507" s="1212">
        <v>1</v>
      </c>
      <c r="AK507" s="2126">
        <v>2499.6456592881941</v>
      </c>
      <c r="AL507" s="2126">
        <v>0</v>
      </c>
      <c r="AM507" s="2126">
        <v>0</v>
      </c>
      <c r="AN507" s="2126">
        <v>2499.6456592881941</v>
      </c>
      <c r="AO507" s="1743" t="s">
        <v>85</v>
      </c>
      <c r="AP507" s="1743" t="s">
        <v>90</v>
      </c>
      <c r="AQ507" s="1764" t="s">
        <v>103</v>
      </c>
      <c r="AR507" s="1743" t="s">
        <v>87</v>
      </c>
      <c r="AS507" s="2135"/>
      <c r="AT507" s="2135"/>
      <c r="AU507" s="1212">
        <v>1</v>
      </c>
      <c r="AV507" s="1212"/>
      <c r="AW507" s="1212"/>
      <c r="AX507" s="1212"/>
      <c r="AY507" s="1212"/>
      <c r="AZ507" s="1212"/>
      <c r="BA507" s="1212"/>
      <c r="BB507" s="1212"/>
      <c r="BC507" s="1212"/>
      <c r="BD507" s="1212"/>
      <c r="BE507" s="1212"/>
      <c r="BF507" s="2126">
        <v>0</v>
      </c>
      <c r="BG507" s="2126">
        <v>0</v>
      </c>
      <c r="BH507" s="2126">
        <v>2499.6456592881941</v>
      </c>
      <c r="BI507" s="2126">
        <v>0</v>
      </c>
      <c r="BJ507" s="2126">
        <v>0</v>
      </c>
      <c r="BK507" s="2126">
        <v>0</v>
      </c>
      <c r="BL507" s="2126">
        <v>0</v>
      </c>
      <c r="BM507" s="2126">
        <v>0</v>
      </c>
      <c r="BN507" s="2126">
        <v>0</v>
      </c>
      <c r="BO507" s="2126">
        <v>0</v>
      </c>
      <c r="BP507" s="2126">
        <v>0</v>
      </c>
      <c r="BQ507" s="2126">
        <v>0</v>
      </c>
      <c r="BR507" s="2126">
        <v>0</v>
      </c>
    </row>
    <row r="508" spans="1:70" s="1765" customFormat="1" ht="33">
      <c r="A508" s="1272">
        <v>3000</v>
      </c>
      <c r="B508" s="971" t="s">
        <v>1072</v>
      </c>
      <c r="C508" s="1272">
        <v>3100</v>
      </c>
      <c r="D508" s="971" t="s">
        <v>120</v>
      </c>
      <c r="E508" s="971">
        <v>3130</v>
      </c>
      <c r="F508" s="971" t="s">
        <v>148</v>
      </c>
      <c r="G508" s="971">
        <v>3138</v>
      </c>
      <c r="H508" s="971" t="s">
        <v>1170</v>
      </c>
      <c r="I508" s="1273"/>
      <c r="J508" s="971" t="s">
        <v>121</v>
      </c>
      <c r="K508" s="971" t="s">
        <v>150</v>
      </c>
      <c r="L508" s="971" t="s">
        <v>2800</v>
      </c>
      <c r="M508" s="971" t="s">
        <v>80</v>
      </c>
      <c r="N508" s="971" t="s">
        <v>83</v>
      </c>
      <c r="O508" s="971" t="s">
        <v>151</v>
      </c>
      <c r="P508" s="971" t="s">
        <v>152</v>
      </c>
      <c r="Q508" s="971" t="s">
        <v>1171</v>
      </c>
      <c r="R508" s="1266"/>
      <c r="S508" s="2106">
        <v>75820</v>
      </c>
      <c r="T508" s="1266" t="s">
        <v>136</v>
      </c>
      <c r="U508" s="1742">
        <v>1.2691883296460175E-2</v>
      </c>
      <c r="V508" s="1742">
        <v>0.14624999999999999</v>
      </c>
      <c r="W508" s="1742">
        <v>1.1186625937499999</v>
      </c>
      <c r="X508" s="1742">
        <v>0.4015178457754629</v>
      </c>
      <c r="Y508" s="2106">
        <v>1.6649423457754629</v>
      </c>
      <c r="Z508" s="2106">
        <v>962.29859153761049</v>
      </c>
      <c r="AA508" s="2106">
        <v>11088.674999999999</v>
      </c>
      <c r="AB508" s="2106">
        <v>84816.997858124989</v>
      </c>
      <c r="AC508" s="2106">
        <v>30443.083066695595</v>
      </c>
      <c r="AD508" s="1744">
        <v>126348.75592482058</v>
      </c>
      <c r="AE508" s="2126">
        <v>0</v>
      </c>
      <c r="AF508" s="2126">
        <v>0</v>
      </c>
      <c r="AG508" s="1212">
        <v>0</v>
      </c>
      <c r="AH508" s="1212">
        <v>1</v>
      </c>
      <c r="AI508" s="1212">
        <v>0</v>
      </c>
      <c r="AJ508" s="1212">
        <v>1</v>
      </c>
      <c r="AK508" s="2126">
        <v>0</v>
      </c>
      <c r="AL508" s="2126">
        <v>126348.75592482058</v>
      </c>
      <c r="AM508" s="2126">
        <v>0</v>
      </c>
      <c r="AN508" s="2126">
        <v>126348.75592482058</v>
      </c>
      <c r="AO508" s="1743" t="s">
        <v>85</v>
      </c>
      <c r="AP508" s="1743" t="s">
        <v>1167</v>
      </c>
      <c r="AQ508" s="1764">
        <v>2014</v>
      </c>
      <c r="AR508" s="1743" t="s">
        <v>87</v>
      </c>
      <c r="AS508" s="2135"/>
      <c r="AT508" s="2135"/>
      <c r="AU508" s="1212">
        <v>0.5</v>
      </c>
      <c r="AV508" s="1212">
        <v>0.5</v>
      </c>
      <c r="AW508" s="1212"/>
      <c r="AX508" s="1212"/>
      <c r="AY508" s="1212"/>
      <c r="AZ508" s="1212"/>
      <c r="BA508" s="1212"/>
      <c r="BB508" s="1212"/>
      <c r="BC508" s="1212"/>
      <c r="BD508" s="1212"/>
      <c r="BE508" s="1212"/>
      <c r="BF508" s="2126">
        <v>0</v>
      </c>
      <c r="BG508" s="2126">
        <v>0</v>
      </c>
      <c r="BH508" s="2126">
        <v>63174.37796241029</v>
      </c>
      <c r="BI508" s="2126">
        <v>63174.37796241029</v>
      </c>
      <c r="BJ508" s="2126">
        <v>0</v>
      </c>
      <c r="BK508" s="2126">
        <v>0</v>
      </c>
      <c r="BL508" s="2126">
        <v>0</v>
      </c>
      <c r="BM508" s="2126">
        <v>0</v>
      </c>
      <c r="BN508" s="2126">
        <v>0</v>
      </c>
      <c r="BO508" s="2126">
        <v>0</v>
      </c>
      <c r="BP508" s="2126">
        <v>0</v>
      </c>
      <c r="BQ508" s="2126">
        <v>0</v>
      </c>
      <c r="BR508" s="2126">
        <v>0</v>
      </c>
    </row>
    <row r="509" spans="1:70" s="1765" customFormat="1" ht="33">
      <c r="A509" s="1272">
        <v>3000</v>
      </c>
      <c r="B509" s="971" t="s">
        <v>1072</v>
      </c>
      <c r="C509" s="1272">
        <v>3100</v>
      </c>
      <c r="D509" s="971" t="s">
        <v>120</v>
      </c>
      <c r="E509" s="971">
        <v>3130</v>
      </c>
      <c r="F509" s="971" t="s">
        <v>148</v>
      </c>
      <c r="G509" s="971">
        <v>3139</v>
      </c>
      <c r="H509" s="971" t="s">
        <v>1172</v>
      </c>
      <c r="I509" s="1273"/>
      <c r="J509" s="971"/>
      <c r="K509" s="971" t="s">
        <v>150</v>
      </c>
      <c r="L509" s="971" t="s">
        <v>2800</v>
      </c>
      <c r="M509" s="971" t="s">
        <v>80</v>
      </c>
      <c r="N509" s="971" t="s">
        <v>83</v>
      </c>
      <c r="O509" s="971" t="s">
        <v>151</v>
      </c>
      <c r="P509" s="971" t="s">
        <v>152</v>
      </c>
      <c r="Q509" s="971" t="s">
        <v>1173</v>
      </c>
      <c r="R509" s="1266"/>
      <c r="S509" s="2106">
        <v>760</v>
      </c>
      <c r="T509" s="1266" t="s">
        <v>136</v>
      </c>
      <c r="U509" s="1742">
        <v>1.2691883296460175E-2</v>
      </c>
      <c r="V509" s="1742">
        <v>0.14624999999999999</v>
      </c>
      <c r="W509" s="1742">
        <v>1.1186625937499999</v>
      </c>
      <c r="X509" s="1742">
        <v>0.4015178457754629</v>
      </c>
      <c r="Y509" s="2106">
        <v>1.6649423457754629</v>
      </c>
      <c r="Z509" s="2106">
        <v>9.6458313053097324</v>
      </c>
      <c r="AA509" s="2106">
        <v>111.14999999999999</v>
      </c>
      <c r="AB509" s="2106">
        <v>850.18357124999989</v>
      </c>
      <c r="AC509" s="2106">
        <v>305.15356278935178</v>
      </c>
      <c r="AD509" s="1744">
        <v>1266.4871340393515</v>
      </c>
      <c r="AE509" s="2126">
        <v>0</v>
      </c>
      <c r="AF509" s="2126">
        <v>0</v>
      </c>
      <c r="AG509" s="1212">
        <v>1</v>
      </c>
      <c r="AH509" s="1212">
        <v>0</v>
      </c>
      <c r="AI509" s="1212">
        <v>0</v>
      </c>
      <c r="AJ509" s="1212">
        <v>1</v>
      </c>
      <c r="AK509" s="2126">
        <v>1266.4871340393515</v>
      </c>
      <c r="AL509" s="2126">
        <v>0</v>
      </c>
      <c r="AM509" s="2126">
        <v>0</v>
      </c>
      <c r="AN509" s="2126">
        <v>1266.4871340393515</v>
      </c>
      <c r="AO509" s="1743" t="s">
        <v>85</v>
      </c>
      <c r="AP509" s="1743"/>
      <c r="AQ509" s="1764">
        <v>2014</v>
      </c>
      <c r="AR509" s="1743" t="s">
        <v>87</v>
      </c>
      <c r="AS509" s="2135"/>
      <c r="AT509" s="2135"/>
      <c r="AU509" s="1212">
        <v>0.33333333333333331</v>
      </c>
      <c r="AV509" s="1212">
        <v>0.33333333333333331</v>
      </c>
      <c r="AW509" s="1212">
        <v>0.33333333333333331</v>
      </c>
      <c r="AX509" s="1212"/>
      <c r="AY509" s="1212"/>
      <c r="AZ509" s="1212"/>
      <c r="BA509" s="1212"/>
      <c r="BB509" s="1212"/>
      <c r="BC509" s="1212"/>
      <c r="BD509" s="1212"/>
      <c r="BE509" s="1212"/>
      <c r="BF509" s="2126">
        <v>0</v>
      </c>
      <c r="BG509" s="2126">
        <v>0</v>
      </c>
      <c r="BH509" s="2126">
        <v>422.16237801311718</v>
      </c>
      <c r="BI509" s="2126">
        <v>422.16237801311718</v>
      </c>
      <c r="BJ509" s="2126">
        <v>422.16237801311718</v>
      </c>
      <c r="BK509" s="2126">
        <v>0</v>
      </c>
      <c r="BL509" s="2126">
        <v>0</v>
      </c>
      <c r="BM509" s="2126">
        <v>0</v>
      </c>
      <c r="BN509" s="2126">
        <v>0</v>
      </c>
      <c r="BO509" s="2126">
        <v>0</v>
      </c>
      <c r="BP509" s="2126">
        <v>0</v>
      </c>
      <c r="BQ509" s="2126">
        <v>0</v>
      </c>
      <c r="BR509" s="2126">
        <v>0</v>
      </c>
    </row>
    <row r="510" spans="1:70" s="1765" customFormat="1" ht="33">
      <c r="A510" s="1272">
        <v>3000</v>
      </c>
      <c r="B510" s="971" t="s">
        <v>1072</v>
      </c>
      <c r="C510" s="1272">
        <v>3100</v>
      </c>
      <c r="D510" s="971" t="s">
        <v>120</v>
      </c>
      <c r="E510" s="971">
        <v>3130</v>
      </c>
      <c r="F510" s="971" t="s">
        <v>148</v>
      </c>
      <c r="G510" s="971">
        <v>3139</v>
      </c>
      <c r="H510" s="971" t="s">
        <v>1172</v>
      </c>
      <c r="I510" s="1273"/>
      <c r="J510" s="971" t="s">
        <v>121</v>
      </c>
      <c r="K510" s="971" t="s">
        <v>150</v>
      </c>
      <c r="L510" s="971" t="s">
        <v>2800</v>
      </c>
      <c r="M510" s="971" t="s">
        <v>80</v>
      </c>
      <c r="N510" s="971" t="s">
        <v>83</v>
      </c>
      <c r="O510" s="971" t="s">
        <v>151</v>
      </c>
      <c r="P510" s="971" t="s">
        <v>152</v>
      </c>
      <c r="Q510" s="971" t="s">
        <v>1174</v>
      </c>
      <c r="R510" s="1266"/>
      <c r="S510" s="2106">
        <v>25800</v>
      </c>
      <c r="T510" s="1266" t="s">
        <v>136</v>
      </c>
      <c r="U510" s="1742">
        <v>1.2691883296460175E-2</v>
      </c>
      <c r="V510" s="1742">
        <v>0.14624999999999999</v>
      </c>
      <c r="W510" s="1742">
        <v>1.1186625937499999</v>
      </c>
      <c r="X510" s="1742">
        <v>0.4015178457754629</v>
      </c>
      <c r="Y510" s="2106">
        <v>1.6649423457754629</v>
      </c>
      <c r="Z510" s="2106">
        <v>327.4505890486725</v>
      </c>
      <c r="AA510" s="2106">
        <v>3773.2499999999995</v>
      </c>
      <c r="AB510" s="2106">
        <v>28861.494918749995</v>
      </c>
      <c r="AC510" s="2106">
        <v>10359.160421006944</v>
      </c>
      <c r="AD510" s="1744">
        <v>42955.512521006938</v>
      </c>
      <c r="AE510" s="2126">
        <v>0</v>
      </c>
      <c r="AF510" s="2126">
        <v>0</v>
      </c>
      <c r="AG510" s="1212">
        <v>1</v>
      </c>
      <c r="AH510" s="1212">
        <v>0</v>
      </c>
      <c r="AI510" s="1212">
        <v>0</v>
      </c>
      <c r="AJ510" s="1212">
        <v>1</v>
      </c>
      <c r="AK510" s="2126">
        <v>42955.512521006938</v>
      </c>
      <c r="AL510" s="2126">
        <v>0</v>
      </c>
      <c r="AM510" s="2126">
        <v>0</v>
      </c>
      <c r="AN510" s="2126">
        <v>42955.512521006938</v>
      </c>
      <c r="AO510" s="1743" t="s">
        <v>85</v>
      </c>
      <c r="AP510" s="1743" t="s">
        <v>90</v>
      </c>
      <c r="AQ510" s="1764" t="s">
        <v>103</v>
      </c>
      <c r="AR510" s="1743" t="s">
        <v>87</v>
      </c>
      <c r="AS510" s="2135"/>
      <c r="AT510" s="2135"/>
      <c r="AU510" s="1212">
        <v>0.33333333333333331</v>
      </c>
      <c r="AV510" s="1212">
        <v>0.33333333333333331</v>
      </c>
      <c r="AW510" s="1212">
        <v>0.33333333333333331</v>
      </c>
      <c r="AX510" s="1212"/>
      <c r="AY510" s="1212"/>
      <c r="AZ510" s="1212"/>
      <c r="BA510" s="1212"/>
      <c r="BB510" s="1212"/>
      <c r="BC510" s="1212"/>
      <c r="BD510" s="1212"/>
      <c r="BE510" s="1212"/>
      <c r="BF510" s="2126">
        <v>0</v>
      </c>
      <c r="BG510" s="2126">
        <v>0</v>
      </c>
      <c r="BH510" s="2126">
        <v>14318.504173668978</v>
      </c>
      <c r="BI510" s="2126">
        <v>14318.504173668978</v>
      </c>
      <c r="BJ510" s="2126">
        <v>14318.504173668978</v>
      </c>
      <c r="BK510" s="2126">
        <v>0</v>
      </c>
      <c r="BL510" s="2126">
        <v>0</v>
      </c>
      <c r="BM510" s="2126">
        <v>0</v>
      </c>
      <c r="BN510" s="2126">
        <v>0</v>
      </c>
      <c r="BO510" s="2126">
        <v>0</v>
      </c>
      <c r="BP510" s="2126">
        <v>0</v>
      </c>
      <c r="BQ510" s="2126">
        <v>0</v>
      </c>
      <c r="BR510" s="2126">
        <v>0</v>
      </c>
    </row>
    <row r="511" spans="1:70" s="1765" customFormat="1" ht="33">
      <c r="A511" s="1272">
        <v>3000</v>
      </c>
      <c r="B511" s="971" t="s">
        <v>1072</v>
      </c>
      <c r="C511" s="1272">
        <v>3100</v>
      </c>
      <c r="D511" s="971" t="s">
        <v>120</v>
      </c>
      <c r="E511" s="971">
        <v>3130</v>
      </c>
      <c r="F511" s="971" t="s">
        <v>148</v>
      </c>
      <c r="G511" s="971">
        <v>3139</v>
      </c>
      <c r="H511" s="971" t="s">
        <v>1172</v>
      </c>
      <c r="I511" s="1273"/>
      <c r="J511" s="971" t="s">
        <v>121</v>
      </c>
      <c r="K511" s="971" t="s">
        <v>150</v>
      </c>
      <c r="L511" s="971" t="s">
        <v>2800</v>
      </c>
      <c r="M511" s="971" t="s">
        <v>80</v>
      </c>
      <c r="N511" s="971" t="s">
        <v>83</v>
      </c>
      <c r="O511" s="971" t="s">
        <v>151</v>
      </c>
      <c r="P511" s="971" t="s">
        <v>152</v>
      </c>
      <c r="Q511" s="971" t="s">
        <v>1175</v>
      </c>
      <c r="R511" s="1266"/>
      <c r="S511" s="2106">
        <v>20200</v>
      </c>
      <c r="T511" s="1266" t="s">
        <v>136</v>
      </c>
      <c r="U511" s="1742">
        <v>1.2691883296460175E-2</v>
      </c>
      <c r="V511" s="1742">
        <v>0.14624999999999999</v>
      </c>
      <c r="W511" s="1742">
        <v>1.1186625937499999</v>
      </c>
      <c r="X511" s="1742">
        <v>0.4015178457754629</v>
      </c>
      <c r="Y511" s="2106">
        <v>1.6649423457754629</v>
      </c>
      <c r="Z511" s="2106">
        <v>256.37604258849552</v>
      </c>
      <c r="AA511" s="2106">
        <v>2954.25</v>
      </c>
      <c r="AB511" s="2106">
        <v>22596.984393749997</v>
      </c>
      <c r="AC511" s="2106">
        <v>8110.6604846643504</v>
      </c>
      <c r="AD511" s="1744">
        <v>33631.835384664351</v>
      </c>
      <c r="AE511" s="2126">
        <v>0</v>
      </c>
      <c r="AF511" s="2126">
        <v>0</v>
      </c>
      <c r="AG511" s="1212">
        <v>1</v>
      </c>
      <c r="AH511" s="1212">
        <v>0</v>
      </c>
      <c r="AI511" s="1212">
        <v>0</v>
      </c>
      <c r="AJ511" s="1212">
        <v>1</v>
      </c>
      <c r="AK511" s="2126">
        <v>33631.835384664351</v>
      </c>
      <c r="AL511" s="2126">
        <v>0</v>
      </c>
      <c r="AM511" s="2126">
        <v>0</v>
      </c>
      <c r="AN511" s="2126">
        <v>33631.835384664351</v>
      </c>
      <c r="AO511" s="1743" t="s">
        <v>85</v>
      </c>
      <c r="AP511" s="1743" t="s">
        <v>90</v>
      </c>
      <c r="AQ511" s="1764" t="s">
        <v>103</v>
      </c>
      <c r="AR511" s="1743" t="s">
        <v>87</v>
      </c>
      <c r="AS511" s="2135"/>
      <c r="AT511" s="2135"/>
      <c r="AU511" s="1212">
        <v>0.33333333333333331</v>
      </c>
      <c r="AV511" s="1212">
        <v>0.33333333333333331</v>
      </c>
      <c r="AW511" s="1212">
        <v>0.33333333333333331</v>
      </c>
      <c r="AX511" s="1212"/>
      <c r="AY511" s="1212"/>
      <c r="AZ511" s="1212"/>
      <c r="BA511" s="1212"/>
      <c r="BB511" s="1212"/>
      <c r="BC511" s="1212"/>
      <c r="BD511" s="1212"/>
      <c r="BE511" s="1212"/>
      <c r="BF511" s="2126">
        <v>0</v>
      </c>
      <c r="BG511" s="2126">
        <v>0</v>
      </c>
      <c r="BH511" s="2126">
        <v>11210.611794888116</v>
      </c>
      <c r="BI511" s="2126">
        <v>11210.611794888116</v>
      </c>
      <c r="BJ511" s="2126">
        <v>11210.611794888116</v>
      </c>
      <c r="BK511" s="2126">
        <v>0</v>
      </c>
      <c r="BL511" s="2126">
        <v>0</v>
      </c>
      <c r="BM511" s="2126">
        <v>0</v>
      </c>
      <c r="BN511" s="2126">
        <v>0</v>
      </c>
      <c r="BO511" s="2126">
        <v>0</v>
      </c>
      <c r="BP511" s="2126">
        <v>0</v>
      </c>
      <c r="BQ511" s="2126">
        <v>0</v>
      </c>
      <c r="BR511" s="2126">
        <v>0</v>
      </c>
    </row>
    <row r="512" spans="1:70" s="1765" customFormat="1" ht="33">
      <c r="A512" s="1272">
        <v>3000</v>
      </c>
      <c r="B512" s="971" t="s">
        <v>1072</v>
      </c>
      <c r="C512" s="1272">
        <v>3100</v>
      </c>
      <c r="D512" s="971" t="s">
        <v>120</v>
      </c>
      <c r="E512" s="971">
        <v>3130</v>
      </c>
      <c r="F512" s="971" t="s">
        <v>148</v>
      </c>
      <c r="G512" s="971">
        <v>3139</v>
      </c>
      <c r="H512" s="971" t="s">
        <v>1172</v>
      </c>
      <c r="I512" s="1273"/>
      <c r="J512" s="971" t="s">
        <v>121</v>
      </c>
      <c r="K512" s="971" t="s">
        <v>150</v>
      </c>
      <c r="L512" s="971" t="s">
        <v>2800</v>
      </c>
      <c r="M512" s="971" t="s">
        <v>80</v>
      </c>
      <c r="N512" s="971" t="s">
        <v>83</v>
      </c>
      <c r="O512" s="971" t="s">
        <v>151</v>
      </c>
      <c r="P512" s="971" t="s">
        <v>152</v>
      </c>
      <c r="Q512" s="971" t="s">
        <v>1176</v>
      </c>
      <c r="R512" s="1266"/>
      <c r="S512" s="2106">
        <v>20000</v>
      </c>
      <c r="T512" s="1266" t="s">
        <v>136</v>
      </c>
      <c r="U512" s="1742">
        <v>1.2691883296460175E-2</v>
      </c>
      <c r="V512" s="1742">
        <v>0.14624999999999999</v>
      </c>
      <c r="W512" s="1742">
        <v>1.1186625937499999</v>
      </c>
      <c r="X512" s="1742">
        <v>0.4015178457754629</v>
      </c>
      <c r="Y512" s="2106">
        <v>1.6649423457754629</v>
      </c>
      <c r="Z512" s="2106">
        <v>253.8376659292035</v>
      </c>
      <c r="AA512" s="2106">
        <v>2925</v>
      </c>
      <c r="AB512" s="2106">
        <v>22373.251874999998</v>
      </c>
      <c r="AC512" s="2106">
        <v>8030.3569155092582</v>
      </c>
      <c r="AD512" s="1744">
        <v>33298.846915509253</v>
      </c>
      <c r="AE512" s="2126">
        <v>0</v>
      </c>
      <c r="AF512" s="2126">
        <v>0</v>
      </c>
      <c r="AG512" s="1212">
        <v>1</v>
      </c>
      <c r="AH512" s="1212">
        <v>0</v>
      </c>
      <c r="AI512" s="1212">
        <v>0</v>
      </c>
      <c r="AJ512" s="1212">
        <v>1</v>
      </c>
      <c r="AK512" s="2126">
        <v>33298.846915509253</v>
      </c>
      <c r="AL512" s="2126">
        <v>0</v>
      </c>
      <c r="AM512" s="2126">
        <v>0</v>
      </c>
      <c r="AN512" s="2126">
        <v>33298.846915509253</v>
      </c>
      <c r="AO512" s="1743" t="s">
        <v>85</v>
      </c>
      <c r="AP512" s="1743" t="s">
        <v>90</v>
      </c>
      <c r="AQ512" s="1764" t="s">
        <v>103</v>
      </c>
      <c r="AR512" s="1743" t="s">
        <v>87</v>
      </c>
      <c r="AS512" s="2135"/>
      <c r="AT512" s="2135"/>
      <c r="AU512" s="1212">
        <v>0.33333333333333331</v>
      </c>
      <c r="AV512" s="1212">
        <v>0.33333333333333331</v>
      </c>
      <c r="AW512" s="1212">
        <v>0.33333333333333331</v>
      </c>
      <c r="AX512" s="1212"/>
      <c r="AY512" s="1212"/>
      <c r="AZ512" s="1212"/>
      <c r="BA512" s="1212"/>
      <c r="BB512" s="1212"/>
      <c r="BC512" s="1212"/>
      <c r="BD512" s="1212"/>
      <c r="BE512" s="1212"/>
      <c r="BF512" s="2126">
        <v>0</v>
      </c>
      <c r="BG512" s="2126">
        <v>0</v>
      </c>
      <c r="BH512" s="2126">
        <v>11099.615638503084</v>
      </c>
      <c r="BI512" s="2126">
        <v>11099.615638503084</v>
      </c>
      <c r="BJ512" s="2126">
        <v>11099.615638503084</v>
      </c>
      <c r="BK512" s="2126">
        <v>0</v>
      </c>
      <c r="BL512" s="2126">
        <v>0</v>
      </c>
      <c r="BM512" s="2126">
        <v>0</v>
      </c>
      <c r="BN512" s="2126">
        <v>0</v>
      </c>
      <c r="BO512" s="2126">
        <v>0</v>
      </c>
      <c r="BP512" s="2126">
        <v>0</v>
      </c>
      <c r="BQ512" s="2126">
        <v>0</v>
      </c>
      <c r="BR512" s="2126">
        <v>0</v>
      </c>
    </row>
    <row r="513" spans="1:70" s="1765" customFormat="1" ht="33">
      <c r="A513" s="1272">
        <v>3000</v>
      </c>
      <c r="B513" s="971" t="s">
        <v>1072</v>
      </c>
      <c r="C513" s="1272">
        <v>3100</v>
      </c>
      <c r="D513" s="971" t="s">
        <v>120</v>
      </c>
      <c r="E513" s="971">
        <v>3130</v>
      </c>
      <c r="F513" s="971" t="s">
        <v>148</v>
      </c>
      <c r="G513" s="971">
        <v>3139</v>
      </c>
      <c r="H513" s="971" t="s">
        <v>1172</v>
      </c>
      <c r="I513" s="1273"/>
      <c r="J513" s="971" t="s">
        <v>121</v>
      </c>
      <c r="K513" s="971" t="s">
        <v>150</v>
      </c>
      <c r="L513" s="971" t="s">
        <v>2800</v>
      </c>
      <c r="M513" s="971" t="s">
        <v>80</v>
      </c>
      <c r="N513" s="971" t="s">
        <v>83</v>
      </c>
      <c r="O513" s="971" t="s">
        <v>151</v>
      </c>
      <c r="P513" s="971" t="s">
        <v>152</v>
      </c>
      <c r="Q513" s="971" t="s">
        <v>1177</v>
      </c>
      <c r="R513" s="1266"/>
      <c r="S513" s="2106">
        <v>55800</v>
      </c>
      <c r="T513" s="1266" t="s">
        <v>136</v>
      </c>
      <c r="U513" s="1742">
        <v>1.2691883296460175E-2</v>
      </c>
      <c r="V513" s="1742">
        <v>0.14624999999999999</v>
      </c>
      <c r="W513" s="1742">
        <v>1.1186625937499999</v>
      </c>
      <c r="X513" s="1742">
        <v>0.4015178457754629</v>
      </c>
      <c r="Y513" s="2106">
        <v>1.6649423457754629</v>
      </c>
      <c r="Z513" s="2106">
        <v>708.20708794247776</v>
      </c>
      <c r="AA513" s="2106">
        <v>8160.7499999999991</v>
      </c>
      <c r="AB513" s="2106">
        <v>62421.37273124999</v>
      </c>
      <c r="AC513" s="2106">
        <v>22404.695794270829</v>
      </c>
      <c r="AD513" s="1744">
        <v>92903.782894270829</v>
      </c>
      <c r="AE513" s="2126">
        <v>0</v>
      </c>
      <c r="AF513" s="2126">
        <v>0</v>
      </c>
      <c r="AG513" s="1212">
        <v>1</v>
      </c>
      <c r="AH513" s="1212">
        <v>0</v>
      </c>
      <c r="AI513" s="1212">
        <v>0</v>
      </c>
      <c r="AJ513" s="1212">
        <v>1</v>
      </c>
      <c r="AK513" s="2126">
        <v>92903.782894270829</v>
      </c>
      <c r="AL513" s="2126">
        <v>0</v>
      </c>
      <c r="AM513" s="2126">
        <v>0</v>
      </c>
      <c r="AN513" s="2126">
        <v>92903.782894270829</v>
      </c>
      <c r="AO513" s="1743" t="s">
        <v>85</v>
      </c>
      <c r="AP513" s="1743" t="s">
        <v>90</v>
      </c>
      <c r="AQ513" s="1764">
        <v>2019</v>
      </c>
      <c r="AR513" s="1743" t="s">
        <v>87</v>
      </c>
      <c r="AS513" s="2135"/>
      <c r="AT513" s="2135"/>
      <c r="AU513" s="1212">
        <v>0.33333333333333331</v>
      </c>
      <c r="AV513" s="1212">
        <v>0.33333333333333331</v>
      </c>
      <c r="AW513" s="1212">
        <v>0.33333333333333331</v>
      </c>
      <c r="AX513" s="1212"/>
      <c r="AY513" s="1212"/>
      <c r="AZ513" s="1212"/>
      <c r="BA513" s="1212"/>
      <c r="BB513" s="1212"/>
      <c r="BC513" s="1212"/>
      <c r="BD513" s="1212"/>
      <c r="BE513" s="1212"/>
      <c r="BF513" s="2126">
        <v>0</v>
      </c>
      <c r="BG513" s="2126">
        <v>0</v>
      </c>
      <c r="BH513" s="2126">
        <v>30967.927631423609</v>
      </c>
      <c r="BI513" s="2126">
        <v>30967.927631423609</v>
      </c>
      <c r="BJ513" s="2126">
        <v>30967.927631423609</v>
      </c>
      <c r="BK513" s="2126">
        <v>0</v>
      </c>
      <c r="BL513" s="2126">
        <v>0</v>
      </c>
      <c r="BM513" s="2126">
        <v>0</v>
      </c>
      <c r="BN513" s="2126">
        <v>0</v>
      </c>
      <c r="BO513" s="2126">
        <v>0</v>
      </c>
      <c r="BP513" s="2126">
        <v>0</v>
      </c>
      <c r="BQ513" s="2126">
        <v>0</v>
      </c>
      <c r="BR513" s="2126">
        <v>0</v>
      </c>
    </row>
    <row r="514" spans="1:70" s="1765" customFormat="1" ht="33">
      <c r="A514" s="1272">
        <v>3000</v>
      </c>
      <c r="B514" s="971" t="s">
        <v>1072</v>
      </c>
      <c r="C514" s="1272">
        <v>3100</v>
      </c>
      <c r="D514" s="971" t="s">
        <v>120</v>
      </c>
      <c r="E514" s="971">
        <v>3130</v>
      </c>
      <c r="F514" s="971" t="s">
        <v>148</v>
      </c>
      <c r="G514" s="971">
        <v>3139</v>
      </c>
      <c r="H514" s="971" t="s">
        <v>1172</v>
      </c>
      <c r="I514" s="1273"/>
      <c r="J514" s="971" t="s">
        <v>121</v>
      </c>
      <c r="K514" s="971" t="s">
        <v>150</v>
      </c>
      <c r="L514" s="971" t="s">
        <v>2800</v>
      </c>
      <c r="M514" s="971" t="s">
        <v>80</v>
      </c>
      <c r="N514" s="971" t="s">
        <v>83</v>
      </c>
      <c r="O514" s="971" t="s">
        <v>151</v>
      </c>
      <c r="P514" s="971" t="s">
        <v>152</v>
      </c>
      <c r="Q514" s="971" t="s">
        <v>1178</v>
      </c>
      <c r="R514" s="1266"/>
      <c r="S514" s="2106">
        <v>-66300</v>
      </c>
      <c r="T514" s="1266" t="s">
        <v>136</v>
      </c>
      <c r="U514" s="1742">
        <v>1.2691883296460175E-2</v>
      </c>
      <c r="V514" s="1742">
        <v>0.14624999999999999</v>
      </c>
      <c r="W514" s="1742">
        <v>1.1186625937499999</v>
      </c>
      <c r="X514" s="1742">
        <v>0.4015178457754629</v>
      </c>
      <c r="Y514" s="2106">
        <v>1.6649423457754629</v>
      </c>
      <c r="Z514" s="2106">
        <v>-841.4718625553096</v>
      </c>
      <c r="AA514" s="2106">
        <v>-9696.375</v>
      </c>
      <c r="AB514" s="2106">
        <v>-74167.329965624987</v>
      </c>
      <c r="AC514" s="2106">
        <v>-26620.63317491319</v>
      </c>
      <c r="AD514" s="1744">
        <v>-110385.67752491319</v>
      </c>
      <c r="AE514" s="2126">
        <v>0</v>
      </c>
      <c r="AF514" s="2126">
        <v>0</v>
      </c>
      <c r="AG514" s="1212">
        <v>1</v>
      </c>
      <c r="AH514" s="1212">
        <v>0</v>
      </c>
      <c r="AI514" s="1212">
        <v>0</v>
      </c>
      <c r="AJ514" s="1212">
        <v>1</v>
      </c>
      <c r="AK514" s="2126">
        <v>-110385.67752491319</v>
      </c>
      <c r="AL514" s="2126">
        <v>0</v>
      </c>
      <c r="AM514" s="2126">
        <v>0</v>
      </c>
      <c r="AN514" s="2126">
        <v>-110385.67752491319</v>
      </c>
      <c r="AO514" s="1743" t="s">
        <v>85</v>
      </c>
      <c r="AP514" s="1743" t="s">
        <v>96</v>
      </c>
      <c r="AQ514" s="1764" t="s">
        <v>97</v>
      </c>
      <c r="AR514" s="1743" t="s">
        <v>87</v>
      </c>
      <c r="AS514" s="2135"/>
      <c r="AT514" s="2135"/>
      <c r="AU514" s="1212">
        <v>0.33333333333333331</v>
      </c>
      <c r="AV514" s="1212">
        <v>0.33333333333333331</v>
      </c>
      <c r="AW514" s="1212">
        <v>0.33333333333333331</v>
      </c>
      <c r="AX514" s="1212"/>
      <c r="AY514" s="1212"/>
      <c r="AZ514" s="1212"/>
      <c r="BA514" s="1212"/>
      <c r="BB514" s="1212"/>
      <c r="BC514" s="1212"/>
      <c r="BD514" s="1212"/>
      <c r="BE514" s="1212"/>
      <c r="BF514" s="2126">
        <v>0</v>
      </c>
      <c r="BG514" s="2126">
        <v>0</v>
      </c>
      <c r="BH514" s="2126">
        <v>-36795.22584163773</v>
      </c>
      <c r="BI514" s="2126">
        <v>-36795.22584163773</v>
      </c>
      <c r="BJ514" s="2126">
        <v>-36795.22584163773</v>
      </c>
      <c r="BK514" s="2126">
        <v>0</v>
      </c>
      <c r="BL514" s="2126">
        <v>0</v>
      </c>
      <c r="BM514" s="2126">
        <v>0</v>
      </c>
      <c r="BN514" s="2126">
        <v>0</v>
      </c>
      <c r="BO514" s="2126">
        <v>0</v>
      </c>
      <c r="BP514" s="2126">
        <v>0</v>
      </c>
      <c r="BQ514" s="2126">
        <v>0</v>
      </c>
      <c r="BR514" s="2126">
        <v>0</v>
      </c>
    </row>
    <row r="515" spans="1:70" s="1765" customFormat="1" ht="33">
      <c r="A515" s="1272">
        <v>3000</v>
      </c>
      <c r="B515" s="971" t="s">
        <v>1072</v>
      </c>
      <c r="C515" s="1272">
        <v>3100</v>
      </c>
      <c r="D515" s="971" t="s">
        <v>120</v>
      </c>
      <c r="E515" s="971">
        <v>3130</v>
      </c>
      <c r="F515" s="971" t="s">
        <v>148</v>
      </c>
      <c r="G515" s="971">
        <v>3139</v>
      </c>
      <c r="H515" s="971" t="s">
        <v>1172</v>
      </c>
      <c r="I515" s="1273"/>
      <c r="J515" s="971" t="s">
        <v>121</v>
      </c>
      <c r="K515" s="971" t="s">
        <v>150</v>
      </c>
      <c r="L515" s="971" t="s">
        <v>2800</v>
      </c>
      <c r="M515" s="971" t="s">
        <v>80</v>
      </c>
      <c r="N515" s="971" t="s">
        <v>83</v>
      </c>
      <c r="O515" s="971" t="s">
        <v>151</v>
      </c>
      <c r="P515" s="971" t="s">
        <v>152</v>
      </c>
      <c r="Q515" s="971" t="s">
        <v>1178</v>
      </c>
      <c r="R515" s="1266"/>
      <c r="S515" s="2106">
        <v>66300</v>
      </c>
      <c r="T515" s="1266" t="s">
        <v>136</v>
      </c>
      <c r="U515" s="1742">
        <v>1.2691883296460175E-2</v>
      </c>
      <c r="V515" s="1742">
        <v>0.14624999999999999</v>
      </c>
      <c r="W515" s="1742">
        <v>1.1186625937499999</v>
      </c>
      <c r="X515" s="1742">
        <v>0.4015178457754629</v>
      </c>
      <c r="Y515" s="2106">
        <v>1.6649423457754629</v>
      </c>
      <c r="Z515" s="2106">
        <v>841.4718625553096</v>
      </c>
      <c r="AA515" s="2106">
        <v>9696.375</v>
      </c>
      <c r="AB515" s="2106">
        <v>74167.329965624987</v>
      </c>
      <c r="AC515" s="2106">
        <v>26620.63317491319</v>
      </c>
      <c r="AD515" s="1744">
        <v>110385.67752491319</v>
      </c>
      <c r="AE515" s="2126">
        <v>0</v>
      </c>
      <c r="AF515" s="2126">
        <v>0</v>
      </c>
      <c r="AG515" s="1212">
        <v>1</v>
      </c>
      <c r="AH515" s="1212">
        <v>0</v>
      </c>
      <c r="AI515" s="1212">
        <v>0</v>
      </c>
      <c r="AJ515" s="1212">
        <v>1</v>
      </c>
      <c r="AK515" s="2126">
        <v>110385.67752491319</v>
      </c>
      <c r="AL515" s="2126">
        <v>0</v>
      </c>
      <c r="AM515" s="2126">
        <v>0</v>
      </c>
      <c r="AN515" s="2126">
        <v>110385.67752491319</v>
      </c>
      <c r="AO515" s="1743" t="s">
        <v>85</v>
      </c>
      <c r="AP515" s="1743" t="s">
        <v>90</v>
      </c>
      <c r="AQ515" s="1764">
        <v>2019</v>
      </c>
      <c r="AR515" s="1743" t="s">
        <v>87</v>
      </c>
      <c r="AS515" s="2135"/>
      <c r="AT515" s="2135"/>
      <c r="AU515" s="1212">
        <v>0.33333333333333331</v>
      </c>
      <c r="AV515" s="1212">
        <v>0.33333333333333331</v>
      </c>
      <c r="AW515" s="1212">
        <v>0.33333333333333331</v>
      </c>
      <c r="AX515" s="1212"/>
      <c r="AY515" s="1212"/>
      <c r="AZ515" s="1212"/>
      <c r="BA515" s="1212"/>
      <c r="BB515" s="1212"/>
      <c r="BC515" s="1212"/>
      <c r="BD515" s="1212"/>
      <c r="BE515" s="1212"/>
      <c r="BF515" s="2126">
        <v>0</v>
      </c>
      <c r="BG515" s="2126">
        <v>0</v>
      </c>
      <c r="BH515" s="2126">
        <v>36795.22584163773</v>
      </c>
      <c r="BI515" s="2126">
        <v>36795.22584163773</v>
      </c>
      <c r="BJ515" s="2126">
        <v>36795.22584163773</v>
      </c>
      <c r="BK515" s="2126">
        <v>0</v>
      </c>
      <c r="BL515" s="2126">
        <v>0</v>
      </c>
      <c r="BM515" s="2126">
        <v>0</v>
      </c>
      <c r="BN515" s="2126">
        <v>0</v>
      </c>
      <c r="BO515" s="2126">
        <v>0</v>
      </c>
      <c r="BP515" s="2126">
        <v>0</v>
      </c>
      <c r="BQ515" s="2126">
        <v>0</v>
      </c>
      <c r="BR515" s="2126">
        <v>0</v>
      </c>
    </row>
    <row r="516" spans="1:70" s="1765" customFormat="1" ht="33">
      <c r="A516" s="1272">
        <v>3000</v>
      </c>
      <c r="B516" s="971" t="s">
        <v>1072</v>
      </c>
      <c r="C516" s="1272">
        <v>3100</v>
      </c>
      <c r="D516" s="971" t="s">
        <v>120</v>
      </c>
      <c r="E516" s="971">
        <v>3130</v>
      </c>
      <c r="F516" s="971" t="s">
        <v>148</v>
      </c>
      <c r="G516" s="971">
        <v>3139</v>
      </c>
      <c r="H516" s="971" t="s">
        <v>1172</v>
      </c>
      <c r="I516" s="1273"/>
      <c r="J516" s="971" t="s">
        <v>121</v>
      </c>
      <c r="K516" s="971" t="s">
        <v>150</v>
      </c>
      <c r="L516" s="971" t="s">
        <v>2800</v>
      </c>
      <c r="M516" s="971" t="s">
        <v>80</v>
      </c>
      <c r="N516" s="971" t="s">
        <v>83</v>
      </c>
      <c r="O516" s="971" t="s">
        <v>151</v>
      </c>
      <c r="P516" s="971" t="s">
        <v>152</v>
      </c>
      <c r="Q516" s="971" t="s">
        <v>1179</v>
      </c>
      <c r="R516" s="1266"/>
      <c r="S516" s="2106">
        <v>-28900</v>
      </c>
      <c r="T516" s="1266" t="s">
        <v>136</v>
      </c>
      <c r="U516" s="1742">
        <v>1.2691883296460175E-2</v>
      </c>
      <c r="V516" s="1742">
        <v>0.14624999999999999</v>
      </c>
      <c r="W516" s="1742">
        <v>1.1186625937499999</v>
      </c>
      <c r="X516" s="1742">
        <v>0.4015178457754629</v>
      </c>
      <c r="Y516" s="2106">
        <v>1.6649423457754629</v>
      </c>
      <c r="Z516" s="2106">
        <v>-366.79542726769904</v>
      </c>
      <c r="AA516" s="2106">
        <v>-4226.625</v>
      </c>
      <c r="AB516" s="2106">
        <v>-32329.348959374998</v>
      </c>
      <c r="AC516" s="2106">
        <v>-11603.865742910877</v>
      </c>
      <c r="AD516" s="1744">
        <v>-48116.833792910875</v>
      </c>
      <c r="AE516" s="2126">
        <v>0</v>
      </c>
      <c r="AF516" s="2126">
        <v>0</v>
      </c>
      <c r="AG516" s="1212">
        <v>1</v>
      </c>
      <c r="AH516" s="1212">
        <v>0</v>
      </c>
      <c r="AI516" s="1212">
        <v>0</v>
      </c>
      <c r="AJ516" s="1212">
        <v>1</v>
      </c>
      <c r="AK516" s="2126">
        <v>-48116.833792910875</v>
      </c>
      <c r="AL516" s="2126">
        <v>0</v>
      </c>
      <c r="AM516" s="2126">
        <v>0</v>
      </c>
      <c r="AN516" s="2126">
        <v>-48116.833792910875</v>
      </c>
      <c r="AO516" s="1743" t="s">
        <v>85</v>
      </c>
      <c r="AP516" s="1743" t="s">
        <v>96</v>
      </c>
      <c r="AQ516" s="1764" t="s">
        <v>97</v>
      </c>
      <c r="AR516" s="1743" t="s">
        <v>87</v>
      </c>
      <c r="AS516" s="2135"/>
      <c r="AT516" s="2135"/>
      <c r="AU516" s="1212">
        <v>0.33333333333333331</v>
      </c>
      <c r="AV516" s="1212">
        <v>0.33333333333333331</v>
      </c>
      <c r="AW516" s="1212">
        <v>0.33333333333333331</v>
      </c>
      <c r="AX516" s="1212"/>
      <c r="AY516" s="1212"/>
      <c r="AZ516" s="1212"/>
      <c r="BA516" s="1212"/>
      <c r="BB516" s="1212"/>
      <c r="BC516" s="1212"/>
      <c r="BD516" s="1212"/>
      <c r="BE516" s="1212"/>
      <c r="BF516" s="2126">
        <v>0</v>
      </c>
      <c r="BG516" s="2126">
        <v>0</v>
      </c>
      <c r="BH516" s="2126">
        <v>-16038.944597636957</v>
      </c>
      <c r="BI516" s="2126">
        <v>-16038.944597636957</v>
      </c>
      <c r="BJ516" s="2126">
        <v>-16038.944597636957</v>
      </c>
      <c r="BK516" s="2126">
        <v>0</v>
      </c>
      <c r="BL516" s="2126">
        <v>0</v>
      </c>
      <c r="BM516" s="2126">
        <v>0</v>
      </c>
      <c r="BN516" s="2126">
        <v>0</v>
      </c>
      <c r="BO516" s="2126">
        <v>0</v>
      </c>
      <c r="BP516" s="2126">
        <v>0</v>
      </c>
      <c r="BQ516" s="2126">
        <v>0</v>
      </c>
      <c r="BR516" s="2126">
        <v>0</v>
      </c>
    </row>
    <row r="517" spans="1:70" s="1765" customFormat="1" ht="33">
      <c r="A517" s="1272">
        <v>3000</v>
      </c>
      <c r="B517" s="971" t="s">
        <v>1072</v>
      </c>
      <c r="C517" s="1272">
        <v>3100</v>
      </c>
      <c r="D517" s="971" t="s">
        <v>120</v>
      </c>
      <c r="E517" s="971">
        <v>3130</v>
      </c>
      <c r="F517" s="971" t="s">
        <v>148</v>
      </c>
      <c r="G517" s="971">
        <v>3139</v>
      </c>
      <c r="H517" s="971" t="s">
        <v>1172</v>
      </c>
      <c r="I517" s="1273"/>
      <c r="J517" s="971" t="s">
        <v>121</v>
      </c>
      <c r="K517" s="971" t="s">
        <v>150</v>
      </c>
      <c r="L517" s="971" t="s">
        <v>2800</v>
      </c>
      <c r="M517" s="971" t="s">
        <v>80</v>
      </c>
      <c r="N517" s="971" t="s">
        <v>83</v>
      </c>
      <c r="O517" s="971" t="s">
        <v>151</v>
      </c>
      <c r="P517" s="971" t="s">
        <v>152</v>
      </c>
      <c r="Q517" s="971" t="s">
        <v>1179</v>
      </c>
      <c r="R517" s="1266"/>
      <c r="S517" s="2106">
        <v>28900</v>
      </c>
      <c r="T517" s="1266" t="s">
        <v>136</v>
      </c>
      <c r="U517" s="1742">
        <v>1.2691883296460175E-2</v>
      </c>
      <c r="V517" s="1742">
        <v>0.14624999999999999</v>
      </c>
      <c r="W517" s="1742">
        <v>1.1186625937499999</v>
      </c>
      <c r="X517" s="1742">
        <v>0.4015178457754629</v>
      </c>
      <c r="Y517" s="2106">
        <v>1.6649423457754629</v>
      </c>
      <c r="Z517" s="2106">
        <v>366.79542726769904</v>
      </c>
      <c r="AA517" s="2106">
        <v>4226.625</v>
      </c>
      <c r="AB517" s="2106">
        <v>32329.348959374998</v>
      </c>
      <c r="AC517" s="2106">
        <v>11603.865742910877</v>
      </c>
      <c r="AD517" s="1744">
        <v>48116.833792910875</v>
      </c>
      <c r="AE517" s="2126">
        <v>0</v>
      </c>
      <c r="AF517" s="2126">
        <v>0</v>
      </c>
      <c r="AG517" s="1212">
        <v>1</v>
      </c>
      <c r="AH517" s="1212">
        <v>0</v>
      </c>
      <c r="AI517" s="1212">
        <v>0</v>
      </c>
      <c r="AJ517" s="1212">
        <v>1</v>
      </c>
      <c r="AK517" s="2126">
        <v>48116.833792910875</v>
      </c>
      <c r="AL517" s="2126">
        <v>0</v>
      </c>
      <c r="AM517" s="2126">
        <v>0</v>
      </c>
      <c r="AN517" s="2126">
        <v>48116.833792910875</v>
      </c>
      <c r="AO517" s="1743" t="s">
        <v>85</v>
      </c>
      <c r="AP517" s="1743" t="s">
        <v>90</v>
      </c>
      <c r="AQ517" s="1764">
        <v>2019</v>
      </c>
      <c r="AR517" s="1743" t="s">
        <v>87</v>
      </c>
      <c r="AS517" s="2135"/>
      <c r="AT517" s="2135"/>
      <c r="AU517" s="1212">
        <v>0.33333333333333331</v>
      </c>
      <c r="AV517" s="1212">
        <v>0.33333333333333331</v>
      </c>
      <c r="AW517" s="1212">
        <v>0.33333333333333331</v>
      </c>
      <c r="AX517" s="1212"/>
      <c r="AY517" s="1212"/>
      <c r="AZ517" s="1212"/>
      <c r="BA517" s="1212"/>
      <c r="BB517" s="1212"/>
      <c r="BC517" s="1212"/>
      <c r="BD517" s="1212"/>
      <c r="BE517" s="1212"/>
      <c r="BF517" s="2126">
        <v>0</v>
      </c>
      <c r="BG517" s="2126">
        <v>0</v>
      </c>
      <c r="BH517" s="2126">
        <v>16038.944597636957</v>
      </c>
      <c r="BI517" s="2126">
        <v>16038.944597636957</v>
      </c>
      <c r="BJ517" s="2126">
        <v>16038.944597636957</v>
      </c>
      <c r="BK517" s="2126">
        <v>0</v>
      </c>
      <c r="BL517" s="2126">
        <v>0</v>
      </c>
      <c r="BM517" s="2126">
        <v>0</v>
      </c>
      <c r="BN517" s="2126">
        <v>0</v>
      </c>
      <c r="BO517" s="2126">
        <v>0</v>
      </c>
      <c r="BP517" s="2126">
        <v>0</v>
      </c>
      <c r="BQ517" s="2126">
        <v>0</v>
      </c>
      <c r="BR517" s="2126">
        <v>0</v>
      </c>
    </row>
    <row r="518" spans="1:70" s="1765" customFormat="1" ht="33">
      <c r="A518" s="1272">
        <v>3000</v>
      </c>
      <c r="B518" s="971" t="s">
        <v>1072</v>
      </c>
      <c r="C518" s="1272">
        <v>3100</v>
      </c>
      <c r="D518" s="971" t="s">
        <v>120</v>
      </c>
      <c r="E518" s="971">
        <v>3130</v>
      </c>
      <c r="F518" s="971" t="s">
        <v>148</v>
      </c>
      <c r="G518" s="971">
        <v>3139</v>
      </c>
      <c r="H518" s="971" t="s">
        <v>1172</v>
      </c>
      <c r="I518" s="1273"/>
      <c r="J518" s="971" t="s">
        <v>121</v>
      </c>
      <c r="K518" s="971" t="s">
        <v>150</v>
      </c>
      <c r="L518" s="971" t="s">
        <v>2800</v>
      </c>
      <c r="M518" s="971" t="s">
        <v>80</v>
      </c>
      <c r="N518" s="971" t="s">
        <v>83</v>
      </c>
      <c r="O518" s="971" t="s">
        <v>151</v>
      </c>
      <c r="P518" s="971" t="s">
        <v>152</v>
      </c>
      <c r="Q518" s="971" t="s">
        <v>1180</v>
      </c>
      <c r="R518" s="1266" t="s">
        <v>1181</v>
      </c>
      <c r="S518" s="2106">
        <v>92500</v>
      </c>
      <c r="T518" s="1266" t="s">
        <v>136</v>
      </c>
      <c r="U518" s="1742">
        <v>1.2691883296460175E-2</v>
      </c>
      <c r="V518" s="1742">
        <v>0.14624999999999999</v>
      </c>
      <c r="W518" s="1742">
        <v>1.1186625937499999</v>
      </c>
      <c r="X518" s="1742">
        <v>0.4015178457754629</v>
      </c>
      <c r="Y518" s="2106">
        <v>1.6649423457754629</v>
      </c>
      <c r="Z518" s="2106">
        <v>1173.9992049225662</v>
      </c>
      <c r="AA518" s="2106">
        <v>13528.125</v>
      </c>
      <c r="AB518" s="2106">
        <v>103476.289921875</v>
      </c>
      <c r="AC518" s="2106">
        <v>37140.400734230316</v>
      </c>
      <c r="AD518" s="1744">
        <v>154007.16698423031</v>
      </c>
      <c r="AE518" s="2126">
        <v>0</v>
      </c>
      <c r="AF518" s="2126">
        <v>0</v>
      </c>
      <c r="AG518" s="1212">
        <v>0</v>
      </c>
      <c r="AH518" s="1212">
        <v>1</v>
      </c>
      <c r="AI518" s="1212">
        <v>0</v>
      </c>
      <c r="AJ518" s="1212">
        <v>1</v>
      </c>
      <c r="AK518" s="2126">
        <v>0</v>
      </c>
      <c r="AL518" s="2126">
        <v>154007.16698423031</v>
      </c>
      <c r="AM518" s="2126">
        <v>0</v>
      </c>
      <c r="AN518" s="2126">
        <v>154007.16698423031</v>
      </c>
      <c r="AO518" s="1743" t="s">
        <v>85</v>
      </c>
      <c r="AP518" s="1743" t="s">
        <v>90</v>
      </c>
      <c r="AQ518" s="1764">
        <v>2019</v>
      </c>
      <c r="AR518" s="1743" t="s">
        <v>87</v>
      </c>
      <c r="AS518" s="2135"/>
      <c r="AT518" s="2135"/>
      <c r="AU518" s="1212">
        <v>0.33333333333333331</v>
      </c>
      <c r="AV518" s="1212">
        <v>0.33333333333333331</v>
      </c>
      <c r="AW518" s="1212">
        <v>0.33333333333333331</v>
      </c>
      <c r="AX518" s="1212"/>
      <c r="AY518" s="1212"/>
      <c r="AZ518" s="1212"/>
      <c r="BA518" s="1212"/>
      <c r="BB518" s="1212"/>
      <c r="BC518" s="1212"/>
      <c r="BD518" s="1212"/>
      <c r="BE518" s="1212"/>
      <c r="BF518" s="2126">
        <v>0</v>
      </c>
      <c r="BG518" s="2126">
        <v>0</v>
      </c>
      <c r="BH518" s="2126">
        <v>51335.722328076765</v>
      </c>
      <c r="BI518" s="2126">
        <v>51335.722328076765</v>
      </c>
      <c r="BJ518" s="2126">
        <v>51335.722328076765</v>
      </c>
      <c r="BK518" s="2126">
        <v>0</v>
      </c>
      <c r="BL518" s="2126">
        <v>0</v>
      </c>
      <c r="BM518" s="2126">
        <v>0</v>
      </c>
      <c r="BN518" s="2126">
        <v>0</v>
      </c>
      <c r="BO518" s="2126">
        <v>0</v>
      </c>
      <c r="BP518" s="2126">
        <v>0</v>
      </c>
      <c r="BQ518" s="2126">
        <v>0</v>
      </c>
      <c r="BR518" s="2126">
        <v>0</v>
      </c>
    </row>
    <row r="519" spans="1:70" s="1765" customFormat="1" ht="33">
      <c r="A519" s="1272">
        <v>3000</v>
      </c>
      <c r="B519" s="971" t="s">
        <v>1072</v>
      </c>
      <c r="C519" s="1272">
        <v>3100</v>
      </c>
      <c r="D519" s="971" t="s">
        <v>120</v>
      </c>
      <c r="E519" s="971">
        <v>3130</v>
      </c>
      <c r="F519" s="971" t="s">
        <v>148</v>
      </c>
      <c r="G519" s="971">
        <v>3139</v>
      </c>
      <c r="H519" s="971" t="s">
        <v>1172</v>
      </c>
      <c r="I519" s="1273"/>
      <c r="J519" s="971" t="s">
        <v>121</v>
      </c>
      <c r="K519" s="971" t="s">
        <v>150</v>
      </c>
      <c r="L519" s="971" t="s">
        <v>2800</v>
      </c>
      <c r="M519" s="971" t="s">
        <v>80</v>
      </c>
      <c r="N519" s="971" t="s">
        <v>83</v>
      </c>
      <c r="O519" s="971" t="s">
        <v>151</v>
      </c>
      <c r="P519" s="971" t="s">
        <v>152</v>
      </c>
      <c r="Q519" s="971" t="s">
        <v>1180</v>
      </c>
      <c r="R519" s="1266" t="s">
        <v>1181</v>
      </c>
      <c r="S519" s="2106">
        <v>-92500</v>
      </c>
      <c r="T519" s="1266" t="s">
        <v>136</v>
      </c>
      <c r="U519" s="1742">
        <v>1.2691883296460175E-2</v>
      </c>
      <c r="V519" s="1742">
        <v>0.14624999999999999</v>
      </c>
      <c r="W519" s="1742">
        <v>1.1186625937499999</v>
      </c>
      <c r="X519" s="1742">
        <v>0.4015178457754629</v>
      </c>
      <c r="Y519" s="2106">
        <v>1.6649423457754629</v>
      </c>
      <c r="Z519" s="2106">
        <v>-1173.9992049225662</v>
      </c>
      <c r="AA519" s="2106">
        <v>-13528.125</v>
      </c>
      <c r="AB519" s="2106">
        <v>-103476.289921875</v>
      </c>
      <c r="AC519" s="2106">
        <v>-37140.400734230316</v>
      </c>
      <c r="AD519" s="1744">
        <v>-154007.16698423031</v>
      </c>
      <c r="AE519" s="2126">
        <v>0</v>
      </c>
      <c r="AF519" s="2126">
        <v>0</v>
      </c>
      <c r="AG519" s="1212">
        <v>0</v>
      </c>
      <c r="AH519" s="1212">
        <v>1</v>
      </c>
      <c r="AI519" s="1212">
        <v>0</v>
      </c>
      <c r="AJ519" s="1212">
        <v>1</v>
      </c>
      <c r="AK519" s="2126">
        <v>0</v>
      </c>
      <c r="AL519" s="2126">
        <v>-154007.16698423031</v>
      </c>
      <c r="AM519" s="2126">
        <v>0</v>
      </c>
      <c r="AN519" s="2126">
        <v>-154007.16698423031</v>
      </c>
      <c r="AO519" s="1743" t="s">
        <v>85</v>
      </c>
      <c r="AP519" s="1743" t="s">
        <v>96</v>
      </c>
      <c r="AQ519" s="1764" t="s">
        <v>118</v>
      </c>
      <c r="AR519" s="1743" t="s">
        <v>87</v>
      </c>
      <c r="AS519" s="2135"/>
      <c r="AT519" s="2135"/>
      <c r="AU519" s="1212">
        <v>0.33333333333333331</v>
      </c>
      <c r="AV519" s="1212">
        <v>0.33333333333333331</v>
      </c>
      <c r="AW519" s="1212">
        <v>0.33333333333333331</v>
      </c>
      <c r="AX519" s="1212"/>
      <c r="AY519" s="1212"/>
      <c r="AZ519" s="1212"/>
      <c r="BA519" s="1212"/>
      <c r="BB519" s="1212"/>
      <c r="BC519" s="1212"/>
      <c r="BD519" s="1212"/>
      <c r="BE519" s="1212"/>
      <c r="BF519" s="2126">
        <v>0</v>
      </c>
      <c r="BG519" s="2126">
        <v>0</v>
      </c>
      <c r="BH519" s="2126">
        <v>-51335.722328076765</v>
      </c>
      <c r="BI519" s="2126">
        <v>-51335.722328076765</v>
      </c>
      <c r="BJ519" s="2126">
        <v>-51335.722328076765</v>
      </c>
      <c r="BK519" s="2126">
        <v>0</v>
      </c>
      <c r="BL519" s="2126">
        <v>0</v>
      </c>
      <c r="BM519" s="2126">
        <v>0</v>
      </c>
      <c r="BN519" s="2126">
        <v>0</v>
      </c>
      <c r="BO519" s="2126">
        <v>0</v>
      </c>
      <c r="BP519" s="2126">
        <v>0</v>
      </c>
      <c r="BQ519" s="2126">
        <v>0</v>
      </c>
      <c r="BR519" s="2126">
        <v>0</v>
      </c>
    </row>
    <row r="520" spans="1:70" s="1765" customFormat="1" ht="33">
      <c r="A520" s="1272">
        <v>3000</v>
      </c>
      <c r="B520" s="971" t="s">
        <v>1072</v>
      </c>
      <c r="C520" s="1272">
        <v>3100</v>
      </c>
      <c r="D520" s="971" t="s">
        <v>120</v>
      </c>
      <c r="E520" s="971">
        <v>3130</v>
      </c>
      <c r="F520" s="971" t="s">
        <v>148</v>
      </c>
      <c r="G520" s="971">
        <v>3139</v>
      </c>
      <c r="H520" s="971" t="s">
        <v>1172</v>
      </c>
      <c r="I520" s="1273"/>
      <c r="J520" s="971" t="s">
        <v>121</v>
      </c>
      <c r="K520" s="971" t="s">
        <v>150</v>
      </c>
      <c r="L520" s="971" t="s">
        <v>2800</v>
      </c>
      <c r="M520" s="971" t="s">
        <v>80</v>
      </c>
      <c r="N520" s="971" t="s">
        <v>83</v>
      </c>
      <c r="O520" s="971" t="s">
        <v>151</v>
      </c>
      <c r="P520" s="971" t="s">
        <v>152</v>
      </c>
      <c r="Q520" s="971" t="s">
        <v>1182</v>
      </c>
      <c r="R520" s="1266"/>
      <c r="S520" s="2106">
        <v>-34500</v>
      </c>
      <c r="T520" s="1266" t="s">
        <v>136</v>
      </c>
      <c r="U520" s="1742">
        <v>1.2691883296460175E-2</v>
      </c>
      <c r="V520" s="1742">
        <v>0.14624999999999999</v>
      </c>
      <c r="W520" s="1742">
        <v>1.1186625937499999</v>
      </c>
      <c r="X520" s="1742">
        <v>0.4015178457754629</v>
      </c>
      <c r="Y520" s="2106">
        <v>1.6649423457754629</v>
      </c>
      <c r="Z520" s="2106">
        <v>-437.86997372787602</v>
      </c>
      <c r="AA520" s="2106">
        <v>-5045.625</v>
      </c>
      <c r="AB520" s="2106">
        <v>-38593.859484374996</v>
      </c>
      <c r="AC520" s="2106">
        <v>-13852.365679253469</v>
      </c>
      <c r="AD520" s="1744">
        <v>-57440.510929253469</v>
      </c>
      <c r="AE520" s="2126">
        <v>0</v>
      </c>
      <c r="AF520" s="2126">
        <v>0</v>
      </c>
      <c r="AG520" s="1212">
        <v>1</v>
      </c>
      <c r="AH520" s="1212">
        <v>0</v>
      </c>
      <c r="AI520" s="1212">
        <v>0</v>
      </c>
      <c r="AJ520" s="1212">
        <v>1</v>
      </c>
      <c r="AK520" s="2126">
        <v>-57440.510929253469</v>
      </c>
      <c r="AL520" s="2126">
        <v>0</v>
      </c>
      <c r="AM520" s="2126">
        <v>0</v>
      </c>
      <c r="AN520" s="2126">
        <v>-57440.510929253469</v>
      </c>
      <c r="AO520" s="1743" t="s">
        <v>85</v>
      </c>
      <c r="AP520" s="1743" t="s">
        <v>96</v>
      </c>
      <c r="AQ520" s="1764" t="s">
        <v>97</v>
      </c>
      <c r="AR520" s="1743" t="s">
        <v>87</v>
      </c>
      <c r="AS520" s="2135"/>
      <c r="AT520" s="2135"/>
      <c r="AU520" s="1212">
        <v>0.33333333333333331</v>
      </c>
      <c r="AV520" s="1212">
        <v>0.33333333333333331</v>
      </c>
      <c r="AW520" s="1212">
        <v>0.33333333333333331</v>
      </c>
      <c r="AX520" s="1212"/>
      <c r="AY520" s="1212"/>
      <c r="AZ520" s="1212"/>
      <c r="BA520" s="1212"/>
      <c r="BB520" s="1212"/>
      <c r="BC520" s="1212"/>
      <c r="BD520" s="1212"/>
      <c r="BE520" s="1212"/>
      <c r="BF520" s="2126">
        <v>0</v>
      </c>
      <c r="BG520" s="2126">
        <v>0</v>
      </c>
      <c r="BH520" s="2126">
        <v>-19146.836976417821</v>
      </c>
      <c r="BI520" s="2126">
        <v>-19146.836976417821</v>
      </c>
      <c r="BJ520" s="2126">
        <v>-19146.836976417821</v>
      </c>
      <c r="BK520" s="2126">
        <v>0</v>
      </c>
      <c r="BL520" s="2126">
        <v>0</v>
      </c>
      <c r="BM520" s="2126">
        <v>0</v>
      </c>
      <c r="BN520" s="2126">
        <v>0</v>
      </c>
      <c r="BO520" s="2126">
        <v>0</v>
      </c>
      <c r="BP520" s="2126">
        <v>0</v>
      </c>
      <c r="BQ520" s="2126">
        <v>0</v>
      </c>
      <c r="BR520" s="2126">
        <v>0</v>
      </c>
    </row>
    <row r="521" spans="1:70" s="1765" customFormat="1" ht="33">
      <c r="A521" s="1272">
        <v>3000</v>
      </c>
      <c r="B521" s="971" t="s">
        <v>1072</v>
      </c>
      <c r="C521" s="1272">
        <v>3100</v>
      </c>
      <c r="D521" s="971" t="s">
        <v>120</v>
      </c>
      <c r="E521" s="971">
        <v>3130</v>
      </c>
      <c r="F521" s="971" t="s">
        <v>148</v>
      </c>
      <c r="G521" s="971">
        <v>3139</v>
      </c>
      <c r="H521" s="971" t="s">
        <v>1172</v>
      </c>
      <c r="I521" s="1273"/>
      <c r="J521" s="971" t="s">
        <v>121</v>
      </c>
      <c r="K521" s="971" t="s">
        <v>150</v>
      </c>
      <c r="L521" s="971" t="s">
        <v>2800</v>
      </c>
      <c r="M521" s="971" t="s">
        <v>80</v>
      </c>
      <c r="N521" s="971" t="s">
        <v>83</v>
      </c>
      <c r="O521" s="971" t="s">
        <v>151</v>
      </c>
      <c r="P521" s="971" t="s">
        <v>152</v>
      </c>
      <c r="Q521" s="971" t="s">
        <v>1182</v>
      </c>
      <c r="R521" s="1266"/>
      <c r="S521" s="2106">
        <v>34500</v>
      </c>
      <c r="T521" s="1266" t="s">
        <v>136</v>
      </c>
      <c r="U521" s="1742">
        <v>1.2691883296460175E-2</v>
      </c>
      <c r="V521" s="1742">
        <v>0.14624999999999999</v>
      </c>
      <c r="W521" s="1742">
        <v>1.1186625937499999</v>
      </c>
      <c r="X521" s="1742">
        <v>0.4015178457754629</v>
      </c>
      <c r="Y521" s="2106">
        <v>1.6649423457754629</v>
      </c>
      <c r="Z521" s="2106">
        <v>437.86997372787602</v>
      </c>
      <c r="AA521" s="2106">
        <v>5045.625</v>
      </c>
      <c r="AB521" s="2106">
        <v>38593.859484374996</v>
      </c>
      <c r="AC521" s="2106">
        <v>13852.365679253469</v>
      </c>
      <c r="AD521" s="1744">
        <v>57440.510929253469</v>
      </c>
      <c r="AE521" s="2126">
        <v>0</v>
      </c>
      <c r="AF521" s="2126">
        <v>0</v>
      </c>
      <c r="AG521" s="1212">
        <v>1</v>
      </c>
      <c r="AH521" s="1212">
        <v>0</v>
      </c>
      <c r="AI521" s="1212">
        <v>0</v>
      </c>
      <c r="AJ521" s="1212">
        <v>1</v>
      </c>
      <c r="AK521" s="2126">
        <v>57440.510929253469</v>
      </c>
      <c r="AL521" s="2126">
        <v>0</v>
      </c>
      <c r="AM521" s="2126">
        <v>0</v>
      </c>
      <c r="AN521" s="2126">
        <v>57440.510929253469</v>
      </c>
      <c r="AO521" s="1743" t="s">
        <v>85</v>
      </c>
      <c r="AP521" s="1743" t="s">
        <v>90</v>
      </c>
      <c r="AQ521" s="1764">
        <v>2019</v>
      </c>
      <c r="AR521" s="1743" t="s">
        <v>87</v>
      </c>
      <c r="AS521" s="2135"/>
      <c r="AT521" s="2135"/>
      <c r="AU521" s="1212">
        <v>0.33333333333333331</v>
      </c>
      <c r="AV521" s="1212">
        <v>0.33333333333333331</v>
      </c>
      <c r="AW521" s="1212">
        <v>0.33333333333333331</v>
      </c>
      <c r="AX521" s="1212"/>
      <c r="AY521" s="1212"/>
      <c r="AZ521" s="1212"/>
      <c r="BA521" s="1212"/>
      <c r="BB521" s="1212"/>
      <c r="BC521" s="1212"/>
      <c r="BD521" s="1212"/>
      <c r="BE521" s="1212"/>
      <c r="BF521" s="2126">
        <v>0</v>
      </c>
      <c r="BG521" s="2126">
        <v>0</v>
      </c>
      <c r="BH521" s="2126">
        <v>19146.836976417821</v>
      </c>
      <c r="BI521" s="2126">
        <v>19146.836976417821</v>
      </c>
      <c r="BJ521" s="2126">
        <v>19146.836976417821</v>
      </c>
      <c r="BK521" s="2126">
        <v>0</v>
      </c>
      <c r="BL521" s="2126">
        <v>0</v>
      </c>
      <c r="BM521" s="2126">
        <v>0</v>
      </c>
      <c r="BN521" s="2126">
        <v>0</v>
      </c>
      <c r="BO521" s="2126">
        <v>0</v>
      </c>
      <c r="BP521" s="2126">
        <v>0</v>
      </c>
      <c r="BQ521" s="2126">
        <v>0</v>
      </c>
      <c r="BR521" s="2126">
        <v>0</v>
      </c>
    </row>
    <row r="522" spans="1:70" s="1765" customFormat="1" ht="33">
      <c r="A522" s="1272">
        <v>3000</v>
      </c>
      <c r="B522" s="971" t="s">
        <v>1072</v>
      </c>
      <c r="C522" s="1272">
        <v>3100</v>
      </c>
      <c r="D522" s="971" t="s">
        <v>120</v>
      </c>
      <c r="E522" s="971">
        <v>3130</v>
      </c>
      <c r="F522" s="971" t="s">
        <v>148</v>
      </c>
      <c r="G522" s="971">
        <v>3139</v>
      </c>
      <c r="H522" s="971" t="s">
        <v>1172</v>
      </c>
      <c r="I522" s="1273"/>
      <c r="J522" s="971" t="s">
        <v>121</v>
      </c>
      <c r="K522" s="971" t="s">
        <v>150</v>
      </c>
      <c r="L522" s="971" t="s">
        <v>2800</v>
      </c>
      <c r="M522" s="971" t="s">
        <v>80</v>
      </c>
      <c r="N522" s="971" t="s">
        <v>83</v>
      </c>
      <c r="O522" s="971" t="s">
        <v>151</v>
      </c>
      <c r="P522" s="971" t="s">
        <v>152</v>
      </c>
      <c r="Q522" s="971" t="s">
        <v>1183</v>
      </c>
      <c r="R522" s="1266"/>
      <c r="S522" s="2106">
        <v>-7000</v>
      </c>
      <c r="T522" s="1266" t="s">
        <v>136</v>
      </c>
      <c r="U522" s="1742">
        <v>1.2691883296460175E-2</v>
      </c>
      <c r="V522" s="1742">
        <v>0.14624999999999999</v>
      </c>
      <c r="W522" s="1742">
        <v>1.1186625937499999</v>
      </c>
      <c r="X522" s="1742">
        <v>0.4015178457754629</v>
      </c>
      <c r="Y522" s="2106">
        <v>1.6649423457754629</v>
      </c>
      <c r="Z522" s="2106">
        <v>-88.843183075221219</v>
      </c>
      <c r="AA522" s="2106">
        <v>-1023.7499999999999</v>
      </c>
      <c r="AB522" s="2106">
        <v>-7830.6381562499992</v>
      </c>
      <c r="AC522" s="2106">
        <v>-2810.6249204282403</v>
      </c>
      <c r="AD522" s="1744">
        <v>-11654.596420428239</v>
      </c>
      <c r="AE522" s="2126">
        <v>0</v>
      </c>
      <c r="AF522" s="2126">
        <v>0</v>
      </c>
      <c r="AG522" s="1212">
        <v>1</v>
      </c>
      <c r="AH522" s="1212">
        <v>0</v>
      </c>
      <c r="AI522" s="1212">
        <v>0</v>
      </c>
      <c r="AJ522" s="1212">
        <v>1</v>
      </c>
      <c r="AK522" s="2126">
        <v>-11654.596420428239</v>
      </c>
      <c r="AL522" s="2126">
        <v>0</v>
      </c>
      <c r="AM522" s="2126">
        <v>0</v>
      </c>
      <c r="AN522" s="2126">
        <v>-11654.596420428239</v>
      </c>
      <c r="AO522" s="1743" t="s">
        <v>85</v>
      </c>
      <c r="AP522" s="1743" t="s">
        <v>96</v>
      </c>
      <c r="AQ522" s="1764" t="s">
        <v>97</v>
      </c>
      <c r="AR522" s="1743" t="s">
        <v>87</v>
      </c>
      <c r="AS522" s="2135"/>
      <c r="AT522" s="2135"/>
      <c r="AU522" s="1212">
        <v>0.33333333333333331</v>
      </c>
      <c r="AV522" s="1212">
        <v>0.33333333333333331</v>
      </c>
      <c r="AW522" s="1212">
        <v>0.33333333333333331</v>
      </c>
      <c r="AX522" s="1212"/>
      <c r="AY522" s="1212"/>
      <c r="AZ522" s="1212"/>
      <c r="BA522" s="1212"/>
      <c r="BB522" s="1212"/>
      <c r="BC522" s="1212"/>
      <c r="BD522" s="1212"/>
      <c r="BE522" s="1212"/>
      <c r="BF522" s="2126">
        <v>0</v>
      </c>
      <c r="BG522" s="2126">
        <v>0</v>
      </c>
      <c r="BH522" s="2126">
        <v>-3884.8654734760794</v>
      </c>
      <c r="BI522" s="2126">
        <v>-3884.8654734760794</v>
      </c>
      <c r="BJ522" s="2126">
        <v>-3884.8654734760794</v>
      </c>
      <c r="BK522" s="2126">
        <v>0</v>
      </c>
      <c r="BL522" s="2126">
        <v>0</v>
      </c>
      <c r="BM522" s="2126">
        <v>0</v>
      </c>
      <c r="BN522" s="2126">
        <v>0</v>
      </c>
      <c r="BO522" s="2126">
        <v>0</v>
      </c>
      <c r="BP522" s="2126">
        <v>0</v>
      </c>
      <c r="BQ522" s="2126">
        <v>0</v>
      </c>
      <c r="BR522" s="2126">
        <v>0</v>
      </c>
    </row>
    <row r="523" spans="1:70" s="1765" customFormat="1" ht="33">
      <c r="A523" s="1272">
        <v>3000</v>
      </c>
      <c r="B523" s="971" t="s">
        <v>1072</v>
      </c>
      <c r="C523" s="1272">
        <v>3100</v>
      </c>
      <c r="D523" s="971" t="s">
        <v>120</v>
      </c>
      <c r="E523" s="971">
        <v>3130</v>
      </c>
      <c r="F523" s="971" t="s">
        <v>148</v>
      </c>
      <c r="G523" s="971">
        <v>3139</v>
      </c>
      <c r="H523" s="971" t="s">
        <v>1172</v>
      </c>
      <c r="I523" s="1273"/>
      <c r="J523" s="971" t="s">
        <v>121</v>
      </c>
      <c r="K523" s="971" t="s">
        <v>150</v>
      </c>
      <c r="L523" s="971" t="s">
        <v>2800</v>
      </c>
      <c r="M523" s="971" t="s">
        <v>80</v>
      </c>
      <c r="N523" s="971" t="s">
        <v>83</v>
      </c>
      <c r="O523" s="971" t="s">
        <v>151</v>
      </c>
      <c r="P523" s="971" t="s">
        <v>152</v>
      </c>
      <c r="Q523" s="971" t="s">
        <v>1183</v>
      </c>
      <c r="R523" s="1266"/>
      <c r="S523" s="2106">
        <v>7000</v>
      </c>
      <c r="T523" s="1266" t="s">
        <v>136</v>
      </c>
      <c r="U523" s="1742">
        <v>1.2691883296460175E-2</v>
      </c>
      <c r="V523" s="1742">
        <v>0.14624999999999999</v>
      </c>
      <c r="W523" s="1742">
        <v>1.1186625937499999</v>
      </c>
      <c r="X523" s="1742">
        <v>0.4015178457754629</v>
      </c>
      <c r="Y523" s="2106">
        <v>1.6649423457754629</v>
      </c>
      <c r="Z523" s="2106">
        <v>88.843183075221219</v>
      </c>
      <c r="AA523" s="2106">
        <v>1023.7499999999999</v>
      </c>
      <c r="AB523" s="2106">
        <v>7830.6381562499992</v>
      </c>
      <c r="AC523" s="2106">
        <v>2810.6249204282403</v>
      </c>
      <c r="AD523" s="1744">
        <v>11654.596420428239</v>
      </c>
      <c r="AE523" s="2126">
        <v>0</v>
      </c>
      <c r="AF523" s="2126">
        <v>0</v>
      </c>
      <c r="AG523" s="1212">
        <v>1</v>
      </c>
      <c r="AH523" s="1212">
        <v>0</v>
      </c>
      <c r="AI523" s="1212">
        <v>0</v>
      </c>
      <c r="AJ523" s="1212">
        <v>1</v>
      </c>
      <c r="AK523" s="2126">
        <v>11654.596420428239</v>
      </c>
      <c r="AL523" s="2126">
        <v>0</v>
      </c>
      <c r="AM523" s="2126">
        <v>0</v>
      </c>
      <c r="AN523" s="2126">
        <v>11654.596420428239</v>
      </c>
      <c r="AO523" s="1743" t="s">
        <v>85</v>
      </c>
      <c r="AP523" s="1743" t="s">
        <v>90</v>
      </c>
      <c r="AQ523" s="1764">
        <v>2019</v>
      </c>
      <c r="AR523" s="1743" t="s">
        <v>87</v>
      </c>
      <c r="AS523" s="2135"/>
      <c r="AT523" s="2135"/>
      <c r="AU523" s="1212">
        <v>0.33333333333333331</v>
      </c>
      <c r="AV523" s="1212">
        <v>0.33333333333333331</v>
      </c>
      <c r="AW523" s="1212">
        <v>0.33333333333333331</v>
      </c>
      <c r="AX523" s="1212"/>
      <c r="AY523" s="1212"/>
      <c r="AZ523" s="1212"/>
      <c r="BA523" s="1212"/>
      <c r="BB523" s="1212"/>
      <c r="BC523" s="1212"/>
      <c r="BD523" s="1212"/>
      <c r="BE523" s="1212"/>
      <c r="BF523" s="2126">
        <v>0</v>
      </c>
      <c r="BG523" s="2126">
        <v>0</v>
      </c>
      <c r="BH523" s="2126">
        <v>3884.8654734760794</v>
      </c>
      <c r="BI523" s="2126">
        <v>3884.8654734760794</v>
      </c>
      <c r="BJ523" s="2126">
        <v>3884.8654734760794</v>
      </c>
      <c r="BK523" s="2126">
        <v>0</v>
      </c>
      <c r="BL523" s="2126">
        <v>0</v>
      </c>
      <c r="BM523" s="2126">
        <v>0</v>
      </c>
      <c r="BN523" s="2126">
        <v>0</v>
      </c>
      <c r="BO523" s="2126">
        <v>0</v>
      </c>
      <c r="BP523" s="2126">
        <v>0</v>
      </c>
      <c r="BQ523" s="2126">
        <v>0</v>
      </c>
      <c r="BR523" s="2126">
        <v>0</v>
      </c>
    </row>
    <row r="524" spans="1:70" s="1765" customFormat="1" ht="33">
      <c r="A524" s="1272">
        <v>3000</v>
      </c>
      <c r="B524" s="971" t="s">
        <v>1072</v>
      </c>
      <c r="C524" s="1272">
        <v>3100</v>
      </c>
      <c r="D524" s="971" t="s">
        <v>120</v>
      </c>
      <c r="E524" s="971">
        <v>3130</v>
      </c>
      <c r="F524" s="971" t="s">
        <v>148</v>
      </c>
      <c r="G524" s="971">
        <v>3139</v>
      </c>
      <c r="H524" s="971" t="s">
        <v>1172</v>
      </c>
      <c r="I524" s="1273"/>
      <c r="J524" s="971" t="s">
        <v>121</v>
      </c>
      <c r="K524" s="971" t="s">
        <v>150</v>
      </c>
      <c r="L524" s="971" t="s">
        <v>2800</v>
      </c>
      <c r="M524" s="971" t="s">
        <v>80</v>
      </c>
      <c r="N524" s="971" t="s">
        <v>83</v>
      </c>
      <c r="O524" s="971" t="s">
        <v>151</v>
      </c>
      <c r="P524" s="971" t="s">
        <v>152</v>
      </c>
      <c r="Q524" s="971" t="s">
        <v>1184</v>
      </c>
      <c r="R524" s="1266"/>
      <c r="S524" s="2106">
        <v>6000</v>
      </c>
      <c r="T524" s="1266" t="s">
        <v>136</v>
      </c>
      <c r="U524" s="1742">
        <v>1.2691883296460175E-2</v>
      </c>
      <c r="V524" s="1742">
        <v>0.14624999999999999</v>
      </c>
      <c r="W524" s="1742">
        <v>1.1186625937499999</v>
      </c>
      <c r="X524" s="1742">
        <v>0.4015178457754629</v>
      </c>
      <c r="Y524" s="2106">
        <v>1.6649423457754629</v>
      </c>
      <c r="Z524" s="2106">
        <v>76.151299778761057</v>
      </c>
      <c r="AA524" s="2106">
        <v>877.5</v>
      </c>
      <c r="AB524" s="2106">
        <v>6711.9755624999989</v>
      </c>
      <c r="AC524" s="2106">
        <v>2409.1070746527776</v>
      </c>
      <c r="AD524" s="1744">
        <v>9989.6540746527771</v>
      </c>
      <c r="AE524" s="2126">
        <v>0</v>
      </c>
      <c r="AF524" s="2126">
        <v>0</v>
      </c>
      <c r="AG524" s="1212">
        <v>1</v>
      </c>
      <c r="AH524" s="1212">
        <v>0</v>
      </c>
      <c r="AI524" s="1212">
        <v>0</v>
      </c>
      <c r="AJ524" s="1212">
        <v>1</v>
      </c>
      <c r="AK524" s="2126">
        <v>9989.6540746527771</v>
      </c>
      <c r="AL524" s="2126">
        <v>0</v>
      </c>
      <c r="AM524" s="2126">
        <v>0</v>
      </c>
      <c r="AN524" s="2126">
        <v>9989.6540746527771</v>
      </c>
      <c r="AO524" s="1743" t="s">
        <v>85</v>
      </c>
      <c r="AP524" s="1743" t="s">
        <v>90</v>
      </c>
      <c r="AQ524" s="1764" t="s">
        <v>108</v>
      </c>
      <c r="AR524" s="1743" t="s">
        <v>87</v>
      </c>
      <c r="AS524" s="2135"/>
      <c r="AT524" s="2135"/>
      <c r="AU524" s="1212">
        <v>0.33333333333333331</v>
      </c>
      <c r="AV524" s="1212">
        <v>0.33333333333333331</v>
      </c>
      <c r="AW524" s="1212">
        <v>0.33333333333333331</v>
      </c>
      <c r="AX524" s="1212"/>
      <c r="AY524" s="1212"/>
      <c r="AZ524" s="1212"/>
      <c r="BA524" s="1212"/>
      <c r="BB524" s="1212"/>
      <c r="BC524" s="1212"/>
      <c r="BD524" s="1212"/>
      <c r="BE524" s="1212"/>
      <c r="BF524" s="2126">
        <v>0</v>
      </c>
      <c r="BG524" s="2126">
        <v>0</v>
      </c>
      <c r="BH524" s="2126">
        <v>3329.8846915509257</v>
      </c>
      <c r="BI524" s="2126">
        <v>3329.8846915509257</v>
      </c>
      <c r="BJ524" s="2126">
        <v>3329.8846915509257</v>
      </c>
      <c r="BK524" s="2126">
        <v>0</v>
      </c>
      <c r="BL524" s="2126">
        <v>0</v>
      </c>
      <c r="BM524" s="2126">
        <v>0</v>
      </c>
      <c r="BN524" s="2126">
        <v>0</v>
      </c>
      <c r="BO524" s="2126">
        <v>0</v>
      </c>
      <c r="BP524" s="2126">
        <v>0</v>
      </c>
      <c r="BQ524" s="2126">
        <v>0</v>
      </c>
      <c r="BR524" s="2126">
        <v>0</v>
      </c>
    </row>
    <row r="525" spans="1:70" s="1765" customFormat="1" ht="33">
      <c r="A525" s="1272">
        <v>3000</v>
      </c>
      <c r="B525" s="971" t="s">
        <v>1072</v>
      </c>
      <c r="C525" s="1272">
        <v>3100</v>
      </c>
      <c r="D525" s="971" t="s">
        <v>120</v>
      </c>
      <c r="E525" s="971">
        <v>3130</v>
      </c>
      <c r="F525" s="971" t="s">
        <v>148</v>
      </c>
      <c r="G525" s="971">
        <v>3139</v>
      </c>
      <c r="H525" s="971" t="s">
        <v>1172</v>
      </c>
      <c r="I525" s="1273"/>
      <c r="J525" s="971" t="s">
        <v>121</v>
      </c>
      <c r="K525" s="971" t="s">
        <v>150</v>
      </c>
      <c r="L525" s="971" t="s">
        <v>2800</v>
      </c>
      <c r="M525" s="971" t="s">
        <v>80</v>
      </c>
      <c r="N525" s="971" t="s">
        <v>83</v>
      </c>
      <c r="O525" s="971" t="s">
        <v>151</v>
      </c>
      <c r="P525" s="971" t="s">
        <v>152</v>
      </c>
      <c r="Q525" s="971" t="s">
        <v>1185</v>
      </c>
      <c r="R525" s="1266"/>
      <c r="S525" s="2106">
        <v>6400</v>
      </c>
      <c r="T525" s="1266" t="s">
        <v>136</v>
      </c>
      <c r="U525" s="1742">
        <v>1.2691883296460175E-2</v>
      </c>
      <c r="V525" s="1742">
        <v>0.14624999999999999</v>
      </c>
      <c r="W525" s="1742">
        <v>1.1186625937499999</v>
      </c>
      <c r="X525" s="1742">
        <v>0.4015178457754629</v>
      </c>
      <c r="Y525" s="2106">
        <v>1.6649423457754629</v>
      </c>
      <c r="Z525" s="2106">
        <v>81.228053097345125</v>
      </c>
      <c r="AA525" s="2106">
        <v>936</v>
      </c>
      <c r="AB525" s="2106">
        <v>7159.440599999999</v>
      </c>
      <c r="AC525" s="2106">
        <v>2569.7142129629624</v>
      </c>
      <c r="AD525" s="1744">
        <v>10655.631012962962</v>
      </c>
      <c r="AE525" s="2126">
        <v>0</v>
      </c>
      <c r="AF525" s="2126">
        <v>0</v>
      </c>
      <c r="AG525" s="1212">
        <v>1</v>
      </c>
      <c r="AH525" s="1212">
        <v>0</v>
      </c>
      <c r="AI525" s="1212">
        <v>0</v>
      </c>
      <c r="AJ525" s="1212">
        <v>1</v>
      </c>
      <c r="AK525" s="2126">
        <v>10655.631012962962</v>
      </c>
      <c r="AL525" s="2126">
        <v>0</v>
      </c>
      <c r="AM525" s="2126">
        <v>0</v>
      </c>
      <c r="AN525" s="2126">
        <v>10655.631012962962</v>
      </c>
      <c r="AO525" s="1743" t="s">
        <v>85</v>
      </c>
      <c r="AP525" s="1743" t="s">
        <v>90</v>
      </c>
      <c r="AQ525" s="1764" t="s">
        <v>202</v>
      </c>
      <c r="AR525" s="1743" t="s">
        <v>87</v>
      </c>
      <c r="AS525" s="2135"/>
      <c r="AT525" s="2135"/>
      <c r="AU525" s="1212">
        <v>0.33333333333333331</v>
      </c>
      <c r="AV525" s="1212">
        <v>0.33333333333333331</v>
      </c>
      <c r="AW525" s="1212">
        <v>0.33333333333333331</v>
      </c>
      <c r="AX525" s="1212"/>
      <c r="AY525" s="1212"/>
      <c r="AZ525" s="1212"/>
      <c r="BA525" s="1212"/>
      <c r="BB525" s="1212"/>
      <c r="BC525" s="1212"/>
      <c r="BD525" s="1212"/>
      <c r="BE525" s="1212"/>
      <c r="BF525" s="2126">
        <v>0</v>
      </c>
      <c r="BG525" s="2126">
        <v>0</v>
      </c>
      <c r="BH525" s="2126">
        <v>3551.877004320987</v>
      </c>
      <c r="BI525" s="2126">
        <v>3551.877004320987</v>
      </c>
      <c r="BJ525" s="2126">
        <v>3551.877004320987</v>
      </c>
      <c r="BK525" s="2126">
        <v>0</v>
      </c>
      <c r="BL525" s="2126">
        <v>0</v>
      </c>
      <c r="BM525" s="2126">
        <v>0</v>
      </c>
      <c r="BN525" s="2126">
        <v>0</v>
      </c>
      <c r="BO525" s="2126">
        <v>0</v>
      </c>
      <c r="BP525" s="2126">
        <v>0</v>
      </c>
      <c r="BQ525" s="2126">
        <v>0</v>
      </c>
      <c r="BR525" s="2126">
        <v>0</v>
      </c>
    </row>
    <row r="526" spans="1:70" s="1765" customFormat="1" ht="33">
      <c r="A526" s="1272">
        <v>3000</v>
      </c>
      <c r="B526" s="971" t="s">
        <v>1072</v>
      </c>
      <c r="C526" s="1272">
        <v>3100</v>
      </c>
      <c r="D526" s="971" t="s">
        <v>120</v>
      </c>
      <c r="E526" s="971">
        <v>3130</v>
      </c>
      <c r="F526" s="971" t="s">
        <v>148</v>
      </c>
      <c r="G526" s="971">
        <v>3139</v>
      </c>
      <c r="H526" s="971" t="s">
        <v>1172</v>
      </c>
      <c r="I526" s="1273"/>
      <c r="J526" s="971" t="s">
        <v>121</v>
      </c>
      <c r="K526" s="971" t="s">
        <v>150</v>
      </c>
      <c r="L526" s="971" t="s">
        <v>2800</v>
      </c>
      <c r="M526" s="971" t="s">
        <v>80</v>
      </c>
      <c r="N526" s="971" t="s">
        <v>83</v>
      </c>
      <c r="O526" s="971" t="s">
        <v>151</v>
      </c>
      <c r="P526" s="971" t="s">
        <v>152</v>
      </c>
      <c r="Q526" s="971" t="s">
        <v>1186</v>
      </c>
      <c r="R526" s="1266"/>
      <c r="S526" s="2106">
        <v>6400</v>
      </c>
      <c r="T526" s="1266" t="s">
        <v>136</v>
      </c>
      <c r="U526" s="1742">
        <v>1.2691883296460175E-2</v>
      </c>
      <c r="V526" s="1742">
        <v>0.14624999999999999</v>
      </c>
      <c r="W526" s="1742">
        <v>1.1186625937499999</v>
      </c>
      <c r="X526" s="1742">
        <v>0.4015178457754629</v>
      </c>
      <c r="Y526" s="2106">
        <v>1.6649423457754629</v>
      </c>
      <c r="Z526" s="2106">
        <v>81.228053097345125</v>
      </c>
      <c r="AA526" s="2106">
        <v>936</v>
      </c>
      <c r="AB526" s="2106">
        <v>7159.440599999999</v>
      </c>
      <c r="AC526" s="2106">
        <v>2569.7142129629624</v>
      </c>
      <c r="AD526" s="1744">
        <v>10655.631012962962</v>
      </c>
      <c r="AE526" s="2126">
        <v>0</v>
      </c>
      <c r="AF526" s="2126">
        <v>0</v>
      </c>
      <c r="AG526" s="1212">
        <v>1</v>
      </c>
      <c r="AH526" s="1212">
        <v>0</v>
      </c>
      <c r="AI526" s="1212">
        <v>0</v>
      </c>
      <c r="AJ526" s="1212">
        <v>1</v>
      </c>
      <c r="AK526" s="2126">
        <v>10655.631012962962</v>
      </c>
      <c r="AL526" s="2126">
        <v>0</v>
      </c>
      <c r="AM526" s="2126">
        <v>0</v>
      </c>
      <c r="AN526" s="2126">
        <v>10655.631012962962</v>
      </c>
      <c r="AO526" s="1743" t="s">
        <v>85</v>
      </c>
      <c r="AP526" s="1743" t="s">
        <v>90</v>
      </c>
      <c r="AQ526" s="1764" t="s">
        <v>202</v>
      </c>
      <c r="AR526" s="1743" t="s">
        <v>87</v>
      </c>
      <c r="AS526" s="2135"/>
      <c r="AT526" s="2135"/>
      <c r="AU526" s="1212">
        <v>0.33333333333333331</v>
      </c>
      <c r="AV526" s="1212">
        <v>0.33333333333333331</v>
      </c>
      <c r="AW526" s="1212">
        <v>0.33333333333333331</v>
      </c>
      <c r="AX526" s="1212"/>
      <c r="AY526" s="1212"/>
      <c r="AZ526" s="1212"/>
      <c r="BA526" s="1212"/>
      <c r="BB526" s="1212"/>
      <c r="BC526" s="1212"/>
      <c r="BD526" s="1212"/>
      <c r="BE526" s="1212"/>
      <c r="BF526" s="2126">
        <v>0</v>
      </c>
      <c r="BG526" s="2126">
        <v>0</v>
      </c>
      <c r="BH526" s="2126">
        <v>3551.877004320987</v>
      </c>
      <c r="BI526" s="2126">
        <v>3551.877004320987</v>
      </c>
      <c r="BJ526" s="2126">
        <v>3551.877004320987</v>
      </c>
      <c r="BK526" s="2126">
        <v>0</v>
      </c>
      <c r="BL526" s="2126">
        <v>0</v>
      </c>
      <c r="BM526" s="2126">
        <v>0</v>
      </c>
      <c r="BN526" s="2126">
        <v>0</v>
      </c>
      <c r="BO526" s="2126">
        <v>0</v>
      </c>
      <c r="BP526" s="2126">
        <v>0</v>
      </c>
      <c r="BQ526" s="2126">
        <v>0</v>
      </c>
      <c r="BR526" s="2126">
        <v>0</v>
      </c>
    </row>
    <row r="527" spans="1:70" s="1765" customFormat="1" ht="33">
      <c r="A527" s="1272">
        <v>3000</v>
      </c>
      <c r="B527" s="971" t="s">
        <v>1072</v>
      </c>
      <c r="C527" s="1272">
        <v>3100</v>
      </c>
      <c r="D527" s="971" t="s">
        <v>120</v>
      </c>
      <c r="E527" s="971">
        <v>3130</v>
      </c>
      <c r="F527" s="971" t="s">
        <v>148</v>
      </c>
      <c r="G527" s="971">
        <v>3139</v>
      </c>
      <c r="H527" s="971" t="s">
        <v>1172</v>
      </c>
      <c r="I527" s="1273"/>
      <c r="J527" s="971" t="s">
        <v>121</v>
      </c>
      <c r="K527" s="971" t="s">
        <v>150</v>
      </c>
      <c r="L527" s="971" t="s">
        <v>2800</v>
      </c>
      <c r="M527" s="971" t="s">
        <v>80</v>
      </c>
      <c r="N527" s="971" t="s">
        <v>83</v>
      </c>
      <c r="O527" s="971" t="s">
        <v>151</v>
      </c>
      <c r="P527" s="971" t="s">
        <v>152</v>
      </c>
      <c r="Q527" s="971" t="s">
        <v>1187</v>
      </c>
      <c r="R527" s="1266"/>
      <c r="S527" s="2106">
        <v>5100</v>
      </c>
      <c r="T527" s="1266" t="s">
        <v>136</v>
      </c>
      <c r="U527" s="1742">
        <v>1.2691883296460175E-2</v>
      </c>
      <c r="V527" s="1742">
        <v>0.14624999999999999</v>
      </c>
      <c r="W527" s="1742">
        <v>1.1186625937499999</v>
      </c>
      <c r="X527" s="1742">
        <v>0.4015178457754629</v>
      </c>
      <c r="Y527" s="2106">
        <v>1.6649423457754629</v>
      </c>
      <c r="Z527" s="2106">
        <v>64.728604811946894</v>
      </c>
      <c r="AA527" s="2106">
        <v>745.875</v>
      </c>
      <c r="AB527" s="2106">
        <v>5705.1792281249991</v>
      </c>
      <c r="AC527" s="2106">
        <v>2047.7410134548609</v>
      </c>
      <c r="AD527" s="1744">
        <v>8491.2059634548605</v>
      </c>
      <c r="AE527" s="2126">
        <v>0</v>
      </c>
      <c r="AF527" s="2126">
        <v>0</v>
      </c>
      <c r="AG527" s="1212">
        <v>1</v>
      </c>
      <c r="AH527" s="1212">
        <v>0</v>
      </c>
      <c r="AI527" s="1212">
        <v>0</v>
      </c>
      <c r="AJ527" s="1212">
        <v>1</v>
      </c>
      <c r="AK527" s="2126">
        <v>8491.2059634548605</v>
      </c>
      <c r="AL527" s="2126">
        <v>0</v>
      </c>
      <c r="AM527" s="2126">
        <v>0</v>
      </c>
      <c r="AN527" s="2126">
        <v>8491.2059634548605</v>
      </c>
      <c r="AO527" s="1743" t="s">
        <v>85</v>
      </c>
      <c r="AP527" s="1743" t="s">
        <v>90</v>
      </c>
      <c r="AQ527" s="1764" t="s">
        <v>202</v>
      </c>
      <c r="AR527" s="1743" t="s">
        <v>87</v>
      </c>
      <c r="AS527" s="2135"/>
      <c r="AT527" s="2135"/>
      <c r="AU527" s="1212">
        <v>0.33333333333333331</v>
      </c>
      <c r="AV527" s="1212">
        <v>0.33333333333333331</v>
      </c>
      <c r="AW527" s="1212">
        <v>0.33333333333333331</v>
      </c>
      <c r="AX527" s="1212"/>
      <c r="AY527" s="1212"/>
      <c r="AZ527" s="1212"/>
      <c r="BA527" s="1212"/>
      <c r="BB527" s="1212"/>
      <c r="BC527" s="1212"/>
      <c r="BD527" s="1212"/>
      <c r="BE527" s="1212"/>
      <c r="BF527" s="2126">
        <v>0</v>
      </c>
      <c r="BG527" s="2126">
        <v>0</v>
      </c>
      <c r="BH527" s="2126">
        <v>2830.4019878182867</v>
      </c>
      <c r="BI527" s="2126">
        <v>2830.4019878182867</v>
      </c>
      <c r="BJ527" s="2126">
        <v>2830.4019878182867</v>
      </c>
      <c r="BK527" s="2126">
        <v>0</v>
      </c>
      <c r="BL527" s="2126">
        <v>0</v>
      </c>
      <c r="BM527" s="2126">
        <v>0</v>
      </c>
      <c r="BN527" s="2126">
        <v>0</v>
      </c>
      <c r="BO527" s="2126">
        <v>0</v>
      </c>
      <c r="BP527" s="2126">
        <v>0</v>
      </c>
      <c r="BQ527" s="2126">
        <v>0</v>
      </c>
      <c r="BR527" s="2126">
        <v>0</v>
      </c>
    </row>
    <row r="528" spans="1:70" s="1765" customFormat="1" ht="33">
      <c r="A528" s="1272">
        <v>3000</v>
      </c>
      <c r="B528" s="971" t="s">
        <v>1072</v>
      </c>
      <c r="C528" s="1272">
        <v>3100</v>
      </c>
      <c r="D528" s="971" t="s">
        <v>120</v>
      </c>
      <c r="E528" s="971">
        <v>3130</v>
      </c>
      <c r="F528" s="971" t="s">
        <v>148</v>
      </c>
      <c r="G528" s="971">
        <v>3139</v>
      </c>
      <c r="H528" s="971" t="s">
        <v>1172</v>
      </c>
      <c r="I528" s="1273"/>
      <c r="J528" s="971" t="s">
        <v>121</v>
      </c>
      <c r="K528" s="971" t="s">
        <v>150</v>
      </c>
      <c r="L528" s="971" t="s">
        <v>2800</v>
      </c>
      <c r="M528" s="971" t="s">
        <v>80</v>
      </c>
      <c r="N528" s="971" t="s">
        <v>83</v>
      </c>
      <c r="O528" s="971" t="s">
        <v>151</v>
      </c>
      <c r="P528" s="971" t="s">
        <v>152</v>
      </c>
      <c r="Q528" s="971" t="s">
        <v>1188</v>
      </c>
      <c r="R528" s="1266"/>
      <c r="S528" s="2106">
        <v>5600</v>
      </c>
      <c r="T528" s="1266" t="s">
        <v>136</v>
      </c>
      <c r="U528" s="1742">
        <v>1.2691883296460175E-2</v>
      </c>
      <c r="V528" s="1742">
        <v>0.14624999999999999</v>
      </c>
      <c r="W528" s="1742">
        <v>1.1186625937499999</v>
      </c>
      <c r="X528" s="1742">
        <v>0.4015178457754629</v>
      </c>
      <c r="Y528" s="2106">
        <v>1.6649423457754629</v>
      </c>
      <c r="Z528" s="2106">
        <v>71.074546460176975</v>
      </c>
      <c r="AA528" s="2106">
        <v>819</v>
      </c>
      <c r="AB528" s="2106">
        <v>6264.5105249999997</v>
      </c>
      <c r="AC528" s="2106">
        <v>2248.4999363425923</v>
      </c>
      <c r="AD528" s="1744">
        <v>9323.6771363425923</v>
      </c>
      <c r="AE528" s="2126">
        <v>0</v>
      </c>
      <c r="AF528" s="2126">
        <v>0</v>
      </c>
      <c r="AG528" s="1212">
        <v>1</v>
      </c>
      <c r="AH528" s="1212">
        <v>0</v>
      </c>
      <c r="AI528" s="1212">
        <v>0</v>
      </c>
      <c r="AJ528" s="1212">
        <v>1</v>
      </c>
      <c r="AK528" s="2126">
        <v>9323.6771363425923</v>
      </c>
      <c r="AL528" s="2126">
        <v>0</v>
      </c>
      <c r="AM528" s="2126">
        <v>0</v>
      </c>
      <c r="AN528" s="2126">
        <v>9323.6771363425923</v>
      </c>
      <c r="AO528" s="1743" t="s">
        <v>85</v>
      </c>
      <c r="AP528" s="1743" t="s">
        <v>90</v>
      </c>
      <c r="AQ528" s="1764" t="s">
        <v>202</v>
      </c>
      <c r="AR528" s="1743" t="s">
        <v>87</v>
      </c>
      <c r="AS528" s="2135"/>
      <c r="AT528" s="2135"/>
      <c r="AU528" s="1212">
        <v>0.33333333333333331</v>
      </c>
      <c r="AV528" s="1212">
        <v>0.33333333333333331</v>
      </c>
      <c r="AW528" s="1212">
        <v>0.33333333333333331</v>
      </c>
      <c r="AX528" s="1212"/>
      <c r="AY528" s="1212"/>
      <c r="AZ528" s="1212"/>
      <c r="BA528" s="1212"/>
      <c r="BB528" s="1212"/>
      <c r="BC528" s="1212"/>
      <c r="BD528" s="1212"/>
      <c r="BE528" s="1212"/>
      <c r="BF528" s="2126">
        <v>0</v>
      </c>
      <c r="BG528" s="2126">
        <v>0</v>
      </c>
      <c r="BH528" s="2126">
        <v>3107.892378780864</v>
      </c>
      <c r="BI528" s="2126">
        <v>3107.892378780864</v>
      </c>
      <c r="BJ528" s="2126">
        <v>3107.892378780864</v>
      </c>
      <c r="BK528" s="2126">
        <v>0</v>
      </c>
      <c r="BL528" s="2126">
        <v>0</v>
      </c>
      <c r="BM528" s="2126">
        <v>0</v>
      </c>
      <c r="BN528" s="2126">
        <v>0</v>
      </c>
      <c r="BO528" s="2126">
        <v>0</v>
      </c>
      <c r="BP528" s="2126">
        <v>0</v>
      </c>
      <c r="BQ528" s="2126">
        <v>0</v>
      </c>
      <c r="BR528" s="2126">
        <v>0</v>
      </c>
    </row>
    <row r="529" spans="1:70" s="1765" customFormat="1" ht="33">
      <c r="A529" s="1272">
        <v>3000</v>
      </c>
      <c r="B529" s="971" t="s">
        <v>1072</v>
      </c>
      <c r="C529" s="1272">
        <v>3100</v>
      </c>
      <c r="D529" s="971" t="s">
        <v>120</v>
      </c>
      <c r="E529" s="971">
        <v>3130</v>
      </c>
      <c r="F529" s="971" t="s">
        <v>148</v>
      </c>
      <c r="G529" s="971">
        <v>3139</v>
      </c>
      <c r="H529" s="971" t="s">
        <v>1172</v>
      </c>
      <c r="I529" s="1273"/>
      <c r="J529" s="971" t="s">
        <v>121</v>
      </c>
      <c r="K529" s="971" t="s">
        <v>150</v>
      </c>
      <c r="L529" s="971" t="s">
        <v>2800</v>
      </c>
      <c r="M529" s="971" t="s">
        <v>80</v>
      </c>
      <c r="N529" s="971" t="s">
        <v>83</v>
      </c>
      <c r="O529" s="971" t="s">
        <v>151</v>
      </c>
      <c r="P529" s="971" t="s">
        <v>152</v>
      </c>
      <c r="Q529" s="971" t="s">
        <v>1189</v>
      </c>
      <c r="R529" s="1266"/>
      <c r="S529" s="2106">
        <v>2600</v>
      </c>
      <c r="T529" s="1266" t="s">
        <v>136</v>
      </c>
      <c r="U529" s="1742">
        <v>1.2691883296460175E-2</v>
      </c>
      <c r="V529" s="1742">
        <v>0.14624999999999999</v>
      </c>
      <c r="W529" s="1742">
        <v>1.1186625937499999</v>
      </c>
      <c r="X529" s="1742">
        <v>0.4015178457754629</v>
      </c>
      <c r="Y529" s="2106">
        <v>1.6649423457754629</v>
      </c>
      <c r="Z529" s="2106">
        <v>32.998896570796454</v>
      </c>
      <c r="AA529" s="2106">
        <v>380.25</v>
      </c>
      <c r="AB529" s="2106">
        <v>2908.5227437499998</v>
      </c>
      <c r="AC529" s="2106">
        <v>1043.9463990162035</v>
      </c>
      <c r="AD529" s="1744">
        <v>4328.8500990162038</v>
      </c>
      <c r="AE529" s="2126">
        <v>0</v>
      </c>
      <c r="AF529" s="2126">
        <v>0</v>
      </c>
      <c r="AG529" s="1212">
        <v>1</v>
      </c>
      <c r="AH529" s="1212">
        <v>0</v>
      </c>
      <c r="AI529" s="1212">
        <v>0</v>
      </c>
      <c r="AJ529" s="1212">
        <v>1</v>
      </c>
      <c r="AK529" s="2126">
        <v>4328.8500990162038</v>
      </c>
      <c r="AL529" s="2126">
        <v>0</v>
      </c>
      <c r="AM529" s="2126">
        <v>0</v>
      </c>
      <c r="AN529" s="2126">
        <v>4328.8500990162038</v>
      </c>
      <c r="AO529" s="1743" t="s">
        <v>85</v>
      </c>
      <c r="AP529" s="1743" t="s">
        <v>90</v>
      </c>
      <c r="AQ529" s="1764" t="s">
        <v>202</v>
      </c>
      <c r="AR529" s="1743" t="s">
        <v>87</v>
      </c>
      <c r="AS529" s="2135"/>
      <c r="AT529" s="2135"/>
      <c r="AU529" s="1212">
        <v>0.33333333333333331</v>
      </c>
      <c r="AV529" s="1212">
        <v>0.33333333333333331</v>
      </c>
      <c r="AW529" s="1212">
        <v>0.33333333333333331</v>
      </c>
      <c r="AX529" s="1212"/>
      <c r="AY529" s="1212"/>
      <c r="AZ529" s="1212"/>
      <c r="BA529" s="1212"/>
      <c r="BB529" s="1212"/>
      <c r="BC529" s="1212"/>
      <c r="BD529" s="1212"/>
      <c r="BE529" s="1212"/>
      <c r="BF529" s="2126">
        <v>0</v>
      </c>
      <c r="BG529" s="2126">
        <v>0</v>
      </c>
      <c r="BH529" s="2126">
        <v>1442.9500330054011</v>
      </c>
      <c r="BI529" s="2126">
        <v>1442.9500330054011</v>
      </c>
      <c r="BJ529" s="2126">
        <v>1442.9500330054011</v>
      </c>
      <c r="BK529" s="2126">
        <v>0</v>
      </c>
      <c r="BL529" s="2126">
        <v>0</v>
      </c>
      <c r="BM529" s="2126">
        <v>0</v>
      </c>
      <c r="BN529" s="2126">
        <v>0</v>
      </c>
      <c r="BO529" s="2126">
        <v>0</v>
      </c>
      <c r="BP529" s="2126">
        <v>0</v>
      </c>
      <c r="BQ529" s="2126">
        <v>0</v>
      </c>
      <c r="BR529" s="2126">
        <v>0</v>
      </c>
    </row>
    <row r="530" spans="1:70" s="1765" customFormat="1" ht="33">
      <c r="A530" s="1272">
        <v>3000</v>
      </c>
      <c r="B530" s="971" t="s">
        <v>1072</v>
      </c>
      <c r="C530" s="1272">
        <v>3100</v>
      </c>
      <c r="D530" s="971" t="s">
        <v>120</v>
      </c>
      <c r="E530" s="971">
        <v>3130</v>
      </c>
      <c r="F530" s="971" t="s">
        <v>148</v>
      </c>
      <c r="G530" s="971">
        <v>3139</v>
      </c>
      <c r="H530" s="971" t="s">
        <v>1172</v>
      </c>
      <c r="I530" s="1273"/>
      <c r="J530" s="971" t="s">
        <v>121</v>
      </c>
      <c r="K530" s="971" t="s">
        <v>150</v>
      </c>
      <c r="L530" s="971" t="s">
        <v>2800</v>
      </c>
      <c r="M530" s="971" t="s">
        <v>80</v>
      </c>
      <c r="N530" s="971" t="s">
        <v>83</v>
      </c>
      <c r="O530" s="971" t="s">
        <v>151</v>
      </c>
      <c r="P530" s="971" t="s">
        <v>152</v>
      </c>
      <c r="Q530" s="971" t="s">
        <v>1190</v>
      </c>
      <c r="R530" s="1266"/>
      <c r="S530" s="2106">
        <v>4000</v>
      </c>
      <c r="T530" s="1266" t="s">
        <v>136</v>
      </c>
      <c r="U530" s="1742">
        <v>1.2691883296460175E-2</v>
      </c>
      <c r="V530" s="1742">
        <v>0.14624999999999999</v>
      </c>
      <c r="W530" s="1742">
        <v>1.1186625937499999</v>
      </c>
      <c r="X530" s="1742">
        <v>0.4015178457754629</v>
      </c>
      <c r="Y530" s="2106">
        <v>1.6649423457754629</v>
      </c>
      <c r="Z530" s="2106">
        <v>50.767533185840698</v>
      </c>
      <c r="AA530" s="2106">
        <v>585</v>
      </c>
      <c r="AB530" s="2106">
        <v>4474.6503749999993</v>
      </c>
      <c r="AC530" s="2106">
        <v>1606.0713831018516</v>
      </c>
      <c r="AD530" s="1744">
        <v>6659.7693831018514</v>
      </c>
      <c r="AE530" s="2126">
        <v>0</v>
      </c>
      <c r="AF530" s="2126">
        <v>0</v>
      </c>
      <c r="AG530" s="1212">
        <v>1</v>
      </c>
      <c r="AH530" s="1212">
        <v>0</v>
      </c>
      <c r="AI530" s="1212">
        <v>0</v>
      </c>
      <c r="AJ530" s="1212">
        <v>1</v>
      </c>
      <c r="AK530" s="2126">
        <v>6659.7693831018514</v>
      </c>
      <c r="AL530" s="2126">
        <v>0</v>
      </c>
      <c r="AM530" s="2126">
        <v>0</v>
      </c>
      <c r="AN530" s="2126">
        <v>6659.7693831018514</v>
      </c>
      <c r="AO530" s="1743" t="s">
        <v>85</v>
      </c>
      <c r="AP530" s="1743" t="s">
        <v>90</v>
      </c>
      <c r="AQ530" s="1764" t="s">
        <v>202</v>
      </c>
      <c r="AR530" s="1743" t="s">
        <v>87</v>
      </c>
      <c r="AS530" s="2135"/>
      <c r="AT530" s="2135"/>
      <c r="AU530" s="1212">
        <v>0.33333333333333331</v>
      </c>
      <c r="AV530" s="1212">
        <v>0.33333333333333331</v>
      </c>
      <c r="AW530" s="1212">
        <v>0.33333333333333331</v>
      </c>
      <c r="AX530" s="1212"/>
      <c r="AY530" s="1212"/>
      <c r="AZ530" s="1212"/>
      <c r="BA530" s="1212"/>
      <c r="BB530" s="1212"/>
      <c r="BC530" s="1212"/>
      <c r="BD530" s="1212"/>
      <c r="BE530" s="1212"/>
      <c r="BF530" s="2126">
        <v>0</v>
      </c>
      <c r="BG530" s="2126">
        <v>0</v>
      </c>
      <c r="BH530" s="2126">
        <v>2219.923127700617</v>
      </c>
      <c r="BI530" s="2126">
        <v>2219.923127700617</v>
      </c>
      <c r="BJ530" s="2126">
        <v>2219.923127700617</v>
      </c>
      <c r="BK530" s="2126">
        <v>0</v>
      </c>
      <c r="BL530" s="2126">
        <v>0</v>
      </c>
      <c r="BM530" s="2126">
        <v>0</v>
      </c>
      <c r="BN530" s="2126">
        <v>0</v>
      </c>
      <c r="BO530" s="2126">
        <v>0</v>
      </c>
      <c r="BP530" s="2126">
        <v>0</v>
      </c>
      <c r="BQ530" s="2126">
        <v>0</v>
      </c>
      <c r="BR530" s="2126">
        <v>0</v>
      </c>
    </row>
    <row r="531" spans="1:70" s="1765" customFormat="1" ht="33">
      <c r="A531" s="1272">
        <v>3000</v>
      </c>
      <c r="B531" s="971" t="s">
        <v>1072</v>
      </c>
      <c r="C531" s="1272">
        <v>3100</v>
      </c>
      <c r="D531" s="971" t="s">
        <v>120</v>
      </c>
      <c r="E531" s="971">
        <v>3130</v>
      </c>
      <c r="F531" s="971" t="s">
        <v>148</v>
      </c>
      <c r="G531" s="971">
        <v>3139</v>
      </c>
      <c r="H531" s="971" t="s">
        <v>1172</v>
      </c>
      <c r="I531" s="1273"/>
      <c r="J531" s="971" t="s">
        <v>121</v>
      </c>
      <c r="K531" s="971" t="s">
        <v>150</v>
      </c>
      <c r="L531" s="971" t="s">
        <v>2800</v>
      </c>
      <c r="M531" s="971" t="s">
        <v>80</v>
      </c>
      <c r="N531" s="971" t="s">
        <v>83</v>
      </c>
      <c r="O531" s="971" t="s">
        <v>151</v>
      </c>
      <c r="P531" s="971" t="s">
        <v>152</v>
      </c>
      <c r="Q531" s="971" t="s">
        <v>1191</v>
      </c>
      <c r="R531" s="1266"/>
      <c r="S531" s="2106">
        <v>3800</v>
      </c>
      <c r="T531" s="1266" t="s">
        <v>136</v>
      </c>
      <c r="U531" s="1742">
        <v>1.2691883296460175E-2</v>
      </c>
      <c r="V531" s="1742">
        <v>0.14624999999999999</v>
      </c>
      <c r="W531" s="1742">
        <v>1.1186625937499999</v>
      </c>
      <c r="X531" s="1742">
        <v>0.4015178457754629</v>
      </c>
      <c r="Y531" s="2106">
        <v>1.6649423457754629</v>
      </c>
      <c r="Z531" s="2106">
        <v>48.229156526548664</v>
      </c>
      <c r="AA531" s="2106">
        <v>555.75</v>
      </c>
      <c r="AB531" s="2106">
        <v>4250.9178562499992</v>
      </c>
      <c r="AC531" s="2106">
        <v>1525.7678139467591</v>
      </c>
      <c r="AD531" s="1744">
        <v>6326.780913946759</v>
      </c>
      <c r="AE531" s="2126">
        <v>0</v>
      </c>
      <c r="AF531" s="2126">
        <v>0</v>
      </c>
      <c r="AG531" s="1212">
        <v>1</v>
      </c>
      <c r="AH531" s="1212">
        <v>0</v>
      </c>
      <c r="AI531" s="1212">
        <v>0</v>
      </c>
      <c r="AJ531" s="1212">
        <v>1</v>
      </c>
      <c r="AK531" s="2126">
        <v>6326.780913946759</v>
      </c>
      <c r="AL531" s="2126">
        <v>0</v>
      </c>
      <c r="AM531" s="2126">
        <v>0</v>
      </c>
      <c r="AN531" s="2126">
        <v>6326.780913946759</v>
      </c>
      <c r="AO531" s="1743" t="s">
        <v>85</v>
      </c>
      <c r="AP531" s="1743" t="s">
        <v>90</v>
      </c>
      <c r="AQ531" s="1764" t="s">
        <v>202</v>
      </c>
      <c r="AR531" s="1743" t="s">
        <v>87</v>
      </c>
      <c r="AS531" s="2135"/>
      <c r="AT531" s="2135"/>
      <c r="AU531" s="1212">
        <v>0.33333333333333331</v>
      </c>
      <c r="AV531" s="1212">
        <v>0.33333333333333331</v>
      </c>
      <c r="AW531" s="1212">
        <v>0.33333333333333331</v>
      </c>
      <c r="AX531" s="1212"/>
      <c r="AY531" s="1212"/>
      <c r="AZ531" s="1212"/>
      <c r="BA531" s="1212"/>
      <c r="BB531" s="1212"/>
      <c r="BC531" s="1212"/>
      <c r="BD531" s="1212"/>
      <c r="BE531" s="1212"/>
      <c r="BF531" s="2126">
        <v>0</v>
      </c>
      <c r="BG531" s="2126">
        <v>0</v>
      </c>
      <c r="BH531" s="2126">
        <v>2108.9269713155863</v>
      </c>
      <c r="BI531" s="2126">
        <v>2108.9269713155863</v>
      </c>
      <c r="BJ531" s="2126">
        <v>2108.9269713155863</v>
      </c>
      <c r="BK531" s="2126">
        <v>0</v>
      </c>
      <c r="BL531" s="2126">
        <v>0</v>
      </c>
      <c r="BM531" s="2126">
        <v>0</v>
      </c>
      <c r="BN531" s="2126">
        <v>0</v>
      </c>
      <c r="BO531" s="2126">
        <v>0</v>
      </c>
      <c r="BP531" s="2126">
        <v>0</v>
      </c>
      <c r="BQ531" s="2126">
        <v>0</v>
      </c>
      <c r="BR531" s="2126">
        <v>0</v>
      </c>
    </row>
    <row r="532" spans="1:70" s="1765" customFormat="1" ht="49.5">
      <c r="A532" s="1272">
        <v>3000</v>
      </c>
      <c r="B532" s="971" t="s">
        <v>1072</v>
      </c>
      <c r="C532" s="1272">
        <v>3100</v>
      </c>
      <c r="D532" s="971" t="s">
        <v>120</v>
      </c>
      <c r="E532" s="971">
        <v>3130</v>
      </c>
      <c r="F532" s="971" t="s">
        <v>148</v>
      </c>
      <c r="G532" s="971">
        <v>3136</v>
      </c>
      <c r="H532" s="971" t="s">
        <v>1192</v>
      </c>
      <c r="I532" s="1273"/>
      <c r="J532" s="971"/>
      <c r="K532" s="971" t="s">
        <v>150</v>
      </c>
      <c r="L532" s="971" t="s">
        <v>2800</v>
      </c>
      <c r="M532" s="971" t="s">
        <v>80</v>
      </c>
      <c r="N532" s="971" t="s">
        <v>83</v>
      </c>
      <c r="O532" s="971" t="s">
        <v>171</v>
      </c>
      <c r="P532" s="971" t="s">
        <v>152</v>
      </c>
      <c r="Q532" s="971" t="s">
        <v>171</v>
      </c>
      <c r="R532" s="1266"/>
      <c r="S532" s="2106">
        <v>13040</v>
      </c>
      <c r="T532" s="1266" t="s">
        <v>136</v>
      </c>
      <c r="U532" s="1742">
        <v>1.2691883296460175E-2</v>
      </c>
      <c r="V532" s="1742">
        <v>0.14624999999999999</v>
      </c>
      <c r="W532" s="1742">
        <v>1.1186625937499999</v>
      </c>
      <c r="X532" s="1742">
        <v>0.4015178457754629</v>
      </c>
      <c r="Y532" s="2106">
        <v>1.6649423457754629</v>
      </c>
      <c r="Z532" s="2106">
        <v>165.50215818584067</v>
      </c>
      <c r="AA532" s="2106">
        <v>1907.1</v>
      </c>
      <c r="AB532" s="2106">
        <v>14587.360222499998</v>
      </c>
      <c r="AC532" s="2106">
        <v>5235.7927089120358</v>
      </c>
      <c r="AD532" s="1744">
        <v>21730.252931412033</v>
      </c>
      <c r="AE532" s="2126">
        <v>0</v>
      </c>
      <c r="AF532" s="2126">
        <v>0</v>
      </c>
      <c r="AG532" s="1212">
        <v>1</v>
      </c>
      <c r="AH532" s="1212">
        <v>0</v>
      </c>
      <c r="AI532" s="1212">
        <v>0</v>
      </c>
      <c r="AJ532" s="1212">
        <v>1</v>
      </c>
      <c r="AK532" s="2126">
        <v>21730.252931412033</v>
      </c>
      <c r="AL532" s="2126">
        <v>0</v>
      </c>
      <c r="AM532" s="2126">
        <v>0</v>
      </c>
      <c r="AN532" s="2126">
        <v>21730.252931412033</v>
      </c>
      <c r="AO532" s="1743" t="s">
        <v>85</v>
      </c>
      <c r="AP532" s="1743"/>
      <c r="AQ532" s="1764">
        <v>2014</v>
      </c>
      <c r="AR532" s="1743" t="s">
        <v>87</v>
      </c>
      <c r="AS532" s="2135"/>
      <c r="AT532" s="2135"/>
      <c r="AU532" s="1212">
        <v>0.33333333333333331</v>
      </c>
      <c r="AV532" s="1212">
        <v>0.33333333333333331</v>
      </c>
      <c r="AW532" s="1212">
        <v>0.33333333333333331</v>
      </c>
      <c r="AX532" s="1212"/>
      <c r="AY532" s="1212"/>
      <c r="AZ532" s="1212"/>
      <c r="BA532" s="1212"/>
      <c r="BB532" s="1212"/>
      <c r="BC532" s="1212"/>
      <c r="BD532" s="1212"/>
      <c r="BE532" s="1212"/>
      <c r="BF532" s="2126">
        <v>0</v>
      </c>
      <c r="BG532" s="2126">
        <v>0</v>
      </c>
      <c r="BH532" s="2126">
        <v>7243.4176438040104</v>
      </c>
      <c r="BI532" s="2126">
        <v>7243.4176438040104</v>
      </c>
      <c r="BJ532" s="2126">
        <v>7243.4176438040104</v>
      </c>
      <c r="BK532" s="2126">
        <v>0</v>
      </c>
      <c r="BL532" s="2126">
        <v>0</v>
      </c>
      <c r="BM532" s="2126">
        <v>0</v>
      </c>
      <c r="BN532" s="2126">
        <v>0</v>
      </c>
      <c r="BO532" s="2126">
        <v>0</v>
      </c>
      <c r="BP532" s="2126">
        <v>0</v>
      </c>
      <c r="BQ532" s="2126">
        <v>0</v>
      </c>
      <c r="BR532" s="2126">
        <v>0</v>
      </c>
    </row>
    <row r="533" spans="1:70" s="1765" customFormat="1" ht="49.5">
      <c r="A533" s="1272">
        <v>3000</v>
      </c>
      <c r="B533" s="971" t="s">
        <v>1072</v>
      </c>
      <c r="C533" s="1272">
        <v>3100</v>
      </c>
      <c r="D533" s="971" t="s">
        <v>120</v>
      </c>
      <c r="E533" s="971">
        <v>3130</v>
      </c>
      <c r="F533" s="971" t="s">
        <v>148</v>
      </c>
      <c r="G533" s="971">
        <v>3138</v>
      </c>
      <c r="H533" s="971" t="s">
        <v>1193</v>
      </c>
      <c r="I533" s="1273"/>
      <c r="J533" s="971"/>
      <c r="K533" s="971" t="s">
        <v>150</v>
      </c>
      <c r="L533" s="971" t="s">
        <v>2800</v>
      </c>
      <c r="M533" s="971" t="s">
        <v>80</v>
      </c>
      <c r="N533" s="971" t="s">
        <v>83</v>
      </c>
      <c r="O533" s="971" t="s">
        <v>151</v>
      </c>
      <c r="P533" s="971" t="s">
        <v>152</v>
      </c>
      <c r="Q533" s="971" t="s">
        <v>1194</v>
      </c>
      <c r="R533" s="1266"/>
      <c r="S533" s="2106">
        <v>25000</v>
      </c>
      <c r="T533" s="1266" t="s">
        <v>136</v>
      </c>
      <c r="U533" s="1742">
        <v>1.2691883296460175E-2</v>
      </c>
      <c r="V533" s="1742">
        <v>0.14624999999999999</v>
      </c>
      <c r="W533" s="1742">
        <v>1.1186625937499999</v>
      </c>
      <c r="X533" s="1742">
        <v>0.4015178457754629</v>
      </c>
      <c r="Y533" s="2106">
        <v>1.6649423457754629</v>
      </c>
      <c r="Z533" s="2106">
        <v>317.29708241150439</v>
      </c>
      <c r="AA533" s="2106">
        <v>3656.25</v>
      </c>
      <c r="AB533" s="2106">
        <v>27966.564843749999</v>
      </c>
      <c r="AC533" s="2106">
        <v>10037.946144386573</v>
      </c>
      <c r="AD533" s="1744">
        <v>41623.558644386569</v>
      </c>
      <c r="AE533" s="2126">
        <v>0</v>
      </c>
      <c r="AF533" s="2126">
        <v>0</v>
      </c>
      <c r="AG533" s="1212">
        <v>1</v>
      </c>
      <c r="AH533" s="1212">
        <v>0</v>
      </c>
      <c r="AI533" s="1212">
        <v>0</v>
      </c>
      <c r="AJ533" s="1212">
        <v>1</v>
      </c>
      <c r="AK533" s="2126">
        <v>41623.558644386569</v>
      </c>
      <c r="AL533" s="2126">
        <v>0</v>
      </c>
      <c r="AM533" s="2126">
        <v>0</v>
      </c>
      <c r="AN533" s="2126">
        <v>41623.558644386569</v>
      </c>
      <c r="AO533" s="1743" t="s">
        <v>85</v>
      </c>
      <c r="AP533" s="1743" t="s">
        <v>90</v>
      </c>
      <c r="AQ533" s="1764" t="s">
        <v>112</v>
      </c>
      <c r="AR533" s="1743" t="s">
        <v>87</v>
      </c>
      <c r="AS533" s="2135"/>
      <c r="AT533" s="2135"/>
      <c r="AU533" s="1212">
        <v>0.5</v>
      </c>
      <c r="AV533" s="1212">
        <v>0.5</v>
      </c>
      <c r="AW533" s="1212"/>
      <c r="AX533" s="1212"/>
      <c r="AY533" s="1212"/>
      <c r="AZ533" s="1212"/>
      <c r="BA533" s="1212"/>
      <c r="BB533" s="1212"/>
      <c r="BC533" s="1212"/>
      <c r="BD533" s="1212"/>
      <c r="BE533" s="1212"/>
      <c r="BF533" s="2126">
        <v>0</v>
      </c>
      <c r="BG533" s="2126">
        <v>0</v>
      </c>
      <c r="BH533" s="2126">
        <v>20811.779322193284</v>
      </c>
      <c r="BI533" s="2126">
        <v>20811.779322193284</v>
      </c>
      <c r="BJ533" s="2126">
        <v>0</v>
      </c>
      <c r="BK533" s="2126">
        <v>0</v>
      </c>
      <c r="BL533" s="2126">
        <v>0</v>
      </c>
      <c r="BM533" s="2126">
        <v>0</v>
      </c>
      <c r="BN533" s="2126">
        <v>0</v>
      </c>
      <c r="BO533" s="2126">
        <v>0</v>
      </c>
      <c r="BP533" s="2126">
        <v>0</v>
      </c>
      <c r="BQ533" s="2126">
        <v>0</v>
      </c>
      <c r="BR533" s="2126">
        <v>0</v>
      </c>
    </row>
    <row r="534" spans="1:70" s="1765" customFormat="1" ht="33">
      <c r="A534" s="1272">
        <v>3000</v>
      </c>
      <c r="B534" s="971" t="s">
        <v>1072</v>
      </c>
      <c r="C534" s="1272">
        <v>3100</v>
      </c>
      <c r="D534" s="971" t="s">
        <v>120</v>
      </c>
      <c r="E534" s="971">
        <v>3130</v>
      </c>
      <c r="F534" s="971" t="s">
        <v>148</v>
      </c>
      <c r="G534" s="971">
        <v>3138</v>
      </c>
      <c r="H534" s="971" t="s">
        <v>1195</v>
      </c>
      <c r="I534" s="1273"/>
      <c r="J534" s="971"/>
      <c r="K534" s="971" t="s">
        <v>150</v>
      </c>
      <c r="L534" s="971" t="s">
        <v>2800</v>
      </c>
      <c r="M534" s="971" t="s">
        <v>80</v>
      </c>
      <c r="N534" s="971" t="s">
        <v>83</v>
      </c>
      <c r="O534" s="971" t="s">
        <v>151</v>
      </c>
      <c r="P534" s="971" t="s">
        <v>152</v>
      </c>
      <c r="Q534" s="971" t="s">
        <v>1196</v>
      </c>
      <c r="R534" s="1266"/>
      <c r="S534" s="2106">
        <v>19344</v>
      </c>
      <c r="T534" s="1266" t="s">
        <v>136</v>
      </c>
      <c r="U534" s="1742">
        <v>1.2691883296460175E-2</v>
      </c>
      <c r="V534" s="1742">
        <v>0.14624999999999999</v>
      </c>
      <c r="W534" s="1742">
        <v>1.1186625937499999</v>
      </c>
      <c r="X534" s="1742">
        <v>0.4015178457754629</v>
      </c>
      <c r="Y534" s="2106">
        <v>1.6649423457754629</v>
      </c>
      <c r="Z534" s="2106">
        <v>245.51179048672563</v>
      </c>
      <c r="AA534" s="2106">
        <v>2829.06</v>
      </c>
      <c r="AB534" s="2106">
        <v>21639.409213499999</v>
      </c>
      <c r="AC534" s="2106">
        <v>7766.9612086805546</v>
      </c>
      <c r="AD534" s="1744">
        <v>32206.644736680555</v>
      </c>
      <c r="AE534" s="2126">
        <v>0</v>
      </c>
      <c r="AF534" s="2126">
        <v>0</v>
      </c>
      <c r="AG534" s="1212">
        <v>1</v>
      </c>
      <c r="AH534" s="1212">
        <v>0</v>
      </c>
      <c r="AI534" s="1212">
        <v>0</v>
      </c>
      <c r="AJ534" s="1212">
        <v>1</v>
      </c>
      <c r="AK534" s="2126">
        <v>32206.644736680555</v>
      </c>
      <c r="AL534" s="2126">
        <v>0</v>
      </c>
      <c r="AM534" s="2126">
        <v>0</v>
      </c>
      <c r="AN534" s="2126">
        <v>32206.644736680555</v>
      </c>
      <c r="AO534" s="1743" t="s">
        <v>85</v>
      </c>
      <c r="AP534" s="1743" t="s">
        <v>1197</v>
      </c>
      <c r="AQ534" s="1764">
        <v>2016</v>
      </c>
      <c r="AR534" s="1743" t="s">
        <v>87</v>
      </c>
      <c r="AS534" s="2135"/>
      <c r="AT534" s="2135"/>
      <c r="AU534" s="1212">
        <v>0.5</v>
      </c>
      <c r="AV534" s="1212">
        <v>0.5</v>
      </c>
      <c r="AW534" s="1212"/>
      <c r="AX534" s="1212"/>
      <c r="AY534" s="1212"/>
      <c r="AZ534" s="1212"/>
      <c r="BA534" s="1212"/>
      <c r="BB534" s="1212"/>
      <c r="BC534" s="1212"/>
      <c r="BD534" s="1212"/>
      <c r="BE534" s="1212"/>
      <c r="BF534" s="2126">
        <v>0</v>
      </c>
      <c r="BG534" s="2126">
        <v>0</v>
      </c>
      <c r="BH534" s="2126">
        <v>16103.322368340278</v>
      </c>
      <c r="BI534" s="2126">
        <v>16103.322368340278</v>
      </c>
      <c r="BJ534" s="2126">
        <v>0</v>
      </c>
      <c r="BK534" s="2126">
        <v>0</v>
      </c>
      <c r="BL534" s="2126">
        <v>0</v>
      </c>
      <c r="BM534" s="2126">
        <v>0</v>
      </c>
      <c r="BN534" s="2126">
        <v>0</v>
      </c>
      <c r="BO534" s="2126">
        <v>0</v>
      </c>
      <c r="BP534" s="2126">
        <v>0</v>
      </c>
      <c r="BQ534" s="2126">
        <v>0</v>
      </c>
      <c r="BR534" s="2126">
        <v>0</v>
      </c>
    </row>
    <row r="535" spans="1:70" s="1765" customFormat="1" ht="33">
      <c r="A535" s="1272">
        <v>3000</v>
      </c>
      <c r="B535" s="971" t="s">
        <v>1072</v>
      </c>
      <c r="C535" s="1272">
        <v>3100</v>
      </c>
      <c r="D535" s="971" t="s">
        <v>120</v>
      </c>
      <c r="E535" s="971">
        <v>3130</v>
      </c>
      <c r="F535" s="971" t="s">
        <v>148</v>
      </c>
      <c r="G535" s="971">
        <v>3138</v>
      </c>
      <c r="H535" s="971" t="s">
        <v>1198</v>
      </c>
      <c r="I535" s="1273"/>
      <c r="J535" s="971"/>
      <c r="K535" s="971" t="s">
        <v>150</v>
      </c>
      <c r="L535" s="971" t="s">
        <v>2800</v>
      </c>
      <c r="M535" s="971" t="s">
        <v>80</v>
      </c>
      <c r="N535" s="971" t="s">
        <v>83</v>
      </c>
      <c r="O535" s="971" t="s">
        <v>151</v>
      </c>
      <c r="P535" s="971" t="s">
        <v>152</v>
      </c>
      <c r="Q535" s="971" t="s">
        <v>1199</v>
      </c>
      <c r="R535" s="1266"/>
      <c r="S535" s="2106">
        <v>8456</v>
      </c>
      <c r="T535" s="1266" t="s">
        <v>136</v>
      </c>
      <c r="U535" s="1742">
        <v>1.2691883296460175E-2</v>
      </c>
      <c r="V535" s="1742">
        <v>0.14624999999999999</v>
      </c>
      <c r="W535" s="1742">
        <v>1.1186625937499999</v>
      </c>
      <c r="X535" s="1742">
        <v>0.4015178457754629</v>
      </c>
      <c r="Y535" s="2106">
        <v>1.6649423457754629</v>
      </c>
      <c r="Z535" s="2106">
        <v>107.32256515486723</v>
      </c>
      <c r="AA535" s="2106">
        <v>1236.6899999999998</v>
      </c>
      <c r="AB535" s="2106">
        <v>9459.4108927499983</v>
      </c>
      <c r="AC535" s="2106">
        <v>3395.2349038773141</v>
      </c>
      <c r="AD535" s="1744">
        <v>14078.752475877314</v>
      </c>
      <c r="AE535" s="2126">
        <v>0</v>
      </c>
      <c r="AF535" s="2126">
        <v>0</v>
      </c>
      <c r="AG535" s="1212">
        <v>1</v>
      </c>
      <c r="AH535" s="1212">
        <v>0</v>
      </c>
      <c r="AI535" s="1212">
        <v>0</v>
      </c>
      <c r="AJ535" s="1212">
        <v>1</v>
      </c>
      <c r="AK535" s="2126">
        <v>14078.752475877314</v>
      </c>
      <c r="AL535" s="2126">
        <v>0</v>
      </c>
      <c r="AM535" s="2126">
        <v>0</v>
      </c>
      <c r="AN535" s="2126">
        <v>14078.752475877314</v>
      </c>
      <c r="AO535" s="1743" t="s">
        <v>85</v>
      </c>
      <c r="AP535" s="1743" t="s">
        <v>1197</v>
      </c>
      <c r="AQ535" s="1764">
        <v>2016</v>
      </c>
      <c r="AR535" s="1743" t="s">
        <v>87</v>
      </c>
      <c r="AS535" s="2135"/>
      <c r="AT535" s="2135"/>
      <c r="AU535" s="1212">
        <v>0.5</v>
      </c>
      <c r="AV535" s="1212">
        <v>0.5</v>
      </c>
      <c r="AW535" s="1212"/>
      <c r="AX535" s="1212"/>
      <c r="AY535" s="1212"/>
      <c r="AZ535" s="1212"/>
      <c r="BA535" s="1212"/>
      <c r="BB535" s="1212"/>
      <c r="BC535" s="1212"/>
      <c r="BD535" s="1212"/>
      <c r="BE535" s="1212"/>
      <c r="BF535" s="2126">
        <v>0</v>
      </c>
      <c r="BG535" s="2126">
        <v>0</v>
      </c>
      <c r="BH535" s="2126">
        <v>7039.3762379386571</v>
      </c>
      <c r="BI535" s="2126">
        <v>7039.3762379386571</v>
      </c>
      <c r="BJ535" s="2126">
        <v>0</v>
      </c>
      <c r="BK535" s="2126">
        <v>0</v>
      </c>
      <c r="BL535" s="2126">
        <v>0</v>
      </c>
      <c r="BM535" s="2126">
        <v>0</v>
      </c>
      <c r="BN535" s="2126">
        <v>0</v>
      </c>
      <c r="BO535" s="2126">
        <v>0</v>
      </c>
      <c r="BP535" s="2126">
        <v>0</v>
      </c>
      <c r="BQ535" s="2126">
        <v>0</v>
      </c>
      <c r="BR535" s="2126">
        <v>0</v>
      </c>
    </row>
    <row r="536" spans="1:70" s="1765" customFormat="1" ht="33">
      <c r="A536" s="1272">
        <v>3000</v>
      </c>
      <c r="B536" s="971" t="s">
        <v>1072</v>
      </c>
      <c r="C536" s="1272">
        <v>3100</v>
      </c>
      <c r="D536" s="971" t="s">
        <v>120</v>
      </c>
      <c r="E536" s="971">
        <v>3130</v>
      </c>
      <c r="F536" s="971" t="s">
        <v>148</v>
      </c>
      <c r="G536" s="971">
        <v>3138</v>
      </c>
      <c r="H536" s="971" t="s">
        <v>1200</v>
      </c>
      <c r="I536" s="1273"/>
      <c r="J536" s="971"/>
      <c r="K536" s="971" t="s">
        <v>150</v>
      </c>
      <c r="L536" s="971" t="s">
        <v>2800</v>
      </c>
      <c r="M536" s="971" t="s">
        <v>80</v>
      </c>
      <c r="N536" s="971" t="s">
        <v>83</v>
      </c>
      <c r="O536" s="971" t="s">
        <v>151</v>
      </c>
      <c r="P536" s="971" t="s">
        <v>152</v>
      </c>
      <c r="Q536" s="971" t="s">
        <v>1201</v>
      </c>
      <c r="R536" s="1266"/>
      <c r="S536" s="2106">
        <v>3160</v>
      </c>
      <c r="T536" s="1266" t="s">
        <v>136</v>
      </c>
      <c r="U536" s="1742">
        <v>1.2691883296460175E-2</v>
      </c>
      <c r="V536" s="1742">
        <v>0.14624999999999999</v>
      </c>
      <c r="W536" s="1742">
        <v>1.1186625937499999</v>
      </c>
      <c r="X536" s="1742">
        <v>0.4015178457754629</v>
      </c>
      <c r="Y536" s="2106">
        <v>1.6649423457754629</v>
      </c>
      <c r="Z536" s="2106">
        <v>40.106351216814154</v>
      </c>
      <c r="AA536" s="2106">
        <v>462.15</v>
      </c>
      <c r="AB536" s="2106">
        <v>3534.9737962499994</v>
      </c>
      <c r="AC536" s="2106">
        <v>1268.7963926504628</v>
      </c>
      <c r="AD536" s="1744">
        <v>5261.2178126504623</v>
      </c>
      <c r="AE536" s="2126">
        <v>0</v>
      </c>
      <c r="AF536" s="2126">
        <v>0</v>
      </c>
      <c r="AG536" s="1212">
        <v>1</v>
      </c>
      <c r="AH536" s="1212">
        <v>0</v>
      </c>
      <c r="AI536" s="1212">
        <v>0</v>
      </c>
      <c r="AJ536" s="1212">
        <v>1</v>
      </c>
      <c r="AK536" s="2126">
        <v>5261.2178126504623</v>
      </c>
      <c r="AL536" s="2126">
        <v>0</v>
      </c>
      <c r="AM536" s="2126">
        <v>0</v>
      </c>
      <c r="AN536" s="2126">
        <v>5261.2178126504623</v>
      </c>
      <c r="AO536" s="1743" t="s">
        <v>85</v>
      </c>
      <c r="AP536" s="1743" t="s">
        <v>1197</v>
      </c>
      <c r="AQ536" s="1764">
        <v>2016</v>
      </c>
      <c r="AR536" s="1743" t="s">
        <v>87</v>
      </c>
      <c r="AS536" s="2135"/>
      <c r="AT536" s="2135"/>
      <c r="AU536" s="1212">
        <v>0.5</v>
      </c>
      <c r="AV536" s="1212">
        <v>0.5</v>
      </c>
      <c r="AW536" s="1212"/>
      <c r="AX536" s="1212"/>
      <c r="AY536" s="1212"/>
      <c r="AZ536" s="1212"/>
      <c r="BA536" s="1212"/>
      <c r="BB536" s="1212"/>
      <c r="BC536" s="1212"/>
      <c r="BD536" s="1212"/>
      <c r="BE536" s="1212"/>
      <c r="BF536" s="2126">
        <v>0</v>
      </c>
      <c r="BG536" s="2126">
        <v>0</v>
      </c>
      <c r="BH536" s="2126">
        <v>2630.6089063252311</v>
      </c>
      <c r="BI536" s="2126">
        <v>2630.6089063252311</v>
      </c>
      <c r="BJ536" s="2126">
        <v>0</v>
      </c>
      <c r="BK536" s="2126">
        <v>0</v>
      </c>
      <c r="BL536" s="2126">
        <v>0</v>
      </c>
      <c r="BM536" s="2126">
        <v>0</v>
      </c>
      <c r="BN536" s="2126">
        <v>0</v>
      </c>
      <c r="BO536" s="2126">
        <v>0</v>
      </c>
      <c r="BP536" s="2126">
        <v>0</v>
      </c>
      <c r="BQ536" s="2126">
        <v>0</v>
      </c>
      <c r="BR536" s="2126">
        <v>0</v>
      </c>
    </row>
    <row r="537" spans="1:70" s="1765" customFormat="1" ht="33">
      <c r="A537" s="1272">
        <v>3000</v>
      </c>
      <c r="B537" s="971" t="s">
        <v>1072</v>
      </c>
      <c r="C537" s="1272">
        <v>3100</v>
      </c>
      <c r="D537" s="971" t="s">
        <v>120</v>
      </c>
      <c r="E537" s="971">
        <v>3130</v>
      </c>
      <c r="F537" s="971" t="s">
        <v>148</v>
      </c>
      <c r="G537" s="971">
        <v>3138</v>
      </c>
      <c r="H537" s="971" t="s">
        <v>1202</v>
      </c>
      <c r="I537" s="1273"/>
      <c r="J537" s="971"/>
      <c r="K537" s="971" t="s">
        <v>150</v>
      </c>
      <c r="L537" s="971" t="s">
        <v>2800</v>
      </c>
      <c r="M537" s="971" t="s">
        <v>80</v>
      </c>
      <c r="N537" s="971" t="s">
        <v>83</v>
      </c>
      <c r="O537" s="971" t="s">
        <v>151</v>
      </c>
      <c r="P537" s="971" t="s">
        <v>152</v>
      </c>
      <c r="Q537" s="971" t="s">
        <v>1203</v>
      </c>
      <c r="R537" s="1266"/>
      <c r="S537" s="2106">
        <v>3300</v>
      </c>
      <c r="T537" s="1266" t="s">
        <v>136</v>
      </c>
      <c r="U537" s="1742">
        <v>1.2691883296460175E-2</v>
      </c>
      <c r="V537" s="1742">
        <v>0.14624999999999999</v>
      </c>
      <c r="W537" s="1742">
        <v>1.1186625937499999</v>
      </c>
      <c r="X537" s="1742">
        <v>0.4015178457754629</v>
      </c>
      <c r="Y537" s="2106">
        <v>1.6649423457754629</v>
      </c>
      <c r="Z537" s="2106">
        <v>41.883214878318576</v>
      </c>
      <c r="AA537" s="2106">
        <v>482.62499999999994</v>
      </c>
      <c r="AB537" s="2106">
        <v>3691.5865593749995</v>
      </c>
      <c r="AC537" s="2106">
        <v>1325.0088910590275</v>
      </c>
      <c r="AD537" s="1744">
        <v>5494.3097410590271</v>
      </c>
      <c r="AE537" s="2126">
        <v>0</v>
      </c>
      <c r="AF537" s="2126">
        <v>0</v>
      </c>
      <c r="AG537" s="1212">
        <v>1</v>
      </c>
      <c r="AH537" s="1212">
        <v>0</v>
      </c>
      <c r="AI537" s="1212">
        <v>0</v>
      </c>
      <c r="AJ537" s="1212">
        <v>1</v>
      </c>
      <c r="AK537" s="2126">
        <v>5494.3097410590271</v>
      </c>
      <c r="AL537" s="2126">
        <v>0</v>
      </c>
      <c r="AM537" s="2126">
        <v>0</v>
      </c>
      <c r="AN537" s="2126">
        <v>5494.3097410590271</v>
      </c>
      <c r="AO537" s="1743" t="s">
        <v>85</v>
      </c>
      <c r="AP537" s="1743" t="s">
        <v>1197</v>
      </c>
      <c r="AQ537" s="1764">
        <v>2016</v>
      </c>
      <c r="AR537" s="1743" t="s">
        <v>87</v>
      </c>
      <c r="AS537" s="2135"/>
      <c r="AT537" s="2135"/>
      <c r="AU537" s="1212">
        <v>0.5</v>
      </c>
      <c r="AV537" s="1212">
        <v>0.5</v>
      </c>
      <c r="AW537" s="1212"/>
      <c r="AX537" s="1212"/>
      <c r="AY537" s="1212"/>
      <c r="AZ537" s="1212"/>
      <c r="BA537" s="1212"/>
      <c r="BB537" s="1212"/>
      <c r="BC537" s="1212"/>
      <c r="BD537" s="1212"/>
      <c r="BE537" s="1212"/>
      <c r="BF537" s="2126">
        <v>0</v>
      </c>
      <c r="BG537" s="2126">
        <v>0</v>
      </c>
      <c r="BH537" s="2126">
        <v>2747.1548705295136</v>
      </c>
      <c r="BI537" s="2126">
        <v>2747.1548705295136</v>
      </c>
      <c r="BJ537" s="2126">
        <v>0</v>
      </c>
      <c r="BK537" s="2126">
        <v>0</v>
      </c>
      <c r="BL537" s="2126">
        <v>0</v>
      </c>
      <c r="BM537" s="2126">
        <v>0</v>
      </c>
      <c r="BN537" s="2126">
        <v>0</v>
      </c>
      <c r="BO537" s="2126">
        <v>0</v>
      </c>
      <c r="BP537" s="2126">
        <v>0</v>
      </c>
      <c r="BQ537" s="2126">
        <v>0</v>
      </c>
      <c r="BR537" s="2126">
        <v>0</v>
      </c>
    </row>
    <row r="538" spans="1:70" s="1765" customFormat="1" ht="66">
      <c r="A538" s="1272">
        <v>3000</v>
      </c>
      <c r="B538" s="971" t="s">
        <v>1072</v>
      </c>
      <c r="C538" s="1272">
        <v>3100</v>
      </c>
      <c r="D538" s="971" t="s">
        <v>120</v>
      </c>
      <c r="E538" s="971">
        <v>3130</v>
      </c>
      <c r="F538" s="971" t="s">
        <v>148</v>
      </c>
      <c r="G538" s="971">
        <v>3138</v>
      </c>
      <c r="H538" s="971" t="s">
        <v>1202</v>
      </c>
      <c r="I538" s="1273"/>
      <c r="J538" s="971"/>
      <c r="K538" s="971" t="s">
        <v>150</v>
      </c>
      <c r="L538" s="971" t="s">
        <v>2800</v>
      </c>
      <c r="M538" s="971" t="s">
        <v>80</v>
      </c>
      <c r="N538" s="971" t="s">
        <v>83</v>
      </c>
      <c r="O538" s="971" t="s">
        <v>151</v>
      </c>
      <c r="P538" s="971" t="s">
        <v>152</v>
      </c>
      <c r="Q538" s="971" t="s">
        <v>1204</v>
      </c>
      <c r="R538" s="1266"/>
      <c r="S538" s="2106">
        <v>-102131</v>
      </c>
      <c r="T538" s="1266" t="s">
        <v>136</v>
      </c>
      <c r="U538" s="1742">
        <v>1.2691883296460175E-2</v>
      </c>
      <c r="V538" s="1742">
        <v>0.14624999999999999</v>
      </c>
      <c r="W538" s="1742">
        <v>1.1186625937499999</v>
      </c>
      <c r="X538" s="1742">
        <v>0.4015178457754629</v>
      </c>
      <c r="Y538" s="2106">
        <v>1.6649423457754629</v>
      </c>
      <c r="Z538" s="2106">
        <v>-1296.2347329507741</v>
      </c>
      <c r="AA538" s="2106">
        <v>-14936.658749999999</v>
      </c>
      <c r="AB538" s="2106">
        <v>-114250.12936228124</v>
      </c>
      <c r="AC538" s="2106">
        <v>-41007.419106893802</v>
      </c>
      <c r="AD538" s="1744">
        <v>-170042.22671639381</v>
      </c>
      <c r="AE538" s="2126">
        <v>0</v>
      </c>
      <c r="AF538" s="2126">
        <v>0</v>
      </c>
      <c r="AG538" s="1212">
        <v>1</v>
      </c>
      <c r="AH538" s="1212">
        <v>0</v>
      </c>
      <c r="AI538" s="1212">
        <v>0</v>
      </c>
      <c r="AJ538" s="1212">
        <v>1</v>
      </c>
      <c r="AK538" s="2126">
        <v>-170042.22671639381</v>
      </c>
      <c r="AL538" s="2126">
        <v>0</v>
      </c>
      <c r="AM538" s="2126">
        <v>0</v>
      </c>
      <c r="AN538" s="2126">
        <v>-170042.22671639381</v>
      </c>
      <c r="AO538" s="1743" t="s">
        <v>85</v>
      </c>
      <c r="AP538" s="1743" t="s">
        <v>96</v>
      </c>
      <c r="AQ538" s="1764">
        <v>2017</v>
      </c>
      <c r="AR538" s="1743" t="s">
        <v>87</v>
      </c>
      <c r="AS538" s="2135"/>
      <c r="AT538" s="2135"/>
      <c r="AU538" s="1212">
        <v>0.5</v>
      </c>
      <c r="AV538" s="1212">
        <v>0.5</v>
      </c>
      <c r="AW538" s="1212"/>
      <c r="AX538" s="1212"/>
      <c r="AY538" s="1212"/>
      <c r="AZ538" s="1212"/>
      <c r="BA538" s="1212"/>
      <c r="BB538" s="1212"/>
      <c r="BC538" s="1212"/>
      <c r="BD538" s="1212"/>
      <c r="BE538" s="1212"/>
      <c r="BF538" s="2126">
        <v>0</v>
      </c>
      <c r="BG538" s="2126">
        <v>0</v>
      </c>
      <c r="BH538" s="2126">
        <v>-85021.113358196904</v>
      </c>
      <c r="BI538" s="2126">
        <v>-85021.113358196904</v>
      </c>
      <c r="BJ538" s="2126">
        <v>0</v>
      </c>
      <c r="BK538" s="2126">
        <v>0</v>
      </c>
      <c r="BL538" s="2126">
        <v>0</v>
      </c>
      <c r="BM538" s="2126">
        <v>0</v>
      </c>
      <c r="BN538" s="2126">
        <v>0</v>
      </c>
      <c r="BO538" s="2126">
        <v>0</v>
      </c>
      <c r="BP538" s="2126">
        <v>0</v>
      </c>
      <c r="BQ538" s="2126">
        <v>0</v>
      </c>
      <c r="BR538" s="2126">
        <v>0</v>
      </c>
    </row>
    <row r="539" spans="1:70" s="1765" customFormat="1" ht="33">
      <c r="A539" s="1272">
        <v>3000</v>
      </c>
      <c r="B539" s="971" t="s">
        <v>1072</v>
      </c>
      <c r="C539" s="1272">
        <v>3100</v>
      </c>
      <c r="D539" s="971" t="s">
        <v>120</v>
      </c>
      <c r="E539" s="971">
        <v>3130</v>
      </c>
      <c r="F539" s="971" t="s">
        <v>148</v>
      </c>
      <c r="G539" s="971">
        <v>3138</v>
      </c>
      <c r="H539" s="971" t="s">
        <v>1205</v>
      </c>
      <c r="I539" s="1273"/>
      <c r="J539" s="971"/>
      <c r="K539" s="971" t="s">
        <v>150</v>
      </c>
      <c r="L539" s="971" t="s">
        <v>2800</v>
      </c>
      <c r="M539" s="971" t="s">
        <v>80</v>
      </c>
      <c r="N539" s="971" t="s">
        <v>83</v>
      </c>
      <c r="O539" s="971" t="s">
        <v>151</v>
      </c>
      <c r="P539" s="971" t="s">
        <v>152</v>
      </c>
      <c r="Q539" s="971" t="s">
        <v>1206</v>
      </c>
      <c r="R539" s="1266"/>
      <c r="S539" s="2106">
        <v>4600</v>
      </c>
      <c r="T539" s="1266" t="s">
        <v>136</v>
      </c>
      <c r="U539" s="1742">
        <v>1.2691883296460175E-2</v>
      </c>
      <c r="V539" s="1742">
        <v>0.14624999999999999</v>
      </c>
      <c r="W539" s="1742">
        <v>1.1186625937499999</v>
      </c>
      <c r="X539" s="1742">
        <v>0.4015178457754629</v>
      </c>
      <c r="Y539" s="2106">
        <v>1.6649423457754629</v>
      </c>
      <c r="Z539" s="2106">
        <v>58.382663163716806</v>
      </c>
      <c r="AA539" s="2106">
        <v>672.75</v>
      </c>
      <c r="AB539" s="2106">
        <v>5145.8479312499994</v>
      </c>
      <c r="AC539" s="2106">
        <v>1846.9820905671293</v>
      </c>
      <c r="AD539" s="1744">
        <v>7658.7347905671295</v>
      </c>
      <c r="AE539" s="2126">
        <v>0</v>
      </c>
      <c r="AF539" s="2126">
        <v>0</v>
      </c>
      <c r="AG539" s="1212">
        <v>1</v>
      </c>
      <c r="AH539" s="1212">
        <v>0</v>
      </c>
      <c r="AI539" s="1212">
        <v>0</v>
      </c>
      <c r="AJ539" s="1212">
        <v>1</v>
      </c>
      <c r="AK539" s="2126">
        <v>7658.7347905671295</v>
      </c>
      <c r="AL539" s="2126">
        <v>0</v>
      </c>
      <c r="AM539" s="2126">
        <v>0</v>
      </c>
      <c r="AN539" s="2126">
        <v>7658.7347905671295</v>
      </c>
      <c r="AO539" s="1743" t="s">
        <v>85</v>
      </c>
      <c r="AP539" s="1743" t="s">
        <v>1197</v>
      </c>
      <c r="AQ539" s="1764">
        <v>2016</v>
      </c>
      <c r="AR539" s="1743" t="s">
        <v>87</v>
      </c>
      <c r="AS539" s="2135"/>
      <c r="AT539" s="2135"/>
      <c r="AU539" s="1212">
        <v>0.5</v>
      </c>
      <c r="AV539" s="1212">
        <v>0.5</v>
      </c>
      <c r="AW539" s="1212"/>
      <c r="AX539" s="1212"/>
      <c r="AY539" s="1212"/>
      <c r="AZ539" s="1212"/>
      <c r="BA539" s="1212"/>
      <c r="BB539" s="1212"/>
      <c r="BC539" s="1212"/>
      <c r="BD539" s="1212"/>
      <c r="BE539" s="1212"/>
      <c r="BF539" s="2126">
        <v>0</v>
      </c>
      <c r="BG539" s="2126">
        <v>0</v>
      </c>
      <c r="BH539" s="2126">
        <v>3829.3673952835647</v>
      </c>
      <c r="BI539" s="2126">
        <v>3829.3673952835647</v>
      </c>
      <c r="BJ539" s="2126">
        <v>0</v>
      </c>
      <c r="BK539" s="2126">
        <v>0</v>
      </c>
      <c r="BL539" s="2126">
        <v>0</v>
      </c>
      <c r="BM539" s="2126">
        <v>0</v>
      </c>
      <c r="BN539" s="2126">
        <v>0</v>
      </c>
      <c r="BO539" s="2126">
        <v>0</v>
      </c>
      <c r="BP539" s="2126">
        <v>0</v>
      </c>
      <c r="BQ539" s="2126">
        <v>0</v>
      </c>
      <c r="BR539" s="2126">
        <v>0</v>
      </c>
    </row>
    <row r="540" spans="1:70" s="1765" customFormat="1" ht="33">
      <c r="A540" s="1272">
        <v>3000</v>
      </c>
      <c r="B540" s="971" t="s">
        <v>1072</v>
      </c>
      <c r="C540" s="1272">
        <v>3100</v>
      </c>
      <c r="D540" s="971" t="s">
        <v>120</v>
      </c>
      <c r="E540" s="971">
        <v>3130</v>
      </c>
      <c r="F540" s="971" t="s">
        <v>148</v>
      </c>
      <c r="G540" s="971">
        <v>3138</v>
      </c>
      <c r="H540" s="971" t="s">
        <v>1207</v>
      </c>
      <c r="I540" s="1273"/>
      <c r="J540" s="971"/>
      <c r="K540" s="971" t="s">
        <v>150</v>
      </c>
      <c r="L540" s="971" t="s">
        <v>2800</v>
      </c>
      <c r="M540" s="971" t="s">
        <v>80</v>
      </c>
      <c r="N540" s="971" t="s">
        <v>83</v>
      </c>
      <c r="O540" s="971" t="s">
        <v>151</v>
      </c>
      <c r="P540" s="971" t="s">
        <v>152</v>
      </c>
      <c r="Q540" s="971" t="s">
        <v>1208</v>
      </c>
      <c r="R540" s="1266"/>
      <c r="S540" s="2106">
        <v>7500</v>
      </c>
      <c r="T540" s="1266" t="s">
        <v>136</v>
      </c>
      <c r="U540" s="1742">
        <v>1.2691883296460175E-2</v>
      </c>
      <c r="V540" s="1742">
        <v>0.14624999999999999</v>
      </c>
      <c r="W540" s="1742">
        <v>1.1186625937499999</v>
      </c>
      <c r="X540" s="1742">
        <v>0.4015178457754629</v>
      </c>
      <c r="Y540" s="2106">
        <v>1.6649423457754629</v>
      </c>
      <c r="Z540" s="2106">
        <v>95.189124723451314</v>
      </c>
      <c r="AA540" s="2106">
        <v>1096.875</v>
      </c>
      <c r="AB540" s="2106">
        <v>8389.9694531249988</v>
      </c>
      <c r="AC540" s="2106">
        <v>3011.3838433159717</v>
      </c>
      <c r="AD540" s="1744">
        <v>12487.067593315971</v>
      </c>
      <c r="AE540" s="2126">
        <v>0</v>
      </c>
      <c r="AF540" s="2126">
        <v>0</v>
      </c>
      <c r="AG540" s="1212">
        <v>1</v>
      </c>
      <c r="AH540" s="1212">
        <v>0</v>
      </c>
      <c r="AI540" s="1212">
        <v>0</v>
      </c>
      <c r="AJ540" s="1212">
        <v>1</v>
      </c>
      <c r="AK540" s="2126">
        <v>12487.067593315971</v>
      </c>
      <c r="AL540" s="2126">
        <v>0</v>
      </c>
      <c r="AM540" s="2126">
        <v>0</v>
      </c>
      <c r="AN540" s="2126">
        <v>12487.067593315971</v>
      </c>
      <c r="AO540" s="1743" t="s">
        <v>85</v>
      </c>
      <c r="AP540" s="1743" t="s">
        <v>1197</v>
      </c>
      <c r="AQ540" s="1764">
        <v>2016</v>
      </c>
      <c r="AR540" s="1743" t="s">
        <v>87</v>
      </c>
      <c r="AS540" s="2135"/>
      <c r="AT540" s="2135"/>
      <c r="AU540" s="1212">
        <v>0.5</v>
      </c>
      <c r="AV540" s="1212">
        <v>0.5</v>
      </c>
      <c r="AW540" s="1212"/>
      <c r="AX540" s="1212"/>
      <c r="AY540" s="1212"/>
      <c r="AZ540" s="1212"/>
      <c r="BA540" s="1212"/>
      <c r="BB540" s="1212"/>
      <c r="BC540" s="1212"/>
      <c r="BD540" s="1212"/>
      <c r="BE540" s="1212"/>
      <c r="BF540" s="2126">
        <v>0</v>
      </c>
      <c r="BG540" s="2126">
        <v>0</v>
      </c>
      <c r="BH540" s="2126">
        <v>6243.5337966579855</v>
      </c>
      <c r="BI540" s="2126">
        <v>6243.5337966579855</v>
      </c>
      <c r="BJ540" s="2126">
        <v>0</v>
      </c>
      <c r="BK540" s="2126">
        <v>0</v>
      </c>
      <c r="BL540" s="2126">
        <v>0</v>
      </c>
      <c r="BM540" s="2126">
        <v>0</v>
      </c>
      <c r="BN540" s="2126">
        <v>0</v>
      </c>
      <c r="BO540" s="2126">
        <v>0</v>
      </c>
      <c r="BP540" s="2126">
        <v>0</v>
      </c>
      <c r="BQ540" s="2126">
        <v>0</v>
      </c>
      <c r="BR540" s="2126">
        <v>0</v>
      </c>
    </row>
    <row r="541" spans="1:70" s="1765" customFormat="1" ht="33">
      <c r="A541" s="1272">
        <v>3000</v>
      </c>
      <c r="B541" s="971" t="s">
        <v>1072</v>
      </c>
      <c r="C541" s="1272">
        <v>3100</v>
      </c>
      <c r="D541" s="971" t="s">
        <v>120</v>
      </c>
      <c r="E541" s="971">
        <v>3130</v>
      </c>
      <c r="F541" s="971" t="s">
        <v>148</v>
      </c>
      <c r="G541" s="971">
        <v>3138</v>
      </c>
      <c r="H541" s="971" t="s">
        <v>1209</v>
      </c>
      <c r="I541" s="1273"/>
      <c r="J541" s="971"/>
      <c r="K541" s="971" t="s">
        <v>150</v>
      </c>
      <c r="L541" s="971" t="s">
        <v>2800</v>
      </c>
      <c r="M541" s="971" t="s">
        <v>80</v>
      </c>
      <c r="N541" s="971" t="s">
        <v>83</v>
      </c>
      <c r="O541" s="971" t="s">
        <v>151</v>
      </c>
      <c r="P541" s="971" t="s">
        <v>152</v>
      </c>
      <c r="Q541" s="971" t="s">
        <v>1210</v>
      </c>
      <c r="R541" s="1266"/>
      <c r="S541" s="2106">
        <v>8100</v>
      </c>
      <c r="T541" s="1266" t="s">
        <v>136</v>
      </c>
      <c r="U541" s="1742">
        <v>1.2691883296460175E-2</v>
      </c>
      <c r="V541" s="1742">
        <v>0.14624999999999999</v>
      </c>
      <c r="W541" s="1742">
        <v>1.1186625937499999</v>
      </c>
      <c r="X541" s="1742">
        <v>0.4015178457754629</v>
      </c>
      <c r="Y541" s="2106">
        <v>1.6649423457754629</v>
      </c>
      <c r="Z541" s="2106">
        <v>102.80425470132742</v>
      </c>
      <c r="AA541" s="2106">
        <v>1184.625</v>
      </c>
      <c r="AB541" s="2106">
        <v>9061.1670093749999</v>
      </c>
      <c r="AC541" s="2106">
        <v>3252.2945507812497</v>
      </c>
      <c r="AD541" s="1744">
        <v>13486.03300078125</v>
      </c>
      <c r="AE541" s="2126">
        <v>0</v>
      </c>
      <c r="AF541" s="2126">
        <v>0</v>
      </c>
      <c r="AG541" s="1212">
        <v>1</v>
      </c>
      <c r="AH541" s="1212">
        <v>0</v>
      </c>
      <c r="AI541" s="1212">
        <v>0</v>
      </c>
      <c r="AJ541" s="1212">
        <v>1</v>
      </c>
      <c r="AK541" s="2126">
        <v>13486.03300078125</v>
      </c>
      <c r="AL541" s="2126">
        <v>0</v>
      </c>
      <c r="AM541" s="2126">
        <v>0</v>
      </c>
      <c r="AN541" s="2126">
        <v>13486.03300078125</v>
      </c>
      <c r="AO541" s="1743" t="s">
        <v>85</v>
      </c>
      <c r="AP541" s="1743" t="s">
        <v>1197</v>
      </c>
      <c r="AQ541" s="1764">
        <v>2016</v>
      </c>
      <c r="AR541" s="1743" t="s">
        <v>87</v>
      </c>
      <c r="AS541" s="2135"/>
      <c r="AT541" s="2135"/>
      <c r="AU541" s="1212">
        <v>0.5</v>
      </c>
      <c r="AV541" s="1212">
        <v>0.5</v>
      </c>
      <c r="AW541" s="1212"/>
      <c r="AX541" s="1212"/>
      <c r="AY541" s="1212"/>
      <c r="AZ541" s="1212"/>
      <c r="BA541" s="1212"/>
      <c r="BB541" s="1212"/>
      <c r="BC541" s="1212"/>
      <c r="BD541" s="1212"/>
      <c r="BE541" s="1212"/>
      <c r="BF541" s="2126">
        <v>0</v>
      </c>
      <c r="BG541" s="2126">
        <v>0</v>
      </c>
      <c r="BH541" s="2126">
        <v>6743.016500390625</v>
      </c>
      <c r="BI541" s="2126">
        <v>6743.016500390625</v>
      </c>
      <c r="BJ541" s="2126">
        <v>0</v>
      </c>
      <c r="BK541" s="2126">
        <v>0</v>
      </c>
      <c r="BL541" s="2126">
        <v>0</v>
      </c>
      <c r="BM541" s="2126">
        <v>0</v>
      </c>
      <c r="BN541" s="2126">
        <v>0</v>
      </c>
      <c r="BO541" s="2126">
        <v>0</v>
      </c>
      <c r="BP541" s="2126">
        <v>0</v>
      </c>
      <c r="BQ541" s="2126">
        <v>0</v>
      </c>
      <c r="BR541" s="2126">
        <v>0</v>
      </c>
    </row>
    <row r="542" spans="1:70" s="1765" customFormat="1" ht="33">
      <c r="A542" s="1272">
        <v>3000</v>
      </c>
      <c r="B542" s="971" t="s">
        <v>1072</v>
      </c>
      <c r="C542" s="1272">
        <v>3100</v>
      </c>
      <c r="D542" s="971" t="s">
        <v>120</v>
      </c>
      <c r="E542" s="971">
        <v>3130</v>
      </c>
      <c r="F542" s="971" t="s">
        <v>148</v>
      </c>
      <c r="G542" s="971">
        <v>3138</v>
      </c>
      <c r="H542" s="971" t="s">
        <v>1211</v>
      </c>
      <c r="I542" s="1273"/>
      <c r="J542" s="971"/>
      <c r="K542" s="971" t="s">
        <v>150</v>
      </c>
      <c r="L542" s="971" t="s">
        <v>2800</v>
      </c>
      <c r="M542" s="971" t="s">
        <v>80</v>
      </c>
      <c r="N542" s="971" t="s">
        <v>83</v>
      </c>
      <c r="O542" s="971" t="s">
        <v>151</v>
      </c>
      <c r="P542" s="971" t="s">
        <v>152</v>
      </c>
      <c r="Q542" s="971" t="s">
        <v>1212</v>
      </c>
      <c r="R542" s="1266"/>
      <c r="S542" s="2106">
        <v>8385</v>
      </c>
      <c r="T542" s="1266" t="s">
        <v>136</v>
      </c>
      <c r="U542" s="1742">
        <v>1.2691883296460175E-2</v>
      </c>
      <c r="V542" s="1742">
        <v>0.14624999999999999</v>
      </c>
      <c r="W542" s="1742">
        <v>1.1186625937499999</v>
      </c>
      <c r="X542" s="1742">
        <v>0.4015178457754629</v>
      </c>
      <c r="Y542" s="2106">
        <v>1.6649423457754629</v>
      </c>
      <c r="Z542" s="2106">
        <v>106.42144144081857</v>
      </c>
      <c r="AA542" s="2106">
        <v>1226.3062499999999</v>
      </c>
      <c r="AB542" s="2106">
        <v>9379.9858485937493</v>
      </c>
      <c r="AC542" s="2106">
        <v>3366.7271368272563</v>
      </c>
      <c r="AD542" s="1744">
        <v>13960.541569327255</v>
      </c>
      <c r="AE542" s="2126">
        <v>0</v>
      </c>
      <c r="AF542" s="2126">
        <v>0</v>
      </c>
      <c r="AG542" s="1212">
        <v>1</v>
      </c>
      <c r="AH542" s="1212">
        <v>0</v>
      </c>
      <c r="AI542" s="1212">
        <v>0</v>
      </c>
      <c r="AJ542" s="1212">
        <v>1</v>
      </c>
      <c r="AK542" s="2126">
        <v>13960.541569327255</v>
      </c>
      <c r="AL542" s="2126">
        <v>0</v>
      </c>
      <c r="AM542" s="2126">
        <v>0</v>
      </c>
      <c r="AN542" s="2126">
        <v>13960.541569327255</v>
      </c>
      <c r="AO542" s="1743" t="s">
        <v>85</v>
      </c>
      <c r="AP542" s="1743" t="s">
        <v>1197</v>
      </c>
      <c r="AQ542" s="1764">
        <v>2016</v>
      </c>
      <c r="AR542" s="1743" t="s">
        <v>87</v>
      </c>
      <c r="AS542" s="2135"/>
      <c r="AT542" s="2135"/>
      <c r="AU542" s="1212">
        <v>0.5</v>
      </c>
      <c r="AV542" s="1212">
        <v>0.5</v>
      </c>
      <c r="AW542" s="1212"/>
      <c r="AX542" s="1212"/>
      <c r="AY542" s="1212"/>
      <c r="AZ542" s="1212"/>
      <c r="BA542" s="1212"/>
      <c r="BB542" s="1212"/>
      <c r="BC542" s="1212"/>
      <c r="BD542" s="1212"/>
      <c r="BE542" s="1212"/>
      <c r="BF542" s="2126">
        <v>0</v>
      </c>
      <c r="BG542" s="2126">
        <v>0</v>
      </c>
      <c r="BH542" s="2126">
        <v>6980.2707846636276</v>
      </c>
      <c r="BI542" s="2126">
        <v>6980.2707846636276</v>
      </c>
      <c r="BJ542" s="2126">
        <v>0</v>
      </c>
      <c r="BK542" s="2126">
        <v>0</v>
      </c>
      <c r="BL542" s="2126">
        <v>0</v>
      </c>
      <c r="BM542" s="2126">
        <v>0</v>
      </c>
      <c r="BN542" s="2126">
        <v>0</v>
      </c>
      <c r="BO542" s="2126">
        <v>0</v>
      </c>
      <c r="BP542" s="2126">
        <v>0</v>
      </c>
      <c r="BQ542" s="2126">
        <v>0</v>
      </c>
      <c r="BR542" s="2126">
        <v>0</v>
      </c>
    </row>
    <row r="543" spans="1:70" s="1765" customFormat="1" ht="33">
      <c r="A543" s="1272">
        <v>3000</v>
      </c>
      <c r="B543" s="971" t="s">
        <v>1072</v>
      </c>
      <c r="C543" s="1272">
        <v>3100</v>
      </c>
      <c r="D543" s="971" t="s">
        <v>120</v>
      </c>
      <c r="E543" s="971">
        <v>3130</v>
      </c>
      <c r="F543" s="971" t="s">
        <v>148</v>
      </c>
      <c r="G543" s="971">
        <v>3138</v>
      </c>
      <c r="H543" s="971" t="s">
        <v>1213</v>
      </c>
      <c r="I543" s="1273"/>
      <c r="J543" s="971" t="s">
        <v>121</v>
      </c>
      <c r="K543" s="971" t="s">
        <v>150</v>
      </c>
      <c r="L543" s="971" t="s">
        <v>2800</v>
      </c>
      <c r="M543" s="971" t="s">
        <v>80</v>
      </c>
      <c r="N543" s="971" t="s">
        <v>83</v>
      </c>
      <c r="O543" s="971" t="s">
        <v>151</v>
      </c>
      <c r="P543" s="971" t="s">
        <v>152</v>
      </c>
      <c r="Q543" s="971" t="s">
        <v>1214</v>
      </c>
      <c r="R543" s="1266"/>
      <c r="S543" s="2106">
        <v>64200</v>
      </c>
      <c r="T543" s="1266" t="s">
        <v>136</v>
      </c>
      <c r="U543" s="1742">
        <v>1.2691883296460175E-2</v>
      </c>
      <c r="V543" s="1742">
        <v>0.14624999999999999</v>
      </c>
      <c r="W543" s="1742">
        <v>1.1186625937499999</v>
      </c>
      <c r="X543" s="1742">
        <v>0.4015178457754629</v>
      </c>
      <c r="Y543" s="2106">
        <v>1.6649423457754629</v>
      </c>
      <c r="Z543" s="2106">
        <v>814.81890763274328</v>
      </c>
      <c r="AA543" s="2106">
        <v>9389.25</v>
      </c>
      <c r="AB543" s="2106">
        <v>71818.138518749998</v>
      </c>
      <c r="AC543" s="2106">
        <v>25777.445698784719</v>
      </c>
      <c r="AD543" s="1744">
        <v>106984.83421753472</v>
      </c>
      <c r="AE543" s="2126">
        <v>0</v>
      </c>
      <c r="AF543" s="2126">
        <v>0</v>
      </c>
      <c r="AG543" s="1212">
        <v>1</v>
      </c>
      <c r="AH543" s="1212">
        <v>0</v>
      </c>
      <c r="AI543" s="1212">
        <v>0</v>
      </c>
      <c r="AJ543" s="1212">
        <v>1</v>
      </c>
      <c r="AK543" s="2126">
        <v>106984.83421753472</v>
      </c>
      <c r="AL543" s="2126">
        <v>0</v>
      </c>
      <c r="AM543" s="2126">
        <v>0</v>
      </c>
      <c r="AN543" s="2126">
        <v>106984.83421753472</v>
      </c>
      <c r="AO543" s="1743" t="s">
        <v>85</v>
      </c>
      <c r="AP543" s="1743" t="s">
        <v>1167</v>
      </c>
      <c r="AQ543" s="1764">
        <v>2014</v>
      </c>
      <c r="AR543" s="1743" t="s">
        <v>87</v>
      </c>
      <c r="AS543" s="2135"/>
      <c r="AT543" s="2135"/>
      <c r="AU543" s="1212">
        <v>0.5</v>
      </c>
      <c r="AV543" s="1212">
        <v>0.5</v>
      </c>
      <c r="AW543" s="1212"/>
      <c r="AX543" s="1212"/>
      <c r="AY543" s="1212"/>
      <c r="AZ543" s="1212"/>
      <c r="BA543" s="1212"/>
      <c r="BB543" s="1212"/>
      <c r="BC543" s="1212"/>
      <c r="BD543" s="1212"/>
      <c r="BE543" s="1212"/>
      <c r="BF543" s="2126">
        <v>0</v>
      </c>
      <c r="BG543" s="2126">
        <v>0</v>
      </c>
      <c r="BH543" s="2126">
        <v>53492.41710876736</v>
      </c>
      <c r="BI543" s="2126">
        <v>53492.41710876736</v>
      </c>
      <c r="BJ543" s="2126">
        <v>0</v>
      </c>
      <c r="BK543" s="2126">
        <v>0</v>
      </c>
      <c r="BL543" s="2126">
        <v>0</v>
      </c>
      <c r="BM543" s="2126">
        <v>0</v>
      </c>
      <c r="BN543" s="2126">
        <v>0</v>
      </c>
      <c r="BO543" s="2126">
        <v>0</v>
      </c>
      <c r="BP543" s="2126">
        <v>0</v>
      </c>
      <c r="BQ543" s="2126">
        <v>0</v>
      </c>
      <c r="BR543" s="2126">
        <v>0</v>
      </c>
    </row>
    <row r="544" spans="1:70" s="1765" customFormat="1" ht="33">
      <c r="A544" s="1272">
        <v>3000</v>
      </c>
      <c r="B544" s="971" t="s">
        <v>1072</v>
      </c>
      <c r="C544" s="1272">
        <v>3100</v>
      </c>
      <c r="D544" s="971" t="s">
        <v>120</v>
      </c>
      <c r="E544" s="971">
        <v>3130</v>
      </c>
      <c r="F544" s="971" t="s">
        <v>148</v>
      </c>
      <c r="G544" s="971">
        <v>3138</v>
      </c>
      <c r="H544" s="971" t="s">
        <v>1213</v>
      </c>
      <c r="I544" s="1273"/>
      <c r="J544" s="971" t="s">
        <v>121</v>
      </c>
      <c r="K544" s="971" t="s">
        <v>150</v>
      </c>
      <c r="L544" s="971" t="s">
        <v>2800</v>
      </c>
      <c r="M544" s="971" t="s">
        <v>80</v>
      </c>
      <c r="N544" s="971" t="s">
        <v>83</v>
      </c>
      <c r="O544" s="971" t="s">
        <v>151</v>
      </c>
      <c r="P544" s="971" t="s">
        <v>152</v>
      </c>
      <c r="Q544" s="971" t="s">
        <v>1215</v>
      </c>
      <c r="R544" s="1266" t="s">
        <v>1216</v>
      </c>
      <c r="S544" s="2106">
        <v>226000</v>
      </c>
      <c r="T544" s="1266" t="s">
        <v>136</v>
      </c>
      <c r="U544" s="1742">
        <v>1.2691883296460175E-2</v>
      </c>
      <c r="V544" s="1742">
        <v>0.14624999999999999</v>
      </c>
      <c r="W544" s="1742">
        <v>1.1186625937499999</v>
      </c>
      <c r="X544" s="1742">
        <v>0.4015178457754629</v>
      </c>
      <c r="Y544" s="2106">
        <v>1.6649423457754629</v>
      </c>
      <c r="Z544" s="2106">
        <v>2868.3656249999995</v>
      </c>
      <c r="AA544" s="2106">
        <v>33052.5</v>
      </c>
      <c r="AB544" s="2106">
        <v>252817.74618749999</v>
      </c>
      <c r="AC544" s="2106">
        <v>90743.033145254609</v>
      </c>
      <c r="AD544" s="1744">
        <v>376613.27933275455</v>
      </c>
      <c r="AE544" s="2126">
        <v>0</v>
      </c>
      <c r="AF544" s="2126">
        <v>0</v>
      </c>
      <c r="AG544" s="1212">
        <v>1</v>
      </c>
      <c r="AH544" s="1212">
        <v>0</v>
      </c>
      <c r="AI544" s="1212">
        <v>0</v>
      </c>
      <c r="AJ544" s="1212">
        <v>1</v>
      </c>
      <c r="AK544" s="2126">
        <v>376613.27933275455</v>
      </c>
      <c r="AL544" s="2126">
        <v>0</v>
      </c>
      <c r="AM544" s="2126">
        <v>0</v>
      </c>
      <c r="AN544" s="2126">
        <v>376613.27933275455</v>
      </c>
      <c r="AO544" s="1743" t="s">
        <v>85</v>
      </c>
      <c r="AP544" s="1743" t="s">
        <v>1217</v>
      </c>
      <c r="AQ544" s="1764">
        <v>2019</v>
      </c>
      <c r="AR544" s="1743" t="s">
        <v>87</v>
      </c>
      <c r="AS544" s="2135"/>
      <c r="AT544" s="2135"/>
      <c r="AU544" s="1212">
        <v>0.5</v>
      </c>
      <c r="AV544" s="1212">
        <v>0.5</v>
      </c>
      <c r="AW544" s="1212"/>
      <c r="AX544" s="1212"/>
      <c r="AY544" s="1212"/>
      <c r="AZ544" s="1212"/>
      <c r="BA544" s="1212"/>
      <c r="BB544" s="1212"/>
      <c r="BC544" s="1212"/>
      <c r="BD544" s="1212"/>
      <c r="BE544" s="1212"/>
      <c r="BF544" s="2126">
        <v>0</v>
      </c>
      <c r="BG544" s="2126">
        <v>0</v>
      </c>
      <c r="BH544" s="2126">
        <v>188306.63966637728</v>
      </c>
      <c r="BI544" s="2126">
        <v>188306.63966637728</v>
      </c>
      <c r="BJ544" s="2126">
        <v>0</v>
      </c>
      <c r="BK544" s="2126">
        <v>0</v>
      </c>
      <c r="BL544" s="2126">
        <v>0</v>
      </c>
      <c r="BM544" s="2126">
        <v>0</v>
      </c>
      <c r="BN544" s="2126">
        <v>0</v>
      </c>
      <c r="BO544" s="2126">
        <v>0</v>
      </c>
      <c r="BP544" s="2126">
        <v>0</v>
      </c>
      <c r="BQ544" s="2126">
        <v>0</v>
      </c>
      <c r="BR544" s="2126">
        <v>0</v>
      </c>
    </row>
    <row r="545" spans="1:70" s="1765" customFormat="1" ht="33">
      <c r="A545" s="1272">
        <v>3000</v>
      </c>
      <c r="B545" s="971" t="s">
        <v>1072</v>
      </c>
      <c r="C545" s="1272">
        <v>3100</v>
      </c>
      <c r="D545" s="971" t="s">
        <v>120</v>
      </c>
      <c r="E545" s="971">
        <v>3130</v>
      </c>
      <c r="F545" s="971" t="s">
        <v>148</v>
      </c>
      <c r="G545" s="971">
        <v>3138</v>
      </c>
      <c r="H545" s="971" t="s">
        <v>1213</v>
      </c>
      <c r="I545" s="1273"/>
      <c r="J545" s="971" t="s">
        <v>121</v>
      </c>
      <c r="K545" s="971" t="s">
        <v>150</v>
      </c>
      <c r="L545" s="971" t="s">
        <v>2800</v>
      </c>
      <c r="M545" s="971" t="s">
        <v>80</v>
      </c>
      <c r="N545" s="971" t="s">
        <v>83</v>
      </c>
      <c r="O545" s="971" t="s">
        <v>151</v>
      </c>
      <c r="P545" s="971" t="s">
        <v>152</v>
      </c>
      <c r="Q545" s="971" t="s">
        <v>1215</v>
      </c>
      <c r="R545" s="1266" t="s">
        <v>1216</v>
      </c>
      <c r="S545" s="2106">
        <v>-226000</v>
      </c>
      <c r="T545" s="1266" t="s">
        <v>136</v>
      </c>
      <c r="U545" s="1742">
        <v>1.2691883296460175E-2</v>
      </c>
      <c r="V545" s="1742">
        <v>0.14624999999999999</v>
      </c>
      <c r="W545" s="1742">
        <v>1.1186625937499999</v>
      </c>
      <c r="X545" s="1742">
        <v>0.4015178457754629</v>
      </c>
      <c r="Y545" s="2106">
        <v>1.6649423457754629</v>
      </c>
      <c r="Z545" s="2106">
        <v>-2868.3656249999995</v>
      </c>
      <c r="AA545" s="2106">
        <v>-33052.5</v>
      </c>
      <c r="AB545" s="2106">
        <v>-252817.74618749999</v>
      </c>
      <c r="AC545" s="2106">
        <v>-90743.033145254609</v>
      </c>
      <c r="AD545" s="1744">
        <v>-376613.27933275455</v>
      </c>
      <c r="AE545" s="2126">
        <v>0</v>
      </c>
      <c r="AF545" s="2126">
        <v>0</v>
      </c>
      <c r="AG545" s="1212">
        <v>1</v>
      </c>
      <c r="AH545" s="1212">
        <v>0</v>
      </c>
      <c r="AI545" s="1212">
        <v>0</v>
      </c>
      <c r="AJ545" s="1212">
        <v>1</v>
      </c>
      <c r="AK545" s="2126">
        <v>-376613.27933275455</v>
      </c>
      <c r="AL545" s="2126">
        <v>0</v>
      </c>
      <c r="AM545" s="2126">
        <v>0</v>
      </c>
      <c r="AN545" s="2126">
        <v>-376613.27933275455</v>
      </c>
      <c r="AO545" s="1743" t="s">
        <v>85</v>
      </c>
      <c r="AP545" s="1743" t="s">
        <v>96</v>
      </c>
      <c r="AQ545" s="1764" t="s">
        <v>118</v>
      </c>
      <c r="AR545" s="1743" t="s">
        <v>87</v>
      </c>
      <c r="AS545" s="2135"/>
      <c r="AT545" s="2135"/>
      <c r="AU545" s="1212">
        <v>0.5</v>
      </c>
      <c r="AV545" s="1212">
        <v>0.5</v>
      </c>
      <c r="AW545" s="1212"/>
      <c r="AX545" s="1212"/>
      <c r="AY545" s="1212"/>
      <c r="AZ545" s="1212"/>
      <c r="BA545" s="1212"/>
      <c r="BB545" s="1212"/>
      <c r="BC545" s="1212"/>
      <c r="BD545" s="1212"/>
      <c r="BE545" s="1212"/>
      <c r="BF545" s="2126">
        <v>0</v>
      </c>
      <c r="BG545" s="2126">
        <v>0</v>
      </c>
      <c r="BH545" s="2126">
        <v>-188306.63966637728</v>
      </c>
      <c r="BI545" s="2126">
        <v>-188306.63966637728</v>
      </c>
      <c r="BJ545" s="2126">
        <v>0</v>
      </c>
      <c r="BK545" s="2126">
        <v>0</v>
      </c>
      <c r="BL545" s="2126">
        <v>0</v>
      </c>
      <c r="BM545" s="2126">
        <v>0</v>
      </c>
      <c r="BN545" s="2126">
        <v>0</v>
      </c>
      <c r="BO545" s="2126">
        <v>0</v>
      </c>
      <c r="BP545" s="2126">
        <v>0</v>
      </c>
      <c r="BQ545" s="2126">
        <v>0</v>
      </c>
      <c r="BR545" s="2126">
        <v>0</v>
      </c>
    </row>
    <row r="546" spans="1:70" s="1765" customFormat="1" ht="33">
      <c r="A546" s="1272">
        <v>3000</v>
      </c>
      <c r="B546" s="971" t="s">
        <v>1072</v>
      </c>
      <c r="C546" s="1272">
        <v>3100</v>
      </c>
      <c r="D546" s="971" t="s">
        <v>120</v>
      </c>
      <c r="E546" s="971">
        <v>3130</v>
      </c>
      <c r="F546" s="971" t="s">
        <v>148</v>
      </c>
      <c r="G546" s="971">
        <v>3138</v>
      </c>
      <c r="H546" s="971" t="s">
        <v>1213</v>
      </c>
      <c r="I546" s="1273"/>
      <c r="J546" s="971" t="s">
        <v>121</v>
      </c>
      <c r="K546" s="971" t="s">
        <v>150</v>
      </c>
      <c r="L546" s="971" t="s">
        <v>2800</v>
      </c>
      <c r="M546" s="971" t="s">
        <v>80</v>
      </c>
      <c r="N546" s="971" t="s">
        <v>83</v>
      </c>
      <c r="O546" s="971" t="s">
        <v>151</v>
      </c>
      <c r="P546" s="971" t="s">
        <v>152</v>
      </c>
      <c r="Q546" s="971" t="s">
        <v>1218</v>
      </c>
      <c r="R546" s="1266"/>
      <c r="S546" s="2106">
        <v>6000</v>
      </c>
      <c r="T546" s="1266" t="s">
        <v>136</v>
      </c>
      <c r="U546" s="1742">
        <v>1.2691883296460175E-2</v>
      </c>
      <c r="V546" s="1742">
        <v>0.14624999999999999</v>
      </c>
      <c r="W546" s="1742">
        <v>1.1186625937499999</v>
      </c>
      <c r="X546" s="1742">
        <v>0.4015178457754629</v>
      </c>
      <c r="Y546" s="2106">
        <v>1.6649423457754629</v>
      </c>
      <c r="Z546" s="2106">
        <v>76.151299778761057</v>
      </c>
      <c r="AA546" s="2106">
        <v>877.5</v>
      </c>
      <c r="AB546" s="2106">
        <v>6711.9755624999989</v>
      </c>
      <c r="AC546" s="2106">
        <v>2409.1070746527776</v>
      </c>
      <c r="AD546" s="1744">
        <v>9998.5826371527764</v>
      </c>
      <c r="AE546" s="2126">
        <v>0</v>
      </c>
      <c r="AF546" s="2126">
        <v>0</v>
      </c>
      <c r="AG546" s="1212">
        <v>1</v>
      </c>
      <c r="AH546" s="1212">
        <v>0</v>
      </c>
      <c r="AI546" s="1212">
        <v>0</v>
      </c>
      <c r="AJ546" s="1212">
        <v>1</v>
      </c>
      <c r="AK546" s="2126">
        <v>9998.5826371527764</v>
      </c>
      <c r="AL546" s="2126">
        <v>0</v>
      </c>
      <c r="AM546" s="2126">
        <v>0</v>
      </c>
      <c r="AN546" s="2126">
        <v>9998.5826371527764</v>
      </c>
      <c r="AO546" s="1743" t="s">
        <v>85</v>
      </c>
      <c r="AP546" s="1743" t="s">
        <v>1217</v>
      </c>
      <c r="AQ546" s="1764">
        <v>2017</v>
      </c>
      <c r="AR546" s="1743" t="s">
        <v>87</v>
      </c>
      <c r="AS546" s="2135"/>
      <c r="AT546" s="2135"/>
      <c r="AU546" s="1212">
        <v>0.5</v>
      </c>
      <c r="AV546" s="1212">
        <v>0.5</v>
      </c>
      <c r="AW546" s="1212"/>
      <c r="AX546" s="1212"/>
      <c r="AY546" s="1212"/>
      <c r="AZ546" s="1212"/>
      <c r="BA546" s="1212"/>
      <c r="BB546" s="1212"/>
      <c r="BC546" s="1212"/>
      <c r="BD546" s="1212"/>
      <c r="BE546" s="1212"/>
      <c r="BF546" s="2126">
        <v>0</v>
      </c>
      <c r="BG546" s="2126">
        <v>0</v>
      </c>
      <c r="BH546" s="2126">
        <v>4999.2913185763882</v>
      </c>
      <c r="BI546" s="2126">
        <v>4999.2913185763882</v>
      </c>
      <c r="BJ546" s="2126">
        <v>0</v>
      </c>
      <c r="BK546" s="2126">
        <v>0</v>
      </c>
      <c r="BL546" s="2126">
        <v>0</v>
      </c>
      <c r="BM546" s="2126">
        <v>0</v>
      </c>
      <c r="BN546" s="2126">
        <v>0</v>
      </c>
      <c r="BO546" s="2126">
        <v>0</v>
      </c>
      <c r="BP546" s="2126">
        <v>0</v>
      </c>
      <c r="BQ546" s="2126">
        <v>0</v>
      </c>
      <c r="BR546" s="2126">
        <v>0</v>
      </c>
    </row>
    <row r="547" spans="1:70" s="1765" customFormat="1" ht="33">
      <c r="A547" s="1272">
        <v>3000</v>
      </c>
      <c r="B547" s="971" t="s">
        <v>1072</v>
      </c>
      <c r="C547" s="1272">
        <v>3100</v>
      </c>
      <c r="D547" s="971" t="s">
        <v>120</v>
      </c>
      <c r="E547" s="971">
        <v>3130</v>
      </c>
      <c r="F547" s="971" t="s">
        <v>148</v>
      </c>
      <c r="G547" s="971">
        <v>3138</v>
      </c>
      <c r="H547" s="971" t="s">
        <v>1213</v>
      </c>
      <c r="I547" s="1273"/>
      <c r="J547" s="971" t="s">
        <v>121</v>
      </c>
      <c r="K547" s="971" t="s">
        <v>150</v>
      </c>
      <c r="L547" s="971" t="s">
        <v>2800</v>
      </c>
      <c r="M547" s="971" t="s">
        <v>80</v>
      </c>
      <c r="N547" s="971" t="s">
        <v>83</v>
      </c>
      <c r="O547" s="971" t="s">
        <v>151</v>
      </c>
      <c r="P547" s="971" t="s">
        <v>152</v>
      </c>
      <c r="Q547" s="971" t="s">
        <v>1219</v>
      </c>
      <c r="R547" s="1266"/>
      <c r="S547" s="2106">
        <v>50000</v>
      </c>
      <c r="T547" s="1266" t="s">
        <v>136</v>
      </c>
      <c r="U547" s="1742">
        <v>1.2691883296460175E-2</v>
      </c>
      <c r="V547" s="1742">
        <v>0.14624999999999999</v>
      </c>
      <c r="W547" s="1742">
        <v>1.1186625937499999</v>
      </c>
      <c r="X547" s="1742">
        <v>0.4015178457754629</v>
      </c>
      <c r="Y547" s="2106">
        <v>1.6649423457754629</v>
      </c>
      <c r="Z547" s="2106">
        <v>634.59416482300878</v>
      </c>
      <c r="AA547" s="2106">
        <v>7312.5</v>
      </c>
      <c r="AB547" s="2106">
        <v>55933.129687499997</v>
      </c>
      <c r="AC547" s="2106">
        <v>20075.892288773146</v>
      </c>
      <c r="AD547" s="1744">
        <v>83321.521976273143</v>
      </c>
      <c r="AE547" s="2126">
        <v>0</v>
      </c>
      <c r="AF547" s="2126">
        <v>0</v>
      </c>
      <c r="AG547" s="1212">
        <v>1</v>
      </c>
      <c r="AH547" s="1212">
        <v>0</v>
      </c>
      <c r="AI547" s="1212">
        <v>0</v>
      </c>
      <c r="AJ547" s="1212">
        <v>1</v>
      </c>
      <c r="AK547" s="2126">
        <v>83321.521976273143</v>
      </c>
      <c r="AL547" s="2126">
        <v>0</v>
      </c>
      <c r="AM547" s="2126">
        <v>0</v>
      </c>
      <c r="AN547" s="2126">
        <v>83321.521976273143</v>
      </c>
      <c r="AO547" s="1743" t="s">
        <v>85</v>
      </c>
      <c r="AP547" s="1743" t="s">
        <v>1217</v>
      </c>
      <c r="AQ547" s="1764" t="s">
        <v>112</v>
      </c>
      <c r="AR547" s="1743" t="s">
        <v>87</v>
      </c>
      <c r="AS547" s="2135"/>
      <c r="AT547" s="2135"/>
      <c r="AU547" s="1212">
        <v>0.5</v>
      </c>
      <c r="AV547" s="1212">
        <v>0.5</v>
      </c>
      <c r="AW547" s="1212"/>
      <c r="AX547" s="1212"/>
      <c r="AY547" s="1212"/>
      <c r="AZ547" s="1212"/>
      <c r="BA547" s="1212"/>
      <c r="BB547" s="1212"/>
      <c r="BC547" s="1212"/>
      <c r="BD547" s="1212"/>
      <c r="BE547" s="1212"/>
      <c r="BF547" s="2126">
        <v>0</v>
      </c>
      <c r="BG547" s="2126">
        <v>0</v>
      </c>
      <c r="BH547" s="2126">
        <v>41660.760988136572</v>
      </c>
      <c r="BI547" s="2126">
        <v>41660.760988136572</v>
      </c>
      <c r="BJ547" s="2126">
        <v>0</v>
      </c>
      <c r="BK547" s="2126">
        <v>0</v>
      </c>
      <c r="BL547" s="2126">
        <v>0</v>
      </c>
      <c r="BM547" s="2126">
        <v>0</v>
      </c>
      <c r="BN547" s="2126">
        <v>0</v>
      </c>
      <c r="BO547" s="2126">
        <v>0</v>
      </c>
      <c r="BP547" s="2126">
        <v>0</v>
      </c>
      <c r="BQ547" s="2126">
        <v>0</v>
      </c>
      <c r="BR547" s="2126">
        <v>0</v>
      </c>
    </row>
    <row r="548" spans="1:70" s="1765" customFormat="1" ht="33">
      <c r="A548" s="1272">
        <v>3000</v>
      </c>
      <c r="B548" s="971" t="s">
        <v>1072</v>
      </c>
      <c r="C548" s="1272">
        <v>3100</v>
      </c>
      <c r="D548" s="971" t="s">
        <v>120</v>
      </c>
      <c r="E548" s="971">
        <v>3130</v>
      </c>
      <c r="F548" s="971" t="s">
        <v>148</v>
      </c>
      <c r="G548" s="971">
        <v>3138</v>
      </c>
      <c r="H548" s="971" t="s">
        <v>1213</v>
      </c>
      <c r="I548" s="1273"/>
      <c r="J548" s="971" t="s">
        <v>121</v>
      </c>
      <c r="K548" s="971" t="s">
        <v>150</v>
      </c>
      <c r="L548" s="971" t="s">
        <v>2800</v>
      </c>
      <c r="M548" s="971" t="s">
        <v>80</v>
      </c>
      <c r="N548" s="971" t="s">
        <v>83</v>
      </c>
      <c r="O548" s="971" t="s">
        <v>151</v>
      </c>
      <c r="P548" s="971" t="s">
        <v>152</v>
      </c>
      <c r="Q548" s="971" t="s">
        <v>1220</v>
      </c>
      <c r="R548" s="1266"/>
      <c r="S548" s="2106">
        <v>-651406</v>
      </c>
      <c r="T548" s="1266" t="s">
        <v>136</v>
      </c>
      <c r="U548" s="1742">
        <v>1.2691883296460175E-2</v>
      </c>
      <c r="V548" s="1742">
        <v>0.14624999999999999</v>
      </c>
      <c r="W548" s="1742">
        <v>1.1186625937499999</v>
      </c>
      <c r="X548" s="1742">
        <v>0.4015178457754629</v>
      </c>
      <c r="Y548" s="2106">
        <v>1.6649423457754629</v>
      </c>
      <c r="Z548" s="2106">
        <v>-8267.5689306139375</v>
      </c>
      <c r="AA548" s="2106">
        <v>-95268.127499999988</v>
      </c>
      <c r="AB548" s="2106">
        <v>-728703.52554431243</v>
      </c>
      <c r="AC548" s="2106">
        <v>-261551.13384521118</v>
      </c>
      <c r="AD548" s="1744">
        <v>-1085522.7868895235</v>
      </c>
      <c r="AE548" s="2126">
        <v>0</v>
      </c>
      <c r="AF548" s="2126">
        <v>0</v>
      </c>
      <c r="AG548" s="1212">
        <v>1</v>
      </c>
      <c r="AH548" s="1212">
        <v>0</v>
      </c>
      <c r="AI548" s="1212">
        <v>0</v>
      </c>
      <c r="AJ548" s="1212">
        <v>1</v>
      </c>
      <c r="AK548" s="2126">
        <v>-1085522.7868895235</v>
      </c>
      <c r="AL548" s="2126">
        <v>0</v>
      </c>
      <c r="AM548" s="2126">
        <v>0</v>
      </c>
      <c r="AN548" s="2126">
        <v>-1085522.7868895235</v>
      </c>
      <c r="AO548" s="1743" t="s">
        <v>85</v>
      </c>
      <c r="AP548" s="1743" t="s">
        <v>96</v>
      </c>
      <c r="AQ548" s="1764" t="s">
        <v>97</v>
      </c>
      <c r="AR548" s="1743" t="s">
        <v>87</v>
      </c>
      <c r="AS548" s="2135"/>
      <c r="AT548" s="2135"/>
      <c r="AU548" s="1212">
        <v>0.5</v>
      </c>
      <c r="AV548" s="1212">
        <v>0.5</v>
      </c>
      <c r="AW548" s="1212"/>
      <c r="AX548" s="1212"/>
      <c r="AY548" s="1212"/>
      <c r="AZ548" s="1212"/>
      <c r="BA548" s="1212"/>
      <c r="BB548" s="1212"/>
      <c r="BC548" s="1212"/>
      <c r="BD548" s="1212"/>
      <c r="BE548" s="1212"/>
      <c r="BF548" s="2126">
        <v>0</v>
      </c>
      <c r="BG548" s="2126">
        <v>0</v>
      </c>
      <c r="BH548" s="2126">
        <v>-542761.39344476175</v>
      </c>
      <c r="BI548" s="2126">
        <v>-542761.39344476175</v>
      </c>
      <c r="BJ548" s="2126">
        <v>0</v>
      </c>
      <c r="BK548" s="2126">
        <v>0</v>
      </c>
      <c r="BL548" s="2126">
        <v>0</v>
      </c>
      <c r="BM548" s="2126">
        <v>0</v>
      </c>
      <c r="BN548" s="2126">
        <v>0</v>
      </c>
      <c r="BO548" s="2126">
        <v>0</v>
      </c>
      <c r="BP548" s="2126">
        <v>0</v>
      </c>
      <c r="BQ548" s="2126">
        <v>0</v>
      </c>
      <c r="BR548" s="2126">
        <v>0</v>
      </c>
    </row>
    <row r="549" spans="1:70" s="1765" customFormat="1" ht="33">
      <c r="A549" s="1272">
        <v>3000</v>
      </c>
      <c r="B549" s="971" t="s">
        <v>1072</v>
      </c>
      <c r="C549" s="1272">
        <v>3100</v>
      </c>
      <c r="D549" s="971" t="s">
        <v>120</v>
      </c>
      <c r="E549" s="971">
        <v>3130</v>
      </c>
      <c r="F549" s="971" t="s">
        <v>148</v>
      </c>
      <c r="G549" s="971">
        <v>3138</v>
      </c>
      <c r="H549" s="971" t="s">
        <v>1213</v>
      </c>
      <c r="I549" s="1273"/>
      <c r="J549" s="971" t="s">
        <v>121</v>
      </c>
      <c r="K549" s="971" t="s">
        <v>150</v>
      </c>
      <c r="L549" s="971" t="s">
        <v>2800</v>
      </c>
      <c r="M549" s="971" t="s">
        <v>80</v>
      </c>
      <c r="N549" s="971" t="s">
        <v>83</v>
      </c>
      <c r="O549" s="971" t="s">
        <v>151</v>
      </c>
      <c r="P549" s="971" t="s">
        <v>152</v>
      </c>
      <c r="Q549" s="971" t="s">
        <v>1221</v>
      </c>
      <c r="R549" s="1266"/>
      <c r="S549" s="2106">
        <v>824500</v>
      </c>
      <c r="T549" s="1266" t="s">
        <v>136</v>
      </c>
      <c r="U549" s="1742">
        <v>1.2691883296460175E-2</v>
      </c>
      <c r="V549" s="1742">
        <v>0.14624999999999999</v>
      </c>
      <c r="W549" s="1742">
        <v>1.1186625937499999</v>
      </c>
      <c r="X549" s="1742">
        <v>0.4015178457754629</v>
      </c>
      <c r="Y549" s="2106">
        <v>1.6649423457754629</v>
      </c>
      <c r="Z549" s="2106">
        <v>10464.457777931415</v>
      </c>
      <c r="AA549" s="2106">
        <v>120583.12499999999</v>
      </c>
      <c r="AB549" s="2106">
        <v>922337.30854687491</v>
      </c>
      <c r="AC549" s="2106">
        <v>331051.46384186915</v>
      </c>
      <c r="AD549" s="1744">
        <v>1373971.8973887442</v>
      </c>
      <c r="AE549" s="2126">
        <v>0</v>
      </c>
      <c r="AF549" s="2126">
        <v>0</v>
      </c>
      <c r="AG549" s="1212">
        <v>1</v>
      </c>
      <c r="AH549" s="1212">
        <v>0</v>
      </c>
      <c r="AI549" s="1212">
        <v>0</v>
      </c>
      <c r="AJ549" s="1212">
        <v>1</v>
      </c>
      <c r="AK549" s="2126">
        <v>1373971.8973887442</v>
      </c>
      <c r="AL549" s="2126">
        <v>0</v>
      </c>
      <c r="AM549" s="2126">
        <v>0</v>
      </c>
      <c r="AN549" s="2126">
        <v>1373971.8973887442</v>
      </c>
      <c r="AO549" s="1743" t="s">
        <v>85</v>
      </c>
      <c r="AP549" s="1743" t="s">
        <v>1217</v>
      </c>
      <c r="AQ549" s="1764" t="s">
        <v>202</v>
      </c>
      <c r="AR549" s="1743" t="s">
        <v>87</v>
      </c>
      <c r="AS549" s="2135"/>
      <c r="AT549" s="2135"/>
      <c r="AU549" s="1212">
        <v>0.5</v>
      </c>
      <c r="AV549" s="1212">
        <v>0.5</v>
      </c>
      <c r="AW549" s="1212"/>
      <c r="AX549" s="1212"/>
      <c r="AY549" s="1212"/>
      <c r="AZ549" s="1212"/>
      <c r="BA549" s="1212"/>
      <c r="BB549" s="1212"/>
      <c r="BC549" s="1212"/>
      <c r="BD549" s="1212"/>
      <c r="BE549" s="1212"/>
      <c r="BF549" s="2126">
        <v>0</v>
      </c>
      <c r="BG549" s="2126">
        <v>0</v>
      </c>
      <c r="BH549" s="2126">
        <v>686985.94869437208</v>
      </c>
      <c r="BI549" s="2126">
        <v>686985.94869437208</v>
      </c>
      <c r="BJ549" s="2126">
        <v>0</v>
      </c>
      <c r="BK549" s="2126">
        <v>0</v>
      </c>
      <c r="BL549" s="2126">
        <v>0</v>
      </c>
      <c r="BM549" s="2126">
        <v>0</v>
      </c>
      <c r="BN549" s="2126">
        <v>0</v>
      </c>
      <c r="BO549" s="2126">
        <v>0</v>
      </c>
      <c r="BP549" s="2126">
        <v>0</v>
      </c>
      <c r="BQ549" s="2126">
        <v>0</v>
      </c>
      <c r="BR549" s="2126">
        <v>0</v>
      </c>
    </row>
    <row r="550" spans="1:70" s="1765" customFormat="1" ht="33">
      <c r="A550" s="1272">
        <v>3000</v>
      </c>
      <c r="B550" s="971" t="s">
        <v>1072</v>
      </c>
      <c r="C550" s="1272">
        <v>3100</v>
      </c>
      <c r="D550" s="971" t="s">
        <v>120</v>
      </c>
      <c r="E550" s="971">
        <v>3130</v>
      </c>
      <c r="F550" s="971" t="s">
        <v>148</v>
      </c>
      <c r="G550" s="971">
        <v>3138</v>
      </c>
      <c r="H550" s="971" t="s">
        <v>1222</v>
      </c>
      <c r="I550" s="1273"/>
      <c r="J550" s="971" t="s">
        <v>121</v>
      </c>
      <c r="K550" s="971" t="s">
        <v>150</v>
      </c>
      <c r="L550" s="971" t="s">
        <v>2800</v>
      </c>
      <c r="M550" s="971" t="s">
        <v>80</v>
      </c>
      <c r="N550" s="971" t="s">
        <v>83</v>
      </c>
      <c r="O550" s="971" t="s">
        <v>151</v>
      </c>
      <c r="P550" s="971" t="s">
        <v>152</v>
      </c>
      <c r="Q550" s="971" t="s">
        <v>1223</v>
      </c>
      <c r="R550" s="1266"/>
      <c r="S550" s="2106">
        <v>50433</v>
      </c>
      <c r="T550" s="1266" t="s">
        <v>136</v>
      </c>
      <c r="U550" s="1742">
        <v>1.2691883296460175E-2</v>
      </c>
      <c r="V550" s="1742">
        <v>0.14624999999999999</v>
      </c>
      <c r="W550" s="1742">
        <v>1.1186625937499999</v>
      </c>
      <c r="X550" s="1742">
        <v>0.4015178457754629</v>
      </c>
      <c r="Y550" s="2106">
        <v>1.6649423457754629</v>
      </c>
      <c r="Z550" s="2106">
        <v>640.08975029037606</v>
      </c>
      <c r="AA550" s="2106">
        <v>7375.8262499999992</v>
      </c>
      <c r="AB550" s="2106">
        <v>56417.510590593745</v>
      </c>
      <c r="AC550" s="2106">
        <v>20249.749515993921</v>
      </c>
      <c r="AD550" s="1744">
        <v>84043.086356587664</v>
      </c>
      <c r="AE550" s="2126">
        <v>0</v>
      </c>
      <c r="AF550" s="2126">
        <v>0</v>
      </c>
      <c r="AG550" s="1212">
        <v>1</v>
      </c>
      <c r="AH550" s="1212">
        <v>0</v>
      </c>
      <c r="AI550" s="1212">
        <v>0</v>
      </c>
      <c r="AJ550" s="1212">
        <v>1</v>
      </c>
      <c r="AK550" s="2126">
        <v>84043.086356587664</v>
      </c>
      <c r="AL550" s="2126">
        <v>0</v>
      </c>
      <c r="AM550" s="2126">
        <v>0</v>
      </c>
      <c r="AN550" s="2126">
        <v>84043.086356587664</v>
      </c>
      <c r="AO550" s="1743" t="s">
        <v>85</v>
      </c>
      <c r="AP550" s="1743" t="s">
        <v>1167</v>
      </c>
      <c r="AQ550" s="1764">
        <v>2014</v>
      </c>
      <c r="AR550" s="1743" t="s">
        <v>87</v>
      </c>
      <c r="AS550" s="2135"/>
      <c r="AT550" s="2135"/>
      <c r="AU550" s="1212">
        <v>0.5</v>
      </c>
      <c r="AV550" s="1212">
        <v>0.5</v>
      </c>
      <c r="AW550" s="1212"/>
      <c r="AX550" s="1212"/>
      <c r="AY550" s="1212"/>
      <c r="AZ550" s="1212"/>
      <c r="BA550" s="1212"/>
      <c r="BB550" s="1212"/>
      <c r="BC550" s="1212"/>
      <c r="BD550" s="1212"/>
      <c r="BE550" s="1212"/>
      <c r="BF550" s="2126">
        <v>0</v>
      </c>
      <c r="BG550" s="2126">
        <v>0</v>
      </c>
      <c r="BH550" s="2126">
        <v>42021.543178293832</v>
      </c>
      <c r="BI550" s="2126">
        <v>42021.543178293832</v>
      </c>
      <c r="BJ550" s="2126">
        <v>0</v>
      </c>
      <c r="BK550" s="2126">
        <v>0</v>
      </c>
      <c r="BL550" s="2126">
        <v>0</v>
      </c>
      <c r="BM550" s="2126">
        <v>0</v>
      </c>
      <c r="BN550" s="2126">
        <v>0</v>
      </c>
      <c r="BO550" s="2126">
        <v>0</v>
      </c>
      <c r="BP550" s="2126">
        <v>0</v>
      </c>
      <c r="BQ550" s="2126">
        <v>0</v>
      </c>
      <c r="BR550" s="2126">
        <v>0</v>
      </c>
    </row>
    <row r="551" spans="1:70" s="1765" customFormat="1" ht="33">
      <c r="A551" s="1272">
        <v>3000</v>
      </c>
      <c r="B551" s="971" t="s">
        <v>1072</v>
      </c>
      <c r="C551" s="1272">
        <v>3100</v>
      </c>
      <c r="D551" s="971" t="s">
        <v>120</v>
      </c>
      <c r="E551" s="971">
        <v>3130</v>
      </c>
      <c r="F551" s="971" t="s">
        <v>148</v>
      </c>
      <c r="G551" s="971">
        <v>3138</v>
      </c>
      <c r="H551" s="971" t="s">
        <v>1222</v>
      </c>
      <c r="I551" s="1273"/>
      <c r="J551" s="971" t="s">
        <v>121</v>
      </c>
      <c r="K551" s="971" t="s">
        <v>150</v>
      </c>
      <c r="L551" s="971" t="s">
        <v>2800</v>
      </c>
      <c r="M551" s="971" t="s">
        <v>80</v>
      </c>
      <c r="N551" s="971" t="s">
        <v>83</v>
      </c>
      <c r="O551" s="971" t="s">
        <v>151</v>
      </c>
      <c r="P551" s="971" t="s">
        <v>152</v>
      </c>
      <c r="Q551" s="971" t="s">
        <v>1224</v>
      </c>
      <c r="R551" s="1266"/>
      <c r="S551" s="2106">
        <v>2000</v>
      </c>
      <c r="T551" s="1266" t="s">
        <v>136</v>
      </c>
      <c r="U551" s="1742">
        <v>1.2691883296460175E-2</v>
      </c>
      <c r="V551" s="1742">
        <v>0.14624999999999999</v>
      </c>
      <c r="W551" s="1742">
        <v>1.1186625937499999</v>
      </c>
      <c r="X551" s="1742">
        <v>0.4015178457754629</v>
      </c>
      <c r="Y551" s="2106">
        <v>1.6649423457754629</v>
      </c>
      <c r="Z551" s="2106">
        <v>25.383766592920349</v>
      </c>
      <c r="AA551" s="2106">
        <v>292.5</v>
      </c>
      <c r="AB551" s="2106">
        <v>2237.3251874999996</v>
      </c>
      <c r="AC551" s="2106">
        <v>803.03569155092578</v>
      </c>
      <c r="AD551" s="1744">
        <v>3332.8608790509252</v>
      </c>
      <c r="AE551" s="2126">
        <v>0</v>
      </c>
      <c r="AF551" s="2126">
        <v>0</v>
      </c>
      <c r="AG551" s="1212">
        <v>1</v>
      </c>
      <c r="AH551" s="1212">
        <v>0</v>
      </c>
      <c r="AI551" s="1212">
        <v>0</v>
      </c>
      <c r="AJ551" s="1212">
        <v>1</v>
      </c>
      <c r="AK551" s="2126">
        <v>3332.8608790509252</v>
      </c>
      <c r="AL551" s="2126">
        <v>0</v>
      </c>
      <c r="AM551" s="2126">
        <v>0</v>
      </c>
      <c r="AN551" s="2126">
        <v>3332.8608790509252</v>
      </c>
      <c r="AO551" s="1743" t="s">
        <v>85</v>
      </c>
      <c r="AP551" s="1743" t="s">
        <v>90</v>
      </c>
      <c r="AQ551" s="1764">
        <v>2017</v>
      </c>
      <c r="AR551" s="1743" t="s">
        <v>87</v>
      </c>
      <c r="AS551" s="2135"/>
      <c r="AT551" s="2135"/>
      <c r="AU551" s="1212">
        <v>0.5</v>
      </c>
      <c r="AV551" s="1212">
        <v>0.5</v>
      </c>
      <c r="AW551" s="1212"/>
      <c r="AX551" s="1212"/>
      <c r="AY551" s="1212"/>
      <c r="AZ551" s="1212"/>
      <c r="BA551" s="1212"/>
      <c r="BB551" s="1212"/>
      <c r="BC551" s="1212"/>
      <c r="BD551" s="1212"/>
      <c r="BE551" s="1212"/>
      <c r="BF551" s="2126">
        <v>0</v>
      </c>
      <c r="BG551" s="2126">
        <v>0</v>
      </c>
      <c r="BH551" s="2126">
        <v>1666.4304395254626</v>
      </c>
      <c r="BI551" s="2126">
        <v>1666.4304395254626</v>
      </c>
      <c r="BJ551" s="2126">
        <v>0</v>
      </c>
      <c r="BK551" s="2126">
        <v>0</v>
      </c>
      <c r="BL551" s="2126">
        <v>0</v>
      </c>
      <c r="BM551" s="2126">
        <v>0</v>
      </c>
      <c r="BN551" s="2126">
        <v>0</v>
      </c>
      <c r="BO551" s="2126">
        <v>0</v>
      </c>
      <c r="BP551" s="2126">
        <v>0</v>
      </c>
      <c r="BQ551" s="2126">
        <v>0</v>
      </c>
      <c r="BR551" s="2126">
        <v>0</v>
      </c>
    </row>
    <row r="552" spans="1:70" s="1765" customFormat="1" ht="33">
      <c r="A552" s="1272">
        <v>3000</v>
      </c>
      <c r="B552" s="971" t="s">
        <v>1072</v>
      </c>
      <c r="C552" s="1272">
        <v>3100</v>
      </c>
      <c r="D552" s="971" t="s">
        <v>120</v>
      </c>
      <c r="E552" s="971">
        <v>3130</v>
      </c>
      <c r="F552" s="971" t="s">
        <v>148</v>
      </c>
      <c r="G552" s="971">
        <v>3138</v>
      </c>
      <c r="H552" s="971" t="s">
        <v>1225</v>
      </c>
      <c r="I552" s="1273"/>
      <c r="J552" s="971"/>
      <c r="K552" s="971" t="s">
        <v>150</v>
      </c>
      <c r="L552" s="971" t="s">
        <v>2800</v>
      </c>
      <c r="M552" s="971" t="s">
        <v>80</v>
      </c>
      <c r="N552" s="971" t="s">
        <v>83</v>
      </c>
      <c r="O552" s="971" t="s">
        <v>151</v>
      </c>
      <c r="P552" s="971" t="s">
        <v>152</v>
      </c>
      <c r="Q552" s="971" t="s">
        <v>1194</v>
      </c>
      <c r="R552" s="1266"/>
      <c r="S552" s="2106">
        <v>6350</v>
      </c>
      <c r="T552" s="1266" t="s">
        <v>136</v>
      </c>
      <c r="U552" s="1742">
        <v>1.2691883296460175E-2</v>
      </c>
      <c r="V552" s="1742">
        <v>0.14624999999999999</v>
      </c>
      <c r="W552" s="1742">
        <v>1.1186625937499999</v>
      </c>
      <c r="X552" s="1742">
        <v>0.4015178457754629</v>
      </c>
      <c r="Y552" s="2106">
        <v>1.6649423457754629</v>
      </c>
      <c r="Z552" s="2106">
        <v>80.593458932522111</v>
      </c>
      <c r="AA552" s="2106">
        <v>928.6875</v>
      </c>
      <c r="AB552" s="2106">
        <v>7103.5074703124992</v>
      </c>
      <c r="AC552" s="2106">
        <v>2549.6383206741893</v>
      </c>
      <c r="AD552" s="1744">
        <v>10572.383895674189</v>
      </c>
      <c r="AE552" s="2126">
        <v>0</v>
      </c>
      <c r="AF552" s="2126">
        <v>0</v>
      </c>
      <c r="AG552" s="1212">
        <v>1</v>
      </c>
      <c r="AH552" s="1212">
        <v>0</v>
      </c>
      <c r="AI552" s="1212">
        <v>0</v>
      </c>
      <c r="AJ552" s="1212">
        <v>1</v>
      </c>
      <c r="AK552" s="2126">
        <v>10572.383895674189</v>
      </c>
      <c r="AL552" s="2126">
        <v>0</v>
      </c>
      <c r="AM552" s="2126">
        <v>0</v>
      </c>
      <c r="AN552" s="2126">
        <v>10572.383895674189</v>
      </c>
      <c r="AO552" s="1743" t="s">
        <v>85</v>
      </c>
      <c r="AP552" s="1743" t="s">
        <v>90</v>
      </c>
      <c r="AQ552" s="1764">
        <v>2016</v>
      </c>
      <c r="AR552" s="1743" t="s">
        <v>87</v>
      </c>
      <c r="AS552" s="2135"/>
      <c r="AT552" s="2135"/>
      <c r="AU552" s="1212">
        <v>0.5</v>
      </c>
      <c r="AV552" s="1212">
        <v>0.5</v>
      </c>
      <c r="AW552" s="1212"/>
      <c r="AX552" s="1212"/>
      <c r="AY552" s="1212"/>
      <c r="AZ552" s="1212"/>
      <c r="BA552" s="1212"/>
      <c r="BB552" s="1212"/>
      <c r="BC552" s="1212"/>
      <c r="BD552" s="1212"/>
      <c r="BE552" s="1212"/>
      <c r="BF552" s="2126">
        <v>0</v>
      </c>
      <c r="BG552" s="2126">
        <v>0</v>
      </c>
      <c r="BH552" s="2126">
        <v>5286.1919478370946</v>
      </c>
      <c r="BI552" s="2126">
        <v>5286.1919478370946</v>
      </c>
      <c r="BJ552" s="2126">
        <v>0</v>
      </c>
      <c r="BK552" s="2126">
        <v>0</v>
      </c>
      <c r="BL552" s="2126">
        <v>0</v>
      </c>
      <c r="BM552" s="2126">
        <v>0</v>
      </c>
      <c r="BN552" s="2126">
        <v>0</v>
      </c>
      <c r="BO552" s="2126">
        <v>0</v>
      </c>
      <c r="BP552" s="2126">
        <v>0</v>
      </c>
      <c r="BQ552" s="2126">
        <v>0</v>
      </c>
      <c r="BR552" s="2126">
        <v>0</v>
      </c>
    </row>
    <row r="553" spans="1:70" s="1765" customFormat="1" ht="33">
      <c r="A553" s="1272">
        <v>3000</v>
      </c>
      <c r="B553" s="971" t="s">
        <v>1072</v>
      </c>
      <c r="C553" s="1272">
        <v>3100</v>
      </c>
      <c r="D553" s="971" t="s">
        <v>120</v>
      </c>
      <c r="E553" s="971">
        <v>3130</v>
      </c>
      <c r="F553" s="971" t="s">
        <v>148</v>
      </c>
      <c r="G553" s="971">
        <v>3138</v>
      </c>
      <c r="H553" s="971" t="s">
        <v>1226</v>
      </c>
      <c r="I553" s="1273"/>
      <c r="J553" s="971"/>
      <c r="K553" s="971" t="s">
        <v>150</v>
      </c>
      <c r="L553" s="971" t="s">
        <v>2800</v>
      </c>
      <c r="M553" s="971" t="s">
        <v>80</v>
      </c>
      <c r="N553" s="971" t="s">
        <v>83</v>
      </c>
      <c r="O553" s="971" t="s">
        <v>151</v>
      </c>
      <c r="P553" s="971" t="s">
        <v>152</v>
      </c>
      <c r="Q553" s="971" t="s">
        <v>1227</v>
      </c>
      <c r="R553" s="1266"/>
      <c r="S553" s="2106">
        <v>13440</v>
      </c>
      <c r="T553" s="1266" t="s">
        <v>136</v>
      </c>
      <c r="U553" s="1742">
        <v>1.2691883296460175E-2</v>
      </c>
      <c r="V553" s="1742">
        <v>0.14624999999999999</v>
      </c>
      <c r="W553" s="1742">
        <v>1.1186625937499999</v>
      </c>
      <c r="X553" s="1742">
        <v>0.4015178457754629</v>
      </c>
      <c r="Y553" s="2106">
        <v>1.6649423457754629</v>
      </c>
      <c r="Z553" s="2106">
        <v>170.57891150442475</v>
      </c>
      <c r="AA553" s="2106">
        <v>1965.6</v>
      </c>
      <c r="AB553" s="2106">
        <v>15034.825259999998</v>
      </c>
      <c r="AC553" s="2106">
        <v>5396.3998472222211</v>
      </c>
      <c r="AD553" s="1744">
        <v>22376.825127222222</v>
      </c>
      <c r="AE553" s="2126">
        <v>0</v>
      </c>
      <c r="AF553" s="2126">
        <v>0</v>
      </c>
      <c r="AG553" s="1212">
        <v>1</v>
      </c>
      <c r="AH553" s="1212">
        <v>0</v>
      </c>
      <c r="AI553" s="1212">
        <v>0</v>
      </c>
      <c r="AJ553" s="1212">
        <v>1</v>
      </c>
      <c r="AK553" s="2126">
        <v>22376.825127222222</v>
      </c>
      <c r="AL553" s="2126">
        <v>0</v>
      </c>
      <c r="AM553" s="2126">
        <v>0</v>
      </c>
      <c r="AN553" s="2126">
        <v>22376.825127222222</v>
      </c>
      <c r="AO553" s="1743" t="s">
        <v>85</v>
      </c>
      <c r="AP553" s="1743" t="s">
        <v>1197</v>
      </c>
      <c r="AQ553" s="1764">
        <v>2016</v>
      </c>
      <c r="AR553" s="1743" t="s">
        <v>87</v>
      </c>
      <c r="AS553" s="2135"/>
      <c r="AT553" s="2135"/>
      <c r="AU553" s="1212">
        <v>0.5</v>
      </c>
      <c r="AV553" s="1212">
        <v>0.5</v>
      </c>
      <c r="AW553" s="1212"/>
      <c r="AX553" s="1212"/>
      <c r="AY553" s="1212"/>
      <c r="AZ553" s="1212"/>
      <c r="BA553" s="1212"/>
      <c r="BB553" s="1212"/>
      <c r="BC553" s="1212"/>
      <c r="BD553" s="1212"/>
      <c r="BE553" s="1212"/>
      <c r="BF553" s="2126">
        <v>0</v>
      </c>
      <c r="BG553" s="2126">
        <v>0</v>
      </c>
      <c r="BH553" s="2126">
        <v>11188.412563611111</v>
      </c>
      <c r="BI553" s="2126">
        <v>11188.412563611111</v>
      </c>
      <c r="BJ553" s="2126">
        <v>0</v>
      </c>
      <c r="BK553" s="2126">
        <v>0</v>
      </c>
      <c r="BL553" s="2126">
        <v>0</v>
      </c>
      <c r="BM553" s="2126">
        <v>0</v>
      </c>
      <c r="BN553" s="2126">
        <v>0</v>
      </c>
      <c r="BO553" s="2126">
        <v>0</v>
      </c>
      <c r="BP553" s="2126">
        <v>0</v>
      </c>
      <c r="BQ553" s="2126">
        <v>0</v>
      </c>
      <c r="BR553" s="2126">
        <v>0</v>
      </c>
    </row>
    <row r="554" spans="1:70" s="1765" customFormat="1" ht="33">
      <c r="A554" s="1272">
        <v>3000</v>
      </c>
      <c r="B554" s="971" t="s">
        <v>1072</v>
      </c>
      <c r="C554" s="1272">
        <v>3100</v>
      </c>
      <c r="D554" s="971" t="s">
        <v>120</v>
      </c>
      <c r="E554" s="971">
        <v>3130</v>
      </c>
      <c r="F554" s="971" t="s">
        <v>148</v>
      </c>
      <c r="G554" s="971">
        <v>3138</v>
      </c>
      <c r="H554" s="971" t="s">
        <v>1228</v>
      </c>
      <c r="I554" s="1273"/>
      <c r="J554" s="971"/>
      <c r="K554" s="971" t="s">
        <v>150</v>
      </c>
      <c r="L554" s="971" t="s">
        <v>2800</v>
      </c>
      <c r="M554" s="971" t="s">
        <v>80</v>
      </c>
      <c r="N554" s="971" t="s">
        <v>83</v>
      </c>
      <c r="O554" s="971" t="s">
        <v>151</v>
      </c>
      <c r="P554" s="971" t="s">
        <v>152</v>
      </c>
      <c r="Q554" s="971" t="s">
        <v>1229</v>
      </c>
      <c r="R554" s="1266"/>
      <c r="S554" s="2106">
        <v>10680</v>
      </c>
      <c r="T554" s="1266" t="s">
        <v>136</v>
      </c>
      <c r="U554" s="1742">
        <v>1.2691883296460175E-2</v>
      </c>
      <c r="V554" s="1742">
        <v>0.14624999999999999</v>
      </c>
      <c r="W554" s="1742">
        <v>1.1186625937499999</v>
      </c>
      <c r="X554" s="1742">
        <v>0.4015178457754629</v>
      </c>
      <c r="Y554" s="2106">
        <v>1.6649423457754629</v>
      </c>
      <c r="Z554" s="2106">
        <v>135.54931360619466</v>
      </c>
      <c r="AA554" s="2106">
        <v>1561.9499999999998</v>
      </c>
      <c r="AB554" s="2106">
        <v>11947.316501249999</v>
      </c>
      <c r="AC554" s="2106">
        <v>4288.2105928819437</v>
      </c>
      <c r="AD554" s="1744">
        <v>17781.584252881945</v>
      </c>
      <c r="AE554" s="2126">
        <v>0</v>
      </c>
      <c r="AF554" s="2126">
        <v>0</v>
      </c>
      <c r="AG554" s="1212">
        <v>1</v>
      </c>
      <c r="AH554" s="1212">
        <v>0</v>
      </c>
      <c r="AI554" s="1212">
        <v>0</v>
      </c>
      <c r="AJ554" s="1212">
        <v>1</v>
      </c>
      <c r="AK554" s="2126">
        <v>17781.584252881945</v>
      </c>
      <c r="AL554" s="2126">
        <v>0</v>
      </c>
      <c r="AM554" s="2126">
        <v>0</v>
      </c>
      <c r="AN554" s="2126">
        <v>17781.584252881945</v>
      </c>
      <c r="AO554" s="1743" t="s">
        <v>85</v>
      </c>
      <c r="AP554" s="1743" t="s">
        <v>1197</v>
      </c>
      <c r="AQ554" s="1764">
        <v>2016</v>
      </c>
      <c r="AR554" s="1743" t="s">
        <v>87</v>
      </c>
      <c r="AS554" s="2135"/>
      <c r="AT554" s="2135"/>
      <c r="AU554" s="1212">
        <v>0.5</v>
      </c>
      <c r="AV554" s="1212">
        <v>0.5</v>
      </c>
      <c r="AW554" s="1212"/>
      <c r="AX554" s="1212"/>
      <c r="AY554" s="1212"/>
      <c r="AZ554" s="1212"/>
      <c r="BA554" s="1212"/>
      <c r="BB554" s="1212"/>
      <c r="BC554" s="1212"/>
      <c r="BD554" s="1212"/>
      <c r="BE554" s="1212"/>
      <c r="BF554" s="2126">
        <v>0</v>
      </c>
      <c r="BG554" s="2126">
        <v>0</v>
      </c>
      <c r="BH554" s="2126">
        <v>8890.7921264409724</v>
      </c>
      <c r="BI554" s="2126">
        <v>8890.7921264409724</v>
      </c>
      <c r="BJ554" s="2126">
        <v>0</v>
      </c>
      <c r="BK554" s="2126">
        <v>0</v>
      </c>
      <c r="BL554" s="2126">
        <v>0</v>
      </c>
      <c r="BM554" s="2126">
        <v>0</v>
      </c>
      <c r="BN554" s="2126">
        <v>0</v>
      </c>
      <c r="BO554" s="2126">
        <v>0</v>
      </c>
      <c r="BP554" s="2126">
        <v>0</v>
      </c>
      <c r="BQ554" s="2126">
        <v>0</v>
      </c>
      <c r="BR554" s="2126">
        <v>0</v>
      </c>
    </row>
    <row r="555" spans="1:70" s="1765" customFormat="1" ht="33">
      <c r="A555" s="1272">
        <v>3000</v>
      </c>
      <c r="B555" s="971" t="s">
        <v>1072</v>
      </c>
      <c r="C555" s="1272">
        <v>3100</v>
      </c>
      <c r="D555" s="971" t="s">
        <v>120</v>
      </c>
      <c r="E555" s="971">
        <v>3130</v>
      </c>
      <c r="F555" s="971" t="s">
        <v>148</v>
      </c>
      <c r="G555" s="971">
        <v>3138</v>
      </c>
      <c r="H555" s="971" t="s">
        <v>1230</v>
      </c>
      <c r="I555" s="1273"/>
      <c r="J555" s="971"/>
      <c r="K555" s="971" t="s">
        <v>150</v>
      </c>
      <c r="L555" s="971" t="s">
        <v>2800</v>
      </c>
      <c r="M555" s="971" t="s">
        <v>80</v>
      </c>
      <c r="N555" s="971" t="s">
        <v>83</v>
      </c>
      <c r="O555" s="971" t="s">
        <v>151</v>
      </c>
      <c r="P555" s="971" t="s">
        <v>152</v>
      </c>
      <c r="Q555" s="971" t="s">
        <v>1231</v>
      </c>
      <c r="R555" s="1266"/>
      <c r="S555" s="2106">
        <v>11240</v>
      </c>
      <c r="T555" s="1266" t="s">
        <v>136</v>
      </c>
      <c r="U555" s="1742">
        <v>1.2691883296460175E-2</v>
      </c>
      <c r="V555" s="1742">
        <v>0.14624999999999999</v>
      </c>
      <c r="W555" s="1742">
        <v>1.1186625937499999</v>
      </c>
      <c r="X555" s="1742">
        <v>0.4015178457754629</v>
      </c>
      <c r="Y555" s="2106">
        <v>1.6649423457754629</v>
      </c>
      <c r="Z555" s="2106">
        <v>142.65676825221237</v>
      </c>
      <c r="AA555" s="2106">
        <v>1643.85</v>
      </c>
      <c r="AB555" s="2106">
        <v>12573.767553749998</v>
      </c>
      <c r="AC555" s="2106">
        <v>4513.0605865162033</v>
      </c>
      <c r="AD555" s="1744">
        <v>18713.951966516201</v>
      </c>
      <c r="AE555" s="2126">
        <v>0</v>
      </c>
      <c r="AF555" s="2126">
        <v>0</v>
      </c>
      <c r="AG555" s="1212">
        <v>1</v>
      </c>
      <c r="AH555" s="1212">
        <v>0</v>
      </c>
      <c r="AI555" s="1212">
        <v>0</v>
      </c>
      <c r="AJ555" s="1212">
        <v>1</v>
      </c>
      <c r="AK555" s="2126">
        <v>18713.951966516201</v>
      </c>
      <c r="AL555" s="2126">
        <v>0</v>
      </c>
      <c r="AM555" s="2126">
        <v>0</v>
      </c>
      <c r="AN555" s="2126">
        <v>18713.951966516201</v>
      </c>
      <c r="AO555" s="1743" t="s">
        <v>85</v>
      </c>
      <c r="AP555" s="1743" t="s">
        <v>90</v>
      </c>
      <c r="AQ555" s="1764">
        <v>2016</v>
      </c>
      <c r="AR555" s="1743" t="s">
        <v>87</v>
      </c>
      <c r="AS555" s="2135"/>
      <c r="AT555" s="2135"/>
      <c r="AU555" s="1212">
        <v>0.5</v>
      </c>
      <c r="AV555" s="1212">
        <v>0.5</v>
      </c>
      <c r="AW555" s="1212"/>
      <c r="AX555" s="1212"/>
      <c r="AY555" s="1212"/>
      <c r="AZ555" s="1212"/>
      <c r="BA555" s="1212"/>
      <c r="BB555" s="1212"/>
      <c r="BC555" s="1212"/>
      <c r="BD555" s="1212"/>
      <c r="BE555" s="1212"/>
      <c r="BF555" s="2126">
        <v>0</v>
      </c>
      <c r="BG555" s="2126">
        <v>0</v>
      </c>
      <c r="BH555" s="2126">
        <v>9356.9759832581003</v>
      </c>
      <c r="BI555" s="2126">
        <v>9356.9759832581003</v>
      </c>
      <c r="BJ555" s="2126">
        <v>0</v>
      </c>
      <c r="BK555" s="2126">
        <v>0</v>
      </c>
      <c r="BL555" s="2126">
        <v>0</v>
      </c>
      <c r="BM555" s="2126">
        <v>0</v>
      </c>
      <c r="BN555" s="2126">
        <v>0</v>
      </c>
      <c r="BO555" s="2126">
        <v>0</v>
      </c>
      <c r="BP555" s="2126">
        <v>0</v>
      </c>
      <c r="BQ555" s="2126">
        <v>0</v>
      </c>
      <c r="BR555" s="2126">
        <v>0</v>
      </c>
    </row>
    <row r="556" spans="1:70" s="1765" customFormat="1" ht="33">
      <c r="A556" s="1272">
        <v>3000</v>
      </c>
      <c r="B556" s="971" t="s">
        <v>1072</v>
      </c>
      <c r="C556" s="1272">
        <v>3100</v>
      </c>
      <c r="D556" s="971" t="s">
        <v>120</v>
      </c>
      <c r="E556" s="971">
        <v>3130</v>
      </c>
      <c r="F556" s="971" t="s">
        <v>148</v>
      </c>
      <c r="G556" s="971">
        <v>3138</v>
      </c>
      <c r="H556" s="971" t="s">
        <v>1232</v>
      </c>
      <c r="I556" s="1273"/>
      <c r="J556" s="971"/>
      <c r="K556" s="971" t="s">
        <v>150</v>
      </c>
      <c r="L556" s="971" t="s">
        <v>2800</v>
      </c>
      <c r="M556" s="971" t="s">
        <v>80</v>
      </c>
      <c r="N556" s="971" t="s">
        <v>83</v>
      </c>
      <c r="O556" s="971" t="s">
        <v>151</v>
      </c>
      <c r="P556" s="971" t="s">
        <v>152</v>
      </c>
      <c r="Q556" s="971" t="s">
        <v>1233</v>
      </c>
      <c r="R556" s="1266"/>
      <c r="S556" s="2106">
        <v>18760</v>
      </c>
      <c r="T556" s="1266" t="s">
        <v>136</v>
      </c>
      <c r="U556" s="1742">
        <v>1.2691883296460175E-2</v>
      </c>
      <c r="V556" s="1742">
        <v>0.14624999999999999</v>
      </c>
      <c r="W556" s="1742">
        <v>1.1186625937499999</v>
      </c>
      <c r="X556" s="1742">
        <v>0.4015178457754629</v>
      </c>
      <c r="Y556" s="2106">
        <v>1.6649423457754629</v>
      </c>
      <c r="Z556" s="2106">
        <v>238.09973064159288</v>
      </c>
      <c r="AA556" s="2106">
        <v>2743.6499999999996</v>
      </c>
      <c r="AB556" s="2106">
        <v>20986.110258749999</v>
      </c>
      <c r="AC556" s="2106">
        <v>7532.4747867476844</v>
      </c>
      <c r="AD556" s="1744">
        <v>31262.235045497684</v>
      </c>
      <c r="AE556" s="2126">
        <v>0</v>
      </c>
      <c r="AF556" s="2126">
        <v>0</v>
      </c>
      <c r="AG556" s="1212">
        <v>1</v>
      </c>
      <c r="AH556" s="1212">
        <v>0</v>
      </c>
      <c r="AI556" s="1212">
        <v>0</v>
      </c>
      <c r="AJ556" s="1212">
        <v>1</v>
      </c>
      <c r="AK556" s="2126">
        <v>31262.235045497684</v>
      </c>
      <c r="AL556" s="2126">
        <v>0</v>
      </c>
      <c r="AM556" s="2126">
        <v>0</v>
      </c>
      <c r="AN556" s="2126">
        <v>31262.235045497684</v>
      </c>
      <c r="AO556" s="1743" t="s">
        <v>85</v>
      </c>
      <c r="AP556" s="1743" t="s">
        <v>1167</v>
      </c>
      <c r="AQ556" s="1764">
        <v>2014</v>
      </c>
      <c r="AR556" s="1743" t="s">
        <v>87</v>
      </c>
      <c r="AS556" s="2135"/>
      <c r="AT556" s="2135"/>
      <c r="AU556" s="1212">
        <v>0.5</v>
      </c>
      <c r="AV556" s="1212">
        <v>0.5</v>
      </c>
      <c r="AW556" s="1212"/>
      <c r="AX556" s="1212"/>
      <c r="AY556" s="1212"/>
      <c r="AZ556" s="1212"/>
      <c r="BA556" s="1212"/>
      <c r="BB556" s="1212"/>
      <c r="BC556" s="1212"/>
      <c r="BD556" s="1212"/>
      <c r="BE556" s="1212"/>
      <c r="BF556" s="2126">
        <v>0</v>
      </c>
      <c r="BG556" s="2126">
        <v>0</v>
      </c>
      <c r="BH556" s="2126">
        <v>15631.117522748842</v>
      </c>
      <c r="BI556" s="2126">
        <v>15631.117522748842</v>
      </c>
      <c r="BJ556" s="2126">
        <v>0</v>
      </c>
      <c r="BK556" s="2126">
        <v>0</v>
      </c>
      <c r="BL556" s="2126">
        <v>0</v>
      </c>
      <c r="BM556" s="2126">
        <v>0</v>
      </c>
      <c r="BN556" s="2126">
        <v>0</v>
      </c>
      <c r="BO556" s="2126">
        <v>0</v>
      </c>
      <c r="BP556" s="2126">
        <v>0</v>
      </c>
      <c r="BQ556" s="2126">
        <v>0</v>
      </c>
      <c r="BR556" s="2126">
        <v>0</v>
      </c>
    </row>
    <row r="557" spans="1:70" s="1765" customFormat="1" ht="33">
      <c r="A557" s="1272">
        <v>3000</v>
      </c>
      <c r="B557" s="971" t="s">
        <v>1072</v>
      </c>
      <c r="C557" s="1272">
        <v>3100</v>
      </c>
      <c r="D557" s="971" t="s">
        <v>120</v>
      </c>
      <c r="E557" s="971">
        <v>3130</v>
      </c>
      <c r="F557" s="971" t="s">
        <v>148</v>
      </c>
      <c r="G557" s="971">
        <v>3138</v>
      </c>
      <c r="H557" s="971" t="s">
        <v>1232</v>
      </c>
      <c r="I557" s="1273"/>
      <c r="J557" s="971"/>
      <c r="K557" s="971" t="s">
        <v>150</v>
      </c>
      <c r="L557" s="971" t="s">
        <v>2800</v>
      </c>
      <c r="M557" s="971" t="s">
        <v>80</v>
      </c>
      <c r="N557" s="971" t="s">
        <v>83</v>
      </c>
      <c r="O557" s="971" t="s">
        <v>151</v>
      </c>
      <c r="P557" s="971" t="s">
        <v>152</v>
      </c>
      <c r="Q557" s="971" t="s">
        <v>1234</v>
      </c>
      <c r="R557" s="1266"/>
      <c r="S557" s="2106">
        <v>15166</v>
      </c>
      <c r="T557" s="1266" t="s">
        <v>136</v>
      </c>
      <c r="U557" s="1742">
        <v>1.2691883296460175E-2</v>
      </c>
      <c r="V557" s="1742">
        <v>0.14624999999999999</v>
      </c>
      <c r="W557" s="1742">
        <v>1.1186625937499999</v>
      </c>
      <c r="X557" s="1742">
        <v>0.4015178457754629</v>
      </c>
      <c r="Y557" s="2106">
        <v>1.6649423457754629</v>
      </c>
      <c r="Z557" s="2106">
        <v>192.48510207411502</v>
      </c>
      <c r="AA557" s="2106">
        <v>2218.0274999999997</v>
      </c>
      <c r="AB557" s="2106">
        <v>16965.636896812499</v>
      </c>
      <c r="AC557" s="2106">
        <v>6089.4196490306704</v>
      </c>
      <c r="AD557" s="1744">
        <v>25250.515616030669</v>
      </c>
      <c r="AE557" s="2126">
        <v>0</v>
      </c>
      <c r="AF557" s="2126">
        <v>0</v>
      </c>
      <c r="AG557" s="1212">
        <v>1</v>
      </c>
      <c r="AH557" s="1212">
        <v>0</v>
      </c>
      <c r="AI557" s="1212">
        <v>0</v>
      </c>
      <c r="AJ557" s="1212">
        <v>1</v>
      </c>
      <c r="AK557" s="2126">
        <v>25250.515616030669</v>
      </c>
      <c r="AL557" s="2126">
        <v>0</v>
      </c>
      <c r="AM557" s="2126">
        <v>0</v>
      </c>
      <c r="AN557" s="2126">
        <v>25250.515616030669</v>
      </c>
      <c r="AO557" s="1743" t="s">
        <v>85</v>
      </c>
      <c r="AP557" s="1743" t="s">
        <v>1197</v>
      </c>
      <c r="AQ557" s="1764">
        <v>2016</v>
      </c>
      <c r="AR557" s="1743" t="s">
        <v>87</v>
      </c>
      <c r="AS557" s="2135"/>
      <c r="AT557" s="2135"/>
      <c r="AU557" s="1212">
        <v>0.5</v>
      </c>
      <c r="AV557" s="1212">
        <v>0.5</v>
      </c>
      <c r="AW557" s="1212"/>
      <c r="AX557" s="1212"/>
      <c r="AY557" s="1212"/>
      <c r="AZ557" s="1212"/>
      <c r="BA557" s="1212"/>
      <c r="BB557" s="1212"/>
      <c r="BC557" s="1212"/>
      <c r="BD557" s="1212"/>
      <c r="BE557" s="1212"/>
      <c r="BF557" s="2126">
        <v>0</v>
      </c>
      <c r="BG557" s="2126">
        <v>0</v>
      </c>
      <c r="BH557" s="2126">
        <v>12625.257808015334</v>
      </c>
      <c r="BI557" s="2126">
        <v>12625.257808015334</v>
      </c>
      <c r="BJ557" s="2126">
        <v>0</v>
      </c>
      <c r="BK557" s="2126">
        <v>0</v>
      </c>
      <c r="BL557" s="2126">
        <v>0</v>
      </c>
      <c r="BM557" s="2126">
        <v>0</v>
      </c>
      <c r="BN557" s="2126">
        <v>0</v>
      </c>
      <c r="BO557" s="2126">
        <v>0</v>
      </c>
      <c r="BP557" s="2126">
        <v>0</v>
      </c>
      <c r="BQ557" s="2126">
        <v>0</v>
      </c>
      <c r="BR557" s="2126">
        <v>0</v>
      </c>
    </row>
    <row r="558" spans="1:70" s="1765" customFormat="1" ht="33">
      <c r="A558" s="1272">
        <v>3000</v>
      </c>
      <c r="B558" s="971" t="s">
        <v>1072</v>
      </c>
      <c r="C558" s="1272">
        <v>3100</v>
      </c>
      <c r="D558" s="971" t="s">
        <v>120</v>
      </c>
      <c r="E558" s="971">
        <v>3130</v>
      </c>
      <c r="F558" s="971" t="s">
        <v>148</v>
      </c>
      <c r="G558" s="971">
        <v>3138</v>
      </c>
      <c r="H558" s="971" t="s">
        <v>1235</v>
      </c>
      <c r="I558" s="1273"/>
      <c r="J558" s="971" t="s">
        <v>121</v>
      </c>
      <c r="K558" s="971" t="s">
        <v>150</v>
      </c>
      <c r="L558" s="971" t="s">
        <v>2800</v>
      </c>
      <c r="M558" s="971" t="s">
        <v>80</v>
      </c>
      <c r="N558" s="971" t="s">
        <v>83</v>
      </c>
      <c r="O558" s="971" t="s">
        <v>151</v>
      </c>
      <c r="P558" s="971" t="s">
        <v>152</v>
      </c>
      <c r="Q558" s="971" t="s">
        <v>1236</v>
      </c>
      <c r="R558" s="1266"/>
      <c r="S558" s="2106">
        <v>-345500</v>
      </c>
      <c r="T558" s="1266" t="s">
        <v>136</v>
      </c>
      <c r="U558" s="1742">
        <v>1.2691883296460175E-2</v>
      </c>
      <c r="V558" s="1742">
        <v>0.14624999999999999</v>
      </c>
      <c r="W558" s="1742">
        <v>1.1186625937499999</v>
      </c>
      <c r="X558" s="1742">
        <v>0.4015178457754629</v>
      </c>
      <c r="Y558" s="2106">
        <v>1.6649423457754629</v>
      </c>
      <c r="Z558" s="2106">
        <v>-4385.0456789269901</v>
      </c>
      <c r="AA558" s="2106">
        <v>-50529.375</v>
      </c>
      <c r="AB558" s="2106">
        <v>-386497.92614062497</v>
      </c>
      <c r="AC558" s="2106">
        <v>-138724.41571542242</v>
      </c>
      <c r="AD558" s="1744">
        <v>-575751.71685604739</v>
      </c>
      <c r="AE558" s="2126">
        <v>0</v>
      </c>
      <c r="AF558" s="2126">
        <v>0</v>
      </c>
      <c r="AG558" s="1212">
        <v>1</v>
      </c>
      <c r="AH558" s="1212">
        <v>0</v>
      </c>
      <c r="AI558" s="1212">
        <v>0</v>
      </c>
      <c r="AJ558" s="1212">
        <v>1</v>
      </c>
      <c r="AK558" s="2126">
        <v>-575751.71685604739</v>
      </c>
      <c r="AL558" s="2126">
        <v>0</v>
      </c>
      <c r="AM558" s="2126">
        <v>0</v>
      </c>
      <c r="AN558" s="2126">
        <v>-575751.71685604739</v>
      </c>
      <c r="AO558" s="1743" t="s">
        <v>85</v>
      </c>
      <c r="AP558" s="1743" t="s">
        <v>96</v>
      </c>
      <c r="AQ558" s="1764" t="s">
        <v>97</v>
      </c>
      <c r="AR558" s="1743" t="s">
        <v>87</v>
      </c>
      <c r="AS558" s="2135"/>
      <c r="AT558" s="2135"/>
      <c r="AU558" s="1212">
        <v>0.5</v>
      </c>
      <c r="AV558" s="1212">
        <v>0.5</v>
      </c>
      <c r="AW558" s="1212"/>
      <c r="AX558" s="1212"/>
      <c r="AY558" s="1212"/>
      <c r="AZ558" s="1212"/>
      <c r="BA558" s="1212"/>
      <c r="BB558" s="1212"/>
      <c r="BC558" s="1212"/>
      <c r="BD558" s="1212"/>
      <c r="BE558" s="1212"/>
      <c r="BF558" s="2126">
        <v>0</v>
      </c>
      <c r="BG558" s="2126">
        <v>0</v>
      </c>
      <c r="BH558" s="2126">
        <v>-287875.8584280237</v>
      </c>
      <c r="BI558" s="2126">
        <v>-287875.8584280237</v>
      </c>
      <c r="BJ558" s="2126">
        <v>0</v>
      </c>
      <c r="BK558" s="2126">
        <v>0</v>
      </c>
      <c r="BL558" s="2126">
        <v>0</v>
      </c>
      <c r="BM558" s="2126">
        <v>0</v>
      </c>
      <c r="BN558" s="2126">
        <v>0</v>
      </c>
      <c r="BO558" s="2126">
        <v>0</v>
      </c>
      <c r="BP558" s="2126">
        <v>0</v>
      </c>
      <c r="BQ558" s="2126">
        <v>0</v>
      </c>
      <c r="BR558" s="2126">
        <v>0</v>
      </c>
    </row>
    <row r="559" spans="1:70" s="1765" customFormat="1" ht="33">
      <c r="A559" s="1272">
        <v>3000</v>
      </c>
      <c r="B559" s="971" t="s">
        <v>1072</v>
      </c>
      <c r="C559" s="1272">
        <v>3100</v>
      </c>
      <c r="D559" s="971" t="s">
        <v>120</v>
      </c>
      <c r="E559" s="971">
        <v>3130</v>
      </c>
      <c r="F559" s="971" t="s">
        <v>148</v>
      </c>
      <c r="G559" s="971">
        <v>3138</v>
      </c>
      <c r="H559" s="971" t="s">
        <v>1235</v>
      </c>
      <c r="I559" s="1273"/>
      <c r="J559" s="971" t="s">
        <v>121</v>
      </c>
      <c r="K559" s="971" t="s">
        <v>150</v>
      </c>
      <c r="L559" s="971" t="s">
        <v>2800</v>
      </c>
      <c r="M559" s="971" t="s">
        <v>80</v>
      </c>
      <c r="N559" s="971" t="s">
        <v>83</v>
      </c>
      <c r="O559" s="971" t="s">
        <v>151</v>
      </c>
      <c r="P559" s="971" t="s">
        <v>152</v>
      </c>
      <c r="Q559" s="971" t="s">
        <v>1236</v>
      </c>
      <c r="R559" s="1266"/>
      <c r="S559" s="2106">
        <v>345500</v>
      </c>
      <c r="T559" s="1266" t="s">
        <v>136</v>
      </c>
      <c r="U559" s="1742">
        <v>1.2691883296460175E-2</v>
      </c>
      <c r="V559" s="1742">
        <v>0.14624999999999999</v>
      </c>
      <c r="W559" s="1742">
        <v>1.1186625937499999</v>
      </c>
      <c r="X559" s="1742">
        <v>0.4015178457754629</v>
      </c>
      <c r="Y559" s="2106">
        <v>1.6649423457754629</v>
      </c>
      <c r="Z559" s="2106">
        <v>4385.0456789269901</v>
      </c>
      <c r="AA559" s="2106">
        <v>50529.375</v>
      </c>
      <c r="AB559" s="2106">
        <v>386497.92614062497</v>
      </c>
      <c r="AC559" s="2106">
        <v>138724.41571542242</v>
      </c>
      <c r="AD559" s="1744">
        <v>575751.71685604739</v>
      </c>
      <c r="AE559" s="2126">
        <v>0</v>
      </c>
      <c r="AF559" s="2126">
        <v>0</v>
      </c>
      <c r="AG559" s="1212">
        <v>1</v>
      </c>
      <c r="AH559" s="1212">
        <v>0</v>
      </c>
      <c r="AI559" s="1212">
        <v>0</v>
      </c>
      <c r="AJ559" s="1212">
        <v>1</v>
      </c>
      <c r="AK559" s="2126">
        <v>575751.71685604739</v>
      </c>
      <c r="AL559" s="2126">
        <v>0</v>
      </c>
      <c r="AM559" s="2126">
        <v>0</v>
      </c>
      <c r="AN559" s="2126">
        <v>575751.71685604739</v>
      </c>
      <c r="AO559" s="1743" t="s">
        <v>85</v>
      </c>
      <c r="AP559" s="1743" t="s">
        <v>1217</v>
      </c>
      <c r="AQ559" s="1764">
        <v>2019</v>
      </c>
      <c r="AR559" s="1743" t="s">
        <v>87</v>
      </c>
      <c r="AS559" s="2135"/>
      <c r="AT559" s="2135"/>
      <c r="AU559" s="1212">
        <v>0.5</v>
      </c>
      <c r="AV559" s="1212">
        <v>0.5</v>
      </c>
      <c r="AW559" s="1212"/>
      <c r="AX559" s="1212"/>
      <c r="AY559" s="1212"/>
      <c r="AZ559" s="1212"/>
      <c r="BA559" s="1212"/>
      <c r="BB559" s="1212"/>
      <c r="BC559" s="1212"/>
      <c r="BD559" s="1212"/>
      <c r="BE559" s="1212"/>
      <c r="BF559" s="2126">
        <v>0</v>
      </c>
      <c r="BG559" s="2126">
        <v>0</v>
      </c>
      <c r="BH559" s="2126">
        <v>287875.8584280237</v>
      </c>
      <c r="BI559" s="2126">
        <v>287875.8584280237</v>
      </c>
      <c r="BJ559" s="2126">
        <v>0</v>
      </c>
      <c r="BK559" s="2126">
        <v>0</v>
      </c>
      <c r="BL559" s="2126">
        <v>0</v>
      </c>
      <c r="BM559" s="2126">
        <v>0</v>
      </c>
      <c r="BN559" s="2126">
        <v>0</v>
      </c>
      <c r="BO559" s="2126">
        <v>0</v>
      </c>
      <c r="BP559" s="2126">
        <v>0</v>
      </c>
      <c r="BQ559" s="2126">
        <v>0</v>
      </c>
      <c r="BR559" s="2126">
        <v>0</v>
      </c>
    </row>
    <row r="560" spans="1:70" s="1765" customFormat="1" ht="33">
      <c r="A560" s="1272">
        <v>3000</v>
      </c>
      <c r="B560" s="971" t="s">
        <v>1072</v>
      </c>
      <c r="C560" s="1272">
        <v>3100</v>
      </c>
      <c r="D560" s="971" t="s">
        <v>120</v>
      </c>
      <c r="E560" s="971">
        <v>3130</v>
      </c>
      <c r="F560" s="971" t="s">
        <v>148</v>
      </c>
      <c r="G560" s="971">
        <v>3138</v>
      </c>
      <c r="H560" s="971" t="s">
        <v>1235</v>
      </c>
      <c r="I560" s="1273"/>
      <c r="J560" s="971" t="s">
        <v>121</v>
      </c>
      <c r="K560" s="971" t="s">
        <v>150</v>
      </c>
      <c r="L560" s="971" t="s">
        <v>2800</v>
      </c>
      <c r="M560" s="971" t="s">
        <v>80</v>
      </c>
      <c r="N560" s="971" t="s">
        <v>83</v>
      </c>
      <c r="O560" s="971" t="s">
        <v>151</v>
      </c>
      <c r="P560" s="971" t="s">
        <v>152</v>
      </c>
      <c r="Q560" s="971" t="s">
        <v>1237</v>
      </c>
      <c r="R560" s="1266"/>
      <c r="S560" s="2106">
        <v>-105000</v>
      </c>
      <c r="T560" s="1266" t="s">
        <v>136</v>
      </c>
      <c r="U560" s="1742">
        <v>1.2691883296460175E-2</v>
      </c>
      <c r="V560" s="1742">
        <v>0.14624999999999999</v>
      </c>
      <c r="W560" s="1742">
        <v>1.1186625937499999</v>
      </c>
      <c r="X560" s="1742">
        <v>0.4015178457754629</v>
      </c>
      <c r="Y560" s="2106">
        <v>1.6649423457754629</v>
      </c>
      <c r="Z560" s="2106">
        <v>-1332.6477461283184</v>
      </c>
      <c r="AA560" s="2106">
        <v>-15356.249999999998</v>
      </c>
      <c r="AB560" s="2106">
        <v>-117459.57234374998</v>
      </c>
      <c r="AC560" s="2106">
        <v>-42159.373806423602</v>
      </c>
      <c r="AD560" s="1744">
        <v>-174975.19615017358</v>
      </c>
      <c r="AE560" s="2126">
        <v>0</v>
      </c>
      <c r="AF560" s="2126">
        <v>0</v>
      </c>
      <c r="AG560" s="1212">
        <v>1</v>
      </c>
      <c r="AH560" s="1212">
        <v>0</v>
      </c>
      <c r="AI560" s="1212">
        <v>0</v>
      </c>
      <c r="AJ560" s="1212">
        <v>1</v>
      </c>
      <c r="AK560" s="2126">
        <v>-174975.19615017358</v>
      </c>
      <c r="AL560" s="2126">
        <v>0</v>
      </c>
      <c r="AM560" s="2126">
        <v>0</v>
      </c>
      <c r="AN560" s="2126">
        <v>-174975.19615017358</v>
      </c>
      <c r="AO560" s="1743" t="s">
        <v>85</v>
      </c>
      <c r="AP560" s="1743" t="s">
        <v>96</v>
      </c>
      <c r="AQ560" s="1764" t="s">
        <v>97</v>
      </c>
      <c r="AR560" s="1743" t="s">
        <v>87</v>
      </c>
      <c r="AS560" s="2135"/>
      <c r="AT560" s="2135"/>
      <c r="AU560" s="1212">
        <v>0.5</v>
      </c>
      <c r="AV560" s="1212">
        <v>0.5</v>
      </c>
      <c r="AW560" s="1212"/>
      <c r="AX560" s="1212"/>
      <c r="AY560" s="1212"/>
      <c r="AZ560" s="1212"/>
      <c r="BA560" s="1212"/>
      <c r="BB560" s="1212"/>
      <c r="BC560" s="1212"/>
      <c r="BD560" s="1212"/>
      <c r="BE560" s="1212"/>
      <c r="BF560" s="2126">
        <v>0</v>
      </c>
      <c r="BG560" s="2126">
        <v>0</v>
      </c>
      <c r="BH560" s="2126">
        <v>-87487.598075086789</v>
      </c>
      <c r="BI560" s="2126">
        <v>-87487.598075086789</v>
      </c>
      <c r="BJ560" s="2126">
        <v>0</v>
      </c>
      <c r="BK560" s="2126">
        <v>0</v>
      </c>
      <c r="BL560" s="2126">
        <v>0</v>
      </c>
      <c r="BM560" s="2126">
        <v>0</v>
      </c>
      <c r="BN560" s="2126">
        <v>0</v>
      </c>
      <c r="BO560" s="2126">
        <v>0</v>
      </c>
      <c r="BP560" s="2126">
        <v>0</v>
      </c>
      <c r="BQ560" s="2126">
        <v>0</v>
      </c>
      <c r="BR560" s="2126">
        <v>0</v>
      </c>
    </row>
    <row r="561" spans="1:70" s="1765" customFormat="1" ht="33">
      <c r="A561" s="1272">
        <v>3000</v>
      </c>
      <c r="B561" s="971" t="s">
        <v>1072</v>
      </c>
      <c r="C561" s="1272">
        <v>3100</v>
      </c>
      <c r="D561" s="971" t="s">
        <v>120</v>
      </c>
      <c r="E561" s="971">
        <v>3130</v>
      </c>
      <c r="F561" s="971" t="s">
        <v>148</v>
      </c>
      <c r="G561" s="971">
        <v>3138</v>
      </c>
      <c r="H561" s="971" t="s">
        <v>1235</v>
      </c>
      <c r="I561" s="1273"/>
      <c r="J561" s="971" t="s">
        <v>121</v>
      </c>
      <c r="K561" s="971" t="s">
        <v>150</v>
      </c>
      <c r="L561" s="971" t="s">
        <v>2800</v>
      </c>
      <c r="M561" s="971" t="s">
        <v>80</v>
      </c>
      <c r="N561" s="971" t="s">
        <v>83</v>
      </c>
      <c r="O561" s="971" t="s">
        <v>151</v>
      </c>
      <c r="P561" s="971" t="s">
        <v>152</v>
      </c>
      <c r="Q561" s="971" t="s">
        <v>1237</v>
      </c>
      <c r="R561" s="1266"/>
      <c r="S561" s="2106">
        <v>105000</v>
      </c>
      <c r="T561" s="1266" t="s">
        <v>136</v>
      </c>
      <c r="U561" s="1742">
        <v>1.2691883296460175E-2</v>
      </c>
      <c r="V561" s="1742">
        <v>0.14624999999999999</v>
      </c>
      <c r="W561" s="1742">
        <v>1.1186625937499999</v>
      </c>
      <c r="X561" s="1742">
        <v>0.4015178457754629</v>
      </c>
      <c r="Y561" s="2106">
        <v>1.6649423457754629</v>
      </c>
      <c r="Z561" s="2106">
        <v>1332.6477461283184</v>
      </c>
      <c r="AA561" s="2106">
        <v>15356.249999999998</v>
      </c>
      <c r="AB561" s="2106">
        <v>117459.57234374998</v>
      </c>
      <c r="AC561" s="2106">
        <v>42159.373806423602</v>
      </c>
      <c r="AD561" s="1744">
        <v>174975.19615017358</v>
      </c>
      <c r="AE561" s="2126">
        <v>0</v>
      </c>
      <c r="AF561" s="2126">
        <v>0</v>
      </c>
      <c r="AG561" s="1212">
        <v>1</v>
      </c>
      <c r="AH561" s="1212">
        <v>0</v>
      </c>
      <c r="AI561" s="1212">
        <v>0</v>
      </c>
      <c r="AJ561" s="1212">
        <v>1</v>
      </c>
      <c r="AK561" s="2126">
        <v>174975.19615017358</v>
      </c>
      <c r="AL561" s="2126">
        <v>0</v>
      </c>
      <c r="AM561" s="2126">
        <v>0</v>
      </c>
      <c r="AN561" s="2126">
        <v>174975.19615017358</v>
      </c>
      <c r="AO561" s="1743" t="s">
        <v>85</v>
      </c>
      <c r="AP561" s="1743" t="s">
        <v>1217</v>
      </c>
      <c r="AQ561" s="1764">
        <v>2019</v>
      </c>
      <c r="AR561" s="1743" t="s">
        <v>87</v>
      </c>
      <c r="AS561" s="2135"/>
      <c r="AT561" s="2135"/>
      <c r="AU561" s="1212">
        <v>0.5</v>
      </c>
      <c r="AV561" s="1212">
        <v>0.5</v>
      </c>
      <c r="AW561" s="1212"/>
      <c r="AX561" s="1212"/>
      <c r="AY561" s="1212"/>
      <c r="AZ561" s="1212"/>
      <c r="BA561" s="1212"/>
      <c r="BB561" s="1212"/>
      <c r="BC561" s="1212"/>
      <c r="BD561" s="1212"/>
      <c r="BE561" s="1212"/>
      <c r="BF561" s="2126">
        <v>0</v>
      </c>
      <c r="BG561" s="2126">
        <v>0</v>
      </c>
      <c r="BH561" s="2126">
        <v>87487.598075086789</v>
      </c>
      <c r="BI561" s="2126">
        <v>87487.598075086789</v>
      </c>
      <c r="BJ561" s="2126">
        <v>0</v>
      </c>
      <c r="BK561" s="2126">
        <v>0</v>
      </c>
      <c r="BL561" s="2126">
        <v>0</v>
      </c>
      <c r="BM561" s="2126">
        <v>0</v>
      </c>
      <c r="BN561" s="2126">
        <v>0</v>
      </c>
      <c r="BO561" s="2126">
        <v>0</v>
      </c>
      <c r="BP561" s="2126">
        <v>0</v>
      </c>
      <c r="BQ561" s="2126">
        <v>0</v>
      </c>
      <c r="BR561" s="2126">
        <v>0</v>
      </c>
    </row>
    <row r="562" spans="1:70" s="1765" customFormat="1" ht="33">
      <c r="A562" s="1272">
        <v>3000</v>
      </c>
      <c r="B562" s="971" t="s">
        <v>1072</v>
      </c>
      <c r="C562" s="1272">
        <v>3100</v>
      </c>
      <c r="D562" s="971" t="s">
        <v>120</v>
      </c>
      <c r="E562" s="971">
        <v>3130</v>
      </c>
      <c r="F562" s="971" t="s">
        <v>148</v>
      </c>
      <c r="G562" s="971">
        <v>3138</v>
      </c>
      <c r="H562" s="971" t="s">
        <v>1235</v>
      </c>
      <c r="I562" s="1273"/>
      <c r="J562" s="971" t="s">
        <v>121</v>
      </c>
      <c r="K562" s="971" t="s">
        <v>150</v>
      </c>
      <c r="L562" s="971" t="s">
        <v>2800</v>
      </c>
      <c r="M562" s="971" t="s">
        <v>80</v>
      </c>
      <c r="N562" s="971" t="s">
        <v>83</v>
      </c>
      <c r="O562" s="971" t="s">
        <v>151</v>
      </c>
      <c r="P562" s="971" t="s">
        <v>152</v>
      </c>
      <c r="Q562" s="971" t="s">
        <v>1238</v>
      </c>
      <c r="R562" s="1266" t="s">
        <v>1239</v>
      </c>
      <c r="S562" s="2106">
        <v>194000</v>
      </c>
      <c r="T562" s="1266" t="s">
        <v>136</v>
      </c>
      <c r="U562" s="1742">
        <v>1.2691883296460175E-2</v>
      </c>
      <c r="V562" s="1742">
        <v>0.14624999999999999</v>
      </c>
      <c r="W562" s="1742">
        <v>1.1186625937499999</v>
      </c>
      <c r="X562" s="1742">
        <v>0.4015178457754629</v>
      </c>
      <c r="Y562" s="2106">
        <v>1.6649423457754629</v>
      </c>
      <c r="Z562" s="2106">
        <v>2462.2253595132738</v>
      </c>
      <c r="AA562" s="2106">
        <v>28372.5</v>
      </c>
      <c r="AB562" s="2106">
        <v>217020.54318749998</v>
      </c>
      <c r="AC562" s="2106">
        <v>77894.4620804398</v>
      </c>
      <c r="AD562" s="1744">
        <v>323287.50526793976</v>
      </c>
      <c r="AE562" s="2126">
        <v>0</v>
      </c>
      <c r="AF562" s="2126">
        <v>0</v>
      </c>
      <c r="AG562" s="1212">
        <v>0</v>
      </c>
      <c r="AH562" s="1212">
        <v>1</v>
      </c>
      <c r="AI562" s="1212">
        <v>0</v>
      </c>
      <c r="AJ562" s="1212">
        <v>1</v>
      </c>
      <c r="AK562" s="2126">
        <v>0</v>
      </c>
      <c r="AL562" s="2126">
        <v>323287.50526793976</v>
      </c>
      <c r="AM562" s="2126">
        <v>0</v>
      </c>
      <c r="AN562" s="2126">
        <v>323287.50526793976</v>
      </c>
      <c r="AO562" s="1743" t="s">
        <v>85</v>
      </c>
      <c r="AP562" s="1743" t="s">
        <v>1217</v>
      </c>
      <c r="AQ562" s="1764">
        <v>2019</v>
      </c>
      <c r="AR562" s="1743" t="s">
        <v>87</v>
      </c>
      <c r="AS562" s="2135"/>
      <c r="AT562" s="2135"/>
      <c r="AU562" s="1212">
        <v>0.5</v>
      </c>
      <c r="AV562" s="1212">
        <v>0.5</v>
      </c>
      <c r="AW562" s="1212"/>
      <c r="AX562" s="1212"/>
      <c r="AY562" s="1212"/>
      <c r="AZ562" s="1212"/>
      <c r="BA562" s="1212"/>
      <c r="BB562" s="1212"/>
      <c r="BC562" s="1212"/>
      <c r="BD562" s="1212"/>
      <c r="BE562" s="1212"/>
      <c r="BF562" s="2126">
        <v>0</v>
      </c>
      <c r="BG562" s="2126">
        <v>0</v>
      </c>
      <c r="BH562" s="2126">
        <v>161643.75263396988</v>
      </c>
      <c r="BI562" s="2126">
        <v>161643.75263396988</v>
      </c>
      <c r="BJ562" s="2126">
        <v>0</v>
      </c>
      <c r="BK562" s="2126">
        <v>0</v>
      </c>
      <c r="BL562" s="2126">
        <v>0</v>
      </c>
      <c r="BM562" s="2126">
        <v>0</v>
      </c>
      <c r="BN562" s="2126">
        <v>0</v>
      </c>
      <c r="BO562" s="2126">
        <v>0</v>
      </c>
      <c r="BP562" s="2126">
        <v>0</v>
      </c>
      <c r="BQ562" s="2126">
        <v>0</v>
      </c>
      <c r="BR562" s="2126">
        <v>0</v>
      </c>
    </row>
    <row r="563" spans="1:70" s="1765" customFormat="1" ht="33">
      <c r="A563" s="1272">
        <v>3000</v>
      </c>
      <c r="B563" s="971" t="s">
        <v>1072</v>
      </c>
      <c r="C563" s="1272">
        <v>3100</v>
      </c>
      <c r="D563" s="971" t="s">
        <v>120</v>
      </c>
      <c r="E563" s="971">
        <v>3130</v>
      </c>
      <c r="F563" s="971" t="s">
        <v>148</v>
      </c>
      <c r="G563" s="971">
        <v>3138</v>
      </c>
      <c r="H563" s="971" t="s">
        <v>1235</v>
      </c>
      <c r="I563" s="1273"/>
      <c r="J563" s="971" t="s">
        <v>121</v>
      </c>
      <c r="K563" s="971" t="s">
        <v>150</v>
      </c>
      <c r="L563" s="971" t="s">
        <v>2800</v>
      </c>
      <c r="M563" s="971" t="s">
        <v>80</v>
      </c>
      <c r="N563" s="971" t="s">
        <v>83</v>
      </c>
      <c r="O563" s="971" t="s">
        <v>151</v>
      </c>
      <c r="P563" s="971" t="s">
        <v>152</v>
      </c>
      <c r="Q563" s="971" t="s">
        <v>1238</v>
      </c>
      <c r="R563" s="1266" t="s">
        <v>1239</v>
      </c>
      <c r="S563" s="2106">
        <v>-194000</v>
      </c>
      <c r="T563" s="1266" t="s">
        <v>136</v>
      </c>
      <c r="U563" s="1742">
        <v>1.2691883296460175E-2</v>
      </c>
      <c r="V563" s="1742">
        <v>0.14624999999999999</v>
      </c>
      <c r="W563" s="1742">
        <v>1.1186625937499999</v>
      </c>
      <c r="X563" s="1742">
        <v>0.4015178457754629</v>
      </c>
      <c r="Y563" s="2106">
        <v>1.6649423457754629</v>
      </c>
      <c r="Z563" s="2106">
        <v>-2462.2253595132738</v>
      </c>
      <c r="AA563" s="2106">
        <v>-28372.5</v>
      </c>
      <c r="AB563" s="2106">
        <v>-217020.54318749998</v>
      </c>
      <c r="AC563" s="2106">
        <v>-77894.4620804398</v>
      </c>
      <c r="AD563" s="1744">
        <v>-323287.50526793976</v>
      </c>
      <c r="AE563" s="2126">
        <v>0</v>
      </c>
      <c r="AF563" s="2126">
        <v>0</v>
      </c>
      <c r="AG563" s="1212">
        <v>0</v>
      </c>
      <c r="AH563" s="1212">
        <v>1</v>
      </c>
      <c r="AI563" s="1212">
        <v>0</v>
      </c>
      <c r="AJ563" s="1212">
        <v>1</v>
      </c>
      <c r="AK563" s="2126">
        <v>0</v>
      </c>
      <c r="AL563" s="2126">
        <v>-323287.50526793976</v>
      </c>
      <c r="AM563" s="2126">
        <v>0</v>
      </c>
      <c r="AN563" s="2126">
        <v>-323287.50526793976</v>
      </c>
      <c r="AO563" s="1743" t="s">
        <v>85</v>
      </c>
      <c r="AP563" s="1743" t="s">
        <v>96</v>
      </c>
      <c r="AQ563" s="1764" t="s">
        <v>118</v>
      </c>
      <c r="AR563" s="1743" t="s">
        <v>87</v>
      </c>
      <c r="AS563" s="2135"/>
      <c r="AT563" s="2135"/>
      <c r="AU563" s="1212">
        <v>0.5</v>
      </c>
      <c r="AV563" s="1212">
        <v>0.5</v>
      </c>
      <c r="AW563" s="1212"/>
      <c r="AX563" s="1212"/>
      <c r="AY563" s="1212"/>
      <c r="AZ563" s="1212"/>
      <c r="BA563" s="1212"/>
      <c r="BB563" s="1212"/>
      <c r="BC563" s="1212"/>
      <c r="BD563" s="1212"/>
      <c r="BE563" s="1212"/>
      <c r="BF563" s="2126">
        <v>0</v>
      </c>
      <c r="BG563" s="2126">
        <v>0</v>
      </c>
      <c r="BH563" s="2126">
        <v>-161643.75263396988</v>
      </c>
      <c r="BI563" s="2126">
        <v>-161643.75263396988</v>
      </c>
      <c r="BJ563" s="2126">
        <v>0</v>
      </c>
      <c r="BK563" s="2126">
        <v>0</v>
      </c>
      <c r="BL563" s="2126">
        <v>0</v>
      </c>
      <c r="BM563" s="2126">
        <v>0</v>
      </c>
      <c r="BN563" s="2126">
        <v>0</v>
      </c>
      <c r="BO563" s="2126">
        <v>0</v>
      </c>
      <c r="BP563" s="2126">
        <v>0</v>
      </c>
      <c r="BQ563" s="2126">
        <v>0</v>
      </c>
      <c r="BR563" s="2126">
        <v>0</v>
      </c>
    </row>
    <row r="564" spans="1:70" s="1765" customFormat="1" ht="33">
      <c r="A564" s="1272">
        <v>3000</v>
      </c>
      <c r="B564" s="971" t="s">
        <v>1072</v>
      </c>
      <c r="C564" s="1272">
        <v>3100</v>
      </c>
      <c r="D564" s="971" t="s">
        <v>120</v>
      </c>
      <c r="E564" s="971">
        <v>3130</v>
      </c>
      <c r="F564" s="971" t="s">
        <v>148</v>
      </c>
      <c r="G564" s="971">
        <v>3138</v>
      </c>
      <c r="H564" s="971" t="s">
        <v>1235</v>
      </c>
      <c r="I564" s="1273"/>
      <c r="J564" s="971" t="s">
        <v>121</v>
      </c>
      <c r="K564" s="971" t="s">
        <v>150</v>
      </c>
      <c r="L564" s="971" t="s">
        <v>2800</v>
      </c>
      <c r="M564" s="971" t="s">
        <v>80</v>
      </c>
      <c r="N564" s="971" t="s">
        <v>83</v>
      </c>
      <c r="O564" s="971" t="s">
        <v>151</v>
      </c>
      <c r="P564" s="971" t="s">
        <v>152</v>
      </c>
      <c r="Q564" s="971" t="s">
        <v>1240</v>
      </c>
      <c r="R564" s="1266"/>
      <c r="S564" s="2106">
        <v>-232200</v>
      </c>
      <c r="T564" s="1266" t="s">
        <v>136</v>
      </c>
      <c r="U564" s="1742">
        <v>1.2691883296460175E-2</v>
      </c>
      <c r="V564" s="1742">
        <v>0.14624999999999999</v>
      </c>
      <c r="W564" s="1742">
        <v>1.1186625937499999</v>
      </c>
      <c r="X564" s="1742">
        <v>0.4015178457754629</v>
      </c>
      <c r="Y564" s="2106">
        <v>1.6649423457754629</v>
      </c>
      <c r="Z564" s="2106">
        <v>-2947.0553014380525</v>
      </c>
      <c r="AA564" s="2106">
        <v>-33959.25</v>
      </c>
      <c r="AB564" s="2106">
        <v>-259753.45426874998</v>
      </c>
      <c r="AC564" s="2106">
        <v>-93232.443789062483</v>
      </c>
      <c r="AD564" s="1744">
        <v>-386945.14805781248</v>
      </c>
      <c r="AE564" s="2126">
        <v>0</v>
      </c>
      <c r="AF564" s="2126">
        <v>0</v>
      </c>
      <c r="AG564" s="1212">
        <v>1</v>
      </c>
      <c r="AH564" s="1212">
        <v>0</v>
      </c>
      <c r="AI564" s="1212">
        <v>0</v>
      </c>
      <c r="AJ564" s="1212">
        <v>1</v>
      </c>
      <c r="AK564" s="2126">
        <v>-386945.14805781248</v>
      </c>
      <c r="AL564" s="2126">
        <v>0</v>
      </c>
      <c r="AM564" s="2126">
        <v>0</v>
      </c>
      <c r="AN564" s="2126">
        <v>-386945.14805781248</v>
      </c>
      <c r="AO564" s="1743" t="s">
        <v>85</v>
      </c>
      <c r="AP564" s="1743" t="s">
        <v>96</v>
      </c>
      <c r="AQ564" s="1764" t="s">
        <v>97</v>
      </c>
      <c r="AR564" s="1743" t="s">
        <v>87</v>
      </c>
      <c r="AS564" s="2135"/>
      <c r="AT564" s="2135"/>
      <c r="AU564" s="1212">
        <v>0.5</v>
      </c>
      <c r="AV564" s="1212">
        <v>0.5</v>
      </c>
      <c r="AW564" s="1212"/>
      <c r="AX564" s="1212"/>
      <c r="AY564" s="1212"/>
      <c r="AZ564" s="1212"/>
      <c r="BA564" s="1212"/>
      <c r="BB564" s="1212"/>
      <c r="BC564" s="1212"/>
      <c r="BD564" s="1212"/>
      <c r="BE564" s="1212"/>
      <c r="BF564" s="2126">
        <v>0</v>
      </c>
      <c r="BG564" s="2126">
        <v>0</v>
      </c>
      <c r="BH564" s="2126">
        <v>-193472.57402890624</v>
      </c>
      <c r="BI564" s="2126">
        <v>-193472.57402890624</v>
      </c>
      <c r="BJ564" s="2126">
        <v>0</v>
      </c>
      <c r="BK564" s="2126">
        <v>0</v>
      </c>
      <c r="BL564" s="2126">
        <v>0</v>
      </c>
      <c r="BM564" s="2126">
        <v>0</v>
      </c>
      <c r="BN564" s="2126">
        <v>0</v>
      </c>
      <c r="BO564" s="2126">
        <v>0</v>
      </c>
      <c r="BP564" s="2126">
        <v>0</v>
      </c>
      <c r="BQ564" s="2126">
        <v>0</v>
      </c>
      <c r="BR564" s="2126">
        <v>0</v>
      </c>
    </row>
    <row r="565" spans="1:70" s="1765" customFormat="1" ht="33">
      <c r="A565" s="1272">
        <v>3000</v>
      </c>
      <c r="B565" s="971" t="s">
        <v>1072</v>
      </c>
      <c r="C565" s="1272">
        <v>3100</v>
      </c>
      <c r="D565" s="971" t="s">
        <v>120</v>
      </c>
      <c r="E565" s="971">
        <v>3130</v>
      </c>
      <c r="F565" s="971" t="s">
        <v>148</v>
      </c>
      <c r="G565" s="971">
        <v>3138</v>
      </c>
      <c r="H565" s="971" t="s">
        <v>1235</v>
      </c>
      <c r="I565" s="1273"/>
      <c r="J565" s="971" t="s">
        <v>121</v>
      </c>
      <c r="K565" s="971" t="s">
        <v>150</v>
      </c>
      <c r="L565" s="971" t="s">
        <v>2800</v>
      </c>
      <c r="M565" s="971" t="s">
        <v>80</v>
      </c>
      <c r="N565" s="971" t="s">
        <v>83</v>
      </c>
      <c r="O565" s="971" t="s">
        <v>151</v>
      </c>
      <c r="P565" s="971" t="s">
        <v>152</v>
      </c>
      <c r="Q565" s="971" t="s">
        <v>1240</v>
      </c>
      <c r="R565" s="1266"/>
      <c r="S565" s="2106">
        <v>232200</v>
      </c>
      <c r="T565" s="1266" t="s">
        <v>136</v>
      </c>
      <c r="U565" s="1742">
        <v>1.2691883296460175E-2</v>
      </c>
      <c r="V565" s="1742">
        <v>0.14624999999999999</v>
      </c>
      <c r="W565" s="1742">
        <v>1.1186625937499999</v>
      </c>
      <c r="X565" s="1742">
        <v>0.4015178457754629</v>
      </c>
      <c r="Y565" s="2106">
        <v>1.6649423457754629</v>
      </c>
      <c r="Z565" s="2106">
        <v>2947.0553014380525</v>
      </c>
      <c r="AA565" s="2106">
        <v>33959.25</v>
      </c>
      <c r="AB565" s="2106">
        <v>259753.45426874998</v>
      </c>
      <c r="AC565" s="2106">
        <v>93232.443789062483</v>
      </c>
      <c r="AD565" s="1744">
        <v>386945.14805781248</v>
      </c>
      <c r="AE565" s="2126">
        <v>0</v>
      </c>
      <c r="AF565" s="2126">
        <v>0</v>
      </c>
      <c r="AG565" s="1212">
        <v>1</v>
      </c>
      <c r="AH565" s="1212">
        <v>0</v>
      </c>
      <c r="AI565" s="1212">
        <v>0</v>
      </c>
      <c r="AJ565" s="1212">
        <v>1</v>
      </c>
      <c r="AK565" s="2126">
        <v>386945.14805781248</v>
      </c>
      <c r="AL565" s="2126">
        <v>0</v>
      </c>
      <c r="AM565" s="2126">
        <v>0</v>
      </c>
      <c r="AN565" s="2126">
        <v>386945.14805781248</v>
      </c>
      <c r="AO565" s="1743" t="s">
        <v>85</v>
      </c>
      <c r="AP565" s="1743" t="s">
        <v>1217</v>
      </c>
      <c r="AQ565" s="1764">
        <v>2019</v>
      </c>
      <c r="AR565" s="1743" t="s">
        <v>87</v>
      </c>
      <c r="AS565" s="2135"/>
      <c r="AT565" s="2135"/>
      <c r="AU565" s="1212">
        <v>0.5</v>
      </c>
      <c r="AV565" s="1212">
        <v>0.5</v>
      </c>
      <c r="AW565" s="1212"/>
      <c r="AX565" s="1212"/>
      <c r="AY565" s="1212"/>
      <c r="AZ565" s="1212"/>
      <c r="BA565" s="1212"/>
      <c r="BB565" s="1212"/>
      <c r="BC565" s="1212"/>
      <c r="BD565" s="1212"/>
      <c r="BE565" s="1212"/>
      <c r="BF565" s="2126">
        <v>0</v>
      </c>
      <c r="BG565" s="2126">
        <v>0</v>
      </c>
      <c r="BH565" s="2126">
        <v>193472.57402890624</v>
      </c>
      <c r="BI565" s="2126">
        <v>193472.57402890624</v>
      </c>
      <c r="BJ565" s="2126">
        <v>0</v>
      </c>
      <c r="BK565" s="2126">
        <v>0</v>
      </c>
      <c r="BL565" s="2126">
        <v>0</v>
      </c>
      <c r="BM565" s="2126">
        <v>0</v>
      </c>
      <c r="BN565" s="2126">
        <v>0</v>
      </c>
      <c r="BO565" s="2126">
        <v>0</v>
      </c>
      <c r="BP565" s="2126">
        <v>0</v>
      </c>
      <c r="BQ565" s="2126">
        <v>0</v>
      </c>
      <c r="BR565" s="2126">
        <v>0</v>
      </c>
    </row>
    <row r="566" spans="1:70" s="1765" customFormat="1" ht="33">
      <c r="A566" s="1272">
        <v>3000</v>
      </c>
      <c r="B566" s="971" t="s">
        <v>1072</v>
      </c>
      <c r="C566" s="1272">
        <v>3100</v>
      </c>
      <c r="D566" s="971" t="s">
        <v>120</v>
      </c>
      <c r="E566" s="971">
        <v>3130</v>
      </c>
      <c r="F566" s="971" t="s">
        <v>148</v>
      </c>
      <c r="G566" s="971">
        <v>3138</v>
      </c>
      <c r="H566" s="971" t="s">
        <v>1235</v>
      </c>
      <c r="I566" s="1273"/>
      <c r="J566" s="971" t="s">
        <v>121</v>
      </c>
      <c r="K566" s="971" t="s">
        <v>150</v>
      </c>
      <c r="L566" s="971" t="s">
        <v>2800</v>
      </c>
      <c r="M566" s="971" t="s">
        <v>80</v>
      </c>
      <c r="N566" s="971" t="s">
        <v>83</v>
      </c>
      <c r="O566" s="971" t="s">
        <v>151</v>
      </c>
      <c r="P566" s="971" t="s">
        <v>152</v>
      </c>
      <c r="Q566" s="971" t="s">
        <v>1241</v>
      </c>
      <c r="R566" s="1266"/>
      <c r="S566" s="2106">
        <v>-1225587</v>
      </c>
      <c r="T566" s="1266" t="s">
        <v>136</v>
      </c>
      <c r="U566" s="1742">
        <v>1.2691883296460175E-2</v>
      </c>
      <c r="V566" s="1742">
        <v>0.14624999999999999</v>
      </c>
      <c r="W566" s="1742">
        <v>1.1186625937499999</v>
      </c>
      <c r="X566" s="1742">
        <v>0.4015178457754629</v>
      </c>
      <c r="Y566" s="2106">
        <v>1.6649423457754629</v>
      </c>
      <c r="Z566" s="2106">
        <v>-15555.007173658736</v>
      </c>
      <c r="AA566" s="2106">
        <v>-179242.09874999998</v>
      </c>
      <c r="AB566" s="2106">
        <v>-1371018.332286281</v>
      </c>
      <c r="AC566" s="2106">
        <v>-492095.05205041223</v>
      </c>
      <c r="AD566" s="1744">
        <v>-2042355.4830866931</v>
      </c>
      <c r="AE566" s="2126">
        <v>0</v>
      </c>
      <c r="AF566" s="2126">
        <v>0</v>
      </c>
      <c r="AG566" s="1212">
        <v>1</v>
      </c>
      <c r="AH566" s="1212">
        <v>0</v>
      </c>
      <c r="AI566" s="1212">
        <v>0</v>
      </c>
      <c r="AJ566" s="1212">
        <v>1</v>
      </c>
      <c r="AK566" s="2126">
        <v>-2042355.4830866931</v>
      </c>
      <c r="AL566" s="2126">
        <v>0</v>
      </c>
      <c r="AM566" s="2126">
        <v>0</v>
      </c>
      <c r="AN566" s="2126">
        <v>-2042355.4830866931</v>
      </c>
      <c r="AO566" s="1743" t="s">
        <v>85</v>
      </c>
      <c r="AP566" s="1743" t="s">
        <v>96</v>
      </c>
      <c r="AQ566" s="1764" t="s">
        <v>97</v>
      </c>
      <c r="AR566" s="1743" t="s">
        <v>87</v>
      </c>
      <c r="AS566" s="2135"/>
      <c r="AT566" s="2135"/>
      <c r="AU566" s="1212">
        <v>0.5</v>
      </c>
      <c r="AV566" s="1212">
        <v>0.5</v>
      </c>
      <c r="AW566" s="1212"/>
      <c r="AX566" s="1212"/>
      <c r="AY566" s="1212"/>
      <c r="AZ566" s="1212"/>
      <c r="BA566" s="1212"/>
      <c r="BB566" s="1212"/>
      <c r="BC566" s="1212"/>
      <c r="BD566" s="1212"/>
      <c r="BE566" s="1212"/>
      <c r="BF566" s="2126">
        <v>0</v>
      </c>
      <c r="BG566" s="2126">
        <v>0</v>
      </c>
      <c r="BH566" s="2126">
        <v>-1021177.7415433466</v>
      </c>
      <c r="BI566" s="2126">
        <v>-1021177.7415433466</v>
      </c>
      <c r="BJ566" s="2126">
        <v>0</v>
      </c>
      <c r="BK566" s="2126">
        <v>0</v>
      </c>
      <c r="BL566" s="2126">
        <v>0</v>
      </c>
      <c r="BM566" s="2126">
        <v>0</v>
      </c>
      <c r="BN566" s="2126">
        <v>0</v>
      </c>
      <c r="BO566" s="2126">
        <v>0</v>
      </c>
      <c r="BP566" s="2126">
        <v>0</v>
      </c>
      <c r="BQ566" s="2126">
        <v>0</v>
      </c>
      <c r="BR566" s="2126">
        <v>0</v>
      </c>
    </row>
    <row r="567" spans="1:70" s="1765" customFormat="1" ht="33">
      <c r="A567" s="1272">
        <v>3000</v>
      </c>
      <c r="B567" s="971" t="s">
        <v>1072</v>
      </c>
      <c r="C567" s="1272">
        <v>3100</v>
      </c>
      <c r="D567" s="971" t="s">
        <v>120</v>
      </c>
      <c r="E567" s="971">
        <v>3130</v>
      </c>
      <c r="F567" s="971" t="s">
        <v>148</v>
      </c>
      <c r="G567" s="971">
        <v>3138</v>
      </c>
      <c r="H567" s="971" t="s">
        <v>1235</v>
      </c>
      <c r="I567" s="1273"/>
      <c r="J567" s="971" t="s">
        <v>121</v>
      </c>
      <c r="K567" s="971" t="s">
        <v>150</v>
      </c>
      <c r="L567" s="971" t="s">
        <v>2800</v>
      </c>
      <c r="M567" s="971" t="s">
        <v>80</v>
      </c>
      <c r="N567" s="971" t="s">
        <v>83</v>
      </c>
      <c r="O567" s="971" t="s">
        <v>151</v>
      </c>
      <c r="P567" s="971" t="s">
        <v>152</v>
      </c>
      <c r="Q567" s="971" t="s">
        <v>1241</v>
      </c>
      <c r="R567" s="1266"/>
      <c r="S567" s="2106">
        <v>1225587</v>
      </c>
      <c r="T567" s="1266" t="s">
        <v>136</v>
      </c>
      <c r="U567" s="1742">
        <v>1.2691883296460175E-2</v>
      </c>
      <c r="V567" s="1742">
        <v>0.14624999999999999</v>
      </c>
      <c r="W567" s="1742">
        <v>1.1186625937499999</v>
      </c>
      <c r="X567" s="1742">
        <v>0.4015178457754629</v>
      </c>
      <c r="Y567" s="2106">
        <v>1.6649423457754629</v>
      </c>
      <c r="Z567" s="2106">
        <v>15555.007173658736</v>
      </c>
      <c r="AA567" s="2106">
        <v>179242.09874999998</v>
      </c>
      <c r="AB567" s="2106">
        <v>1371018.332286281</v>
      </c>
      <c r="AC567" s="2106">
        <v>492095.05205041223</v>
      </c>
      <c r="AD567" s="1744">
        <v>2042355.4830866931</v>
      </c>
      <c r="AE567" s="2126">
        <v>0</v>
      </c>
      <c r="AF567" s="2126">
        <v>0</v>
      </c>
      <c r="AG567" s="1212">
        <v>1</v>
      </c>
      <c r="AH567" s="1212">
        <v>0</v>
      </c>
      <c r="AI567" s="1212">
        <v>0</v>
      </c>
      <c r="AJ567" s="1212">
        <v>1</v>
      </c>
      <c r="AK567" s="2126">
        <v>2042355.4830866931</v>
      </c>
      <c r="AL567" s="2126">
        <v>0</v>
      </c>
      <c r="AM567" s="2126">
        <v>0</v>
      </c>
      <c r="AN567" s="2126">
        <v>2042355.4830866931</v>
      </c>
      <c r="AO567" s="1743" t="s">
        <v>85</v>
      </c>
      <c r="AP567" s="1743" t="s">
        <v>1217</v>
      </c>
      <c r="AQ567" s="1764">
        <v>2019</v>
      </c>
      <c r="AR567" s="1743" t="s">
        <v>87</v>
      </c>
      <c r="AS567" s="2135"/>
      <c r="AT567" s="2135"/>
      <c r="AU567" s="1212">
        <v>0.5</v>
      </c>
      <c r="AV567" s="1212">
        <v>0.5</v>
      </c>
      <c r="AW567" s="1212"/>
      <c r="AX567" s="1212"/>
      <c r="AY567" s="1212"/>
      <c r="AZ567" s="1212"/>
      <c r="BA567" s="1212"/>
      <c r="BB567" s="1212"/>
      <c r="BC567" s="1212"/>
      <c r="BD567" s="1212"/>
      <c r="BE567" s="1212"/>
      <c r="BF567" s="2126">
        <v>0</v>
      </c>
      <c r="BG567" s="2126">
        <v>0</v>
      </c>
      <c r="BH567" s="2126">
        <v>1021177.7415433466</v>
      </c>
      <c r="BI567" s="2126">
        <v>1021177.7415433466</v>
      </c>
      <c r="BJ567" s="2126">
        <v>0</v>
      </c>
      <c r="BK567" s="2126">
        <v>0</v>
      </c>
      <c r="BL567" s="2126">
        <v>0</v>
      </c>
      <c r="BM567" s="2126">
        <v>0</v>
      </c>
      <c r="BN567" s="2126">
        <v>0</v>
      </c>
      <c r="BO567" s="2126">
        <v>0</v>
      </c>
      <c r="BP567" s="2126">
        <v>0</v>
      </c>
      <c r="BQ567" s="2126">
        <v>0</v>
      </c>
      <c r="BR567" s="2126">
        <v>0</v>
      </c>
    </row>
    <row r="568" spans="1:70" s="1765" customFormat="1" ht="33">
      <c r="A568" s="1272">
        <v>3000</v>
      </c>
      <c r="B568" s="971" t="s">
        <v>1072</v>
      </c>
      <c r="C568" s="1272">
        <v>3100</v>
      </c>
      <c r="D568" s="971" t="s">
        <v>120</v>
      </c>
      <c r="E568" s="971">
        <v>3130</v>
      </c>
      <c r="F568" s="971" t="s">
        <v>148</v>
      </c>
      <c r="G568" s="971">
        <v>3138</v>
      </c>
      <c r="H568" s="971" t="s">
        <v>1235</v>
      </c>
      <c r="I568" s="1273"/>
      <c r="J568" s="971" t="s">
        <v>121</v>
      </c>
      <c r="K568" s="971" t="s">
        <v>150</v>
      </c>
      <c r="L568" s="971" t="s">
        <v>2800</v>
      </c>
      <c r="M568" s="971" t="s">
        <v>80</v>
      </c>
      <c r="N568" s="971" t="s">
        <v>83</v>
      </c>
      <c r="O568" s="971" t="s">
        <v>151</v>
      </c>
      <c r="P568" s="971" t="s">
        <v>152</v>
      </c>
      <c r="Q568" s="971" t="s">
        <v>1242</v>
      </c>
      <c r="R568" s="1266"/>
      <c r="S568" s="2106">
        <v>-15000</v>
      </c>
      <c r="T568" s="1266" t="s">
        <v>136</v>
      </c>
      <c r="U568" s="1742">
        <v>1.2691883296460175E-2</v>
      </c>
      <c r="V568" s="1742">
        <v>0.14624999999999999</v>
      </c>
      <c r="W568" s="1742">
        <v>1.1186625937499999</v>
      </c>
      <c r="X568" s="1742">
        <v>0.4015178457754629</v>
      </c>
      <c r="Y568" s="2106">
        <v>1.6649423457754629</v>
      </c>
      <c r="Z568" s="2106">
        <v>-190.37824944690263</v>
      </c>
      <c r="AA568" s="2106">
        <v>-2193.75</v>
      </c>
      <c r="AB568" s="2106">
        <v>-16779.938906249998</v>
      </c>
      <c r="AC568" s="2106">
        <v>-6022.7676866319434</v>
      </c>
      <c r="AD568" s="1744">
        <v>-24996.456592881943</v>
      </c>
      <c r="AE568" s="2126">
        <v>0</v>
      </c>
      <c r="AF568" s="2126">
        <v>0</v>
      </c>
      <c r="AG568" s="1212">
        <v>1</v>
      </c>
      <c r="AH568" s="1212">
        <v>0</v>
      </c>
      <c r="AI568" s="1212">
        <v>0</v>
      </c>
      <c r="AJ568" s="1212">
        <v>1</v>
      </c>
      <c r="AK568" s="2126">
        <v>-24996.456592881943</v>
      </c>
      <c r="AL568" s="2126">
        <v>0</v>
      </c>
      <c r="AM568" s="2126">
        <v>0</v>
      </c>
      <c r="AN568" s="2126">
        <v>-24996.456592881943</v>
      </c>
      <c r="AO568" s="1743" t="s">
        <v>85</v>
      </c>
      <c r="AP568" s="1743" t="s">
        <v>96</v>
      </c>
      <c r="AQ568" s="1764" t="s">
        <v>97</v>
      </c>
      <c r="AR568" s="1743" t="s">
        <v>87</v>
      </c>
      <c r="AS568" s="2135"/>
      <c r="AT568" s="2135"/>
      <c r="AU568" s="1212">
        <v>0.5</v>
      </c>
      <c r="AV568" s="1212">
        <v>0.5</v>
      </c>
      <c r="AW568" s="1212"/>
      <c r="AX568" s="1212"/>
      <c r="AY568" s="1212"/>
      <c r="AZ568" s="1212"/>
      <c r="BA568" s="1212"/>
      <c r="BB568" s="1212"/>
      <c r="BC568" s="1212"/>
      <c r="BD568" s="1212"/>
      <c r="BE568" s="1212"/>
      <c r="BF568" s="2126">
        <v>0</v>
      </c>
      <c r="BG568" s="2126">
        <v>0</v>
      </c>
      <c r="BH568" s="2126">
        <v>-12498.228296440971</v>
      </c>
      <c r="BI568" s="2126">
        <v>-12498.228296440971</v>
      </c>
      <c r="BJ568" s="2126">
        <v>0</v>
      </c>
      <c r="BK568" s="2126">
        <v>0</v>
      </c>
      <c r="BL568" s="2126">
        <v>0</v>
      </c>
      <c r="BM568" s="2126">
        <v>0</v>
      </c>
      <c r="BN568" s="2126">
        <v>0</v>
      </c>
      <c r="BO568" s="2126">
        <v>0</v>
      </c>
      <c r="BP568" s="2126">
        <v>0</v>
      </c>
      <c r="BQ568" s="2126">
        <v>0</v>
      </c>
      <c r="BR568" s="2126">
        <v>0</v>
      </c>
    </row>
    <row r="569" spans="1:70" s="1765" customFormat="1" ht="33">
      <c r="A569" s="1272">
        <v>3000</v>
      </c>
      <c r="B569" s="971" t="s">
        <v>1072</v>
      </c>
      <c r="C569" s="1272">
        <v>3100</v>
      </c>
      <c r="D569" s="971" t="s">
        <v>120</v>
      </c>
      <c r="E569" s="971">
        <v>3130</v>
      </c>
      <c r="F569" s="971" t="s">
        <v>148</v>
      </c>
      <c r="G569" s="971">
        <v>3138</v>
      </c>
      <c r="H569" s="971" t="s">
        <v>1235</v>
      </c>
      <c r="I569" s="1273"/>
      <c r="J569" s="971" t="s">
        <v>121</v>
      </c>
      <c r="K569" s="971" t="s">
        <v>150</v>
      </c>
      <c r="L569" s="971" t="s">
        <v>2800</v>
      </c>
      <c r="M569" s="971" t="s">
        <v>80</v>
      </c>
      <c r="N569" s="971" t="s">
        <v>83</v>
      </c>
      <c r="O569" s="971" t="s">
        <v>151</v>
      </c>
      <c r="P569" s="971" t="s">
        <v>152</v>
      </c>
      <c r="Q569" s="971" t="s">
        <v>1242</v>
      </c>
      <c r="R569" s="1266"/>
      <c r="S569" s="2106">
        <v>15000</v>
      </c>
      <c r="T569" s="1266" t="s">
        <v>136</v>
      </c>
      <c r="U569" s="1742">
        <v>1.2691883296460175E-2</v>
      </c>
      <c r="V569" s="1742">
        <v>0.14624999999999999</v>
      </c>
      <c r="W569" s="1742">
        <v>1.1186625937499999</v>
      </c>
      <c r="X569" s="1742">
        <v>0.4015178457754629</v>
      </c>
      <c r="Y569" s="2106">
        <v>1.6649423457754629</v>
      </c>
      <c r="Z569" s="2106">
        <v>190.37824944690263</v>
      </c>
      <c r="AA569" s="2106">
        <v>2193.75</v>
      </c>
      <c r="AB569" s="2106">
        <v>16779.938906249998</v>
      </c>
      <c r="AC569" s="2106">
        <v>6022.7676866319434</v>
      </c>
      <c r="AD569" s="1744">
        <v>24996.456592881943</v>
      </c>
      <c r="AE569" s="2126">
        <v>0</v>
      </c>
      <c r="AF569" s="2126">
        <v>0</v>
      </c>
      <c r="AG569" s="1212">
        <v>1</v>
      </c>
      <c r="AH569" s="1212">
        <v>0</v>
      </c>
      <c r="AI569" s="1212">
        <v>0</v>
      </c>
      <c r="AJ569" s="1212">
        <v>1</v>
      </c>
      <c r="AK569" s="2126">
        <v>24996.456592881943</v>
      </c>
      <c r="AL569" s="2126">
        <v>0</v>
      </c>
      <c r="AM569" s="2126">
        <v>0</v>
      </c>
      <c r="AN569" s="2126">
        <v>24996.456592881943</v>
      </c>
      <c r="AO569" s="1743" t="s">
        <v>85</v>
      </c>
      <c r="AP569" s="1743" t="s">
        <v>1217</v>
      </c>
      <c r="AQ569" s="1764" t="s">
        <v>103</v>
      </c>
      <c r="AR569" s="1743" t="s">
        <v>87</v>
      </c>
      <c r="AS569" s="2135"/>
      <c r="AT569" s="2135"/>
      <c r="AU569" s="1212">
        <v>0.5</v>
      </c>
      <c r="AV569" s="1212">
        <v>0.5</v>
      </c>
      <c r="AW569" s="1212"/>
      <c r="AX569" s="1212"/>
      <c r="AY569" s="1212"/>
      <c r="AZ569" s="1212"/>
      <c r="BA569" s="1212"/>
      <c r="BB569" s="1212"/>
      <c r="BC569" s="1212"/>
      <c r="BD569" s="1212"/>
      <c r="BE569" s="1212"/>
      <c r="BF569" s="2126">
        <v>0</v>
      </c>
      <c r="BG569" s="2126">
        <v>0</v>
      </c>
      <c r="BH569" s="2126">
        <v>12498.228296440971</v>
      </c>
      <c r="BI569" s="2126">
        <v>12498.228296440971</v>
      </c>
      <c r="BJ569" s="2126">
        <v>0</v>
      </c>
      <c r="BK569" s="2126">
        <v>0</v>
      </c>
      <c r="BL569" s="2126">
        <v>0</v>
      </c>
      <c r="BM569" s="2126">
        <v>0</v>
      </c>
      <c r="BN569" s="2126">
        <v>0</v>
      </c>
      <c r="BO569" s="2126">
        <v>0</v>
      </c>
      <c r="BP569" s="2126">
        <v>0</v>
      </c>
      <c r="BQ569" s="2126">
        <v>0</v>
      </c>
      <c r="BR569" s="2126">
        <v>0</v>
      </c>
    </row>
    <row r="570" spans="1:70" s="1765" customFormat="1" ht="33">
      <c r="A570" s="1272">
        <v>3000</v>
      </c>
      <c r="B570" s="971" t="s">
        <v>1072</v>
      </c>
      <c r="C570" s="1272">
        <v>3100</v>
      </c>
      <c r="D570" s="971" t="s">
        <v>120</v>
      </c>
      <c r="E570" s="971">
        <v>3130</v>
      </c>
      <c r="F570" s="971" t="s">
        <v>148</v>
      </c>
      <c r="G570" s="971">
        <v>3138</v>
      </c>
      <c r="H570" s="971" t="s">
        <v>1243</v>
      </c>
      <c r="I570" s="1273"/>
      <c r="J570" s="971" t="s">
        <v>121</v>
      </c>
      <c r="K570" s="971" t="s">
        <v>150</v>
      </c>
      <c r="L570" s="971" t="s">
        <v>2800</v>
      </c>
      <c r="M570" s="971" t="s">
        <v>80</v>
      </c>
      <c r="N570" s="971" t="s">
        <v>83</v>
      </c>
      <c r="O570" s="971" t="s">
        <v>151</v>
      </c>
      <c r="P570" s="971" t="s">
        <v>152</v>
      </c>
      <c r="Q570" s="971" t="s">
        <v>1244</v>
      </c>
      <c r="R570" s="1266"/>
      <c r="S570" s="2106">
        <v>53050</v>
      </c>
      <c r="T570" s="1266" t="s">
        <v>136</v>
      </c>
      <c r="U570" s="1742">
        <v>1.2691883296460175E-2</v>
      </c>
      <c r="V570" s="1742">
        <v>0.14624999999999999</v>
      </c>
      <c r="W570" s="1742">
        <v>1.1186625937499999</v>
      </c>
      <c r="X570" s="1742">
        <v>0.4015178457754629</v>
      </c>
      <c r="Y570" s="2106">
        <v>1.6649423457754629</v>
      </c>
      <c r="Z570" s="2106">
        <v>673.30440887721227</v>
      </c>
      <c r="AA570" s="2106">
        <v>7758.5624999999991</v>
      </c>
      <c r="AB570" s="2106">
        <v>59345.05059843749</v>
      </c>
      <c r="AC570" s="2106">
        <v>21300.521718388307</v>
      </c>
      <c r="AD570" s="1744">
        <v>88404.134816825797</v>
      </c>
      <c r="AE570" s="2126">
        <v>0</v>
      </c>
      <c r="AF570" s="2126">
        <v>0</v>
      </c>
      <c r="AG570" s="1212">
        <v>1</v>
      </c>
      <c r="AH570" s="1212">
        <v>0</v>
      </c>
      <c r="AI570" s="1212">
        <v>0</v>
      </c>
      <c r="AJ570" s="1212">
        <v>1</v>
      </c>
      <c r="AK570" s="2126">
        <v>88404.134816825797</v>
      </c>
      <c r="AL570" s="2126">
        <v>0</v>
      </c>
      <c r="AM570" s="2126">
        <v>0</v>
      </c>
      <c r="AN570" s="2126">
        <v>88404.134816825797</v>
      </c>
      <c r="AO570" s="1743" t="s">
        <v>85</v>
      </c>
      <c r="AP570" s="1743" t="s">
        <v>1167</v>
      </c>
      <c r="AQ570" s="1764">
        <v>2014</v>
      </c>
      <c r="AR570" s="1743" t="s">
        <v>87</v>
      </c>
      <c r="AS570" s="2135"/>
      <c r="AT570" s="2135"/>
      <c r="AU570" s="1212">
        <v>0.5</v>
      </c>
      <c r="AV570" s="1212">
        <v>0.5</v>
      </c>
      <c r="AW570" s="1212"/>
      <c r="AX570" s="1212"/>
      <c r="AY570" s="1212"/>
      <c r="AZ570" s="1212"/>
      <c r="BA570" s="1212"/>
      <c r="BB570" s="1212"/>
      <c r="BC570" s="1212"/>
      <c r="BD570" s="1212"/>
      <c r="BE570" s="1212"/>
      <c r="BF570" s="2126">
        <v>0</v>
      </c>
      <c r="BG570" s="2126">
        <v>0</v>
      </c>
      <c r="BH570" s="2126">
        <v>44202.067408412899</v>
      </c>
      <c r="BI570" s="2126">
        <v>44202.067408412899</v>
      </c>
      <c r="BJ570" s="2126">
        <v>0</v>
      </c>
      <c r="BK570" s="2126">
        <v>0</v>
      </c>
      <c r="BL570" s="2126">
        <v>0</v>
      </c>
      <c r="BM570" s="2126">
        <v>0</v>
      </c>
      <c r="BN570" s="2126">
        <v>0</v>
      </c>
      <c r="BO570" s="2126">
        <v>0</v>
      </c>
      <c r="BP570" s="2126">
        <v>0</v>
      </c>
      <c r="BQ570" s="2126">
        <v>0</v>
      </c>
      <c r="BR570" s="2126">
        <v>0</v>
      </c>
    </row>
    <row r="571" spans="1:70" s="1765" customFormat="1" ht="33">
      <c r="A571" s="1272">
        <v>3000</v>
      </c>
      <c r="B571" s="971" t="s">
        <v>1072</v>
      </c>
      <c r="C571" s="1272">
        <v>3100</v>
      </c>
      <c r="D571" s="971" t="s">
        <v>120</v>
      </c>
      <c r="E571" s="971">
        <v>3130</v>
      </c>
      <c r="F571" s="971" t="s">
        <v>148</v>
      </c>
      <c r="G571" s="971">
        <v>3138</v>
      </c>
      <c r="H571" s="971" t="s">
        <v>1245</v>
      </c>
      <c r="I571" s="1273"/>
      <c r="J571" s="971" t="s">
        <v>121</v>
      </c>
      <c r="K571" s="971" t="s">
        <v>150</v>
      </c>
      <c r="L571" s="971" t="s">
        <v>2800</v>
      </c>
      <c r="M571" s="971" t="s">
        <v>80</v>
      </c>
      <c r="N571" s="971" t="s">
        <v>83</v>
      </c>
      <c r="O571" s="971" t="s">
        <v>151</v>
      </c>
      <c r="P571" s="971" t="s">
        <v>152</v>
      </c>
      <c r="Q571" s="971" t="s">
        <v>1246</v>
      </c>
      <c r="R571" s="1266"/>
      <c r="S571" s="2106">
        <v>42080</v>
      </c>
      <c r="T571" s="1266" t="s">
        <v>136</v>
      </c>
      <c r="U571" s="1742">
        <v>1.2691883296460175E-2</v>
      </c>
      <c r="V571" s="1742">
        <v>0.14624999999999999</v>
      </c>
      <c r="W571" s="1742">
        <v>1.1186625937499999</v>
      </c>
      <c r="X571" s="1742">
        <v>0.4015178457754629</v>
      </c>
      <c r="Y571" s="2106">
        <v>1.6649423457754629</v>
      </c>
      <c r="Z571" s="2106">
        <v>534.07444911504422</v>
      </c>
      <c r="AA571" s="2106">
        <v>6154.2</v>
      </c>
      <c r="AB571" s="2106">
        <v>47073.321944999996</v>
      </c>
      <c r="AC571" s="2106">
        <v>16895.870950231478</v>
      </c>
      <c r="AD571" s="1744">
        <v>70123.392895231475</v>
      </c>
      <c r="AE571" s="2126">
        <v>0</v>
      </c>
      <c r="AF571" s="2126">
        <v>0</v>
      </c>
      <c r="AG571" s="1212">
        <v>1</v>
      </c>
      <c r="AH571" s="1212">
        <v>0</v>
      </c>
      <c r="AI571" s="1212">
        <v>0</v>
      </c>
      <c r="AJ571" s="1212">
        <v>1</v>
      </c>
      <c r="AK571" s="2126">
        <v>70123.392895231475</v>
      </c>
      <c r="AL571" s="2126">
        <v>0</v>
      </c>
      <c r="AM571" s="2126">
        <v>0</v>
      </c>
      <c r="AN571" s="2126">
        <v>70123.392895231475</v>
      </c>
      <c r="AO571" s="1743" t="s">
        <v>85</v>
      </c>
      <c r="AP571" s="1743" t="s">
        <v>1167</v>
      </c>
      <c r="AQ571" s="1764">
        <v>2014</v>
      </c>
      <c r="AR571" s="1743" t="s">
        <v>87</v>
      </c>
      <c r="AS571" s="2135"/>
      <c r="AT571" s="2135"/>
      <c r="AU571" s="1212">
        <v>0.33333333333333331</v>
      </c>
      <c r="AV571" s="1212">
        <v>0.33333333333333331</v>
      </c>
      <c r="AW571" s="1212">
        <v>0.33333333333333331</v>
      </c>
      <c r="AX571" s="1212"/>
      <c r="AY571" s="1212"/>
      <c r="AZ571" s="1212"/>
      <c r="BA571" s="1212"/>
      <c r="BB571" s="1212"/>
      <c r="BC571" s="1212"/>
      <c r="BD571" s="1212"/>
      <c r="BE571" s="1212"/>
      <c r="BF571" s="2126">
        <v>0</v>
      </c>
      <c r="BG571" s="2126">
        <v>0</v>
      </c>
      <c r="BH571" s="2126">
        <v>23374.46429841049</v>
      </c>
      <c r="BI571" s="2126">
        <v>23374.46429841049</v>
      </c>
      <c r="BJ571" s="2126">
        <v>23374.46429841049</v>
      </c>
      <c r="BK571" s="2126">
        <v>0</v>
      </c>
      <c r="BL571" s="2126">
        <v>0</v>
      </c>
      <c r="BM571" s="2126">
        <v>0</v>
      </c>
      <c r="BN571" s="2126">
        <v>0</v>
      </c>
      <c r="BO571" s="2126">
        <v>0</v>
      </c>
      <c r="BP571" s="2126">
        <v>0</v>
      </c>
      <c r="BQ571" s="2126">
        <v>0</v>
      </c>
      <c r="BR571" s="2126">
        <v>0</v>
      </c>
    </row>
    <row r="572" spans="1:70" s="1765" customFormat="1" ht="33">
      <c r="A572" s="1272">
        <v>3000</v>
      </c>
      <c r="B572" s="971" t="s">
        <v>1072</v>
      </c>
      <c r="C572" s="1272">
        <v>3100</v>
      </c>
      <c r="D572" s="971" t="s">
        <v>120</v>
      </c>
      <c r="E572" s="971">
        <v>3130</v>
      </c>
      <c r="F572" s="971" t="s">
        <v>148</v>
      </c>
      <c r="G572" s="971">
        <v>3132</v>
      </c>
      <c r="H572" s="971" t="s">
        <v>1247</v>
      </c>
      <c r="I572" s="1273"/>
      <c r="J572" s="971" t="s">
        <v>121</v>
      </c>
      <c r="K572" s="971" t="s">
        <v>1248</v>
      </c>
      <c r="L572" s="971" t="s">
        <v>1249</v>
      </c>
      <c r="M572" s="971" t="s">
        <v>1248</v>
      </c>
      <c r="N572" s="971" t="s">
        <v>83</v>
      </c>
      <c r="O572" s="971" t="s">
        <v>1249</v>
      </c>
      <c r="P572" s="971"/>
      <c r="Q572" s="971" t="s">
        <v>1249</v>
      </c>
      <c r="R572" s="1266"/>
      <c r="S572" s="2106">
        <v>1</v>
      </c>
      <c r="T572" s="1266" t="s">
        <v>2700</v>
      </c>
      <c r="U572" s="1742">
        <v>761.90476190476181</v>
      </c>
      <c r="V572" s="1742">
        <v>9523.8095238095229</v>
      </c>
      <c r="W572" s="1742">
        <v>67154.28571428571</v>
      </c>
      <c r="X572" s="1742">
        <v>105043.80952380951</v>
      </c>
      <c r="Y572" s="2106">
        <v>181721.90476190473</v>
      </c>
      <c r="Z572" s="2106">
        <v>761.90476190476181</v>
      </c>
      <c r="AA572" s="2106">
        <v>9523.8095238095229</v>
      </c>
      <c r="AB572" s="2106">
        <v>67154.28571428571</v>
      </c>
      <c r="AC572" s="2106">
        <v>105043.80952380951</v>
      </c>
      <c r="AD572" s="1744">
        <v>181721.90476190473</v>
      </c>
      <c r="AE572" s="2126">
        <v>5000</v>
      </c>
      <c r="AF572" s="2126">
        <v>5000</v>
      </c>
      <c r="AG572" s="1212">
        <v>0</v>
      </c>
      <c r="AH572" s="1212">
        <v>1</v>
      </c>
      <c r="AI572" s="1212">
        <v>0</v>
      </c>
      <c r="AJ572" s="1212">
        <v>1</v>
      </c>
      <c r="AK572" s="2126">
        <v>0</v>
      </c>
      <c r="AL572" s="2126">
        <v>181721.90476190473</v>
      </c>
      <c r="AM572" s="2126">
        <v>0</v>
      </c>
      <c r="AN572" s="2126">
        <v>181721.90476190473</v>
      </c>
      <c r="AO572" s="1743" t="s">
        <v>85</v>
      </c>
      <c r="AP572" s="1743"/>
      <c r="AQ572" s="1764">
        <v>2014</v>
      </c>
      <c r="AR572" s="1743" t="s">
        <v>87</v>
      </c>
      <c r="AS572" s="2135"/>
      <c r="AT572" s="2135"/>
      <c r="AU572" s="1212">
        <v>0.33333333333333331</v>
      </c>
      <c r="AV572" s="1212">
        <v>0.33333333333333331</v>
      </c>
      <c r="AW572" s="1212">
        <v>0.33333333333333331</v>
      </c>
      <c r="AX572" s="1212"/>
      <c r="AY572" s="1212"/>
      <c r="AZ572" s="1212"/>
      <c r="BA572" s="1212"/>
      <c r="BB572" s="1212"/>
      <c r="BC572" s="1212"/>
      <c r="BD572" s="1212"/>
      <c r="BE572" s="1212"/>
      <c r="BF572" s="2126">
        <v>0</v>
      </c>
      <c r="BG572" s="2126">
        <v>0</v>
      </c>
      <c r="BH572" s="2126">
        <v>60573.96825396824</v>
      </c>
      <c r="BI572" s="2126">
        <v>60573.96825396824</v>
      </c>
      <c r="BJ572" s="2126">
        <v>60573.96825396824</v>
      </c>
      <c r="BK572" s="2126">
        <v>0</v>
      </c>
      <c r="BL572" s="2126">
        <v>0</v>
      </c>
      <c r="BM572" s="2126">
        <v>0</v>
      </c>
      <c r="BN572" s="2126">
        <v>0</v>
      </c>
      <c r="BO572" s="2126">
        <v>0</v>
      </c>
      <c r="BP572" s="2126">
        <v>0</v>
      </c>
      <c r="BQ572" s="2126">
        <v>0</v>
      </c>
      <c r="BR572" s="2126">
        <v>0</v>
      </c>
    </row>
    <row r="573" spans="1:70" s="1765" customFormat="1" ht="33">
      <c r="A573" s="1272">
        <v>3000</v>
      </c>
      <c r="B573" s="971" t="s">
        <v>1072</v>
      </c>
      <c r="C573" s="1272">
        <v>3100</v>
      </c>
      <c r="D573" s="971" t="s">
        <v>120</v>
      </c>
      <c r="E573" s="971">
        <v>3130</v>
      </c>
      <c r="F573" s="971" t="s">
        <v>148</v>
      </c>
      <c r="G573" s="971">
        <v>3133</v>
      </c>
      <c r="H573" s="971" t="s">
        <v>1253</v>
      </c>
      <c r="I573" s="1273"/>
      <c r="J573" s="971" t="s">
        <v>121</v>
      </c>
      <c r="K573" s="971" t="s">
        <v>1248</v>
      </c>
      <c r="L573" s="971" t="s">
        <v>1249</v>
      </c>
      <c r="M573" s="971" t="s">
        <v>1248</v>
      </c>
      <c r="N573" s="971" t="s">
        <v>83</v>
      </c>
      <c r="O573" s="971" t="s">
        <v>1249</v>
      </c>
      <c r="P573" s="971"/>
      <c r="Q573" s="971" t="s">
        <v>1249</v>
      </c>
      <c r="R573" s="1266"/>
      <c r="S573" s="2106">
        <v>1</v>
      </c>
      <c r="T573" s="1266" t="s">
        <v>2700</v>
      </c>
      <c r="U573" s="1742">
        <v>761.90476190476181</v>
      </c>
      <c r="V573" s="1742">
        <v>9523.8095238095229</v>
      </c>
      <c r="W573" s="1742">
        <v>67154.28571428571</v>
      </c>
      <c r="X573" s="1742">
        <v>105043.80952380951</v>
      </c>
      <c r="Y573" s="2106">
        <v>181721.90476190473</v>
      </c>
      <c r="Z573" s="2106">
        <v>761.90476190476181</v>
      </c>
      <c r="AA573" s="2106">
        <v>9523.8095238095229</v>
      </c>
      <c r="AB573" s="2106">
        <v>67154.28571428571</v>
      </c>
      <c r="AC573" s="2106">
        <v>105043.80952380951</v>
      </c>
      <c r="AD573" s="1744">
        <v>181721.90476190473</v>
      </c>
      <c r="AE573" s="2126">
        <v>5000</v>
      </c>
      <c r="AF573" s="2126">
        <v>5000</v>
      </c>
      <c r="AG573" s="1212">
        <v>1</v>
      </c>
      <c r="AH573" s="1212">
        <v>0</v>
      </c>
      <c r="AI573" s="1212">
        <v>0</v>
      </c>
      <c r="AJ573" s="1212">
        <v>1</v>
      </c>
      <c r="AK573" s="2126">
        <v>181721.90476190473</v>
      </c>
      <c r="AL573" s="2126">
        <v>0</v>
      </c>
      <c r="AM573" s="2126">
        <v>0</v>
      </c>
      <c r="AN573" s="2126">
        <v>181721.90476190473</v>
      </c>
      <c r="AO573" s="1743" t="s">
        <v>85</v>
      </c>
      <c r="AP573" s="1743"/>
      <c r="AQ573" s="1764">
        <v>2014</v>
      </c>
      <c r="AR573" s="1743" t="s">
        <v>87</v>
      </c>
      <c r="AS573" s="2135"/>
      <c r="AT573" s="2135"/>
      <c r="AU573" s="1212">
        <v>0.33333333333333331</v>
      </c>
      <c r="AV573" s="1212">
        <v>0.33333333333333331</v>
      </c>
      <c r="AW573" s="1212">
        <v>0.33333333333333331</v>
      </c>
      <c r="AX573" s="1212"/>
      <c r="AY573" s="1212"/>
      <c r="AZ573" s="1212"/>
      <c r="BA573" s="1212"/>
      <c r="BB573" s="1212"/>
      <c r="BC573" s="1212"/>
      <c r="BD573" s="1212"/>
      <c r="BE573" s="1212"/>
      <c r="BF573" s="2126">
        <v>0</v>
      </c>
      <c r="BG573" s="2126">
        <v>0</v>
      </c>
      <c r="BH573" s="2126">
        <v>60573.96825396824</v>
      </c>
      <c r="BI573" s="2126">
        <v>60573.96825396824</v>
      </c>
      <c r="BJ573" s="2126">
        <v>60573.96825396824</v>
      </c>
      <c r="BK573" s="2126">
        <v>0</v>
      </c>
      <c r="BL573" s="2126">
        <v>0</v>
      </c>
      <c r="BM573" s="2126">
        <v>0</v>
      </c>
      <c r="BN573" s="2126">
        <v>0</v>
      </c>
      <c r="BO573" s="2126">
        <v>0</v>
      </c>
      <c r="BP573" s="2126">
        <v>0</v>
      </c>
      <c r="BQ573" s="2126">
        <v>0</v>
      </c>
      <c r="BR573" s="2126">
        <v>0</v>
      </c>
    </row>
    <row r="574" spans="1:70" s="1765" customFormat="1" ht="33">
      <c r="A574" s="1272">
        <v>3000</v>
      </c>
      <c r="B574" s="971" t="s">
        <v>1072</v>
      </c>
      <c r="C574" s="1272">
        <v>3100</v>
      </c>
      <c r="D574" s="971" t="s">
        <v>120</v>
      </c>
      <c r="E574" s="971">
        <v>3130</v>
      </c>
      <c r="F574" s="971" t="s">
        <v>148</v>
      </c>
      <c r="G574" s="971">
        <v>3134</v>
      </c>
      <c r="H574" s="971" t="s">
        <v>1254</v>
      </c>
      <c r="I574" s="1273"/>
      <c r="J574" s="971" t="s">
        <v>121</v>
      </c>
      <c r="K574" s="971" t="s">
        <v>1248</v>
      </c>
      <c r="L574" s="971" t="s">
        <v>1249</v>
      </c>
      <c r="M574" s="971" t="s">
        <v>1248</v>
      </c>
      <c r="N574" s="971" t="s">
        <v>83</v>
      </c>
      <c r="O574" s="971" t="s">
        <v>1249</v>
      </c>
      <c r="P574" s="971"/>
      <c r="Q574" s="971" t="s">
        <v>1249</v>
      </c>
      <c r="R574" s="1266"/>
      <c r="S574" s="2106">
        <v>1</v>
      </c>
      <c r="T574" s="1266" t="s">
        <v>2700</v>
      </c>
      <c r="U574" s="1742">
        <v>761.90476190476181</v>
      </c>
      <c r="V574" s="1742">
        <v>9523.8095238095229</v>
      </c>
      <c r="W574" s="1742">
        <v>67154.28571428571</v>
      </c>
      <c r="X574" s="1742">
        <v>105043.80952380951</v>
      </c>
      <c r="Y574" s="2106">
        <v>181721.90476190473</v>
      </c>
      <c r="Z574" s="2106">
        <v>761.90476190476181</v>
      </c>
      <c r="AA574" s="2106">
        <v>9523.8095238095229</v>
      </c>
      <c r="AB574" s="2106">
        <v>67154.28571428571</v>
      </c>
      <c r="AC574" s="2106">
        <v>105043.80952380951</v>
      </c>
      <c r="AD574" s="1744">
        <v>181721.90476190473</v>
      </c>
      <c r="AE574" s="2126">
        <v>5000</v>
      </c>
      <c r="AF574" s="2126">
        <v>5000</v>
      </c>
      <c r="AG574" s="1212">
        <v>1</v>
      </c>
      <c r="AH574" s="1212">
        <v>0</v>
      </c>
      <c r="AI574" s="1212">
        <v>0</v>
      </c>
      <c r="AJ574" s="1212">
        <v>1</v>
      </c>
      <c r="AK574" s="2126">
        <v>181721.90476190473</v>
      </c>
      <c r="AL574" s="2126">
        <v>0</v>
      </c>
      <c r="AM574" s="2126">
        <v>0</v>
      </c>
      <c r="AN574" s="2126">
        <v>181721.90476190473</v>
      </c>
      <c r="AO574" s="1743" t="s">
        <v>85</v>
      </c>
      <c r="AP574" s="1743"/>
      <c r="AQ574" s="1764">
        <v>2014</v>
      </c>
      <c r="AR574" s="1743" t="s">
        <v>87</v>
      </c>
      <c r="AS574" s="2135"/>
      <c r="AT574" s="2135"/>
      <c r="AU574" s="1212">
        <v>0.33333333333333331</v>
      </c>
      <c r="AV574" s="1212">
        <v>0.33333333333333331</v>
      </c>
      <c r="AW574" s="1212">
        <v>0.33333333333333331</v>
      </c>
      <c r="AX574" s="1212"/>
      <c r="AY574" s="1212"/>
      <c r="AZ574" s="1212"/>
      <c r="BA574" s="1212"/>
      <c r="BB574" s="1212"/>
      <c r="BC574" s="1212"/>
      <c r="BD574" s="1212"/>
      <c r="BE574" s="1212"/>
      <c r="BF574" s="2126">
        <v>0</v>
      </c>
      <c r="BG574" s="2126">
        <v>0</v>
      </c>
      <c r="BH574" s="2126">
        <v>60573.96825396824</v>
      </c>
      <c r="BI574" s="2126">
        <v>60573.96825396824</v>
      </c>
      <c r="BJ574" s="2126">
        <v>60573.96825396824</v>
      </c>
      <c r="BK574" s="2126">
        <v>0</v>
      </c>
      <c r="BL574" s="2126">
        <v>0</v>
      </c>
      <c r="BM574" s="2126">
        <v>0</v>
      </c>
      <c r="BN574" s="2126">
        <v>0</v>
      </c>
      <c r="BO574" s="2126">
        <v>0</v>
      </c>
      <c r="BP574" s="2126">
        <v>0</v>
      </c>
      <c r="BQ574" s="2126">
        <v>0</v>
      </c>
      <c r="BR574" s="2126">
        <v>0</v>
      </c>
    </row>
    <row r="575" spans="1:70" s="1765" customFormat="1" ht="33">
      <c r="A575" s="1272">
        <v>3000</v>
      </c>
      <c r="B575" s="971" t="s">
        <v>1072</v>
      </c>
      <c r="C575" s="1272">
        <v>3100</v>
      </c>
      <c r="D575" s="971" t="s">
        <v>120</v>
      </c>
      <c r="E575" s="971">
        <v>3130</v>
      </c>
      <c r="F575" s="971" t="s">
        <v>148</v>
      </c>
      <c r="G575" s="971">
        <v>3135</v>
      </c>
      <c r="H575" s="971" t="s">
        <v>1255</v>
      </c>
      <c r="I575" s="1273"/>
      <c r="J575" s="971" t="s">
        <v>121</v>
      </c>
      <c r="K575" s="971" t="s">
        <v>1248</v>
      </c>
      <c r="L575" s="971" t="s">
        <v>1249</v>
      </c>
      <c r="M575" s="971" t="s">
        <v>1248</v>
      </c>
      <c r="N575" s="971" t="s">
        <v>83</v>
      </c>
      <c r="O575" s="971" t="s">
        <v>1249</v>
      </c>
      <c r="P575" s="971"/>
      <c r="Q575" s="971" t="s">
        <v>1249</v>
      </c>
      <c r="R575" s="1266"/>
      <c r="S575" s="2106">
        <v>1</v>
      </c>
      <c r="T575" s="1266" t="s">
        <v>2700</v>
      </c>
      <c r="U575" s="1742">
        <v>761.90476190476181</v>
      </c>
      <c r="V575" s="1742">
        <v>9523.8095238095229</v>
      </c>
      <c r="W575" s="1742">
        <v>67154.28571428571</v>
      </c>
      <c r="X575" s="1742">
        <v>105043.80952380951</v>
      </c>
      <c r="Y575" s="2106">
        <v>181721.90476190473</v>
      </c>
      <c r="Z575" s="2106">
        <v>761.90476190476181</v>
      </c>
      <c r="AA575" s="2106">
        <v>9523.8095238095229</v>
      </c>
      <c r="AB575" s="2106">
        <v>67154.28571428571</v>
      </c>
      <c r="AC575" s="2106">
        <v>105043.80952380951</v>
      </c>
      <c r="AD575" s="1744">
        <v>181721.90476190473</v>
      </c>
      <c r="AE575" s="2126">
        <v>5000</v>
      </c>
      <c r="AF575" s="2126">
        <v>5000</v>
      </c>
      <c r="AG575" s="1212">
        <v>1</v>
      </c>
      <c r="AH575" s="1212">
        <v>0</v>
      </c>
      <c r="AI575" s="1212">
        <v>0</v>
      </c>
      <c r="AJ575" s="1212">
        <v>1</v>
      </c>
      <c r="AK575" s="2126">
        <v>181721.90476190473</v>
      </c>
      <c r="AL575" s="2126">
        <v>0</v>
      </c>
      <c r="AM575" s="2126">
        <v>0</v>
      </c>
      <c r="AN575" s="2126">
        <v>181721.90476190473</v>
      </c>
      <c r="AO575" s="1743" t="s">
        <v>85</v>
      </c>
      <c r="AP575" s="1743"/>
      <c r="AQ575" s="1764">
        <v>2014</v>
      </c>
      <c r="AR575" s="1743" t="s">
        <v>87</v>
      </c>
      <c r="AS575" s="2135"/>
      <c r="AT575" s="2135"/>
      <c r="AU575" s="1212">
        <v>0.33333333333333331</v>
      </c>
      <c r="AV575" s="1212">
        <v>0.33333333333333331</v>
      </c>
      <c r="AW575" s="1212">
        <v>0.33333333333333331</v>
      </c>
      <c r="AX575" s="1212"/>
      <c r="AY575" s="1212"/>
      <c r="AZ575" s="1212"/>
      <c r="BA575" s="1212"/>
      <c r="BB575" s="1212"/>
      <c r="BC575" s="1212"/>
      <c r="BD575" s="1212"/>
      <c r="BE575" s="1212"/>
      <c r="BF575" s="2126">
        <v>0</v>
      </c>
      <c r="BG575" s="2126">
        <v>0</v>
      </c>
      <c r="BH575" s="2126">
        <v>60573.96825396824</v>
      </c>
      <c r="BI575" s="2126">
        <v>60573.96825396824</v>
      </c>
      <c r="BJ575" s="2126">
        <v>60573.96825396824</v>
      </c>
      <c r="BK575" s="2126">
        <v>0</v>
      </c>
      <c r="BL575" s="2126">
        <v>0</v>
      </c>
      <c r="BM575" s="2126">
        <v>0</v>
      </c>
      <c r="BN575" s="2126">
        <v>0</v>
      </c>
      <c r="BO575" s="2126">
        <v>0</v>
      </c>
      <c r="BP575" s="2126">
        <v>0</v>
      </c>
      <c r="BQ575" s="2126">
        <v>0</v>
      </c>
      <c r="BR575" s="2126">
        <v>0</v>
      </c>
    </row>
    <row r="576" spans="1:70" s="1765" customFormat="1" ht="33">
      <c r="A576" s="1272">
        <v>3000</v>
      </c>
      <c r="B576" s="971" t="s">
        <v>1072</v>
      </c>
      <c r="C576" s="1272">
        <v>3100</v>
      </c>
      <c r="D576" s="971" t="s">
        <v>120</v>
      </c>
      <c r="E576" s="971">
        <v>3130</v>
      </c>
      <c r="F576" s="971" t="s">
        <v>148</v>
      </c>
      <c r="G576" s="971">
        <v>3131</v>
      </c>
      <c r="H576" s="971" t="s">
        <v>203</v>
      </c>
      <c r="I576" s="1273"/>
      <c r="J576" s="971" t="s">
        <v>121</v>
      </c>
      <c r="K576" s="971" t="s">
        <v>1256</v>
      </c>
      <c r="L576" s="971" t="s">
        <v>206</v>
      </c>
      <c r="M576" s="971" t="s">
        <v>1257</v>
      </c>
      <c r="N576" s="971" t="s">
        <v>83</v>
      </c>
      <c r="O576" s="971" t="s">
        <v>1258</v>
      </c>
      <c r="P576" s="971"/>
      <c r="Q576" s="971" t="s">
        <v>1259</v>
      </c>
      <c r="R576" s="1266"/>
      <c r="S576" s="2106">
        <v>80</v>
      </c>
      <c r="T576" s="1266" t="s">
        <v>991</v>
      </c>
      <c r="U576" s="1742">
        <v>0.3478</v>
      </c>
      <c r="V576" s="1742">
        <v>2.1737500000000001</v>
      </c>
      <c r="W576" s="1742">
        <v>30.655092</v>
      </c>
      <c r="X576" s="1742">
        <v>23.975593</v>
      </c>
      <c r="Y576" s="2106">
        <v>56.804434999999998</v>
      </c>
      <c r="Z576" s="2106">
        <v>27.823999999999998</v>
      </c>
      <c r="AA576" s="2106">
        <v>173.9</v>
      </c>
      <c r="AB576" s="2106">
        <v>2452.4073600000002</v>
      </c>
      <c r="AC576" s="2106">
        <v>1918.0474400000001</v>
      </c>
      <c r="AD576" s="1744">
        <v>4544.3548000000001</v>
      </c>
      <c r="AE576" s="2126">
        <v>0</v>
      </c>
      <c r="AF576" s="2126">
        <v>0</v>
      </c>
      <c r="AG576" s="1212">
        <v>1</v>
      </c>
      <c r="AH576" s="1212">
        <v>0</v>
      </c>
      <c r="AI576" s="1212">
        <v>0</v>
      </c>
      <c r="AJ576" s="1212">
        <v>1</v>
      </c>
      <c r="AK576" s="2126">
        <v>4544.3548000000001</v>
      </c>
      <c r="AL576" s="2126">
        <v>0</v>
      </c>
      <c r="AM576" s="2126">
        <v>0</v>
      </c>
      <c r="AN576" s="2126">
        <v>4544.3548000000001</v>
      </c>
      <c r="AO576" s="1743" t="s">
        <v>85</v>
      </c>
      <c r="AP576" s="1743" t="s">
        <v>1105</v>
      </c>
      <c r="AQ576" s="1764">
        <v>2019</v>
      </c>
      <c r="AR576" s="1743" t="s">
        <v>87</v>
      </c>
      <c r="AS576" s="2135"/>
      <c r="AT576" s="2135"/>
      <c r="AU576" s="1212"/>
      <c r="AV576" s="1212">
        <v>0.5</v>
      </c>
      <c r="AW576" s="1212">
        <v>0.5</v>
      </c>
      <c r="AX576" s="1212"/>
      <c r="AY576" s="1212"/>
      <c r="AZ576" s="1212"/>
      <c r="BA576" s="1212"/>
      <c r="BB576" s="1212"/>
      <c r="BC576" s="1212"/>
      <c r="BD576" s="1212"/>
      <c r="BE576" s="1212"/>
      <c r="BF576" s="2126">
        <v>0</v>
      </c>
      <c r="BG576" s="2126">
        <v>0</v>
      </c>
      <c r="BH576" s="2126">
        <v>0</v>
      </c>
      <c r="BI576" s="2126">
        <v>2272.1774</v>
      </c>
      <c r="BJ576" s="2126">
        <v>2272.1774</v>
      </c>
      <c r="BK576" s="2126">
        <v>0</v>
      </c>
      <c r="BL576" s="2126">
        <v>0</v>
      </c>
      <c r="BM576" s="2126">
        <v>0</v>
      </c>
      <c r="BN576" s="2126">
        <v>0</v>
      </c>
      <c r="BO576" s="2126">
        <v>0</v>
      </c>
      <c r="BP576" s="2126">
        <v>0</v>
      </c>
      <c r="BQ576" s="2126">
        <v>0</v>
      </c>
      <c r="BR576" s="2126">
        <v>0</v>
      </c>
    </row>
    <row r="577" spans="1:70" s="1765" customFormat="1" ht="33">
      <c r="A577" s="1272">
        <v>3000</v>
      </c>
      <c r="B577" s="971" t="s">
        <v>1072</v>
      </c>
      <c r="C577" s="1272">
        <v>3100</v>
      </c>
      <c r="D577" s="971" t="s">
        <v>120</v>
      </c>
      <c r="E577" s="971">
        <v>3130</v>
      </c>
      <c r="F577" s="971" t="s">
        <v>148</v>
      </c>
      <c r="G577" s="971">
        <v>3131</v>
      </c>
      <c r="H577" s="971" t="s">
        <v>203</v>
      </c>
      <c r="I577" s="1273"/>
      <c r="J577" s="971" t="s">
        <v>121</v>
      </c>
      <c r="K577" s="971" t="s">
        <v>204</v>
      </c>
      <c r="L577" s="971" t="s">
        <v>206</v>
      </c>
      <c r="M577" s="971" t="s">
        <v>205</v>
      </c>
      <c r="N577" s="971" t="s">
        <v>83</v>
      </c>
      <c r="O577" s="971" t="s">
        <v>206</v>
      </c>
      <c r="P577" s="971"/>
      <c r="Q577" s="971" t="s">
        <v>207</v>
      </c>
      <c r="R577" s="1266"/>
      <c r="S577" s="2106">
        <v>372</v>
      </c>
      <c r="T577" s="1266" t="s">
        <v>242</v>
      </c>
      <c r="U577" s="1742">
        <v>6</v>
      </c>
      <c r="V577" s="1742">
        <v>37.5</v>
      </c>
      <c r="W577" s="1742">
        <v>528.84</v>
      </c>
      <c r="X577" s="1742">
        <v>413.61</v>
      </c>
      <c r="Y577" s="2106">
        <v>979.95</v>
      </c>
      <c r="Z577" s="2106">
        <v>2232</v>
      </c>
      <c r="AA577" s="2106">
        <v>13950</v>
      </c>
      <c r="AB577" s="2106">
        <v>196728.48</v>
      </c>
      <c r="AC577" s="2106">
        <v>153862.92000000001</v>
      </c>
      <c r="AD577" s="1744">
        <v>364541.4</v>
      </c>
      <c r="AE577" s="2126">
        <v>0</v>
      </c>
      <c r="AF577" s="2126">
        <v>0</v>
      </c>
      <c r="AG577" s="1212">
        <v>1</v>
      </c>
      <c r="AH577" s="1212">
        <v>0</v>
      </c>
      <c r="AI577" s="1212">
        <v>0</v>
      </c>
      <c r="AJ577" s="1212">
        <v>1</v>
      </c>
      <c r="AK577" s="2126">
        <v>364541.4</v>
      </c>
      <c r="AL577" s="2126">
        <v>0</v>
      </c>
      <c r="AM577" s="2126">
        <v>0</v>
      </c>
      <c r="AN577" s="2126">
        <v>364541.4</v>
      </c>
      <c r="AO577" s="1743" t="s">
        <v>85</v>
      </c>
      <c r="AP577" s="1743"/>
      <c r="AQ577" s="1764">
        <v>2014</v>
      </c>
      <c r="AR577" s="1743" t="s">
        <v>87</v>
      </c>
      <c r="AS577" s="2135"/>
      <c r="AT577" s="2135"/>
      <c r="AU577" s="1212"/>
      <c r="AV577" s="1212">
        <v>0.5</v>
      </c>
      <c r="AW577" s="1212">
        <v>0.5</v>
      </c>
      <c r="AX577" s="1212"/>
      <c r="AY577" s="1212"/>
      <c r="AZ577" s="1212"/>
      <c r="BA577" s="1212"/>
      <c r="BB577" s="1212"/>
      <c r="BC577" s="1212"/>
      <c r="BD577" s="1212"/>
      <c r="BE577" s="1212"/>
      <c r="BF577" s="2126">
        <v>0</v>
      </c>
      <c r="BG577" s="2126">
        <v>0</v>
      </c>
      <c r="BH577" s="2126">
        <v>0</v>
      </c>
      <c r="BI577" s="2126">
        <v>182270.7</v>
      </c>
      <c r="BJ577" s="2126">
        <v>182270.7</v>
      </c>
      <c r="BK577" s="2126">
        <v>0</v>
      </c>
      <c r="BL577" s="2126">
        <v>0</v>
      </c>
      <c r="BM577" s="2126">
        <v>0</v>
      </c>
      <c r="BN577" s="2126">
        <v>0</v>
      </c>
      <c r="BO577" s="2126">
        <v>0</v>
      </c>
      <c r="BP577" s="2126">
        <v>0</v>
      </c>
      <c r="BQ577" s="2126">
        <v>0</v>
      </c>
      <c r="BR577" s="2126">
        <v>0</v>
      </c>
    </row>
    <row r="578" spans="1:70" s="1765" customFormat="1" ht="33">
      <c r="A578" s="1272">
        <v>3000</v>
      </c>
      <c r="B578" s="971" t="s">
        <v>1072</v>
      </c>
      <c r="C578" s="1272">
        <v>3100</v>
      </c>
      <c r="D578" s="971" t="s">
        <v>120</v>
      </c>
      <c r="E578" s="971">
        <v>3130</v>
      </c>
      <c r="F578" s="971" t="s">
        <v>148</v>
      </c>
      <c r="G578" s="971">
        <v>3131</v>
      </c>
      <c r="H578" s="971" t="s">
        <v>203</v>
      </c>
      <c r="I578" s="1273"/>
      <c r="J578" s="971" t="s">
        <v>121</v>
      </c>
      <c r="K578" s="971" t="s">
        <v>1256</v>
      </c>
      <c r="L578" s="971" t="s">
        <v>206</v>
      </c>
      <c r="M578" s="971" t="s">
        <v>1257</v>
      </c>
      <c r="N578" s="971" t="s">
        <v>83</v>
      </c>
      <c r="O578" s="971" t="s">
        <v>1258</v>
      </c>
      <c r="P578" s="971"/>
      <c r="Q578" s="971" t="s">
        <v>1260</v>
      </c>
      <c r="R578" s="1266" t="s">
        <v>1261</v>
      </c>
      <c r="S578" s="2106">
        <v>1419</v>
      </c>
      <c r="T578" s="1266" t="s">
        <v>991</v>
      </c>
      <c r="U578" s="1742">
        <v>0.3478</v>
      </c>
      <c r="V578" s="1742">
        <v>2.1737500000000001</v>
      </c>
      <c r="W578" s="1742">
        <v>30.655092</v>
      </c>
      <c r="X578" s="1742">
        <v>23.975593</v>
      </c>
      <c r="Y578" s="2106">
        <v>56.804434999999998</v>
      </c>
      <c r="Z578" s="2106">
        <v>493.52819999999997</v>
      </c>
      <c r="AA578" s="2106">
        <v>3084.55125</v>
      </c>
      <c r="AB578" s="2106">
        <v>43499.575548000001</v>
      </c>
      <c r="AC578" s="2106">
        <v>34021.366467</v>
      </c>
      <c r="AD578" s="1744">
        <v>80605.493264999997</v>
      </c>
      <c r="AE578" s="2126">
        <v>0</v>
      </c>
      <c r="AF578" s="2126">
        <v>0</v>
      </c>
      <c r="AG578" s="1212">
        <v>1</v>
      </c>
      <c r="AH578" s="1212">
        <v>0</v>
      </c>
      <c r="AI578" s="1212">
        <v>0</v>
      </c>
      <c r="AJ578" s="1212">
        <v>1</v>
      </c>
      <c r="AK578" s="2126">
        <v>80605.493264999997</v>
      </c>
      <c r="AL578" s="2126">
        <v>0</v>
      </c>
      <c r="AM578" s="2126">
        <v>0</v>
      </c>
      <c r="AN578" s="2126">
        <v>80605.493264999997</v>
      </c>
      <c r="AO578" s="1743" t="s">
        <v>85</v>
      </c>
      <c r="AP578" s="1743" t="s">
        <v>1105</v>
      </c>
      <c r="AQ578" s="1764">
        <v>2023</v>
      </c>
      <c r="AR578" s="1743" t="s">
        <v>87</v>
      </c>
      <c r="AS578" s="2135"/>
      <c r="AT578" s="2135"/>
      <c r="AU578" s="1212"/>
      <c r="AV578" s="1212">
        <v>0.5</v>
      </c>
      <c r="AW578" s="1212">
        <v>0.5</v>
      </c>
      <c r="AX578" s="1212"/>
      <c r="AY578" s="1212"/>
      <c r="AZ578" s="1212"/>
      <c r="BA578" s="1212"/>
      <c r="BB578" s="1212"/>
      <c r="BC578" s="1212"/>
      <c r="BD578" s="1212"/>
      <c r="BE578" s="1212"/>
      <c r="BF578" s="2126">
        <v>0</v>
      </c>
      <c r="BG578" s="2126">
        <v>0</v>
      </c>
      <c r="BH578" s="2126">
        <v>0</v>
      </c>
      <c r="BI578" s="2126">
        <v>40302.746632499999</v>
      </c>
      <c r="BJ578" s="2126">
        <v>40302.746632499999</v>
      </c>
      <c r="BK578" s="2126">
        <v>0</v>
      </c>
      <c r="BL578" s="2126">
        <v>0</v>
      </c>
      <c r="BM578" s="2126">
        <v>0</v>
      </c>
      <c r="BN578" s="2126">
        <v>0</v>
      </c>
      <c r="BO578" s="2126">
        <v>0</v>
      </c>
      <c r="BP578" s="2126">
        <v>0</v>
      </c>
      <c r="BQ578" s="2126">
        <v>0</v>
      </c>
      <c r="BR578" s="2126">
        <v>0</v>
      </c>
    </row>
    <row r="579" spans="1:70" s="1765" customFormat="1" ht="33">
      <c r="A579" s="1272">
        <v>3000</v>
      </c>
      <c r="B579" s="971" t="s">
        <v>1072</v>
      </c>
      <c r="C579" s="1272">
        <v>3100</v>
      </c>
      <c r="D579" s="971" t="s">
        <v>120</v>
      </c>
      <c r="E579" s="971">
        <v>3130</v>
      </c>
      <c r="F579" s="971" t="s">
        <v>148</v>
      </c>
      <c r="G579" s="971">
        <v>3131</v>
      </c>
      <c r="H579" s="971" t="s">
        <v>203</v>
      </c>
      <c r="I579" s="1273"/>
      <c r="J579" s="971" t="s">
        <v>121</v>
      </c>
      <c r="K579" s="971" t="s">
        <v>204</v>
      </c>
      <c r="L579" s="971" t="s">
        <v>206</v>
      </c>
      <c r="M579" s="971" t="s">
        <v>205</v>
      </c>
      <c r="N579" s="971" t="s">
        <v>83</v>
      </c>
      <c r="O579" s="971" t="s">
        <v>206</v>
      </c>
      <c r="P579" s="971"/>
      <c r="Q579" s="971" t="s">
        <v>207</v>
      </c>
      <c r="R579" s="1266" t="s">
        <v>1261</v>
      </c>
      <c r="S579" s="2106">
        <v>-46</v>
      </c>
      <c r="T579" s="1266" t="s">
        <v>242</v>
      </c>
      <c r="U579" s="1742">
        <v>6</v>
      </c>
      <c r="V579" s="1742">
        <v>37.5</v>
      </c>
      <c r="W579" s="1742">
        <v>528.84</v>
      </c>
      <c r="X579" s="1742">
        <v>413.61</v>
      </c>
      <c r="Y579" s="2106">
        <v>979.95</v>
      </c>
      <c r="Z579" s="2106">
        <v>-276</v>
      </c>
      <c r="AA579" s="2106">
        <v>-1725</v>
      </c>
      <c r="AB579" s="2106">
        <v>-24326.640000000003</v>
      </c>
      <c r="AC579" s="2106">
        <v>-19026.060000000001</v>
      </c>
      <c r="AD579" s="1744">
        <v>-45077.700000000004</v>
      </c>
      <c r="AE579" s="2126">
        <v>0</v>
      </c>
      <c r="AF579" s="2126">
        <v>0</v>
      </c>
      <c r="AG579" s="1212">
        <v>1</v>
      </c>
      <c r="AH579" s="1212">
        <v>0</v>
      </c>
      <c r="AI579" s="1212">
        <v>0</v>
      </c>
      <c r="AJ579" s="1212">
        <v>1</v>
      </c>
      <c r="AK579" s="2126">
        <v>-45077.700000000004</v>
      </c>
      <c r="AL579" s="2126">
        <v>0</v>
      </c>
      <c r="AM579" s="2126">
        <v>0</v>
      </c>
      <c r="AN579" s="2126">
        <v>-45077.700000000004</v>
      </c>
      <c r="AO579" s="1743" t="s">
        <v>85</v>
      </c>
      <c r="AP579" s="1743" t="s">
        <v>1262</v>
      </c>
      <c r="AQ579" s="1764">
        <v>2023</v>
      </c>
      <c r="AR579" s="1743" t="s">
        <v>87</v>
      </c>
      <c r="AS579" s="2135"/>
      <c r="AT579" s="2135"/>
      <c r="AU579" s="1212"/>
      <c r="AV579" s="1212">
        <v>0.5</v>
      </c>
      <c r="AW579" s="1212">
        <v>0.5</v>
      </c>
      <c r="AX579" s="1212"/>
      <c r="AY579" s="1212"/>
      <c r="AZ579" s="1212"/>
      <c r="BA579" s="1212"/>
      <c r="BB579" s="1212"/>
      <c r="BC579" s="1212"/>
      <c r="BD579" s="1212"/>
      <c r="BE579" s="1212"/>
      <c r="BF579" s="2126">
        <v>0</v>
      </c>
      <c r="BG579" s="2126">
        <v>0</v>
      </c>
      <c r="BH579" s="2126">
        <v>0</v>
      </c>
      <c r="BI579" s="2126">
        <v>-22538.850000000002</v>
      </c>
      <c r="BJ579" s="2126">
        <v>-22538.850000000002</v>
      </c>
      <c r="BK579" s="2126">
        <v>0</v>
      </c>
      <c r="BL579" s="2126">
        <v>0</v>
      </c>
      <c r="BM579" s="2126">
        <v>0</v>
      </c>
      <c r="BN579" s="2126">
        <v>0</v>
      </c>
      <c r="BO579" s="2126">
        <v>0</v>
      </c>
      <c r="BP579" s="2126">
        <v>0</v>
      </c>
      <c r="BQ579" s="2126">
        <v>0</v>
      </c>
      <c r="BR579" s="2126">
        <v>0</v>
      </c>
    </row>
    <row r="580" spans="1:70" s="1765" customFormat="1" ht="33">
      <c r="A580" s="1272">
        <v>3000</v>
      </c>
      <c r="B580" s="971" t="s">
        <v>1072</v>
      </c>
      <c r="C580" s="1272">
        <v>3100</v>
      </c>
      <c r="D580" s="971" t="s">
        <v>120</v>
      </c>
      <c r="E580" s="971">
        <v>3130</v>
      </c>
      <c r="F580" s="971" t="s">
        <v>148</v>
      </c>
      <c r="G580" s="971">
        <v>3131</v>
      </c>
      <c r="H580" s="971" t="s">
        <v>203</v>
      </c>
      <c r="I580" s="1273"/>
      <c r="J580" s="971" t="s">
        <v>121</v>
      </c>
      <c r="K580" s="971" t="s">
        <v>204</v>
      </c>
      <c r="L580" s="971" t="s">
        <v>206</v>
      </c>
      <c r="M580" s="971" t="s">
        <v>205</v>
      </c>
      <c r="N580" s="971" t="s">
        <v>83</v>
      </c>
      <c r="O580" s="971" t="s">
        <v>206</v>
      </c>
      <c r="P580" s="971"/>
      <c r="Q580" s="971" t="s">
        <v>1263</v>
      </c>
      <c r="R580" s="1266"/>
      <c r="S580" s="2106">
        <v>11</v>
      </c>
      <c r="T580" s="1266" t="s">
        <v>242</v>
      </c>
      <c r="U580" s="1742">
        <v>6</v>
      </c>
      <c r="V580" s="1742">
        <v>37.5</v>
      </c>
      <c r="W580" s="1742">
        <v>528.84</v>
      </c>
      <c r="X580" s="1742">
        <v>413.61</v>
      </c>
      <c r="Y580" s="2106">
        <v>979.95</v>
      </c>
      <c r="Z580" s="2106">
        <v>66</v>
      </c>
      <c r="AA580" s="2106">
        <v>412.5</v>
      </c>
      <c r="AB580" s="2106">
        <v>5817.2400000000007</v>
      </c>
      <c r="AC580" s="2106">
        <v>4549.71</v>
      </c>
      <c r="AD580" s="1744">
        <v>10779.45</v>
      </c>
      <c r="AE580" s="2126">
        <v>0</v>
      </c>
      <c r="AF580" s="2126">
        <v>0</v>
      </c>
      <c r="AG580" s="1212">
        <v>0</v>
      </c>
      <c r="AH580" s="1212">
        <v>1</v>
      </c>
      <c r="AI580" s="1212">
        <v>0</v>
      </c>
      <c r="AJ580" s="1212">
        <v>1</v>
      </c>
      <c r="AK580" s="2126">
        <v>0</v>
      </c>
      <c r="AL580" s="2126">
        <v>10779.45</v>
      </c>
      <c r="AM580" s="2126">
        <v>0</v>
      </c>
      <c r="AN580" s="2126">
        <v>10779.45</v>
      </c>
      <c r="AO580" s="1743" t="s">
        <v>85</v>
      </c>
      <c r="AP580" s="1743"/>
      <c r="AQ580" s="1764">
        <v>2014</v>
      </c>
      <c r="AR580" s="1743" t="s">
        <v>87</v>
      </c>
      <c r="AS580" s="2135"/>
      <c r="AT580" s="2135"/>
      <c r="AU580" s="1212"/>
      <c r="AV580" s="1212">
        <v>0.5</v>
      </c>
      <c r="AW580" s="1212">
        <v>0.5</v>
      </c>
      <c r="AX580" s="1212"/>
      <c r="AY580" s="1212"/>
      <c r="AZ580" s="1212"/>
      <c r="BA580" s="1212"/>
      <c r="BB580" s="1212"/>
      <c r="BC580" s="1212"/>
      <c r="BD580" s="1212"/>
      <c r="BE580" s="1212"/>
      <c r="BF580" s="2126">
        <v>0</v>
      </c>
      <c r="BG580" s="2126">
        <v>0</v>
      </c>
      <c r="BH580" s="2126">
        <v>0</v>
      </c>
      <c r="BI580" s="2126">
        <v>5389.7250000000004</v>
      </c>
      <c r="BJ580" s="2126">
        <v>5389.7250000000004</v>
      </c>
      <c r="BK580" s="2126">
        <v>0</v>
      </c>
      <c r="BL580" s="2126">
        <v>0</v>
      </c>
      <c r="BM580" s="2126">
        <v>0</v>
      </c>
      <c r="BN580" s="2126">
        <v>0</v>
      </c>
      <c r="BO580" s="2126">
        <v>0</v>
      </c>
      <c r="BP580" s="2126">
        <v>0</v>
      </c>
      <c r="BQ580" s="2126">
        <v>0</v>
      </c>
      <c r="BR580" s="2126">
        <v>0</v>
      </c>
    </row>
    <row r="581" spans="1:70" s="1765" customFormat="1" ht="33">
      <c r="A581" s="1272">
        <v>3000</v>
      </c>
      <c r="B581" s="971" t="s">
        <v>1072</v>
      </c>
      <c r="C581" s="1272">
        <v>3100</v>
      </c>
      <c r="D581" s="971" t="s">
        <v>120</v>
      </c>
      <c r="E581" s="971">
        <v>3130</v>
      </c>
      <c r="F581" s="971" t="s">
        <v>148</v>
      </c>
      <c r="G581" s="971">
        <v>3131</v>
      </c>
      <c r="H581" s="971" t="s">
        <v>203</v>
      </c>
      <c r="I581" s="1273"/>
      <c r="J581" s="971" t="s">
        <v>121</v>
      </c>
      <c r="K581" s="971" t="s">
        <v>1256</v>
      </c>
      <c r="L581" s="971" t="s">
        <v>206</v>
      </c>
      <c r="M581" s="971" t="s">
        <v>1257</v>
      </c>
      <c r="N581" s="971" t="s">
        <v>83</v>
      </c>
      <c r="O581" s="971" t="s">
        <v>1258</v>
      </c>
      <c r="P581" s="971"/>
      <c r="Q581" s="971" t="s">
        <v>1264</v>
      </c>
      <c r="R581" s="1266" t="s">
        <v>1261</v>
      </c>
      <c r="S581" s="2106">
        <v>182</v>
      </c>
      <c r="T581" s="1266" t="s">
        <v>991</v>
      </c>
      <c r="U581" s="1742">
        <v>0.3478</v>
      </c>
      <c r="V581" s="1742">
        <v>2.1737500000000001</v>
      </c>
      <c r="W581" s="1742">
        <v>30.655092</v>
      </c>
      <c r="X581" s="1742">
        <v>23.975593</v>
      </c>
      <c r="Y581" s="2106">
        <v>56.804434999999998</v>
      </c>
      <c r="Z581" s="2106">
        <v>63.299599999999998</v>
      </c>
      <c r="AA581" s="2106">
        <v>395.6225</v>
      </c>
      <c r="AB581" s="2106">
        <v>5579.2267439999996</v>
      </c>
      <c r="AC581" s="2106">
        <v>4363.5579260000004</v>
      </c>
      <c r="AD581" s="1744">
        <v>10338.40717</v>
      </c>
      <c r="AE581" s="2126">
        <v>0</v>
      </c>
      <c r="AF581" s="2126">
        <v>0</v>
      </c>
      <c r="AG581" s="1212">
        <v>0</v>
      </c>
      <c r="AH581" s="1212">
        <v>1</v>
      </c>
      <c r="AI581" s="1212">
        <v>0</v>
      </c>
      <c r="AJ581" s="1212">
        <v>1</v>
      </c>
      <c r="AK581" s="2126">
        <v>0</v>
      </c>
      <c r="AL581" s="2126">
        <v>10338.40717</v>
      </c>
      <c r="AM581" s="2126">
        <v>0</v>
      </c>
      <c r="AN581" s="2126">
        <v>10338.40717</v>
      </c>
      <c r="AO581" s="1743" t="s">
        <v>85</v>
      </c>
      <c r="AP581" s="1743" t="s">
        <v>1105</v>
      </c>
      <c r="AQ581" s="1764">
        <v>2023</v>
      </c>
      <c r="AR581" s="1743" t="s">
        <v>87</v>
      </c>
      <c r="AS581" s="2135"/>
      <c r="AT581" s="2135"/>
      <c r="AU581" s="1212"/>
      <c r="AV581" s="1212">
        <v>0.5</v>
      </c>
      <c r="AW581" s="1212">
        <v>0.5</v>
      </c>
      <c r="AX581" s="1212"/>
      <c r="AY581" s="1212"/>
      <c r="AZ581" s="1212"/>
      <c r="BA581" s="1212"/>
      <c r="BB581" s="1212"/>
      <c r="BC581" s="1212"/>
      <c r="BD581" s="1212"/>
      <c r="BE581" s="1212"/>
      <c r="BF581" s="2126">
        <v>0</v>
      </c>
      <c r="BG581" s="2126">
        <v>0</v>
      </c>
      <c r="BH581" s="2126">
        <v>0</v>
      </c>
      <c r="BI581" s="2126">
        <v>5169.2035850000002</v>
      </c>
      <c r="BJ581" s="2126">
        <v>5169.2035850000002</v>
      </c>
      <c r="BK581" s="2126">
        <v>0</v>
      </c>
      <c r="BL581" s="2126">
        <v>0</v>
      </c>
      <c r="BM581" s="2126">
        <v>0</v>
      </c>
      <c r="BN581" s="2126">
        <v>0</v>
      </c>
      <c r="BO581" s="2126">
        <v>0</v>
      </c>
      <c r="BP581" s="2126">
        <v>0</v>
      </c>
      <c r="BQ581" s="2126">
        <v>0</v>
      </c>
      <c r="BR581" s="2126">
        <v>0</v>
      </c>
    </row>
    <row r="582" spans="1:70" s="1765" customFormat="1" ht="33">
      <c r="A582" s="1272">
        <v>3000</v>
      </c>
      <c r="B582" s="971" t="s">
        <v>1072</v>
      </c>
      <c r="C582" s="1272">
        <v>3100</v>
      </c>
      <c r="D582" s="971" t="s">
        <v>120</v>
      </c>
      <c r="E582" s="971">
        <v>3130</v>
      </c>
      <c r="F582" s="971" t="s">
        <v>148</v>
      </c>
      <c r="G582" s="971">
        <v>3131</v>
      </c>
      <c r="H582" s="971" t="s">
        <v>203</v>
      </c>
      <c r="I582" s="1273"/>
      <c r="J582" s="971" t="s">
        <v>121</v>
      </c>
      <c r="K582" s="971" t="s">
        <v>204</v>
      </c>
      <c r="L582" s="971" t="s">
        <v>206</v>
      </c>
      <c r="M582" s="971" t="s">
        <v>205</v>
      </c>
      <c r="N582" s="971" t="s">
        <v>83</v>
      </c>
      <c r="O582" s="971" t="s">
        <v>206</v>
      </c>
      <c r="P582" s="971"/>
      <c r="Q582" s="971" t="s">
        <v>1263</v>
      </c>
      <c r="R582" s="1266" t="s">
        <v>1261</v>
      </c>
      <c r="S582" s="2106">
        <v>-6</v>
      </c>
      <c r="T582" s="1266" t="s">
        <v>242</v>
      </c>
      <c r="U582" s="1742">
        <v>6</v>
      </c>
      <c r="V582" s="1742">
        <v>37.5</v>
      </c>
      <c r="W582" s="1742">
        <v>528.84</v>
      </c>
      <c r="X582" s="1742">
        <v>413.61</v>
      </c>
      <c r="Y582" s="2106">
        <v>979.95</v>
      </c>
      <c r="Z582" s="2106">
        <v>-36</v>
      </c>
      <c r="AA582" s="2106">
        <v>-225</v>
      </c>
      <c r="AB582" s="2106">
        <v>-3173.04</v>
      </c>
      <c r="AC582" s="2106">
        <v>-2481.66</v>
      </c>
      <c r="AD582" s="1744">
        <v>-5879.7</v>
      </c>
      <c r="AE582" s="2126">
        <v>0</v>
      </c>
      <c r="AF582" s="2126">
        <v>0</v>
      </c>
      <c r="AG582" s="1212">
        <v>0</v>
      </c>
      <c r="AH582" s="1212">
        <v>1</v>
      </c>
      <c r="AI582" s="1212">
        <v>0</v>
      </c>
      <c r="AJ582" s="1212">
        <v>1</v>
      </c>
      <c r="AK582" s="2126">
        <v>0</v>
      </c>
      <c r="AL582" s="2126">
        <v>-5879.7</v>
      </c>
      <c r="AM582" s="2126">
        <v>0</v>
      </c>
      <c r="AN582" s="2126">
        <v>-5879.7</v>
      </c>
      <c r="AO582" s="1743" t="s">
        <v>85</v>
      </c>
      <c r="AP582" s="1743" t="s">
        <v>1262</v>
      </c>
      <c r="AQ582" s="1764">
        <v>2023</v>
      </c>
      <c r="AR582" s="1743" t="s">
        <v>87</v>
      </c>
      <c r="AS582" s="2135"/>
      <c r="AT582" s="2135"/>
      <c r="AU582" s="1212"/>
      <c r="AV582" s="1212">
        <v>0.5</v>
      </c>
      <c r="AW582" s="1212">
        <v>0.5</v>
      </c>
      <c r="AX582" s="1212"/>
      <c r="AY582" s="1212"/>
      <c r="AZ582" s="1212"/>
      <c r="BA582" s="1212"/>
      <c r="BB582" s="1212"/>
      <c r="BC582" s="1212"/>
      <c r="BD582" s="1212"/>
      <c r="BE582" s="1212"/>
      <c r="BF582" s="2126">
        <v>0</v>
      </c>
      <c r="BG582" s="2126">
        <v>0</v>
      </c>
      <c r="BH582" s="2126">
        <v>0</v>
      </c>
      <c r="BI582" s="2126">
        <v>-2939.85</v>
      </c>
      <c r="BJ582" s="2126">
        <v>-2939.85</v>
      </c>
      <c r="BK582" s="2126">
        <v>0</v>
      </c>
      <c r="BL582" s="2126">
        <v>0</v>
      </c>
      <c r="BM582" s="2126">
        <v>0</v>
      </c>
      <c r="BN582" s="2126">
        <v>0</v>
      </c>
      <c r="BO582" s="2126">
        <v>0</v>
      </c>
      <c r="BP582" s="2126">
        <v>0</v>
      </c>
      <c r="BQ582" s="2126">
        <v>0</v>
      </c>
      <c r="BR582" s="2126">
        <v>0</v>
      </c>
    </row>
    <row r="583" spans="1:70" s="1765" customFormat="1" ht="49.5">
      <c r="A583" s="1272">
        <v>3000</v>
      </c>
      <c r="B583" s="971" t="s">
        <v>1072</v>
      </c>
      <c r="C583" s="1272">
        <v>3100</v>
      </c>
      <c r="D583" s="971" t="s">
        <v>120</v>
      </c>
      <c r="E583" s="971">
        <v>3130</v>
      </c>
      <c r="F583" s="971" t="s">
        <v>148</v>
      </c>
      <c r="G583" s="971">
        <v>3131</v>
      </c>
      <c r="H583" s="971" t="s">
        <v>203</v>
      </c>
      <c r="I583" s="1273"/>
      <c r="J583" s="971" t="s">
        <v>124</v>
      </c>
      <c r="K583" s="971" t="s">
        <v>506</v>
      </c>
      <c r="L583" s="971" t="s">
        <v>6608</v>
      </c>
      <c r="M583" s="971" t="s">
        <v>506</v>
      </c>
      <c r="N583" s="971" t="s">
        <v>141</v>
      </c>
      <c r="O583" s="971" t="s">
        <v>507</v>
      </c>
      <c r="P583" s="971"/>
      <c r="Q583" s="971" t="s">
        <v>1265</v>
      </c>
      <c r="R583" s="1266"/>
      <c r="S583" s="2106">
        <v>682</v>
      </c>
      <c r="T583" s="1266" t="s">
        <v>136</v>
      </c>
      <c r="U583" s="1742">
        <v>0.125</v>
      </c>
      <c r="V583" s="1742">
        <v>1.875</v>
      </c>
      <c r="W583" s="1742">
        <v>11.0175</v>
      </c>
      <c r="X583" s="1742">
        <v>18.75</v>
      </c>
      <c r="Y583" s="2106">
        <v>31.642499999999998</v>
      </c>
      <c r="Z583" s="2106">
        <v>85.25</v>
      </c>
      <c r="AA583" s="2106">
        <v>1278.75</v>
      </c>
      <c r="AB583" s="2106">
        <v>7513.9350000000004</v>
      </c>
      <c r="AC583" s="2106">
        <v>12787.5</v>
      </c>
      <c r="AD583" s="1744">
        <v>21580.185000000001</v>
      </c>
      <c r="AE583" s="2126">
        <v>0</v>
      </c>
      <c r="AF583" s="2126">
        <v>0</v>
      </c>
      <c r="AG583" s="1212">
        <v>0</v>
      </c>
      <c r="AH583" s="1212">
        <v>1</v>
      </c>
      <c r="AI583" s="1212">
        <v>0</v>
      </c>
      <c r="AJ583" s="1212">
        <v>1</v>
      </c>
      <c r="AK583" s="2126">
        <v>0</v>
      </c>
      <c r="AL583" s="2126">
        <v>21580.185000000001</v>
      </c>
      <c r="AM583" s="2126">
        <v>0</v>
      </c>
      <c r="AN583" s="2126">
        <v>21580.185000000001</v>
      </c>
      <c r="AO583" s="1743" t="s">
        <v>85</v>
      </c>
      <c r="AP583" s="1743" t="s">
        <v>90</v>
      </c>
      <c r="AQ583" s="1764">
        <v>2016</v>
      </c>
      <c r="AR583" s="1743" t="s">
        <v>87</v>
      </c>
      <c r="AS583" s="2135"/>
      <c r="AT583" s="2135"/>
      <c r="AU583" s="1212">
        <v>0.33333333333333331</v>
      </c>
      <c r="AV583" s="1212">
        <v>0.33333333333333331</v>
      </c>
      <c r="AW583" s="1212">
        <v>0.33333333333333331</v>
      </c>
      <c r="AX583" s="1212"/>
      <c r="AY583" s="1212"/>
      <c r="AZ583" s="1212"/>
      <c r="BA583" s="1212"/>
      <c r="BB583" s="1212"/>
      <c r="BC583" s="1212"/>
      <c r="BD583" s="1212"/>
      <c r="BE583" s="1212"/>
      <c r="BF583" s="2126">
        <v>0</v>
      </c>
      <c r="BG583" s="2126">
        <v>0</v>
      </c>
      <c r="BH583" s="2126">
        <v>7193.3950000000004</v>
      </c>
      <c r="BI583" s="2126">
        <v>7193.3950000000004</v>
      </c>
      <c r="BJ583" s="2126">
        <v>7193.3950000000004</v>
      </c>
      <c r="BK583" s="2126">
        <v>0</v>
      </c>
      <c r="BL583" s="2126">
        <v>0</v>
      </c>
      <c r="BM583" s="2126">
        <v>0</v>
      </c>
      <c r="BN583" s="2126">
        <v>0</v>
      </c>
      <c r="BO583" s="2126">
        <v>0</v>
      </c>
      <c r="BP583" s="2126">
        <v>0</v>
      </c>
      <c r="BQ583" s="2126">
        <v>0</v>
      </c>
      <c r="BR583" s="2126">
        <v>0</v>
      </c>
    </row>
    <row r="584" spans="1:70" s="1765" customFormat="1" ht="33">
      <c r="A584" s="1272">
        <v>3000</v>
      </c>
      <c r="B584" s="971" t="s">
        <v>1072</v>
      </c>
      <c r="C584" s="1272">
        <v>3100</v>
      </c>
      <c r="D584" s="971" t="s">
        <v>120</v>
      </c>
      <c r="E584" s="971">
        <v>3130</v>
      </c>
      <c r="F584" s="971" t="s">
        <v>148</v>
      </c>
      <c r="G584" s="971">
        <v>3131</v>
      </c>
      <c r="H584" s="971" t="s">
        <v>203</v>
      </c>
      <c r="I584" s="1273"/>
      <c r="J584" s="971"/>
      <c r="K584" s="971" t="s">
        <v>823</v>
      </c>
      <c r="L584" s="971" t="s">
        <v>824</v>
      </c>
      <c r="M584" s="971" t="s">
        <v>823</v>
      </c>
      <c r="N584" s="971" t="s">
        <v>83</v>
      </c>
      <c r="O584" s="971" t="s">
        <v>824</v>
      </c>
      <c r="P584" s="971" t="s">
        <v>824</v>
      </c>
      <c r="Q584" s="971" t="s">
        <v>1266</v>
      </c>
      <c r="R584" s="1266"/>
      <c r="S584" s="2106">
        <v>682</v>
      </c>
      <c r="T584" s="1266" t="s">
        <v>136</v>
      </c>
      <c r="U584" s="1742">
        <v>3.1800000000000002E-2</v>
      </c>
      <c r="V584" s="1742">
        <v>2.3850000000000007E-2</v>
      </c>
      <c r="W584" s="1742">
        <v>2.8028520000000001</v>
      </c>
      <c r="X584" s="1742">
        <v>0.28028520000000001</v>
      </c>
      <c r="Y584" s="2106">
        <v>3.0831372000000004</v>
      </c>
      <c r="Z584" s="2106">
        <v>21.6876</v>
      </c>
      <c r="AA584" s="2106">
        <v>16.265700000000006</v>
      </c>
      <c r="AB584" s="2106">
        <v>1911.5450640000001</v>
      </c>
      <c r="AC584" s="2106">
        <v>191.1545064</v>
      </c>
      <c r="AD584" s="1744">
        <v>2102.6995704000001</v>
      </c>
      <c r="AE584" s="2126">
        <v>0</v>
      </c>
      <c r="AF584" s="2126">
        <v>0</v>
      </c>
      <c r="AG584" s="1212">
        <v>0</v>
      </c>
      <c r="AH584" s="1212">
        <v>1</v>
      </c>
      <c r="AI584" s="1212">
        <v>0</v>
      </c>
      <c r="AJ584" s="1212">
        <v>1</v>
      </c>
      <c r="AK584" s="2126">
        <v>0</v>
      </c>
      <c r="AL584" s="2126">
        <v>2102.6995704000001</v>
      </c>
      <c r="AM584" s="2126">
        <v>0</v>
      </c>
      <c r="AN584" s="2126">
        <v>2102.6995704000001</v>
      </c>
      <c r="AO584" s="1743" t="s">
        <v>85</v>
      </c>
      <c r="AP584" s="1743" t="s">
        <v>90</v>
      </c>
      <c r="AQ584" s="1764">
        <v>2016</v>
      </c>
      <c r="AR584" s="1743" t="s">
        <v>87</v>
      </c>
      <c r="AS584" s="2135"/>
      <c r="AT584" s="2135"/>
      <c r="AU584" s="1212">
        <v>0.33333333333333331</v>
      </c>
      <c r="AV584" s="1212">
        <v>0.33333333333333331</v>
      </c>
      <c r="AW584" s="1212">
        <v>0.33333333333333331</v>
      </c>
      <c r="AX584" s="1212"/>
      <c r="AY584" s="1212"/>
      <c r="AZ584" s="1212"/>
      <c r="BA584" s="1212"/>
      <c r="BB584" s="1212"/>
      <c r="BC584" s="1212"/>
      <c r="BD584" s="1212"/>
      <c r="BE584" s="1212"/>
      <c r="BF584" s="2126">
        <v>0</v>
      </c>
      <c r="BG584" s="2126">
        <v>0</v>
      </c>
      <c r="BH584" s="2126">
        <v>700.89985679999995</v>
      </c>
      <c r="BI584" s="2126">
        <v>700.89985679999995</v>
      </c>
      <c r="BJ584" s="2126">
        <v>700.89985679999995</v>
      </c>
      <c r="BK584" s="2126">
        <v>0</v>
      </c>
      <c r="BL584" s="2126">
        <v>0</v>
      </c>
      <c r="BM584" s="2126">
        <v>0</v>
      </c>
      <c r="BN584" s="2126">
        <v>0</v>
      </c>
      <c r="BO584" s="2126">
        <v>0</v>
      </c>
      <c r="BP584" s="2126">
        <v>0</v>
      </c>
      <c r="BQ584" s="2126">
        <v>0</v>
      </c>
      <c r="BR584" s="2126">
        <v>0</v>
      </c>
    </row>
    <row r="585" spans="1:70" s="1765" customFormat="1" ht="33">
      <c r="A585" s="1272">
        <v>3000</v>
      </c>
      <c r="B585" s="971" t="s">
        <v>1072</v>
      </c>
      <c r="C585" s="1272">
        <v>3100</v>
      </c>
      <c r="D585" s="971" t="s">
        <v>120</v>
      </c>
      <c r="E585" s="971">
        <v>3130</v>
      </c>
      <c r="F585" s="971" t="s">
        <v>148</v>
      </c>
      <c r="G585" s="971">
        <v>3131</v>
      </c>
      <c r="H585" s="971" t="s">
        <v>203</v>
      </c>
      <c r="I585" s="1273"/>
      <c r="J585" s="971" t="s">
        <v>124</v>
      </c>
      <c r="K585" s="971" t="s">
        <v>140</v>
      </c>
      <c r="L585" s="971" t="s">
        <v>2909</v>
      </c>
      <c r="M585" s="971" t="s">
        <v>140</v>
      </c>
      <c r="N585" s="971" t="s">
        <v>141</v>
      </c>
      <c r="O585" s="971" t="s">
        <v>142</v>
      </c>
      <c r="P585" s="971"/>
      <c r="Q585" s="971" t="s">
        <v>1267</v>
      </c>
      <c r="R585" s="1266"/>
      <c r="S585" s="2106">
        <v>682</v>
      </c>
      <c r="T585" s="1266" t="s">
        <v>136</v>
      </c>
      <c r="U585" s="1742">
        <v>0</v>
      </c>
      <c r="V585" s="1742">
        <v>0</v>
      </c>
      <c r="W585" s="1742">
        <v>0</v>
      </c>
      <c r="X585" s="1742">
        <v>0</v>
      </c>
      <c r="Y585" s="2106">
        <v>0</v>
      </c>
      <c r="Z585" s="2106">
        <v>0</v>
      </c>
      <c r="AA585" s="2106">
        <v>0</v>
      </c>
      <c r="AB585" s="2106">
        <v>0</v>
      </c>
      <c r="AC585" s="2106">
        <v>0</v>
      </c>
      <c r="AD585" s="1744">
        <v>0</v>
      </c>
      <c r="AE585" s="2126">
        <v>0</v>
      </c>
      <c r="AF585" s="2126">
        <v>0</v>
      </c>
      <c r="AG585" s="1212">
        <v>0</v>
      </c>
      <c r="AH585" s="1212">
        <v>1</v>
      </c>
      <c r="AI585" s="1212">
        <v>0</v>
      </c>
      <c r="AJ585" s="1212">
        <v>1</v>
      </c>
      <c r="AK585" s="2126">
        <v>0</v>
      </c>
      <c r="AL585" s="2126">
        <v>0</v>
      </c>
      <c r="AM585" s="2126">
        <v>0</v>
      </c>
      <c r="AN585" s="2126">
        <v>0</v>
      </c>
      <c r="AO585" s="1743" t="s">
        <v>85</v>
      </c>
      <c r="AP585" s="1743" t="s">
        <v>90</v>
      </c>
      <c r="AQ585" s="1764">
        <v>2016</v>
      </c>
      <c r="AR585" s="1743" t="s">
        <v>87</v>
      </c>
      <c r="AS585" s="2135"/>
      <c r="AT585" s="2135"/>
      <c r="AU585" s="1212">
        <v>0.33333333333333331</v>
      </c>
      <c r="AV585" s="1212">
        <v>0.33333333333333331</v>
      </c>
      <c r="AW585" s="1212">
        <v>0.33333333333333331</v>
      </c>
      <c r="AX585" s="1212"/>
      <c r="AY585" s="1212"/>
      <c r="AZ585" s="1212"/>
      <c r="BA585" s="1212"/>
      <c r="BB585" s="1212"/>
      <c r="BC585" s="1212"/>
      <c r="BD585" s="1212"/>
      <c r="BE585" s="1212"/>
      <c r="BF585" s="2126">
        <v>0</v>
      </c>
      <c r="BG585" s="2126">
        <v>0</v>
      </c>
      <c r="BH585" s="2126">
        <v>0</v>
      </c>
      <c r="BI585" s="2126">
        <v>0</v>
      </c>
      <c r="BJ585" s="2126">
        <v>0</v>
      </c>
      <c r="BK585" s="2126">
        <v>0</v>
      </c>
      <c r="BL585" s="2126">
        <v>0</v>
      </c>
      <c r="BM585" s="2126">
        <v>0</v>
      </c>
      <c r="BN585" s="2126">
        <v>0</v>
      </c>
      <c r="BO585" s="2126">
        <v>0</v>
      </c>
      <c r="BP585" s="2126">
        <v>0</v>
      </c>
      <c r="BQ585" s="2126">
        <v>0</v>
      </c>
      <c r="BR585" s="2126">
        <v>0</v>
      </c>
    </row>
    <row r="586" spans="1:70" s="1765" customFormat="1" ht="33">
      <c r="A586" s="1272">
        <v>3000</v>
      </c>
      <c r="B586" s="971" t="s">
        <v>1072</v>
      </c>
      <c r="C586" s="1272">
        <v>3100</v>
      </c>
      <c r="D586" s="971" t="s">
        <v>120</v>
      </c>
      <c r="E586" s="971">
        <v>3130</v>
      </c>
      <c r="F586" s="971" t="s">
        <v>148</v>
      </c>
      <c r="G586" s="971">
        <v>3131</v>
      </c>
      <c r="H586" s="971" t="s">
        <v>203</v>
      </c>
      <c r="I586" s="1273"/>
      <c r="J586" s="971" t="s">
        <v>121</v>
      </c>
      <c r="K586" s="971" t="s">
        <v>150</v>
      </c>
      <c r="L586" s="971" t="s">
        <v>2800</v>
      </c>
      <c r="M586" s="971" t="s">
        <v>80</v>
      </c>
      <c r="N586" s="971" t="s">
        <v>83</v>
      </c>
      <c r="O586" s="971" t="s">
        <v>151</v>
      </c>
      <c r="P586" s="971" t="s">
        <v>152</v>
      </c>
      <c r="Q586" s="971" t="s">
        <v>1268</v>
      </c>
      <c r="R586" s="1266"/>
      <c r="S586" s="2106">
        <v>266500</v>
      </c>
      <c r="T586" s="1266" t="s">
        <v>136</v>
      </c>
      <c r="U586" s="1742">
        <v>1.2691883296460175E-2</v>
      </c>
      <c r="V586" s="1742">
        <v>0.14624999999999999</v>
      </c>
      <c r="W586" s="1742">
        <v>1.1186625937499999</v>
      </c>
      <c r="X586" s="1742">
        <v>0.4015178457754629</v>
      </c>
      <c r="Y586" s="2106">
        <v>1.6649423457754629</v>
      </c>
      <c r="Z586" s="2106">
        <v>3382.3868985066365</v>
      </c>
      <c r="AA586" s="2106">
        <v>38975.625</v>
      </c>
      <c r="AB586" s="2106">
        <v>298123.58123437496</v>
      </c>
      <c r="AC586" s="2106">
        <v>107004.50589916087</v>
      </c>
      <c r="AD586" s="1744">
        <v>443707.13514916087</v>
      </c>
      <c r="AE586" s="2126">
        <v>0</v>
      </c>
      <c r="AF586" s="2126">
        <v>0</v>
      </c>
      <c r="AG586" s="1212">
        <v>1</v>
      </c>
      <c r="AH586" s="1212">
        <v>0</v>
      </c>
      <c r="AI586" s="1212">
        <v>0</v>
      </c>
      <c r="AJ586" s="1212">
        <v>1</v>
      </c>
      <c r="AK586" s="2126">
        <v>443707.13514916087</v>
      </c>
      <c r="AL586" s="2126">
        <v>0</v>
      </c>
      <c r="AM586" s="2126">
        <v>0</v>
      </c>
      <c r="AN586" s="2126">
        <v>443707.13514916087</v>
      </c>
      <c r="AO586" s="1743" t="s">
        <v>85</v>
      </c>
      <c r="AP586" s="1743" t="s">
        <v>90</v>
      </c>
      <c r="AQ586" s="1764" t="s">
        <v>108</v>
      </c>
      <c r="AR586" s="1743" t="s">
        <v>87</v>
      </c>
      <c r="AS586" s="2135"/>
      <c r="AT586" s="2135"/>
      <c r="AU586" s="1212"/>
      <c r="AV586" s="1212">
        <v>0.5</v>
      </c>
      <c r="AW586" s="1212">
        <v>0.5</v>
      </c>
      <c r="AX586" s="1212"/>
      <c r="AY586" s="1212"/>
      <c r="AZ586" s="1212"/>
      <c r="BA586" s="1212"/>
      <c r="BB586" s="1212"/>
      <c r="BC586" s="1212"/>
      <c r="BD586" s="1212"/>
      <c r="BE586" s="1212"/>
      <c r="BF586" s="2126">
        <v>0</v>
      </c>
      <c r="BG586" s="2126">
        <v>0</v>
      </c>
      <c r="BH586" s="2126">
        <v>0</v>
      </c>
      <c r="BI586" s="2126">
        <v>221853.56757458043</v>
      </c>
      <c r="BJ586" s="2126">
        <v>221853.56757458043</v>
      </c>
      <c r="BK586" s="2126">
        <v>0</v>
      </c>
      <c r="BL586" s="2126">
        <v>0</v>
      </c>
      <c r="BM586" s="2126">
        <v>0</v>
      </c>
      <c r="BN586" s="2126">
        <v>0</v>
      </c>
      <c r="BO586" s="2126">
        <v>0</v>
      </c>
      <c r="BP586" s="2126">
        <v>0</v>
      </c>
      <c r="BQ586" s="2126">
        <v>0</v>
      </c>
      <c r="BR586" s="2126">
        <v>0</v>
      </c>
    </row>
    <row r="587" spans="1:70" s="1765" customFormat="1" ht="66">
      <c r="A587" s="1272">
        <v>3000</v>
      </c>
      <c r="B587" s="971" t="s">
        <v>1072</v>
      </c>
      <c r="C587" s="1272">
        <v>3100</v>
      </c>
      <c r="D587" s="971" t="s">
        <v>120</v>
      </c>
      <c r="E587" s="971">
        <v>3130</v>
      </c>
      <c r="F587" s="971" t="s">
        <v>148</v>
      </c>
      <c r="G587" s="971">
        <v>3130</v>
      </c>
      <c r="H587" s="971" t="s">
        <v>148</v>
      </c>
      <c r="I587" s="1273"/>
      <c r="J587" s="971"/>
      <c r="K587" s="971" t="s">
        <v>1269</v>
      </c>
      <c r="L587" s="971" t="s">
        <v>2804</v>
      </c>
      <c r="M587" s="971" t="s">
        <v>1269</v>
      </c>
      <c r="N587" s="971" t="s">
        <v>83</v>
      </c>
      <c r="O587" s="971" t="s">
        <v>1270</v>
      </c>
      <c r="P587" s="971"/>
      <c r="Q587" s="971" t="s">
        <v>1271</v>
      </c>
      <c r="R587" s="1266"/>
      <c r="S587" s="2106">
        <v>157012</v>
      </c>
      <c r="T587" s="1266" t="s">
        <v>136</v>
      </c>
      <c r="U587" s="1742">
        <v>1.9037824944690262E-2</v>
      </c>
      <c r="V587" s="1742">
        <v>0.21937499999999999</v>
      </c>
      <c r="W587" s="1742">
        <v>1.6779938906249998</v>
      </c>
      <c r="X587" s="1742">
        <v>0.60227676866319435</v>
      </c>
      <c r="Y587" s="2106">
        <v>2.4974135186631941</v>
      </c>
      <c r="Z587" s="2106">
        <v>2989.1669702157074</v>
      </c>
      <c r="AA587" s="2106">
        <v>34444.5075</v>
      </c>
      <c r="AB587" s="2106">
        <v>263465.17675481248</v>
      </c>
      <c r="AC587" s="2106">
        <v>94564.680001345478</v>
      </c>
      <c r="AD587" s="1744">
        <v>392474.36425615795</v>
      </c>
      <c r="AE587" s="2126">
        <v>0</v>
      </c>
      <c r="AF587" s="2126">
        <v>0</v>
      </c>
      <c r="AG587" s="1212">
        <v>1</v>
      </c>
      <c r="AH587" s="1212">
        <v>0</v>
      </c>
      <c r="AI587" s="1212">
        <v>0</v>
      </c>
      <c r="AJ587" s="1212">
        <v>1</v>
      </c>
      <c r="AK587" s="2126">
        <v>392474.36425615795</v>
      </c>
      <c r="AL587" s="2126">
        <v>0</v>
      </c>
      <c r="AM587" s="2126">
        <v>0</v>
      </c>
      <c r="AN587" s="2126">
        <v>392474.36425615795</v>
      </c>
      <c r="AO587" s="1743" t="s">
        <v>85</v>
      </c>
      <c r="AP587" s="1743" t="s">
        <v>1167</v>
      </c>
      <c r="AQ587" s="1764">
        <v>2014</v>
      </c>
      <c r="AR587" s="1743" t="s">
        <v>87</v>
      </c>
      <c r="AS587" s="2135"/>
      <c r="AT587" s="2135"/>
      <c r="AU587" s="1212">
        <v>0.5</v>
      </c>
      <c r="AV587" s="1212">
        <v>0.5</v>
      </c>
      <c r="AW587" s="1212"/>
      <c r="AX587" s="1212"/>
      <c r="AY587" s="1212"/>
      <c r="AZ587" s="1212"/>
      <c r="BA587" s="1212"/>
      <c r="BB587" s="1212"/>
      <c r="BC587" s="1212"/>
      <c r="BD587" s="1212"/>
      <c r="BE587" s="1212"/>
      <c r="BF587" s="2126">
        <v>0</v>
      </c>
      <c r="BG587" s="2126">
        <v>0</v>
      </c>
      <c r="BH587" s="2126">
        <v>196237.18212807897</v>
      </c>
      <c r="BI587" s="2126">
        <v>196237.18212807897</v>
      </c>
      <c r="BJ587" s="2126">
        <v>0</v>
      </c>
      <c r="BK587" s="2126">
        <v>0</v>
      </c>
      <c r="BL587" s="2126">
        <v>0</v>
      </c>
      <c r="BM587" s="2126">
        <v>0</v>
      </c>
      <c r="BN587" s="2126">
        <v>0</v>
      </c>
      <c r="BO587" s="2126">
        <v>0</v>
      </c>
      <c r="BP587" s="2126">
        <v>0</v>
      </c>
      <c r="BQ587" s="2126">
        <v>0</v>
      </c>
      <c r="BR587" s="2126">
        <v>0</v>
      </c>
    </row>
    <row r="588" spans="1:70" s="1765" customFormat="1" ht="66">
      <c r="A588" s="1272">
        <v>3000</v>
      </c>
      <c r="B588" s="971" t="s">
        <v>1072</v>
      </c>
      <c r="C588" s="1272">
        <v>3100</v>
      </c>
      <c r="D588" s="971" t="s">
        <v>120</v>
      </c>
      <c r="E588" s="971">
        <v>3130</v>
      </c>
      <c r="F588" s="971" t="s">
        <v>148</v>
      </c>
      <c r="G588" s="971">
        <v>3130</v>
      </c>
      <c r="H588" s="971" t="s">
        <v>148</v>
      </c>
      <c r="I588" s="1273"/>
      <c r="J588" s="971"/>
      <c r="K588" s="971" t="s">
        <v>1269</v>
      </c>
      <c r="L588" s="971" t="s">
        <v>2804</v>
      </c>
      <c r="M588" s="971" t="s">
        <v>1269</v>
      </c>
      <c r="N588" s="971" t="s">
        <v>83</v>
      </c>
      <c r="O588" s="971" t="s">
        <v>1270</v>
      </c>
      <c r="P588" s="971"/>
      <c r="Q588" s="971" t="s">
        <v>1272</v>
      </c>
      <c r="R588" s="1266"/>
      <c r="S588" s="2106">
        <v>0</v>
      </c>
      <c r="T588" s="1266" t="s">
        <v>136</v>
      </c>
      <c r="U588" s="1742">
        <v>1.9037824944690262E-2</v>
      </c>
      <c r="V588" s="1742">
        <v>0.21937499999999999</v>
      </c>
      <c r="W588" s="1742">
        <v>1.6779938906249998</v>
      </c>
      <c r="X588" s="1742">
        <v>0.60227676866319435</v>
      </c>
      <c r="Y588" s="2106">
        <v>2.4974135186631941</v>
      </c>
      <c r="Z588" s="2106">
        <v>0</v>
      </c>
      <c r="AA588" s="2106">
        <v>0</v>
      </c>
      <c r="AB588" s="2106">
        <v>0</v>
      </c>
      <c r="AC588" s="2106">
        <v>0</v>
      </c>
      <c r="AD588" s="1744">
        <v>0</v>
      </c>
      <c r="AE588" s="2126">
        <v>0</v>
      </c>
      <c r="AF588" s="2126">
        <v>0</v>
      </c>
      <c r="AG588" s="1212">
        <v>1</v>
      </c>
      <c r="AH588" s="1212">
        <v>0</v>
      </c>
      <c r="AI588" s="1212">
        <v>0</v>
      </c>
      <c r="AJ588" s="1212">
        <v>1</v>
      </c>
      <c r="AK588" s="2126">
        <v>0</v>
      </c>
      <c r="AL588" s="2126">
        <v>0</v>
      </c>
      <c r="AM588" s="2126">
        <v>0</v>
      </c>
      <c r="AN588" s="2126">
        <v>0</v>
      </c>
      <c r="AO588" s="1743" t="s">
        <v>85</v>
      </c>
      <c r="AP588" s="1743" t="s">
        <v>96</v>
      </c>
      <c r="AQ588" s="1764">
        <v>2014</v>
      </c>
      <c r="AR588" s="1743" t="s">
        <v>87</v>
      </c>
      <c r="AS588" s="2135"/>
      <c r="AT588" s="2135"/>
      <c r="AU588" s="1212">
        <v>0.5</v>
      </c>
      <c r="AV588" s="1212">
        <v>0.5</v>
      </c>
      <c r="AW588" s="1212"/>
      <c r="AX588" s="1212"/>
      <c r="AY588" s="1212"/>
      <c r="AZ588" s="1212"/>
      <c r="BA588" s="1212"/>
      <c r="BB588" s="1212"/>
      <c r="BC588" s="1212"/>
      <c r="BD588" s="1212"/>
      <c r="BE588" s="1212"/>
      <c r="BF588" s="2126">
        <v>0</v>
      </c>
      <c r="BG588" s="2126">
        <v>0</v>
      </c>
      <c r="BH588" s="2126">
        <v>0</v>
      </c>
      <c r="BI588" s="2126">
        <v>0</v>
      </c>
      <c r="BJ588" s="2126">
        <v>0</v>
      </c>
      <c r="BK588" s="2126">
        <v>0</v>
      </c>
      <c r="BL588" s="2126">
        <v>0</v>
      </c>
      <c r="BM588" s="2126">
        <v>0</v>
      </c>
      <c r="BN588" s="2126">
        <v>0</v>
      </c>
      <c r="BO588" s="2126">
        <v>0</v>
      </c>
      <c r="BP588" s="2126">
        <v>0</v>
      </c>
      <c r="BQ588" s="2126">
        <v>0</v>
      </c>
      <c r="BR588" s="2126">
        <v>0</v>
      </c>
    </row>
    <row r="589" spans="1:70" s="1765" customFormat="1" ht="66">
      <c r="A589" s="1272">
        <v>3000</v>
      </c>
      <c r="B589" s="971" t="s">
        <v>1072</v>
      </c>
      <c r="C589" s="1272">
        <v>3100</v>
      </c>
      <c r="D589" s="971" t="s">
        <v>120</v>
      </c>
      <c r="E589" s="971">
        <v>3130</v>
      </c>
      <c r="F589" s="971" t="s">
        <v>148</v>
      </c>
      <c r="G589" s="971">
        <v>3130</v>
      </c>
      <c r="H589" s="971" t="s">
        <v>148</v>
      </c>
      <c r="I589" s="1273"/>
      <c r="J589" s="971"/>
      <c r="K589" s="971" t="s">
        <v>1269</v>
      </c>
      <c r="L589" s="971" t="s">
        <v>2804</v>
      </c>
      <c r="M589" s="971" t="s">
        <v>1269</v>
      </c>
      <c r="N589" s="971" t="s">
        <v>83</v>
      </c>
      <c r="O589" s="971" t="s">
        <v>1270</v>
      </c>
      <c r="P589" s="971"/>
      <c r="Q589" s="971" t="s">
        <v>1274</v>
      </c>
      <c r="R589" s="1266"/>
      <c r="S589" s="2106">
        <v>1000</v>
      </c>
      <c r="T589" s="1266" t="s">
        <v>136</v>
      </c>
      <c r="U589" s="1742">
        <v>1.9037824944690262E-2</v>
      </c>
      <c r="V589" s="1742">
        <v>0.21937499999999999</v>
      </c>
      <c r="W589" s="1742">
        <v>1.6779938906249998</v>
      </c>
      <c r="X589" s="1742">
        <v>0.60227676866319435</v>
      </c>
      <c r="Y589" s="2106">
        <v>2.4974135186631941</v>
      </c>
      <c r="Z589" s="2106">
        <v>19.037824944690261</v>
      </c>
      <c r="AA589" s="2106">
        <v>219.375</v>
      </c>
      <c r="AB589" s="2106">
        <v>1677.9938906249997</v>
      </c>
      <c r="AC589" s="2106">
        <v>602.27676866319439</v>
      </c>
      <c r="AD589" s="1744">
        <v>2499.6456592881941</v>
      </c>
      <c r="AE589" s="2126">
        <v>0</v>
      </c>
      <c r="AF589" s="2126">
        <v>0</v>
      </c>
      <c r="AG589" s="1212">
        <v>1</v>
      </c>
      <c r="AH589" s="1212">
        <v>0</v>
      </c>
      <c r="AI589" s="1212">
        <v>0</v>
      </c>
      <c r="AJ589" s="1212">
        <v>1</v>
      </c>
      <c r="AK589" s="2126">
        <v>2499.6456592881941</v>
      </c>
      <c r="AL589" s="2126">
        <v>0</v>
      </c>
      <c r="AM589" s="2126">
        <v>0</v>
      </c>
      <c r="AN589" s="2126">
        <v>2499.6456592881941</v>
      </c>
      <c r="AO589" s="1743" t="s">
        <v>85</v>
      </c>
      <c r="AP589" s="1743" t="s">
        <v>90</v>
      </c>
      <c r="AQ589" s="1764">
        <v>2017</v>
      </c>
      <c r="AR589" s="1743" t="s">
        <v>87</v>
      </c>
      <c r="AS589" s="2135"/>
      <c r="AT589" s="2135"/>
      <c r="AU589" s="1212">
        <v>0.5</v>
      </c>
      <c r="AV589" s="1212">
        <v>0.5</v>
      </c>
      <c r="AW589" s="1212"/>
      <c r="AX589" s="1212"/>
      <c r="AY589" s="1212"/>
      <c r="AZ589" s="1212"/>
      <c r="BA589" s="1212"/>
      <c r="BB589" s="1212"/>
      <c r="BC589" s="1212"/>
      <c r="BD589" s="1212"/>
      <c r="BE589" s="1212"/>
      <c r="BF589" s="2126">
        <v>0</v>
      </c>
      <c r="BG589" s="2126">
        <v>0</v>
      </c>
      <c r="BH589" s="2126">
        <v>1249.8228296440971</v>
      </c>
      <c r="BI589" s="2126">
        <v>1249.8228296440971</v>
      </c>
      <c r="BJ589" s="2126">
        <v>0</v>
      </c>
      <c r="BK589" s="2126">
        <v>0</v>
      </c>
      <c r="BL589" s="2126">
        <v>0</v>
      </c>
      <c r="BM589" s="2126">
        <v>0</v>
      </c>
      <c r="BN589" s="2126">
        <v>0</v>
      </c>
      <c r="BO589" s="2126">
        <v>0</v>
      </c>
      <c r="BP589" s="2126">
        <v>0</v>
      </c>
      <c r="BQ589" s="2126">
        <v>0</v>
      </c>
      <c r="BR589" s="2126">
        <v>0</v>
      </c>
    </row>
    <row r="590" spans="1:70" s="1765" customFormat="1" ht="66">
      <c r="A590" s="1272">
        <v>3000</v>
      </c>
      <c r="B590" s="971" t="s">
        <v>1072</v>
      </c>
      <c r="C590" s="1272">
        <v>3100</v>
      </c>
      <c r="D590" s="971" t="s">
        <v>120</v>
      </c>
      <c r="E590" s="971">
        <v>3130</v>
      </c>
      <c r="F590" s="971" t="s">
        <v>148</v>
      </c>
      <c r="G590" s="971">
        <v>3130</v>
      </c>
      <c r="H590" s="971" t="s">
        <v>148</v>
      </c>
      <c r="I590" s="1273"/>
      <c r="J590" s="971"/>
      <c r="K590" s="971" t="s">
        <v>1269</v>
      </c>
      <c r="L590" s="971" t="s">
        <v>2804</v>
      </c>
      <c r="M590" s="971" t="s">
        <v>1269</v>
      </c>
      <c r="N590" s="971" t="s">
        <v>83</v>
      </c>
      <c r="O590" s="971" t="s">
        <v>1270</v>
      </c>
      <c r="P590" s="971"/>
      <c r="Q590" s="971" t="s">
        <v>1275</v>
      </c>
      <c r="R590" s="1266"/>
      <c r="S590" s="2106">
        <v>1500</v>
      </c>
      <c r="T590" s="1266" t="s">
        <v>136</v>
      </c>
      <c r="U590" s="1742">
        <v>1.9037824944690262E-2</v>
      </c>
      <c r="V590" s="1742">
        <v>0.21937499999999999</v>
      </c>
      <c r="W590" s="1742">
        <v>1.6779938906249998</v>
      </c>
      <c r="X590" s="1742">
        <v>0.60227676866319435</v>
      </c>
      <c r="Y590" s="2106">
        <v>2.4974135186631941</v>
      </c>
      <c r="Z590" s="2106">
        <v>28.556737417035393</v>
      </c>
      <c r="AA590" s="2106">
        <v>329.0625</v>
      </c>
      <c r="AB590" s="2106">
        <v>2516.9908359374999</v>
      </c>
      <c r="AC590" s="2106">
        <v>903.41515299479147</v>
      </c>
      <c r="AD590" s="1744">
        <v>3749.4684889322916</v>
      </c>
      <c r="AE590" s="2126">
        <v>0</v>
      </c>
      <c r="AF590" s="2126">
        <v>0</v>
      </c>
      <c r="AG590" s="1212">
        <v>1</v>
      </c>
      <c r="AH590" s="1212">
        <v>0</v>
      </c>
      <c r="AI590" s="1212">
        <v>0</v>
      </c>
      <c r="AJ590" s="1212">
        <v>1</v>
      </c>
      <c r="AK590" s="2126">
        <v>3749.4684889322916</v>
      </c>
      <c r="AL590" s="2126">
        <v>0</v>
      </c>
      <c r="AM590" s="2126">
        <v>0</v>
      </c>
      <c r="AN590" s="2126">
        <v>3749.4684889322916</v>
      </c>
      <c r="AO590" s="1743" t="s">
        <v>85</v>
      </c>
      <c r="AP590" s="1743" t="s">
        <v>90</v>
      </c>
      <c r="AQ590" s="1764" t="s">
        <v>103</v>
      </c>
      <c r="AR590" s="1743" t="s">
        <v>87</v>
      </c>
      <c r="AS590" s="2135"/>
      <c r="AT590" s="2135"/>
      <c r="AU590" s="1212">
        <v>0.5</v>
      </c>
      <c r="AV590" s="1212">
        <v>0.5</v>
      </c>
      <c r="AW590" s="1212"/>
      <c r="AX590" s="1212"/>
      <c r="AY590" s="1212"/>
      <c r="AZ590" s="1212"/>
      <c r="BA590" s="1212"/>
      <c r="BB590" s="1212"/>
      <c r="BC590" s="1212"/>
      <c r="BD590" s="1212"/>
      <c r="BE590" s="1212"/>
      <c r="BF590" s="2126">
        <v>0</v>
      </c>
      <c r="BG590" s="2126">
        <v>0</v>
      </c>
      <c r="BH590" s="2126">
        <v>1874.7342444661458</v>
      </c>
      <c r="BI590" s="2126">
        <v>1874.7342444661458</v>
      </c>
      <c r="BJ590" s="2126">
        <v>0</v>
      </c>
      <c r="BK590" s="2126">
        <v>0</v>
      </c>
      <c r="BL590" s="2126">
        <v>0</v>
      </c>
      <c r="BM590" s="2126">
        <v>0</v>
      </c>
      <c r="BN590" s="2126">
        <v>0</v>
      </c>
      <c r="BO590" s="2126">
        <v>0</v>
      </c>
      <c r="BP590" s="2126">
        <v>0</v>
      </c>
      <c r="BQ590" s="2126">
        <v>0</v>
      </c>
      <c r="BR590" s="2126">
        <v>0</v>
      </c>
    </row>
    <row r="591" spans="1:70" s="1765" customFormat="1" ht="66">
      <c r="A591" s="1272">
        <v>3000</v>
      </c>
      <c r="B591" s="971" t="s">
        <v>1072</v>
      </c>
      <c r="C591" s="1272">
        <v>3100</v>
      </c>
      <c r="D591" s="971" t="s">
        <v>120</v>
      </c>
      <c r="E591" s="971">
        <v>3130</v>
      </c>
      <c r="F591" s="971" t="s">
        <v>148</v>
      </c>
      <c r="G591" s="971">
        <v>3130</v>
      </c>
      <c r="H591" s="971" t="s">
        <v>148</v>
      </c>
      <c r="I591" s="1273"/>
      <c r="J591" s="971"/>
      <c r="K591" s="971" t="s">
        <v>1269</v>
      </c>
      <c r="L591" s="971" t="s">
        <v>2804</v>
      </c>
      <c r="M591" s="971" t="s">
        <v>1269</v>
      </c>
      <c r="N591" s="971" t="s">
        <v>83</v>
      </c>
      <c r="O591" s="971" t="s">
        <v>1270</v>
      </c>
      <c r="P591" s="971"/>
      <c r="Q591" s="971" t="s">
        <v>1272</v>
      </c>
      <c r="R591" s="1266"/>
      <c r="S591" s="2106">
        <v>105359</v>
      </c>
      <c r="T591" s="1266" t="s">
        <v>136</v>
      </c>
      <c r="U591" s="1742">
        <v>1.9037824944690262E-2</v>
      </c>
      <c r="V591" s="1742">
        <v>0.21937499999999999</v>
      </c>
      <c r="W591" s="1742">
        <v>1.6779938906249998</v>
      </c>
      <c r="X591" s="1742">
        <v>0.60227676866319435</v>
      </c>
      <c r="Y591" s="2106">
        <v>2.4974135186631941</v>
      </c>
      <c r="Z591" s="2106">
        <v>2005.8061983476214</v>
      </c>
      <c r="AA591" s="2106">
        <v>23113.130624999998</v>
      </c>
      <c r="AB591" s="2106">
        <v>176791.75832235935</v>
      </c>
      <c r="AC591" s="2106">
        <v>63455.278069585496</v>
      </c>
      <c r="AD591" s="1744">
        <v>263124.99091283546</v>
      </c>
      <c r="AE591" s="2126">
        <v>0</v>
      </c>
      <c r="AF591" s="2126">
        <v>0</v>
      </c>
      <c r="AG591" s="1212">
        <v>1</v>
      </c>
      <c r="AH591" s="1212">
        <v>0</v>
      </c>
      <c r="AI591" s="1212">
        <v>0</v>
      </c>
      <c r="AJ591" s="1212">
        <v>1</v>
      </c>
      <c r="AK591" s="2126">
        <v>263124.99091283546</v>
      </c>
      <c r="AL591" s="2126">
        <v>0</v>
      </c>
      <c r="AM591" s="2126">
        <v>0</v>
      </c>
      <c r="AN591" s="2126">
        <v>263124.99091283546</v>
      </c>
      <c r="AO591" s="1743" t="s">
        <v>85</v>
      </c>
      <c r="AP591" s="1743" t="s">
        <v>90</v>
      </c>
      <c r="AQ591" s="1764" t="s">
        <v>108</v>
      </c>
      <c r="AR591" s="1743" t="s">
        <v>87</v>
      </c>
      <c r="AS591" s="2135"/>
      <c r="AT591" s="2135"/>
      <c r="AU591" s="1212">
        <v>0.5</v>
      </c>
      <c r="AV591" s="1212">
        <v>0.5</v>
      </c>
      <c r="AW591" s="1212"/>
      <c r="AX591" s="1212"/>
      <c r="AY591" s="1212"/>
      <c r="AZ591" s="1212"/>
      <c r="BA591" s="1212"/>
      <c r="BB591" s="1212"/>
      <c r="BC591" s="1212"/>
      <c r="BD591" s="1212"/>
      <c r="BE591" s="1212"/>
      <c r="BF591" s="2126">
        <v>0</v>
      </c>
      <c r="BG591" s="2126">
        <v>0</v>
      </c>
      <c r="BH591" s="2126">
        <v>131562.49545641773</v>
      </c>
      <c r="BI591" s="2126">
        <v>131562.49545641773</v>
      </c>
      <c r="BJ591" s="2126">
        <v>0</v>
      </c>
      <c r="BK591" s="2126">
        <v>0</v>
      </c>
      <c r="BL591" s="2126">
        <v>0</v>
      </c>
      <c r="BM591" s="2126">
        <v>0</v>
      </c>
      <c r="BN591" s="2126">
        <v>0</v>
      </c>
      <c r="BO591" s="2126">
        <v>0</v>
      </c>
      <c r="BP591" s="2126">
        <v>0</v>
      </c>
      <c r="BQ591" s="2126">
        <v>0</v>
      </c>
      <c r="BR591" s="2126">
        <v>0</v>
      </c>
    </row>
    <row r="592" spans="1:70" s="1765" customFormat="1" ht="33">
      <c r="A592" s="1272">
        <v>3000</v>
      </c>
      <c r="B592" s="971" t="s">
        <v>1072</v>
      </c>
      <c r="C592" s="1272">
        <v>3100</v>
      </c>
      <c r="D592" s="971" t="s">
        <v>120</v>
      </c>
      <c r="E592" s="971">
        <v>3130</v>
      </c>
      <c r="F592" s="971" t="s">
        <v>148</v>
      </c>
      <c r="G592" s="971">
        <v>3138</v>
      </c>
      <c r="H592" s="971" t="s">
        <v>1276</v>
      </c>
      <c r="I592" s="1273"/>
      <c r="J592" s="971" t="s">
        <v>121</v>
      </c>
      <c r="K592" s="971" t="s">
        <v>150</v>
      </c>
      <c r="L592" s="971" t="s">
        <v>2800</v>
      </c>
      <c r="M592" s="971" t="s">
        <v>80</v>
      </c>
      <c r="N592" s="971" t="s">
        <v>83</v>
      </c>
      <c r="O592" s="971" t="s">
        <v>151</v>
      </c>
      <c r="P592" s="971" t="s">
        <v>152</v>
      </c>
      <c r="Q592" s="971" t="s">
        <v>1276</v>
      </c>
      <c r="R592" s="1266"/>
      <c r="S592" s="2106"/>
      <c r="T592" s="1266" t="s">
        <v>136</v>
      </c>
      <c r="U592" s="1742">
        <v>1.2691883296460175E-2</v>
      </c>
      <c r="V592" s="1742">
        <v>0.14624999999999999</v>
      </c>
      <c r="W592" s="1742">
        <v>1.1186625937499999</v>
      </c>
      <c r="X592" s="1742">
        <v>0.4015178457754629</v>
      </c>
      <c r="Y592" s="2106">
        <v>1.6649423457754629</v>
      </c>
      <c r="Z592" s="2106">
        <v>0</v>
      </c>
      <c r="AA592" s="2106">
        <v>0</v>
      </c>
      <c r="AB592" s="2106">
        <v>0</v>
      </c>
      <c r="AC592" s="2106">
        <v>0</v>
      </c>
      <c r="AD592" s="1744">
        <v>0</v>
      </c>
      <c r="AE592" s="2126">
        <v>0</v>
      </c>
      <c r="AF592" s="2126">
        <v>0</v>
      </c>
      <c r="AG592" s="1212">
        <v>1</v>
      </c>
      <c r="AH592" s="1212">
        <v>0</v>
      </c>
      <c r="AI592" s="1212">
        <v>0</v>
      </c>
      <c r="AJ592" s="1212">
        <v>1</v>
      </c>
      <c r="AK592" s="2126">
        <v>0</v>
      </c>
      <c r="AL592" s="2126">
        <v>0</v>
      </c>
      <c r="AM592" s="2126">
        <v>0</v>
      </c>
      <c r="AN592" s="2126">
        <v>0</v>
      </c>
      <c r="AO592" s="1743" t="s">
        <v>85</v>
      </c>
      <c r="AP592" s="1743" t="s">
        <v>96</v>
      </c>
      <c r="AQ592" s="1764">
        <v>2014</v>
      </c>
      <c r="AR592" s="1743" t="s">
        <v>87</v>
      </c>
      <c r="AS592" s="2135"/>
      <c r="AT592" s="2135"/>
      <c r="AU592" s="1212">
        <v>0.5</v>
      </c>
      <c r="AV592" s="1212">
        <v>0.5</v>
      </c>
      <c r="AW592" s="1212"/>
      <c r="AX592" s="1212"/>
      <c r="AY592" s="1212"/>
      <c r="AZ592" s="1212"/>
      <c r="BA592" s="1212"/>
      <c r="BB592" s="1212"/>
      <c r="BC592" s="1212"/>
      <c r="BD592" s="1212"/>
      <c r="BE592" s="1212"/>
      <c r="BF592" s="2126">
        <v>0</v>
      </c>
      <c r="BG592" s="2126">
        <v>0</v>
      </c>
      <c r="BH592" s="2126">
        <v>0</v>
      </c>
      <c r="BI592" s="2126">
        <v>0</v>
      </c>
      <c r="BJ592" s="2126">
        <v>0</v>
      </c>
      <c r="BK592" s="2126">
        <v>0</v>
      </c>
      <c r="BL592" s="2126">
        <v>0</v>
      </c>
      <c r="BM592" s="2126">
        <v>0</v>
      </c>
      <c r="BN592" s="2126">
        <v>0</v>
      </c>
      <c r="BO592" s="2126">
        <v>0</v>
      </c>
      <c r="BP592" s="2126">
        <v>0</v>
      </c>
      <c r="BQ592" s="2126">
        <v>0</v>
      </c>
      <c r="BR592" s="2126">
        <v>0</v>
      </c>
    </row>
    <row r="593" spans="1:70" s="1765" customFormat="1" ht="33">
      <c r="A593" s="1272">
        <v>3000</v>
      </c>
      <c r="B593" s="971" t="s">
        <v>1072</v>
      </c>
      <c r="C593" s="1272">
        <v>3100</v>
      </c>
      <c r="D593" s="971" t="s">
        <v>120</v>
      </c>
      <c r="E593" s="971">
        <v>3130</v>
      </c>
      <c r="F593" s="971" t="s">
        <v>148</v>
      </c>
      <c r="G593" s="971">
        <v>3138</v>
      </c>
      <c r="H593" s="971" t="s">
        <v>1276</v>
      </c>
      <c r="I593" s="1273"/>
      <c r="J593" s="971" t="s">
        <v>121</v>
      </c>
      <c r="K593" s="971" t="s">
        <v>150</v>
      </c>
      <c r="L593" s="971" t="s">
        <v>2800</v>
      </c>
      <c r="M593" s="971" t="s">
        <v>80</v>
      </c>
      <c r="N593" s="971" t="s">
        <v>83</v>
      </c>
      <c r="O593" s="971" t="s">
        <v>151</v>
      </c>
      <c r="P593" s="971" t="s">
        <v>152</v>
      </c>
      <c r="Q593" s="971" t="s">
        <v>1276</v>
      </c>
      <c r="R593" s="1266"/>
      <c r="S593" s="2106">
        <v>697910.13114402897</v>
      </c>
      <c r="T593" s="1266" t="s">
        <v>136</v>
      </c>
      <c r="U593" s="1742">
        <v>1.2691883296460175E-2</v>
      </c>
      <c r="V593" s="1742">
        <v>0.14624999999999999</v>
      </c>
      <c r="W593" s="1742">
        <v>1.1186625937499999</v>
      </c>
      <c r="X593" s="1742">
        <v>0.4015178457754629</v>
      </c>
      <c r="Y593" s="2106">
        <v>1.6649423457754629</v>
      </c>
      <c r="Z593" s="2106">
        <v>8857.7939358972308</v>
      </c>
      <c r="AA593" s="2106">
        <v>102069.35667981423</v>
      </c>
      <c r="AB593" s="2106">
        <v>780725.95750998205</v>
      </c>
      <c r="AC593" s="2106">
        <v>280223.37240182131</v>
      </c>
      <c r="AD593" s="1744">
        <v>1161980.1308874006</v>
      </c>
      <c r="AE593" s="2126">
        <v>0</v>
      </c>
      <c r="AF593" s="2126">
        <v>0</v>
      </c>
      <c r="AG593" s="1212">
        <v>1</v>
      </c>
      <c r="AH593" s="1212">
        <v>0</v>
      </c>
      <c r="AI593" s="1212">
        <v>0</v>
      </c>
      <c r="AJ593" s="1212">
        <v>1</v>
      </c>
      <c r="AK593" s="2126">
        <v>1161980.1308874006</v>
      </c>
      <c r="AL593" s="2126">
        <v>0</v>
      </c>
      <c r="AM593" s="2126">
        <v>0</v>
      </c>
      <c r="AN593" s="2126">
        <v>1161980.1308874006</v>
      </c>
      <c r="AO593" s="1743" t="s">
        <v>85</v>
      </c>
      <c r="AP593" s="1743" t="s">
        <v>90</v>
      </c>
      <c r="AQ593" s="1764" t="s">
        <v>108</v>
      </c>
      <c r="AR593" s="1743" t="s">
        <v>87</v>
      </c>
      <c r="AS593" s="2135"/>
      <c r="AT593" s="2135"/>
      <c r="AU593" s="1212">
        <v>0.5</v>
      </c>
      <c r="AV593" s="1212">
        <v>0.5</v>
      </c>
      <c r="AW593" s="1212"/>
      <c r="AX593" s="1212"/>
      <c r="AY593" s="1212"/>
      <c r="AZ593" s="1212"/>
      <c r="BA593" s="1212"/>
      <c r="BB593" s="1212"/>
      <c r="BC593" s="1212"/>
      <c r="BD593" s="1212"/>
      <c r="BE593" s="1212"/>
      <c r="BF593" s="2126">
        <v>0</v>
      </c>
      <c r="BG593" s="2126">
        <v>0</v>
      </c>
      <c r="BH593" s="2126">
        <v>580990.0654437003</v>
      </c>
      <c r="BI593" s="2126">
        <v>580990.0654437003</v>
      </c>
      <c r="BJ593" s="2126">
        <v>0</v>
      </c>
      <c r="BK593" s="2126">
        <v>0</v>
      </c>
      <c r="BL593" s="2126">
        <v>0</v>
      </c>
      <c r="BM593" s="2126">
        <v>0</v>
      </c>
      <c r="BN593" s="2126">
        <v>0</v>
      </c>
      <c r="BO593" s="2126">
        <v>0</v>
      </c>
      <c r="BP593" s="2126">
        <v>0</v>
      </c>
      <c r="BQ593" s="2126">
        <v>0</v>
      </c>
      <c r="BR593" s="2126">
        <v>0</v>
      </c>
    </row>
    <row r="594" spans="1:70" s="1765" customFormat="1" ht="33">
      <c r="A594" s="1272">
        <v>3000</v>
      </c>
      <c r="B594" s="971" t="s">
        <v>1072</v>
      </c>
      <c r="C594" s="1272">
        <v>3100</v>
      </c>
      <c r="D594" s="971" t="s">
        <v>120</v>
      </c>
      <c r="E594" s="971" t="s">
        <v>1277</v>
      </c>
      <c r="F594" s="971" t="s">
        <v>1278</v>
      </c>
      <c r="G594" s="971" t="s">
        <v>1277</v>
      </c>
      <c r="H594" s="971" t="s">
        <v>1278</v>
      </c>
      <c r="I594" s="1273" t="s">
        <v>1279</v>
      </c>
      <c r="J594" s="971" t="s">
        <v>124</v>
      </c>
      <c r="K594" s="971" t="s">
        <v>125</v>
      </c>
      <c r="L594" s="971" t="s">
        <v>2868</v>
      </c>
      <c r="M594" s="971" t="s">
        <v>126</v>
      </c>
      <c r="N594" s="971" t="s">
        <v>127</v>
      </c>
      <c r="O594" s="971" t="s">
        <v>128</v>
      </c>
      <c r="P594" s="971"/>
      <c r="Q594" s="971" t="s">
        <v>1280</v>
      </c>
      <c r="R594" s="1266" t="s">
        <v>1281</v>
      </c>
      <c r="S594" s="2106">
        <v>14.869888475836431</v>
      </c>
      <c r="T594" s="1266" t="s">
        <v>136</v>
      </c>
      <c r="U594" s="1742">
        <v>0.11208333333333333</v>
      </c>
      <c r="V594" s="1742">
        <v>1.4010416666666667</v>
      </c>
      <c r="W594" s="1742">
        <v>9.8790250000000004</v>
      </c>
      <c r="X594" s="1742">
        <v>15.452929166666667</v>
      </c>
      <c r="Y594" s="2106">
        <v>26.73299583333333</v>
      </c>
      <c r="Z594" s="2106">
        <v>1.6666666666666665</v>
      </c>
      <c r="AA594" s="2106">
        <v>20.833333333333336</v>
      </c>
      <c r="AB594" s="2106">
        <v>146.9</v>
      </c>
      <c r="AC594" s="2106">
        <v>229.78333333333333</v>
      </c>
      <c r="AD594" s="1744">
        <v>397.51666666666665</v>
      </c>
      <c r="AE594" s="2126">
        <v>1</v>
      </c>
      <c r="AF594" s="2126">
        <v>14.869888475836431</v>
      </c>
      <c r="AG594" s="1212">
        <v>1</v>
      </c>
      <c r="AH594" s="1212">
        <v>0</v>
      </c>
      <c r="AI594" s="1212">
        <v>0</v>
      </c>
      <c r="AJ594" s="1212">
        <v>1</v>
      </c>
      <c r="AK594" s="2126">
        <v>397.51666666666665</v>
      </c>
      <c r="AL594" s="2126">
        <v>0</v>
      </c>
      <c r="AM594" s="2126">
        <v>0</v>
      </c>
      <c r="AN594" s="2126">
        <v>397.51666666666665</v>
      </c>
      <c r="AO594" s="1743" t="s">
        <v>85</v>
      </c>
      <c r="AP594" s="1743"/>
      <c r="AQ594" s="1764">
        <v>2014</v>
      </c>
      <c r="AR594" s="1743" t="s">
        <v>87</v>
      </c>
      <c r="AS594" s="2135"/>
      <c r="AT594" s="2135"/>
      <c r="AU594" s="1212">
        <v>0.33333333333333331</v>
      </c>
      <c r="AV594" s="1212">
        <v>0.33333333333333331</v>
      </c>
      <c r="AW594" s="1212">
        <v>0.33333333333333331</v>
      </c>
      <c r="AX594" s="1212"/>
      <c r="AY594" s="1212"/>
      <c r="AZ594" s="1212"/>
      <c r="BA594" s="1212"/>
      <c r="BB594" s="1212"/>
      <c r="BC594" s="1212"/>
      <c r="BD594" s="1212"/>
      <c r="BE594" s="1212"/>
      <c r="BF594" s="2126">
        <v>0</v>
      </c>
      <c r="BG594" s="2126">
        <v>0</v>
      </c>
      <c r="BH594" s="2126">
        <v>132.50555555555553</v>
      </c>
      <c r="BI594" s="2126">
        <v>132.50555555555553</v>
      </c>
      <c r="BJ594" s="2126">
        <v>132.50555555555553</v>
      </c>
      <c r="BK594" s="2126">
        <v>0</v>
      </c>
      <c r="BL594" s="2126">
        <v>0</v>
      </c>
      <c r="BM594" s="2126">
        <v>0</v>
      </c>
      <c r="BN594" s="2126">
        <v>0</v>
      </c>
      <c r="BO594" s="2126">
        <v>0</v>
      </c>
      <c r="BP594" s="2126">
        <v>0</v>
      </c>
      <c r="BQ594" s="2126">
        <v>0</v>
      </c>
      <c r="BR594" s="2126">
        <v>0</v>
      </c>
    </row>
    <row r="595" spans="1:70" s="1765" customFormat="1" ht="33">
      <c r="A595" s="1272">
        <v>3000</v>
      </c>
      <c r="B595" s="971" t="s">
        <v>1072</v>
      </c>
      <c r="C595" s="1272">
        <v>3100</v>
      </c>
      <c r="D595" s="971" t="s">
        <v>120</v>
      </c>
      <c r="E595" s="971" t="s">
        <v>1277</v>
      </c>
      <c r="F595" s="971" t="s">
        <v>1278</v>
      </c>
      <c r="G595" s="971" t="s">
        <v>1277</v>
      </c>
      <c r="H595" s="971" t="s">
        <v>1278</v>
      </c>
      <c r="I595" s="1273" t="s">
        <v>1282</v>
      </c>
      <c r="J595" s="971" t="s">
        <v>124</v>
      </c>
      <c r="K595" s="971" t="s">
        <v>125</v>
      </c>
      <c r="L595" s="971" t="s">
        <v>2868</v>
      </c>
      <c r="M595" s="971" t="s">
        <v>126</v>
      </c>
      <c r="N595" s="971" t="s">
        <v>127</v>
      </c>
      <c r="O595" s="971" t="s">
        <v>128</v>
      </c>
      <c r="P595" s="971"/>
      <c r="Q595" s="971" t="s">
        <v>1283</v>
      </c>
      <c r="R595" s="1266" t="s">
        <v>1284</v>
      </c>
      <c r="S595" s="2106">
        <v>14.869888475836431</v>
      </c>
      <c r="T595" s="1266" t="s">
        <v>136</v>
      </c>
      <c r="U595" s="1742">
        <v>0.11208333333333333</v>
      </c>
      <c r="V595" s="1742">
        <v>1.4010416666666667</v>
      </c>
      <c r="W595" s="1742">
        <v>9.8790250000000004</v>
      </c>
      <c r="X595" s="1742">
        <v>15.452929166666667</v>
      </c>
      <c r="Y595" s="2106">
        <v>26.73299583333333</v>
      </c>
      <c r="Z595" s="2106">
        <v>1.6666666666666665</v>
      </c>
      <c r="AA595" s="2106">
        <v>20.833333333333336</v>
      </c>
      <c r="AB595" s="2106">
        <v>146.9</v>
      </c>
      <c r="AC595" s="2106">
        <v>229.78333333333333</v>
      </c>
      <c r="AD595" s="1744">
        <v>397.51666666666665</v>
      </c>
      <c r="AE595" s="2126">
        <v>1</v>
      </c>
      <c r="AF595" s="2126">
        <v>14.869888475836431</v>
      </c>
      <c r="AG595" s="1212">
        <v>1</v>
      </c>
      <c r="AH595" s="1212">
        <v>0</v>
      </c>
      <c r="AI595" s="1212">
        <v>0</v>
      </c>
      <c r="AJ595" s="1212">
        <v>1</v>
      </c>
      <c r="AK595" s="2126">
        <v>397.51666666666665</v>
      </c>
      <c r="AL595" s="2126">
        <v>0</v>
      </c>
      <c r="AM595" s="2126">
        <v>0</v>
      </c>
      <c r="AN595" s="2126">
        <v>397.51666666666665</v>
      </c>
      <c r="AO595" s="1743" t="s">
        <v>85</v>
      </c>
      <c r="AP595" s="1743"/>
      <c r="AQ595" s="1764">
        <v>2014</v>
      </c>
      <c r="AR595" s="1743" t="s">
        <v>87</v>
      </c>
      <c r="AS595" s="2135"/>
      <c r="AT595" s="2135"/>
      <c r="AU595" s="1212">
        <v>0.33333333333333331</v>
      </c>
      <c r="AV595" s="1212">
        <v>0.33333333333333331</v>
      </c>
      <c r="AW595" s="1212">
        <v>0.33333333333333331</v>
      </c>
      <c r="AX595" s="1212"/>
      <c r="AY595" s="1212"/>
      <c r="AZ595" s="1212"/>
      <c r="BA595" s="1212"/>
      <c r="BB595" s="1212"/>
      <c r="BC595" s="1212"/>
      <c r="BD595" s="1212"/>
      <c r="BE595" s="1212"/>
      <c r="BF595" s="2126">
        <v>0</v>
      </c>
      <c r="BG595" s="2126">
        <v>0</v>
      </c>
      <c r="BH595" s="2126">
        <v>132.50555555555553</v>
      </c>
      <c r="BI595" s="2126">
        <v>132.50555555555553</v>
      </c>
      <c r="BJ595" s="2126">
        <v>132.50555555555553</v>
      </c>
      <c r="BK595" s="2126">
        <v>0</v>
      </c>
      <c r="BL595" s="2126">
        <v>0</v>
      </c>
      <c r="BM595" s="2126">
        <v>0</v>
      </c>
      <c r="BN595" s="2126">
        <v>0</v>
      </c>
      <c r="BO595" s="2126">
        <v>0</v>
      </c>
      <c r="BP595" s="2126">
        <v>0</v>
      </c>
      <c r="BQ595" s="2126">
        <v>0</v>
      </c>
      <c r="BR595" s="2126">
        <v>0</v>
      </c>
    </row>
    <row r="596" spans="1:70" s="1765" customFormat="1" ht="33">
      <c r="A596" s="1272">
        <v>3000</v>
      </c>
      <c r="B596" s="971" t="s">
        <v>1072</v>
      </c>
      <c r="C596" s="1272">
        <v>3100</v>
      </c>
      <c r="D596" s="971" t="s">
        <v>120</v>
      </c>
      <c r="E596" s="971" t="s">
        <v>1277</v>
      </c>
      <c r="F596" s="971" t="s">
        <v>1278</v>
      </c>
      <c r="G596" s="971" t="s">
        <v>1277</v>
      </c>
      <c r="H596" s="971" t="s">
        <v>1278</v>
      </c>
      <c r="I596" s="1273" t="s">
        <v>1285</v>
      </c>
      <c r="J596" s="971" t="s">
        <v>124</v>
      </c>
      <c r="K596" s="971" t="s">
        <v>125</v>
      </c>
      <c r="L596" s="971" t="s">
        <v>2868</v>
      </c>
      <c r="M596" s="971" t="s">
        <v>126</v>
      </c>
      <c r="N596" s="971" t="s">
        <v>127</v>
      </c>
      <c r="O596" s="971" t="s">
        <v>128</v>
      </c>
      <c r="P596" s="971"/>
      <c r="Q596" s="971" t="s">
        <v>1286</v>
      </c>
      <c r="R596" s="1266" t="s">
        <v>1287</v>
      </c>
      <c r="S596" s="2106">
        <v>14.869888475836431</v>
      </c>
      <c r="T596" s="1266" t="s">
        <v>136</v>
      </c>
      <c r="U596" s="1742">
        <v>0.11208333333333333</v>
      </c>
      <c r="V596" s="1742">
        <v>1.4010416666666667</v>
      </c>
      <c r="W596" s="1742">
        <v>9.8790250000000004</v>
      </c>
      <c r="X596" s="1742">
        <v>15.452929166666667</v>
      </c>
      <c r="Y596" s="2106">
        <v>26.73299583333333</v>
      </c>
      <c r="Z596" s="2106">
        <v>1.6666666666666665</v>
      </c>
      <c r="AA596" s="2106">
        <v>20.833333333333336</v>
      </c>
      <c r="AB596" s="2106">
        <v>146.9</v>
      </c>
      <c r="AC596" s="2106">
        <v>229.78333333333333</v>
      </c>
      <c r="AD596" s="1744">
        <v>397.51666666666665</v>
      </c>
      <c r="AE596" s="2126">
        <v>1</v>
      </c>
      <c r="AF596" s="2126">
        <v>14.869888475836431</v>
      </c>
      <c r="AG596" s="1212">
        <v>1</v>
      </c>
      <c r="AH596" s="1212">
        <v>0</v>
      </c>
      <c r="AI596" s="1212">
        <v>0</v>
      </c>
      <c r="AJ596" s="1212">
        <v>1</v>
      </c>
      <c r="AK596" s="2126">
        <v>397.51666666666665</v>
      </c>
      <c r="AL596" s="2126">
        <v>0</v>
      </c>
      <c r="AM596" s="2126">
        <v>0</v>
      </c>
      <c r="AN596" s="2126">
        <v>397.51666666666665</v>
      </c>
      <c r="AO596" s="1743" t="s">
        <v>85</v>
      </c>
      <c r="AP596" s="1743"/>
      <c r="AQ596" s="1764">
        <v>2014</v>
      </c>
      <c r="AR596" s="1743" t="s">
        <v>87</v>
      </c>
      <c r="AS596" s="2135"/>
      <c r="AT596" s="2135"/>
      <c r="AU596" s="1212">
        <v>0.33333333333333331</v>
      </c>
      <c r="AV596" s="1212">
        <v>0.33333333333333331</v>
      </c>
      <c r="AW596" s="1212">
        <v>0.33333333333333331</v>
      </c>
      <c r="AX596" s="1212"/>
      <c r="AY596" s="1212"/>
      <c r="AZ596" s="1212"/>
      <c r="BA596" s="1212"/>
      <c r="BB596" s="1212"/>
      <c r="BC596" s="1212"/>
      <c r="BD596" s="1212"/>
      <c r="BE596" s="1212"/>
      <c r="BF596" s="2126">
        <v>0</v>
      </c>
      <c r="BG596" s="2126">
        <v>0</v>
      </c>
      <c r="BH596" s="2126">
        <v>132.50555555555553</v>
      </c>
      <c r="BI596" s="2126">
        <v>132.50555555555553</v>
      </c>
      <c r="BJ596" s="2126">
        <v>132.50555555555553</v>
      </c>
      <c r="BK596" s="2126">
        <v>0</v>
      </c>
      <c r="BL596" s="2126">
        <v>0</v>
      </c>
      <c r="BM596" s="2126">
        <v>0</v>
      </c>
      <c r="BN596" s="2126">
        <v>0</v>
      </c>
      <c r="BO596" s="2126">
        <v>0</v>
      </c>
      <c r="BP596" s="2126">
        <v>0</v>
      </c>
      <c r="BQ596" s="2126">
        <v>0</v>
      </c>
      <c r="BR596" s="2126">
        <v>0</v>
      </c>
    </row>
    <row r="597" spans="1:70" s="1765" customFormat="1" ht="33">
      <c r="A597" s="1272">
        <v>3000</v>
      </c>
      <c r="B597" s="971" t="s">
        <v>1072</v>
      </c>
      <c r="C597" s="1272">
        <v>3100</v>
      </c>
      <c r="D597" s="971" t="s">
        <v>120</v>
      </c>
      <c r="E597" s="971" t="s">
        <v>1277</v>
      </c>
      <c r="F597" s="971" t="s">
        <v>1278</v>
      </c>
      <c r="G597" s="971" t="s">
        <v>1277</v>
      </c>
      <c r="H597" s="971" t="s">
        <v>1278</v>
      </c>
      <c r="I597" s="1273" t="s">
        <v>1288</v>
      </c>
      <c r="J597" s="971" t="s">
        <v>124</v>
      </c>
      <c r="K597" s="971" t="s">
        <v>125</v>
      </c>
      <c r="L597" s="971" t="s">
        <v>2868</v>
      </c>
      <c r="M597" s="971" t="s">
        <v>126</v>
      </c>
      <c r="N597" s="971" t="s">
        <v>127</v>
      </c>
      <c r="O597" s="971" t="s">
        <v>128</v>
      </c>
      <c r="P597" s="971"/>
      <c r="Q597" s="971" t="s">
        <v>1289</v>
      </c>
      <c r="R597" s="1266" t="s">
        <v>1290</v>
      </c>
      <c r="S597" s="2106">
        <v>14.869888475836431</v>
      </c>
      <c r="T597" s="1266" t="s">
        <v>136</v>
      </c>
      <c r="U597" s="1742">
        <v>0.11208333333333333</v>
      </c>
      <c r="V597" s="1742">
        <v>1.4010416666666667</v>
      </c>
      <c r="W597" s="1742">
        <v>9.8790250000000004</v>
      </c>
      <c r="X597" s="1742">
        <v>15.452929166666667</v>
      </c>
      <c r="Y597" s="2106">
        <v>26.73299583333333</v>
      </c>
      <c r="Z597" s="2106">
        <v>1.6666666666666665</v>
      </c>
      <c r="AA597" s="2106">
        <v>20.833333333333336</v>
      </c>
      <c r="AB597" s="2106">
        <v>146.9</v>
      </c>
      <c r="AC597" s="2106">
        <v>229.78333333333333</v>
      </c>
      <c r="AD597" s="1744">
        <v>397.51666666666665</v>
      </c>
      <c r="AE597" s="2126">
        <v>1</v>
      </c>
      <c r="AF597" s="2126">
        <v>14.869888475836431</v>
      </c>
      <c r="AG597" s="1212">
        <v>1</v>
      </c>
      <c r="AH597" s="1212">
        <v>0</v>
      </c>
      <c r="AI597" s="1212">
        <v>0</v>
      </c>
      <c r="AJ597" s="1212">
        <v>1</v>
      </c>
      <c r="AK597" s="2126">
        <v>397.51666666666665</v>
      </c>
      <c r="AL597" s="2126">
        <v>0</v>
      </c>
      <c r="AM597" s="2126">
        <v>0</v>
      </c>
      <c r="AN597" s="2126">
        <v>397.51666666666665</v>
      </c>
      <c r="AO597" s="1743" t="s">
        <v>85</v>
      </c>
      <c r="AP597" s="1743"/>
      <c r="AQ597" s="1764">
        <v>2014</v>
      </c>
      <c r="AR597" s="1743" t="s">
        <v>87</v>
      </c>
      <c r="AS597" s="2135"/>
      <c r="AT597" s="2135"/>
      <c r="AU597" s="1212">
        <v>0.33333333333333331</v>
      </c>
      <c r="AV597" s="1212">
        <v>0.33333333333333331</v>
      </c>
      <c r="AW597" s="1212">
        <v>0.33333333333333331</v>
      </c>
      <c r="AX597" s="1212"/>
      <c r="AY597" s="1212"/>
      <c r="AZ597" s="1212"/>
      <c r="BA597" s="1212"/>
      <c r="BB597" s="1212"/>
      <c r="BC597" s="1212"/>
      <c r="BD597" s="1212"/>
      <c r="BE597" s="1212"/>
      <c r="BF597" s="2126">
        <v>0</v>
      </c>
      <c r="BG597" s="2126">
        <v>0</v>
      </c>
      <c r="BH597" s="2126">
        <v>132.50555555555553</v>
      </c>
      <c r="BI597" s="2126">
        <v>132.50555555555553</v>
      </c>
      <c r="BJ597" s="2126">
        <v>132.50555555555553</v>
      </c>
      <c r="BK597" s="2126">
        <v>0</v>
      </c>
      <c r="BL597" s="2126">
        <v>0</v>
      </c>
      <c r="BM597" s="2126">
        <v>0</v>
      </c>
      <c r="BN597" s="2126">
        <v>0</v>
      </c>
      <c r="BO597" s="2126">
        <v>0</v>
      </c>
      <c r="BP597" s="2126">
        <v>0</v>
      </c>
      <c r="BQ597" s="2126">
        <v>0</v>
      </c>
      <c r="BR597" s="2126">
        <v>0</v>
      </c>
    </row>
    <row r="598" spans="1:70" s="1765" customFormat="1" ht="33">
      <c r="A598" s="1272">
        <v>3000</v>
      </c>
      <c r="B598" s="971" t="s">
        <v>1072</v>
      </c>
      <c r="C598" s="1272">
        <v>3100</v>
      </c>
      <c r="D598" s="971" t="s">
        <v>120</v>
      </c>
      <c r="E598" s="971" t="s">
        <v>1277</v>
      </c>
      <c r="F598" s="971" t="s">
        <v>1278</v>
      </c>
      <c r="G598" s="971" t="s">
        <v>1277</v>
      </c>
      <c r="H598" s="971" t="s">
        <v>1278</v>
      </c>
      <c r="I598" s="1273" t="s">
        <v>1291</v>
      </c>
      <c r="J598" s="971" t="s">
        <v>124</v>
      </c>
      <c r="K598" s="971" t="s">
        <v>145</v>
      </c>
      <c r="L598" s="971" t="s">
        <v>2871</v>
      </c>
      <c r="M598" s="971" t="s">
        <v>556</v>
      </c>
      <c r="N598" s="971" t="s">
        <v>141</v>
      </c>
      <c r="O598" s="971" t="s">
        <v>557</v>
      </c>
      <c r="P598" s="971"/>
      <c r="Q598" s="971" t="s">
        <v>1292</v>
      </c>
      <c r="R598" s="1266" t="s">
        <v>1281</v>
      </c>
      <c r="S598" s="2106">
        <v>14.869888475836431</v>
      </c>
      <c r="T598" s="1266" t="s">
        <v>136</v>
      </c>
      <c r="U598" s="1742">
        <v>0.12329166666666667</v>
      </c>
      <c r="V598" s="1742">
        <v>0.98072916666666676</v>
      </c>
      <c r="W598" s="1742">
        <v>6.9153175000000005</v>
      </c>
      <c r="X598" s="1742">
        <v>10.817050416666667</v>
      </c>
      <c r="Y598" s="2106">
        <v>18.713097083333334</v>
      </c>
      <c r="Z598" s="2106">
        <v>1.8333333333333335</v>
      </c>
      <c r="AA598" s="2106">
        <v>14.583333333333334</v>
      </c>
      <c r="AB598" s="2106">
        <v>102.83000000000001</v>
      </c>
      <c r="AC598" s="2106">
        <v>160.84833333333336</v>
      </c>
      <c r="AD598" s="1744">
        <v>278.26166666666671</v>
      </c>
      <c r="AE598" s="2126">
        <v>0.3</v>
      </c>
      <c r="AF598" s="2126">
        <v>4.4609665427509295</v>
      </c>
      <c r="AG598" s="1212">
        <v>1</v>
      </c>
      <c r="AH598" s="1212">
        <v>0</v>
      </c>
      <c r="AI598" s="1212">
        <v>0</v>
      </c>
      <c r="AJ598" s="1212">
        <v>1</v>
      </c>
      <c r="AK598" s="2126">
        <v>278.26166666666671</v>
      </c>
      <c r="AL598" s="2126">
        <v>0</v>
      </c>
      <c r="AM598" s="2126">
        <v>0</v>
      </c>
      <c r="AN598" s="2126">
        <v>278.26166666666671</v>
      </c>
      <c r="AO598" s="1743" t="s">
        <v>85</v>
      </c>
      <c r="AP598" s="1743"/>
      <c r="AQ598" s="1764">
        <v>2014</v>
      </c>
      <c r="AR598" s="1743" t="s">
        <v>87</v>
      </c>
      <c r="AS598" s="2135"/>
      <c r="AT598" s="2135"/>
      <c r="AU598" s="1212">
        <v>0.33333333333333331</v>
      </c>
      <c r="AV598" s="1212">
        <v>0.33333333333333331</v>
      </c>
      <c r="AW598" s="1212">
        <v>0.33333333333333331</v>
      </c>
      <c r="AX598" s="1212"/>
      <c r="AY598" s="1212"/>
      <c r="AZ598" s="1212"/>
      <c r="BA598" s="1212"/>
      <c r="BB598" s="1212"/>
      <c r="BC598" s="1212"/>
      <c r="BD598" s="1212"/>
      <c r="BE598" s="1212"/>
      <c r="BF598" s="2126">
        <v>0</v>
      </c>
      <c r="BG598" s="2126">
        <v>0</v>
      </c>
      <c r="BH598" s="2126">
        <v>92.753888888888895</v>
      </c>
      <c r="BI598" s="2126">
        <v>92.753888888888895</v>
      </c>
      <c r="BJ598" s="2126">
        <v>92.753888888888895</v>
      </c>
      <c r="BK598" s="2126">
        <v>0</v>
      </c>
      <c r="BL598" s="2126">
        <v>0</v>
      </c>
      <c r="BM598" s="2126">
        <v>0</v>
      </c>
      <c r="BN598" s="2126">
        <v>0</v>
      </c>
      <c r="BO598" s="2126">
        <v>0</v>
      </c>
      <c r="BP598" s="2126">
        <v>0</v>
      </c>
      <c r="BQ598" s="2126">
        <v>0</v>
      </c>
      <c r="BR598" s="2126">
        <v>0</v>
      </c>
    </row>
    <row r="599" spans="1:70" s="1765" customFormat="1" ht="33">
      <c r="A599" s="1272">
        <v>3000</v>
      </c>
      <c r="B599" s="971" t="s">
        <v>1072</v>
      </c>
      <c r="C599" s="1272">
        <v>3100</v>
      </c>
      <c r="D599" s="971" t="s">
        <v>120</v>
      </c>
      <c r="E599" s="971" t="s">
        <v>1277</v>
      </c>
      <c r="F599" s="971" t="s">
        <v>1278</v>
      </c>
      <c r="G599" s="971" t="s">
        <v>1277</v>
      </c>
      <c r="H599" s="971" t="s">
        <v>1278</v>
      </c>
      <c r="I599" s="1273" t="s">
        <v>1293</v>
      </c>
      <c r="J599" s="971" t="s">
        <v>124</v>
      </c>
      <c r="K599" s="971" t="s">
        <v>145</v>
      </c>
      <c r="L599" s="971" t="s">
        <v>2871</v>
      </c>
      <c r="M599" s="971" t="s">
        <v>556</v>
      </c>
      <c r="N599" s="971" t="s">
        <v>141</v>
      </c>
      <c r="O599" s="971" t="s">
        <v>557</v>
      </c>
      <c r="P599" s="971"/>
      <c r="Q599" s="971" t="s">
        <v>1294</v>
      </c>
      <c r="R599" s="1266" t="s">
        <v>1284</v>
      </c>
      <c r="S599" s="2106">
        <v>14.869888475836431</v>
      </c>
      <c r="T599" s="1266" t="s">
        <v>136</v>
      </c>
      <c r="U599" s="1742">
        <v>0.12329166666666667</v>
      </c>
      <c r="V599" s="1742">
        <v>0.98072916666666676</v>
      </c>
      <c r="W599" s="1742">
        <v>6.9153175000000005</v>
      </c>
      <c r="X599" s="1742">
        <v>10.817050416666667</v>
      </c>
      <c r="Y599" s="2106">
        <v>18.713097083333334</v>
      </c>
      <c r="Z599" s="2106">
        <v>1.8333333333333335</v>
      </c>
      <c r="AA599" s="2106">
        <v>14.583333333333334</v>
      </c>
      <c r="AB599" s="2106">
        <v>102.83000000000001</v>
      </c>
      <c r="AC599" s="2106">
        <v>160.84833333333336</v>
      </c>
      <c r="AD599" s="1744">
        <v>278.26166666666671</v>
      </c>
      <c r="AE599" s="2126">
        <v>0.3</v>
      </c>
      <c r="AF599" s="2126">
        <v>4.4609665427509295</v>
      </c>
      <c r="AG599" s="1212">
        <v>1</v>
      </c>
      <c r="AH599" s="1212">
        <v>0</v>
      </c>
      <c r="AI599" s="1212">
        <v>0</v>
      </c>
      <c r="AJ599" s="1212">
        <v>1</v>
      </c>
      <c r="AK599" s="2126">
        <v>278.26166666666671</v>
      </c>
      <c r="AL599" s="2126">
        <v>0</v>
      </c>
      <c r="AM599" s="2126">
        <v>0</v>
      </c>
      <c r="AN599" s="2126">
        <v>278.26166666666671</v>
      </c>
      <c r="AO599" s="1743" t="s">
        <v>85</v>
      </c>
      <c r="AP599" s="1743"/>
      <c r="AQ599" s="1764">
        <v>2014</v>
      </c>
      <c r="AR599" s="1743" t="s">
        <v>87</v>
      </c>
      <c r="AS599" s="2135"/>
      <c r="AT599" s="2135"/>
      <c r="AU599" s="1212">
        <v>0.33333333333333331</v>
      </c>
      <c r="AV599" s="1212">
        <v>0.33333333333333331</v>
      </c>
      <c r="AW599" s="1212">
        <v>0.33333333333333331</v>
      </c>
      <c r="AX599" s="1212"/>
      <c r="AY599" s="1212"/>
      <c r="AZ599" s="1212"/>
      <c r="BA599" s="1212"/>
      <c r="BB599" s="1212"/>
      <c r="BC599" s="1212"/>
      <c r="BD599" s="1212"/>
      <c r="BE599" s="1212"/>
      <c r="BF599" s="2126">
        <v>0</v>
      </c>
      <c r="BG599" s="2126">
        <v>0</v>
      </c>
      <c r="BH599" s="2126">
        <v>92.753888888888895</v>
      </c>
      <c r="BI599" s="2126">
        <v>92.753888888888895</v>
      </c>
      <c r="BJ599" s="2126">
        <v>92.753888888888895</v>
      </c>
      <c r="BK599" s="2126">
        <v>0</v>
      </c>
      <c r="BL599" s="2126">
        <v>0</v>
      </c>
      <c r="BM599" s="2126">
        <v>0</v>
      </c>
      <c r="BN599" s="2126">
        <v>0</v>
      </c>
      <c r="BO599" s="2126">
        <v>0</v>
      </c>
      <c r="BP599" s="2126">
        <v>0</v>
      </c>
      <c r="BQ599" s="2126">
        <v>0</v>
      </c>
      <c r="BR599" s="2126">
        <v>0</v>
      </c>
    </row>
    <row r="600" spans="1:70" s="1765" customFormat="1" ht="33">
      <c r="A600" s="1272">
        <v>3000</v>
      </c>
      <c r="B600" s="971" t="s">
        <v>1072</v>
      </c>
      <c r="C600" s="1272">
        <v>3100</v>
      </c>
      <c r="D600" s="971" t="s">
        <v>120</v>
      </c>
      <c r="E600" s="971" t="s">
        <v>1277</v>
      </c>
      <c r="F600" s="971" t="s">
        <v>1278</v>
      </c>
      <c r="G600" s="971" t="s">
        <v>1277</v>
      </c>
      <c r="H600" s="971" t="s">
        <v>1278</v>
      </c>
      <c r="I600" s="1273" t="s">
        <v>1295</v>
      </c>
      <c r="J600" s="971" t="s">
        <v>124</v>
      </c>
      <c r="K600" s="971" t="s">
        <v>145</v>
      </c>
      <c r="L600" s="971" t="s">
        <v>2871</v>
      </c>
      <c r="M600" s="971" t="s">
        <v>556</v>
      </c>
      <c r="N600" s="971" t="s">
        <v>141</v>
      </c>
      <c r="O600" s="971" t="s">
        <v>557</v>
      </c>
      <c r="P600" s="971"/>
      <c r="Q600" s="971" t="s">
        <v>1296</v>
      </c>
      <c r="R600" s="1266" t="s">
        <v>1287</v>
      </c>
      <c r="S600" s="2106">
        <v>14.869888475836431</v>
      </c>
      <c r="T600" s="1266" t="s">
        <v>136</v>
      </c>
      <c r="U600" s="1742">
        <v>0.12329166666666667</v>
      </c>
      <c r="V600" s="1742">
        <v>0.98072916666666676</v>
      </c>
      <c r="W600" s="1742">
        <v>6.9153175000000005</v>
      </c>
      <c r="X600" s="1742">
        <v>10.817050416666667</v>
      </c>
      <c r="Y600" s="2106">
        <v>18.713097083333334</v>
      </c>
      <c r="Z600" s="2106">
        <v>1.8333333333333335</v>
      </c>
      <c r="AA600" s="2106">
        <v>14.583333333333334</v>
      </c>
      <c r="AB600" s="2106">
        <v>102.83000000000001</v>
      </c>
      <c r="AC600" s="2106">
        <v>160.84833333333336</v>
      </c>
      <c r="AD600" s="1744">
        <v>278.26166666666671</v>
      </c>
      <c r="AE600" s="2126">
        <v>0.3</v>
      </c>
      <c r="AF600" s="2126">
        <v>4.4609665427509295</v>
      </c>
      <c r="AG600" s="1212">
        <v>1</v>
      </c>
      <c r="AH600" s="1212">
        <v>0</v>
      </c>
      <c r="AI600" s="1212">
        <v>0</v>
      </c>
      <c r="AJ600" s="1212">
        <v>1</v>
      </c>
      <c r="AK600" s="2126">
        <v>278.26166666666671</v>
      </c>
      <c r="AL600" s="2126">
        <v>0</v>
      </c>
      <c r="AM600" s="2126">
        <v>0</v>
      </c>
      <c r="AN600" s="2126">
        <v>278.26166666666671</v>
      </c>
      <c r="AO600" s="1743" t="s">
        <v>85</v>
      </c>
      <c r="AP600" s="1743"/>
      <c r="AQ600" s="1764">
        <v>2014</v>
      </c>
      <c r="AR600" s="1743" t="s">
        <v>87</v>
      </c>
      <c r="AS600" s="2135"/>
      <c r="AT600" s="2135"/>
      <c r="AU600" s="1212">
        <v>0.33333333333333331</v>
      </c>
      <c r="AV600" s="1212">
        <v>0.33333333333333331</v>
      </c>
      <c r="AW600" s="1212">
        <v>0.33333333333333331</v>
      </c>
      <c r="AX600" s="1212"/>
      <c r="AY600" s="1212"/>
      <c r="AZ600" s="1212"/>
      <c r="BA600" s="1212"/>
      <c r="BB600" s="1212"/>
      <c r="BC600" s="1212"/>
      <c r="BD600" s="1212"/>
      <c r="BE600" s="1212"/>
      <c r="BF600" s="2126">
        <v>0</v>
      </c>
      <c r="BG600" s="2126">
        <v>0</v>
      </c>
      <c r="BH600" s="2126">
        <v>92.753888888888895</v>
      </c>
      <c r="BI600" s="2126">
        <v>92.753888888888895</v>
      </c>
      <c r="BJ600" s="2126">
        <v>92.753888888888895</v>
      </c>
      <c r="BK600" s="2126">
        <v>0</v>
      </c>
      <c r="BL600" s="2126">
        <v>0</v>
      </c>
      <c r="BM600" s="2126">
        <v>0</v>
      </c>
      <c r="BN600" s="2126">
        <v>0</v>
      </c>
      <c r="BO600" s="2126">
        <v>0</v>
      </c>
      <c r="BP600" s="2126">
        <v>0</v>
      </c>
      <c r="BQ600" s="2126">
        <v>0</v>
      </c>
      <c r="BR600" s="2126">
        <v>0</v>
      </c>
    </row>
    <row r="601" spans="1:70" s="1765" customFormat="1" ht="33">
      <c r="A601" s="1272">
        <v>3000</v>
      </c>
      <c r="B601" s="971" t="s">
        <v>1072</v>
      </c>
      <c r="C601" s="1272">
        <v>3100</v>
      </c>
      <c r="D601" s="971" t="s">
        <v>120</v>
      </c>
      <c r="E601" s="971" t="s">
        <v>1277</v>
      </c>
      <c r="F601" s="971" t="s">
        <v>1278</v>
      </c>
      <c r="G601" s="971" t="s">
        <v>1277</v>
      </c>
      <c r="H601" s="971" t="s">
        <v>1278</v>
      </c>
      <c r="I601" s="1273" t="s">
        <v>1297</v>
      </c>
      <c r="J601" s="971" t="s">
        <v>124</v>
      </c>
      <c r="K601" s="971" t="s">
        <v>145</v>
      </c>
      <c r="L601" s="971" t="s">
        <v>2871</v>
      </c>
      <c r="M601" s="971" t="s">
        <v>556</v>
      </c>
      <c r="N601" s="971" t="s">
        <v>141</v>
      </c>
      <c r="O601" s="971" t="s">
        <v>557</v>
      </c>
      <c r="P601" s="971"/>
      <c r="Q601" s="971" t="s">
        <v>1298</v>
      </c>
      <c r="R601" s="1266" t="s">
        <v>1290</v>
      </c>
      <c r="S601" s="2106">
        <v>14.869888475836431</v>
      </c>
      <c r="T601" s="1266" t="s">
        <v>136</v>
      </c>
      <c r="U601" s="1742">
        <v>0.12329166666666667</v>
      </c>
      <c r="V601" s="1742">
        <v>0.98072916666666676</v>
      </c>
      <c r="W601" s="1742">
        <v>6.9153175000000005</v>
      </c>
      <c r="X601" s="1742">
        <v>10.817050416666667</v>
      </c>
      <c r="Y601" s="2106">
        <v>18.713097083333334</v>
      </c>
      <c r="Z601" s="2106">
        <v>1.8333333333333335</v>
      </c>
      <c r="AA601" s="2106">
        <v>14.583333333333334</v>
      </c>
      <c r="AB601" s="2106">
        <v>102.83000000000001</v>
      </c>
      <c r="AC601" s="2106">
        <v>160.84833333333336</v>
      </c>
      <c r="AD601" s="1744">
        <v>278.26166666666671</v>
      </c>
      <c r="AE601" s="2126">
        <v>0.3</v>
      </c>
      <c r="AF601" s="2126">
        <v>4.4609665427509295</v>
      </c>
      <c r="AG601" s="1212">
        <v>1</v>
      </c>
      <c r="AH601" s="1212">
        <v>0</v>
      </c>
      <c r="AI601" s="1212">
        <v>0</v>
      </c>
      <c r="AJ601" s="1212">
        <v>1</v>
      </c>
      <c r="AK601" s="2126">
        <v>278.26166666666671</v>
      </c>
      <c r="AL601" s="2126">
        <v>0</v>
      </c>
      <c r="AM601" s="2126">
        <v>0</v>
      </c>
      <c r="AN601" s="2126">
        <v>278.26166666666671</v>
      </c>
      <c r="AO601" s="1743" t="s">
        <v>85</v>
      </c>
      <c r="AP601" s="1743"/>
      <c r="AQ601" s="1764">
        <v>2014</v>
      </c>
      <c r="AR601" s="1743" t="s">
        <v>87</v>
      </c>
      <c r="AS601" s="2135"/>
      <c r="AT601" s="2135"/>
      <c r="AU601" s="1212">
        <v>0.33333333333333331</v>
      </c>
      <c r="AV601" s="1212">
        <v>0.33333333333333331</v>
      </c>
      <c r="AW601" s="1212">
        <v>0.33333333333333331</v>
      </c>
      <c r="AX601" s="1212"/>
      <c r="AY601" s="1212"/>
      <c r="AZ601" s="1212"/>
      <c r="BA601" s="1212"/>
      <c r="BB601" s="1212"/>
      <c r="BC601" s="1212"/>
      <c r="BD601" s="1212"/>
      <c r="BE601" s="1212"/>
      <c r="BF601" s="2126">
        <v>0</v>
      </c>
      <c r="BG601" s="2126">
        <v>0</v>
      </c>
      <c r="BH601" s="2126">
        <v>92.753888888888895</v>
      </c>
      <c r="BI601" s="2126">
        <v>92.753888888888895</v>
      </c>
      <c r="BJ601" s="2126">
        <v>92.753888888888895</v>
      </c>
      <c r="BK601" s="2126">
        <v>0</v>
      </c>
      <c r="BL601" s="2126">
        <v>0</v>
      </c>
      <c r="BM601" s="2126">
        <v>0</v>
      </c>
      <c r="BN601" s="2126">
        <v>0</v>
      </c>
      <c r="BO601" s="2126">
        <v>0</v>
      </c>
      <c r="BP601" s="2126">
        <v>0</v>
      </c>
      <c r="BQ601" s="2126">
        <v>0</v>
      </c>
      <c r="BR601" s="2126">
        <v>0</v>
      </c>
    </row>
    <row r="602" spans="1:70" s="1765" customFormat="1" ht="33">
      <c r="A602" s="1272">
        <v>3000</v>
      </c>
      <c r="B602" s="971" t="s">
        <v>1072</v>
      </c>
      <c r="C602" s="1272">
        <v>3100</v>
      </c>
      <c r="D602" s="971" t="s">
        <v>120</v>
      </c>
      <c r="E602" s="971" t="s">
        <v>1277</v>
      </c>
      <c r="F602" s="971" t="s">
        <v>1278</v>
      </c>
      <c r="G602" s="971" t="s">
        <v>1277</v>
      </c>
      <c r="H602" s="971" t="s">
        <v>1278</v>
      </c>
      <c r="I602" s="1273" t="s">
        <v>1299</v>
      </c>
      <c r="J602" s="971" t="s">
        <v>124</v>
      </c>
      <c r="K602" s="971"/>
      <c r="L602" s="971" t="e">
        <v>#N/A</v>
      </c>
      <c r="M602" s="971" t="s">
        <v>145</v>
      </c>
      <c r="N602" s="971" t="s">
        <v>141</v>
      </c>
      <c r="O602" s="971" t="s">
        <v>146</v>
      </c>
      <c r="P602" s="971"/>
      <c r="Q602" s="971" t="s">
        <v>1300</v>
      </c>
      <c r="R602" s="1266" t="s">
        <v>1281</v>
      </c>
      <c r="S602" s="2106">
        <v>14.869888475836431</v>
      </c>
      <c r="T602" s="1266" t="s">
        <v>136</v>
      </c>
      <c r="U602" s="1742" t="s">
        <v>6588</v>
      </c>
      <c r="V602" s="1742" t="s">
        <v>6588</v>
      </c>
      <c r="W602" s="1742" t="s">
        <v>6588</v>
      </c>
      <c r="X602" s="1742" t="s">
        <v>6588</v>
      </c>
      <c r="Y602" s="2106" t="s">
        <v>6588</v>
      </c>
      <c r="Z602" s="2106">
        <v>0</v>
      </c>
      <c r="AA602" s="2106">
        <v>0</v>
      </c>
      <c r="AB602" s="2106">
        <v>0</v>
      </c>
      <c r="AC602" s="2106">
        <v>0</v>
      </c>
      <c r="AD602" s="1744">
        <v>0</v>
      </c>
      <c r="AE602" s="2126">
        <v>0</v>
      </c>
      <c r="AF602" s="2126">
        <v>0</v>
      </c>
      <c r="AG602" s="1212">
        <v>1</v>
      </c>
      <c r="AH602" s="1212">
        <v>0</v>
      </c>
      <c r="AI602" s="1212">
        <v>0</v>
      </c>
      <c r="AJ602" s="1212">
        <v>1</v>
      </c>
      <c r="AK602" s="2126">
        <v>0</v>
      </c>
      <c r="AL602" s="2126">
        <v>0</v>
      </c>
      <c r="AM602" s="2126">
        <v>0</v>
      </c>
      <c r="AN602" s="2126">
        <v>0</v>
      </c>
      <c r="AO602" s="1743" t="s">
        <v>85</v>
      </c>
      <c r="AP602" s="1743"/>
      <c r="AQ602" s="1764">
        <v>2014</v>
      </c>
      <c r="AR602" s="1743" t="s">
        <v>87</v>
      </c>
      <c r="AS602" s="2135"/>
      <c r="AT602" s="2135"/>
      <c r="AU602" s="1212">
        <v>0.33333333333333331</v>
      </c>
      <c r="AV602" s="1212">
        <v>0.33333333333333331</v>
      </c>
      <c r="AW602" s="1212">
        <v>0.33333333333333331</v>
      </c>
      <c r="AX602" s="1212"/>
      <c r="AY602" s="1212"/>
      <c r="AZ602" s="1212"/>
      <c r="BA602" s="1212"/>
      <c r="BB602" s="1212"/>
      <c r="BC602" s="1212"/>
      <c r="BD602" s="1212"/>
      <c r="BE602" s="1212"/>
      <c r="BF602" s="2126">
        <v>0</v>
      </c>
      <c r="BG602" s="2126">
        <v>0</v>
      </c>
      <c r="BH602" s="2126">
        <v>0</v>
      </c>
      <c r="BI602" s="2126">
        <v>0</v>
      </c>
      <c r="BJ602" s="2126">
        <v>0</v>
      </c>
      <c r="BK602" s="2126">
        <v>0</v>
      </c>
      <c r="BL602" s="2126">
        <v>0</v>
      </c>
      <c r="BM602" s="2126">
        <v>0</v>
      </c>
      <c r="BN602" s="2126">
        <v>0</v>
      </c>
      <c r="BO602" s="2126">
        <v>0</v>
      </c>
      <c r="BP602" s="2126">
        <v>0</v>
      </c>
      <c r="BQ602" s="2126">
        <v>0</v>
      </c>
      <c r="BR602" s="2126">
        <v>0</v>
      </c>
    </row>
    <row r="603" spans="1:70" s="1765" customFormat="1" ht="33">
      <c r="A603" s="1272">
        <v>3000</v>
      </c>
      <c r="B603" s="971" t="s">
        <v>1072</v>
      </c>
      <c r="C603" s="1272">
        <v>3100</v>
      </c>
      <c r="D603" s="971" t="s">
        <v>120</v>
      </c>
      <c r="E603" s="971" t="s">
        <v>1277</v>
      </c>
      <c r="F603" s="971" t="s">
        <v>1278</v>
      </c>
      <c r="G603" s="971" t="s">
        <v>1277</v>
      </c>
      <c r="H603" s="971" t="s">
        <v>1278</v>
      </c>
      <c r="I603" s="1273" t="s">
        <v>1301</v>
      </c>
      <c r="J603" s="971" t="s">
        <v>124</v>
      </c>
      <c r="K603" s="971"/>
      <c r="L603" s="971" t="e">
        <v>#N/A</v>
      </c>
      <c r="M603" s="971" t="s">
        <v>145</v>
      </c>
      <c r="N603" s="971" t="s">
        <v>141</v>
      </c>
      <c r="O603" s="971" t="s">
        <v>146</v>
      </c>
      <c r="P603" s="971"/>
      <c r="Q603" s="971" t="s">
        <v>1302</v>
      </c>
      <c r="R603" s="1266" t="s">
        <v>1284</v>
      </c>
      <c r="S603" s="2106">
        <v>14.869888475836431</v>
      </c>
      <c r="T603" s="1266" t="s">
        <v>136</v>
      </c>
      <c r="U603" s="1742" t="s">
        <v>6588</v>
      </c>
      <c r="V603" s="1742" t="s">
        <v>6588</v>
      </c>
      <c r="W603" s="1742" t="s">
        <v>6588</v>
      </c>
      <c r="X603" s="1742" t="s">
        <v>6588</v>
      </c>
      <c r="Y603" s="2106" t="s">
        <v>6588</v>
      </c>
      <c r="Z603" s="2106">
        <v>0</v>
      </c>
      <c r="AA603" s="2106">
        <v>0</v>
      </c>
      <c r="AB603" s="2106">
        <v>0</v>
      </c>
      <c r="AC603" s="2106">
        <v>0</v>
      </c>
      <c r="AD603" s="1744">
        <v>0</v>
      </c>
      <c r="AE603" s="2126">
        <v>0</v>
      </c>
      <c r="AF603" s="2126">
        <v>0</v>
      </c>
      <c r="AG603" s="1212">
        <v>1</v>
      </c>
      <c r="AH603" s="1212">
        <v>0</v>
      </c>
      <c r="AI603" s="1212">
        <v>0</v>
      </c>
      <c r="AJ603" s="1212">
        <v>1</v>
      </c>
      <c r="AK603" s="2126">
        <v>0</v>
      </c>
      <c r="AL603" s="2126">
        <v>0</v>
      </c>
      <c r="AM603" s="2126">
        <v>0</v>
      </c>
      <c r="AN603" s="2126">
        <v>0</v>
      </c>
      <c r="AO603" s="1743" t="s">
        <v>85</v>
      </c>
      <c r="AP603" s="1743"/>
      <c r="AQ603" s="1764">
        <v>2014</v>
      </c>
      <c r="AR603" s="1743" t="s">
        <v>87</v>
      </c>
      <c r="AS603" s="2135"/>
      <c r="AT603" s="2135"/>
      <c r="AU603" s="1212">
        <v>0.33333333333333331</v>
      </c>
      <c r="AV603" s="1212">
        <v>0.33333333333333331</v>
      </c>
      <c r="AW603" s="1212">
        <v>0.33333333333333331</v>
      </c>
      <c r="AX603" s="1212"/>
      <c r="AY603" s="1212"/>
      <c r="AZ603" s="1212"/>
      <c r="BA603" s="1212"/>
      <c r="BB603" s="1212"/>
      <c r="BC603" s="1212"/>
      <c r="BD603" s="1212"/>
      <c r="BE603" s="1212"/>
      <c r="BF603" s="2126">
        <v>0</v>
      </c>
      <c r="BG603" s="2126">
        <v>0</v>
      </c>
      <c r="BH603" s="2126">
        <v>0</v>
      </c>
      <c r="BI603" s="2126">
        <v>0</v>
      </c>
      <c r="BJ603" s="2126">
        <v>0</v>
      </c>
      <c r="BK603" s="2126">
        <v>0</v>
      </c>
      <c r="BL603" s="2126">
        <v>0</v>
      </c>
      <c r="BM603" s="2126">
        <v>0</v>
      </c>
      <c r="BN603" s="2126">
        <v>0</v>
      </c>
      <c r="BO603" s="2126">
        <v>0</v>
      </c>
      <c r="BP603" s="2126">
        <v>0</v>
      </c>
      <c r="BQ603" s="2126">
        <v>0</v>
      </c>
      <c r="BR603" s="2126">
        <v>0</v>
      </c>
    </row>
    <row r="604" spans="1:70" s="1765" customFormat="1" ht="33">
      <c r="A604" s="1272">
        <v>3000</v>
      </c>
      <c r="B604" s="971" t="s">
        <v>1072</v>
      </c>
      <c r="C604" s="1272">
        <v>3100</v>
      </c>
      <c r="D604" s="971" t="s">
        <v>120</v>
      </c>
      <c r="E604" s="971" t="s">
        <v>1277</v>
      </c>
      <c r="F604" s="971" t="s">
        <v>1278</v>
      </c>
      <c r="G604" s="971" t="s">
        <v>1277</v>
      </c>
      <c r="H604" s="971" t="s">
        <v>1278</v>
      </c>
      <c r="I604" s="1273" t="s">
        <v>1303</v>
      </c>
      <c r="J604" s="971" t="s">
        <v>124</v>
      </c>
      <c r="K604" s="971"/>
      <c r="L604" s="971" t="e">
        <v>#N/A</v>
      </c>
      <c r="M604" s="971" t="s">
        <v>145</v>
      </c>
      <c r="N604" s="971" t="s">
        <v>141</v>
      </c>
      <c r="O604" s="971" t="s">
        <v>146</v>
      </c>
      <c r="P604" s="971"/>
      <c r="Q604" s="971" t="s">
        <v>1304</v>
      </c>
      <c r="R604" s="1266" t="s">
        <v>1287</v>
      </c>
      <c r="S604" s="2106">
        <v>14.869888475836431</v>
      </c>
      <c r="T604" s="1266" t="s">
        <v>136</v>
      </c>
      <c r="U604" s="1742" t="s">
        <v>6588</v>
      </c>
      <c r="V604" s="1742" t="s">
        <v>6588</v>
      </c>
      <c r="W604" s="1742" t="s">
        <v>6588</v>
      </c>
      <c r="X604" s="1742" t="s">
        <v>6588</v>
      </c>
      <c r="Y604" s="2106" t="s">
        <v>6588</v>
      </c>
      <c r="Z604" s="2106">
        <v>0</v>
      </c>
      <c r="AA604" s="2106">
        <v>0</v>
      </c>
      <c r="AB604" s="2106">
        <v>0</v>
      </c>
      <c r="AC604" s="2106">
        <v>0</v>
      </c>
      <c r="AD604" s="1744">
        <v>0</v>
      </c>
      <c r="AE604" s="2126">
        <v>0</v>
      </c>
      <c r="AF604" s="2126">
        <v>0</v>
      </c>
      <c r="AG604" s="1212">
        <v>1</v>
      </c>
      <c r="AH604" s="1212">
        <v>0</v>
      </c>
      <c r="AI604" s="1212">
        <v>0</v>
      </c>
      <c r="AJ604" s="1212">
        <v>1</v>
      </c>
      <c r="AK604" s="2126">
        <v>0</v>
      </c>
      <c r="AL604" s="2126">
        <v>0</v>
      </c>
      <c r="AM604" s="2126">
        <v>0</v>
      </c>
      <c r="AN604" s="2126">
        <v>0</v>
      </c>
      <c r="AO604" s="1743" t="s">
        <v>85</v>
      </c>
      <c r="AP604" s="1743"/>
      <c r="AQ604" s="1764">
        <v>2014</v>
      </c>
      <c r="AR604" s="1743" t="s">
        <v>87</v>
      </c>
      <c r="AS604" s="2135"/>
      <c r="AT604" s="2135"/>
      <c r="AU604" s="1212">
        <v>0.33333333333333331</v>
      </c>
      <c r="AV604" s="1212">
        <v>0.33333333333333331</v>
      </c>
      <c r="AW604" s="1212">
        <v>0.33333333333333331</v>
      </c>
      <c r="AX604" s="1212"/>
      <c r="AY604" s="1212"/>
      <c r="AZ604" s="1212"/>
      <c r="BA604" s="1212"/>
      <c r="BB604" s="1212"/>
      <c r="BC604" s="1212"/>
      <c r="BD604" s="1212"/>
      <c r="BE604" s="1212"/>
      <c r="BF604" s="2126">
        <v>0</v>
      </c>
      <c r="BG604" s="2126">
        <v>0</v>
      </c>
      <c r="BH604" s="2126">
        <v>0</v>
      </c>
      <c r="BI604" s="2126">
        <v>0</v>
      </c>
      <c r="BJ604" s="2126">
        <v>0</v>
      </c>
      <c r="BK604" s="2126">
        <v>0</v>
      </c>
      <c r="BL604" s="2126">
        <v>0</v>
      </c>
      <c r="BM604" s="2126">
        <v>0</v>
      </c>
      <c r="BN604" s="2126">
        <v>0</v>
      </c>
      <c r="BO604" s="2126">
        <v>0</v>
      </c>
      <c r="BP604" s="2126">
        <v>0</v>
      </c>
      <c r="BQ604" s="2126">
        <v>0</v>
      </c>
      <c r="BR604" s="2126">
        <v>0</v>
      </c>
    </row>
    <row r="605" spans="1:70" s="1765" customFormat="1" ht="33">
      <c r="A605" s="1272">
        <v>3000</v>
      </c>
      <c r="B605" s="971" t="s">
        <v>1072</v>
      </c>
      <c r="C605" s="1272">
        <v>3100</v>
      </c>
      <c r="D605" s="971" t="s">
        <v>120</v>
      </c>
      <c r="E605" s="971" t="s">
        <v>1277</v>
      </c>
      <c r="F605" s="971" t="s">
        <v>1278</v>
      </c>
      <c r="G605" s="971" t="s">
        <v>1277</v>
      </c>
      <c r="H605" s="971" t="s">
        <v>1278</v>
      </c>
      <c r="I605" s="1273" t="s">
        <v>1305</v>
      </c>
      <c r="J605" s="971" t="s">
        <v>124</v>
      </c>
      <c r="K605" s="971"/>
      <c r="L605" s="971" t="e">
        <v>#N/A</v>
      </c>
      <c r="M605" s="971" t="s">
        <v>145</v>
      </c>
      <c r="N605" s="971" t="s">
        <v>141</v>
      </c>
      <c r="O605" s="971" t="s">
        <v>146</v>
      </c>
      <c r="P605" s="971"/>
      <c r="Q605" s="971" t="s">
        <v>1306</v>
      </c>
      <c r="R605" s="1266" t="s">
        <v>1290</v>
      </c>
      <c r="S605" s="2106">
        <v>14.869888475836431</v>
      </c>
      <c r="T605" s="1266" t="s">
        <v>136</v>
      </c>
      <c r="U605" s="1742" t="s">
        <v>6588</v>
      </c>
      <c r="V605" s="1742" t="s">
        <v>6588</v>
      </c>
      <c r="W605" s="1742" t="s">
        <v>6588</v>
      </c>
      <c r="X605" s="1742" t="s">
        <v>6588</v>
      </c>
      <c r="Y605" s="2106" t="s">
        <v>6588</v>
      </c>
      <c r="Z605" s="2106">
        <v>0</v>
      </c>
      <c r="AA605" s="2106">
        <v>0</v>
      </c>
      <c r="AB605" s="2106">
        <v>0</v>
      </c>
      <c r="AC605" s="2106">
        <v>0</v>
      </c>
      <c r="AD605" s="1744">
        <v>0</v>
      </c>
      <c r="AE605" s="2126">
        <v>0</v>
      </c>
      <c r="AF605" s="2126">
        <v>0</v>
      </c>
      <c r="AG605" s="1212">
        <v>1</v>
      </c>
      <c r="AH605" s="1212">
        <v>0</v>
      </c>
      <c r="AI605" s="1212">
        <v>0</v>
      </c>
      <c r="AJ605" s="1212">
        <v>1</v>
      </c>
      <c r="AK605" s="2126">
        <v>0</v>
      </c>
      <c r="AL605" s="2126">
        <v>0</v>
      </c>
      <c r="AM605" s="2126">
        <v>0</v>
      </c>
      <c r="AN605" s="2126">
        <v>0</v>
      </c>
      <c r="AO605" s="1743" t="s">
        <v>85</v>
      </c>
      <c r="AP605" s="1743"/>
      <c r="AQ605" s="1764">
        <v>2014</v>
      </c>
      <c r="AR605" s="1743" t="s">
        <v>87</v>
      </c>
      <c r="AS605" s="2135"/>
      <c r="AT605" s="2135"/>
      <c r="AU605" s="1212">
        <v>0.33333333333333331</v>
      </c>
      <c r="AV605" s="1212">
        <v>0.33333333333333331</v>
      </c>
      <c r="AW605" s="1212">
        <v>0.33333333333333331</v>
      </c>
      <c r="AX605" s="1212"/>
      <c r="AY605" s="1212"/>
      <c r="AZ605" s="1212"/>
      <c r="BA605" s="1212"/>
      <c r="BB605" s="1212"/>
      <c r="BC605" s="1212"/>
      <c r="BD605" s="1212"/>
      <c r="BE605" s="1212"/>
      <c r="BF605" s="2126">
        <v>0</v>
      </c>
      <c r="BG605" s="2126">
        <v>0</v>
      </c>
      <c r="BH605" s="2126">
        <v>0</v>
      </c>
      <c r="BI605" s="2126">
        <v>0</v>
      </c>
      <c r="BJ605" s="2126">
        <v>0</v>
      </c>
      <c r="BK605" s="2126">
        <v>0</v>
      </c>
      <c r="BL605" s="2126">
        <v>0</v>
      </c>
      <c r="BM605" s="2126">
        <v>0</v>
      </c>
      <c r="BN605" s="2126">
        <v>0</v>
      </c>
      <c r="BO605" s="2126">
        <v>0</v>
      </c>
      <c r="BP605" s="2126">
        <v>0</v>
      </c>
      <c r="BQ605" s="2126">
        <v>0</v>
      </c>
      <c r="BR605" s="2126">
        <v>0</v>
      </c>
    </row>
    <row r="606" spans="1:70" s="1765" customFormat="1" ht="49.5">
      <c r="A606" s="1272">
        <v>3000</v>
      </c>
      <c r="B606" s="971" t="s">
        <v>1072</v>
      </c>
      <c r="C606" s="1272">
        <v>3200</v>
      </c>
      <c r="D606" s="971" t="s">
        <v>120</v>
      </c>
      <c r="E606" s="971">
        <v>3210</v>
      </c>
      <c r="F606" s="971" t="s">
        <v>1278</v>
      </c>
      <c r="G606" s="971">
        <v>3213</v>
      </c>
      <c r="H606" s="971" t="s">
        <v>1307</v>
      </c>
      <c r="I606" s="1273"/>
      <c r="J606" s="971"/>
      <c r="K606" s="971" t="s">
        <v>784</v>
      </c>
      <c r="L606" s="971" t="s">
        <v>2852</v>
      </c>
      <c r="M606" s="971" t="s">
        <v>214</v>
      </c>
      <c r="N606" s="971" t="s">
        <v>1308</v>
      </c>
      <c r="O606" s="971" t="s">
        <v>215</v>
      </c>
      <c r="P606" s="971"/>
      <c r="Q606" s="971" t="s">
        <v>1309</v>
      </c>
      <c r="R606" s="1266" t="s">
        <v>1310</v>
      </c>
      <c r="S606" s="2106">
        <v>72</v>
      </c>
      <c r="T606" s="1266" t="s">
        <v>136</v>
      </c>
      <c r="U606" s="1742">
        <v>0.22416666666666665</v>
      </c>
      <c r="V606" s="1742">
        <v>2.8020833333333335</v>
      </c>
      <c r="W606" s="1742">
        <v>19.758049999999997</v>
      </c>
      <c r="X606" s="1742">
        <v>30.905858333333335</v>
      </c>
      <c r="Y606" s="2106">
        <v>53.46599166666666</v>
      </c>
      <c r="Z606" s="2106">
        <v>16.14</v>
      </c>
      <c r="AA606" s="2106">
        <v>201.75</v>
      </c>
      <c r="AB606" s="2106">
        <v>1422.5795999999998</v>
      </c>
      <c r="AC606" s="2106">
        <v>2225.2218000000003</v>
      </c>
      <c r="AD606" s="1744">
        <v>3849.5514000000003</v>
      </c>
      <c r="AE606" s="2126">
        <v>1</v>
      </c>
      <c r="AF606" s="2126">
        <v>72</v>
      </c>
      <c r="AG606" s="1212">
        <v>1</v>
      </c>
      <c r="AH606" s="1212">
        <v>0</v>
      </c>
      <c r="AI606" s="1212">
        <v>0</v>
      </c>
      <c r="AJ606" s="1212">
        <v>1</v>
      </c>
      <c r="AK606" s="2126">
        <v>3849.5514000000003</v>
      </c>
      <c r="AL606" s="2126">
        <v>0</v>
      </c>
      <c r="AM606" s="2126">
        <v>0</v>
      </c>
      <c r="AN606" s="2126">
        <v>3849.5514000000003</v>
      </c>
      <c r="AO606" s="1743" t="s">
        <v>85</v>
      </c>
      <c r="AP606" s="1743" t="s">
        <v>90</v>
      </c>
      <c r="AQ606" s="1764">
        <v>2020</v>
      </c>
      <c r="AR606" s="1743" t="s">
        <v>87</v>
      </c>
      <c r="AS606" s="2135"/>
      <c r="AT606" s="2135"/>
      <c r="AU606" s="1212">
        <v>0.33333333333333331</v>
      </c>
      <c r="AV606" s="1212">
        <v>0.33333333333333331</v>
      </c>
      <c r="AW606" s="1212">
        <v>0.33333333333333331</v>
      </c>
      <c r="AX606" s="1212"/>
      <c r="AY606" s="1212"/>
      <c r="AZ606" s="1212"/>
      <c r="BA606" s="1212"/>
      <c r="BB606" s="1212"/>
      <c r="BC606" s="1212"/>
      <c r="BD606" s="1212"/>
      <c r="BE606" s="1212"/>
      <c r="BF606" s="2126">
        <v>0</v>
      </c>
      <c r="BG606" s="2126">
        <v>0</v>
      </c>
      <c r="BH606" s="2126">
        <v>1283.1838</v>
      </c>
      <c r="BI606" s="2126">
        <v>1283.1838</v>
      </c>
      <c r="BJ606" s="2126">
        <v>1283.1838</v>
      </c>
      <c r="BK606" s="2126">
        <v>0</v>
      </c>
      <c r="BL606" s="2126">
        <v>0</v>
      </c>
      <c r="BM606" s="2126">
        <v>0</v>
      </c>
      <c r="BN606" s="2126">
        <v>0</v>
      </c>
      <c r="BO606" s="2126">
        <v>0</v>
      </c>
      <c r="BP606" s="2126">
        <v>0</v>
      </c>
      <c r="BQ606" s="2126">
        <v>0</v>
      </c>
      <c r="BR606" s="2126">
        <v>0</v>
      </c>
    </row>
    <row r="607" spans="1:70" s="1765" customFormat="1" ht="49.5">
      <c r="A607" s="1272">
        <v>3000</v>
      </c>
      <c r="B607" s="971" t="s">
        <v>1072</v>
      </c>
      <c r="C607" s="1272">
        <v>3200</v>
      </c>
      <c r="D607" s="971" t="s">
        <v>120</v>
      </c>
      <c r="E607" s="971">
        <v>3210</v>
      </c>
      <c r="F607" s="971" t="s">
        <v>1278</v>
      </c>
      <c r="G607" s="971">
        <v>3213</v>
      </c>
      <c r="H607" s="971" t="s">
        <v>1307</v>
      </c>
      <c r="I607" s="1273"/>
      <c r="J607" s="971"/>
      <c r="K607" s="971" t="s">
        <v>784</v>
      </c>
      <c r="L607" s="971" t="s">
        <v>2852</v>
      </c>
      <c r="M607" s="971" t="s">
        <v>214</v>
      </c>
      <c r="N607" s="971" t="s">
        <v>1308</v>
      </c>
      <c r="O607" s="971" t="s">
        <v>215</v>
      </c>
      <c r="P607" s="971"/>
      <c r="Q607" s="971" t="s">
        <v>1309</v>
      </c>
      <c r="R607" s="1266" t="s">
        <v>1310</v>
      </c>
      <c r="S607" s="2106">
        <v>-72</v>
      </c>
      <c r="T607" s="1266" t="s">
        <v>136</v>
      </c>
      <c r="U607" s="1742">
        <v>0.22416666666666665</v>
      </c>
      <c r="V607" s="1742">
        <v>2.8020833333333335</v>
      </c>
      <c r="W607" s="1742">
        <v>19.758049999999997</v>
      </c>
      <c r="X607" s="1742">
        <v>30.905858333333335</v>
      </c>
      <c r="Y607" s="2106">
        <v>53.46599166666666</v>
      </c>
      <c r="Z607" s="2106">
        <v>-16.14</v>
      </c>
      <c r="AA607" s="2106">
        <v>-201.75</v>
      </c>
      <c r="AB607" s="2106">
        <v>-1422.5795999999998</v>
      </c>
      <c r="AC607" s="2106">
        <v>-2225.2218000000003</v>
      </c>
      <c r="AD607" s="1744">
        <v>-3849.5514000000003</v>
      </c>
      <c r="AE607" s="2126">
        <v>1</v>
      </c>
      <c r="AF607" s="2126">
        <v>-72</v>
      </c>
      <c r="AG607" s="1212">
        <v>1</v>
      </c>
      <c r="AH607" s="1212">
        <v>0</v>
      </c>
      <c r="AI607" s="1212">
        <v>0</v>
      </c>
      <c r="AJ607" s="1212">
        <v>1</v>
      </c>
      <c r="AK607" s="2126">
        <v>-3849.5514000000003</v>
      </c>
      <c r="AL607" s="2126">
        <v>0</v>
      </c>
      <c r="AM607" s="2126">
        <v>0</v>
      </c>
      <c r="AN607" s="2126">
        <v>-3849.5514000000003</v>
      </c>
      <c r="AO607" s="1743" t="s">
        <v>85</v>
      </c>
      <c r="AP607" s="1743" t="s">
        <v>96</v>
      </c>
      <c r="AQ607" s="1764" t="s">
        <v>118</v>
      </c>
      <c r="AR607" s="1743" t="s">
        <v>87</v>
      </c>
      <c r="AS607" s="2135"/>
      <c r="AT607" s="2135"/>
      <c r="AU607" s="1212">
        <v>0.33333333333333331</v>
      </c>
      <c r="AV607" s="1212">
        <v>0.33333333333333331</v>
      </c>
      <c r="AW607" s="1212">
        <v>0.33333333333333331</v>
      </c>
      <c r="AX607" s="1212"/>
      <c r="AY607" s="1212"/>
      <c r="AZ607" s="1212"/>
      <c r="BA607" s="1212"/>
      <c r="BB607" s="1212"/>
      <c r="BC607" s="1212"/>
      <c r="BD607" s="1212"/>
      <c r="BE607" s="1212"/>
      <c r="BF607" s="2126">
        <v>0</v>
      </c>
      <c r="BG607" s="2126">
        <v>0</v>
      </c>
      <c r="BH607" s="2126">
        <v>-1283.1838</v>
      </c>
      <c r="BI607" s="2126">
        <v>-1283.1838</v>
      </c>
      <c r="BJ607" s="2126">
        <v>-1283.1838</v>
      </c>
      <c r="BK607" s="2126">
        <v>0</v>
      </c>
      <c r="BL607" s="2126">
        <v>0</v>
      </c>
      <c r="BM607" s="2126">
        <v>0</v>
      </c>
      <c r="BN607" s="2126">
        <v>0</v>
      </c>
      <c r="BO607" s="2126">
        <v>0</v>
      </c>
      <c r="BP607" s="2126">
        <v>0</v>
      </c>
      <c r="BQ607" s="2126">
        <v>0</v>
      </c>
      <c r="BR607" s="2126">
        <v>0</v>
      </c>
    </row>
    <row r="608" spans="1:70" s="1765" customFormat="1" ht="49.5">
      <c r="A608" s="1272">
        <v>3000</v>
      </c>
      <c r="B608" s="971" t="s">
        <v>1072</v>
      </c>
      <c r="C608" s="1272">
        <v>3200</v>
      </c>
      <c r="D608" s="971" t="s">
        <v>120</v>
      </c>
      <c r="E608" s="971">
        <v>3210</v>
      </c>
      <c r="F608" s="971" t="s">
        <v>1311</v>
      </c>
      <c r="G608" s="971">
        <v>3213</v>
      </c>
      <c r="H608" s="971" t="s">
        <v>1307</v>
      </c>
      <c r="I608" s="1273"/>
      <c r="J608" s="971"/>
      <c r="K608" s="971" t="s">
        <v>2857</v>
      </c>
      <c r="L608" s="971" t="s">
        <v>2858</v>
      </c>
      <c r="M608" s="971" t="s">
        <v>487</v>
      </c>
      <c r="N608" s="971" t="s">
        <v>488</v>
      </c>
      <c r="O608" s="971" t="s">
        <v>215</v>
      </c>
      <c r="P608" s="971"/>
      <c r="Q608" s="971" t="s">
        <v>1312</v>
      </c>
      <c r="R608" s="1266"/>
      <c r="S608" s="2106">
        <v>62</v>
      </c>
      <c r="T608" s="1266" t="s">
        <v>136</v>
      </c>
      <c r="U608" s="1742">
        <v>0.56041666666666667</v>
      </c>
      <c r="V608" s="1742">
        <v>2.8020833333333335</v>
      </c>
      <c r="W608" s="1742">
        <v>49.395125</v>
      </c>
      <c r="X608" s="1742">
        <v>77.264645833333333</v>
      </c>
      <c r="Y608" s="2106">
        <v>129.46185416666665</v>
      </c>
      <c r="Z608" s="2106">
        <v>34.745833333333337</v>
      </c>
      <c r="AA608" s="2106">
        <v>173.72916666666669</v>
      </c>
      <c r="AB608" s="2106">
        <v>3062.49775</v>
      </c>
      <c r="AC608" s="2106">
        <v>4790.4080416666666</v>
      </c>
      <c r="AD608" s="1744">
        <v>8026.6349583333331</v>
      </c>
      <c r="AE608" s="2126">
        <v>1</v>
      </c>
      <c r="AF608" s="2126">
        <v>62</v>
      </c>
      <c r="AG608" s="1212">
        <v>1</v>
      </c>
      <c r="AH608" s="1212">
        <v>0</v>
      </c>
      <c r="AI608" s="1212">
        <v>0</v>
      </c>
      <c r="AJ608" s="1212">
        <v>1</v>
      </c>
      <c r="AK608" s="2126">
        <v>8026.6349583333331</v>
      </c>
      <c r="AL608" s="2126">
        <v>0</v>
      </c>
      <c r="AM608" s="2126">
        <v>0</v>
      </c>
      <c r="AN608" s="2126">
        <v>8026.6349583333331</v>
      </c>
      <c r="AO608" s="1743" t="s">
        <v>85</v>
      </c>
      <c r="AP608" s="1743" t="s">
        <v>90</v>
      </c>
      <c r="AQ608" s="1764" t="s">
        <v>103</v>
      </c>
      <c r="AR608" s="1743" t="s">
        <v>87</v>
      </c>
      <c r="AS608" s="2135"/>
      <c r="AT608" s="2135"/>
      <c r="AU608" s="1212">
        <v>0.33333333333333331</v>
      </c>
      <c r="AV608" s="1212">
        <v>0.33333333333333331</v>
      </c>
      <c r="AW608" s="1212">
        <v>0.33333333333333331</v>
      </c>
      <c r="AX608" s="1212"/>
      <c r="AY608" s="1212"/>
      <c r="AZ608" s="1212"/>
      <c r="BA608" s="1212"/>
      <c r="BB608" s="1212"/>
      <c r="BC608" s="1212"/>
      <c r="BD608" s="1212"/>
      <c r="BE608" s="1212"/>
      <c r="BF608" s="2126">
        <v>0</v>
      </c>
      <c r="BG608" s="2126">
        <v>0</v>
      </c>
      <c r="BH608" s="2126">
        <v>2675.544986111111</v>
      </c>
      <c r="BI608" s="2126">
        <v>2675.544986111111</v>
      </c>
      <c r="BJ608" s="2126">
        <v>2675.544986111111</v>
      </c>
      <c r="BK608" s="2126">
        <v>0</v>
      </c>
      <c r="BL608" s="2126">
        <v>0</v>
      </c>
      <c r="BM608" s="2126">
        <v>0</v>
      </c>
      <c r="BN608" s="2126">
        <v>0</v>
      </c>
      <c r="BO608" s="2126">
        <v>0</v>
      </c>
      <c r="BP608" s="2126">
        <v>0</v>
      </c>
      <c r="BQ608" s="2126">
        <v>0</v>
      </c>
      <c r="BR608" s="2126">
        <v>0</v>
      </c>
    </row>
    <row r="609" spans="1:76" s="1765" customFormat="1" ht="49.5">
      <c r="A609" s="1272">
        <v>3000</v>
      </c>
      <c r="B609" s="971" t="s">
        <v>1072</v>
      </c>
      <c r="C609" s="1272">
        <v>3200</v>
      </c>
      <c r="D609" s="971" t="s">
        <v>120</v>
      </c>
      <c r="E609" s="971">
        <v>3210</v>
      </c>
      <c r="F609" s="971" t="s">
        <v>1311</v>
      </c>
      <c r="G609" s="971">
        <v>3213</v>
      </c>
      <c r="H609" s="971" t="s">
        <v>1307</v>
      </c>
      <c r="I609" s="1273"/>
      <c r="J609" s="971"/>
      <c r="K609" s="971" t="s">
        <v>2857</v>
      </c>
      <c r="L609" s="971" t="s">
        <v>2858</v>
      </c>
      <c r="M609" s="971" t="s">
        <v>487</v>
      </c>
      <c r="N609" s="971" t="s">
        <v>488</v>
      </c>
      <c r="O609" s="971" t="s">
        <v>215</v>
      </c>
      <c r="P609" s="971"/>
      <c r="Q609" s="971" t="s">
        <v>1313</v>
      </c>
      <c r="R609" s="1266"/>
      <c r="S609" s="2106">
        <v>45</v>
      </c>
      <c r="T609" s="1266" t="s">
        <v>136</v>
      </c>
      <c r="U609" s="1742">
        <v>0.56041666666666667</v>
      </c>
      <c r="V609" s="1742">
        <v>2.8020833333333335</v>
      </c>
      <c r="W609" s="1742">
        <v>49.395125</v>
      </c>
      <c r="X609" s="1742">
        <v>77.264645833333333</v>
      </c>
      <c r="Y609" s="2106">
        <v>129.46185416666665</v>
      </c>
      <c r="Z609" s="2106">
        <v>25.21875</v>
      </c>
      <c r="AA609" s="2106">
        <v>126.09375</v>
      </c>
      <c r="AB609" s="2106">
        <v>2222.7806249999999</v>
      </c>
      <c r="AC609" s="2106">
        <v>3476.9090624999999</v>
      </c>
      <c r="AD609" s="1744">
        <v>5825.7834375000002</v>
      </c>
      <c r="AE609" s="2126">
        <v>1</v>
      </c>
      <c r="AF609" s="2126">
        <v>45</v>
      </c>
      <c r="AG609" s="1212">
        <v>1</v>
      </c>
      <c r="AH609" s="1212">
        <v>0</v>
      </c>
      <c r="AI609" s="1212">
        <v>0</v>
      </c>
      <c r="AJ609" s="1212">
        <v>1</v>
      </c>
      <c r="AK609" s="2126">
        <v>5825.7834375000002</v>
      </c>
      <c r="AL609" s="2126">
        <v>0</v>
      </c>
      <c r="AM609" s="2126">
        <v>0</v>
      </c>
      <c r="AN609" s="2126">
        <v>5825.7834375000002</v>
      </c>
      <c r="AO609" s="1743" t="s">
        <v>85</v>
      </c>
      <c r="AP609" s="1743" t="s">
        <v>90</v>
      </c>
      <c r="AQ609" s="1764" t="s">
        <v>103</v>
      </c>
      <c r="AR609" s="1743" t="s">
        <v>87</v>
      </c>
      <c r="AS609" s="2135"/>
      <c r="AT609" s="2135"/>
      <c r="AU609" s="1212">
        <v>0.33333333333333331</v>
      </c>
      <c r="AV609" s="1212">
        <v>0.33333333333333331</v>
      </c>
      <c r="AW609" s="1212">
        <v>0.33333333333333331</v>
      </c>
      <c r="AX609" s="1212"/>
      <c r="AY609" s="1212"/>
      <c r="AZ609" s="1212"/>
      <c r="BA609" s="1212"/>
      <c r="BB609" s="1212"/>
      <c r="BC609" s="1212"/>
      <c r="BD609" s="1212"/>
      <c r="BE609" s="1212"/>
      <c r="BF609" s="2126">
        <v>0</v>
      </c>
      <c r="BG609" s="2126">
        <v>0</v>
      </c>
      <c r="BH609" s="2126">
        <v>1941.9278125000001</v>
      </c>
      <c r="BI609" s="2126">
        <v>1941.9278125000001</v>
      </c>
      <c r="BJ609" s="2126">
        <v>1941.9278125000001</v>
      </c>
      <c r="BK609" s="2126">
        <v>0</v>
      </c>
      <c r="BL609" s="2126">
        <v>0</v>
      </c>
      <c r="BM609" s="2126">
        <v>0</v>
      </c>
      <c r="BN609" s="2126">
        <v>0</v>
      </c>
      <c r="BO609" s="2126">
        <v>0</v>
      </c>
      <c r="BP609" s="2126">
        <v>0</v>
      </c>
      <c r="BQ609" s="2126">
        <v>0</v>
      </c>
      <c r="BR609" s="2126">
        <v>0</v>
      </c>
    </row>
    <row r="610" spans="1:76" s="1765" customFormat="1" ht="49.5">
      <c r="A610" s="1272">
        <v>3000</v>
      </c>
      <c r="B610" s="971" t="s">
        <v>1072</v>
      </c>
      <c r="C610" s="1272">
        <v>3200</v>
      </c>
      <c r="D610" s="971" t="s">
        <v>120</v>
      </c>
      <c r="E610" s="971">
        <v>3210</v>
      </c>
      <c r="F610" s="971" t="s">
        <v>1311</v>
      </c>
      <c r="G610" s="971">
        <v>3213</v>
      </c>
      <c r="H610" s="971" t="s">
        <v>1307</v>
      </c>
      <c r="I610" s="1273"/>
      <c r="J610" s="971"/>
      <c r="K610" s="971" t="s">
        <v>2857</v>
      </c>
      <c r="L610" s="971" t="s">
        <v>2858</v>
      </c>
      <c r="M610" s="971" t="s">
        <v>487</v>
      </c>
      <c r="N610" s="971" t="s">
        <v>488</v>
      </c>
      <c r="O610" s="971" t="s">
        <v>215</v>
      </c>
      <c r="P610" s="971"/>
      <c r="Q610" s="971" t="s">
        <v>1314</v>
      </c>
      <c r="R610" s="1266"/>
      <c r="S610" s="2106">
        <v>22</v>
      </c>
      <c r="T610" s="1266" t="s">
        <v>136</v>
      </c>
      <c r="U610" s="1742">
        <v>0.56041666666666667</v>
      </c>
      <c r="V610" s="1742">
        <v>2.8020833333333335</v>
      </c>
      <c r="W610" s="1742">
        <v>49.395125</v>
      </c>
      <c r="X610" s="1742">
        <v>77.264645833333333</v>
      </c>
      <c r="Y610" s="2106">
        <v>129.46185416666665</v>
      </c>
      <c r="Z610" s="2106">
        <v>12.329166666666667</v>
      </c>
      <c r="AA610" s="2106">
        <v>61.645833333333336</v>
      </c>
      <c r="AB610" s="2106">
        <v>1086.6927499999999</v>
      </c>
      <c r="AC610" s="2106">
        <v>1699.8222083333333</v>
      </c>
      <c r="AD610" s="1744">
        <v>2848.1607916666662</v>
      </c>
      <c r="AE610" s="2126">
        <v>1</v>
      </c>
      <c r="AF610" s="2126">
        <v>22</v>
      </c>
      <c r="AG610" s="1212">
        <v>1</v>
      </c>
      <c r="AH610" s="1212">
        <v>0</v>
      </c>
      <c r="AI610" s="1212">
        <v>0</v>
      </c>
      <c r="AJ610" s="1212">
        <v>1</v>
      </c>
      <c r="AK610" s="2126">
        <v>2848.1607916666662</v>
      </c>
      <c r="AL610" s="2126">
        <v>0</v>
      </c>
      <c r="AM610" s="2126">
        <v>0</v>
      </c>
      <c r="AN610" s="2126">
        <v>2848.1607916666662</v>
      </c>
      <c r="AO610" s="1743" t="s">
        <v>85</v>
      </c>
      <c r="AP610" s="1743" t="s">
        <v>90</v>
      </c>
      <c r="AQ610" s="1764" t="s">
        <v>103</v>
      </c>
      <c r="AR610" s="1743" t="s">
        <v>87</v>
      </c>
      <c r="AS610" s="2135"/>
      <c r="AT610" s="2135"/>
      <c r="AU610" s="1212">
        <v>0.33333333333333331</v>
      </c>
      <c r="AV610" s="1212">
        <v>0.33333333333333331</v>
      </c>
      <c r="AW610" s="1212">
        <v>0.33333333333333331</v>
      </c>
      <c r="AX610" s="1212"/>
      <c r="AY610" s="1212"/>
      <c r="AZ610" s="1212"/>
      <c r="BA610" s="1212"/>
      <c r="BB610" s="1212"/>
      <c r="BC610" s="1212"/>
      <c r="BD610" s="1212"/>
      <c r="BE610" s="1212"/>
      <c r="BF610" s="2126">
        <v>0</v>
      </c>
      <c r="BG610" s="2126">
        <v>0</v>
      </c>
      <c r="BH610" s="2126">
        <v>949.38693055555541</v>
      </c>
      <c r="BI610" s="2126">
        <v>949.38693055555541</v>
      </c>
      <c r="BJ610" s="2126">
        <v>949.38693055555541</v>
      </c>
      <c r="BK610" s="2126">
        <v>0</v>
      </c>
      <c r="BL610" s="2126">
        <v>0</v>
      </c>
      <c r="BM610" s="2126">
        <v>0</v>
      </c>
      <c r="BN610" s="2126">
        <v>0</v>
      </c>
      <c r="BO610" s="2126">
        <v>0</v>
      </c>
      <c r="BP610" s="2126">
        <v>0</v>
      </c>
      <c r="BQ610" s="2126">
        <v>0</v>
      </c>
      <c r="BR610" s="2126">
        <v>0</v>
      </c>
    </row>
    <row r="611" spans="1:76" s="1765" customFormat="1" ht="49.5">
      <c r="A611" s="1272">
        <v>3000</v>
      </c>
      <c r="B611" s="971" t="s">
        <v>1072</v>
      </c>
      <c r="C611" s="1272">
        <v>3200</v>
      </c>
      <c r="D611" s="971" t="s">
        <v>120</v>
      </c>
      <c r="E611" s="971">
        <v>3210</v>
      </c>
      <c r="F611" s="971" t="s">
        <v>1311</v>
      </c>
      <c r="G611" s="971">
        <v>3213</v>
      </c>
      <c r="H611" s="971" t="s">
        <v>1307</v>
      </c>
      <c r="I611" s="1273"/>
      <c r="J611" s="971"/>
      <c r="K611" s="971" t="s">
        <v>2857</v>
      </c>
      <c r="L611" s="971" t="s">
        <v>2858</v>
      </c>
      <c r="M611" s="971" t="s">
        <v>487</v>
      </c>
      <c r="N611" s="971" t="s">
        <v>488</v>
      </c>
      <c r="O611" s="971" t="s">
        <v>215</v>
      </c>
      <c r="P611" s="971"/>
      <c r="Q611" s="971" t="s">
        <v>1315</v>
      </c>
      <c r="R611" s="1266"/>
      <c r="S611" s="2106">
        <v>12</v>
      </c>
      <c r="T611" s="1266" t="s">
        <v>136</v>
      </c>
      <c r="U611" s="1742">
        <v>0.56041666666666667</v>
      </c>
      <c r="V611" s="1742">
        <v>2.8020833333333335</v>
      </c>
      <c r="W611" s="1742">
        <v>49.395125</v>
      </c>
      <c r="X611" s="1742">
        <v>77.264645833333333</v>
      </c>
      <c r="Y611" s="2106">
        <v>129.46185416666665</v>
      </c>
      <c r="Z611" s="2106">
        <v>6.7249999999999996</v>
      </c>
      <c r="AA611" s="2106">
        <v>33.625</v>
      </c>
      <c r="AB611" s="2106">
        <v>592.74149999999997</v>
      </c>
      <c r="AC611" s="2106">
        <v>927.17574999999999</v>
      </c>
      <c r="AD611" s="1744">
        <v>1553.54225</v>
      </c>
      <c r="AE611" s="2126">
        <v>1</v>
      </c>
      <c r="AF611" s="2126">
        <v>12</v>
      </c>
      <c r="AG611" s="1212">
        <v>1</v>
      </c>
      <c r="AH611" s="1212">
        <v>0</v>
      </c>
      <c r="AI611" s="1212">
        <v>0</v>
      </c>
      <c r="AJ611" s="1212">
        <v>1</v>
      </c>
      <c r="AK611" s="2126">
        <v>1553.54225</v>
      </c>
      <c r="AL611" s="2126">
        <v>0</v>
      </c>
      <c r="AM611" s="2126">
        <v>0</v>
      </c>
      <c r="AN611" s="2126">
        <v>1553.54225</v>
      </c>
      <c r="AO611" s="1743" t="s">
        <v>85</v>
      </c>
      <c r="AP611" s="1743" t="s">
        <v>90</v>
      </c>
      <c r="AQ611" s="1764" t="s">
        <v>103</v>
      </c>
      <c r="AR611" s="1743" t="s">
        <v>87</v>
      </c>
      <c r="AS611" s="2135"/>
      <c r="AT611" s="2135"/>
      <c r="AU611" s="1212">
        <v>0.33333333333333331</v>
      </c>
      <c r="AV611" s="1212">
        <v>0.33333333333333331</v>
      </c>
      <c r="AW611" s="1212">
        <v>0.33333333333333331</v>
      </c>
      <c r="AX611" s="1212"/>
      <c r="AY611" s="1212"/>
      <c r="AZ611" s="1212"/>
      <c r="BA611" s="1212"/>
      <c r="BB611" s="1212"/>
      <c r="BC611" s="1212"/>
      <c r="BD611" s="1212"/>
      <c r="BE611" s="1212"/>
      <c r="BF611" s="2126">
        <v>0</v>
      </c>
      <c r="BG611" s="2126">
        <v>0</v>
      </c>
      <c r="BH611" s="2126">
        <v>517.84741666666662</v>
      </c>
      <c r="BI611" s="2126">
        <v>517.84741666666662</v>
      </c>
      <c r="BJ611" s="2126">
        <v>517.84741666666662</v>
      </c>
      <c r="BK611" s="2126">
        <v>0</v>
      </c>
      <c r="BL611" s="2126">
        <v>0</v>
      </c>
      <c r="BM611" s="2126">
        <v>0</v>
      </c>
      <c r="BN611" s="2126">
        <v>0</v>
      </c>
      <c r="BO611" s="2126">
        <v>0</v>
      </c>
      <c r="BP611" s="2126">
        <v>0</v>
      </c>
      <c r="BQ611" s="2126">
        <v>0</v>
      </c>
      <c r="BR611" s="2126">
        <v>0</v>
      </c>
    </row>
    <row r="612" spans="1:76" s="1765" customFormat="1">
      <c r="A612" s="1317">
        <v>4000</v>
      </c>
      <c r="B612" s="1318" t="s">
        <v>1316</v>
      </c>
      <c r="C612" s="1804"/>
      <c r="D612" s="1805"/>
      <c r="E612" s="1805"/>
      <c r="F612" s="1805"/>
      <c r="G612" s="1805"/>
      <c r="H612" s="1805"/>
      <c r="I612" s="1805"/>
      <c r="J612" s="1805" t="s">
        <v>121</v>
      </c>
      <c r="K612" s="1805"/>
      <c r="L612" s="1805"/>
      <c r="M612" s="1805"/>
      <c r="N612" s="1805"/>
      <c r="O612" s="1805"/>
      <c r="P612" s="1805"/>
      <c r="Q612" s="1805"/>
      <c r="R612" s="1780"/>
      <c r="S612" s="2108"/>
      <c r="T612" s="1780"/>
      <c r="U612" s="1782"/>
      <c r="V612" s="1782"/>
      <c r="W612" s="1782"/>
      <c r="X612" s="1782"/>
      <c r="Y612" s="2108"/>
      <c r="Z612" s="2108"/>
      <c r="AA612" s="2108"/>
      <c r="AB612" s="2108"/>
      <c r="AC612" s="2108"/>
      <c r="AD612" s="1778"/>
      <c r="AE612" s="2130"/>
      <c r="AF612" s="2130"/>
      <c r="AG612" s="1783"/>
      <c r="AH612" s="1783"/>
      <c r="AI612" s="1783"/>
      <c r="AJ612" s="1783"/>
      <c r="AK612" s="2139"/>
      <c r="AL612" s="2139"/>
      <c r="AM612" s="2139"/>
      <c r="AN612" s="2139"/>
      <c r="AO612" s="1319"/>
      <c r="AP612" s="1781"/>
      <c r="AQ612" s="1779"/>
      <c r="AR612" s="1781"/>
      <c r="AS612" s="1783"/>
      <c r="AT612" s="1783"/>
      <c r="AU612" s="1783"/>
      <c r="AV612" s="1783"/>
      <c r="AW612" s="1783"/>
      <c r="AX612" s="1783"/>
      <c r="AY612" s="1783"/>
      <c r="AZ612" s="1783"/>
      <c r="BA612" s="1783"/>
      <c r="BB612" s="1783"/>
      <c r="BC612" s="1783"/>
      <c r="BD612" s="1783"/>
      <c r="BE612" s="1783"/>
      <c r="BF612" s="2149"/>
      <c r="BG612" s="2149"/>
      <c r="BH612" s="2139"/>
      <c r="BI612" s="2139"/>
      <c r="BJ612" s="2139"/>
      <c r="BK612" s="2139"/>
      <c r="BL612" s="2139"/>
      <c r="BM612" s="2139"/>
      <c r="BN612" s="2139"/>
      <c r="BO612" s="2139"/>
      <c r="BP612" s="2139"/>
      <c r="BQ612" s="2139"/>
      <c r="BR612" s="2139"/>
      <c r="BS612" s="1761"/>
      <c r="BT612" s="1761"/>
      <c r="BU612" s="1761"/>
      <c r="BV612" s="1761"/>
      <c r="BW612" s="1761"/>
      <c r="BX612" s="1761"/>
    </row>
    <row r="613" spans="1:76" s="1765" customFormat="1">
      <c r="A613" s="1802">
        <v>4000</v>
      </c>
      <c r="B613" s="1803" t="s">
        <v>1316</v>
      </c>
      <c r="C613" s="1803">
        <v>4100</v>
      </c>
      <c r="D613" s="1803" t="s">
        <v>120</v>
      </c>
      <c r="E613" s="1803"/>
      <c r="F613" s="1803"/>
      <c r="G613" s="1803"/>
      <c r="H613" s="1803"/>
      <c r="I613" s="1803"/>
      <c r="J613" s="1803"/>
      <c r="K613" s="1803"/>
      <c r="L613" s="1803"/>
      <c r="M613" s="1803"/>
      <c r="N613" s="1803"/>
      <c r="O613" s="1803"/>
      <c r="P613" s="1803"/>
      <c r="Q613" s="1803"/>
      <c r="R613" s="1774"/>
      <c r="S613" s="2107"/>
      <c r="T613" s="1774"/>
      <c r="U613" s="1776"/>
      <c r="V613" s="1776"/>
      <c r="W613" s="1776"/>
      <c r="X613" s="1776"/>
      <c r="Y613" s="2107"/>
      <c r="Z613" s="2107"/>
      <c r="AA613" s="2107"/>
      <c r="AB613" s="2107"/>
      <c r="AC613" s="2107"/>
      <c r="AD613" s="1775"/>
      <c r="AE613" s="2129"/>
      <c r="AF613" s="2129"/>
      <c r="AG613" s="1777"/>
      <c r="AH613" s="1777"/>
      <c r="AI613" s="1777"/>
      <c r="AJ613" s="1777"/>
      <c r="AK613" s="2127"/>
      <c r="AL613" s="2127"/>
      <c r="AM613" s="2127"/>
      <c r="AN613" s="2127"/>
      <c r="AO613" s="1775"/>
      <c r="AP613" s="1775"/>
      <c r="AQ613" s="1773"/>
      <c r="AR613" s="1775"/>
      <c r="AS613" s="1777"/>
      <c r="AT613" s="1777"/>
      <c r="AU613" s="1777"/>
      <c r="AV613" s="1777"/>
      <c r="AW613" s="1777"/>
      <c r="AX613" s="1777"/>
      <c r="AY613" s="1777"/>
      <c r="AZ613" s="1777"/>
      <c r="BA613" s="1777"/>
      <c r="BB613" s="1777"/>
      <c r="BC613" s="1777"/>
      <c r="BD613" s="1777"/>
      <c r="BE613" s="1777"/>
      <c r="BF613" s="2127"/>
      <c r="BG613" s="2127"/>
      <c r="BH613" s="2127"/>
      <c r="BI613" s="2127"/>
      <c r="BJ613" s="2127"/>
      <c r="BK613" s="2127"/>
      <c r="BL613" s="2127"/>
      <c r="BM613" s="2127"/>
      <c r="BN613" s="2127"/>
      <c r="BO613" s="2127"/>
      <c r="BP613" s="2127"/>
      <c r="BQ613" s="2127"/>
      <c r="BR613" s="2127"/>
    </row>
    <row r="614" spans="1:76" s="1765" customFormat="1" ht="49.5">
      <c r="A614" s="1272">
        <v>4000</v>
      </c>
      <c r="B614" s="971" t="s">
        <v>1316</v>
      </c>
      <c r="C614" s="1272">
        <v>4100</v>
      </c>
      <c r="D614" s="971" t="s">
        <v>120</v>
      </c>
      <c r="E614" s="971">
        <v>4110</v>
      </c>
      <c r="F614" s="971" t="s">
        <v>122</v>
      </c>
      <c r="G614" s="971">
        <v>4110</v>
      </c>
      <c r="H614" s="971" t="s">
        <v>122</v>
      </c>
      <c r="I614" s="1273" t="s">
        <v>1317</v>
      </c>
      <c r="J614" s="971" t="s">
        <v>124</v>
      </c>
      <c r="K614" s="971" t="s">
        <v>125</v>
      </c>
      <c r="L614" s="971" t="s">
        <v>2868</v>
      </c>
      <c r="M614" s="971" t="s">
        <v>126</v>
      </c>
      <c r="N614" s="971" t="s">
        <v>127</v>
      </c>
      <c r="O614" s="971" t="s">
        <v>128</v>
      </c>
      <c r="P614" s="971"/>
      <c r="Q614" s="971" t="s">
        <v>1077</v>
      </c>
      <c r="R614" s="1266" t="s">
        <v>1318</v>
      </c>
      <c r="S614" s="2106">
        <v>14.869888475836431</v>
      </c>
      <c r="T614" s="1266" t="s">
        <v>136</v>
      </c>
      <c r="U614" s="1742">
        <v>0.11208333333333333</v>
      </c>
      <c r="V614" s="1742">
        <v>1.4010416666666667</v>
      </c>
      <c r="W614" s="1742">
        <v>9.8790250000000004</v>
      </c>
      <c r="X614" s="1742">
        <v>15.452929166666667</v>
      </c>
      <c r="Y614" s="2106">
        <v>26.73299583333333</v>
      </c>
      <c r="Z614" s="2106">
        <v>1.6666666666666665</v>
      </c>
      <c r="AA614" s="2106">
        <v>20.833333333333336</v>
      </c>
      <c r="AB614" s="2106">
        <v>146.9</v>
      </c>
      <c r="AC614" s="2106">
        <v>229.78333333333333</v>
      </c>
      <c r="AD614" s="1744">
        <v>397.51666666666665</v>
      </c>
      <c r="AE614" s="2126">
        <v>1</v>
      </c>
      <c r="AF614" s="2126">
        <v>14.869888475836431</v>
      </c>
      <c r="AG614" s="1212">
        <v>1</v>
      </c>
      <c r="AH614" s="1212">
        <v>0</v>
      </c>
      <c r="AI614" s="1212">
        <v>0</v>
      </c>
      <c r="AJ614" s="1212">
        <v>1</v>
      </c>
      <c r="AK614" s="2126">
        <v>397.51666666666665</v>
      </c>
      <c r="AL614" s="2126">
        <v>0</v>
      </c>
      <c r="AM614" s="2126">
        <v>0</v>
      </c>
      <c r="AN614" s="2126">
        <v>397.51666666666665</v>
      </c>
      <c r="AO614" s="1743" t="s">
        <v>85</v>
      </c>
      <c r="AP614" s="1743"/>
      <c r="AQ614" s="1764">
        <v>2014</v>
      </c>
      <c r="AR614" s="1743" t="s">
        <v>87</v>
      </c>
      <c r="AS614" s="2135"/>
      <c r="AT614" s="2135"/>
      <c r="AU614" s="1212">
        <v>0.33333333333333331</v>
      </c>
      <c r="AV614" s="1212">
        <v>0.33333333333333331</v>
      </c>
      <c r="AW614" s="1212">
        <v>0.33333333333333331</v>
      </c>
      <c r="AX614" s="1212"/>
      <c r="AY614" s="1212"/>
      <c r="AZ614" s="1212"/>
      <c r="BA614" s="1212"/>
      <c r="BB614" s="1212"/>
      <c r="BC614" s="1212"/>
      <c r="BD614" s="1212"/>
      <c r="BE614" s="1212"/>
      <c r="BF614" s="2126">
        <v>0</v>
      </c>
      <c r="BG614" s="2126">
        <v>0</v>
      </c>
      <c r="BH614" s="2126">
        <v>132.50555555555553</v>
      </c>
      <c r="BI614" s="2126">
        <v>132.50555555555553</v>
      </c>
      <c r="BJ614" s="2126">
        <v>132.50555555555553</v>
      </c>
      <c r="BK614" s="2126">
        <v>0</v>
      </c>
      <c r="BL614" s="2126">
        <v>0</v>
      </c>
      <c r="BM614" s="2126">
        <v>0</v>
      </c>
      <c r="BN614" s="2126">
        <v>0</v>
      </c>
      <c r="BO614" s="2126">
        <v>0</v>
      </c>
      <c r="BP614" s="2126">
        <v>0</v>
      </c>
      <c r="BQ614" s="2126">
        <v>0</v>
      </c>
      <c r="BR614" s="2126">
        <v>0</v>
      </c>
    </row>
    <row r="615" spans="1:76" s="1765" customFormat="1" ht="49.5">
      <c r="A615" s="1272">
        <v>4000</v>
      </c>
      <c r="B615" s="971" t="s">
        <v>1316</v>
      </c>
      <c r="C615" s="1272">
        <v>4100</v>
      </c>
      <c r="D615" s="971" t="s">
        <v>120</v>
      </c>
      <c r="E615" s="971">
        <v>4110</v>
      </c>
      <c r="F615" s="971" t="s">
        <v>122</v>
      </c>
      <c r="G615" s="971">
        <v>4110</v>
      </c>
      <c r="H615" s="971" t="s">
        <v>122</v>
      </c>
      <c r="I615" s="1273" t="s">
        <v>1319</v>
      </c>
      <c r="J615" s="971" t="s">
        <v>124</v>
      </c>
      <c r="K615" s="971" t="s">
        <v>125</v>
      </c>
      <c r="L615" s="971" t="s">
        <v>2868</v>
      </c>
      <c r="M615" s="971" t="s">
        <v>126</v>
      </c>
      <c r="N615" s="971" t="s">
        <v>127</v>
      </c>
      <c r="O615" s="971" t="s">
        <v>128</v>
      </c>
      <c r="P615" s="971"/>
      <c r="Q615" s="971" t="s">
        <v>1080</v>
      </c>
      <c r="R615" s="1266" t="s">
        <v>1320</v>
      </c>
      <c r="S615" s="2106">
        <v>14.869888475836431</v>
      </c>
      <c r="T615" s="1266" t="s">
        <v>136</v>
      </c>
      <c r="U615" s="1742">
        <v>0.11208333333333333</v>
      </c>
      <c r="V615" s="1742">
        <v>1.4010416666666667</v>
      </c>
      <c r="W615" s="1742">
        <v>9.8790250000000004</v>
      </c>
      <c r="X615" s="1742">
        <v>15.452929166666667</v>
      </c>
      <c r="Y615" s="2106">
        <v>26.73299583333333</v>
      </c>
      <c r="Z615" s="2106">
        <v>1.6666666666666665</v>
      </c>
      <c r="AA615" s="2106">
        <v>20.833333333333336</v>
      </c>
      <c r="AB615" s="2106">
        <v>146.9</v>
      </c>
      <c r="AC615" s="2106">
        <v>229.78333333333333</v>
      </c>
      <c r="AD615" s="1744">
        <v>397.51666666666665</v>
      </c>
      <c r="AE615" s="2126">
        <v>1</v>
      </c>
      <c r="AF615" s="2126">
        <v>14.869888475836431</v>
      </c>
      <c r="AG615" s="1212">
        <v>1</v>
      </c>
      <c r="AH615" s="1212">
        <v>0</v>
      </c>
      <c r="AI615" s="1212">
        <v>0</v>
      </c>
      <c r="AJ615" s="1212">
        <v>1</v>
      </c>
      <c r="AK615" s="2126">
        <v>397.51666666666665</v>
      </c>
      <c r="AL615" s="2126">
        <v>0</v>
      </c>
      <c r="AM615" s="2126">
        <v>0</v>
      </c>
      <c r="AN615" s="2126">
        <v>397.51666666666665</v>
      </c>
      <c r="AO615" s="1743" t="s">
        <v>85</v>
      </c>
      <c r="AP615" s="1743"/>
      <c r="AQ615" s="1764">
        <v>2014</v>
      </c>
      <c r="AR615" s="1743" t="s">
        <v>87</v>
      </c>
      <c r="AS615" s="2135"/>
      <c r="AT615" s="2135"/>
      <c r="AU615" s="1212">
        <v>0.33333333333333331</v>
      </c>
      <c r="AV615" s="1212">
        <v>0.33333333333333331</v>
      </c>
      <c r="AW615" s="1212">
        <v>0.33333333333333331</v>
      </c>
      <c r="AX615" s="1212"/>
      <c r="AY615" s="1212"/>
      <c r="AZ615" s="1212"/>
      <c r="BA615" s="1212"/>
      <c r="BB615" s="1212"/>
      <c r="BC615" s="1212"/>
      <c r="BD615" s="1212"/>
      <c r="BE615" s="1212"/>
      <c r="BF615" s="2126">
        <v>0</v>
      </c>
      <c r="BG615" s="2126">
        <v>0</v>
      </c>
      <c r="BH615" s="2126">
        <v>132.50555555555553</v>
      </c>
      <c r="BI615" s="2126">
        <v>132.50555555555553</v>
      </c>
      <c r="BJ615" s="2126">
        <v>132.50555555555553</v>
      </c>
      <c r="BK615" s="2126">
        <v>0</v>
      </c>
      <c r="BL615" s="2126">
        <v>0</v>
      </c>
      <c r="BM615" s="2126">
        <v>0</v>
      </c>
      <c r="BN615" s="2126">
        <v>0</v>
      </c>
      <c r="BO615" s="2126">
        <v>0</v>
      </c>
      <c r="BP615" s="2126">
        <v>0</v>
      </c>
      <c r="BQ615" s="2126">
        <v>0</v>
      </c>
      <c r="BR615" s="2126">
        <v>0</v>
      </c>
    </row>
    <row r="616" spans="1:76" s="1765" customFormat="1" ht="49.5">
      <c r="A616" s="1272">
        <v>4000</v>
      </c>
      <c r="B616" s="971" t="s">
        <v>1316</v>
      </c>
      <c r="C616" s="1272">
        <v>4100</v>
      </c>
      <c r="D616" s="971" t="s">
        <v>120</v>
      </c>
      <c r="E616" s="971">
        <v>4110</v>
      </c>
      <c r="F616" s="971" t="s">
        <v>122</v>
      </c>
      <c r="G616" s="971">
        <v>4110</v>
      </c>
      <c r="H616" s="971" t="s">
        <v>122</v>
      </c>
      <c r="I616" s="1273"/>
      <c r="J616" s="971" t="s">
        <v>124</v>
      </c>
      <c r="K616" s="971"/>
      <c r="L616" s="971"/>
      <c r="M616" s="971"/>
      <c r="N616" s="971"/>
      <c r="O616" s="971"/>
      <c r="P616" s="971"/>
      <c r="Q616" s="971" t="s">
        <v>134</v>
      </c>
      <c r="R616" s="1266" t="s">
        <v>1321</v>
      </c>
      <c r="S616" s="2106">
        <v>0</v>
      </c>
      <c r="T616" s="1266" t="s">
        <v>136</v>
      </c>
      <c r="U616" s="1742" t="s">
        <v>6588</v>
      </c>
      <c r="V616" s="1742" t="s">
        <v>6588</v>
      </c>
      <c r="W616" s="1742" t="s">
        <v>6588</v>
      </c>
      <c r="X616" s="1742" t="s">
        <v>6588</v>
      </c>
      <c r="Y616" s="2106" t="s">
        <v>6588</v>
      </c>
      <c r="Z616" s="2106">
        <v>0</v>
      </c>
      <c r="AA616" s="2106">
        <v>0</v>
      </c>
      <c r="AB616" s="2106">
        <v>0</v>
      </c>
      <c r="AC616" s="2106">
        <v>0</v>
      </c>
      <c r="AD616" s="1744">
        <v>0</v>
      </c>
      <c r="AE616" s="2126">
        <v>0</v>
      </c>
      <c r="AF616" s="2126">
        <v>0</v>
      </c>
      <c r="AG616" s="1212">
        <v>1</v>
      </c>
      <c r="AH616" s="1212">
        <v>0</v>
      </c>
      <c r="AI616" s="1212">
        <v>0</v>
      </c>
      <c r="AJ616" s="1212">
        <v>1</v>
      </c>
      <c r="AK616" s="2126">
        <v>0</v>
      </c>
      <c r="AL616" s="2126">
        <v>0</v>
      </c>
      <c r="AM616" s="2126">
        <v>0</v>
      </c>
      <c r="AN616" s="2126">
        <v>0</v>
      </c>
      <c r="AO616" s="1743" t="s">
        <v>85</v>
      </c>
      <c r="AP616" s="1743"/>
      <c r="AQ616" s="1764">
        <v>2014</v>
      </c>
      <c r="AR616" s="1743" t="s">
        <v>87</v>
      </c>
      <c r="AS616" s="2135"/>
      <c r="AT616" s="2135"/>
      <c r="AU616" s="1212">
        <v>0.33333333333333331</v>
      </c>
      <c r="AV616" s="1212">
        <v>0.33333333333333331</v>
      </c>
      <c r="AW616" s="1212">
        <v>0.33333333333333331</v>
      </c>
      <c r="AX616" s="1212"/>
      <c r="AY616" s="1212"/>
      <c r="AZ616" s="1212"/>
      <c r="BA616" s="1212"/>
      <c r="BB616" s="1212"/>
      <c r="BC616" s="1212"/>
      <c r="BD616" s="1212"/>
      <c r="BE616" s="1212"/>
      <c r="BF616" s="2126">
        <v>0</v>
      </c>
      <c r="BG616" s="2126">
        <v>0</v>
      </c>
      <c r="BH616" s="2126">
        <v>0</v>
      </c>
      <c r="BI616" s="2126">
        <v>0</v>
      </c>
      <c r="BJ616" s="2126">
        <v>0</v>
      </c>
      <c r="BK616" s="2126">
        <v>0</v>
      </c>
      <c r="BL616" s="2126">
        <v>0</v>
      </c>
      <c r="BM616" s="2126">
        <v>0</v>
      </c>
      <c r="BN616" s="2126">
        <v>0</v>
      </c>
      <c r="BO616" s="2126">
        <v>0</v>
      </c>
      <c r="BP616" s="2126">
        <v>0</v>
      </c>
      <c r="BQ616" s="2126">
        <v>0</v>
      </c>
      <c r="BR616" s="2126">
        <v>0</v>
      </c>
    </row>
    <row r="617" spans="1:76" s="1765" customFormat="1" ht="49.5">
      <c r="A617" s="1272">
        <v>4000</v>
      </c>
      <c r="B617" s="971" t="s">
        <v>1316</v>
      </c>
      <c r="C617" s="1272">
        <v>4100</v>
      </c>
      <c r="D617" s="971" t="s">
        <v>120</v>
      </c>
      <c r="E617" s="971">
        <v>4110</v>
      </c>
      <c r="F617" s="971" t="s">
        <v>122</v>
      </c>
      <c r="G617" s="971">
        <v>4110</v>
      </c>
      <c r="H617" s="971" t="s">
        <v>122</v>
      </c>
      <c r="I617" s="1273"/>
      <c r="J617" s="971" t="s">
        <v>124</v>
      </c>
      <c r="K617" s="971"/>
      <c r="L617" s="971"/>
      <c r="M617" s="971"/>
      <c r="N617" s="971"/>
      <c r="O617" s="971"/>
      <c r="P617" s="971"/>
      <c r="Q617" s="971" t="s">
        <v>137</v>
      </c>
      <c r="R617" s="1266" t="s">
        <v>1321</v>
      </c>
      <c r="S617" s="2106">
        <v>0</v>
      </c>
      <c r="T617" s="1266" t="s">
        <v>136</v>
      </c>
      <c r="U617" s="1742" t="s">
        <v>6588</v>
      </c>
      <c r="V617" s="1742" t="s">
        <v>6588</v>
      </c>
      <c r="W617" s="1742" t="s">
        <v>6588</v>
      </c>
      <c r="X617" s="1742" t="s">
        <v>6588</v>
      </c>
      <c r="Y617" s="2106" t="s">
        <v>6588</v>
      </c>
      <c r="Z617" s="2106">
        <v>0</v>
      </c>
      <c r="AA617" s="2106">
        <v>0</v>
      </c>
      <c r="AB617" s="2106">
        <v>0</v>
      </c>
      <c r="AC617" s="2106">
        <v>0</v>
      </c>
      <c r="AD617" s="1744">
        <v>0</v>
      </c>
      <c r="AE617" s="2126">
        <v>0</v>
      </c>
      <c r="AF617" s="2126">
        <v>0</v>
      </c>
      <c r="AG617" s="1212">
        <v>1</v>
      </c>
      <c r="AH617" s="1212">
        <v>0</v>
      </c>
      <c r="AI617" s="1212">
        <v>0</v>
      </c>
      <c r="AJ617" s="1212">
        <v>1</v>
      </c>
      <c r="AK617" s="2126">
        <v>0</v>
      </c>
      <c r="AL617" s="2126">
        <v>0</v>
      </c>
      <c r="AM617" s="2126">
        <v>0</v>
      </c>
      <c r="AN617" s="2126">
        <v>0</v>
      </c>
      <c r="AO617" s="1743" t="s">
        <v>85</v>
      </c>
      <c r="AP617" s="1743"/>
      <c r="AQ617" s="1764">
        <v>2014</v>
      </c>
      <c r="AR617" s="1743" t="s">
        <v>87</v>
      </c>
      <c r="AS617" s="2135"/>
      <c r="AT617" s="2135"/>
      <c r="AU617" s="1212">
        <v>0.33333333333333331</v>
      </c>
      <c r="AV617" s="1212">
        <v>0.33333333333333331</v>
      </c>
      <c r="AW617" s="1212">
        <v>0.33333333333333331</v>
      </c>
      <c r="AX617" s="1212"/>
      <c r="AY617" s="1212"/>
      <c r="AZ617" s="1212"/>
      <c r="BA617" s="1212"/>
      <c r="BB617" s="1212"/>
      <c r="BC617" s="1212"/>
      <c r="BD617" s="1212"/>
      <c r="BE617" s="1212"/>
      <c r="BF617" s="2126">
        <v>0</v>
      </c>
      <c r="BG617" s="2126">
        <v>0</v>
      </c>
      <c r="BH617" s="2126">
        <v>0</v>
      </c>
      <c r="BI617" s="2126">
        <v>0</v>
      </c>
      <c r="BJ617" s="2126">
        <v>0</v>
      </c>
      <c r="BK617" s="2126">
        <v>0</v>
      </c>
      <c r="BL617" s="2126">
        <v>0</v>
      </c>
      <c r="BM617" s="2126">
        <v>0</v>
      </c>
      <c r="BN617" s="2126">
        <v>0</v>
      </c>
      <c r="BO617" s="2126">
        <v>0</v>
      </c>
      <c r="BP617" s="2126">
        <v>0</v>
      </c>
      <c r="BQ617" s="2126">
        <v>0</v>
      </c>
      <c r="BR617" s="2126">
        <v>0</v>
      </c>
    </row>
    <row r="618" spans="1:76" s="1765" customFormat="1" ht="49.5">
      <c r="A618" s="1272">
        <v>4000</v>
      </c>
      <c r="B618" s="971" t="s">
        <v>1316</v>
      </c>
      <c r="C618" s="1272">
        <v>4100</v>
      </c>
      <c r="D618" s="971" t="s">
        <v>120</v>
      </c>
      <c r="E618" s="971">
        <v>4110</v>
      </c>
      <c r="F618" s="971" t="s">
        <v>122</v>
      </c>
      <c r="G618" s="971">
        <v>4110</v>
      </c>
      <c r="H618" s="971" t="s">
        <v>122</v>
      </c>
      <c r="I618" s="1273"/>
      <c r="J618" s="971" t="s">
        <v>124</v>
      </c>
      <c r="K618" s="971"/>
      <c r="L618" s="971"/>
      <c r="M618" s="971"/>
      <c r="N618" s="971"/>
      <c r="O618" s="971"/>
      <c r="P618" s="971"/>
      <c r="Q618" s="971" t="s">
        <v>138</v>
      </c>
      <c r="R618" s="1266" t="s">
        <v>1321</v>
      </c>
      <c r="S618" s="2106">
        <v>0</v>
      </c>
      <c r="T618" s="1266" t="s">
        <v>136</v>
      </c>
      <c r="U618" s="1742" t="s">
        <v>6588</v>
      </c>
      <c r="V618" s="1742" t="s">
        <v>6588</v>
      </c>
      <c r="W618" s="1742" t="s">
        <v>6588</v>
      </c>
      <c r="X618" s="1742" t="s">
        <v>6588</v>
      </c>
      <c r="Y618" s="2106" t="s">
        <v>6588</v>
      </c>
      <c r="Z618" s="2106">
        <v>0</v>
      </c>
      <c r="AA618" s="2106">
        <v>0</v>
      </c>
      <c r="AB618" s="2106">
        <v>0</v>
      </c>
      <c r="AC618" s="2106">
        <v>0</v>
      </c>
      <c r="AD618" s="1744">
        <v>0</v>
      </c>
      <c r="AE618" s="2126">
        <v>0</v>
      </c>
      <c r="AF618" s="2126">
        <v>0</v>
      </c>
      <c r="AG618" s="1212">
        <v>1</v>
      </c>
      <c r="AH618" s="1212">
        <v>0</v>
      </c>
      <c r="AI618" s="1212">
        <v>0</v>
      </c>
      <c r="AJ618" s="1212">
        <v>1</v>
      </c>
      <c r="AK618" s="2126">
        <v>0</v>
      </c>
      <c r="AL618" s="2126">
        <v>0</v>
      </c>
      <c r="AM618" s="2126">
        <v>0</v>
      </c>
      <c r="AN618" s="2126">
        <v>0</v>
      </c>
      <c r="AO618" s="1743" t="s">
        <v>85</v>
      </c>
      <c r="AP618" s="1743"/>
      <c r="AQ618" s="1764">
        <v>2014</v>
      </c>
      <c r="AR618" s="1743" t="s">
        <v>87</v>
      </c>
      <c r="AS618" s="2135"/>
      <c r="AT618" s="2135"/>
      <c r="AU618" s="1212">
        <v>0.33333333333333331</v>
      </c>
      <c r="AV618" s="1212">
        <v>0.33333333333333331</v>
      </c>
      <c r="AW618" s="1212">
        <v>0.33333333333333331</v>
      </c>
      <c r="AX618" s="1212"/>
      <c r="AY618" s="1212"/>
      <c r="AZ618" s="1212"/>
      <c r="BA618" s="1212"/>
      <c r="BB618" s="1212"/>
      <c r="BC618" s="1212"/>
      <c r="BD618" s="1212"/>
      <c r="BE618" s="1212"/>
      <c r="BF618" s="2126">
        <v>0</v>
      </c>
      <c r="BG618" s="2126">
        <v>0</v>
      </c>
      <c r="BH618" s="2126">
        <v>0</v>
      </c>
      <c r="BI618" s="2126">
        <v>0</v>
      </c>
      <c r="BJ618" s="2126">
        <v>0</v>
      </c>
      <c r="BK618" s="2126">
        <v>0</v>
      </c>
      <c r="BL618" s="2126">
        <v>0</v>
      </c>
      <c r="BM618" s="2126">
        <v>0</v>
      </c>
      <c r="BN618" s="2126">
        <v>0</v>
      </c>
      <c r="BO618" s="2126">
        <v>0</v>
      </c>
      <c r="BP618" s="2126">
        <v>0</v>
      </c>
      <c r="BQ618" s="2126">
        <v>0</v>
      </c>
      <c r="BR618" s="2126">
        <v>0</v>
      </c>
    </row>
    <row r="619" spans="1:76" s="1765" customFormat="1" ht="49.5">
      <c r="A619" s="1272">
        <v>4000</v>
      </c>
      <c r="B619" s="971" t="s">
        <v>1316</v>
      </c>
      <c r="C619" s="1272">
        <v>4100</v>
      </c>
      <c r="D619" s="971" t="s">
        <v>120</v>
      </c>
      <c r="E619" s="971">
        <v>4110</v>
      </c>
      <c r="F619" s="971" t="s">
        <v>122</v>
      </c>
      <c r="G619" s="971">
        <v>4110</v>
      </c>
      <c r="H619" s="971" t="s">
        <v>122</v>
      </c>
      <c r="I619" s="1273" t="s">
        <v>1322</v>
      </c>
      <c r="J619" s="971" t="s">
        <v>124</v>
      </c>
      <c r="K619" s="971" t="s">
        <v>140</v>
      </c>
      <c r="L619" s="971" t="s">
        <v>2909</v>
      </c>
      <c r="M619" s="971" t="s">
        <v>140</v>
      </c>
      <c r="N619" s="971" t="s">
        <v>141</v>
      </c>
      <c r="O619" s="971" t="s">
        <v>142</v>
      </c>
      <c r="P619" s="971"/>
      <c r="Q619" s="971" t="s">
        <v>1089</v>
      </c>
      <c r="R619" s="1266" t="s">
        <v>1318</v>
      </c>
      <c r="S619" s="2106">
        <v>14.869888475836431</v>
      </c>
      <c r="T619" s="1266" t="s">
        <v>136</v>
      </c>
      <c r="U619" s="1742">
        <v>0</v>
      </c>
      <c r="V619" s="1742">
        <v>0</v>
      </c>
      <c r="W619" s="1742">
        <v>0</v>
      </c>
      <c r="X619" s="1742">
        <v>0</v>
      </c>
      <c r="Y619" s="2106">
        <v>0</v>
      </c>
      <c r="Z619" s="2106">
        <v>0</v>
      </c>
      <c r="AA619" s="2106">
        <v>0</v>
      </c>
      <c r="AB619" s="2106">
        <v>0</v>
      </c>
      <c r="AC619" s="2106">
        <v>0</v>
      </c>
      <c r="AD619" s="1744">
        <v>0</v>
      </c>
      <c r="AE619" s="2126">
        <v>0</v>
      </c>
      <c r="AF619" s="2126">
        <v>0</v>
      </c>
      <c r="AG619" s="1212">
        <v>1</v>
      </c>
      <c r="AH619" s="1212">
        <v>0</v>
      </c>
      <c r="AI619" s="1212">
        <v>0</v>
      </c>
      <c r="AJ619" s="1212">
        <v>1</v>
      </c>
      <c r="AK619" s="2126">
        <v>0</v>
      </c>
      <c r="AL619" s="2126">
        <v>0</v>
      </c>
      <c r="AM619" s="2126">
        <v>0</v>
      </c>
      <c r="AN619" s="2126">
        <v>0</v>
      </c>
      <c r="AO619" s="1743" t="s">
        <v>85</v>
      </c>
      <c r="AP619" s="1743"/>
      <c r="AQ619" s="1764">
        <v>2014</v>
      </c>
      <c r="AR619" s="1743" t="s">
        <v>87</v>
      </c>
      <c r="AS619" s="2135"/>
      <c r="AT619" s="2135"/>
      <c r="AU619" s="1212">
        <v>0.33333333333333331</v>
      </c>
      <c r="AV619" s="1212">
        <v>0.33333333333333331</v>
      </c>
      <c r="AW619" s="1212">
        <v>0.33333333333333331</v>
      </c>
      <c r="AX619" s="1212"/>
      <c r="AY619" s="1212"/>
      <c r="AZ619" s="1212"/>
      <c r="BA619" s="1212"/>
      <c r="BB619" s="1212"/>
      <c r="BC619" s="1212"/>
      <c r="BD619" s="1212"/>
      <c r="BE619" s="1212"/>
      <c r="BF619" s="2126">
        <v>0</v>
      </c>
      <c r="BG619" s="2126">
        <v>0</v>
      </c>
      <c r="BH619" s="2126">
        <v>0</v>
      </c>
      <c r="BI619" s="2126">
        <v>0</v>
      </c>
      <c r="BJ619" s="2126">
        <v>0</v>
      </c>
      <c r="BK619" s="2126">
        <v>0</v>
      </c>
      <c r="BL619" s="2126">
        <v>0</v>
      </c>
      <c r="BM619" s="2126">
        <v>0</v>
      </c>
      <c r="BN619" s="2126">
        <v>0</v>
      </c>
      <c r="BO619" s="2126">
        <v>0</v>
      </c>
      <c r="BP619" s="2126">
        <v>0</v>
      </c>
      <c r="BQ619" s="2126">
        <v>0</v>
      </c>
      <c r="BR619" s="2126">
        <v>0</v>
      </c>
    </row>
    <row r="620" spans="1:76" s="1765" customFormat="1" ht="49.5">
      <c r="A620" s="1272">
        <v>4000</v>
      </c>
      <c r="B620" s="971" t="s">
        <v>1316</v>
      </c>
      <c r="C620" s="1272">
        <v>4100</v>
      </c>
      <c r="D620" s="971" t="s">
        <v>120</v>
      </c>
      <c r="E620" s="971">
        <v>4110</v>
      </c>
      <c r="F620" s="971" t="s">
        <v>122</v>
      </c>
      <c r="G620" s="971">
        <v>4110</v>
      </c>
      <c r="H620" s="971" t="s">
        <v>122</v>
      </c>
      <c r="I620" s="1273" t="s">
        <v>1323</v>
      </c>
      <c r="J620" s="971" t="s">
        <v>124</v>
      </c>
      <c r="K620" s="971"/>
      <c r="L620" s="971" t="e">
        <v>#N/A</v>
      </c>
      <c r="M620" s="971" t="s">
        <v>145</v>
      </c>
      <c r="N620" s="971" t="s">
        <v>141</v>
      </c>
      <c r="O620" s="971" t="s">
        <v>146</v>
      </c>
      <c r="P620" s="971"/>
      <c r="Q620" s="971" t="s">
        <v>1091</v>
      </c>
      <c r="R620" s="1266" t="s">
        <v>1318</v>
      </c>
      <c r="S620" s="2106">
        <v>14.869888475836431</v>
      </c>
      <c r="T620" s="1266" t="s">
        <v>136</v>
      </c>
      <c r="U620" s="1742" t="s">
        <v>6588</v>
      </c>
      <c r="V620" s="1742" t="s">
        <v>6588</v>
      </c>
      <c r="W620" s="1742" t="s">
        <v>6588</v>
      </c>
      <c r="X620" s="1742" t="s">
        <v>6588</v>
      </c>
      <c r="Y620" s="2106" t="s">
        <v>6588</v>
      </c>
      <c r="Z620" s="2106">
        <v>0</v>
      </c>
      <c r="AA620" s="2106">
        <v>0</v>
      </c>
      <c r="AB620" s="2106">
        <v>0</v>
      </c>
      <c r="AC620" s="2106">
        <v>0</v>
      </c>
      <c r="AD620" s="1744">
        <v>0</v>
      </c>
      <c r="AE620" s="2126">
        <v>0</v>
      </c>
      <c r="AF620" s="2126">
        <v>0</v>
      </c>
      <c r="AG620" s="1212">
        <v>1</v>
      </c>
      <c r="AH620" s="1212">
        <v>0</v>
      </c>
      <c r="AI620" s="1212">
        <v>0</v>
      </c>
      <c r="AJ620" s="1212">
        <v>1</v>
      </c>
      <c r="AK620" s="2126">
        <v>0</v>
      </c>
      <c r="AL620" s="2126">
        <v>0</v>
      </c>
      <c r="AM620" s="2126">
        <v>0</v>
      </c>
      <c r="AN620" s="2126">
        <v>0</v>
      </c>
      <c r="AO620" s="1743" t="s">
        <v>85</v>
      </c>
      <c r="AP620" s="1743"/>
      <c r="AQ620" s="1764">
        <v>2014</v>
      </c>
      <c r="AR620" s="1743" t="s">
        <v>87</v>
      </c>
      <c r="AS620" s="2135"/>
      <c r="AT620" s="2135"/>
      <c r="AU620" s="1212">
        <v>0.33333333333333331</v>
      </c>
      <c r="AV620" s="1212">
        <v>0.33333333333333331</v>
      </c>
      <c r="AW620" s="1212">
        <v>0.33333333333333331</v>
      </c>
      <c r="AX620" s="1212"/>
      <c r="AY620" s="1212"/>
      <c r="AZ620" s="1212"/>
      <c r="BA620" s="1212"/>
      <c r="BB620" s="1212"/>
      <c r="BC620" s="1212"/>
      <c r="BD620" s="1212"/>
      <c r="BE620" s="1212"/>
      <c r="BF620" s="2126">
        <v>0</v>
      </c>
      <c r="BG620" s="2126">
        <v>0</v>
      </c>
      <c r="BH620" s="2126">
        <v>0</v>
      </c>
      <c r="BI620" s="2126">
        <v>0</v>
      </c>
      <c r="BJ620" s="2126">
        <v>0</v>
      </c>
      <c r="BK620" s="2126">
        <v>0</v>
      </c>
      <c r="BL620" s="2126">
        <v>0</v>
      </c>
      <c r="BM620" s="2126">
        <v>0</v>
      </c>
      <c r="BN620" s="2126">
        <v>0</v>
      </c>
      <c r="BO620" s="2126">
        <v>0</v>
      </c>
      <c r="BP620" s="2126">
        <v>0</v>
      </c>
      <c r="BQ620" s="2126">
        <v>0</v>
      </c>
      <c r="BR620" s="2126">
        <v>0</v>
      </c>
    </row>
    <row r="621" spans="1:76" s="1765" customFormat="1" ht="49.5">
      <c r="A621" s="1272">
        <v>4000</v>
      </c>
      <c r="B621" s="971" t="s">
        <v>1316</v>
      </c>
      <c r="C621" s="1272">
        <v>4100</v>
      </c>
      <c r="D621" s="971" t="s">
        <v>120</v>
      </c>
      <c r="E621" s="971">
        <v>4110</v>
      </c>
      <c r="F621" s="971" t="s">
        <v>122</v>
      </c>
      <c r="G621" s="971">
        <v>4110</v>
      </c>
      <c r="H621" s="971" t="s">
        <v>122</v>
      </c>
      <c r="I621" s="1273" t="s">
        <v>1324</v>
      </c>
      <c r="J621" s="971" t="s">
        <v>124</v>
      </c>
      <c r="K621" s="971" t="s">
        <v>140</v>
      </c>
      <c r="L621" s="971" t="s">
        <v>2909</v>
      </c>
      <c r="M621" s="971" t="s">
        <v>140</v>
      </c>
      <c r="N621" s="971" t="s">
        <v>141</v>
      </c>
      <c r="O621" s="971" t="s">
        <v>142</v>
      </c>
      <c r="P621" s="971"/>
      <c r="Q621" s="971" t="s">
        <v>1093</v>
      </c>
      <c r="R621" s="1266" t="s">
        <v>1320</v>
      </c>
      <c r="S621" s="2106">
        <v>14.869888475836431</v>
      </c>
      <c r="T621" s="1266" t="s">
        <v>136</v>
      </c>
      <c r="U621" s="1742">
        <v>0</v>
      </c>
      <c r="V621" s="1742">
        <v>0</v>
      </c>
      <c r="W621" s="1742">
        <v>0</v>
      </c>
      <c r="X621" s="1742">
        <v>0</v>
      </c>
      <c r="Y621" s="2106">
        <v>0</v>
      </c>
      <c r="Z621" s="2106">
        <v>0</v>
      </c>
      <c r="AA621" s="2106">
        <v>0</v>
      </c>
      <c r="AB621" s="2106">
        <v>0</v>
      </c>
      <c r="AC621" s="2106">
        <v>0</v>
      </c>
      <c r="AD621" s="1744">
        <v>0</v>
      </c>
      <c r="AE621" s="2126">
        <v>0</v>
      </c>
      <c r="AF621" s="2126">
        <v>0</v>
      </c>
      <c r="AG621" s="1212">
        <v>1</v>
      </c>
      <c r="AH621" s="1212">
        <v>0</v>
      </c>
      <c r="AI621" s="1212">
        <v>0</v>
      </c>
      <c r="AJ621" s="1212">
        <v>1</v>
      </c>
      <c r="AK621" s="2126">
        <v>0</v>
      </c>
      <c r="AL621" s="2126">
        <v>0</v>
      </c>
      <c r="AM621" s="2126">
        <v>0</v>
      </c>
      <c r="AN621" s="2126">
        <v>0</v>
      </c>
      <c r="AO621" s="1743" t="s">
        <v>85</v>
      </c>
      <c r="AP621" s="1743"/>
      <c r="AQ621" s="1764">
        <v>2014</v>
      </c>
      <c r="AR621" s="1743" t="s">
        <v>87</v>
      </c>
      <c r="AS621" s="2135"/>
      <c r="AT621" s="2135"/>
      <c r="AU621" s="1212">
        <v>0.33333333333333331</v>
      </c>
      <c r="AV621" s="1212">
        <v>0.33333333333333331</v>
      </c>
      <c r="AW621" s="1212">
        <v>0.33333333333333331</v>
      </c>
      <c r="AX621" s="1212"/>
      <c r="AY621" s="1212"/>
      <c r="AZ621" s="1212"/>
      <c r="BA621" s="1212"/>
      <c r="BB621" s="1212"/>
      <c r="BC621" s="1212"/>
      <c r="BD621" s="1212"/>
      <c r="BE621" s="1212"/>
      <c r="BF621" s="2126">
        <v>0</v>
      </c>
      <c r="BG621" s="2126">
        <v>0</v>
      </c>
      <c r="BH621" s="2126">
        <v>0</v>
      </c>
      <c r="BI621" s="2126">
        <v>0</v>
      </c>
      <c r="BJ621" s="2126">
        <v>0</v>
      </c>
      <c r="BK621" s="2126">
        <v>0</v>
      </c>
      <c r="BL621" s="2126">
        <v>0</v>
      </c>
      <c r="BM621" s="2126">
        <v>0</v>
      </c>
      <c r="BN621" s="2126">
        <v>0</v>
      </c>
      <c r="BO621" s="2126">
        <v>0</v>
      </c>
      <c r="BP621" s="2126">
        <v>0</v>
      </c>
      <c r="BQ621" s="2126">
        <v>0</v>
      </c>
      <c r="BR621" s="2126">
        <v>0</v>
      </c>
    </row>
    <row r="622" spans="1:76" s="1765" customFormat="1" ht="49.5">
      <c r="A622" s="1272">
        <v>4000</v>
      </c>
      <c r="B622" s="971" t="s">
        <v>1316</v>
      </c>
      <c r="C622" s="1272">
        <v>4100</v>
      </c>
      <c r="D622" s="971" t="s">
        <v>120</v>
      </c>
      <c r="E622" s="971">
        <v>4110</v>
      </c>
      <c r="F622" s="971" t="s">
        <v>122</v>
      </c>
      <c r="G622" s="971">
        <v>4110</v>
      </c>
      <c r="H622" s="971" t="s">
        <v>122</v>
      </c>
      <c r="I622" s="1273" t="s">
        <v>1325</v>
      </c>
      <c r="J622" s="971" t="s">
        <v>124</v>
      </c>
      <c r="K622" s="971"/>
      <c r="L622" s="971" t="e">
        <v>#N/A</v>
      </c>
      <c r="M622" s="971" t="s">
        <v>145</v>
      </c>
      <c r="N622" s="971" t="s">
        <v>141</v>
      </c>
      <c r="O622" s="971" t="s">
        <v>146</v>
      </c>
      <c r="P622" s="971"/>
      <c r="Q622" s="971" t="s">
        <v>1095</v>
      </c>
      <c r="R622" s="1266" t="s">
        <v>1320</v>
      </c>
      <c r="S622" s="2106">
        <v>14.869888475836431</v>
      </c>
      <c r="T622" s="1266" t="s">
        <v>136</v>
      </c>
      <c r="U622" s="1742" t="s">
        <v>6588</v>
      </c>
      <c r="V622" s="1742" t="s">
        <v>6588</v>
      </c>
      <c r="W622" s="1742" t="s">
        <v>6588</v>
      </c>
      <c r="X622" s="1742" t="s">
        <v>6588</v>
      </c>
      <c r="Y622" s="2106" t="s">
        <v>6588</v>
      </c>
      <c r="Z622" s="2106">
        <v>0</v>
      </c>
      <c r="AA622" s="2106">
        <v>0</v>
      </c>
      <c r="AB622" s="2106">
        <v>0</v>
      </c>
      <c r="AC622" s="2106">
        <v>0</v>
      </c>
      <c r="AD622" s="1744">
        <v>0</v>
      </c>
      <c r="AE622" s="2126">
        <v>0</v>
      </c>
      <c r="AF622" s="2126">
        <v>0</v>
      </c>
      <c r="AG622" s="1212">
        <v>1</v>
      </c>
      <c r="AH622" s="1212">
        <v>0</v>
      </c>
      <c r="AI622" s="1212">
        <v>0</v>
      </c>
      <c r="AJ622" s="1212">
        <v>1</v>
      </c>
      <c r="AK622" s="2126">
        <v>0</v>
      </c>
      <c r="AL622" s="2126">
        <v>0</v>
      </c>
      <c r="AM622" s="2126">
        <v>0</v>
      </c>
      <c r="AN622" s="2126">
        <v>0</v>
      </c>
      <c r="AO622" s="1743" t="s">
        <v>85</v>
      </c>
      <c r="AP622" s="1743"/>
      <c r="AQ622" s="1764">
        <v>2014</v>
      </c>
      <c r="AR622" s="1743" t="s">
        <v>87</v>
      </c>
      <c r="AS622" s="2135"/>
      <c r="AT622" s="2135"/>
      <c r="AU622" s="1212">
        <v>0.33333333333333331</v>
      </c>
      <c r="AV622" s="1212">
        <v>0.33333333333333331</v>
      </c>
      <c r="AW622" s="1212">
        <v>0.33333333333333331</v>
      </c>
      <c r="AX622" s="1212"/>
      <c r="AY622" s="1212"/>
      <c r="AZ622" s="1212"/>
      <c r="BA622" s="1212"/>
      <c r="BB622" s="1212"/>
      <c r="BC622" s="1212"/>
      <c r="BD622" s="1212"/>
      <c r="BE622" s="1212"/>
      <c r="BF622" s="2126">
        <v>0</v>
      </c>
      <c r="BG622" s="2126">
        <v>0</v>
      </c>
      <c r="BH622" s="2126">
        <v>0</v>
      </c>
      <c r="BI622" s="2126">
        <v>0</v>
      </c>
      <c r="BJ622" s="2126">
        <v>0</v>
      </c>
      <c r="BK622" s="2126">
        <v>0</v>
      </c>
      <c r="BL622" s="2126">
        <v>0</v>
      </c>
      <c r="BM622" s="2126">
        <v>0</v>
      </c>
      <c r="BN622" s="2126">
        <v>0</v>
      </c>
      <c r="BO622" s="2126">
        <v>0</v>
      </c>
      <c r="BP622" s="2126">
        <v>0</v>
      </c>
      <c r="BQ622" s="2126">
        <v>0</v>
      </c>
      <c r="BR622" s="2126">
        <v>0</v>
      </c>
    </row>
    <row r="623" spans="1:76" s="1765" customFormat="1" ht="49.5">
      <c r="A623" s="1272">
        <v>4000</v>
      </c>
      <c r="B623" s="971" t="s">
        <v>1316</v>
      </c>
      <c r="C623" s="1272">
        <v>4100</v>
      </c>
      <c r="D623" s="971" t="s">
        <v>120</v>
      </c>
      <c r="E623" s="971">
        <v>4110</v>
      </c>
      <c r="F623" s="971" t="s">
        <v>148</v>
      </c>
      <c r="G623" s="971">
        <v>4136</v>
      </c>
      <c r="H623" s="971" t="s">
        <v>1072</v>
      </c>
      <c r="I623" s="1273"/>
      <c r="J623" s="971"/>
      <c r="K623" s="971" t="s">
        <v>150</v>
      </c>
      <c r="L623" s="971" t="s">
        <v>2800</v>
      </c>
      <c r="M623" s="971" t="s">
        <v>80</v>
      </c>
      <c r="N623" s="971" t="s">
        <v>83</v>
      </c>
      <c r="O623" s="971" t="s">
        <v>171</v>
      </c>
      <c r="P623" s="971" t="s">
        <v>152</v>
      </c>
      <c r="Q623" s="971" t="s">
        <v>171</v>
      </c>
      <c r="R623" s="1266"/>
      <c r="S623" s="2106">
        <v>223</v>
      </c>
      <c r="T623" s="1266" t="s">
        <v>136</v>
      </c>
      <c r="U623" s="1742">
        <v>1.2691883296460175E-2</v>
      </c>
      <c r="V623" s="1742">
        <v>0.14624999999999999</v>
      </c>
      <c r="W623" s="1742">
        <v>1.1186625937499999</v>
      </c>
      <c r="X623" s="1742">
        <v>0.4015178457754629</v>
      </c>
      <c r="Y623" s="2106">
        <v>1.6649423457754629</v>
      </c>
      <c r="Z623" s="2106">
        <v>2.830289975110619</v>
      </c>
      <c r="AA623" s="2106">
        <v>32.613749999999996</v>
      </c>
      <c r="AB623" s="2106">
        <v>249.46175840624997</v>
      </c>
      <c r="AC623" s="2106">
        <v>89.538479607928224</v>
      </c>
      <c r="AD623" s="1744">
        <v>371.61398801417818</v>
      </c>
      <c r="AE623" s="2126">
        <v>0</v>
      </c>
      <c r="AF623" s="2126">
        <v>0</v>
      </c>
      <c r="AG623" s="1212">
        <v>1</v>
      </c>
      <c r="AH623" s="1212">
        <v>0</v>
      </c>
      <c r="AI623" s="1212">
        <v>0</v>
      </c>
      <c r="AJ623" s="1212">
        <v>1</v>
      </c>
      <c r="AK623" s="2126">
        <v>371.61398801417818</v>
      </c>
      <c r="AL623" s="2126">
        <v>0</v>
      </c>
      <c r="AM623" s="2126">
        <v>0</v>
      </c>
      <c r="AN623" s="2126">
        <v>371.61398801417818</v>
      </c>
      <c r="AO623" s="1743" t="s">
        <v>85</v>
      </c>
      <c r="AP623" s="1743"/>
      <c r="AQ623" s="1764">
        <v>2014</v>
      </c>
      <c r="AR623" s="1743" t="s">
        <v>87</v>
      </c>
      <c r="AS623" s="2135"/>
      <c r="AT623" s="2135"/>
      <c r="AU623" s="1212">
        <v>0.33333333333333331</v>
      </c>
      <c r="AV623" s="1212">
        <v>0.33333333333333331</v>
      </c>
      <c r="AW623" s="1212">
        <v>0.33333333333333331</v>
      </c>
      <c r="AX623" s="1212"/>
      <c r="AY623" s="1212"/>
      <c r="AZ623" s="1212"/>
      <c r="BA623" s="1212"/>
      <c r="BB623" s="1212"/>
      <c r="BC623" s="1212"/>
      <c r="BD623" s="1212"/>
      <c r="BE623" s="1212"/>
      <c r="BF623" s="2126">
        <v>0</v>
      </c>
      <c r="BG623" s="2126">
        <v>0</v>
      </c>
      <c r="BH623" s="2126">
        <v>123.87132933805938</v>
      </c>
      <c r="BI623" s="2126">
        <v>123.87132933805938</v>
      </c>
      <c r="BJ623" s="2126">
        <v>123.87132933805938</v>
      </c>
      <c r="BK623" s="2126">
        <v>0</v>
      </c>
      <c r="BL623" s="2126">
        <v>0</v>
      </c>
      <c r="BM623" s="2126">
        <v>0</v>
      </c>
      <c r="BN623" s="2126">
        <v>0</v>
      </c>
      <c r="BO623" s="2126">
        <v>0</v>
      </c>
      <c r="BP623" s="2126">
        <v>0</v>
      </c>
      <c r="BQ623" s="2126">
        <v>0</v>
      </c>
      <c r="BR623" s="2126">
        <v>0</v>
      </c>
    </row>
    <row r="624" spans="1:76" s="1765" customFormat="1" ht="33">
      <c r="A624" s="1272">
        <v>4000</v>
      </c>
      <c r="B624" s="971" t="s">
        <v>1316</v>
      </c>
      <c r="C624" s="1272">
        <v>4100</v>
      </c>
      <c r="D624" s="971" t="s">
        <v>120</v>
      </c>
      <c r="E624" s="971">
        <v>4130</v>
      </c>
      <c r="F624" s="971" t="s">
        <v>148</v>
      </c>
      <c r="G624" s="971">
        <v>4131</v>
      </c>
      <c r="H624" s="971" t="s">
        <v>1072</v>
      </c>
      <c r="I624" s="1273"/>
      <c r="J624" s="971"/>
      <c r="K624" s="971" t="s">
        <v>150</v>
      </c>
      <c r="L624" s="971" t="s">
        <v>2800</v>
      </c>
      <c r="M624" s="971" t="s">
        <v>80</v>
      </c>
      <c r="N624" s="971" t="s">
        <v>83</v>
      </c>
      <c r="O624" s="971" t="s">
        <v>151</v>
      </c>
      <c r="P624" s="971" t="s">
        <v>152</v>
      </c>
      <c r="Q624" s="971" t="s">
        <v>1326</v>
      </c>
      <c r="R624" s="1266"/>
      <c r="S624" s="2106">
        <v>15000</v>
      </c>
      <c r="T624" s="1266" t="s">
        <v>136</v>
      </c>
      <c r="U624" s="1742">
        <v>1.2689880937499998E-2</v>
      </c>
      <c r="V624" s="1742">
        <v>0.14624999999999999</v>
      </c>
      <c r="W624" s="1742">
        <v>1.2689880937499998</v>
      </c>
      <c r="X624" s="1742">
        <v>0.39654534577546297</v>
      </c>
      <c r="Y624" s="2106">
        <v>1.8102953457754629</v>
      </c>
      <c r="Z624" s="2106">
        <v>190.34821406249998</v>
      </c>
      <c r="AA624" s="2106">
        <v>2193.75</v>
      </c>
      <c r="AB624" s="2106">
        <v>19034.821406249997</v>
      </c>
      <c r="AC624" s="2106">
        <v>5948.1801866319447</v>
      </c>
      <c r="AD624" s="1744">
        <v>27176.751592881941</v>
      </c>
      <c r="AE624" s="2126">
        <v>0</v>
      </c>
      <c r="AF624" s="2126">
        <v>0</v>
      </c>
      <c r="AG624" s="1212">
        <v>1</v>
      </c>
      <c r="AH624" s="1212">
        <v>0</v>
      </c>
      <c r="AI624" s="1212">
        <v>0</v>
      </c>
      <c r="AJ624" s="1212">
        <v>1</v>
      </c>
      <c r="AK624" s="2126">
        <v>27176.751592881941</v>
      </c>
      <c r="AL624" s="2126">
        <v>0</v>
      </c>
      <c r="AM624" s="2126">
        <v>0</v>
      </c>
      <c r="AN624" s="2126">
        <v>27176.751592881941</v>
      </c>
      <c r="AO624" s="1743" t="s">
        <v>85</v>
      </c>
      <c r="AP624" s="1743" t="s">
        <v>90</v>
      </c>
      <c r="AQ624" s="1764" t="s">
        <v>112</v>
      </c>
      <c r="AR624" s="1743" t="s">
        <v>87</v>
      </c>
      <c r="AS624" s="2135"/>
      <c r="AT624" s="2135"/>
      <c r="AU624" s="1212">
        <v>0.33333333333333331</v>
      </c>
      <c r="AV624" s="1212">
        <v>0.33333333333333331</v>
      </c>
      <c r="AW624" s="1212">
        <v>0.33333333333333331</v>
      </c>
      <c r="AX624" s="1212"/>
      <c r="AY624" s="1212"/>
      <c r="AZ624" s="1212"/>
      <c r="BA624" s="1212"/>
      <c r="BB624" s="1212"/>
      <c r="BC624" s="1212"/>
      <c r="BD624" s="1212"/>
      <c r="BE624" s="1212"/>
      <c r="BF624" s="2126">
        <v>0</v>
      </c>
      <c r="BG624" s="2126">
        <v>0</v>
      </c>
      <c r="BH624" s="2126">
        <v>9058.9171976273137</v>
      </c>
      <c r="BI624" s="2126">
        <v>9058.9171976273137</v>
      </c>
      <c r="BJ624" s="2126">
        <v>9058.9171976273137</v>
      </c>
      <c r="BK624" s="2126">
        <v>0</v>
      </c>
      <c r="BL624" s="2126">
        <v>0</v>
      </c>
      <c r="BM624" s="2126">
        <v>0</v>
      </c>
      <c r="BN624" s="2126">
        <v>0</v>
      </c>
      <c r="BO624" s="2126">
        <v>0</v>
      </c>
      <c r="BP624" s="2126">
        <v>0</v>
      </c>
      <c r="BQ624" s="2126">
        <v>0</v>
      </c>
      <c r="BR624" s="2126">
        <v>0</v>
      </c>
    </row>
    <row r="625" spans="1:70" s="1765" customFormat="1" ht="33">
      <c r="A625" s="1272">
        <v>4000</v>
      </c>
      <c r="B625" s="971" t="s">
        <v>1316</v>
      </c>
      <c r="C625" s="1272">
        <v>4100</v>
      </c>
      <c r="D625" s="971" t="s">
        <v>120</v>
      </c>
      <c r="E625" s="971">
        <v>4130</v>
      </c>
      <c r="F625" s="971" t="s">
        <v>148</v>
      </c>
      <c r="G625" s="971">
        <v>4131</v>
      </c>
      <c r="H625" s="971" t="s">
        <v>1072</v>
      </c>
      <c r="I625" s="1273"/>
      <c r="J625" s="971"/>
      <c r="K625" s="971" t="s">
        <v>150</v>
      </c>
      <c r="L625" s="971" t="s">
        <v>2800</v>
      </c>
      <c r="M625" s="971" t="s">
        <v>80</v>
      </c>
      <c r="N625" s="971" t="s">
        <v>83</v>
      </c>
      <c r="O625" s="971" t="s">
        <v>151</v>
      </c>
      <c r="P625" s="971" t="s">
        <v>152</v>
      </c>
      <c r="Q625" s="971" t="s">
        <v>1326</v>
      </c>
      <c r="R625" s="1266"/>
      <c r="S625" s="2106">
        <v>-15000</v>
      </c>
      <c r="T625" s="1266" t="s">
        <v>136</v>
      </c>
      <c r="U625" s="1742">
        <v>1.2689880937499998E-2</v>
      </c>
      <c r="V625" s="1742">
        <v>0.14624999999999999</v>
      </c>
      <c r="W625" s="1742">
        <v>1.2689880937499998</v>
      </c>
      <c r="X625" s="1742">
        <v>0.39654534577546297</v>
      </c>
      <c r="Y625" s="2106">
        <v>1.8102953457754629</v>
      </c>
      <c r="Z625" s="2106">
        <v>190.34821406249998</v>
      </c>
      <c r="AA625" s="2106">
        <v>2193.75</v>
      </c>
      <c r="AB625" s="2106">
        <v>19034.821406249997</v>
      </c>
      <c r="AC625" s="2106">
        <v>5948.1801866319447</v>
      </c>
      <c r="AD625" s="1744">
        <v>27176.751592881941</v>
      </c>
      <c r="AE625" s="2126">
        <v>0</v>
      </c>
      <c r="AF625" s="2126">
        <v>0</v>
      </c>
      <c r="AG625" s="1212">
        <v>1</v>
      </c>
      <c r="AH625" s="1212">
        <v>0</v>
      </c>
      <c r="AI625" s="1212">
        <v>0</v>
      </c>
      <c r="AJ625" s="1212">
        <v>1</v>
      </c>
      <c r="AK625" s="2126">
        <v>27176.751592881941</v>
      </c>
      <c r="AL625" s="2126">
        <v>0</v>
      </c>
      <c r="AM625" s="2126">
        <v>0</v>
      </c>
      <c r="AN625" s="2126">
        <v>27176.751592881941</v>
      </c>
      <c r="AO625" s="1743" t="s">
        <v>85</v>
      </c>
      <c r="AP625" s="1743" t="s">
        <v>96</v>
      </c>
      <c r="AQ625" s="1764" t="s">
        <v>202</v>
      </c>
      <c r="AR625" s="1743" t="s">
        <v>87</v>
      </c>
      <c r="AS625" s="2135"/>
      <c r="AT625" s="2135"/>
      <c r="AU625" s="1212">
        <v>0.33333333333333331</v>
      </c>
      <c r="AV625" s="1212">
        <v>0.33333333333333331</v>
      </c>
      <c r="AW625" s="1212">
        <v>0.33333333333333331</v>
      </c>
      <c r="AX625" s="1212"/>
      <c r="AY625" s="1212"/>
      <c r="AZ625" s="1212"/>
      <c r="BA625" s="1212"/>
      <c r="BB625" s="1212"/>
      <c r="BC625" s="1212"/>
      <c r="BD625" s="1212"/>
      <c r="BE625" s="1212"/>
      <c r="BF625" s="2126">
        <v>0</v>
      </c>
      <c r="BG625" s="2126">
        <v>0</v>
      </c>
      <c r="BH625" s="2126">
        <v>9058.9171976273137</v>
      </c>
      <c r="BI625" s="2126">
        <v>9058.9171976273137</v>
      </c>
      <c r="BJ625" s="2126">
        <v>9058.9171976273137</v>
      </c>
      <c r="BK625" s="2126">
        <v>0</v>
      </c>
      <c r="BL625" s="2126">
        <v>0</v>
      </c>
      <c r="BM625" s="2126">
        <v>0</v>
      </c>
      <c r="BN625" s="2126">
        <v>0</v>
      </c>
      <c r="BO625" s="2126">
        <v>0</v>
      </c>
      <c r="BP625" s="2126">
        <v>0</v>
      </c>
      <c r="BQ625" s="2126">
        <v>0</v>
      </c>
      <c r="BR625" s="2126">
        <v>0</v>
      </c>
    </row>
    <row r="626" spans="1:70" s="1765" customFormat="1" ht="33">
      <c r="A626" s="1272">
        <v>4000</v>
      </c>
      <c r="B626" s="971" t="s">
        <v>1316</v>
      </c>
      <c r="C626" s="1272">
        <v>4100</v>
      </c>
      <c r="D626" s="971" t="s">
        <v>120</v>
      </c>
      <c r="E626" s="971">
        <v>4130</v>
      </c>
      <c r="F626" s="971" t="s">
        <v>148</v>
      </c>
      <c r="G626" s="971">
        <v>4131</v>
      </c>
      <c r="H626" s="971" t="s">
        <v>1072</v>
      </c>
      <c r="I626" s="1273"/>
      <c r="J626" s="971"/>
      <c r="K626" s="971" t="s">
        <v>150</v>
      </c>
      <c r="L626" s="971" t="s">
        <v>2800</v>
      </c>
      <c r="M626" s="971" t="s">
        <v>80</v>
      </c>
      <c r="N626" s="971" t="s">
        <v>83</v>
      </c>
      <c r="O626" s="971" t="s">
        <v>151</v>
      </c>
      <c r="P626" s="971" t="s">
        <v>152</v>
      </c>
      <c r="Q626" s="971" t="s">
        <v>1327</v>
      </c>
      <c r="R626" s="1266"/>
      <c r="S626" s="2106">
        <v>30150</v>
      </c>
      <c r="T626" s="1266" t="s">
        <v>136</v>
      </c>
      <c r="U626" s="1742">
        <v>1.2689880937499998E-2</v>
      </c>
      <c r="V626" s="1742">
        <v>0.14624999999999999</v>
      </c>
      <c r="W626" s="1742">
        <v>1.2689880937499998</v>
      </c>
      <c r="X626" s="1742">
        <v>0.39654534577546297</v>
      </c>
      <c r="Y626" s="2106">
        <v>1.8102953457754629</v>
      </c>
      <c r="Z626" s="2106">
        <v>190.34821406249998</v>
      </c>
      <c r="AA626" s="2106">
        <v>2193.75</v>
      </c>
      <c r="AB626" s="2106">
        <v>19034.821406249997</v>
      </c>
      <c r="AC626" s="2106">
        <v>5948.1801866319447</v>
      </c>
      <c r="AD626" s="1744">
        <v>27176.751592881941</v>
      </c>
      <c r="AE626" s="2126">
        <v>0</v>
      </c>
      <c r="AF626" s="2126">
        <v>0</v>
      </c>
      <c r="AG626" s="1212">
        <v>1</v>
      </c>
      <c r="AH626" s="1212">
        <v>0</v>
      </c>
      <c r="AI626" s="1212">
        <v>0</v>
      </c>
      <c r="AJ626" s="1212">
        <v>1</v>
      </c>
      <c r="AK626" s="2126">
        <v>27176.751592881941</v>
      </c>
      <c r="AL626" s="2126">
        <v>0</v>
      </c>
      <c r="AM626" s="2126">
        <v>0</v>
      </c>
      <c r="AN626" s="2126">
        <v>27176.751592881941</v>
      </c>
      <c r="AO626" s="1743" t="s">
        <v>85</v>
      </c>
      <c r="AP626" s="1743" t="s">
        <v>90</v>
      </c>
      <c r="AQ626" s="1764" t="s">
        <v>202</v>
      </c>
      <c r="AR626" s="1743" t="s">
        <v>87</v>
      </c>
      <c r="AS626" s="2135"/>
      <c r="AT626" s="2135"/>
      <c r="AU626" s="1212">
        <v>0.33333333333333331</v>
      </c>
      <c r="AV626" s="1212">
        <v>0.33333333333333331</v>
      </c>
      <c r="AW626" s="1212">
        <v>0.33333333333333331</v>
      </c>
      <c r="AX626" s="1212"/>
      <c r="AY626" s="1212"/>
      <c r="AZ626" s="1212"/>
      <c r="BA626" s="1212"/>
      <c r="BB626" s="1212"/>
      <c r="BC626" s="1212"/>
      <c r="BD626" s="1212"/>
      <c r="BE626" s="1212"/>
      <c r="BF626" s="2126">
        <v>0</v>
      </c>
      <c r="BG626" s="2126">
        <v>0</v>
      </c>
      <c r="BH626" s="2126">
        <v>9058.9171976273137</v>
      </c>
      <c r="BI626" s="2126">
        <v>9058.9171976273137</v>
      </c>
      <c r="BJ626" s="2126">
        <v>9058.9171976273137</v>
      </c>
      <c r="BK626" s="2126">
        <v>0</v>
      </c>
      <c r="BL626" s="2126">
        <v>0</v>
      </c>
      <c r="BM626" s="2126">
        <v>0</v>
      </c>
      <c r="BN626" s="2126">
        <v>0</v>
      </c>
      <c r="BO626" s="2126">
        <v>0</v>
      </c>
      <c r="BP626" s="2126">
        <v>0</v>
      </c>
      <c r="BQ626" s="2126">
        <v>0</v>
      </c>
      <c r="BR626" s="2126">
        <v>0</v>
      </c>
    </row>
    <row r="627" spans="1:70" s="1765" customFormat="1" ht="33">
      <c r="A627" s="1272">
        <v>4000</v>
      </c>
      <c r="B627" s="971" t="s">
        <v>1316</v>
      </c>
      <c r="C627" s="1272">
        <v>4100</v>
      </c>
      <c r="D627" s="971" t="s">
        <v>120</v>
      </c>
      <c r="E627" s="971">
        <v>4130</v>
      </c>
      <c r="F627" s="971" t="s">
        <v>148</v>
      </c>
      <c r="G627" s="971">
        <v>4131</v>
      </c>
      <c r="H627" s="971" t="s">
        <v>1072</v>
      </c>
      <c r="I627" s="1273"/>
      <c r="J627" s="971"/>
      <c r="K627" s="971" t="s">
        <v>150</v>
      </c>
      <c r="L627" s="971" t="s">
        <v>2800</v>
      </c>
      <c r="M627" s="971" t="s">
        <v>80</v>
      </c>
      <c r="N627" s="971" t="s">
        <v>83</v>
      </c>
      <c r="O627" s="971" t="s">
        <v>151</v>
      </c>
      <c r="P627" s="971" t="s">
        <v>152</v>
      </c>
      <c r="Q627" s="971" t="s">
        <v>1328</v>
      </c>
      <c r="R627" s="1266"/>
      <c r="S627" s="2106">
        <v>8700</v>
      </c>
      <c r="T627" s="1266" t="s">
        <v>136</v>
      </c>
      <c r="U627" s="1742">
        <v>1.2689880937499998E-2</v>
      </c>
      <c r="V627" s="1742">
        <v>0.14624999999999999</v>
      </c>
      <c r="W627" s="1742">
        <v>1.2689880937499998</v>
      </c>
      <c r="X627" s="1742">
        <v>0.39654534577546297</v>
      </c>
      <c r="Y627" s="2106">
        <v>1.8102953457754629</v>
      </c>
      <c r="Z627" s="2106">
        <v>190.34821406249998</v>
      </c>
      <c r="AA627" s="2106">
        <v>2193.75</v>
      </c>
      <c r="AB627" s="2106">
        <v>19034.821406249997</v>
      </c>
      <c r="AC627" s="2106">
        <v>5948.1801866319447</v>
      </c>
      <c r="AD627" s="1744">
        <v>27176.751592881941</v>
      </c>
      <c r="AE627" s="2126">
        <v>0</v>
      </c>
      <c r="AF627" s="2126">
        <v>0</v>
      </c>
      <c r="AG627" s="1212">
        <v>1</v>
      </c>
      <c r="AH627" s="1212">
        <v>0</v>
      </c>
      <c r="AI627" s="1212">
        <v>0</v>
      </c>
      <c r="AJ627" s="1212">
        <v>1</v>
      </c>
      <c r="AK627" s="2126">
        <v>27176.751592881941</v>
      </c>
      <c r="AL627" s="2126">
        <v>0</v>
      </c>
      <c r="AM627" s="2126">
        <v>0</v>
      </c>
      <c r="AN627" s="2126">
        <v>27176.751592881941</v>
      </c>
      <c r="AO627" s="1743" t="s">
        <v>85</v>
      </c>
      <c r="AP627" s="1743" t="s">
        <v>90</v>
      </c>
      <c r="AQ627" s="1764" t="s">
        <v>202</v>
      </c>
      <c r="AR627" s="1743" t="s">
        <v>87</v>
      </c>
      <c r="AS627" s="2135"/>
      <c r="AT627" s="2135"/>
      <c r="AU627" s="1212">
        <v>0.33333333333333331</v>
      </c>
      <c r="AV627" s="1212">
        <v>0.33333333333333331</v>
      </c>
      <c r="AW627" s="1212">
        <v>0.33333333333333331</v>
      </c>
      <c r="AX627" s="1212"/>
      <c r="AY627" s="1212"/>
      <c r="AZ627" s="1212"/>
      <c r="BA627" s="1212"/>
      <c r="BB627" s="1212"/>
      <c r="BC627" s="1212"/>
      <c r="BD627" s="1212"/>
      <c r="BE627" s="1212"/>
      <c r="BF627" s="2126">
        <v>0</v>
      </c>
      <c r="BG627" s="2126">
        <v>0</v>
      </c>
      <c r="BH627" s="2126">
        <v>9058.9171976273137</v>
      </c>
      <c r="BI627" s="2126">
        <v>9058.9171976273137</v>
      </c>
      <c r="BJ627" s="2126">
        <v>9058.9171976273137</v>
      </c>
      <c r="BK627" s="2126">
        <v>0</v>
      </c>
      <c r="BL627" s="2126">
        <v>0</v>
      </c>
      <c r="BM627" s="2126">
        <v>0</v>
      </c>
      <c r="BN627" s="2126">
        <v>0</v>
      </c>
      <c r="BO627" s="2126">
        <v>0</v>
      </c>
      <c r="BP627" s="2126">
        <v>0</v>
      </c>
      <c r="BQ627" s="2126">
        <v>0</v>
      </c>
      <c r="BR627" s="2126">
        <v>0</v>
      </c>
    </row>
    <row r="628" spans="1:70" s="1765" customFormat="1" ht="33">
      <c r="A628" s="1272">
        <v>4000</v>
      </c>
      <c r="B628" s="971" t="s">
        <v>1316</v>
      </c>
      <c r="C628" s="1272">
        <v>4100</v>
      </c>
      <c r="D628" s="971" t="s">
        <v>120</v>
      </c>
      <c r="E628" s="971">
        <v>4130</v>
      </c>
      <c r="F628" s="971" t="s">
        <v>148</v>
      </c>
      <c r="G628" s="971">
        <v>4131</v>
      </c>
      <c r="H628" s="971" t="s">
        <v>1072</v>
      </c>
      <c r="I628" s="1273"/>
      <c r="J628" s="971"/>
      <c r="K628" s="971" t="s">
        <v>150</v>
      </c>
      <c r="L628" s="971" t="s">
        <v>2800</v>
      </c>
      <c r="M628" s="971" t="s">
        <v>80</v>
      </c>
      <c r="N628" s="971" t="s">
        <v>83</v>
      </c>
      <c r="O628" s="971" t="s">
        <v>151</v>
      </c>
      <c r="P628" s="971" t="s">
        <v>152</v>
      </c>
      <c r="Q628" s="971" t="s">
        <v>1329</v>
      </c>
      <c r="R628" s="1266"/>
      <c r="S628" s="2106">
        <v>5400</v>
      </c>
      <c r="T628" s="1266" t="s">
        <v>136</v>
      </c>
      <c r="U628" s="1742">
        <v>1.2689880937499998E-2</v>
      </c>
      <c r="V628" s="1742">
        <v>0.14624999999999999</v>
      </c>
      <c r="W628" s="1742">
        <v>1.2689880937499998</v>
      </c>
      <c r="X628" s="1742">
        <v>0.39654534577546297</v>
      </c>
      <c r="Y628" s="2106">
        <v>1.8102953457754629</v>
      </c>
      <c r="Z628" s="2106">
        <v>190.34821406249998</v>
      </c>
      <c r="AA628" s="2106">
        <v>2193.75</v>
      </c>
      <c r="AB628" s="2106">
        <v>19034.821406249997</v>
      </c>
      <c r="AC628" s="2106">
        <v>5948.1801866319447</v>
      </c>
      <c r="AD628" s="1744">
        <v>27176.751592881941</v>
      </c>
      <c r="AE628" s="2126">
        <v>0</v>
      </c>
      <c r="AF628" s="2126">
        <v>0</v>
      </c>
      <c r="AG628" s="1212">
        <v>1</v>
      </c>
      <c r="AH628" s="1212">
        <v>0</v>
      </c>
      <c r="AI628" s="1212">
        <v>0</v>
      </c>
      <c r="AJ628" s="1212">
        <v>1</v>
      </c>
      <c r="AK628" s="2126">
        <v>27176.751592881941</v>
      </c>
      <c r="AL628" s="2126">
        <v>0</v>
      </c>
      <c r="AM628" s="2126">
        <v>0</v>
      </c>
      <c r="AN628" s="2126">
        <v>27176.751592881941</v>
      </c>
      <c r="AO628" s="1743" t="s">
        <v>85</v>
      </c>
      <c r="AP628" s="1743" t="s">
        <v>90</v>
      </c>
      <c r="AQ628" s="1764" t="s">
        <v>202</v>
      </c>
      <c r="AR628" s="1743" t="s">
        <v>87</v>
      </c>
      <c r="AS628" s="2135"/>
      <c r="AT628" s="2135"/>
      <c r="AU628" s="1212">
        <v>0.33333333333333331</v>
      </c>
      <c r="AV628" s="1212">
        <v>0.33333333333333331</v>
      </c>
      <c r="AW628" s="1212">
        <v>0.33333333333333331</v>
      </c>
      <c r="AX628" s="1212"/>
      <c r="AY628" s="1212"/>
      <c r="AZ628" s="1212"/>
      <c r="BA628" s="1212"/>
      <c r="BB628" s="1212"/>
      <c r="BC628" s="1212"/>
      <c r="BD628" s="1212"/>
      <c r="BE628" s="1212"/>
      <c r="BF628" s="2126">
        <v>0</v>
      </c>
      <c r="BG628" s="2126">
        <v>0</v>
      </c>
      <c r="BH628" s="2126">
        <v>9058.9171976273137</v>
      </c>
      <c r="BI628" s="2126">
        <v>9058.9171976273137</v>
      </c>
      <c r="BJ628" s="2126">
        <v>9058.9171976273137</v>
      </c>
      <c r="BK628" s="2126">
        <v>0</v>
      </c>
      <c r="BL628" s="2126">
        <v>0</v>
      </c>
      <c r="BM628" s="2126">
        <v>0</v>
      </c>
      <c r="BN628" s="2126">
        <v>0</v>
      </c>
      <c r="BO628" s="2126">
        <v>0</v>
      </c>
      <c r="BP628" s="2126">
        <v>0</v>
      </c>
      <c r="BQ628" s="2126">
        <v>0</v>
      </c>
      <c r="BR628" s="2126">
        <v>0</v>
      </c>
    </row>
    <row r="629" spans="1:70" s="1765" customFormat="1" ht="33">
      <c r="A629" s="1272">
        <v>4000</v>
      </c>
      <c r="B629" s="971" t="s">
        <v>1316</v>
      </c>
      <c r="C629" s="1272">
        <v>4100</v>
      </c>
      <c r="D629" s="971" t="s">
        <v>120</v>
      </c>
      <c r="E629" s="971">
        <v>4130</v>
      </c>
      <c r="F629" s="971" t="s">
        <v>148</v>
      </c>
      <c r="G629" s="971">
        <v>4131</v>
      </c>
      <c r="H629" s="971" t="s">
        <v>1330</v>
      </c>
      <c r="I629" s="1273"/>
      <c r="J629" s="971" t="s">
        <v>121</v>
      </c>
      <c r="K629" s="971" t="s">
        <v>150</v>
      </c>
      <c r="L629" s="971" t="s">
        <v>2800</v>
      </c>
      <c r="M629" s="971" t="s">
        <v>80</v>
      </c>
      <c r="N629" s="971" t="s">
        <v>83</v>
      </c>
      <c r="O629" s="971" t="s">
        <v>151</v>
      </c>
      <c r="P629" s="971" t="s">
        <v>152</v>
      </c>
      <c r="Q629" s="971" t="s">
        <v>1331</v>
      </c>
      <c r="R629" s="1266" t="s">
        <v>1332</v>
      </c>
      <c r="S629" s="2106">
        <v>3200</v>
      </c>
      <c r="T629" s="1266" t="s">
        <v>136</v>
      </c>
      <c r="U629" s="1742">
        <v>1.2691883296460175E-2</v>
      </c>
      <c r="V629" s="1742">
        <v>0.14624999999999999</v>
      </c>
      <c r="W629" s="1742">
        <v>1.1186625937499999</v>
      </c>
      <c r="X629" s="1742">
        <v>0.4015178457754629</v>
      </c>
      <c r="Y629" s="2106">
        <v>1.6649423457754629</v>
      </c>
      <c r="Z629" s="2106">
        <v>40.614026548672562</v>
      </c>
      <c r="AA629" s="2106">
        <v>468</v>
      </c>
      <c r="AB629" s="2106">
        <v>3579.7202999999995</v>
      </c>
      <c r="AC629" s="2106">
        <v>1284.8571064814812</v>
      </c>
      <c r="AD629" s="1744">
        <v>5332.5774064814805</v>
      </c>
      <c r="AE629" s="2126">
        <v>0</v>
      </c>
      <c r="AF629" s="2126">
        <v>0</v>
      </c>
      <c r="AG629" s="1212">
        <v>1</v>
      </c>
      <c r="AH629" s="1212">
        <v>0</v>
      </c>
      <c r="AI629" s="1212">
        <v>0</v>
      </c>
      <c r="AJ629" s="1212">
        <v>1</v>
      </c>
      <c r="AK629" s="2126">
        <v>5332.5774064814805</v>
      </c>
      <c r="AL629" s="2126">
        <v>0</v>
      </c>
      <c r="AM629" s="2126">
        <v>0</v>
      </c>
      <c r="AN629" s="2126">
        <v>5332.5774064814805</v>
      </c>
      <c r="AO629" s="1743" t="s">
        <v>85</v>
      </c>
      <c r="AP629" s="1743" t="s">
        <v>90</v>
      </c>
      <c r="AQ629" s="1764">
        <v>2020</v>
      </c>
      <c r="AR629" s="1743" t="s">
        <v>87</v>
      </c>
      <c r="AS629" s="2135"/>
      <c r="AT629" s="2135"/>
      <c r="AU629" s="1212">
        <v>0.33333333333333331</v>
      </c>
      <c r="AV629" s="1212">
        <v>0.33333333333333331</v>
      </c>
      <c r="AW629" s="1212">
        <v>0.33333333333333331</v>
      </c>
      <c r="AX629" s="1212"/>
      <c r="AY629" s="1212"/>
      <c r="AZ629" s="1212"/>
      <c r="BA629" s="1212"/>
      <c r="BB629" s="1212"/>
      <c r="BC629" s="1212"/>
      <c r="BD629" s="1212"/>
      <c r="BE629" s="1212"/>
      <c r="BF629" s="2126">
        <v>0</v>
      </c>
      <c r="BG629" s="2126">
        <v>0</v>
      </c>
      <c r="BH629" s="2126">
        <v>1777.5258021604934</v>
      </c>
      <c r="BI629" s="2126">
        <v>1777.5258021604934</v>
      </c>
      <c r="BJ629" s="2126">
        <v>1777.5258021604934</v>
      </c>
      <c r="BK629" s="2126">
        <v>0</v>
      </c>
      <c r="BL629" s="2126">
        <v>0</v>
      </c>
      <c r="BM629" s="2126">
        <v>0</v>
      </c>
      <c r="BN629" s="2126">
        <v>0</v>
      </c>
      <c r="BO629" s="2126">
        <v>0</v>
      </c>
      <c r="BP629" s="2126">
        <v>0</v>
      </c>
      <c r="BQ629" s="2126">
        <v>0</v>
      </c>
      <c r="BR629" s="2126">
        <v>0</v>
      </c>
    </row>
    <row r="630" spans="1:70" s="1765" customFormat="1" ht="33">
      <c r="A630" s="1272">
        <v>4000</v>
      </c>
      <c r="B630" s="971" t="s">
        <v>1316</v>
      </c>
      <c r="C630" s="1272">
        <v>4100</v>
      </c>
      <c r="D630" s="971" t="s">
        <v>120</v>
      </c>
      <c r="E630" s="971">
        <v>4130</v>
      </c>
      <c r="F630" s="971" t="s">
        <v>148</v>
      </c>
      <c r="G630" s="971">
        <v>4131</v>
      </c>
      <c r="H630" s="971" t="s">
        <v>1330</v>
      </c>
      <c r="I630" s="1273"/>
      <c r="J630" s="971" t="s">
        <v>121</v>
      </c>
      <c r="K630" s="971" t="s">
        <v>150</v>
      </c>
      <c r="L630" s="971" t="s">
        <v>2800</v>
      </c>
      <c r="M630" s="971" t="s">
        <v>80</v>
      </c>
      <c r="N630" s="971" t="s">
        <v>83</v>
      </c>
      <c r="O630" s="971" t="s">
        <v>151</v>
      </c>
      <c r="P630" s="971" t="s">
        <v>152</v>
      </c>
      <c r="Q630" s="971" t="s">
        <v>1331</v>
      </c>
      <c r="R630" s="1266" t="s">
        <v>1332</v>
      </c>
      <c r="S630" s="2106">
        <v>-3200</v>
      </c>
      <c r="T630" s="1266" t="s">
        <v>136</v>
      </c>
      <c r="U630" s="1742">
        <v>1.2691883296460175E-2</v>
      </c>
      <c r="V630" s="1742">
        <v>0.14624999999999999</v>
      </c>
      <c r="W630" s="1742">
        <v>1.1186625937499999</v>
      </c>
      <c r="X630" s="1742">
        <v>0.4015178457754629</v>
      </c>
      <c r="Y630" s="2106">
        <v>1.6649423457754629</v>
      </c>
      <c r="Z630" s="2106">
        <v>-40.614026548672562</v>
      </c>
      <c r="AA630" s="2106">
        <v>-468</v>
      </c>
      <c r="AB630" s="2106">
        <v>-3579.7202999999995</v>
      </c>
      <c r="AC630" s="2106">
        <v>-1284.8571064814812</v>
      </c>
      <c r="AD630" s="1744">
        <v>-5332.5774064814805</v>
      </c>
      <c r="AE630" s="2126">
        <v>0</v>
      </c>
      <c r="AF630" s="2126">
        <v>0</v>
      </c>
      <c r="AG630" s="1212">
        <v>1</v>
      </c>
      <c r="AH630" s="1212">
        <v>0</v>
      </c>
      <c r="AI630" s="1212">
        <v>0</v>
      </c>
      <c r="AJ630" s="1212">
        <v>1</v>
      </c>
      <c r="AK630" s="2126">
        <v>-5332.5774064814805</v>
      </c>
      <c r="AL630" s="2126">
        <v>0</v>
      </c>
      <c r="AM630" s="2126">
        <v>0</v>
      </c>
      <c r="AN630" s="2126">
        <v>-5332.5774064814805</v>
      </c>
      <c r="AO630" s="1743" t="s">
        <v>85</v>
      </c>
      <c r="AP630" s="1743" t="s">
        <v>96</v>
      </c>
      <c r="AQ630" s="1764" t="s">
        <v>118</v>
      </c>
      <c r="AR630" s="1743" t="s">
        <v>87</v>
      </c>
      <c r="AS630" s="2135"/>
      <c r="AT630" s="2135"/>
      <c r="AU630" s="1212">
        <v>0.33333333333333331</v>
      </c>
      <c r="AV630" s="1212">
        <v>0.33333333333333331</v>
      </c>
      <c r="AW630" s="1212">
        <v>0.33333333333333331</v>
      </c>
      <c r="AX630" s="1212"/>
      <c r="AY630" s="1212"/>
      <c r="AZ630" s="1212"/>
      <c r="BA630" s="1212"/>
      <c r="BB630" s="1212"/>
      <c r="BC630" s="1212"/>
      <c r="BD630" s="1212"/>
      <c r="BE630" s="1212"/>
      <c r="BF630" s="2126">
        <v>0</v>
      </c>
      <c r="BG630" s="2126">
        <v>0</v>
      </c>
      <c r="BH630" s="2126">
        <v>-1777.5258021604934</v>
      </c>
      <c r="BI630" s="2126">
        <v>-1777.5258021604934</v>
      </c>
      <c r="BJ630" s="2126">
        <v>-1777.5258021604934</v>
      </c>
      <c r="BK630" s="2126">
        <v>0</v>
      </c>
      <c r="BL630" s="2126">
        <v>0</v>
      </c>
      <c r="BM630" s="2126">
        <v>0</v>
      </c>
      <c r="BN630" s="2126">
        <v>0</v>
      </c>
      <c r="BO630" s="2126">
        <v>0</v>
      </c>
      <c r="BP630" s="2126">
        <v>0</v>
      </c>
      <c r="BQ630" s="2126">
        <v>0</v>
      </c>
      <c r="BR630" s="2126">
        <v>0</v>
      </c>
    </row>
    <row r="631" spans="1:70" s="1765" customFormat="1" ht="33">
      <c r="A631" s="1272">
        <v>4000</v>
      </c>
      <c r="B631" s="971" t="s">
        <v>1316</v>
      </c>
      <c r="C631" s="1272">
        <v>4100</v>
      </c>
      <c r="D631" s="971" t="s">
        <v>120</v>
      </c>
      <c r="E631" s="971">
        <v>4130</v>
      </c>
      <c r="F631" s="971" t="s">
        <v>148</v>
      </c>
      <c r="G631" s="971">
        <v>4131</v>
      </c>
      <c r="H631" s="971" t="s">
        <v>1330</v>
      </c>
      <c r="I631" s="1273"/>
      <c r="J631" s="971" t="s">
        <v>121</v>
      </c>
      <c r="K631" s="971" t="s">
        <v>150</v>
      </c>
      <c r="L631" s="971" t="s">
        <v>2800</v>
      </c>
      <c r="M631" s="971" t="s">
        <v>80</v>
      </c>
      <c r="N631" s="971" t="s">
        <v>83</v>
      </c>
      <c r="O631" s="971" t="s">
        <v>151</v>
      </c>
      <c r="P631" s="971" t="s">
        <v>152</v>
      </c>
      <c r="Q631" s="971" t="s">
        <v>1334</v>
      </c>
      <c r="R631" s="1266"/>
      <c r="S631" s="2106">
        <v>33576</v>
      </c>
      <c r="T631" s="1266" t="s">
        <v>136</v>
      </c>
      <c r="U631" s="1742">
        <v>1.2691883296460175E-2</v>
      </c>
      <c r="V631" s="1742">
        <v>0.14624999999999999</v>
      </c>
      <c r="W631" s="1742">
        <v>1.1186625937499999</v>
      </c>
      <c r="X631" s="1742">
        <v>0.4015178457754629</v>
      </c>
      <c r="Y631" s="2106">
        <v>1.6649423457754629</v>
      </c>
      <c r="Z631" s="2106">
        <v>426.14267356194682</v>
      </c>
      <c r="AA631" s="2106">
        <v>4910.49</v>
      </c>
      <c r="AB631" s="2106">
        <v>37560.215247749999</v>
      </c>
      <c r="AC631" s="2106">
        <v>13481.363189756943</v>
      </c>
      <c r="AD631" s="1744">
        <v>55952.06843750694</v>
      </c>
      <c r="AE631" s="2126">
        <v>0</v>
      </c>
      <c r="AF631" s="2126">
        <v>0</v>
      </c>
      <c r="AG631" s="1212">
        <v>1</v>
      </c>
      <c r="AH631" s="1212">
        <v>0</v>
      </c>
      <c r="AI631" s="1212">
        <v>0</v>
      </c>
      <c r="AJ631" s="1212">
        <v>1</v>
      </c>
      <c r="AK631" s="2126">
        <v>55952.06843750694</v>
      </c>
      <c r="AL631" s="2126">
        <v>0</v>
      </c>
      <c r="AM631" s="2126">
        <v>0</v>
      </c>
      <c r="AN631" s="2126">
        <v>55952.06843750694</v>
      </c>
      <c r="AO631" s="1743" t="s">
        <v>85</v>
      </c>
      <c r="AP631" s="1743"/>
      <c r="AQ631" s="1764">
        <v>2014</v>
      </c>
      <c r="AR631" s="1743" t="s">
        <v>87</v>
      </c>
      <c r="AS631" s="2135"/>
      <c r="AT631" s="2135"/>
      <c r="AU631" s="1212">
        <v>0.33333333333333331</v>
      </c>
      <c r="AV631" s="1212">
        <v>0.33333333333333331</v>
      </c>
      <c r="AW631" s="1212">
        <v>0.33333333333333331</v>
      </c>
      <c r="AX631" s="1212"/>
      <c r="AY631" s="1212"/>
      <c r="AZ631" s="1212"/>
      <c r="BA631" s="1212"/>
      <c r="BB631" s="1212"/>
      <c r="BC631" s="1212"/>
      <c r="BD631" s="1212"/>
      <c r="BE631" s="1212"/>
      <c r="BF631" s="2126">
        <v>0</v>
      </c>
      <c r="BG631" s="2126">
        <v>0</v>
      </c>
      <c r="BH631" s="2126">
        <v>18650.689479168977</v>
      </c>
      <c r="BI631" s="2126">
        <v>18650.689479168977</v>
      </c>
      <c r="BJ631" s="2126">
        <v>18650.689479168977</v>
      </c>
      <c r="BK631" s="2126">
        <v>0</v>
      </c>
      <c r="BL631" s="2126">
        <v>0</v>
      </c>
      <c r="BM631" s="2126">
        <v>0</v>
      </c>
      <c r="BN631" s="2126">
        <v>0</v>
      </c>
      <c r="BO631" s="2126">
        <v>0</v>
      </c>
      <c r="BP631" s="2126">
        <v>0</v>
      </c>
      <c r="BQ631" s="2126">
        <v>0</v>
      </c>
      <c r="BR631" s="2126">
        <v>0</v>
      </c>
    </row>
    <row r="632" spans="1:70" s="1765" customFormat="1" ht="33">
      <c r="A632" s="1272">
        <v>4000</v>
      </c>
      <c r="B632" s="971" t="s">
        <v>1316</v>
      </c>
      <c r="C632" s="1272">
        <v>4100</v>
      </c>
      <c r="D632" s="971" t="s">
        <v>120</v>
      </c>
      <c r="E632" s="971">
        <v>4130</v>
      </c>
      <c r="F632" s="971" t="s">
        <v>148</v>
      </c>
      <c r="G632" s="971">
        <v>4131</v>
      </c>
      <c r="H632" s="971" t="s">
        <v>1330</v>
      </c>
      <c r="I632" s="1273"/>
      <c r="J632" s="971" t="s">
        <v>121</v>
      </c>
      <c r="K632" s="971" t="s">
        <v>150</v>
      </c>
      <c r="L632" s="971" t="s">
        <v>2800</v>
      </c>
      <c r="M632" s="971" t="s">
        <v>80</v>
      </c>
      <c r="N632" s="971" t="s">
        <v>83</v>
      </c>
      <c r="O632" s="971" t="s">
        <v>151</v>
      </c>
      <c r="P632" s="971" t="s">
        <v>152</v>
      </c>
      <c r="Q632" s="971" t="s">
        <v>1335</v>
      </c>
      <c r="R632" s="1266" t="s">
        <v>1336</v>
      </c>
      <c r="S632" s="2106">
        <v>37732</v>
      </c>
      <c r="T632" s="1266" t="s">
        <v>136</v>
      </c>
      <c r="U632" s="1742">
        <v>1.2691883296460175E-2</v>
      </c>
      <c r="V632" s="1742">
        <v>0.14624999999999999</v>
      </c>
      <c r="W632" s="1742">
        <v>1.1186625937499999</v>
      </c>
      <c r="X632" s="1742">
        <v>0.4015178457754629</v>
      </c>
      <c r="Y632" s="2106">
        <v>1.6649423457754629</v>
      </c>
      <c r="Z632" s="2106">
        <v>478.89014054203534</v>
      </c>
      <c r="AA632" s="2106">
        <v>5518.3049999999994</v>
      </c>
      <c r="AB632" s="2106">
        <v>42209.376987374999</v>
      </c>
      <c r="AC632" s="2106">
        <v>15150.071356799766</v>
      </c>
      <c r="AD632" s="1744">
        <v>62877.753344174766</v>
      </c>
      <c r="AE632" s="2126">
        <v>0</v>
      </c>
      <c r="AF632" s="2126">
        <v>0</v>
      </c>
      <c r="AG632" s="1212">
        <v>1</v>
      </c>
      <c r="AH632" s="1212">
        <v>0</v>
      </c>
      <c r="AI632" s="1212">
        <v>0</v>
      </c>
      <c r="AJ632" s="1212">
        <v>1</v>
      </c>
      <c r="AK632" s="2126">
        <v>62877.753344174766</v>
      </c>
      <c r="AL632" s="2126">
        <v>0</v>
      </c>
      <c r="AM632" s="2126">
        <v>0</v>
      </c>
      <c r="AN632" s="2126">
        <v>62877.753344174766</v>
      </c>
      <c r="AO632" s="1743" t="s">
        <v>85</v>
      </c>
      <c r="AP632" s="1743" t="s">
        <v>90</v>
      </c>
      <c r="AQ632" s="1764">
        <v>2021</v>
      </c>
      <c r="AR632" s="1743" t="s">
        <v>87</v>
      </c>
      <c r="AS632" s="2135"/>
      <c r="AT632" s="2135"/>
      <c r="AU632" s="1212">
        <v>0.33333333333333331</v>
      </c>
      <c r="AV632" s="1212">
        <v>0.33333333333333331</v>
      </c>
      <c r="AW632" s="1212">
        <v>0.33333333333333331</v>
      </c>
      <c r="AX632" s="1212"/>
      <c r="AY632" s="1212"/>
      <c r="AZ632" s="1212"/>
      <c r="BA632" s="1212"/>
      <c r="BB632" s="1212"/>
      <c r="BC632" s="1212"/>
      <c r="BD632" s="1212"/>
      <c r="BE632" s="1212"/>
      <c r="BF632" s="2126">
        <v>0</v>
      </c>
      <c r="BG632" s="2126">
        <v>0</v>
      </c>
      <c r="BH632" s="2126">
        <v>20959.251114724921</v>
      </c>
      <c r="BI632" s="2126">
        <v>20959.251114724921</v>
      </c>
      <c r="BJ632" s="2126">
        <v>20959.251114724921</v>
      </c>
      <c r="BK632" s="2126">
        <v>0</v>
      </c>
      <c r="BL632" s="2126">
        <v>0</v>
      </c>
      <c r="BM632" s="2126">
        <v>0</v>
      </c>
      <c r="BN632" s="2126">
        <v>0</v>
      </c>
      <c r="BO632" s="2126">
        <v>0</v>
      </c>
      <c r="BP632" s="2126">
        <v>0</v>
      </c>
      <c r="BQ632" s="2126">
        <v>0</v>
      </c>
      <c r="BR632" s="2126">
        <v>0</v>
      </c>
    </row>
    <row r="633" spans="1:70" s="1765" customFormat="1" ht="33">
      <c r="A633" s="1272">
        <v>4000</v>
      </c>
      <c r="B633" s="971" t="s">
        <v>1316</v>
      </c>
      <c r="C633" s="1272">
        <v>4100</v>
      </c>
      <c r="D633" s="971" t="s">
        <v>120</v>
      </c>
      <c r="E633" s="971">
        <v>4130</v>
      </c>
      <c r="F633" s="971" t="s">
        <v>148</v>
      </c>
      <c r="G633" s="971">
        <v>4131</v>
      </c>
      <c r="H633" s="971" t="s">
        <v>1330</v>
      </c>
      <c r="I633" s="1273"/>
      <c r="J633" s="971" t="s">
        <v>121</v>
      </c>
      <c r="K633" s="971" t="s">
        <v>150</v>
      </c>
      <c r="L633" s="971" t="s">
        <v>2800</v>
      </c>
      <c r="M633" s="971" t="s">
        <v>80</v>
      </c>
      <c r="N633" s="971" t="s">
        <v>83</v>
      </c>
      <c r="O633" s="971" t="s">
        <v>151</v>
      </c>
      <c r="P633" s="971" t="s">
        <v>152</v>
      </c>
      <c r="Q633" s="971" t="s">
        <v>1337</v>
      </c>
      <c r="R633" s="1266" t="s">
        <v>1338</v>
      </c>
      <c r="S633" s="2106">
        <v>5243</v>
      </c>
      <c r="T633" s="1266" t="s">
        <v>136</v>
      </c>
      <c r="U633" s="1742">
        <v>1.2691883296460175E-2</v>
      </c>
      <c r="V633" s="1742">
        <v>0.14624999999999999</v>
      </c>
      <c r="W633" s="1742">
        <v>1.1186625937499999</v>
      </c>
      <c r="X633" s="1742">
        <v>0.4015178457754629</v>
      </c>
      <c r="Y633" s="2106">
        <v>1.6649423457754629</v>
      </c>
      <c r="Z633" s="2106">
        <v>66.543544123340695</v>
      </c>
      <c r="AA633" s="2106">
        <v>766.78874999999994</v>
      </c>
      <c r="AB633" s="2106">
        <v>5865.1479790312496</v>
      </c>
      <c r="AC633" s="2106">
        <v>2105.1580654007521</v>
      </c>
      <c r="AD633" s="1744">
        <v>8737.0947944320014</v>
      </c>
      <c r="AE633" s="2126">
        <v>0</v>
      </c>
      <c r="AF633" s="2126">
        <v>0</v>
      </c>
      <c r="AG633" s="1212">
        <v>1</v>
      </c>
      <c r="AH633" s="1212">
        <v>0</v>
      </c>
      <c r="AI633" s="1212">
        <v>0</v>
      </c>
      <c r="AJ633" s="1212">
        <v>1</v>
      </c>
      <c r="AK633" s="2126">
        <v>8737.0947944320014</v>
      </c>
      <c r="AL633" s="2126">
        <v>0</v>
      </c>
      <c r="AM633" s="2126">
        <v>0</v>
      </c>
      <c r="AN633" s="2126">
        <v>8737.0947944320014</v>
      </c>
      <c r="AO633" s="1743" t="s">
        <v>85</v>
      </c>
      <c r="AP633" s="1743" t="s">
        <v>90</v>
      </c>
      <c r="AQ633" s="1764">
        <v>2021</v>
      </c>
      <c r="AR633" s="1743" t="s">
        <v>87</v>
      </c>
      <c r="AS633" s="2135"/>
      <c r="AT633" s="2135"/>
      <c r="AU633" s="1212">
        <v>0.33333333333333331</v>
      </c>
      <c r="AV633" s="1212">
        <v>0.33333333333333331</v>
      </c>
      <c r="AW633" s="1212">
        <v>0.33333333333333331</v>
      </c>
      <c r="AX633" s="1212"/>
      <c r="AY633" s="1212"/>
      <c r="AZ633" s="1212"/>
      <c r="BA633" s="1212"/>
      <c r="BB633" s="1212"/>
      <c r="BC633" s="1212"/>
      <c r="BD633" s="1212"/>
      <c r="BE633" s="1212"/>
      <c r="BF633" s="2126">
        <v>0</v>
      </c>
      <c r="BG633" s="2126">
        <v>0</v>
      </c>
      <c r="BH633" s="2126">
        <v>2912.3649314773338</v>
      </c>
      <c r="BI633" s="2126">
        <v>2912.3649314773338</v>
      </c>
      <c r="BJ633" s="2126">
        <v>2912.3649314773338</v>
      </c>
      <c r="BK633" s="2126">
        <v>0</v>
      </c>
      <c r="BL633" s="2126">
        <v>0</v>
      </c>
      <c r="BM633" s="2126">
        <v>0</v>
      </c>
      <c r="BN633" s="2126">
        <v>0</v>
      </c>
      <c r="BO633" s="2126">
        <v>0</v>
      </c>
      <c r="BP633" s="2126">
        <v>0</v>
      </c>
      <c r="BQ633" s="2126">
        <v>0</v>
      </c>
      <c r="BR633" s="2126">
        <v>0</v>
      </c>
    </row>
    <row r="634" spans="1:70" s="1765" customFormat="1" ht="33">
      <c r="A634" s="1272">
        <v>4000</v>
      </c>
      <c r="B634" s="971" t="s">
        <v>1316</v>
      </c>
      <c r="C634" s="1272">
        <v>4100</v>
      </c>
      <c r="D634" s="971" t="s">
        <v>120</v>
      </c>
      <c r="E634" s="971">
        <v>4130</v>
      </c>
      <c r="F634" s="971" t="s">
        <v>148</v>
      </c>
      <c r="G634" s="971">
        <v>4131</v>
      </c>
      <c r="H634" s="971" t="s">
        <v>1330</v>
      </c>
      <c r="I634" s="1273"/>
      <c r="J634" s="971" t="s">
        <v>121</v>
      </c>
      <c r="K634" s="971" t="s">
        <v>150</v>
      </c>
      <c r="L634" s="971" t="s">
        <v>2800</v>
      </c>
      <c r="M634" s="971" t="s">
        <v>80</v>
      </c>
      <c r="N634" s="971" t="s">
        <v>83</v>
      </c>
      <c r="O634" s="971" t="s">
        <v>151</v>
      </c>
      <c r="P634" s="971" t="s">
        <v>152</v>
      </c>
      <c r="Q634" s="971" t="s">
        <v>1337</v>
      </c>
      <c r="R634" s="1266" t="s">
        <v>1338</v>
      </c>
      <c r="S634" s="2106">
        <v>-5243</v>
      </c>
      <c r="T634" s="1266" t="s">
        <v>136</v>
      </c>
      <c r="U634" s="1742">
        <v>1.2691883296460175E-2</v>
      </c>
      <c r="V634" s="1742">
        <v>0.14624999999999999</v>
      </c>
      <c r="W634" s="1742">
        <v>1.1186625937499999</v>
      </c>
      <c r="X634" s="1742">
        <v>0.4015178457754629</v>
      </c>
      <c r="Y634" s="2106">
        <v>1.6649423457754629</v>
      </c>
      <c r="Z634" s="2106">
        <v>-66.543544123340695</v>
      </c>
      <c r="AA634" s="2106">
        <v>-766.78874999999994</v>
      </c>
      <c r="AB634" s="2106">
        <v>-5865.1479790312496</v>
      </c>
      <c r="AC634" s="2106">
        <v>-2105.1580654007521</v>
      </c>
      <c r="AD634" s="1744">
        <v>-8737.0947944320014</v>
      </c>
      <c r="AE634" s="2126">
        <v>0</v>
      </c>
      <c r="AF634" s="2126">
        <v>0</v>
      </c>
      <c r="AG634" s="1212">
        <v>1</v>
      </c>
      <c r="AH634" s="1212">
        <v>0</v>
      </c>
      <c r="AI634" s="1212">
        <v>0</v>
      </c>
      <c r="AJ634" s="1212">
        <v>1</v>
      </c>
      <c r="AK634" s="2126">
        <v>-8737.0947944320014</v>
      </c>
      <c r="AL634" s="2126">
        <v>0</v>
      </c>
      <c r="AM634" s="2126">
        <v>0</v>
      </c>
      <c r="AN634" s="2126">
        <v>-8737.0947944320014</v>
      </c>
      <c r="AO634" s="1743" t="s">
        <v>85</v>
      </c>
      <c r="AP634" s="1743" t="s">
        <v>96</v>
      </c>
      <c r="AQ634" s="1764" t="s">
        <v>118</v>
      </c>
      <c r="AR634" s="1743" t="s">
        <v>87</v>
      </c>
      <c r="AS634" s="2135"/>
      <c r="AT634" s="2135"/>
      <c r="AU634" s="1212">
        <v>0.33333333333333331</v>
      </c>
      <c r="AV634" s="1212">
        <v>0.33333333333333331</v>
      </c>
      <c r="AW634" s="1212">
        <v>0.33333333333333331</v>
      </c>
      <c r="AX634" s="1212"/>
      <c r="AY634" s="1212"/>
      <c r="AZ634" s="1212"/>
      <c r="BA634" s="1212"/>
      <c r="BB634" s="1212"/>
      <c r="BC634" s="1212"/>
      <c r="BD634" s="1212"/>
      <c r="BE634" s="1212"/>
      <c r="BF634" s="2126">
        <v>0</v>
      </c>
      <c r="BG634" s="2126">
        <v>0</v>
      </c>
      <c r="BH634" s="2126">
        <v>-2912.3649314773338</v>
      </c>
      <c r="BI634" s="2126">
        <v>-2912.3649314773338</v>
      </c>
      <c r="BJ634" s="2126">
        <v>-2912.3649314773338</v>
      </c>
      <c r="BK634" s="2126">
        <v>0</v>
      </c>
      <c r="BL634" s="2126">
        <v>0</v>
      </c>
      <c r="BM634" s="2126">
        <v>0</v>
      </c>
      <c r="BN634" s="2126">
        <v>0</v>
      </c>
      <c r="BO634" s="2126">
        <v>0</v>
      </c>
      <c r="BP634" s="2126">
        <v>0</v>
      </c>
      <c r="BQ634" s="2126">
        <v>0</v>
      </c>
      <c r="BR634" s="2126">
        <v>0</v>
      </c>
    </row>
    <row r="635" spans="1:70" s="1765" customFormat="1" ht="49.5">
      <c r="A635" s="1272">
        <v>4000</v>
      </c>
      <c r="B635" s="971" t="s">
        <v>1316</v>
      </c>
      <c r="C635" s="1272">
        <v>4100</v>
      </c>
      <c r="D635" s="971" t="s">
        <v>120</v>
      </c>
      <c r="E635" s="971">
        <v>4130</v>
      </c>
      <c r="F635" s="971" t="s">
        <v>148</v>
      </c>
      <c r="G635" s="971">
        <v>4131</v>
      </c>
      <c r="H635" s="971" t="s">
        <v>1330</v>
      </c>
      <c r="I635" s="1273"/>
      <c r="J635" s="971" t="s">
        <v>121</v>
      </c>
      <c r="K635" s="971" t="s">
        <v>150</v>
      </c>
      <c r="L635" s="971" t="s">
        <v>2800</v>
      </c>
      <c r="M635" s="971" t="s">
        <v>80</v>
      </c>
      <c r="N635" s="971" t="s">
        <v>83</v>
      </c>
      <c r="O635" s="971" t="s">
        <v>151</v>
      </c>
      <c r="P635" s="971" t="s">
        <v>152</v>
      </c>
      <c r="Q635" s="971" t="s">
        <v>1339</v>
      </c>
      <c r="R635" s="1266" t="s">
        <v>1340</v>
      </c>
      <c r="S635" s="2106">
        <v>10705</v>
      </c>
      <c r="T635" s="1266" t="s">
        <v>136</v>
      </c>
      <c r="U635" s="1742">
        <v>1.2691883296460175E-2</v>
      </c>
      <c r="V635" s="1742">
        <v>0.14624999999999999</v>
      </c>
      <c r="W635" s="1742">
        <v>1.1186625937499999</v>
      </c>
      <c r="X635" s="1742">
        <v>0.4015178457754629</v>
      </c>
      <c r="Y635" s="2106">
        <v>1.6649423457754629</v>
      </c>
      <c r="Z635" s="2106">
        <v>135.86661068860619</v>
      </c>
      <c r="AA635" s="2106">
        <v>1565.6062499999998</v>
      </c>
      <c r="AB635" s="2106">
        <v>11975.283066093749</v>
      </c>
      <c r="AC635" s="2106">
        <v>4298.24853902633</v>
      </c>
      <c r="AD635" s="1744">
        <v>17839.137855120076</v>
      </c>
      <c r="AE635" s="2126">
        <v>0</v>
      </c>
      <c r="AF635" s="2126">
        <v>0</v>
      </c>
      <c r="AG635" s="1212">
        <v>1</v>
      </c>
      <c r="AH635" s="1212">
        <v>0</v>
      </c>
      <c r="AI635" s="1212">
        <v>0</v>
      </c>
      <c r="AJ635" s="1212">
        <v>1</v>
      </c>
      <c r="AK635" s="2126">
        <v>17839.137855120076</v>
      </c>
      <c r="AL635" s="2126">
        <v>0</v>
      </c>
      <c r="AM635" s="2126">
        <v>0</v>
      </c>
      <c r="AN635" s="2126">
        <v>17839.137855120076</v>
      </c>
      <c r="AO635" s="1743" t="s">
        <v>85</v>
      </c>
      <c r="AP635" s="1743" t="s">
        <v>90</v>
      </c>
      <c r="AQ635" s="1764">
        <v>2021</v>
      </c>
      <c r="AR635" s="1743" t="s">
        <v>87</v>
      </c>
      <c r="AS635" s="2135"/>
      <c r="AT635" s="2135"/>
      <c r="AU635" s="1212">
        <v>0.33333333333333331</v>
      </c>
      <c r="AV635" s="1212">
        <v>0.33333333333333331</v>
      </c>
      <c r="AW635" s="1212">
        <v>0.33333333333333331</v>
      </c>
      <c r="AX635" s="1212"/>
      <c r="AY635" s="1212"/>
      <c r="AZ635" s="1212"/>
      <c r="BA635" s="1212"/>
      <c r="BB635" s="1212"/>
      <c r="BC635" s="1212"/>
      <c r="BD635" s="1212"/>
      <c r="BE635" s="1212"/>
      <c r="BF635" s="2126">
        <v>0</v>
      </c>
      <c r="BG635" s="2126">
        <v>0</v>
      </c>
      <c r="BH635" s="2126">
        <v>5946.379285040025</v>
      </c>
      <c r="BI635" s="2126">
        <v>5946.379285040025</v>
      </c>
      <c r="BJ635" s="2126">
        <v>5946.379285040025</v>
      </c>
      <c r="BK635" s="2126">
        <v>0</v>
      </c>
      <c r="BL635" s="2126">
        <v>0</v>
      </c>
      <c r="BM635" s="2126">
        <v>0</v>
      </c>
      <c r="BN635" s="2126">
        <v>0</v>
      </c>
      <c r="BO635" s="2126">
        <v>0</v>
      </c>
      <c r="BP635" s="2126">
        <v>0</v>
      </c>
      <c r="BQ635" s="2126">
        <v>0</v>
      </c>
      <c r="BR635" s="2126">
        <v>0</v>
      </c>
    </row>
    <row r="636" spans="1:70" s="1765" customFormat="1" ht="49.5">
      <c r="A636" s="1272">
        <v>4000</v>
      </c>
      <c r="B636" s="971" t="s">
        <v>1316</v>
      </c>
      <c r="C636" s="1272">
        <v>4100</v>
      </c>
      <c r="D636" s="971" t="s">
        <v>120</v>
      </c>
      <c r="E636" s="971">
        <v>4130</v>
      </c>
      <c r="F636" s="971" t="s">
        <v>148</v>
      </c>
      <c r="G636" s="971">
        <v>4131</v>
      </c>
      <c r="H636" s="971" t="s">
        <v>1330</v>
      </c>
      <c r="I636" s="1273"/>
      <c r="J636" s="971" t="s">
        <v>121</v>
      </c>
      <c r="K636" s="971" t="s">
        <v>150</v>
      </c>
      <c r="L636" s="971" t="s">
        <v>2800</v>
      </c>
      <c r="M636" s="971" t="s">
        <v>80</v>
      </c>
      <c r="N636" s="971" t="s">
        <v>83</v>
      </c>
      <c r="O636" s="971" t="s">
        <v>151</v>
      </c>
      <c r="P636" s="971" t="s">
        <v>152</v>
      </c>
      <c r="Q636" s="971" t="s">
        <v>1339</v>
      </c>
      <c r="R636" s="1266" t="s">
        <v>1340</v>
      </c>
      <c r="S636" s="2106">
        <v>-10705</v>
      </c>
      <c r="T636" s="1266" t="s">
        <v>136</v>
      </c>
      <c r="U636" s="1742">
        <v>1.2691883296460175E-2</v>
      </c>
      <c r="V636" s="1742">
        <v>0.14624999999999999</v>
      </c>
      <c r="W636" s="1742">
        <v>1.1186625937499999</v>
      </c>
      <c r="X636" s="1742">
        <v>0.4015178457754629</v>
      </c>
      <c r="Y636" s="2106">
        <v>1.6649423457754629</v>
      </c>
      <c r="Z636" s="2106">
        <v>-135.86661068860619</v>
      </c>
      <c r="AA636" s="2106">
        <v>-1565.6062499999998</v>
      </c>
      <c r="AB636" s="2106">
        <v>-11975.283066093749</v>
      </c>
      <c r="AC636" s="2106">
        <v>-4298.24853902633</v>
      </c>
      <c r="AD636" s="1744">
        <v>-17839.137855120076</v>
      </c>
      <c r="AE636" s="2126">
        <v>0</v>
      </c>
      <c r="AF636" s="2126">
        <v>0</v>
      </c>
      <c r="AG636" s="1212">
        <v>1</v>
      </c>
      <c r="AH636" s="1212">
        <v>0</v>
      </c>
      <c r="AI636" s="1212">
        <v>0</v>
      </c>
      <c r="AJ636" s="1212">
        <v>1</v>
      </c>
      <c r="AK636" s="2126">
        <v>-17839.137855120076</v>
      </c>
      <c r="AL636" s="2126">
        <v>0</v>
      </c>
      <c r="AM636" s="2126">
        <v>0</v>
      </c>
      <c r="AN636" s="2126">
        <v>-17839.137855120076</v>
      </c>
      <c r="AO636" s="1743" t="s">
        <v>85</v>
      </c>
      <c r="AP636" s="1743" t="s">
        <v>96</v>
      </c>
      <c r="AQ636" s="1764" t="s">
        <v>118</v>
      </c>
      <c r="AR636" s="1743" t="s">
        <v>87</v>
      </c>
      <c r="AS636" s="2135"/>
      <c r="AT636" s="2135"/>
      <c r="AU636" s="1212">
        <v>0.33333333333333331</v>
      </c>
      <c r="AV636" s="1212">
        <v>0.33333333333333331</v>
      </c>
      <c r="AW636" s="1212">
        <v>0.33333333333333331</v>
      </c>
      <c r="AX636" s="1212"/>
      <c r="AY636" s="1212"/>
      <c r="AZ636" s="1212"/>
      <c r="BA636" s="1212"/>
      <c r="BB636" s="1212"/>
      <c r="BC636" s="1212"/>
      <c r="BD636" s="1212"/>
      <c r="BE636" s="1212"/>
      <c r="BF636" s="2126">
        <v>0</v>
      </c>
      <c r="BG636" s="2126">
        <v>0</v>
      </c>
      <c r="BH636" s="2126">
        <v>-5946.379285040025</v>
      </c>
      <c r="BI636" s="2126">
        <v>-5946.379285040025</v>
      </c>
      <c r="BJ636" s="2126">
        <v>-5946.379285040025</v>
      </c>
      <c r="BK636" s="2126">
        <v>0</v>
      </c>
      <c r="BL636" s="2126">
        <v>0</v>
      </c>
      <c r="BM636" s="2126">
        <v>0</v>
      </c>
      <c r="BN636" s="2126">
        <v>0</v>
      </c>
      <c r="BO636" s="2126">
        <v>0</v>
      </c>
      <c r="BP636" s="2126">
        <v>0</v>
      </c>
      <c r="BQ636" s="2126">
        <v>0</v>
      </c>
      <c r="BR636" s="2126">
        <v>0</v>
      </c>
    </row>
    <row r="637" spans="1:70" s="1765" customFormat="1" ht="33">
      <c r="A637" s="1272">
        <v>4000</v>
      </c>
      <c r="B637" s="971" t="s">
        <v>1316</v>
      </c>
      <c r="C637" s="1272">
        <v>4100</v>
      </c>
      <c r="D637" s="971" t="s">
        <v>120</v>
      </c>
      <c r="E637" s="971">
        <v>4130</v>
      </c>
      <c r="F637" s="971" t="s">
        <v>148</v>
      </c>
      <c r="G637" s="971">
        <v>4131</v>
      </c>
      <c r="H637" s="971" t="s">
        <v>1330</v>
      </c>
      <c r="I637" s="1273"/>
      <c r="J637" s="971" t="s">
        <v>121</v>
      </c>
      <c r="K637" s="971" t="s">
        <v>150</v>
      </c>
      <c r="L637" s="971" t="s">
        <v>2800</v>
      </c>
      <c r="M637" s="971" t="s">
        <v>80</v>
      </c>
      <c r="N637" s="971" t="s">
        <v>83</v>
      </c>
      <c r="O637" s="971" t="s">
        <v>151</v>
      </c>
      <c r="P637" s="971" t="s">
        <v>152</v>
      </c>
      <c r="Q637" s="971" t="s">
        <v>1341</v>
      </c>
      <c r="R637" s="1266" t="s">
        <v>1342</v>
      </c>
      <c r="S637" s="2106">
        <v>2000</v>
      </c>
      <c r="T637" s="1266" t="s">
        <v>136</v>
      </c>
      <c r="U637" s="1742">
        <v>1.2691883296460175E-2</v>
      </c>
      <c r="V637" s="1742">
        <v>0.14624999999999999</v>
      </c>
      <c r="W637" s="1742">
        <v>1.1186625937499999</v>
      </c>
      <c r="X637" s="1742">
        <v>0.4015178457754629</v>
      </c>
      <c r="Y637" s="2106">
        <v>1.6649423457754629</v>
      </c>
      <c r="Z637" s="2106">
        <v>25.383766592920349</v>
      </c>
      <c r="AA637" s="2106">
        <v>292.5</v>
      </c>
      <c r="AB637" s="2106">
        <v>2237.3251874999996</v>
      </c>
      <c r="AC637" s="2106">
        <v>803.03569155092578</v>
      </c>
      <c r="AD637" s="1744">
        <v>3332.8608790509252</v>
      </c>
      <c r="AE637" s="2126">
        <v>0</v>
      </c>
      <c r="AF637" s="2126">
        <v>0</v>
      </c>
      <c r="AG637" s="1212">
        <v>1</v>
      </c>
      <c r="AH637" s="1212">
        <v>0</v>
      </c>
      <c r="AI637" s="1212">
        <v>0</v>
      </c>
      <c r="AJ637" s="1212">
        <v>1</v>
      </c>
      <c r="AK637" s="2126">
        <v>3332.8608790509252</v>
      </c>
      <c r="AL637" s="2126">
        <v>0</v>
      </c>
      <c r="AM637" s="2126">
        <v>0</v>
      </c>
      <c r="AN637" s="2126">
        <v>3332.8608790509252</v>
      </c>
      <c r="AO637" s="1743" t="s">
        <v>85</v>
      </c>
      <c r="AP637" s="1743" t="s">
        <v>90</v>
      </c>
      <c r="AQ637" s="1764">
        <v>2023</v>
      </c>
      <c r="AR637" s="1743" t="s">
        <v>87</v>
      </c>
      <c r="AS637" s="2135"/>
      <c r="AT637" s="2135"/>
      <c r="AU637" s="1212">
        <v>0.33333333333333331</v>
      </c>
      <c r="AV637" s="1212">
        <v>0.33333333333333331</v>
      </c>
      <c r="AW637" s="1212">
        <v>0.33333333333333331</v>
      </c>
      <c r="AX637" s="1212"/>
      <c r="AY637" s="1212"/>
      <c r="AZ637" s="1212"/>
      <c r="BA637" s="1212"/>
      <c r="BB637" s="1212"/>
      <c r="BC637" s="1212"/>
      <c r="BD637" s="1212"/>
      <c r="BE637" s="1212"/>
      <c r="BF637" s="2126">
        <v>0</v>
      </c>
      <c r="BG637" s="2126">
        <v>0</v>
      </c>
      <c r="BH637" s="2126">
        <v>1110.9536263503082</v>
      </c>
      <c r="BI637" s="2126">
        <v>1110.9536263503082</v>
      </c>
      <c r="BJ637" s="2126">
        <v>1110.9536263503082</v>
      </c>
      <c r="BK637" s="2126">
        <v>0</v>
      </c>
      <c r="BL637" s="2126">
        <v>0</v>
      </c>
      <c r="BM637" s="2126">
        <v>0</v>
      </c>
      <c r="BN637" s="2126">
        <v>0</v>
      </c>
      <c r="BO637" s="2126">
        <v>0</v>
      </c>
      <c r="BP637" s="2126">
        <v>0</v>
      </c>
      <c r="BQ637" s="2126">
        <v>0</v>
      </c>
      <c r="BR637" s="2126">
        <v>0</v>
      </c>
    </row>
    <row r="638" spans="1:70" s="1765" customFormat="1" ht="33">
      <c r="A638" s="1272">
        <v>4000</v>
      </c>
      <c r="B638" s="971" t="s">
        <v>1316</v>
      </c>
      <c r="C638" s="1272">
        <v>4100</v>
      </c>
      <c r="D638" s="971" t="s">
        <v>120</v>
      </c>
      <c r="E638" s="971">
        <v>4130</v>
      </c>
      <c r="F638" s="971" t="s">
        <v>148</v>
      </c>
      <c r="G638" s="971">
        <v>4131</v>
      </c>
      <c r="H638" s="971" t="s">
        <v>1330</v>
      </c>
      <c r="I638" s="1273"/>
      <c r="J638" s="971" t="s">
        <v>121</v>
      </c>
      <c r="K638" s="971" t="s">
        <v>150</v>
      </c>
      <c r="L638" s="971" t="s">
        <v>2800</v>
      </c>
      <c r="M638" s="971" t="s">
        <v>80</v>
      </c>
      <c r="N638" s="971" t="s">
        <v>83</v>
      </c>
      <c r="O638" s="971" t="s">
        <v>151</v>
      </c>
      <c r="P638" s="971" t="s">
        <v>152</v>
      </c>
      <c r="Q638" s="971" t="s">
        <v>1343</v>
      </c>
      <c r="R638" s="1266" t="s">
        <v>1344</v>
      </c>
      <c r="S638" s="2106">
        <v>20000</v>
      </c>
      <c r="T638" s="1266" t="s">
        <v>136</v>
      </c>
      <c r="U638" s="1742">
        <v>1.2691883296460175E-2</v>
      </c>
      <c r="V638" s="1742">
        <v>0.14624999999999999</v>
      </c>
      <c r="W638" s="1742">
        <v>1.1186625937499999</v>
      </c>
      <c r="X638" s="1742">
        <v>0.4015178457754629</v>
      </c>
      <c r="Y638" s="2106">
        <v>1.6649423457754629</v>
      </c>
      <c r="Z638" s="2106">
        <v>253.8376659292035</v>
      </c>
      <c r="AA638" s="2106">
        <v>2925</v>
      </c>
      <c r="AB638" s="2106">
        <v>22373.251874999998</v>
      </c>
      <c r="AC638" s="2106">
        <v>8030.3569155092582</v>
      </c>
      <c r="AD638" s="1744">
        <v>33328.608790509257</v>
      </c>
      <c r="AE638" s="2126">
        <v>0</v>
      </c>
      <c r="AF638" s="2126">
        <v>0</v>
      </c>
      <c r="AG638" s="1212">
        <v>1</v>
      </c>
      <c r="AH638" s="1212">
        <v>0</v>
      </c>
      <c r="AI638" s="1212">
        <v>0</v>
      </c>
      <c r="AJ638" s="1212">
        <v>1</v>
      </c>
      <c r="AK638" s="2126">
        <v>33328.608790509257</v>
      </c>
      <c r="AL638" s="2126">
        <v>0</v>
      </c>
      <c r="AM638" s="2126">
        <v>0</v>
      </c>
      <c r="AN638" s="2126">
        <v>33328.608790509257</v>
      </c>
      <c r="AO638" s="1743" t="s">
        <v>85</v>
      </c>
      <c r="AP638" s="1743" t="s">
        <v>90</v>
      </c>
      <c r="AQ638" s="1764">
        <v>2021</v>
      </c>
      <c r="AR638" s="1743" t="s">
        <v>87</v>
      </c>
      <c r="AS638" s="2135"/>
      <c r="AT638" s="2135"/>
      <c r="AU638" s="1212">
        <v>0.33333333333333331</v>
      </c>
      <c r="AV638" s="1212">
        <v>0.33333333333333331</v>
      </c>
      <c r="AW638" s="1212">
        <v>0.33333333333333331</v>
      </c>
      <c r="AX638" s="1212"/>
      <c r="AY638" s="1212"/>
      <c r="AZ638" s="1212"/>
      <c r="BA638" s="1212"/>
      <c r="BB638" s="1212"/>
      <c r="BC638" s="1212"/>
      <c r="BD638" s="1212"/>
      <c r="BE638" s="1212"/>
      <c r="BF638" s="2126">
        <v>0</v>
      </c>
      <c r="BG638" s="2126">
        <v>0</v>
      </c>
      <c r="BH638" s="2126">
        <v>11109.536263503085</v>
      </c>
      <c r="BI638" s="2126">
        <v>11109.536263503085</v>
      </c>
      <c r="BJ638" s="2126">
        <v>11109.536263503085</v>
      </c>
      <c r="BK638" s="2126">
        <v>0</v>
      </c>
      <c r="BL638" s="2126">
        <v>0</v>
      </c>
      <c r="BM638" s="2126">
        <v>0</v>
      </c>
      <c r="BN638" s="2126">
        <v>0</v>
      </c>
      <c r="BO638" s="2126">
        <v>0</v>
      </c>
      <c r="BP638" s="2126">
        <v>0</v>
      </c>
      <c r="BQ638" s="2126">
        <v>0</v>
      </c>
      <c r="BR638" s="2126">
        <v>0</v>
      </c>
    </row>
    <row r="639" spans="1:70" s="1765" customFormat="1" ht="33">
      <c r="A639" s="1272">
        <v>4000</v>
      </c>
      <c r="B639" s="971" t="s">
        <v>1316</v>
      </c>
      <c r="C639" s="1272">
        <v>4100</v>
      </c>
      <c r="D639" s="971" t="s">
        <v>120</v>
      </c>
      <c r="E639" s="971">
        <v>4130</v>
      </c>
      <c r="F639" s="971" t="s">
        <v>148</v>
      </c>
      <c r="G639" s="971">
        <v>4131</v>
      </c>
      <c r="H639" s="971" t="s">
        <v>1330</v>
      </c>
      <c r="I639" s="1273"/>
      <c r="J639" s="971" t="s">
        <v>121</v>
      </c>
      <c r="K639" s="971" t="s">
        <v>150</v>
      </c>
      <c r="L639" s="971" t="s">
        <v>2800</v>
      </c>
      <c r="M639" s="971" t="s">
        <v>80</v>
      </c>
      <c r="N639" s="971" t="s">
        <v>83</v>
      </c>
      <c r="O639" s="971" t="s">
        <v>151</v>
      </c>
      <c r="P639" s="971" t="s">
        <v>152</v>
      </c>
      <c r="Q639" s="971" t="s">
        <v>1345</v>
      </c>
      <c r="R639" s="1266" t="s">
        <v>1346</v>
      </c>
      <c r="S639" s="2106">
        <v>12000</v>
      </c>
      <c r="T639" s="1266" t="s">
        <v>136</v>
      </c>
      <c r="U639" s="1742">
        <v>1.2691883296460175E-2</v>
      </c>
      <c r="V639" s="1742">
        <v>0.14624999999999999</v>
      </c>
      <c r="W639" s="1742">
        <v>1.1186625937499999</v>
      </c>
      <c r="X639" s="1742">
        <v>0.4015178457754629</v>
      </c>
      <c r="Y639" s="2106">
        <v>1.6649423457754629</v>
      </c>
      <c r="Z639" s="2106">
        <v>152.30259955752211</v>
      </c>
      <c r="AA639" s="2106">
        <v>1755</v>
      </c>
      <c r="AB639" s="2106">
        <v>13423.951124999998</v>
      </c>
      <c r="AC639" s="2106">
        <v>4818.2141493055551</v>
      </c>
      <c r="AD639" s="1744">
        <v>19997.165274305553</v>
      </c>
      <c r="AE639" s="2126">
        <v>0</v>
      </c>
      <c r="AF639" s="2126">
        <v>0</v>
      </c>
      <c r="AG639" s="1212">
        <v>1</v>
      </c>
      <c r="AH639" s="1212">
        <v>0</v>
      </c>
      <c r="AI639" s="1212">
        <v>0</v>
      </c>
      <c r="AJ639" s="1212">
        <v>1</v>
      </c>
      <c r="AK639" s="2126">
        <v>19997.165274305553</v>
      </c>
      <c r="AL639" s="2126">
        <v>0</v>
      </c>
      <c r="AM639" s="2126">
        <v>0</v>
      </c>
      <c r="AN639" s="2126">
        <v>19997.165274305553</v>
      </c>
      <c r="AO639" s="1743" t="s">
        <v>85</v>
      </c>
      <c r="AP639" s="1743" t="s">
        <v>1105</v>
      </c>
      <c r="AQ639" s="1764">
        <v>2019</v>
      </c>
      <c r="AR639" s="1743" t="s">
        <v>87</v>
      </c>
      <c r="AS639" s="2135"/>
      <c r="AT639" s="2135"/>
      <c r="AU639" s="1212">
        <v>0.33333333333333331</v>
      </c>
      <c r="AV639" s="1212">
        <v>0.33333333333333331</v>
      </c>
      <c r="AW639" s="1212">
        <v>0.33333333333333331</v>
      </c>
      <c r="AX639" s="1212"/>
      <c r="AY639" s="1212"/>
      <c r="AZ639" s="1212"/>
      <c r="BA639" s="1212"/>
      <c r="BB639" s="1212"/>
      <c r="BC639" s="1212"/>
      <c r="BD639" s="1212"/>
      <c r="BE639" s="1212"/>
      <c r="BF639" s="2126">
        <v>0</v>
      </c>
      <c r="BG639" s="2126">
        <v>0</v>
      </c>
      <c r="BH639" s="2126">
        <v>6665.7217581018504</v>
      </c>
      <c r="BI639" s="2126">
        <v>6665.7217581018504</v>
      </c>
      <c r="BJ639" s="2126">
        <v>6665.7217581018504</v>
      </c>
      <c r="BK639" s="2126">
        <v>0</v>
      </c>
      <c r="BL639" s="2126">
        <v>0</v>
      </c>
      <c r="BM639" s="2126">
        <v>0</v>
      </c>
      <c r="BN639" s="2126">
        <v>0</v>
      </c>
      <c r="BO639" s="2126">
        <v>0</v>
      </c>
      <c r="BP639" s="2126">
        <v>0</v>
      </c>
      <c r="BQ639" s="2126">
        <v>0</v>
      </c>
      <c r="BR639" s="2126">
        <v>0</v>
      </c>
    </row>
    <row r="640" spans="1:70" s="1765" customFormat="1" ht="33">
      <c r="A640" s="1272">
        <v>4000</v>
      </c>
      <c r="B640" s="971" t="s">
        <v>1316</v>
      </c>
      <c r="C640" s="1272">
        <v>4100</v>
      </c>
      <c r="D640" s="971" t="s">
        <v>120</v>
      </c>
      <c r="E640" s="971">
        <v>4130</v>
      </c>
      <c r="F640" s="971" t="s">
        <v>148</v>
      </c>
      <c r="G640" s="971">
        <v>4131</v>
      </c>
      <c r="H640" s="971" t="s">
        <v>1330</v>
      </c>
      <c r="I640" s="1273"/>
      <c r="J640" s="971" t="s">
        <v>121</v>
      </c>
      <c r="K640" s="971" t="s">
        <v>150</v>
      </c>
      <c r="L640" s="971" t="s">
        <v>2800</v>
      </c>
      <c r="M640" s="971" t="s">
        <v>80</v>
      </c>
      <c r="N640" s="971" t="s">
        <v>83</v>
      </c>
      <c r="O640" s="971" t="s">
        <v>151</v>
      </c>
      <c r="P640" s="971" t="s">
        <v>152</v>
      </c>
      <c r="Q640" s="971" t="s">
        <v>1345</v>
      </c>
      <c r="R640" s="1266" t="s">
        <v>1346</v>
      </c>
      <c r="S640" s="2106">
        <v>-12000</v>
      </c>
      <c r="T640" s="1266" t="s">
        <v>136</v>
      </c>
      <c r="U640" s="1742">
        <v>1.2691883296460175E-2</v>
      </c>
      <c r="V640" s="1742">
        <v>0.14624999999999999</v>
      </c>
      <c r="W640" s="1742">
        <v>1.1186625937499999</v>
      </c>
      <c r="X640" s="1742">
        <v>0.4015178457754629</v>
      </c>
      <c r="Y640" s="2106">
        <v>1.6649423457754629</v>
      </c>
      <c r="Z640" s="2106">
        <v>-152.30259955752211</v>
      </c>
      <c r="AA640" s="2106">
        <v>-1755</v>
      </c>
      <c r="AB640" s="2106">
        <v>-13423.951124999998</v>
      </c>
      <c r="AC640" s="2106">
        <v>-4818.2141493055551</v>
      </c>
      <c r="AD640" s="1744">
        <v>-19997.165274305553</v>
      </c>
      <c r="AE640" s="2126">
        <v>0</v>
      </c>
      <c r="AF640" s="2126">
        <v>0</v>
      </c>
      <c r="AG640" s="1212">
        <v>1</v>
      </c>
      <c r="AH640" s="1212">
        <v>0</v>
      </c>
      <c r="AI640" s="1212">
        <v>0</v>
      </c>
      <c r="AJ640" s="1212">
        <v>1</v>
      </c>
      <c r="AK640" s="2126">
        <v>-19997.165274305553</v>
      </c>
      <c r="AL640" s="2126">
        <v>0</v>
      </c>
      <c r="AM640" s="2126">
        <v>0</v>
      </c>
      <c r="AN640" s="2126">
        <v>-19997.165274305553</v>
      </c>
      <c r="AO640" s="1743" t="s">
        <v>85</v>
      </c>
      <c r="AP640" s="1743" t="s">
        <v>96</v>
      </c>
      <c r="AQ640" s="1764" t="s">
        <v>118</v>
      </c>
      <c r="AR640" s="1743" t="s">
        <v>87</v>
      </c>
      <c r="AS640" s="2135"/>
      <c r="AT640" s="2135"/>
      <c r="AU640" s="1212">
        <v>0.33333333333333331</v>
      </c>
      <c r="AV640" s="1212">
        <v>0.33333333333333331</v>
      </c>
      <c r="AW640" s="1212">
        <v>0.33333333333333331</v>
      </c>
      <c r="AX640" s="1212"/>
      <c r="AY640" s="1212"/>
      <c r="AZ640" s="1212"/>
      <c r="BA640" s="1212"/>
      <c r="BB640" s="1212"/>
      <c r="BC640" s="1212"/>
      <c r="BD640" s="1212"/>
      <c r="BE640" s="1212"/>
      <c r="BF640" s="2126">
        <v>0</v>
      </c>
      <c r="BG640" s="2126">
        <v>0</v>
      </c>
      <c r="BH640" s="2126">
        <v>-6665.7217581018504</v>
      </c>
      <c r="BI640" s="2126">
        <v>-6665.7217581018504</v>
      </c>
      <c r="BJ640" s="2126">
        <v>-6665.7217581018504</v>
      </c>
      <c r="BK640" s="2126">
        <v>0</v>
      </c>
      <c r="BL640" s="2126">
        <v>0</v>
      </c>
      <c r="BM640" s="2126">
        <v>0</v>
      </c>
      <c r="BN640" s="2126">
        <v>0</v>
      </c>
      <c r="BO640" s="2126">
        <v>0</v>
      </c>
      <c r="BP640" s="2126">
        <v>0</v>
      </c>
      <c r="BQ640" s="2126">
        <v>0</v>
      </c>
      <c r="BR640" s="2126">
        <v>0</v>
      </c>
    </row>
    <row r="641" spans="1:70" s="1765" customFormat="1" ht="33">
      <c r="A641" s="1272">
        <v>4000</v>
      </c>
      <c r="B641" s="971" t="s">
        <v>1316</v>
      </c>
      <c r="C641" s="1272">
        <v>4100</v>
      </c>
      <c r="D641" s="971" t="s">
        <v>120</v>
      </c>
      <c r="E641" s="971">
        <v>4130</v>
      </c>
      <c r="F641" s="971" t="s">
        <v>148</v>
      </c>
      <c r="G641" s="971">
        <v>4131</v>
      </c>
      <c r="H641" s="971" t="s">
        <v>1330</v>
      </c>
      <c r="I641" s="1273"/>
      <c r="J641" s="971" t="s">
        <v>121</v>
      </c>
      <c r="K641" s="971" t="s">
        <v>150</v>
      </c>
      <c r="L641" s="971" t="s">
        <v>2800</v>
      </c>
      <c r="M641" s="971" t="s">
        <v>80</v>
      </c>
      <c r="N641" s="971" t="s">
        <v>83</v>
      </c>
      <c r="O641" s="971" t="s">
        <v>151</v>
      </c>
      <c r="P641" s="971" t="s">
        <v>152</v>
      </c>
      <c r="Q641" s="971" t="s">
        <v>1347</v>
      </c>
      <c r="R641" s="1266"/>
      <c r="S641" s="2106">
        <v>3500</v>
      </c>
      <c r="T641" s="1266" t="s">
        <v>136</v>
      </c>
      <c r="U641" s="1742">
        <v>1.2691883296460175E-2</v>
      </c>
      <c r="V641" s="1742">
        <v>0.14624999999999999</v>
      </c>
      <c r="W641" s="1742">
        <v>1.1186625937499999</v>
      </c>
      <c r="X641" s="1742">
        <v>0.4015178457754629</v>
      </c>
      <c r="Y641" s="2106">
        <v>1.6649423457754629</v>
      </c>
      <c r="Z641" s="2106">
        <v>44.42159153761061</v>
      </c>
      <c r="AA641" s="2106">
        <v>511.87499999999994</v>
      </c>
      <c r="AB641" s="2106">
        <v>3915.3190781249996</v>
      </c>
      <c r="AC641" s="2106">
        <v>1405.3124602141202</v>
      </c>
      <c r="AD641" s="1744">
        <v>5832.5065383391193</v>
      </c>
      <c r="AE641" s="2126">
        <v>0</v>
      </c>
      <c r="AF641" s="2126">
        <v>0</v>
      </c>
      <c r="AG641" s="1212">
        <v>1</v>
      </c>
      <c r="AH641" s="1212">
        <v>0</v>
      </c>
      <c r="AI641" s="1212">
        <v>0</v>
      </c>
      <c r="AJ641" s="1212">
        <v>1</v>
      </c>
      <c r="AK641" s="2126">
        <v>5832.5065383391193</v>
      </c>
      <c r="AL641" s="2126">
        <v>0</v>
      </c>
      <c r="AM641" s="2126">
        <v>0</v>
      </c>
      <c r="AN641" s="2126">
        <v>5832.5065383391193</v>
      </c>
      <c r="AO641" s="1743" t="s">
        <v>85</v>
      </c>
      <c r="AP641" s="1743" t="s">
        <v>1105</v>
      </c>
      <c r="AQ641" s="1764">
        <v>2019</v>
      </c>
      <c r="AR641" s="1743" t="s">
        <v>87</v>
      </c>
      <c r="AS641" s="2135"/>
      <c r="AT641" s="2135"/>
      <c r="AU641" s="1212">
        <v>0.33333333333333331</v>
      </c>
      <c r="AV641" s="1212">
        <v>0.33333333333333331</v>
      </c>
      <c r="AW641" s="1212">
        <v>0.33333333333333331</v>
      </c>
      <c r="AX641" s="1212"/>
      <c r="AY641" s="1212"/>
      <c r="AZ641" s="1212"/>
      <c r="BA641" s="1212"/>
      <c r="BB641" s="1212"/>
      <c r="BC641" s="1212"/>
      <c r="BD641" s="1212"/>
      <c r="BE641" s="1212"/>
      <c r="BF641" s="2126">
        <v>0</v>
      </c>
      <c r="BG641" s="2126">
        <v>0</v>
      </c>
      <c r="BH641" s="2126">
        <v>1944.1688461130398</v>
      </c>
      <c r="BI641" s="2126">
        <v>1944.1688461130398</v>
      </c>
      <c r="BJ641" s="2126">
        <v>1944.1688461130398</v>
      </c>
      <c r="BK641" s="2126">
        <v>0</v>
      </c>
      <c r="BL641" s="2126">
        <v>0</v>
      </c>
      <c r="BM641" s="2126">
        <v>0</v>
      </c>
      <c r="BN641" s="2126">
        <v>0</v>
      </c>
      <c r="BO641" s="2126">
        <v>0</v>
      </c>
      <c r="BP641" s="2126">
        <v>0</v>
      </c>
      <c r="BQ641" s="2126">
        <v>0</v>
      </c>
      <c r="BR641" s="2126">
        <v>0</v>
      </c>
    </row>
    <row r="642" spans="1:70" s="1765" customFormat="1" ht="33">
      <c r="A642" s="1272">
        <v>4000</v>
      </c>
      <c r="B642" s="971" t="s">
        <v>1316</v>
      </c>
      <c r="C642" s="1272">
        <v>4100</v>
      </c>
      <c r="D642" s="971" t="s">
        <v>120</v>
      </c>
      <c r="E642" s="971">
        <v>4130</v>
      </c>
      <c r="F642" s="971" t="s">
        <v>148</v>
      </c>
      <c r="G642" s="971">
        <v>4131</v>
      </c>
      <c r="H642" s="971" t="s">
        <v>1330</v>
      </c>
      <c r="I642" s="1273"/>
      <c r="J642" s="971" t="s">
        <v>121</v>
      </c>
      <c r="K642" s="971" t="s">
        <v>150</v>
      </c>
      <c r="L642" s="971" t="s">
        <v>2800</v>
      </c>
      <c r="M642" s="971" t="s">
        <v>80</v>
      </c>
      <c r="N642" s="971" t="s">
        <v>83</v>
      </c>
      <c r="O642" s="971" t="s">
        <v>151</v>
      </c>
      <c r="P642" s="971" t="s">
        <v>152</v>
      </c>
      <c r="Q642" s="971" t="s">
        <v>1348</v>
      </c>
      <c r="R642" s="1266" t="s">
        <v>1349</v>
      </c>
      <c r="S642" s="2106">
        <v>91000</v>
      </c>
      <c r="T642" s="1266" t="s">
        <v>136</v>
      </c>
      <c r="U642" s="1742">
        <v>1.2691883296460175E-2</v>
      </c>
      <c r="V642" s="1742">
        <v>0.14624999999999999</v>
      </c>
      <c r="W642" s="1742">
        <v>1.1186625937499999</v>
      </c>
      <c r="X642" s="1742">
        <v>0.4015178457754629</v>
      </c>
      <c r="Y642" s="2106">
        <v>1.6649423457754629</v>
      </c>
      <c r="Z642" s="2106">
        <v>1154.961379977876</v>
      </c>
      <c r="AA642" s="2106">
        <v>13308.75</v>
      </c>
      <c r="AB642" s="2106">
        <v>101798.29603124999</v>
      </c>
      <c r="AC642" s="2106">
        <v>36538.123965567123</v>
      </c>
      <c r="AD642" s="1744">
        <v>151645.16999681713</v>
      </c>
      <c r="AE642" s="2126">
        <v>0</v>
      </c>
      <c r="AF642" s="2126">
        <v>0</v>
      </c>
      <c r="AG642" s="1212">
        <v>1</v>
      </c>
      <c r="AH642" s="1212">
        <v>0</v>
      </c>
      <c r="AI642" s="1212">
        <v>0</v>
      </c>
      <c r="AJ642" s="1212">
        <v>1</v>
      </c>
      <c r="AK642" s="2126">
        <v>151645.16999681713</v>
      </c>
      <c r="AL642" s="2126">
        <v>0</v>
      </c>
      <c r="AM642" s="2126">
        <v>0</v>
      </c>
      <c r="AN642" s="2126">
        <v>151645.16999681713</v>
      </c>
      <c r="AO642" s="1743" t="s">
        <v>85</v>
      </c>
      <c r="AP642" s="1743" t="s">
        <v>1105</v>
      </c>
      <c r="AQ642" s="1764">
        <v>2019</v>
      </c>
      <c r="AR642" s="1743" t="s">
        <v>87</v>
      </c>
      <c r="AS642" s="2135"/>
      <c r="AT642" s="2135"/>
      <c r="AU642" s="1212">
        <v>0.33333333333333331</v>
      </c>
      <c r="AV642" s="1212">
        <v>0.33333333333333331</v>
      </c>
      <c r="AW642" s="1212">
        <v>0.33333333333333331</v>
      </c>
      <c r="AX642" s="1212"/>
      <c r="AY642" s="1212"/>
      <c r="AZ642" s="1212"/>
      <c r="BA642" s="1212"/>
      <c r="BB642" s="1212"/>
      <c r="BC642" s="1212"/>
      <c r="BD642" s="1212"/>
      <c r="BE642" s="1212"/>
      <c r="BF642" s="2126">
        <v>0</v>
      </c>
      <c r="BG642" s="2126">
        <v>0</v>
      </c>
      <c r="BH642" s="2126">
        <v>50548.389998939041</v>
      </c>
      <c r="BI642" s="2126">
        <v>50548.389998939041</v>
      </c>
      <c r="BJ642" s="2126">
        <v>50548.389998939041</v>
      </c>
      <c r="BK642" s="2126">
        <v>0</v>
      </c>
      <c r="BL642" s="2126">
        <v>0</v>
      </c>
      <c r="BM642" s="2126">
        <v>0</v>
      </c>
      <c r="BN642" s="2126">
        <v>0</v>
      </c>
      <c r="BO642" s="2126">
        <v>0</v>
      </c>
      <c r="BP642" s="2126">
        <v>0</v>
      </c>
      <c r="BQ642" s="2126">
        <v>0</v>
      </c>
      <c r="BR642" s="2126">
        <v>0</v>
      </c>
    </row>
    <row r="643" spans="1:70" s="1765" customFormat="1" ht="33">
      <c r="A643" s="1272">
        <v>4000</v>
      </c>
      <c r="B643" s="971" t="s">
        <v>1316</v>
      </c>
      <c r="C643" s="1272">
        <v>4100</v>
      </c>
      <c r="D643" s="971" t="s">
        <v>120</v>
      </c>
      <c r="E643" s="971">
        <v>4130</v>
      </c>
      <c r="F643" s="971" t="s">
        <v>148</v>
      </c>
      <c r="G643" s="971">
        <v>4131</v>
      </c>
      <c r="H643" s="971" t="s">
        <v>1330</v>
      </c>
      <c r="I643" s="1273"/>
      <c r="J643" s="971" t="s">
        <v>121</v>
      </c>
      <c r="K643" s="971" t="s">
        <v>150</v>
      </c>
      <c r="L643" s="971" t="s">
        <v>2800</v>
      </c>
      <c r="M643" s="971" t="s">
        <v>80</v>
      </c>
      <c r="N643" s="971" t="s">
        <v>83</v>
      </c>
      <c r="O643" s="971" t="s">
        <v>151</v>
      </c>
      <c r="P643" s="971" t="s">
        <v>152</v>
      </c>
      <c r="Q643" s="971" t="s">
        <v>1348</v>
      </c>
      <c r="R643" s="1266" t="s">
        <v>1349</v>
      </c>
      <c r="S643" s="2106">
        <v>-91000</v>
      </c>
      <c r="T643" s="1266" t="s">
        <v>136</v>
      </c>
      <c r="U643" s="1742">
        <v>1.2691883296460175E-2</v>
      </c>
      <c r="V643" s="1742">
        <v>0.14624999999999999</v>
      </c>
      <c r="W643" s="1742">
        <v>1.1186625937499999</v>
      </c>
      <c r="X643" s="1742">
        <v>0.4015178457754629</v>
      </c>
      <c r="Y643" s="2106">
        <v>1.6649423457754629</v>
      </c>
      <c r="Z643" s="2106">
        <v>-1154.961379977876</v>
      </c>
      <c r="AA643" s="2106">
        <v>-13308.75</v>
      </c>
      <c r="AB643" s="2106">
        <v>-101798.29603124999</v>
      </c>
      <c r="AC643" s="2106">
        <v>-36538.123965567123</v>
      </c>
      <c r="AD643" s="1744">
        <v>-151645.16999681713</v>
      </c>
      <c r="AE643" s="2126">
        <v>0</v>
      </c>
      <c r="AF643" s="2126">
        <v>0</v>
      </c>
      <c r="AG643" s="1212">
        <v>1</v>
      </c>
      <c r="AH643" s="1212">
        <v>0</v>
      </c>
      <c r="AI643" s="1212">
        <v>0</v>
      </c>
      <c r="AJ643" s="1212">
        <v>1</v>
      </c>
      <c r="AK643" s="2126">
        <v>-151645.16999681713</v>
      </c>
      <c r="AL643" s="2126">
        <v>0</v>
      </c>
      <c r="AM643" s="2126">
        <v>0</v>
      </c>
      <c r="AN643" s="2126">
        <v>-151645.16999681713</v>
      </c>
      <c r="AO643" s="1743" t="s">
        <v>85</v>
      </c>
      <c r="AP643" s="1743" t="s">
        <v>96</v>
      </c>
      <c r="AQ643" s="1764" t="s">
        <v>118</v>
      </c>
      <c r="AR643" s="1743" t="s">
        <v>87</v>
      </c>
      <c r="AS643" s="2135"/>
      <c r="AT643" s="2135"/>
      <c r="AU643" s="1212">
        <v>0.33333333333333331</v>
      </c>
      <c r="AV643" s="1212">
        <v>0.33333333333333331</v>
      </c>
      <c r="AW643" s="1212">
        <v>0.33333333333333331</v>
      </c>
      <c r="AX643" s="1212"/>
      <c r="AY643" s="1212"/>
      <c r="AZ643" s="1212"/>
      <c r="BA643" s="1212"/>
      <c r="BB643" s="1212"/>
      <c r="BC643" s="1212"/>
      <c r="BD643" s="1212"/>
      <c r="BE643" s="1212"/>
      <c r="BF643" s="2126">
        <v>0</v>
      </c>
      <c r="BG643" s="2126">
        <v>0</v>
      </c>
      <c r="BH643" s="2126">
        <v>-50548.389998939041</v>
      </c>
      <c r="BI643" s="2126">
        <v>-50548.389998939041</v>
      </c>
      <c r="BJ643" s="2126">
        <v>-50548.389998939041</v>
      </c>
      <c r="BK643" s="2126">
        <v>0</v>
      </c>
      <c r="BL643" s="2126">
        <v>0</v>
      </c>
      <c r="BM643" s="2126">
        <v>0</v>
      </c>
      <c r="BN643" s="2126">
        <v>0</v>
      </c>
      <c r="BO643" s="2126">
        <v>0</v>
      </c>
      <c r="BP643" s="2126">
        <v>0</v>
      </c>
      <c r="BQ643" s="2126">
        <v>0</v>
      </c>
      <c r="BR643" s="2126">
        <v>0</v>
      </c>
    </row>
    <row r="644" spans="1:70" s="1765" customFormat="1" ht="33">
      <c r="A644" s="1272">
        <v>4000</v>
      </c>
      <c r="B644" s="971" t="s">
        <v>1316</v>
      </c>
      <c r="C644" s="1272">
        <v>4100</v>
      </c>
      <c r="D644" s="971" t="s">
        <v>120</v>
      </c>
      <c r="E644" s="971">
        <v>4130</v>
      </c>
      <c r="F644" s="971" t="s">
        <v>148</v>
      </c>
      <c r="G644" s="971">
        <v>4131</v>
      </c>
      <c r="H644" s="971" t="s">
        <v>1330</v>
      </c>
      <c r="I644" s="1273"/>
      <c r="J644" s="971" t="s">
        <v>121</v>
      </c>
      <c r="K644" s="971" t="s">
        <v>150</v>
      </c>
      <c r="L644" s="971" t="s">
        <v>2800</v>
      </c>
      <c r="M644" s="971" t="s">
        <v>80</v>
      </c>
      <c r="N644" s="971" t="s">
        <v>83</v>
      </c>
      <c r="O644" s="971" t="s">
        <v>151</v>
      </c>
      <c r="P644" s="971" t="s">
        <v>152</v>
      </c>
      <c r="Q644" s="971" t="s">
        <v>1350</v>
      </c>
      <c r="R644" s="1266" t="s">
        <v>1351</v>
      </c>
      <c r="S644" s="2106">
        <v>180000</v>
      </c>
      <c r="T644" s="1266" t="s">
        <v>136</v>
      </c>
      <c r="U644" s="1742">
        <v>1.2691883296460175E-2</v>
      </c>
      <c r="V644" s="1742">
        <v>0.14624999999999999</v>
      </c>
      <c r="W644" s="1742">
        <v>1.1186625937499999</v>
      </c>
      <c r="X644" s="1742">
        <v>0.4015178457754629</v>
      </c>
      <c r="Y644" s="2106">
        <v>1.6649423457754629</v>
      </c>
      <c r="Z644" s="2106">
        <v>2284.5389933628317</v>
      </c>
      <c r="AA644" s="2106">
        <v>26325</v>
      </c>
      <c r="AB644" s="2106">
        <v>201359.26687499997</v>
      </c>
      <c r="AC644" s="2106">
        <v>72273.212239583328</v>
      </c>
      <c r="AD644" s="1744">
        <v>299957.47911458329</v>
      </c>
      <c r="AE644" s="2126">
        <v>0</v>
      </c>
      <c r="AF644" s="2126">
        <v>0</v>
      </c>
      <c r="AG644" s="1212">
        <v>1</v>
      </c>
      <c r="AH644" s="1212">
        <v>0</v>
      </c>
      <c r="AI644" s="1212">
        <v>0</v>
      </c>
      <c r="AJ644" s="1212">
        <v>1</v>
      </c>
      <c r="AK644" s="2126">
        <v>299957.47911458329</v>
      </c>
      <c r="AL644" s="2126">
        <v>0</v>
      </c>
      <c r="AM644" s="2126">
        <v>0</v>
      </c>
      <c r="AN644" s="2126">
        <v>299957.47911458329</v>
      </c>
      <c r="AO644" s="1743" t="s">
        <v>85</v>
      </c>
      <c r="AP644" s="1743" t="s">
        <v>1105</v>
      </c>
      <c r="AQ644" s="1764">
        <v>2019</v>
      </c>
      <c r="AR644" s="1743" t="s">
        <v>87</v>
      </c>
      <c r="AS644" s="2135"/>
      <c r="AT644" s="2135"/>
      <c r="AU644" s="1212">
        <v>0.33333333333333331</v>
      </c>
      <c r="AV644" s="1212">
        <v>0.33333333333333331</v>
      </c>
      <c r="AW644" s="1212">
        <v>0.33333333333333331</v>
      </c>
      <c r="AX644" s="1212"/>
      <c r="AY644" s="1212"/>
      <c r="AZ644" s="1212"/>
      <c r="BA644" s="1212"/>
      <c r="BB644" s="1212"/>
      <c r="BC644" s="1212"/>
      <c r="BD644" s="1212"/>
      <c r="BE644" s="1212"/>
      <c r="BF644" s="2126">
        <v>0</v>
      </c>
      <c r="BG644" s="2126">
        <v>0</v>
      </c>
      <c r="BH644" s="2126">
        <v>99985.826371527757</v>
      </c>
      <c r="BI644" s="2126">
        <v>99985.826371527757</v>
      </c>
      <c r="BJ644" s="2126">
        <v>99985.826371527757</v>
      </c>
      <c r="BK644" s="2126">
        <v>0</v>
      </c>
      <c r="BL644" s="2126">
        <v>0</v>
      </c>
      <c r="BM644" s="2126">
        <v>0</v>
      </c>
      <c r="BN644" s="2126">
        <v>0</v>
      </c>
      <c r="BO644" s="2126">
        <v>0</v>
      </c>
      <c r="BP644" s="2126">
        <v>0</v>
      </c>
      <c r="BQ644" s="2126">
        <v>0</v>
      </c>
      <c r="BR644" s="2126">
        <v>0</v>
      </c>
    </row>
    <row r="645" spans="1:70" s="1765" customFormat="1" ht="33">
      <c r="A645" s="1272">
        <v>4000</v>
      </c>
      <c r="B645" s="971" t="s">
        <v>1316</v>
      </c>
      <c r="C645" s="1272">
        <v>4100</v>
      </c>
      <c r="D645" s="971" t="s">
        <v>120</v>
      </c>
      <c r="E645" s="971">
        <v>4130</v>
      </c>
      <c r="F645" s="971" t="s">
        <v>148</v>
      </c>
      <c r="G645" s="971">
        <v>4131</v>
      </c>
      <c r="H645" s="971" t="s">
        <v>1330</v>
      </c>
      <c r="I645" s="1273"/>
      <c r="J645" s="971" t="s">
        <v>121</v>
      </c>
      <c r="K645" s="971" t="s">
        <v>150</v>
      </c>
      <c r="L645" s="971" t="s">
        <v>2800</v>
      </c>
      <c r="M645" s="971" t="s">
        <v>80</v>
      </c>
      <c r="N645" s="971" t="s">
        <v>83</v>
      </c>
      <c r="O645" s="971" t="s">
        <v>151</v>
      </c>
      <c r="P645" s="971" t="s">
        <v>152</v>
      </c>
      <c r="Q645" s="971" t="s">
        <v>1350</v>
      </c>
      <c r="R645" s="1266" t="s">
        <v>1351</v>
      </c>
      <c r="S645" s="2106">
        <v>-58689</v>
      </c>
      <c r="T645" s="1266" t="s">
        <v>136</v>
      </c>
      <c r="U645" s="1742">
        <v>1.2691883296460175E-2</v>
      </c>
      <c r="V645" s="1742">
        <v>0.14624999999999999</v>
      </c>
      <c r="W645" s="1742">
        <v>1.1186625937499999</v>
      </c>
      <c r="X645" s="1742">
        <v>0.4015178457754629</v>
      </c>
      <c r="Y645" s="2106">
        <v>1.6649423457754629</v>
      </c>
      <c r="Z645" s="2106">
        <v>-744.87393878595117</v>
      </c>
      <c r="AA645" s="2106">
        <v>-8583.2662499999988</v>
      </c>
      <c r="AB645" s="2106">
        <v>-65653.188964593748</v>
      </c>
      <c r="AC645" s="2106">
        <v>-23564.68085071614</v>
      </c>
      <c r="AD645" s="1744">
        <v>-97801.136065309896</v>
      </c>
      <c r="AE645" s="2126">
        <v>0</v>
      </c>
      <c r="AF645" s="2126">
        <v>0</v>
      </c>
      <c r="AG645" s="1212">
        <v>1</v>
      </c>
      <c r="AH645" s="1212">
        <v>0</v>
      </c>
      <c r="AI645" s="1212">
        <v>0</v>
      </c>
      <c r="AJ645" s="1212">
        <v>1</v>
      </c>
      <c r="AK645" s="2126">
        <v>-97801.136065309896</v>
      </c>
      <c r="AL645" s="2126">
        <v>0</v>
      </c>
      <c r="AM645" s="2126">
        <v>0</v>
      </c>
      <c r="AN645" s="2126">
        <v>-97801.136065309896</v>
      </c>
      <c r="AO645" s="1743" t="s">
        <v>85</v>
      </c>
      <c r="AP645" s="1743" t="s">
        <v>1105</v>
      </c>
      <c r="AQ645" s="1764" t="s">
        <v>115</v>
      </c>
      <c r="AR645" s="1743" t="s">
        <v>87</v>
      </c>
      <c r="AS645" s="2135"/>
      <c r="AT645" s="2135"/>
      <c r="AU645" s="1212">
        <v>0.33333333333333331</v>
      </c>
      <c r="AV645" s="1212">
        <v>0.33333333333333331</v>
      </c>
      <c r="AW645" s="1212">
        <v>0.33333333333333331</v>
      </c>
      <c r="AX645" s="1212"/>
      <c r="AY645" s="1212"/>
      <c r="AZ645" s="1212"/>
      <c r="BA645" s="1212"/>
      <c r="BB645" s="1212"/>
      <c r="BC645" s="1212"/>
      <c r="BD645" s="1212"/>
      <c r="BE645" s="1212"/>
      <c r="BF645" s="2126">
        <v>0</v>
      </c>
      <c r="BG645" s="2126">
        <v>0</v>
      </c>
      <c r="BH645" s="2126">
        <v>-32600.378688436631</v>
      </c>
      <c r="BI645" s="2126">
        <v>-32600.378688436631</v>
      </c>
      <c r="BJ645" s="2126">
        <v>-32600.378688436631</v>
      </c>
      <c r="BK645" s="2126">
        <v>0</v>
      </c>
      <c r="BL645" s="2126">
        <v>0</v>
      </c>
      <c r="BM645" s="2126">
        <v>0</v>
      </c>
      <c r="BN645" s="2126">
        <v>0</v>
      </c>
      <c r="BO645" s="2126">
        <v>0</v>
      </c>
      <c r="BP645" s="2126">
        <v>0</v>
      </c>
      <c r="BQ645" s="2126">
        <v>0</v>
      </c>
      <c r="BR645" s="2126">
        <v>0</v>
      </c>
    </row>
    <row r="646" spans="1:70" s="1765" customFormat="1" ht="33">
      <c r="A646" s="1272">
        <v>4000</v>
      </c>
      <c r="B646" s="971" t="s">
        <v>1316</v>
      </c>
      <c r="C646" s="1272">
        <v>4100</v>
      </c>
      <c r="D646" s="971" t="s">
        <v>120</v>
      </c>
      <c r="E646" s="971">
        <v>4130</v>
      </c>
      <c r="F646" s="971" t="s">
        <v>148</v>
      </c>
      <c r="G646" s="971">
        <v>4131</v>
      </c>
      <c r="H646" s="971" t="s">
        <v>1330</v>
      </c>
      <c r="I646" s="1273"/>
      <c r="J646" s="971" t="s">
        <v>121</v>
      </c>
      <c r="K646" s="971" t="s">
        <v>150</v>
      </c>
      <c r="L646" s="971" t="s">
        <v>2800</v>
      </c>
      <c r="M646" s="971" t="s">
        <v>80</v>
      </c>
      <c r="N646" s="971" t="s">
        <v>83</v>
      </c>
      <c r="O646" s="971" t="s">
        <v>151</v>
      </c>
      <c r="P646" s="971" t="s">
        <v>152</v>
      </c>
      <c r="Q646" s="971" t="s">
        <v>1352</v>
      </c>
      <c r="R646" s="1266" t="s">
        <v>1353</v>
      </c>
      <c r="S646" s="2106">
        <v>133400</v>
      </c>
      <c r="T646" s="1266" t="s">
        <v>136</v>
      </c>
      <c r="U646" s="1742">
        <v>1.2691883296460175E-2</v>
      </c>
      <c r="V646" s="1742">
        <v>0.14624999999999999</v>
      </c>
      <c r="W646" s="1742">
        <v>1.1186625937499999</v>
      </c>
      <c r="X646" s="1742">
        <v>0.4015178457754629</v>
      </c>
      <c r="Y646" s="2106">
        <v>1.6649423457754629</v>
      </c>
      <c r="Z646" s="2106">
        <v>1693.0972317477874</v>
      </c>
      <c r="AA646" s="2106">
        <v>19509.75</v>
      </c>
      <c r="AB646" s="2106">
        <v>149229.59000624999</v>
      </c>
      <c r="AC646" s="2106">
        <v>53562.480626446748</v>
      </c>
      <c r="AD646" s="1744">
        <v>222301.82063269673</v>
      </c>
      <c r="AE646" s="2126">
        <v>0</v>
      </c>
      <c r="AF646" s="2126">
        <v>0</v>
      </c>
      <c r="AG646" s="1212">
        <v>1</v>
      </c>
      <c r="AH646" s="1212">
        <v>0</v>
      </c>
      <c r="AI646" s="1212">
        <v>0</v>
      </c>
      <c r="AJ646" s="1212">
        <v>1</v>
      </c>
      <c r="AK646" s="2126">
        <v>222301.82063269673</v>
      </c>
      <c r="AL646" s="2126">
        <v>0</v>
      </c>
      <c r="AM646" s="2126">
        <v>0</v>
      </c>
      <c r="AN646" s="2126">
        <v>222301.82063269673</v>
      </c>
      <c r="AO646" s="1743" t="s">
        <v>85</v>
      </c>
      <c r="AP646" s="1743" t="s">
        <v>1105</v>
      </c>
      <c r="AQ646" s="1764">
        <v>2019</v>
      </c>
      <c r="AR646" s="1743" t="s">
        <v>87</v>
      </c>
      <c r="AS646" s="2135"/>
      <c r="AT646" s="2135"/>
      <c r="AU646" s="1212">
        <v>0.33333333333333331</v>
      </c>
      <c r="AV646" s="1212">
        <v>0.33333333333333331</v>
      </c>
      <c r="AW646" s="1212">
        <v>0.33333333333333331</v>
      </c>
      <c r="AX646" s="1212"/>
      <c r="AY646" s="1212"/>
      <c r="AZ646" s="1212"/>
      <c r="BA646" s="1212"/>
      <c r="BB646" s="1212"/>
      <c r="BC646" s="1212"/>
      <c r="BD646" s="1212"/>
      <c r="BE646" s="1212"/>
      <c r="BF646" s="2126">
        <v>0</v>
      </c>
      <c r="BG646" s="2126">
        <v>0</v>
      </c>
      <c r="BH646" s="2126">
        <v>74100.606877565573</v>
      </c>
      <c r="BI646" s="2126">
        <v>74100.606877565573</v>
      </c>
      <c r="BJ646" s="2126">
        <v>74100.606877565573</v>
      </c>
      <c r="BK646" s="2126">
        <v>0</v>
      </c>
      <c r="BL646" s="2126">
        <v>0</v>
      </c>
      <c r="BM646" s="2126">
        <v>0</v>
      </c>
      <c r="BN646" s="2126">
        <v>0</v>
      </c>
      <c r="BO646" s="2126">
        <v>0</v>
      </c>
      <c r="BP646" s="2126">
        <v>0</v>
      </c>
      <c r="BQ646" s="2126">
        <v>0</v>
      </c>
      <c r="BR646" s="2126">
        <v>0</v>
      </c>
    </row>
    <row r="647" spans="1:70" s="1765" customFormat="1" ht="33">
      <c r="A647" s="1272">
        <v>4000</v>
      </c>
      <c r="B647" s="971" t="s">
        <v>1316</v>
      </c>
      <c r="C647" s="1272">
        <v>4100</v>
      </c>
      <c r="D647" s="971" t="s">
        <v>120</v>
      </c>
      <c r="E647" s="971">
        <v>4130</v>
      </c>
      <c r="F647" s="971" t="s">
        <v>148</v>
      </c>
      <c r="G647" s="971">
        <v>4131</v>
      </c>
      <c r="H647" s="971" t="s">
        <v>1330</v>
      </c>
      <c r="I647" s="1273"/>
      <c r="J647" s="971" t="s">
        <v>121</v>
      </c>
      <c r="K647" s="971" t="s">
        <v>150</v>
      </c>
      <c r="L647" s="971" t="s">
        <v>2800</v>
      </c>
      <c r="M647" s="971" t="s">
        <v>80</v>
      </c>
      <c r="N647" s="971" t="s">
        <v>83</v>
      </c>
      <c r="O647" s="971" t="s">
        <v>151</v>
      </c>
      <c r="P647" s="971" t="s">
        <v>152</v>
      </c>
      <c r="Q647" s="971" t="s">
        <v>1352</v>
      </c>
      <c r="R647" s="1266" t="s">
        <v>1353</v>
      </c>
      <c r="S647" s="2106">
        <v>-56800</v>
      </c>
      <c r="T647" s="1266" t="s">
        <v>136</v>
      </c>
      <c r="U647" s="1742">
        <v>1.2691883296460175E-2</v>
      </c>
      <c r="V647" s="1742">
        <v>0.14624999999999999</v>
      </c>
      <c r="W647" s="1742">
        <v>1.1186625937499999</v>
      </c>
      <c r="X647" s="1742">
        <v>0.4015178457754629</v>
      </c>
      <c r="Y647" s="2106">
        <v>1.6649423457754629</v>
      </c>
      <c r="Z647" s="2106">
        <v>-720.89897123893797</v>
      </c>
      <c r="AA647" s="2106">
        <v>-8307</v>
      </c>
      <c r="AB647" s="2106">
        <v>-63540.03532499999</v>
      </c>
      <c r="AC647" s="2106">
        <v>-22806.213640046291</v>
      </c>
      <c r="AD647" s="1744">
        <v>-94653.248965046281</v>
      </c>
      <c r="AE647" s="2126">
        <v>0</v>
      </c>
      <c r="AF647" s="2126">
        <v>0</v>
      </c>
      <c r="AG647" s="1212">
        <v>1</v>
      </c>
      <c r="AH647" s="1212">
        <v>0</v>
      </c>
      <c r="AI647" s="1212">
        <v>0</v>
      </c>
      <c r="AJ647" s="1212">
        <v>1</v>
      </c>
      <c r="AK647" s="2126">
        <v>-94653.248965046281</v>
      </c>
      <c r="AL647" s="2126">
        <v>0</v>
      </c>
      <c r="AM647" s="2126">
        <v>0</v>
      </c>
      <c r="AN647" s="2126">
        <v>-94653.248965046281</v>
      </c>
      <c r="AO647" s="1743" t="s">
        <v>85</v>
      </c>
      <c r="AP647" s="1743" t="s">
        <v>1105</v>
      </c>
      <c r="AQ647" s="1764" t="s">
        <v>115</v>
      </c>
      <c r="AR647" s="1743" t="s">
        <v>87</v>
      </c>
      <c r="AS647" s="2135"/>
      <c r="AT647" s="2135"/>
      <c r="AU647" s="1212">
        <v>0.33333333333333331</v>
      </c>
      <c r="AV647" s="1212">
        <v>0.33333333333333331</v>
      </c>
      <c r="AW647" s="1212">
        <v>0.33333333333333331</v>
      </c>
      <c r="AX647" s="1212"/>
      <c r="AY647" s="1212"/>
      <c r="AZ647" s="1212"/>
      <c r="BA647" s="1212"/>
      <c r="BB647" s="1212"/>
      <c r="BC647" s="1212"/>
      <c r="BD647" s="1212"/>
      <c r="BE647" s="1212"/>
      <c r="BF647" s="2126">
        <v>0</v>
      </c>
      <c r="BG647" s="2126">
        <v>0</v>
      </c>
      <c r="BH647" s="2126">
        <v>-31551.08298834876</v>
      </c>
      <c r="BI647" s="2126">
        <v>-31551.08298834876</v>
      </c>
      <c r="BJ647" s="2126">
        <v>-31551.08298834876</v>
      </c>
      <c r="BK647" s="2126">
        <v>0</v>
      </c>
      <c r="BL647" s="2126">
        <v>0</v>
      </c>
      <c r="BM647" s="2126">
        <v>0</v>
      </c>
      <c r="BN647" s="2126">
        <v>0</v>
      </c>
      <c r="BO647" s="2126">
        <v>0</v>
      </c>
      <c r="BP647" s="2126">
        <v>0</v>
      </c>
      <c r="BQ647" s="2126">
        <v>0</v>
      </c>
      <c r="BR647" s="2126">
        <v>0</v>
      </c>
    </row>
    <row r="648" spans="1:70" s="1765" customFormat="1" ht="33">
      <c r="A648" s="1272">
        <v>4000</v>
      </c>
      <c r="B648" s="971" t="s">
        <v>1316</v>
      </c>
      <c r="C648" s="1272">
        <v>4100</v>
      </c>
      <c r="D648" s="971" t="s">
        <v>120</v>
      </c>
      <c r="E648" s="971">
        <v>4130</v>
      </c>
      <c r="F648" s="971" t="s">
        <v>148</v>
      </c>
      <c r="G648" s="971">
        <v>4131</v>
      </c>
      <c r="H648" s="971" t="s">
        <v>1330</v>
      </c>
      <c r="I648" s="1273"/>
      <c r="J648" s="971" t="s">
        <v>121</v>
      </c>
      <c r="K648" s="971" t="s">
        <v>150</v>
      </c>
      <c r="L648" s="971" t="s">
        <v>2800</v>
      </c>
      <c r="M648" s="971" t="s">
        <v>80</v>
      </c>
      <c r="N648" s="971" t="s">
        <v>83</v>
      </c>
      <c r="O648" s="971" t="s">
        <v>151</v>
      </c>
      <c r="P648" s="971" t="s">
        <v>152</v>
      </c>
      <c r="Q648" s="971" t="s">
        <v>1354</v>
      </c>
      <c r="R648" s="1266" t="s">
        <v>1355</v>
      </c>
      <c r="S648" s="2106">
        <v>114847</v>
      </c>
      <c r="T648" s="1266" t="s">
        <v>136</v>
      </c>
      <c r="U648" s="1742">
        <v>1.2691883296460175E-2</v>
      </c>
      <c r="V648" s="1742">
        <v>0.14624999999999999</v>
      </c>
      <c r="W648" s="1742">
        <v>1.1186625937499999</v>
      </c>
      <c r="X648" s="1742">
        <v>0.4015178457754629</v>
      </c>
      <c r="Y648" s="2106">
        <v>1.6649423457754629</v>
      </c>
      <c r="Z648" s="2106">
        <v>1457.6247209485618</v>
      </c>
      <c r="AA648" s="2106">
        <v>16796.373749999999</v>
      </c>
      <c r="AB648" s="2106">
        <v>128475.04290440623</v>
      </c>
      <c r="AC648" s="2106">
        <v>46113.12003377459</v>
      </c>
      <c r="AD648" s="1744">
        <v>191384.53668818081</v>
      </c>
      <c r="AE648" s="2126">
        <v>0</v>
      </c>
      <c r="AF648" s="2126">
        <v>0</v>
      </c>
      <c r="AG648" s="1212">
        <v>1</v>
      </c>
      <c r="AH648" s="1212">
        <v>0</v>
      </c>
      <c r="AI648" s="1212">
        <v>0</v>
      </c>
      <c r="AJ648" s="1212">
        <v>1</v>
      </c>
      <c r="AK648" s="2126">
        <v>191384.53668818081</v>
      </c>
      <c r="AL648" s="2126">
        <v>0</v>
      </c>
      <c r="AM648" s="2126">
        <v>0</v>
      </c>
      <c r="AN648" s="2126">
        <v>191384.53668818081</v>
      </c>
      <c r="AO648" s="1743" t="s">
        <v>85</v>
      </c>
      <c r="AP648" s="1743" t="s">
        <v>1105</v>
      </c>
      <c r="AQ648" s="1764">
        <v>2022</v>
      </c>
      <c r="AR648" s="1743" t="s">
        <v>87</v>
      </c>
      <c r="AS648" s="2135"/>
      <c r="AT648" s="2135"/>
      <c r="AU648" s="1212">
        <v>0.33333333333333331</v>
      </c>
      <c r="AV648" s="1212">
        <v>0.33333333333333331</v>
      </c>
      <c r="AW648" s="1212">
        <v>0.33333333333333331</v>
      </c>
      <c r="AX648" s="1212"/>
      <c r="AY648" s="1212"/>
      <c r="AZ648" s="1212"/>
      <c r="BA648" s="1212"/>
      <c r="BB648" s="1212"/>
      <c r="BC648" s="1212"/>
      <c r="BD648" s="1212"/>
      <c r="BE648" s="1212"/>
      <c r="BF648" s="2126">
        <v>0</v>
      </c>
      <c r="BG648" s="2126">
        <v>0</v>
      </c>
      <c r="BH648" s="2126">
        <v>63794.845562726936</v>
      </c>
      <c r="BI648" s="2126">
        <v>63794.845562726936</v>
      </c>
      <c r="BJ648" s="2126">
        <v>63794.845562726936</v>
      </c>
      <c r="BK648" s="2126">
        <v>0</v>
      </c>
      <c r="BL648" s="2126">
        <v>0</v>
      </c>
      <c r="BM648" s="2126">
        <v>0</v>
      </c>
      <c r="BN648" s="2126">
        <v>0</v>
      </c>
      <c r="BO648" s="2126">
        <v>0</v>
      </c>
      <c r="BP648" s="2126">
        <v>0</v>
      </c>
      <c r="BQ648" s="2126">
        <v>0</v>
      </c>
      <c r="BR648" s="2126">
        <v>0</v>
      </c>
    </row>
    <row r="649" spans="1:70" s="1765" customFormat="1" ht="33">
      <c r="A649" s="1272">
        <v>4000</v>
      </c>
      <c r="B649" s="971" t="s">
        <v>1316</v>
      </c>
      <c r="C649" s="1272">
        <v>4100</v>
      </c>
      <c r="D649" s="971" t="s">
        <v>120</v>
      </c>
      <c r="E649" s="971">
        <v>4130</v>
      </c>
      <c r="F649" s="971" t="s">
        <v>148</v>
      </c>
      <c r="G649" s="971">
        <v>4131</v>
      </c>
      <c r="H649" s="971" t="s">
        <v>1330</v>
      </c>
      <c r="I649" s="1273"/>
      <c r="J649" s="971" t="s">
        <v>121</v>
      </c>
      <c r="K649" s="971" t="s">
        <v>150</v>
      </c>
      <c r="L649" s="971" t="s">
        <v>2800</v>
      </c>
      <c r="M649" s="971" t="s">
        <v>80</v>
      </c>
      <c r="N649" s="971" t="s">
        <v>83</v>
      </c>
      <c r="O649" s="971" t="s">
        <v>151</v>
      </c>
      <c r="P649" s="971" t="s">
        <v>152</v>
      </c>
      <c r="Q649" s="971" t="s">
        <v>1354</v>
      </c>
      <c r="R649" s="1266" t="s">
        <v>1355</v>
      </c>
      <c r="S649" s="2106">
        <v>-114847</v>
      </c>
      <c r="T649" s="1266" t="s">
        <v>136</v>
      </c>
      <c r="U649" s="1742">
        <v>1.2691883296460175E-2</v>
      </c>
      <c r="V649" s="1742">
        <v>0.14624999999999999</v>
      </c>
      <c r="W649" s="1742">
        <v>1.1186625937499999</v>
      </c>
      <c r="X649" s="1742">
        <v>0.4015178457754629</v>
      </c>
      <c r="Y649" s="2106">
        <v>1.6649423457754629</v>
      </c>
      <c r="Z649" s="2106">
        <v>-1457.6247209485618</v>
      </c>
      <c r="AA649" s="2106">
        <v>-16796.373749999999</v>
      </c>
      <c r="AB649" s="2106">
        <v>-128475.04290440623</v>
      </c>
      <c r="AC649" s="2106">
        <v>-46113.12003377459</v>
      </c>
      <c r="AD649" s="1744">
        <v>-191384.53668818081</v>
      </c>
      <c r="AE649" s="2126">
        <v>0</v>
      </c>
      <c r="AF649" s="2126">
        <v>0</v>
      </c>
      <c r="AG649" s="1212">
        <v>1</v>
      </c>
      <c r="AH649" s="1212">
        <v>0</v>
      </c>
      <c r="AI649" s="1212">
        <v>0</v>
      </c>
      <c r="AJ649" s="1212">
        <v>1</v>
      </c>
      <c r="AK649" s="2126">
        <v>-191384.53668818081</v>
      </c>
      <c r="AL649" s="2126">
        <v>0</v>
      </c>
      <c r="AM649" s="2126">
        <v>0</v>
      </c>
      <c r="AN649" s="2126">
        <v>-191384.53668818081</v>
      </c>
      <c r="AO649" s="1743" t="s">
        <v>85</v>
      </c>
      <c r="AP649" s="1743" t="s">
        <v>96</v>
      </c>
      <c r="AQ649" s="1764" t="s">
        <v>118</v>
      </c>
      <c r="AR649" s="1743" t="s">
        <v>87</v>
      </c>
      <c r="AS649" s="2135"/>
      <c r="AT649" s="2135"/>
      <c r="AU649" s="1212">
        <v>0.33333333333333331</v>
      </c>
      <c r="AV649" s="1212">
        <v>0.33333333333333331</v>
      </c>
      <c r="AW649" s="1212">
        <v>0.33333333333333331</v>
      </c>
      <c r="AX649" s="1212"/>
      <c r="AY649" s="1212"/>
      <c r="AZ649" s="1212"/>
      <c r="BA649" s="1212"/>
      <c r="BB649" s="1212"/>
      <c r="BC649" s="1212"/>
      <c r="BD649" s="1212"/>
      <c r="BE649" s="1212"/>
      <c r="BF649" s="2126">
        <v>0</v>
      </c>
      <c r="BG649" s="2126">
        <v>0</v>
      </c>
      <c r="BH649" s="2126">
        <v>-63794.845562726936</v>
      </c>
      <c r="BI649" s="2126">
        <v>-63794.845562726936</v>
      </c>
      <c r="BJ649" s="2126">
        <v>-63794.845562726936</v>
      </c>
      <c r="BK649" s="2126">
        <v>0</v>
      </c>
      <c r="BL649" s="2126">
        <v>0</v>
      </c>
      <c r="BM649" s="2126">
        <v>0</v>
      </c>
      <c r="BN649" s="2126">
        <v>0</v>
      </c>
      <c r="BO649" s="2126">
        <v>0</v>
      </c>
      <c r="BP649" s="2126">
        <v>0</v>
      </c>
      <c r="BQ649" s="2126">
        <v>0</v>
      </c>
      <c r="BR649" s="2126">
        <v>0</v>
      </c>
    </row>
    <row r="650" spans="1:70" s="1765" customFormat="1" ht="33">
      <c r="A650" s="1272">
        <v>4000</v>
      </c>
      <c r="B650" s="971" t="s">
        <v>1316</v>
      </c>
      <c r="C650" s="1272">
        <v>4100</v>
      </c>
      <c r="D650" s="971" t="s">
        <v>120</v>
      </c>
      <c r="E650" s="971">
        <v>4130</v>
      </c>
      <c r="F650" s="971" t="s">
        <v>148</v>
      </c>
      <c r="G650" s="971">
        <v>4131</v>
      </c>
      <c r="H650" s="971" t="s">
        <v>1330</v>
      </c>
      <c r="I650" s="1273"/>
      <c r="J650" s="971" t="s">
        <v>121</v>
      </c>
      <c r="K650" s="971" t="s">
        <v>150</v>
      </c>
      <c r="L650" s="971" t="s">
        <v>2800</v>
      </c>
      <c r="M650" s="971" t="s">
        <v>80</v>
      </c>
      <c r="N650" s="971" t="s">
        <v>83</v>
      </c>
      <c r="O650" s="971" t="s">
        <v>151</v>
      </c>
      <c r="P650" s="971" t="s">
        <v>152</v>
      </c>
      <c r="Q650" s="971" t="s">
        <v>1356</v>
      </c>
      <c r="R650" s="1266"/>
      <c r="S650" s="2106">
        <v>17366.919999999998</v>
      </c>
      <c r="T650" s="1266" t="s">
        <v>136</v>
      </c>
      <c r="U650" s="1742">
        <v>1.2691883296460175E-2</v>
      </c>
      <c r="V650" s="1742">
        <v>0.14624999999999999</v>
      </c>
      <c r="W650" s="1742">
        <v>1.1186625937499999</v>
      </c>
      <c r="X650" s="1742">
        <v>0.4015178457754629</v>
      </c>
      <c r="Y650" s="2106">
        <v>1.6649423457754629</v>
      </c>
      <c r="Z650" s="2106">
        <v>220.41892185896012</v>
      </c>
      <c r="AA650" s="2106">
        <v>2539.9120499999995</v>
      </c>
      <c r="AB650" s="2106">
        <v>19427.723772648747</v>
      </c>
      <c r="AC650" s="2106">
        <v>6973.1283061548011</v>
      </c>
      <c r="AD650" s="1744">
        <v>28940.764128803548</v>
      </c>
      <c r="AE650" s="2126">
        <v>0</v>
      </c>
      <c r="AF650" s="2126">
        <v>0</v>
      </c>
      <c r="AG650" s="1212">
        <v>1</v>
      </c>
      <c r="AH650" s="1212">
        <v>0</v>
      </c>
      <c r="AI650" s="1212">
        <v>0</v>
      </c>
      <c r="AJ650" s="1212">
        <v>1</v>
      </c>
      <c r="AK650" s="2126">
        <v>28940.764128803548</v>
      </c>
      <c r="AL650" s="2126">
        <v>0</v>
      </c>
      <c r="AM650" s="2126">
        <v>0</v>
      </c>
      <c r="AN650" s="2126">
        <v>28940.764128803548</v>
      </c>
      <c r="AO650" s="1743" t="s">
        <v>85</v>
      </c>
      <c r="AP650" s="1743"/>
      <c r="AQ650" s="1764">
        <v>2014</v>
      </c>
      <c r="AR650" s="1743" t="s">
        <v>87</v>
      </c>
      <c r="AS650" s="2135"/>
      <c r="AT650" s="2135"/>
      <c r="AU650" s="1212">
        <v>0.33333333333333331</v>
      </c>
      <c r="AV650" s="1212">
        <v>0.33333333333333331</v>
      </c>
      <c r="AW650" s="1212">
        <v>0.33333333333333331</v>
      </c>
      <c r="AX650" s="1212"/>
      <c r="AY650" s="1212"/>
      <c r="AZ650" s="1212"/>
      <c r="BA650" s="1212"/>
      <c r="BB650" s="1212"/>
      <c r="BC650" s="1212"/>
      <c r="BD650" s="1212"/>
      <c r="BE650" s="1212"/>
      <c r="BF650" s="2126">
        <v>0</v>
      </c>
      <c r="BG650" s="2126">
        <v>0</v>
      </c>
      <c r="BH650" s="2126">
        <v>9646.9213762678482</v>
      </c>
      <c r="BI650" s="2126">
        <v>9646.9213762678482</v>
      </c>
      <c r="BJ650" s="2126">
        <v>9646.9213762678482</v>
      </c>
      <c r="BK650" s="2126">
        <v>0</v>
      </c>
      <c r="BL650" s="2126">
        <v>0</v>
      </c>
      <c r="BM650" s="2126">
        <v>0</v>
      </c>
      <c r="BN650" s="2126">
        <v>0</v>
      </c>
      <c r="BO650" s="2126">
        <v>0</v>
      </c>
      <c r="BP650" s="2126">
        <v>0</v>
      </c>
      <c r="BQ650" s="2126">
        <v>0</v>
      </c>
      <c r="BR650" s="2126">
        <v>0</v>
      </c>
    </row>
    <row r="651" spans="1:70" s="1765" customFormat="1" ht="33">
      <c r="A651" s="1272">
        <v>4000</v>
      </c>
      <c r="B651" s="971" t="s">
        <v>1316</v>
      </c>
      <c r="C651" s="1272">
        <v>4100</v>
      </c>
      <c r="D651" s="971" t="s">
        <v>120</v>
      </c>
      <c r="E651" s="971">
        <v>4130</v>
      </c>
      <c r="F651" s="971" t="s">
        <v>148</v>
      </c>
      <c r="G651" s="971">
        <v>4131</v>
      </c>
      <c r="H651" s="971" t="s">
        <v>1330</v>
      </c>
      <c r="I651" s="1273"/>
      <c r="J651" s="971" t="s">
        <v>121</v>
      </c>
      <c r="K651" s="971" t="s">
        <v>150</v>
      </c>
      <c r="L651" s="971" t="s">
        <v>2800</v>
      </c>
      <c r="M651" s="971" t="s">
        <v>80</v>
      </c>
      <c r="N651" s="971" t="s">
        <v>83</v>
      </c>
      <c r="O651" s="971" t="s">
        <v>151</v>
      </c>
      <c r="P651" s="971" t="s">
        <v>152</v>
      </c>
      <c r="Q651" s="971" t="s">
        <v>1356</v>
      </c>
      <c r="R651" s="1266"/>
      <c r="S651" s="2106">
        <v>17366.919999999998</v>
      </c>
      <c r="T651" s="1266" t="s">
        <v>136</v>
      </c>
      <c r="U651" s="1742">
        <v>1.2691883296460175E-2</v>
      </c>
      <c r="V651" s="1742">
        <v>0.14624999999999999</v>
      </c>
      <c r="W651" s="1742">
        <v>1.1186625937499999</v>
      </c>
      <c r="X651" s="1742">
        <v>0.4015178457754629</v>
      </c>
      <c r="Y651" s="2106">
        <v>1.6649423457754629</v>
      </c>
      <c r="Z651" s="2106">
        <v>220.41892185896012</v>
      </c>
      <c r="AA651" s="2106">
        <v>2539.9120499999995</v>
      </c>
      <c r="AB651" s="2106">
        <v>19427.723772648747</v>
      </c>
      <c r="AC651" s="2106">
        <v>6973.1283061548011</v>
      </c>
      <c r="AD651" s="1744">
        <v>28940.764128803548</v>
      </c>
      <c r="AE651" s="2126">
        <v>0</v>
      </c>
      <c r="AF651" s="2126">
        <v>0</v>
      </c>
      <c r="AG651" s="1212">
        <v>1</v>
      </c>
      <c r="AH651" s="1212">
        <v>0</v>
      </c>
      <c r="AI651" s="1212">
        <v>0</v>
      </c>
      <c r="AJ651" s="1212">
        <v>1</v>
      </c>
      <c r="AK651" s="2126">
        <v>28940.764128803548</v>
      </c>
      <c r="AL651" s="2126">
        <v>0</v>
      </c>
      <c r="AM651" s="2126">
        <v>0</v>
      </c>
      <c r="AN651" s="2126">
        <v>28940.764128803548</v>
      </c>
      <c r="AO651" s="1743" t="s">
        <v>85</v>
      </c>
      <c r="AP651" s="1743"/>
      <c r="AQ651" s="1764">
        <v>2014</v>
      </c>
      <c r="AR651" s="1743" t="s">
        <v>87</v>
      </c>
      <c r="AS651" s="2135"/>
      <c r="AT651" s="2135"/>
      <c r="AU651" s="1212">
        <v>0.33333333333333331</v>
      </c>
      <c r="AV651" s="1212">
        <v>0.33333333333333331</v>
      </c>
      <c r="AW651" s="1212">
        <v>0.33333333333333331</v>
      </c>
      <c r="AX651" s="1212"/>
      <c r="AY651" s="1212"/>
      <c r="AZ651" s="1212"/>
      <c r="BA651" s="1212"/>
      <c r="BB651" s="1212"/>
      <c r="BC651" s="1212"/>
      <c r="BD651" s="1212"/>
      <c r="BE651" s="1212"/>
      <c r="BF651" s="2126">
        <v>0</v>
      </c>
      <c r="BG651" s="2126">
        <v>0</v>
      </c>
      <c r="BH651" s="2126">
        <v>9646.9213762678482</v>
      </c>
      <c r="BI651" s="2126">
        <v>9646.9213762678482</v>
      </c>
      <c r="BJ651" s="2126">
        <v>9646.9213762678482</v>
      </c>
      <c r="BK651" s="2126">
        <v>0</v>
      </c>
      <c r="BL651" s="2126">
        <v>0</v>
      </c>
      <c r="BM651" s="2126">
        <v>0</v>
      </c>
      <c r="BN651" s="2126">
        <v>0</v>
      </c>
      <c r="BO651" s="2126">
        <v>0</v>
      </c>
      <c r="BP651" s="2126">
        <v>0</v>
      </c>
      <c r="BQ651" s="2126">
        <v>0</v>
      </c>
      <c r="BR651" s="2126">
        <v>0</v>
      </c>
    </row>
    <row r="652" spans="1:70" s="1765" customFormat="1" ht="33">
      <c r="A652" s="1272">
        <v>4000</v>
      </c>
      <c r="B652" s="971" t="s">
        <v>1316</v>
      </c>
      <c r="C652" s="1272">
        <v>4100</v>
      </c>
      <c r="D652" s="971" t="s">
        <v>120</v>
      </c>
      <c r="E652" s="971">
        <v>4130</v>
      </c>
      <c r="F652" s="971" t="s">
        <v>148</v>
      </c>
      <c r="G652" s="971">
        <v>4131</v>
      </c>
      <c r="H652" s="971" t="s">
        <v>1330</v>
      </c>
      <c r="I652" s="1273"/>
      <c r="J652" s="971"/>
      <c r="K652" s="971" t="s">
        <v>150</v>
      </c>
      <c r="L652" s="971" t="s">
        <v>2800</v>
      </c>
      <c r="M652" s="971" t="s">
        <v>80</v>
      </c>
      <c r="N652" s="971" t="s">
        <v>83</v>
      </c>
      <c r="O652" s="971" t="s">
        <v>151</v>
      </c>
      <c r="P652" s="971" t="s">
        <v>152</v>
      </c>
      <c r="Q652" s="971" t="s">
        <v>1357</v>
      </c>
      <c r="R652" s="1266"/>
      <c r="S652" s="2106">
        <v>11400</v>
      </c>
      <c r="T652" s="1266" t="s">
        <v>136</v>
      </c>
      <c r="U652" s="1742">
        <v>1.2691883296460175E-2</v>
      </c>
      <c r="V652" s="1742">
        <v>0.14624999999999999</v>
      </c>
      <c r="W652" s="1742">
        <v>1.1186625937499999</v>
      </c>
      <c r="X652" s="1742">
        <v>0.4015178457754629</v>
      </c>
      <c r="Y652" s="2106">
        <v>1.6649423457754629</v>
      </c>
      <c r="Z652" s="2106">
        <v>144.68746957964601</v>
      </c>
      <c r="AA652" s="2106">
        <v>1667.25</v>
      </c>
      <c r="AB652" s="2106">
        <v>12752.753568749999</v>
      </c>
      <c r="AC652" s="2106">
        <v>4577.3034418402767</v>
      </c>
      <c r="AD652" s="1744">
        <v>18980.342741840275</v>
      </c>
      <c r="AE652" s="2126">
        <v>0</v>
      </c>
      <c r="AF652" s="2126">
        <v>0</v>
      </c>
      <c r="AG652" s="1212">
        <v>1</v>
      </c>
      <c r="AH652" s="1212">
        <v>0</v>
      </c>
      <c r="AI652" s="1212">
        <v>0</v>
      </c>
      <c r="AJ652" s="1212">
        <v>1</v>
      </c>
      <c r="AK652" s="2126">
        <v>18980.342741840275</v>
      </c>
      <c r="AL652" s="2126">
        <v>0</v>
      </c>
      <c r="AM652" s="2126">
        <v>0</v>
      </c>
      <c r="AN652" s="2126">
        <v>18980.342741840275</v>
      </c>
      <c r="AO652" s="1743" t="s">
        <v>85</v>
      </c>
      <c r="AP652" s="1743" t="s">
        <v>90</v>
      </c>
      <c r="AQ652" s="1764" t="s">
        <v>103</v>
      </c>
      <c r="AR652" s="1743" t="s">
        <v>87</v>
      </c>
      <c r="AS652" s="2135"/>
      <c r="AT652" s="2135"/>
      <c r="AU652" s="1212">
        <v>0.33333333333333331</v>
      </c>
      <c r="AV652" s="1212">
        <v>0.33333333333333331</v>
      </c>
      <c r="AW652" s="1212">
        <v>0.33333333333333331</v>
      </c>
      <c r="AX652" s="1212"/>
      <c r="AY652" s="1212"/>
      <c r="AZ652" s="1212"/>
      <c r="BA652" s="1212"/>
      <c r="BB652" s="1212"/>
      <c r="BC652" s="1212"/>
      <c r="BD652" s="1212"/>
      <c r="BE652" s="1212"/>
      <c r="BF652" s="2126">
        <v>0</v>
      </c>
      <c r="BG652" s="2126">
        <v>0</v>
      </c>
      <c r="BH652" s="2126">
        <v>6326.7809139467581</v>
      </c>
      <c r="BI652" s="2126">
        <v>6326.7809139467581</v>
      </c>
      <c r="BJ652" s="2126">
        <v>6326.7809139467581</v>
      </c>
      <c r="BK652" s="2126">
        <v>0</v>
      </c>
      <c r="BL652" s="2126">
        <v>0</v>
      </c>
      <c r="BM652" s="2126">
        <v>0</v>
      </c>
      <c r="BN652" s="2126">
        <v>0</v>
      </c>
      <c r="BO652" s="2126">
        <v>0</v>
      </c>
      <c r="BP652" s="2126">
        <v>0</v>
      </c>
      <c r="BQ652" s="2126">
        <v>0</v>
      </c>
      <c r="BR652" s="2126">
        <v>0</v>
      </c>
    </row>
    <row r="653" spans="1:70" s="1765" customFormat="1" ht="33">
      <c r="A653" s="1272">
        <v>4000</v>
      </c>
      <c r="B653" s="971" t="s">
        <v>1316</v>
      </c>
      <c r="C653" s="1272">
        <v>4100</v>
      </c>
      <c r="D653" s="971" t="s">
        <v>120</v>
      </c>
      <c r="E653" s="971">
        <v>4130</v>
      </c>
      <c r="F653" s="971" t="s">
        <v>148</v>
      </c>
      <c r="G653" s="971">
        <v>4131</v>
      </c>
      <c r="H653" s="971" t="s">
        <v>1330</v>
      </c>
      <c r="I653" s="1273"/>
      <c r="J653" s="971"/>
      <c r="K653" s="971" t="s">
        <v>150</v>
      </c>
      <c r="L653" s="971" t="s">
        <v>2800</v>
      </c>
      <c r="M653" s="971" t="s">
        <v>80</v>
      </c>
      <c r="N653" s="971" t="s">
        <v>83</v>
      </c>
      <c r="O653" s="971" t="s">
        <v>151</v>
      </c>
      <c r="P653" s="971" t="s">
        <v>152</v>
      </c>
      <c r="Q653" s="971" t="s">
        <v>1358</v>
      </c>
      <c r="R653" s="1266"/>
      <c r="S653" s="2106">
        <v>25000</v>
      </c>
      <c r="T653" s="1266" t="s">
        <v>136</v>
      </c>
      <c r="U653" s="1742">
        <v>1.2691883296460175E-2</v>
      </c>
      <c r="V653" s="1742">
        <v>0.14624999999999999</v>
      </c>
      <c r="W653" s="1742">
        <v>1.1186625937499999</v>
      </c>
      <c r="X653" s="1742">
        <v>0.4015178457754629</v>
      </c>
      <c r="Y653" s="2106">
        <v>1.6649423457754629</v>
      </c>
      <c r="Z653" s="2106">
        <v>317.29708241150439</v>
      </c>
      <c r="AA653" s="2106">
        <v>3656.25</v>
      </c>
      <c r="AB653" s="2106">
        <v>27966.564843749999</v>
      </c>
      <c r="AC653" s="2106">
        <v>10037.946144386573</v>
      </c>
      <c r="AD653" s="1744">
        <v>41623.558644386569</v>
      </c>
      <c r="AE653" s="2126">
        <v>0</v>
      </c>
      <c r="AF653" s="2126">
        <v>0</v>
      </c>
      <c r="AG653" s="1212">
        <v>1</v>
      </c>
      <c r="AH653" s="1212">
        <v>0</v>
      </c>
      <c r="AI653" s="1212">
        <v>0</v>
      </c>
      <c r="AJ653" s="1212">
        <v>1</v>
      </c>
      <c r="AK653" s="2126">
        <v>41623.558644386569</v>
      </c>
      <c r="AL653" s="2126">
        <v>0</v>
      </c>
      <c r="AM653" s="2126">
        <v>0</v>
      </c>
      <c r="AN653" s="2126">
        <v>41623.558644386569</v>
      </c>
      <c r="AO653" s="1743" t="s">
        <v>85</v>
      </c>
      <c r="AP653" s="1743" t="s">
        <v>90</v>
      </c>
      <c r="AQ653" s="1764" t="s">
        <v>105</v>
      </c>
      <c r="AR653" s="1743" t="s">
        <v>87</v>
      </c>
      <c r="AS653" s="2135"/>
      <c r="AT653" s="2135"/>
      <c r="AU653" s="1212">
        <v>0.33333333333333331</v>
      </c>
      <c r="AV653" s="1212">
        <v>0.33333333333333331</v>
      </c>
      <c r="AW653" s="1212">
        <v>0.33333333333333331</v>
      </c>
      <c r="AX653" s="1212"/>
      <c r="AY653" s="1212"/>
      <c r="AZ653" s="1212"/>
      <c r="BA653" s="1212"/>
      <c r="BB653" s="1212"/>
      <c r="BC653" s="1212"/>
      <c r="BD653" s="1212"/>
      <c r="BE653" s="1212"/>
      <c r="BF653" s="2126">
        <v>0</v>
      </c>
      <c r="BG653" s="2126">
        <v>0</v>
      </c>
      <c r="BH653" s="2126">
        <v>13874.519548128856</v>
      </c>
      <c r="BI653" s="2126">
        <v>13874.519548128856</v>
      </c>
      <c r="BJ653" s="2126">
        <v>13874.519548128856</v>
      </c>
      <c r="BK653" s="2126">
        <v>0</v>
      </c>
      <c r="BL653" s="2126">
        <v>0</v>
      </c>
      <c r="BM653" s="2126">
        <v>0</v>
      </c>
      <c r="BN653" s="2126">
        <v>0</v>
      </c>
      <c r="BO653" s="2126">
        <v>0</v>
      </c>
      <c r="BP653" s="2126">
        <v>0</v>
      </c>
      <c r="BQ653" s="2126">
        <v>0</v>
      </c>
      <c r="BR653" s="2126">
        <v>0</v>
      </c>
    </row>
    <row r="654" spans="1:70" s="1765" customFormat="1" ht="33">
      <c r="A654" s="1272">
        <v>4000</v>
      </c>
      <c r="B654" s="971" t="s">
        <v>1316</v>
      </c>
      <c r="C654" s="1272">
        <v>4100</v>
      </c>
      <c r="D654" s="971" t="s">
        <v>120</v>
      </c>
      <c r="E654" s="971">
        <v>4130</v>
      </c>
      <c r="F654" s="971" t="s">
        <v>148</v>
      </c>
      <c r="G654" s="971">
        <v>4131</v>
      </c>
      <c r="H654" s="971" t="s">
        <v>1330</v>
      </c>
      <c r="I654" s="1273"/>
      <c r="J654" s="971"/>
      <c r="K654" s="971" t="s">
        <v>150</v>
      </c>
      <c r="L654" s="971" t="s">
        <v>2800</v>
      </c>
      <c r="M654" s="971" t="s">
        <v>80</v>
      </c>
      <c r="N654" s="971" t="s">
        <v>83</v>
      </c>
      <c r="O654" s="971" t="s">
        <v>151</v>
      </c>
      <c r="P654" s="971" t="s">
        <v>152</v>
      </c>
      <c r="Q654" s="971" t="s">
        <v>1359</v>
      </c>
      <c r="R654" s="1266"/>
      <c r="S654" s="2106">
        <v>11250</v>
      </c>
      <c r="T654" s="1266" t="s">
        <v>136</v>
      </c>
      <c r="U654" s="1742">
        <v>1.2691883296460175E-2</v>
      </c>
      <c r="V654" s="1742">
        <v>0.14624999999999999</v>
      </c>
      <c r="W654" s="1742">
        <v>1.1186625937499999</v>
      </c>
      <c r="X654" s="1742">
        <v>0.4015178457754629</v>
      </c>
      <c r="Y654" s="2106">
        <v>1.6649423457754629</v>
      </c>
      <c r="Z654" s="2106">
        <v>142.78368708517698</v>
      </c>
      <c r="AA654" s="2106">
        <v>1645.3125</v>
      </c>
      <c r="AB654" s="2106">
        <v>12584.954179687498</v>
      </c>
      <c r="AC654" s="2106">
        <v>4517.075764973958</v>
      </c>
      <c r="AD654" s="1744">
        <v>18730.601389973956</v>
      </c>
      <c r="AE654" s="2126">
        <v>0</v>
      </c>
      <c r="AF654" s="2126">
        <v>0</v>
      </c>
      <c r="AG654" s="1212">
        <v>1</v>
      </c>
      <c r="AH654" s="1212">
        <v>0</v>
      </c>
      <c r="AI654" s="1212">
        <v>0</v>
      </c>
      <c r="AJ654" s="1212">
        <v>1</v>
      </c>
      <c r="AK654" s="2126">
        <v>18730.601389973956</v>
      </c>
      <c r="AL654" s="2126">
        <v>0</v>
      </c>
      <c r="AM654" s="2126">
        <v>0</v>
      </c>
      <c r="AN654" s="2126">
        <v>18730.601389973956</v>
      </c>
      <c r="AO654" s="1743" t="s">
        <v>85</v>
      </c>
      <c r="AP654" s="1743" t="s">
        <v>90</v>
      </c>
      <c r="AQ654" s="1764" t="s">
        <v>108</v>
      </c>
      <c r="AR654" s="1743" t="s">
        <v>87</v>
      </c>
      <c r="AS654" s="2135"/>
      <c r="AT654" s="2135"/>
      <c r="AU654" s="1212">
        <v>0.33333333333333331</v>
      </c>
      <c r="AV654" s="1212">
        <v>0.33333333333333331</v>
      </c>
      <c r="AW654" s="1212">
        <v>0.33333333333333331</v>
      </c>
      <c r="AX654" s="1212"/>
      <c r="AY654" s="1212"/>
      <c r="AZ654" s="1212"/>
      <c r="BA654" s="1212"/>
      <c r="BB654" s="1212"/>
      <c r="BC654" s="1212"/>
      <c r="BD654" s="1212"/>
      <c r="BE654" s="1212"/>
      <c r="BF654" s="2126">
        <v>0</v>
      </c>
      <c r="BG654" s="2126">
        <v>0</v>
      </c>
      <c r="BH654" s="2126">
        <v>6243.5337966579846</v>
      </c>
      <c r="BI654" s="2126">
        <v>6243.5337966579846</v>
      </c>
      <c r="BJ654" s="2126">
        <v>6243.5337966579846</v>
      </c>
      <c r="BK654" s="2126">
        <v>0</v>
      </c>
      <c r="BL654" s="2126">
        <v>0</v>
      </c>
      <c r="BM654" s="2126">
        <v>0</v>
      </c>
      <c r="BN654" s="2126">
        <v>0</v>
      </c>
      <c r="BO654" s="2126">
        <v>0</v>
      </c>
      <c r="BP654" s="2126">
        <v>0</v>
      </c>
      <c r="BQ654" s="2126">
        <v>0</v>
      </c>
      <c r="BR654" s="2126">
        <v>0</v>
      </c>
    </row>
    <row r="655" spans="1:70" s="1765" customFormat="1" ht="33">
      <c r="A655" s="1272">
        <v>4000</v>
      </c>
      <c r="B655" s="971" t="s">
        <v>1316</v>
      </c>
      <c r="C655" s="1272">
        <v>4100</v>
      </c>
      <c r="D655" s="971" t="s">
        <v>120</v>
      </c>
      <c r="E655" s="971">
        <v>4130</v>
      </c>
      <c r="F655" s="971" t="s">
        <v>148</v>
      </c>
      <c r="G655" s="971">
        <v>4131</v>
      </c>
      <c r="H655" s="971" t="s">
        <v>1330</v>
      </c>
      <c r="I655" s="1273"/>
      <c r="J655" s="971"/>
      <c r="K655" s="971" t="s">
        <v>150</v>
      </c>
      <c r="L655" s="971" t="s">
        <v>2800</v>
      </c>
      <c r="M655" s="971" t="s">
        <v>80</v>
      </c>
      <c r="N655" s="971" t="s">
        <v>83</v>
      </c>
      <c r="O655" s="971" t="s">
        <v>151</v>
      </c>
      <c r="P655" s="971" t="s">
        <v>152</v>
      </c>
      <c r="Q655" s="971" t="s">
        <v>1360</v>
      </c>
      <c r="R655" s="1266" t="s">
        <v>1361</v>
      </c>
      <c r="S655" s="2106">
        <v>27509</v>
      </c>
      <c r="T655" s="1266" t="s">
        <v>136</v>
      </c>
      <c r="U655" s="1742">
        <v>1.2691883296460175E-2</v>
      </c>
      <c r="V655" s="1742">
        <v>0.14624999999999999</v>
      </c>
      <c r="W655" s="1742">
        <v>1.1186625937499999</v>
      </c>
      <c r="X655" s="1742">
        <v>0.4015178457754629</v>
      </c>
      <c r="Y655" s="2106">
        <v>1.6649423457754629</v>
      </c>
      <c r="Z655" s="2106">
        <v>349.14101760232296</v>
      </c>
      <c r="AA655" s="2106">
        <v>4023.1912499999999</v>
      </c>
      <c r="AB655" s="2106">
        <v>30773.289291468747</v>
      </c>
      <c r="AC655" s="2106">
        <v>11045.35441943721</v>
      </c>
      <c r="AD655" s="1744">
        <v>45800.89898993721</v>
      </c>
      <c r="AE655" s="2126">
        <v>0</v>
      </c>
      <c r="AF655" s="2126">
        <v>0</v>
      </c>
      <c r="AG655" s="1212">
        <v>1</v>
      </c>
      <c r="AH655" s="1212">
        <v>0</v>
      </c>
      <c r="AI655" s="1212">
        <v>0</v>
      </c>
      <c r="AJ655" s="1212">
        <v>1</v>
      </c>
      <c r="AK655" s="2126">
        <v>45800.89898993721</v>
      </c>
      <c r="AL655" s="2126">
        <v>0</v>
      </c>
      <c r="AM655" s="2126">
        <v>0</v>
      </c>
      <c r="AN655" s="2126">
        <v>45800.89898993721</v>
      </c>
      <c r="AO655" s="1743" t="s">
        <v>85</v>
      </c>
      <c r="AP655" s="1743" t="s">
        <v>90</v>
      </c>
      <c r="AQ655" s="1764">
        <v>2022</v>
      </c>
      <c r="AR655" s="1743" t="s">
        <v>87</v>
      </c>
      <c r="AS655" s="2135"/>
      <c r="AT655" s="2135"/>
      <c r="AU655" s="1212">
        <v>0.33333333333333331</v>
      </c>
      <c r="AV655" s="1212">
        <v>0.33333333333333331</v>
      </c>
      <c r="AW655" s="1212">
        <v>0.33333333333333331</v>
      </c>
      <c r="AX655" s="1212"/>
      <c r="AY655" s="1212"/>
      <c r="AZ655" s="1212"/>
      <c r="BA655" s="1212"/>
      <c r="BB655" s="1212"/>
      <c r="BC655" s="1212"/>
      <c r="BD655" s="1212"/>
      <c r="BE655" s="1212"/>
      <c r="BF655" s="2126">
        <v>0</v>
      </c>
      <c r="BG655" s="2126">
        <v>0</v>
      </c>
      <c r="BH655" s="2126">
        <v>15266.96632997907</v>
      </c>
      <c r="BI655" s="2126">
        <v>15266.96632997907</v>
      </c>
      <c r="BJ655" s="2126">
        <v>15266.96632997907</v>
      </c>
      <c r="BK655" s="2126">
        <v>0</v>
      </c>
      <c r="BL655" s="2126">
        <v>0</v>
      </c>
      <c r="BM655" s="2126">
        <v>0</v>
      </c>
      <c r="BN655" s="2126">
        <v>0</v>
      </c>
      <c r="BO655" s="2126">
        <v>0</v>
      </c>
      <c r="BP655" s="2126">
        <v>0</v>
      </c>
      <c r="BQ655" s="2126">
        <v>0</v>
      </c>
      <c r="BR655" s="2126">
        <v>0</v>
      </c>
    </row>
    <row r="656" spans="1:70" s="1765" customFormat="1" ht="33">
      <c r="A656" s="1272">
        <v>4000</v>
      </c>
      <c r="B656" s="971" t="s">
        <v>1316</v>
      </c>
      <c r="C656" s="1272">
        <v>4100</v>
      </c>
      <c r="D656" s="971" t="s">
        <v>120</v>
      </c>
      <c r="E656" s="971">
        <v>4130</v>
      </c>
      <c r="F656" s="971" t="s">
        <v>148</v>
      </c>
      <c r="G656" s="971">
        <v>4131</v>
      </c>
      <c r="H656" s="971" t="s">
        <v>1330</v>
      </c>
      <c r="I656" s="1273"/>
      <c r="J656" s="971"/>
      <c r="K656" s="971" t="s">
        <v>150</v>
      </c>
      <c r="L656" s="971" t="s">
        <v>2800</v>
      </c>
      <c r="M656" s="971" t="s">
        <v>80</v>
      </c>
      <c r="N656" s="971" t="s">
        <v>83</v>
      </c>
      <c r="O656" s="971" t="s">
        <v>151</v>
      </c>
      <c r="P656" s="971" t="s">
        <v>152</v>
      </c>
      <c r="Q656" s="971" t="s">
        <v>1362</v>
      </c>
      <c r="R656" s="1266" t="s">
        <v>1361</v>
      </c>
      <c r="S656" s="2106">
        <v>36332</v>
      </c>
      <c r="T656" s="1266" t="s">
        <v>136</v>
      </c>
      <c r="U656" s="1742">
        <v>1.2691883296460175E-2</v>
      </c>
      <c r="V656" s="1742">
        <v>0.14624999999999999</v>
      </c>
      <c r="W656" s="1742">
        <v>1.1186625937499999</v>
      </c>
      <c r="X656" s="1742">
        <v>0.4015178457754629</v>
      </c>
      <c r="Y656" s="2106">
        <v>1.6649423457754629</v>
      </c>
      <c r="Z656" s="2106">
        <v>461.12150392699107</v>
      </c>
      <c r="AA656" s="2106">
        <v>5313.5549999999994</v>
      </c>
      <c r="AB656" s="2106">
        <v>40643.249356124994</v>
      </c>
      <c r="AC656" s="2106">
        <v>14587.946372714117</v>
      </c>
      <c r="AD656" s="1744">
        <v>60490.685306714113</v>
      </c>
      <c r="AE656" s="2126">
        <v>0</v>
      </c>
      <c r="AF656" s="2126">
        <v>0</v>
      </c>
      <c r="AG656" s="1212">
        <v>1</v>
      </c>
      <c r="AH656" s="1212">
        <v>0</v>
      </c>
      <c r="AI656" s="1212">
        <v>0</v>
      </c>
      <c r="AJ656" s="1212">
        <v>1</v>
      </c>
      <c r="AK656" s="2126">
        <v>60490.685306714113</v>
      </c>
      <c r="AL656" s="2126">
        <v>0</v>
      </c>
      <c r="AM656" s="2126">
        <v>0</v>
      </c>
      <c r="AN656" s="2126">
        <v>60490.685306714113</v>
      </c>
      <c r="AO656" s="1743" t="s">
        <v>85</v>
      </c>
      <c r="AP656" s="1743" t="s">
        <v>90</v>
      </c>
      <c r="AQ656" s="1764">
        <v>2022</v>
      </c>
      <c r="AR656" s="1743" t="s">
        <v>87</v>
      </c>
      <c r="AS656" s="2135"/>
      <c r="AT656" s="2135"/>
      <c r="AU656" s="1212">
        <v>0.33333333333333331</v>
      </c>
      <c r="AV656" s="1212">
        <v>0.33333333333333331</v>
      </c>
      <c r="AW656" s="1212">
        <v>0.33333333333333331</v>
      </c>
      <c r="AX656" s="1212"/>
      <c r="AY656" s="1212"/>
      <c r="AZ656" s="1212"/>
      <c r="BA656" s="1212"/>
      <c r="BB656" s="1212"/>
      <c r="BC656" s="1212"/>
      <c r="BD656" s="1212"/>
      <c r="BE656" s="1212"/>
      <c r="BF656" s="2126">
        <v>0</v>
      </c>
      <c r="BG656" s="2126">
        <v>0</v>
      </c>
      <c r="BH656" s="2126">
        <v>20163.561768904703</v>
      </c>
      <c r="BI656" s="2126">
        <v>20163.561768904703</v>
      </c>
      <c r="BJ656" s="2126">
        <v>20163.561768904703</v>
      </c>
      <c r="BK656" s="2126">
        <v>0</v>
      </c>
      <c r="BL656" s="2126">
        <v>0</v>
      </c>
      <c r="BM656" s="2126">
        <v>0</v>
      </c>
      <c r="BN656" s="2126">
        <v>0</v>
      </c>
      <c r="BO656" s="2126">
        <v>0</v>
      </c>
      <c r="BP656" s="2126">
        <v>0</v>
      </c>
      <c r="BQ656" s="2126">
        <v>0</v>
      </c>
      <c r="BR656" s="2126">
        <v>0</v>
      </c>
    </row>
    <row r="657" spans="1:70" s="1765" customFormat="1" ht="33">
      <c r="A657" s="1272">
        <v>4000</v>
      </c>
      <c r="B657" s="971" t="s">
        <v>1316</v>
      </c>
      <c r="C657" s="1272">
        <v>4100</v>
      </c>
      <c r="D657" s="971" t="s">
        <v>120</v>
      </c>
      <c r="E657" s="971">
        <v>4130</v>
      </c>
      <c r="F657" s="971" t="s">
        <v>148</v>
      </c>
      <c r="G657" s="971">
        <v>4131</v>
      </c>
      <c r="H657" s="971" t="s">
        <v>1330</v>
      </c>
      <c r="I657" s="1273"/>
      <c r="J657" s="971"/>
      <c r="K657" s="971" t="s">
        <v>150</v>
      </c>
      <c r="L657" s="971" t="s">
        <v>2800</v>
      </c>
      <c r="M657" s="971" t="s">
        <v>80</v>
      </c>
      <c r="N657" s="971" t="s">
        <v>83</v>
      </c>
      <c r="O657" s="971" t="s">
        <v>151</v>
      </c>
      <c r="P657" s="971" t="s">
        <v>152</v>
      </c>
      <c r="Q657" s="971" t="s">
        <v>1360</v>
      </c>
      <c r="R657" s="1266" t="s">
        <v>1361</v>
      </c>
      <c r="S657" s="2106">
        <v>-27509</v>
      </c>
      <c r="T657" s="1266" t="s">
        <v>136</v>
      </c>
      <c r="U657" s="1742">
        <v>1.2691883296460175E-2</v>
      </c>
      <c r="V657" s="1742">
        <v>0.14624999999999999</v>
      </c>
      <c r="W657" s="1742">
        <v>1.1186625937499999</v>
      </c>
      <c r="X657" s="1742">
        <v>0.4015178457754629</v>
      </c>
      <c r="Y657" s="2106">
        <v>1.6649423457754629</v>
      </c>
      <c r="Z657" s="2106">
        <v>-349.14101760232296</v>
      </c>
      <c r="AA657" s="2106">
        <v>-4023.1912499999999</v>
      </c>
      <c r="AB657" s="2106">
        <v>-30773.289291468747</v>
      </c>
      <c r="AC657" s="2106">
        <v>-11045.35441943721</v>
      </c>
      <c r="AD657" s="1744">
        <v>-45800.89898993721</v>
      </c>
      <c r="AE657" s="2126">
        <v>0</v>
      </c>
      <c r="AF657" s="2126">
        <v>0</v>
      </c>
      <c r="AG657" s="1212">
        <v>1</v>
      </c>
      <c r="AH657" s="1212">
        <v>0</v>
      </c>
      <c r="AI657" s="1212">
        <v>0</v>
      </c>
      <c r="AJ657" s="1212">
        <v>1</v>
      </c>
      <c r="AK657" s="2126">
        <v>-45800.89898993721</v>
      </c>
      <c r="AL657" s="2126">
        <v>0</v>
      </c>
      <c r="AM657" s="2126">
        <v>0</v>
      </c>
      <c r="AN657" s="2126">
        <v>-45800.89898993721</v>
      </c>
      <c r="AO657" s="1743" t="s">
        <v>85</v>
      </c>
      <c r="AP657" s="1743" t="s">
        <v>96</v>
      </c>
      <c r="AQ657" s="1764" t="s">
        <v>118</v>
      </c>
      <c r="AR657" s="1743" t="s">
        <v>87</v>
      </c>
      <c r="AS657" s="2135"/>
      <c r="AT657" s="2135"/>
      <c r="AU657" s="1212">
        <v>0.33333333333333331</v>
      </c>
      <c r="AV657" s="1212">
        <v>0.33333333333333331</v>
      </c>
      <c r="AW657" s="1212">
        <v>0.33333333333333331</v>
      </c>
      <c r="AX657" s="1212"/>
      <c r="AY657" s="1212"/>
      <c r="AZ657" s="1212"/>
      <c r="BA657" s="1212"/>
      <c r="BB657" s="1212"/>
      <c r="BC657" s="1212"/>
      <c r="BD657" s="1212"/>
      <c r="BE657" s="1212"/>
      <c r="BF657" s="2126">
        <v>0</v>
      </c>
      <c r="BG657" s="2126">
        <v>0</v>
      </c>
      <c r="BH657" s="2126">
        <v>-15266.96632997907</v>
      </c>
      <c r="BI657" s="2126">
        <v>-15266.96632997907</v>
      </c>
      <c r="BJ657" s="2126">
        <v>-15266.96632997907</v>
      </c>
      <c r="BK657" s="2126">
        <v>0</v>
      </c>
      <c r="BL657" s="2126">
        <v>0</v>
      </c>
      <c r="BM657" s="2126">
        <v>0</v>
      </c>
      <c r="BN657" s="2126">
        <v>0</v>
      </c>
      <c r="BO657" s="2126">
        <v>0</v>
      </c>
      <c r="BP657" s="2126">
        <v>0</v>
      </c>
      <c r="BQ657" s="2126">
        <v>0</v>
      </c>
      <c r="BR657" s="2126">
        <v>0</v>
      </c>
    </row>
    <row r="658" spans="1:70" s="1765" customFormat="1" ht="33">
      <c r="A658" s="1272">
        <v>4000</v>
      </c>
      <c r="B658" s="971" t="s">
        <v>1316</v>
      </c>
      <c r="C658" s="1272">
        <v>4100</v>
      </c>
      <c r="D658" s="971" t="s">
        <v>120</v>
      </c>
      <c r="E658" s="971">
        <v>4130</v>
      </c>
      <c r="F658" s="971" t="s">
        <v>148</v>
      </c>
      <c r="G658" s="971">
        <v>4131</v>
      </c>
      <c r="H658" s="971" t="s">
        <v>1330</v>
      </c>
      <c r="I658" s="1273"/>
      <c r="J658" s="971"/>
      <c r="K658" s="971" t="s">
        <v>150</v>
      </c>
      <c r="L658" s="971" t="s">
        <v>2800</v>
      </c>
      <c r="M658" s="971" t="s">
        <v>80</v>
      </c>
      <c r="N658" s="971" t="s">
        <v>83</v>
      </c>
      <c r="O658" s="971" t="s">
        <v>151</v>
      </c>
      <c r="P658" s="971" t="s">
        <v>152</v>
      </c>
      <c r="Q658" s="971" t="s">
        <v>1362</v>
      </c>
      <c r="R658" s="1266" t="s">
        <v>1361</v>
      </c>
      <c r="S658" s="2106">
        <v>-36332</v>
      </c>
      <c r="T658" s="1266" t="s">
        <v>136</v>
      </c>
      <c r="U658" s="1742">
        <v>1.2691883296460175E-2</v>
      </c>
      <c r="V658" s="1742">
        <v>0.14624999999999999</v>
      </c>
      <c r="W658" s="1742">
        <v>1.1186625937499999</v>
      </c>
      <c r="X658" s="1742">
        <v>0.4015178457754629</v>
      </c>
      <c r="Y658" s="2106">
        <v>1.6649423457754629</v>
      </c>
      <c r="Z658" s="2106">
        <v>-461.12150392699107</v>
      </c>
      <c r="AA658" s="2106">
        <v>-5313.5549999999994</v>
      </c>
      <c r="AB658" s="2106">
        <v>-40643.249356124994</v>
      </c>
      <c r="AC658" s="2106">
        <v>-14587.946372714117</v>
      </c>
      <c r="AD658" s="1744">
        <v>-60490.685306714113</v>
      </c>
      <c r="AE658" s="2126">
        <v>0</v>
      </c>
      <c r="AF658" s="2126">
        <v>0</v>
      </c>
      <c r="AG658" s="1212">
        <v>1</v>
      </c>
      <c r="AH658" s="1212">
        <v>0</v>
      </c>
      <c r="AI658" s="1212">
        <v>0</v>
      </c>
      <c r="AJ658" s="1212">
        <v>1</v>
      </c>
      <c r="AK658" s="2126">
        <v>-60490.685306714113</v>
      </c>
      <c r="AL658" s="2126">
        <v>0</v>
      </c>
      <c r="AM658" s="2126">
        <v>0</v>
      </c>
      <c r="AN658" s="2126">
        <v>-60490.685306714113</v>
      </c>
      <c r="AO658" s="1743" t="s">
        <v>85</v>
      </c>
      <c r="AP658" s="1743" t="s">
        <v>96</v>
      </c>
      <c r="AQ658" s="1764" t="s">
        <v>118</v>
      </c>
      <c r="AR658" s="1743" t="s">
        <v>87</v>
      </c>
      <c r="AS658" s="2135"/>
      <c r="AT658" s="2135"/>
      <c r="AU658" s="1212">
        <v>0.33333333333333331</v>
      </c>
      <c r="AV658" s="1212">
        <v>0.33333333333333331</v>
      </c>
      <c r="AW658" s="1212">
        <v>0.33333333333333331</v>
      </c>
      <c r="AX658" s="1212"/>
      <c r="AY658" s="1212"/>
      <c r="AZ658" s="1212"/>
      <c r="BA658" s="1212"/>
      <c r="BB658" s="1212"/>
      <c r="BC658" s="1212"/>
      <c r="BD658" s="1212"/>
      <c r="BE658" s="1212"/>
      <c r="BF658" s="2126">
        <v>0</v>
      </c>
      <c r="BG658" s="2126">
        <v>0</v>
      </c>
      <c r="BH658" s="2126">
        <v>-20163.561768904703</v>
      </c>
      <c r="BI658" s="2126">
        <v>-20163.561768904703</v>
      </c>
      <c r="BJ658" s="2126">
        <v>-20163.561768904703</v>
      </c>
      <c r="BK658" s="2126">
        <v>0</v>
      </c>
      <c r="BL658" s="2126">
        <v>0</v>
      </c>
      <c r="BM658" s="2126">
        <v>0</v>
      </c>
      <c r="BN658" s="2126">
        <v>0</v>
      </c>
      <c r="BO658" s="2126">
        <v>0</v>
      </c>
      <c r="BP658" s="2126">
        <v>0</v>
      </c>
      <c r="BQ658" s="2126">
        <v>0</v>
      </c>
      <c r="BR658" s="2126">
        <v>0</v>
      </c>
    </row>
    <row r="659" spans="1:70" s="1765" customFormat="1" ht="33">
      <c r="A659" s="1272">
        <v>4000</v>
      </c>
      <c r="B659" s="971" t="s">
        <v>1316</v>
      </c>
      <c r="C659" s="1272">
        <v>4100</v>
      </c>
      <c r="D659" s="971" t="s">
        <v>120</v>
      </c>
      <c r="E659" s="971">
        <v>4130</v>
      </c>
      <c r="F659" s="971" t="s">
        <v>148</v>
      </c>
      <c r="G659" s="971">
        <v>4131</v>
      </c>
      <c r="H659" s="971" t="s">
        <v>1330</v>
      </c>
      <c r="I659" s="1273"/>
      <c r="J659" s="971"/>
      <c r="K659" s="971" t="s">
        <v>1363</v>
      </c>
      <c r="L659" s="971" t="s">
        <v>2798</v>
      </c>
      <c r="M659" s="971" t="s">
        <v>80</v>
      </c>
      <c r="N659" s="971" t="s">
        <v>83</v>
      </c>
      <c r="O659" s="971" t="s">
        <v>2798</v>
      </c>
      <c r="P659" s="971" t="s">
        <v>2798</v>
      </c>
      <c r="Q659" s="971" t="s">
        <v>1364</v>
      </c>
      <c r="R659" s="1266" t="s">
        <v>1361</v>
      </c>
      <c r="S659" s="2106">
        <v>60</v>
      </c>
      <c r="T659" s="1266" t="s">
        <v>2688</v>
      </c>
      <c r="U659" s="1742">
        <v>7.4457177203835739E-2</v>
      </c>
      <c r="V659" s="1742">
        <v>0.64330680813439445</v>
      </c>
      <c r="W659" s="1742">
        <v>6.5626555987460824</v>
      </c>
      <c r="X659" s="1742">
        <v>7.1861791926634453</v>
      </c>
      <c r="Y659" s="2106">
        <v>13.53815815126806</v>
      </c>
      <c r="Z659" s="2106">
        <v>4.467430632230144</v>
      </c>
      <c r="AA659" s="2106">
        <v>38.598408488063669</v>
      </c>
      <c r="AB659" s="2106">
        <v>393.75933592476497</v>
      </c>
      <c r="AC659" s="2106">
        <v>431.17075155980672</v>
      </c>
      <c r="AD659" s="1744">
        <v>812.28948907608367</v>
      </c>
      <c r="AE659" s="2126">
        <v>0</v>
      </c>
      <c r="AF659" s="2126">
        <v>0</v>
      </c>
      <c r="AG659" s="1212">
        <v>1</v>
      </c>
      <c r="AH659" s="1212">
        <v>0</v>
      </c>
      <c r="AI659" s="1212">
        <v>0</v>
      </c>
      <c r="AJ659" s="1212">
        <v>1</v>
      </c>
      <c r="AK659" s="2126">
        <v>812.28948907608367</v>
      </c>
      <c r="AL659" s="2126">
        <v>0</v>
      </c>
      <c r="AM659" s="2126">
        <v>0</v>
      </c>
      <c r="AN659" s="2126">
        <v>812.28948907608367</v>
      </c>
      <c r="AO659" s="1743" t="s">
        <v>85</v>
      </c>
      <c r="AP659" s="1743" t="s">
        <v>1105</v>
      </c>
      <c r="AQ659" s="1764" t="s">
        <v>118</v>
      </c>
      <c r="AR659" s="1743" t="s">
        <v>87</v>
      </c>
      <c r="AS659" s="2135"/>
      <c r="AT659" s="2135"/>
      <c r="AU659" s="1212">
        <v>0.33333333333333331</v>
      </c>
      <c r="AV659" s="1212">
        <v>0.33333333333333331</v>
      </c>
      <c r="AW659" s="1212">
        <v>0.33333333333333331</v>
      </c>
      <c r="AX659" s="1212"/>
      <c r="AY659" s="1212"/>
      <c r="AZ659" s="1212"/>
      <c r="BA659" s="1212"/>
      <c r="BB659" s="1212"/>
      <c r="BC659" s="1212"/>
      <c r="BD659" s="1212"/>
      <c r="BE659" s="1212"/>
      <c r="BF659" s="2126">
        <v>0</v>
      </c>
      <c r="BG659" s="2126">
        <v>0</v>
      </c>
      <c r="BH659" s="2126">
        <v>270.76316302536122</v>
      </c>
      <c r="BI659" s="2126">
        <v>270.76316302536122</v>
      </c>
      <c r="BJ659" s="2126">
        <v>270.76316302536122</v>
      </c>
      <c r="BK659" s="2126">
        <v>0</v>
      </c>
      <c r="BL659" s="2126">
        <v>0</v>
      </c>
      <c r="BM659" s="2126">
        <v>0</v>
      </c>
      <c r="BN659" s="2126">
        <v>0</v>
      </c>
      <c r="BO659" s="2126">
        <v>0</v>
      </c>
      <c r="BP659" s="2126">
        <v>0</v>
      </c>
      <c r="BQ659" s="2126">
        <v>0</v>
      </c>
      <c r="BR659" s="2126">
        <v>0</v>
      </c>
    </row>
    <row r="660" spans="1:70" s="1765" customFormat="1" ht="33">
      <c r="A660" s="1272">
        <v>4000</v>
      </c>
      <c r="B660" s="971" t="s">
        <v>1316</v>
      </c>
      <c r="C660" s="1272">
        <v>4100</v>
      </c>
      <c r="D660" s="971" t="s">
        <v>120</v>
      </c>
      <c r="E660" s="971">
        <v>4130</v>
      </c>
      <c r="F660" s="971" t="s">
        <v>148</v>
      </c>
      <c r="G660" s="971">
        <v>4131</v>
      </c>
      <c r="H660" s="971" t="s">
        <v>1330</v>
      </c>
      <c r="I660" s="1273"/>
      <c r="J660" s="971"/>
      <c r="K660" s="971" t="s">
        <v>1365</v>
      </c>
      <c r="L660" s="971" t="s">
        <v>2931</v>
      </c>
      <c r="M660" s="971" t="s">
        <v>80</v>
      </c>
      <c r="N660" s="971" t="s">
        <v>83</v>
      </c>
      <c r="O660" s="971" t="s">
        <v>2931</v>
      </c>
      <c r="P660" s="971" t="s">
        <v>2931</v>
      </c>
      <c r="Q660" s="971" t="s">
        <v>1364</v>
      </c>
      <c r="R660" s="1266" t="s">
        <v>1361</v>
      </c>
      <c r="S660" s="2106">
        <v>58800</v>
      </c>
      <c r="T660" s="1266" t="s">
        <v>2688</v>
      </c>
      <c r="U660" s="1742">
        <v>2.5931709202200511E-2</v>
      </c>
      <c r="V660" s="1742">
        <v>0.30015915119363401</v>
      </c>
      <c r="W660" s="1742">
        <v>2.285620849081953</v>
      </c>
      <c r="X660" s="1742">
        <v>2.1244766862511697</v>
      </c>
      <c r="Y660" s="2106">
        <v>4.3154973761819289</v>
      </c>
      <c r="Z660" s="2106">
        <v>1524.78450108939</v>
      </c>
      <c r="AA660" s="2106">
        <v>17649.35809018568</v>
      </c>
      <c r="AB660" s="2106">
        <v>134394.50592601884</v>
      </c>
      <c r="AC660" s="2106">
        <v>124919.22915156878</v>
      </c>
      <c r="AD660" s="1744">
        <v>253751.24571949741</v>
      </c>
      <c r="AE660" s="2126">
        <v>0</v>
      </c>
      <c r="AF660" s="2126">
        <v>0</v>
      </c>
      <c r="AG660" s="1212">
        <v>1</v>
      </c>
      <c r="AH660" s="1212">
        <v>0</v>
      </c>
      <c r="AI660" s="1212">
        <v>0</v>
      </c>
      <c r="AJ660" s="1212">
        <v>1</v>
      </c>
      <c r="AK660" s="2126">
        <v>253751.24571949741</v>
      </c>
      <c r="AL660" s="2126">
        <v>0</v>
      </c>
      <c r="AM660" s="2126">
        <v>0</v>
      </c>
      <c r="AN660" s="2126">
        <v>253751.24571949741</v>
      </c>
      <c r="AO660" s="1743" t="s">
        <v>85</v>
      </c>
      <c r="AP660" s="1743" t="s">
        <v>1105</v>
      </c>
      <c r="AQ660" s="1764" t="s">
        <v>118</v>
      </c>
      <c r="AR660" s="1743" t="s">
        <v>87</v>
      </c>
      <c r="AS660" s="2135"/>
      <c r="AT660" s="2135"/>
      <c r="AU660" s="1212">
        <v>0.33333333333333331</v>
      </c>
      <c r="AV660" s="1212">
        <v>0.33333333333333331</v>
      </c>
      <c r="AW660" s="1212">
        <v>0.33333333333333331</v>
      </c>
      <c r="AX660" s="1212"/>
      <c r="AY660" s="1212"/>
      <c r="AZ660" s="1212"/>
      <c r="BA660" s="1212"/>
      <c r="BB660" s="1212"/>
      <c r="BC660" s="1212"/>
      <c r="BD660" s="1212"/>
      <c r="BE660" s="1212"/>
      <c r="BF660" s="2126">
        <v>0</v>
      </c>
      <c r="BG660" s="2126">
        <v>0</v>
      </c>
      <c r="BH660" s="2126">
        <v>84583.748573165794</v>
      </c>
      <c r="BI660" s="2126">
        <v>84583.748573165794</v>
      </c>
      <c r="BJ660" s="2126">
        <v>84583.748573165794</v>
      </c>
      <c r="BK660" s="2126">
        <v>0</v>
      </c>
      <c r="BL660" s="2126">
        <v>0</v>
      </c>
      <c r="BM660" s="2126">
        <v>0</v>
      </c>
      <c r="BN660" s="2126">
        <v>0</v>
      </c>
      <c r="BO660" s="2126">
        <v>0</v>
      </c>
      <c r="BP660" s="2126">
        <v>0</v>
      </c>
      <c r="BQ660" s="2126">
        <v>0</v>
      </c>
      <c r="BR660" s="2126">
        <v>0</v>
      </c>
    </row>
    <row r="661" spans="1:70" s="1765" customFormat="1" ht="33">
      <c r="A661" s="1272">
        <v>4000</v>
      </c>
      <c r="B661" s="971" t="s">
        <v>1316</v>
      </c>
      <c r="C661" s="1272">
        <v>4100</v>
      </c>
      <c r="D661" s="971" t="s">
        <v>120</v>
      </c>
      <c r="E661" s="971">
        <v>4130</v>
      </c>
      <c r="F661" s="971" t="s">
        <v>148</v>
      </c>
      <c r="G661" s="971">
        <v>4131</v>
      </c>
      <c r="H661" s="971" t="s">
        <v>1330</v>
      </c>
      <c r="I661" s="1273"/>
      <c r="J661" s="971"/>
      <c r="K661" s="971" t="s">
        <v>150</v>
      </c>
      <c r="L661" s="971" t="s">
        <v>2800</v>
      </c>
      <c r="M661" s="971" t="s">
        <v>80</v>
      </c>
      <c r="N661" s="971" t="s">
        <v>83</v>
      </c>
      <c r="O661" s="971" t="s">
        <v>151</v>
      </c>
      <c r="P661" s="971" t="s">
        <v>152</v>
      </c>
      <c r="Q661" s="971" t="s">
        <v>1366</v>
      </c>
      <c r="R661" s="1266" t="s">
        <v>1367</v>
      </c>
      <c r="S661" s="2106">
        <v>14108</v>
      </c>
      <c r="T661" s="1266" t="s">
        <v>136</v>
      </c>
      <c r="U661" s="1742">
        <v>1.2691883296460175E-2</v>
      </c>
      <c r="V661" s="1742">
        <v>0.14624999999999999</v>
      </c>
      <c r="W661" s="1742">
        <v>1.1186625937499999</v>
      </c>
      <c r="X661" s="1742">
        <v>0.4015178457754629</v>
      </c>
      <c r="Y661" s="2106">
        <v>1.6649423457754629</v>
      </c>
      <c r="Z661" s="2106">
        <v>179.05708954646016</v>
      </c>
      <c r="AA661" s="2106">
        <v>2063.2950000000001</v>
      </c>
      <c r="AB661" s="2106">
        <v>15782.091872624998</v>
      </c>
      <c r="AC661" s="2106">
        <v>5664.6137682002309</v>
      </c>
      <c r="AD661" s="1744">
        <v>23489.006614200229</v>
      </c>
      <c r="AE661" s="2126">
        <v>0</v>
      </c>
      <c r="AF661" s="2126">
        <v>0</v>
      </c>
      <c r="AG661" s="1212">
        <v>1</v>
      </c>
      <c r="AH661" s="1212">
        <v>0</v>
      </c>
      <c r="AI661" s="1212">
        <v>0</v>
      </c>
      <c r="AJ661" s="1212">
        <v>1</v>
      </c>
      <c r="AK661" s="2126">
        <v>23489.006614200229</v>
      </c>
      <c r="AL661" s="2126">
        <v>0</v>
      </c>
      <c r="AM661" s="2126">
        <v>0</v>
      </c>
      <c r="AN661" s="2126">
        <v>23489.006614200229</v>
      </c>
      <c r="AO661" s="1743" t="s">
        <v>85</v>
      </c>
      <c r="AP661" s="1743" t="s">
        <v>90</v>
      </c>
      <c r="AQ661" s="1764">
        <v>2022</v>
      </c>
      <c r="AR661" s="1743" t="s">
        <v>87</v>
      </c>
      <c r="AS661" s="2135"/>
      <c r="AT661" s="2135"/>
      <c r="AU661" s="1212">
        <v>0.33333333333333331</v>
      </c>
      <c r="AV661" s="1212">
        <v>0.33333333333333331</v>
      </c>
      <c r="AW661" s="1212">
        <v>0.33333333333333331</v>
      </c>
      <c r="AX661" s="1212"/>
      <c r="AY661" s="1212"/>
      <c r="AZ661" s="1212"/>
      <c r="BA661" s="1212"/>
      <c r="BB661" s="1212"/>
      <c r="BC661" s="1212"/>
      <c r="BD661" s="1212"/>
      <c r="BE661" s="1212"/>
      <c r="BF661" s="2126">
        <v>0</v>
      </c>
      <c r="BG661" s="2126">
        <v>0</v>
      </c>
      <c r="BH661" s="2126">
        <v>7829.6688714000757</v>
      </c>
      <c r="BI661" s="2126">
        <v>7829.6688714000757</v>
      </c>
      <c r="BJ661" s="2126">
        <v>7829.6688714000757</v>
      </c>
      <c r="BK661" s="2126">
        <v>0</v>
      </c>
      <c r="BL661" s="2126">
        <v>0</v>
      </c>
      <c r="BM661" s="2126">
        <v>0</v>
      </c>
      <c r="BN661" s="2126">
        <v>0</v>
      </c>
      <c r="BO661" s="2126">
        <v>0</v>
      </c>
      <c r="BP661" s="2126">
        <v>0</v>
      </c>
      <c r="BQ661" s="2126">
        <v>0</v>
      </c>
      <c r="BR661" s="2126">
        <v>0</v>
      </c>
    </row>
    <row r="662" spans="1:70" s="1765" customFormat="1" ht="33">
      <c r="A662" s="1272">
        <v>4000</v>
      </c>
      <c r="B662" s="971" t="s">
        <v>1316</v>
      </c>
      <c r="C662" s="1272">
        <v>4100</v>
      </c>
      <c r="D662" s="971" t="s">
        <v>120</v>
      </c>
      <c r="E662" s="971">
        <v>4130</v>
      </c>
      <c r="F662" s="971" t="s">
        <v>148</v>
      </c>
      <c r="G662" s="971">
        <v>4133</v>
      </c>
      <c r="H662" s="971" t="s">
        <v>1368</v>
      </c>
      <c r="I662" s="1273"/>
      <c r="J662" s="971" t="s">
        <v>121</v>
      </c>
      <c r="K662" s="971" t="s">
        <v>150</v>
      </c>
      <c r="L662" s="971" t="s">
        <v>2800</v>
      </c>
      <c r="M662" s="971" t="s">
        <v>80</v>
      </c>
      <c r="N662" s="971" t="s">
        <v>83</v>
      </c>
      <c r="O662" s="971" t="s">
        <v>151</v>
      </c>
      <c r="P662" s="971" t="s">
        <v>152</v>
      </c>
      <c r="Q662" s="971" t="s">
        <v>1369</v>
      </c>
      <c r="R662" s="1266"/>
      <c r="S662" s="2106">
        <v>25700</v>
      </c>
      <c r="T662" s="1266" t="s">
        <v>136</v>
      </c>
      <c r="U662" s="1742">
        <v>1.2691883296460175E-2</v>
      </c>
      <c r="V662" s="1742">
        <v>0.14624999999999999</v>
      </c>
      <c r="W662" s="1742">
        <v>1.1186625937499999</v>
      </c>
      <c r="X662" s="1742">
        <v>0.4015178457754629</v>
      </c>
      <c r="Y662" s="2106">
        <v>1.6649423457754629</v>
      </c>
      <c r="Z662" s="2106">
        <v>326.1814007190265</v>
      </c>
      <c r="AA662" s="2106">
        <v>3758.6249999999995</v>
      </c>
      <c r="AB662" s="2106">
        <v>28749.628659374997</v>
      </c>
      <c r="AC662" s="2106">
        <v>10319.008636429397</v>
      </c>
      <c r="AD662" s="1744">
        <v>42789.018286429397</v>
      </c>
      <c r="AE662" s="2126">
        <v>0</v>
      </c>
      <c r="AF662" s="2126">
        <v>0</v>
      </c>
      <c r="AG662" s="1212">
        <v>1</v>
      </c>
      <c r="AH662" s="1212">
        <v>0</v>
      </c>
      <c r="AI662" s="1212">
        <v>0</v>
      </c>
      <c r="AJ662" s="1212">
        <v>1</v>
      </c>
      <c r="AK662" s="2126">
        <v>42789.018286429397</v>
      </c>
      <c r="AL662" s="2126">
        <v>0</v>
      </c>
      <c r="AM662" s="2126">
        <v>0</v>
      </c>
      <c r="AN662" s="2126">
        <v>42789.018286429397</v>
      </c>
      <c r="AO662" s="1743" t="s">
        <v>85</v>
      </c>
      <c r="AP662" s="1743" t="s">
        <v>90</v>
      </c>
      <c r="AQ662" s="1764">
        <v>2017</v>
      </c>
      <c r="AR662" s="1743" t="s">
        <v>87</v>
      </c>
      <c r="AS662" s="2135"/>
      <c r="AT662" s="2135"/>
      <c r="AU662" s="1212">
        <v>0.33333333333333331</v>
      </c>
      <c r="AV662" s="1212">
        <v>0.33333333333333331</v>
      </c>
      <c r="AW662" s="1212">
        <v>0.33333333333333331</v>
      </c>
      <c r="AX662" s="1212"/>
      <c r="AY662" s="1212"/>
      <c r="AZ662" s="1212"/>
      <c r="BA662" s="1212"/>
      <c r="BB662" s="1212"/>
      <c r="BC662" s="1212"/>
      <c r="BD662" s="1212"/>
      <c r="BE662" s="1212"/>
      <c r="BF662" s="2126">
        <v>0</v>
      </c>
      <c r="BG662" s="2126">
        <v>0</v>
      </c>
      <c r="BH662" s="2126">
        <v>14263.006095476465</v>
      </c>
      <c r="BI662" s="2126">
        <v>14263.006095476465</v>
      </c>
      <c r="BJ662" s="2126">
        <v>14263.006095476465</v>
      </c>
      <c r="BK662" s="2126">
        <v>0</v>
      </c>
      <c r="BL662" s="2126">
        <v>0</v>
      </c>
      <c r="BM662" s="2126">
        <v>0</v>
      </c>
      <c r="BN662" s="2126">
        <v>0</v>
      </c>
      <c r="BO662" s="2126">
        <v>0</v>
      </c>
      <c r="BP662" s="2126">
        <v>0</v>
      </c>
      <c r="BQ662" s="2126">
        <v>0</v>
      </c>
      <c r="BR662" s="2126">
        <v>0</v>
      </c>
    </row>
    <row r="663" spans="1:70" s="1765" customFormat="1" ht="33">
      <c r="A663" s="1272">
        <v>4000</v>
      </c>
      <c r="B663" s="971" t="s">
        <v>1316</v>
      </c>
      <c r="C663" s="1272">
        <v>4100</v>
      </c>
      <c r="D663" s="971" t="s">
        <v>120</v>
      </c>
      <c r="E663" s="971">
        <v>4130</v>
      </c>
      <c r="F663" s="971" t="s">
        <v>148</v>
      </c>
      <c r="G663" s="971">
        <v>4133</v>
      </c>
      <c r="H663" s="971" t="s">
        <v>1368</v>
      </c>
      <c r="I663" s="1273"/>
      <c r="J663" s="971" t="s">
        <v>121</v>
      </c>
      <c r="K663" s="971" t="s">
        <v>150</v>
      </c>
      <c r="L663" s="971" t="s">
        <v>2800</v>
      </c>
      <c r="M663" s="971" t="s">
        <v>80</v>
      </c>
      <c r="N663" s="971" t="s">
        <v>83</v>
      </c>
      <c r="O663" s="971" t="s">
        <v>151</v>
      </c>
      <c r="P663" s="971" t="s">
        <v>152</v>
      </c>
      <c r="Q663" s="971" t="s">
        <v>1370</v>
      </c>
      <c r="R663" s="1266"/>
      <c r="S663" s="2106">
        <v>36180</v>
      </c>
      <c r="T663" s="1266" t="s">
        <v>136</v>
      </c>
      <c r="U663" s="1742">
        <v>1.2691883296460175E-2</v>
      </c>
      <c r="V663" s="1742">
        <v>0.14624999999999999</v>
      </c>
      <c r="W663" s="1742">
        <v>1.1186625937499999</v>
      </c>
      <c r="X663" s="1742">
        <v>0.4015178457754629</v>
      </c>
      <c r="Y663" s="2106">
        <v>1.6649423457754629</v>
      </c>
      <c r="Z663" s="2106">
        <v>459.19233766592913</v>
      </c>
      <c r="AA663" s="2106">
        <v>5291.3249999999998</v>
      </c>
      <c r="AB663" s="2106">
        <v>40473.212641874998</v>
      </c>
      <c r="AC663" s="2106">
        <v>14526.915660156248</v>
      </c>
      <c r="AD663" s="1744">
        <v>60237.614070156247</v>
      </c>
      <c r="AE663" s="2126">
        <v>0</v>
      </c>
      <c r="AF663" s="2126">
        <v>0</v>
      </c>
      <c r="AG663" s="1212">
        <v>1</v>
      </c>
      <c r="AH663" s="1212">
        <v>0</v>
      </c>
      <c r="AI663" s="1212">
        <v>0</v>
      </c>
      <c r="AJ663" s="1212">
        <v>1</v>
      </c>
      <c r="AK663" s="2126">
        <v>60237.614070156247</v>
      </c>
      <c r="AL663" s="2126">
        <v>0</v>
      </c>
      <c r="AM663" s="2126">
        <v>0</v>
      </c>
      <c r="AN663" s="2126">
        <v>60237.614070156247</v>
      </c>
      <c r="AO663" s="1743" t="s">
        <v>85</v>
      </c>
      <c r="AP663" s="1743"/>
      <c r="AQ663" s="1764" t="s">
        <v>107</v>
      </c>
      <c r="AR663" s="1743" t="s">
        <v>87</v>
      </c>
      <c r="AS663" s="2135"/>
      <c r="AT663" s="2135"/>
      <c r="AU663" s="1212">
        <v>0.33333333333333331</v>
      </c>
      <c r="AV663" s="1212">
        <v>0.33333333333333331</v>
      </c>
      <c r="AW663" s="1212">
        <v>0.33333333333333331</v>
      </c>
      <c r="AX663" s="1212"/>
      <c r="AY663" s="1212"/>
      <c r="AZ663" s="1212"/>
      <c r="BA663" s="1212"/>
      <c r="BB663" s="1212"/>
      <c r="BC663" s="1212"/>
      <c r="BD663" s="1212"/>
      <c r="BE663" s="1212"/>
      <c r="BF663" s="2126">
        <v>0</v>
      </c>
      <c r="BG663" s="2126">
        <v>0</v>
      </c>
      <c r="BH663" s="2126">
        <v>20079.20469005208</v>
      </c>
      <c r="BI663" s="2126">
        <v>20079.20469005208</v>
      </c>
      <c r="BJ663" s="2126">
        <v>20079.20469005208</v>
      </c>
      <c r="BK663" s="2126">
        <v>0</v>
      </c>
      <c r="BL663" s="2126">
        <v>0</v>
      </c>
      <c r="BM663" s="2126">
        <v>0</v>
      </c>
      <c r="BN663" s="2126">
        <v>0</v>
      </c>
      <c r="BO663" s="2126">
        <v>0</v>
      </c>
      <c r="BP663" s="2126">
        <v>0</v>
      </c>
      <c r="BQ663" s="2126">
        <v>0</v>
      </c>
      <c r="BR663" s="2126">
        <v>0</v>
      </c>
    </row>
    <row r="664" spans="1:70" s="1765" customFormat="1" ht="33">
      <c r="A664" s="1272">
        <v>4000</v>
      </c>
      <c r="B664" s="971" t="s">
        <v>1316</v>
      </c>
      <c r="C664" s="1272">
        <v>4100</v>
      </c>
      <c r="D664" s="971" t="s">
        <v>120</v>
      </c>
      <c r="E664" s="971">
        <v>4130</v>
      </c>
      <c r="F664" s="971" t="s">
        <v>148</v>
      </c>
      <c r="G664" s="971">
        <v>4138</v>
      </c>
      <c r="H664" s="971" t="s">
        <v>1245</v>
      </c>
      <c r="I664" s="1273"/>
      <c r="J664" s="971" t="s">
        <v>121</v>
      </c>
      <c r="K664" s="971" t="s">
        <v>150</v>
      </c>
      <c r="L664" s="971" t="s">
        <v>2800</v>
      </c>
      <c r="M664" s="971" t="s">
        <v>80</v>
      </c>
      <c r="N664" s="971" t="s">
        <v>83</v>
      </c>
      <c r="O664" s="971" t="s">
        <v>151</v>
      </c>
      <c r="P664" s="971" t="s">
        <v>152</v>
      </c>
      <c r="Q664" s="971" t="s">
        <v>1371</v>
      </c>
      <c r="R664" s="1266"/>
      <c r="S664" s="2106">
        <v>258580</v>
      </c>
      <c r="T664" s="1266" t="s">
        <v>136</v>
      </c>
      <c r="U664" s="1742">
        <v>1.2691883296460175E-2</v>
      </c>
      <c r="V664" s="1742">
        <v>0.14624999999999999</v>
      </c>
      <c r="W664" s="1742">
        <v>1.1186625937499999</v>
      </c>
      <c r="X664" s="1742">
        <v>0.4015178457754629</v>
      </c>
      <c r="Y664" s="2106">
        <v>1.6649423457754629</v>
      </c>
      <c r="Z664" s="2106">
        <v>3281.8671827986723</v>
      </c>
      <c r="AA664" s="2106">
        <v>37817.324999999997</v>
      </c>
      <c r="AB664" s="2106">
        <v>289263.77349187498</v>
      </c>
      <c r="AC664" s="2106">
        <v>103824.4845606192</v>
      </c>
      <c r="AD664" s="1744">
        <v>430905.58305249421</v>
      </c>
      <c r="AE664" s="2126">
        <v>0</v>
      </c>
      <c r="AF664" s="2126">
        <v>0</v>
      </c>
      <c r="AG664" s="1212">
        <v>1</v>
      </c>
      <c r="AH664" s="1212">
        <v>0</v>
      </c>
      <c r="AI664" s="1212">
        <v>0</v>
      </c>
      <c r="AJ664" s="1212">
        <v>1</v>
      </c>
      <c r="AK664" s="2126">
        <v>430905.58305249421</v>
      </c>
      <c r="AL664" s="2126">
        <v>0</v>
      </c>
      <c r="AM664" s="2126">
        <v>0</v>
      </c>
      <c r="AN664" s="2126">
        <v>430905.58305249421</v>
      </c>
      <c r="AO664" s="1743" t="s">
        <v>85</v>
      </c>
      <c r="AP664" s="1743" t="s">
        <v>1167</v>
      </c>
      <c r="AQ664" s="1764">
        <v>2014</v>
      </c>
      <c r="AR664" s="1743" t="s">
        <v>87</v>
      </c>
      <c r="AS664" s="2135"/>
      <c r="AT664" s="2135"/>
      <c r="AU664" s="1212">
        <v>0.5</v>
      </c>
      <c r="AV664" s="1212">
        <v>0.5</v>
      </c>
      <c r="AW664" s="1212"/>
      <c r="AX664" s="1212"/>
      <c r="AY664" s="1212"/>
      <c r="AZ664" s="1212"/>
      <c r="BA664" s="1212"/>
      <c r="BB664" s="1212"/>
      <c r="BC664" s="1212"/>
      <c r="BD664" s="1212"/>
      <c r="BE664" s="1212"/>
      <c r="BF664" s="2126">
        <v>0</v>
      </c>
      <c r="BG664" s="2126">
        <v>0</v>
      </c>
      <c r="BH664" s="2126">
        <v>215452.79152624711</v>
      </c>
      <c r="BI664" s="2126">
        <v>215452.79152624711</v>
      </c>
      <c r="BJ664" s="2126">
        <v>0</v>
      </c>
      <c r="BK664" s="2126">
        <v>0</v>
      </c>
      <c r="BL664" s="2126">
        <v>0</v>
      </c>
      <c r="BM664" s="2126">
        <v>0</v>
      </c>
      <c r="BN664" s="2126">
        <v>0</v>
      </c>
      <c r="BO664" s="2126">
        <v>0</v>
      </c>
      <c r="BP664" s="2126">
        <v>0</v>
      </c>
      <c r="BQ664" s="2126">
        <v>0</v>
      </c>
      <c r="BR664" s="2126">
        <v>0</v>
      </c>
    </row>
    <row r="665" spans="1:70" s="1765" customFormat="1" ht="33">
      <c r="A665" s="1272">
        <v>4000</v>
      </c>
      <c r="B665" s="971" t="s">
        <v>1316</v>
      </c>
      <c r="C665" s="1272">
        <v>4100</v>
      </c>
      <c r="D665" s="971" t="s">
        <v>120</v>
      </c>
      <c r="E665" s="971">
        <v>4130</v>
      </c>
      <c r="F665" s="971" t="s">
        <v>148</v>
      </c>
      <c r="G665" s="971">
        <v>4138</v>
      </c>
      <c r="H665" s="971" t="s">
        <v>1245</v>
      </c>
      <c r="I665" s="1273"/>
      <c r="J665" s="971" t="s">
        <v>121</v>
      </c>
      <c r="K665" s="971" t="s">
        <v>150</v>
      </c>
      <c r="L665" s="971" t="s">
        <v>2800</v>
      </c>
      <c r="M665" s="971" t="s">
        <v>80</v>
      </c>
      <c r="N665" s="971" t="s">
        <v>83</v>
      </c>
      <c r="O665" s="971" t="s">
        <v>151</v>
      </c>
      <c r="P665" s="971" t="s">
        <v>152</v>
      </c>
      <c r="Q665" s="971" t="s">
        <v>1372</v>
      </c>
      <c r="R665" s="1266"/>
      <c r="S665" s="2106">
        <v>109807</v>
      </c>
      <c r="T665" s="1266" t="s">
        <v>136</v>
      </c>
      <c r="U665" s="1742">
        <v>1.2691883296460175E-2</v>
      </c>
      <c r="V665" s="1742">
        <v>0.14624999999999999</v>
      </c>
      <c r="W665" s="1742">
        <v>1.1186625937499999</v>
      </c>
      <c r="X665" s="1742">
        <v>0.4015178457754629</v>
      </c>
      <c r="Y665" s="2106">
        <v>1.6649423457754629</v>
      </c>
      <c r="Z665" s="2106">
        <v>1393.6576291344024</v>
      </c>
      <c r="AA665" s="2106">
        <v>16059.273749999998</v>
      </c>
      <c r="AB665" s="2106">
        <v>122836.98343190624</v>
      </c>
      <c r="AC665" s="2106">
        <v>44089.470091066258</v>
      </c>
      <c r="AD665" s="1744">
        <v>182985.72727297249</v>
      </c>
      <c r="AE665" s="2126">
        <v>0</v>
      </c>
      <c r="AF665" s="2126">
        <v>0</v>
      </c>
      <c r="AG665" s="1212">
        <v>1</v>
      </c>
      <c r="AH665" s="1212">
        <v>0</v>
      </c>
      <c r="AI665" s="1212">
        <v>0</v>
      </c>
      <c r="AJ665" s="1212">
        <v>1</v>
      </c>
      <c r="AK665" s="2126">
        <v>182985.72727297249</v>
      </c>
      <c r="AL665" s="2126">
        <v>0</v>
      </c>
      <c r="AM665" s="2126">
        <v>0</v>
      </c>
      <c r="AN665" s="2126">
        <v>182985.72727297249</v>
      </c>
      <c r="AO665" s="1743" t="s">
        <v>85</v>
      </c>
      <c r="AP665" s="1743" t="s">
        <v>1167</v>
      </c>
      <c r="AQ665" s="1764">
        <v>2014</v>
      </c>
      <c r="AR665" s="1743" t="s">
        <v>87</v>
      </c>
      <c r="AS665" s="2135"/>
      <c r="AT665" s="2135"/>
      <c r="AU665" s="1212">
        <v>0.5</v>
      </c>
      <c r="AV665" s="1212">
        <v>0.5</v>
      </c>
      <c r="AW665" s="1212"/>
      <c r="AX665" s="1212"/>
      <c r="AY665" s="1212"/>
      <c r="AZ665" s="1212"/>
      <c r="BA665" s="1212"/>
      <c r="BB665" s="1212"/>
      <c r="BC665" s="1212"/>
      <c r="BD665" s="1212"/>
      <c r="BE665" s="1212"/>
      <c r="BF665" s="2126">
        <v>0</v>
      </c>
      <c r="BG665" s="2126">
        <v>0</v>
      </c>
      <c r="BH665" s="2126">
        <v>91492.863636486247</v>
      </c>
      <c r="BI665" s="2126">
        <v>91492.863636486247</v>
      </c>
      <c r="BJ665" s="2126">
        <v>0</v>
      </c>
      <c r="BK665" s="2126">
        <v>0</v>
      </c>
      <c r="BL665" s="2126">
        <v>0</v>
      </c>
      <c r="BM665" s="2126">
        <v>0</v>
      </c>
      <c r="BN665" s="2126">
        <v>0</v>
      </c>
      <c r="BO665" s="2126">
        <v>0</v>
      </c>
      <c r="BP665" s="2126">
        <v>0</v>
      </c>
      <c r="BQ665" s="2126">
        <v>0</v>
      </c>
      <c r="BR665" s="2126">
        <v>0</v>
      </c>
    </row>
    <row r="666" spans="1:70" s="1765" customFormat="1" ht="33">
      <c r="A666" s="1272">
        <v>4000</v>
      </c>
      <c r="B666" s="971" t="s">
        <v>1316</v>
      </c>
      <c r="C666" s="1272">
        <v>4100</v>
      </c>
      <c r="D666" s="971" t="s">
        <v>120</v>
      </c>
      <c r="E666" s="971">
        <v>4130</v>
      </c>
      <c r="F666" s="971" t="s">
        <v>148</v>
      </c>
      <c r="G666" s="971">
        <v>4138</v>
      </c>
      <c r="H666" s="971" t="s">
        <v>1245</v>
      </c>
      <c r="I666" s="1273"/>
      <c r="J666" s="971" t="s">
        <v>121</v>
      </c>
      <c r="K666" s="971" t="s">
        <v>150</v>
      </c>
      <c r="L666" s="971" t="s">
        <v>2800</v>
      </c>
      <c r="M666" s="971" t="s">
        <v>80</v>
      </c>
      <c r="N666" s="971" t="s">
        <v>83</v>
      </c>
      <c r="O666" s="971" t="s">
        <v>151</v>
      </c>
      <c r="P666" s="971" t="s">
        <v>152</v>
      </c>
      <c r="Q666" s="971" t="s">
        <v>1373</v>
      </c>
      <c r="R666" s="1266"/>
      <c r="S666" s="2106">
        <v>66978</v>
      </c>
      <c r="T666" s="1266" t="s">
        <v>136</v>
      </c>
      <c r="U666" s="1742">
        <v>1.2691883296460175E-2</v>
      </c>
      <c r="V666" s="1742">
        <v>0.14624999999999999</v>
      </c>
      <c r="W666" s="1742">
        <v>1.1186625937499999</v>
      </c>
      <c r="X666" s="1742">
        <v>0.4015178457754629</v>
      </c>
      <c r="Y666" s="2106">
        <v>1.6649423457754629</v>
      </c>
      <c r="Z666" s="2106">
        <v>850.07695943030956</v>
      </c>
      <c r="AA666" s="2106">
        <v>9795.5324999999993</v>
      </c>
      <c r="AB666" s="2106">
        <v>74925.783204187494</v>
      </c>
      <c r="AC666" s="2106">
        <v>26892.862274348954</v>
      </c>
      <c r="AD666" s="1744">
        <v>111614.17797853645</v>
      </c>
      <c r="AE666" s="2126">
        <v>0</v>
      </c>
      <c r="AF666" s="2126">
        <v>0</v>
      </c>
      <c r="AG666" s="1212">
        <v>1</v>
      </c>
      <c r="AH666" s="1212">
        <v>0</v>
      </c>
      <c r="AI666" s="1212">
        <v>0</v>
      </c>
      <c r="AJ666" s="1212">
        <v>1</v>
      </c>
      <c r="AK666" s="2126">
        <v>111614.17797853645</v>
      </c>
      <c r="AL666" s="2126">
        <v>0</v>
      </c>
      <c r="AM666" s="2126">
        <v>0</v>
      </c>
      <c r="AN666" s="2126">
        <v>111614.17797853645</v>
      </c>
      <c r="AO666" s="1743" t="s">
        <v>85</v>
      </c>
      <c r="AP666" s="1743"/>
      <c r="AQ666" s="1764">
        <v>2014</v>
      </c>
      <c r="AR666" s="1743" t="s">
        <v>87</v>
      </c>
      <c r="AS666" s="2135"/>
      <c r="AT666" s="2135"/>
      <c r="AU666" s="1212">
        <v>0.5</v>
      </c>
      <c r="AV666" s="1212">
        <v>0.5</v>
      </c>
      <c r="AW666" s="1212"/>
      <c r="AX666" s="1212"/>
      <c r="AY666" s="1212"/>
      <c r="AZ666" s="1212"/>
      <c r="BA666" s="1212"/>
      <c r="BB666" s="1212"/>
      <c r="BC666" s="1212"/>
      <c r="BD666" s="1212"/>
      <c r="BE666" s="1212"/>
      <c r="BF666" s="2126">
        <v>0</v>
      </c>
      <c r="BG666" s="2126">
        <v>0</v>
      </c>
      <c r="BH666" s="2126">
        <v>55807.088989268224</v>
      </c>
      <c r="BI666" s="2126">
        <v>55807.088989268224</v>
      </c>
      <c r="BJ666" s="2126">
        <v>0</v>
      </c>
      <c r="BK666" s="2126">
        <v>0</v>
      </c>
      <c r="BL666" s="2126">
        <v>0</v>
      </c>
      <c r="BM666" s="2126">
        <v>0</v>
      </c>
      <c r="BN666" s="2126">
        <v>0</v>
      </c>
      <c r="BO666" s="2126">
        <v>0</v>
      </c>
      <c r="BP666" s="2126">
        <v>0</v>
      </c>
      <c r="BQ666" s="2126">
        <v>0</v>
      </c>
      <c r="BR666" s="2126">
        <v>0</v>
      </c>
    </row>
    <row r="667" spans="1:70" s="1765" customFormat="1" ht="33">
      <c r="A667" s="1272">
        <v>4000</v>
      </c>
      <c r="B667" s="971" t="s">
        <v>1316</v>
      </c>
      <c r="C667" s="1272">
        <v>4100</v>
      </c>
      <c r="D667" s="971" t="s">
        <v>120</v>
      </c>
      <c r="E667" s="971">
        <v>4130</v>
      </c>
      <c r="F667" s="971" t="s">
        <v>148</v>
      </c>
      <c r="G667" s="971">
        <v>4138</v>
      </c>
      <c r="H667" s="971" t="s">
        <v>1245</v>
      </c>
      <c r="I667" s="1273"/>
      <c r="J667" s="971" t="s">
        <v>121</v>
      </c>
      <c r="K667" s="971" t="s">
        <v>150</v>
      </c>
      <c r="L667" s="971" t="s">
        <v>2800</v>
      </c>
      <c r="M667" s="971" t="s">
        <v>80</v>
      </c>
      <c r="N667" s="971" t="s">
        <v>83</v>
      </c>
      <c r="O667" s="971" t="s">
        <v>151</v>
      </c>
      <c r="P667" s="971" t="s">
        <v>152</v>
      </c>
      <c r="Q667" s="971" t="s">
        <v>1374</v>
      </c>
      <c r="R667" s="1266"/>
      <c r="S667" s="2106">
        <v>6000</v>
      </c>
      <c r="T667" s="1266" t="s">
        <v>136</v>
      </c>
      <c r="U667" s="1742">
        <v>1.2691883296460175E-2</v>
      </c>
      <c r="V667" s="1742">
        <v>0.14624999999999999</v>
      </c>
      <c r="W667" s="1742">
        <v>1.1186625937499999</v>
      </c>
      <c r="X667" s="1742">
        <v>0.4015178457754629</v>
      </c>
      <c r="Y667" s="2106">
        <v>1.6649423457754629</v>
      </c>
      <c r="Z667" s="2106">
        <v>76.151299778761057</v>
      </c>
      <c r="AA667" s="2106">
        <v>877.5</v>
      </c>
      <c r="AB667" s="2106">
        <v>6711.9755624999989</v>
      </c>
      <c r="AC667" s="2106">
        <v>2409.1070746527776</v>
      </c>
      <c r="AD667" s="1744">
        <v>9998.5826371527764</v>
      </c>
      <c r="AE667" s="2126">
        <v>0</v>
      </c>
      <c r="AF667" s="2126">
        <v>0</v>
      </c>
      <c r="AG667" s="1212">
        <v>1</v>
      </c>
      <c r="AH667" s="1212">
        <v>0</v>
      </c>
      <c r="AI667" s="1212">
        <v>0</v>
      </c>
      <c r="AJ667" s="1212">
        <v>1</v>
      </c>
      <c r="AK667" s="2126">
        <v>9998.5826371527764</v>
      </c>
      <c r="AL667" s="2126">
        <v>0</v>
      </c>
      <c r="AM667" s="2126">
        <v>0</v>
      </c>
      <c r="AN667" s="2126">
        <v>9998.5826371527764</v>
      </c>
      <c r="AO667" s="1743" t="s">
        <v>85</v>
      </c>
      <c r="AP667" s="1743" t="s">
        <v>90</v>
      </c>
      <c r="AQ667" s="1764">
        <v>2017</v>
      </c>
      <c r="AR667" s="1743" t="s">
        <v>87</v>
      </c>
      <c r="AS667" s="2135"/>
      <c r="AT667" s="2135"/>
      <c r="AU667" s="1212">
        <v>0.5</v>
      </c>
      <c r="AV667" s="1212">
        <v>0.5</v>
      </c>
      <c r="AW667" s="1212"/>
      <c r="AX667" s="1212"/>
      <c r="AY667" s="1212"/>
      <c r="AZ667" s="1212"/>
      <c r="BA667" s="1212"/>
      <c r="BB667" s="1212"/>
      <c r="BC667" s="1212"/>
      <c r="BD667" s="1212"/>
      <c r="BE667" s="1212"/>
      <c r="BF667" s="2126">
        <v>0</v>
      </c>
      <c r="BG667" s="2126">
        <v>0</v>
      </c>
      <c r="BH667" s="2126">
        <v>4999.2913185763882</v>
      </c>
      <c r="BI667" s="2126">
        <v>4999.2913185763882</v>
      </c>
      <c r="BJ667" s="2126">
        <v>0</v>
      </c>
      <c r="BK667" s="2126">
        <v>0</v>
      </c>
      <c r="BL667" s="2126">
        <v>0</v>
      </c>
      <c r="BM667" s="2126">
        <v>0</v>
      </c>
      <c r="BN667" s="2126">
        <v>0</v>
      </c>
      <c r="BO667" s="2126">
        <v>0</v>
      </c>
      <c r="BP667" s="2126">
        <v>0</v>
      </c>
      <c r="BQ667" s="2126">
        <v>0</v>
      </c>
      <c r="BR667" s="2126">
        <v>0</v>
      </c>
    </row>
    <row r="668" spans="1:70" s="1765" customFormat="1" ht="33">
      <c r="A668" s="1272">
        <v>4000</v>
      </c>
      <c r="B668" s="971" t="s">
        <v>1316</v>
      </c>
      <c r="C668" s="1272">
        <v>4100</v>
      </c>
      <c r="D668" s="971" t="s">
        <v>120</v>
      </c>
      <c r="E668" s="971">
        <v>4130</v>
      </c>
      <c r="F668" s="971" t="s">
        <v>148</v>
      </c>
      <c r="G668" s="971">
        <v>4138</v>
      </c>
      <c r="H668" s="971" t="s">
        <v>1245</v>
      </c>
      <c r="I668" s="1273"/>
      <c r="J668" s="971" t="s">
        <v>121</v>
      </c>
      <c r="K668" s="971" t="s">
        <v>150</v>
      </c>
      <c r="L668" s="971" t="s">
        <v>2800</v>
      </c>
      <c r="M668" s="971" t="s">
        <v>80</v>
      </c>
      <c r="N668" s="971" t="s">
        <v>83</v>
      </c>
      <c r="O668" s="971" t="s">
        <v>151</v>
      </c>
      <c r="P668" s="971" t="s">
        <v>152</v>
      </c>
      <c r="Q668" s="971" t="s">
        <v>1326</v>
      </c>
      <c r="R668" s="1266"/>
      <c r="S668" s="2106">
        <v>45000</v>
      </c>
      <c r="T668" s="1266" t="s">
        <v>136</v>
      </c>
      <c r="U668" s="1742">
        <v>1.2691883296460175E-2</v>
      </c>
      <c r="V668" s="1742">
        <v>0.14624999999999999</v>
      </c>
      <c r="W668" s="1742">
        <v>1.1186625937499999</v>
      </c>
      <c r="X668" s="1742">
        <v>0.4015178457754629</v>
      </c>
      <c r="Y668" s="2106">
        <v>1.6649423457754629</v>
      </c>
      <c r="Z668" s="2106">
        <v>571.13474834070792</v>
      </c>
      <c r="AA668" s="2106">
        <v>6581.25</v>
      </c>
      <c r="AB668" s="2106">
        <v>50339.816718749993</v>
      </c>
      <c r="AC668" s="2106">
        <v>18068.303059895832</v>
      </c>
      <c r="AD668" s="1744">
        <v>74989.369778645821</v>
      </c>
      <c r="AE668" s="2126">
        <v>0</v>
      </c>
      <c r="AF668" s="2126">
        <v>0</v>
      </c>
      <c r="AG668" s="1212">
        <v>1</v>
      </c>
      <c r="AH668" s="1212">
        <v>0</v>
      </c>
      <c r="AI668" s="1212">
        <v>0</v>
      </c>
      <c r="AJ668" s="1212">
        <v>1</v>
      </c>
      <c r="AK668" s="2126">
        <v>74989.369778645821</v>
      </c>
      <c r="AL668" s="2126">
        <v>0</v>
      </c>
      <c r="AM668" s="2126">
        <v>0</v>
      </c>
      <c r="AN668" s="2126">
        <v>74989.369778645821</v>
      </c>
      <c r="AO668" s="1743" t="s">
        <v>85</v>
      </c>
      <c r="AP668" s="1743" t="s">
        <v>90</v>
      </c>
      <c r="AQ668" s="1764" t="s">
        <v>112</v>
      </c>
      <c r="AR668" s="1743" t="s">
        <v>87</v>
      </c>
      <c r="AS668" s="2135"/>
      <c r="AT668" s="2135"/>
      <c r="AU668" s="1212">
        <v>0.5</v>
      </c>
      <c r="AV668" s="1212">
        <v>0.5</v>
      </c>
      <c r="AW668" s="1212"/>
      <c r="AX668" s="1212"/>
      <c r="AY668" s="1212"/>
      <c r="AZ668" s="1212"/>
      <c r="BA668" s="1212"/>
      <c r="BB668" s="1212"/>
      <c r="BC668" s="1212"/>
      <c r="BD668" s="1212"/>
      <c r="BE668" s="1212"/>
      <c r="BF668" s="2126">
        <v>0</v>
      </c>
      <c r="BG668" s="2126">
        <v>0</v>
      </c>
      <c r="BH668" s="2126">
        <v>37494.684889322911</v>
      </c>
      <c r="BI668" s="2126">
        <v>37494.684889322911</v>
      </c>
      <c r="BJ668" s="2126">
        <v>0</v>
      </c>
      <c r="BK668" s="2126">
        <v>0</v>
      </c>
      <c r="BL668" s="2126">
        <v>0</v>
      </c>
      <c r="BM668" s="2126">
        <v>0</v>
      </c>
      <c r="BN668" s="2126">
        <v>0</v>
      </c>
      <c r="BO668" s="2126">
        <v>0</v>
      </c>
      <c r="BP668" s="2126">
        <v>0</v>
      </c>
      <c r="BQ668" s="2126">
        <v>0</v>
      </c>
      <c r="BR668" s="2126">
        <v>0</v>
      </c>
    </row>
    <row r="669" spans="1:70" s="1765" customFormat="1" ht="33">
      <c r="A669" s="1272">
        <v>4000</v>
      </c>
      <c r="B669" s="971" t="s">
        <v>1316</v>
      </c>
      <c r="C669" s="1272">
        <v>4100</v>
      </c>
      <c r="D669" s="971" t="s">
        <v>120</v>
      </c>
      <c r="E669" s="971">
        <v>4130</v>
      </c>
      <c r="F669" s="971" t="s">
        <v>148</v>
      </c>
      <c r="G669" s="971">
        <v>4138</v>
      </c>
      <c r="H669" s="971" t="s">
        <v>1245</v>
      </c>
      <c r="I669" s="1273"/>
      <c r="J669" s="971" t="s">
        <v>121</v>
      </c>
      <c r="K669" s="971" t="s">
        <v>150</v>
      </c>
      <c r="L669" s="971" t="s">
        <v>2800</v>
      </c>
      <c r="M669" s="971" t="s">
        <v>80</v>
      </c>
      <c r="N669" s="971" t="s">
        <v>83</v>
      </c>
      <c r="O669" s="971" t="s">
        <v>151</v>
      </c>
      <c r="P669" s="971" t="s">
        <v>152</v>
      </c>
      <c r="Q669" s="971" t="s">
        <v>1375</v>
      </c>
      <c r="R669" s="1266"/>
      <c r="S669" s="2106">
        <v>50000</v>
      </c>
      <c r="T669" s="1266" t="s">
        <v>136</v>
      </c>
      <c r="U669" s="1742">
        <v>1.2691883296460175E-2</v>
      </c>
      <c r="V669" s="1742">
        <v>0.14624999999999999</v>
      </c>
      <c r="W669" s="1742">
        <v>1.1186625937499999</v>
      </c>
      <c r="X669" s="1742">
        <v>0.4015178457754629</v>
      </c>
      <c r="Y669" s="2106">
        <v>1.6649423457754629</v>
      </c>
      <c r="Z669" s="2106">
        <v>634.59416482300878</v>
      </c>
      <c r="AA669" s="2106">
        <v>7312.5</v>
      </c>
      <c r="AB669" s="2106">
        <v>55933.129687499997</v>
      </c>
      <c r="AC669" s="2106">
        <v>20075.892288773146</v>
      </c>
      <c r="AD669" s="1744">
        <v>83321.521976273143</v>
      </c>
      <c r="AE669" s="2126">
        <v>0</v>
      </c>
      <c r="AF669" s="2126">
        <v>0</v>
      </c>
      <c r="AG669" s="1212">
        <v>1</v>
      </c>
      <c r="AH669" s="1212">
        <v>0</v>
      </c>
      <c r="AI669" s="1212">
        <v>0</v>
      </c>
      <c r="AJ669" s="1212">
        <v>1</v>
      </c>
      <c r="AK669" s="2126">
        <v>83321.521976273143</v>
      </c>
      <c r="AL669" s="2126">
        <v>0</v>
      </c>
      <c r="AM669" s="2126">
        <v>0</v>
      </c>
      <c r="AN669" s="2126">
        <v>83321.521976273143</v>
      </c>
      <c r="AO669" s="1743" t="s">
        <v>85</v>
      </c>
      <c r="AP669" s="1743" t="s">
        <v>90</v>
      </c>
      <c r="AQ669" s="1764" t="s">
        <v>112</v>
      </c>
      <c r="AR669" s="1743" t="s">
        <v>87</v>
      </c>
      <c r="AS669" s="2135"/>
      <c r="AT669" s="2135"/>
      <c r="AU669" s="1212">
        <v>0.5</v>
      </c>
      <c r="AV669" s="1212">
        <v>0.5</v>
      </c>
      <c r="AW669" s="1212"/>
      <c r="AX669" s="1212"/>
      <c r="AY669" s="1212"/>
      <c r="AZ669" s="1212"/>
      <c r="BA669" s="1212"/>
      <c r="BB669" s="1212"/>
      <c r="BC669" s="1212"/>
      <c r="BD669" s="1212"/>
      <c r="BE669" s="1212"/>
      <c r="BF669" s="2126">
        <v>0</v>
      </c>
      <c r="BG669" s="2126">
        <v>0</v>
      </c>
      <c r="BH669" s="2126">
        <v>41660.760988136572</v>
      </c>
      <c r="BI669" s="2126">
        <v>41660.760988136572</v>
      </c>
      <c r="BJ669" s="2126">
        <v>0</v>
      </c>
      <c r="BK669" s="2126">
        <v>0</v>
      </c>
      <c r="BL669" s="2126">
        <v>0</v>
      </c>
      <c r="BM669" s="2126">
        <v>0</v>
      </c>
      <c r="BN669" s="2126">
        <v>0</v>
      </c>
      <c r="BO669" s="2126">
        <v>0</v>
      </c>
      <c r="BP669" s="2126">
        <v>0</v>
      </c>
      <c r="BQ669" s="2126">
        <v>0</v>
      </c>
      <c r="BR669" s="2126">
        <v>0</v>
      </c>
    </row>
    <row r="670" spans="1:70" s="1765" customFormat="1" ht="33">
      <c r="A670" s="1272">
        <v>4000</v>
      </c>
      <c r="B670" s="971" t="s">
        <v>1316</v>
      </c>
      <c r="C670" s="1272">
        <v>4100</v>
      </c>
      <c r="D670" s="971" t="s">
        <v>120</v>
      </c>
      <c r="E670" s="971">
        <v>4130</v>
      </c>
      <c r="F670" s="971" t="s">
        <v>148</v>
      </c>
      <c r="G670" s="971">
        <v>4138</v>
      </c>
      <c r="H670" s="971" t="s">
        <v>1245</v>
      </c>
      <c r="I670" s="1273"/>
      <c r="J670" s="971" t="s">
        <v>121</v>
      </c>
      <c r="K670" s="971" t="s">
        <v>150</v>
      </c>
      <c r="L670" s="971" t="s">
        <v>2800</v>
      </c>
      <c r="M670" s="971" t="s">
        <v>80</v>
      </c>
      <c r="N670" s="971" t="s">
        <v>83</v>
      </c>
      <c r="O670" s="971" t="s">
        <v>151</v>
      </c>
      <c r="P670" s="971" t="s">
        <v>152</v>
      </c>
      <c r="Q670" s="971" t="s">
        <v>1376</v>
      </c>
      <c r="R670" s="1266"/>
      <c r="S670" s="2106">
        <v>-6000</v>
      </c>
      <c r="T670" s="1266" t="s">
        <v>136</v>
      </c>
      <c r="U670" s="1742">
        <v>1.2691883296460175E-2</v>
      </c>
      <c r="V670" s="1742">
        <v>0.14624999999999999</v>
      </c>
      <c r="W670" s="1742">
        <v>1.1186625937499999</v>
      </c>
      <c r="X670" s="1742">
        <v>0.4015178457754629</v>
      </c>
      <c r="Y670" s="2106">
        <v>1.6649423457754629</v>
      </c>
      <c r="Z670" s="2106">
        <v>-76.151299778761057</v>
      </c>
      <c r="AA670" s="2106">
        <v>-877.5</v>
      </c>
      <c r="AB670" s="2106">
        <v>-6711.9755624999989</v>
      </c>
      <c r="AC670" s="2106">
        <v>-2409.1070746527776</v>
      </c>
      <c r="AD670" s="1744">
        <v>-9998.5826371527764</v>
      </c>
      <c r="AE670" s="2126">
        <v>0</v>
      </c>
      <c r="AF670" s="2126">
        <v>0</v>
      </c>
      <c r="AG670" s="1212">
        <v>1</v>
      </c>
      <c r="AH670" s="1212">
        <v>0</v>
      </c>
      <c r="AI670" s="1212">
        <v>0</v>
      </c>
      <c r="AJ670" s="1212">
        <v>1</v>
      </c>
      <c r="AK670" s="2126">
        <v>-9998.5826371527764</v>
      </c>
      <c r="AL670" s="2126">
        <v>0</v>
      </c>
      <c r="AM670" s="2126">
        <v>0</v>
      </c>
      <c r="AN670" s="2126">
        <v>-9998.5826371527764</v>
      </c>
      <c r="AO670" s="1743" t="s">
        <v>85</v>
      </c>
      <c r="AP670" s="1743" t="s">
        <v>90</v>
      </c>
      <c r="AQ670" s="1764" t="s">
        <v>202</v>
      </c>
      <c r="AR670" s="1743" t="s">
        <v>87</v>
      </c>
      <c r="AS670" s="2135"/>
      <c r="AT670" s="2135"/>
      <c r="AU670" s="1212">
        <v>0.5</v>
      </c>
      <c r="AV670" s="1212">
        <v>0.5</v>
      </c>
      <c r="AW670" s="1212"/>
      <c r="AX670" s="1212"/>
      <c r="AY670" s="1212"/>
      <c r="AZ670" s="1212"/>
      <c r="BA670" s="1212"/>
      <c r="BB670" s="1212"/>
      <c r="BC670" s="1212"/>
      <c r="BD670" s="1212"/>
      <c r="BE670" s="1212"/>
      <c r="BF670" s="2126">
        <v>0</v>
      </c>
      <c r="BG670" s="2126">
        <v>0</v>
      </c>
      <c r="BH670" s="2126">
        <v>-4999.2913185763882</v>
      </c>
      <c r="BI670" s="2126">
        <v>-4999.2913185763882</v>
      </c>
      <c r="BJ670" s="2126">
        <v>0</v>
      </c>
      <c r="BK670" s="2126">
        <v>0</v>
      </c>
      <c r="BL670" s="2126">
        <v>0</v>
      </c>
      <c r="BM670" s="2126">
        <v>0</v>
      </c>
      <c r="BN670" s="2126">
        <v>0</v>
      </c>
      <c r="BO670" s="2126">
        <v>0</v>
      </c>
      <c r="BP670" s="2126">
        <v>0</v>
      </c>
      <c r="BQ670" s="2126">
        <v>0</v>
      </c>
      <c r="BR670" s="2126">
        <v>0</v>
      </c>
    </row>
    <row r="671" spans="1:70" s="1765" customFormat="1" ht="33">
      <c r="A671" s="1272">
        <v>4000</v>
      </c>
      <c r="B671" s="971" t="s">
        <v>1316</v>
      </c>
      <c r="C671" s="1272">
        <v>4100</v>
      </c>
      <c r="D671" s="971" t="s">
        <v>120</v>
      </c>
      <c r="E671" s="971">
        <v>4130</v>
      </c>
      <c r="F671" s="971" t="s">
        <v>148</v>
      </c>
      <c r="G671" s="971">
        <v>4138</v>
      </c>
      <c r="H671" s="971" t="s">
        <v>1245</v>
      </c>
      <c r="I671" s="1273"/>
      <c r="J671" s="971" t="s">
        <v>121</v>
      </c>
      <c r="K671" s="971" t="s">
        <v>150</v>
      </c>
      <c r="L671" s="971" t="s">
        <v>2800</v>
      </c>
      <c r="M671" s="971" t="s">
        <v>80</v>
      </c>
      <c r="N671" s="971" t="s">
        <v>83</v>
      </c>
      <c r="O671" s="971" t="s">
        <v>151</v>
      </c>
      <c r="P671" s="971" t="s">
        <v>152</v>
      </c>
      <c r="Q671" s="971" t="s">
        <v>1376</v>
      </c>
      <c r="R671" s="1266"/>
      <c r="S671" s="2106">
        <v>-50000</v>
      </c>
      <c r="T671" s="1266" t="s">
        <v>136</v>
      </c>
      <c r="U671" s="1742">
        <v>1.2691883296460175E-2</v>
      </c>
      <c r="V671" s="1742">
        <v>0.14624999999999999</v>
      </c>
      <c r="W671" s="1742">
        <v>1.1186625937499999</v>
      </c>
      <c r="X671" s="1742">
        <v>0.4015178457754629</v>
      </c>
      <c r="Y671" s="2106">
        <v>1.6649423457754629</v>
      </c>
      <c r="Z671" s="2106">
        <v>-634.59416482300878</v>
      </c>
      <c r="AA671" s="2106">
        <v>-7312.5</v>
      </c>
      <c r="AB671" s="2106">
        <v>-55933.129687499997</v>
      </c>
      <c r="AC671" s="2106">
        <v>-20075.892288773146</v>
      </c>
      <c r="AD671" s="1744">
        <v>-83321.521976273143</v>
      </c>
      <c r="AE671" s="2126">
        <v>0</v>
      </c>
      <c r="AF671" s="2126">
        <v>0</v>
      </c>
      <c r="AG671" s="1212">
        <v>1</v>
      </c>
      <c r="AH671" s="1212">
        <v>0</v>
      </c>
      <c r="AI671" s="1212">
        <v>0</v>
      </c>
      <c r="AJ671" s="1212">
        <v>1</v>
      </c>
      <c r="AK671" s="2126">
        <v>-83321.521976273143</v>
      </c>
      <c r="AL671" s="2126">
        <v>0</v>
      </c>
      <c r="AM671" s="2126">
        <v>0</v>
      </c>
      <c r="AN671" s="2126">
        <v>-83321.521976273143</v>
      </c>
      <c r="AO671" s="1743" t="s">
        <v>85</v>
      </c>
      <c r="AP671" s="1743" t="s">
        <v>90</v>
      </c>
      <c r="AQ671" s="1764" t="s">
        <v>202</v>
      </c>
      <c r="AR671" s="1743" t="s">
        <v>87</v>
      </c>
      <c r="AS671" s="2135"/>
      <c r="AT671" s="2135"/>
      <c r="AU671" s="1212">
        <v>0.5</v>
      </c>
      <c r="AV671" s="1212">
        <v>0.5</v>
      </c>
      <c r="AW671" s="1212"/>
      <c r="AX671" s="1212"/>
      <c r="AY671" s="1212"/>
      <c r="AZ671" s="1212"/>
      <c r="BA671" s="1212"/>
      <c r="BB671" s="1212"/>
      <c r="BC671" s="1212"/>
      <c r="BD671" s="1212"/>
      <c r="BE671" s="1212"/>
      <c r="BF671" s="2126">
        <v>0</v>
      </c>
      <c r="BG671" s="2126">
        <v>0</v>
      </c>
      <c r="BH671" s="2126">
        <v>-41660.760988136572</v>
      </c>
      <c r="BI671" s="2126">
        <v>-41660.760988136572</v>
      </c>
      <c r="BJ671" s="2126">
        <v>0</v>
      </c>
      <c r="BK671" s="2126">
        <v>0</v>
      </c>
      <c r="BL671" s="2126">
        <v>0</v>
      </c>
      <c r="BM671" s="2126">
        <v>0</v>
      </c>
      <c r="BN671" s="2126">
        <v>0</v>
      </c>
      <c r="BO671" s="2126">
        <v>0</v>
      </c>
      <c r="BP671" s="2126">
        <v>0</v>
      </c>
      <c r="BQ671" s="2126">
        <v>0</v>
      </c>
      <c r="BR671" s="2126">
        <v>0</v>
      </c>
    </row>
    <row r="672" spans="1:70" s="1765" customFormat="1" ht="33">
      <c r="A672" s="1272">
        <v>4000</v>
      </c>
      <c r="B672" s="971" t="s">
        <v>1316</v>
      </c>
      <c r="C672" s="1272">
        <v>4100</v>
      </c>
      <c r="D672" s="971" t="s">
        <v>120</v>
      </c>
      <c r="E672" s="971">
        <v>4130</v>
      </c>
      <c r="F672" s="971" t="s">
        <v>148</v>
      </c>
      <c r="G672" s="971">
        <v>4131</v>
      </c>
      <c r="H672" s="971" t="s">
        <v>1245</v>
      </c>
      <c r="I672" s="1273"/>
      <c r="J672" s="971"/>
      <c r="K672" s="971" t="s">
        <v>150</v>
      </c>
      <c r="L672" s="971" t="s">
        <v>2800</v>
      </c>
      <c r="M672" s="971" t="s">
        <v>80</v>
      </c>
      <c r="N672" s="971" t="s">
        <v>83</v>
      </c>
      <c r="O672" s="971" t="s">
        <v>151</v>
      </c>
      <c r="P672" s="971" t="s">
        <v>152</v>
      </c>
      <c r="Q672" s="971" t="s">
        <v>1377</v>
      </c>
      <c r="R672" s="1266"/>
      <c r="S672" s="2106"/>
      <c r="T672" s="1266" t="s">
        <v>136</v>
      </c>
      <c r="U672" s="1742">
        <v>1.2691883296460175E-2</v>
      </c>
      <c r="V672" s="1742">
        <v>0.14624999999999999</v>
      </c>
      <c r="W672" s="1742">
        <v>1.1186625937499999</v>
      </c>
      <c r="X672" s="1742">
        <v>0.4015178457754629</v>
      </c>
      <c r="Y672" s="2106">
        <v>1.6649423457754629</v>
      </c>
      <c r="Z672" s="2106">
        <v>0</v>
      </c>
      <c r="AA672" s="2106">
        <v>0</v>
      </c>
      <c r="AB672" s="2106">
        <v>0</v>
      </c>
      <c r="AC672" s="2106">
        <v>0</v>
      </c>
      <c r="AD672" s="1744">
        <v>0</v>
      </c>
      <c r="AE672" s="2126">
        <v>0</v>
      </c>
      <c r="AF672" s="2126">
        <v>0</v>
      </c>
      <c r="AG672" s="1212">
        <v>1</v>
      </c>
      <c r="AH672" s="1212">
        <v>0</v>
      </c>
      <c r="AI672" s="1212">
        <v>0</v>
      </c>
      <c r="AJ672" s="1212">
        <v>1</v>
      </c>
      <c r="AK672" s="2126">
        <v>0</v>
      </c>
      <c r="AL672" s="2126">
        <v>0</v>
      </c>
      <c r="AM672" s="2126">
        <v>0</v>
      </c>
      <c r="AN672" s="2126">
        <v>0</v>
      </c>
      <c r="AO672" s="1743" t="s">
        <v>85</v>
      </c>
      <c r="AP672" s="1743"/>
      <c r="AQ672" s="1764">
        <v>2014</v>
      </c>
      <c r="AR672" s="1743" t="s">
        <v>87</v>
      </c>
      <c r="AS672" s="2135"/>
      <c r="AT672" s="2135"/>
      <c r="AU672" s="1212">
        <v>0.33333333333333331</v>
      </c>
      <c r="AV672" s="1212">
        <v>0.33333333333333331</v>
      </c>
      <c r="AW672" s="1212">
        <v>0.33333333333333331</v>
      </c>
      <c r="AX672" s="1212"/>
      <c r="AY672" s="1212"/>
      <c r="AZ672" s="1212"/>
      <c r="BA672" s="1212"/>
      <c r="BB672" s="1212"/>
      <c r="BC672" s="1212"/>
      <c r="BD672" s="1212"/>
      <c r="BE672" s="1212"/>
      <c r="BF672" s="2126">
        <v>0</v>
      </c>
      <c r="BG672" s="2126">
        <v>0</v>
      </c>
      <c r="BH672" s="2126">
        <v>0</v>
      </c>
      <c r="BI672" s="2126">
        <v>0</v>
      </c>
      <c r="BJ672" s="2126">
        <v>0</v>
      </c>
      <c r="BK672" s="2126">
        <v>0</v>
      </c>
      <c r="BL672" s="2126">
        <v>0</v>
      </c>
      <c r="BM672" s="2126">
        <v>0</v>
      </c>
      <c r="BN672" s="2126">
        <v>0</v>
      </c>
      <c r="BO672" s="2126">
        <v>0</v>
      </c>
      <c r="BP672" s="2126">
        <v>0</v>
      </c>
      <c r="BQ672" s="2126">
        <v>0</v>
      </c>
      <c r="BR672" s="2126">
        <v>0</v>
      </c>
    </row>
    <row r="673" spans="1:70" s="1765" customFormat="1" ht="33">
      <c r="A673" s="1272">
        <v>4000</v>
      </c>
      <c r="B673" s="971" t="s">
        <v>1316</v>
      </c>
      <c r="C673" s="1272">
        <v>4100</v>
      </c>
      <c r="D673" s="971" t="s">
        <v>120</v>
      </c>
      <c r="E673" s="971">
        <v>4130</v>
      </c>
      <c r="F673" s="971" t="s">
        <v>148</v>
      </c>
      <c r="G673" s="971">
        <v>4139</v>
      </c>
      <c r="H673" s="971" t="s">
        <v>172</v>
      </c>
      <c r="I673" s="1273"/>
      <c r="J673" s="971" t="s">
        <v>121</v>
      </c>
      <c r="K673" s="971" t="s">
        <v>150</v>
      </c>
      <c r="L673" s="971" t="s">
        <v>2800</v>
      </c>
      <c r="M673" s="971" t="s">
        <v>80</v>
      </c>
      <c r="N673" s="971" t="s">
        <v>83</v>
      </c>
      <c r="O673" s="971" t="s">
        <v>151</v>
      </c>
      <c r="P673" s="971" t="s">
        <v>152</v>
      </c>
      <c r="Q673" s="971" t="s">
        <v>172</v>
      </c>
      <c r="R673" s="1266"/>
      <c r="S673" s="2106">
        <v>80899</v>
      </c>
      <c r="T673" s="1266" t="s">
        <v>136</v>
      </c>
      <c r="U673" s="1742">
        <v>1.2691883296460175E-2</v>
      </c>
      <c r="V673" s="1742">
        <v>0.14624999999999999</v>
      </c>
      <c r="W673" s="1742">
        <v>1.1186625937499999</v>
      </c>
      <c r="X673" s="1742">
        <v>0.4015178457754629</v>
      </c>
      <c r="Y673" s="2106">
        <v>1.6649423457754629</v>
      </c>
      <c r="Z673" s="2106">
        <v>1026.7606668003318</v>
      </c>
      <c r="AA673" s="2106">
        <v>11831.478749999998</v>
      </c>
      <c r="AB673" s="2106">
        <v>90498.685171781239</v>
      </c>
      <c r="AC673" s="2106">
        <v>32482.392205389173</v>
      </c>
      <c r="AD673" s="1744">
        <v>134812.55612717039</v>
      </c>
      <c r="AE673" s="2126">
        <v>0</v>
      </c>
      <c r="AF673" s="2126">
        <v>0</v>
      </c>
      <c r="AG673" s="1212">
        <v>1</v>
      </c>
      <c r="AH673" s="1212">
        <v>0</v>
      </c>
      <c r="AI673" s="1212">
        <v>0</v>
      </c>
      <c r="AJ673" s="1212">
        <v>1</v>
      </c>
      <c r="AK673" s="2126">
        <v>134812.55612717039</v>
      </c>
      <c r="AL673" s="2126">
        <v>0</v>
      </c>
      <c r="AM673" s="2126">
        <v>0</v>
      </c>
      <c r="AN673" s="2126">
        <v>134812.55612717039</v>
      </c>
      <c r="AO673" s="1743" t="s">
        <v>85</v>
      </c>
      <c r="AP673" s="1743"/>
      <c r="AQ673" s="1764">
        <v>2014</v>
      </c>
      <c r="AR673" s="1743" t="s">
        <v>87</v>
      </c>
      <c r="AS673" s="2135"/>
      <c r="AT673" s="2135"/>
      <c r="AU673" s="1212">
        <v>0.33333333333333331</v>
      </c>
      <c r="AV673" s="1212">
        <v>0.33333333333333331</v>
      </c>
      <c r="AW673" s="1212">
        <v>0.33333333333333331</v>
      </c>
      <c r="AX673" s="1212"/>
      <c r="AY673" s="1212"/>
      <c r="AZ673" s="1212"/>
      <c r="BA673" s="1212"/>
      <c r="BB673" s="1212"/>
      <c r="BC673" s="1212"/>
      <c r="BD673" s="1212"/>
      <c r="BE673" s="1212"/>
      <c r="BF673" s="2126">
        <v>0</v>
      </c>
      <c r="BG673" s="2126">
        <v>0</v>
      </c>
      <c r="BH673" s="2126">
        <v>44937.518709056792</v>
      </c>
      <c r="BI673" s="2126">
        <v>44937.518709056792</v>
      </c>
      <c r="BJ673" s="2126">
        <v>44937.518709056792</v>
      </c>
      <c r="BK673" s="2126">
        <v>0</v>
      </c>
      <c r="BL673" s="2126">
        <v>0</v>
      </c>
      <c r="BM673" s="2126">
        <v>0</v>
      </c>
      <c r="BN673" s="2126">
        <v>0</v>
      </c>
      <c r="BO673" s="2126">
        <v>0</v>
      </c>
      <c r="BP673" s="2126">
        <v>0</v>
      </c>
      <c r="BQ673" s="2126">
        <v>0</v>
      </c>
      <c r="BR673" s="2126">
        <v>0</v>
      </c>
    </row>
    <row r="674" spans="1:70" s="1765" customFormat="1" ht="33">
      <c r="A674" s="1272">
        <v>4000</v>
      </c>
      <c r="B674" s="971" t="s">
        <v>1316</v>
      </c>
      <c r="C674" s="1272">
        <v>4100</v>
      </c>
      <c r="D674" s="971" t="s">
        <v>120</v>
      </c>
      <c r="E674" s="971">
        <v>4130</v>
      </c>
      <c r="F674" s="971" t="s">
        <v>148</v>
      </c>
      <c r="G674" s="971">
        <v>4139</v>
      </c>
      <c r="H674" s="971" t="s">
        <v>172</v>
      </c>
      <c r="I674" s="1273"/>
      <c r="J674" s="971" t="s">
        <v>121</v>
      </c>
      <c r="K674" s="971" t="s">
        <v>150</v>
      </c>
      <c r="L674" s="971" t="s">
        <v>2800</v>
      </c>
      <c r="M674" s="971" t="s">
        <v>80</v>
      </c>
      <c r="N674" s="971" t="s">
        <v>83</v>
      </c>
      <c r="O674" s="971" t="s">
        <v>151</v>
      </c>
      <c r="P674" s="971" t="s">
        <v>152</v>
      </c>
      <c r="Q674" s="971" t="s">
        <v>1378</v>
      </c>
      <c r="R674" s="1266"/>
      <c r="S674" s="2106">
        <v>20000</v>
      </c>
      <c r="T674" s="1266" t="s">
        <v>136</v>
      </c>
      <c r="U674" s="1742">
        <v>1.2691883296460175E-2</v>
      </c>
      <c r="V674" s="1742">
        <v>0.14624999999999999</v>
      </c>
      <c r="W674" s="1742">
        <v>1.1186625937499999</v>
      </c>
      <c r="X674" s="1742">
        <v>0.4015178457754629</v>
      </c>
      <c r="Y674" s="2106">
        <v>1.6649423457754629</v>
      </c>
      <c r="Z674" s="2106">
        <v>253.8376659292035</v>
      </c>
      <c r="AA674" s="2106">
        <v>2925</v>
      </c>
      <c r="AB674" s="2106">
        <v>22373.251874999998</v>
      </c>
      <c r="AC674" s="2106">
        <v>8030.3569155092582</v>
      </c>
      <c r="AD674" s="1744">
        <v>33328.608790509257</v>
      </c>
      <c r="AE674" s="2126">
        <v>0</v>
      </c>
      <c r="AF674" s="2126">
        <v>0</v>
      </c>
      <c r="AG674" s="1212">
        <v>1</v>
      </c>
      <c r="AH674" s="1212">
        <v>0</v>
      </c>
      <c r="AI674" s="1212">
        <v>0</v>
      </c>
      <c r="AJ674" s="1212">
        <v>1</v>
      </c>
      <c r="AK674" s="2126">
        <v>33328.608790509257</v>
      </c>
      <c r="AL674" s="2126">
        <v>0</v>
      </c>
      <c r="AM674" s="2126">
        <v>0</v>
      </c>
      <c r="AN674" s="2126">
        <v>33328.608790509257</v>
      </c>
      <c r="AO674" s="1743" t="s">
        <v>85</v>
      </c>
      <c r="AP674" s="1743"/>
      <c r="AQ674" s="1764">
        <v>2015</v>
      </c>
      <c r="AR674" s="1743" t="s">
        <v>87</v>
      </c>
      <c r="AS674" s="2135"/>
      <c r="AT674" s="2135"/>
      <c r="AU674" s="1212">
        <v>0.33333333333333331</v>
      </c>
      <c r="AV674" s="1212">
        <v>0.33333333333333331</v>
      </c>
      <c r="AW674" s="1212">
        <v>0.33333333333333331</v>
      </c>
      <c r="AX674" s="1212"/>
      <c r="AY674" s="1212"/>
      <c r="AZ674" s="1212"/>
      <c r="BA674" s="1212"/>
      <c r="BB674" s="1212"/>
      <c r="BC674" s="1212"/>
      <c r="BD674" s="1212"/>
      <c r="BE674" s="1212"/>
      <c r="BF674" s="2126">
        <v>0</v>
      </c>
      <c r="BG674" s="2126">
        <v>0</v>
      </c>
      <c r="BH674" s="2126">
        <v>11109.536263503085</v>
      </c>
      <c r="BI674" s="2126">
        <v>11109.536263503085</v>
      </c>
      <c r="BJ674" s="2126">
        <v>11109.536263503085</v>
      </c>
      <c r="BK674" s="2126">
        <v>0</v>
      </c>
      <c r="BL674" s="2126">
        <v>0</v>
      </c>
      <c r="BM674" s="2126">
        <v>0</v>
      </c>
      <c r="BN674" s="2126">
        <v>0</v>
      </c>
      <c r="BO674" s="2126">
        <v>0</v>
      </c>
      <c r="BP674" s="2126">
        <v>0</v>
      </c>
      <c r="BQ674" s="2126">
        <v>0</v>
      </c>
      <c r="BR674" s="2126">
        <v>0</v>
      </c>
    </row>
    <row r="675" spans="1:70" s="1765" customFormat="1" ht="33">
      <c r="A675" s="1272">
        <v>4000</v>
      </c>
      <c r="B675" s="971" t="s">
        <v>1316</v>
      </c>
      <c r="C675" s="1272">
        <v>4100</v>
      </c>
      <c r="D675" s="971" t="s">
        <v>120</v>
      </c>
      <c r="E675" s="971">
        <v>4130</v>
      </c>
      <c r="F675" s="971" t="s">
        <v>148</v>
      </c>
      <c r="G675" s="971">
        <v>4139</v>
      </c>
      <c r="H675" s="971" t="s">
        <v>172</v>
      </c>
      <c r="I675" s="1273"/>
      <c r="J675" s="971" t="s">
        <v>121</v>
      </c>
      <c r="K675" s="971" t="s">
        <v>150</v>
      </c>
      <c r="L675" s="971" t="s">
        <v>2800</v>
      </c>
      <c r="M675" s="971" t="s">
        <v>80</v>
      </c>
      <c r="N675" s="971" t="s">
        <v>83</v>
      </c>
      <c r="O675" s="971" t="s">
        <v>151</v>
      </c>
      <c r="P675" s="971" t="s">
        <v>152</v>
      </c>
      <c r="Q675" s="971" t="s">
        <v>172</v>
      </c>
      <c r="R675" s="1266"/>
      <c r="S675" s="2106">
        <v>1120</v>
      </c>
      <c r="T675" s="1266" t="s">
        <v>136</v>
      </c>
      <c r="U675" s="1742">
        <v>1.2691883296460175E-2</v>
      </c>
      <c r="V675" s="1742">
        <v>0.14624999999999999</v>
      </c>
      <c r="W675" s="1742">
        <v>1.1186625937499999</v>
      </c>
      <c r="X675" s="1742">
        <v>0.4015178457754629</v>
      </c>
      <c r="Y675" s="2106">
        <v>1.6649423457754629</v>
      </c>
      <c r="Z675" s="2106">
        <v>14.214909292035395</v>
      </c>
      <c r="AA675" s="2106">
        <v>163.79999999999998</v>
      </c>
      <c r="AB675" s="2106">
        <v>1252.9021049999999</v>
      </c>
      <c r="AC675" s="2106">
        <v>449.69998726851844</v>
      </c>
      <c r="AD675" s="1744">
        <v>1864.7354272685184</v>
      </c>
      <c r="AE675" s="2126">
        <v>0</v>
      </c>
      <c r="AF675" s="2126">
        <v>0</v>
      </c>
      <c r="AG675" s="1212">
        <v>1</v>
      </c>
      <c r="AH675" s="1212">
        <v>0</v>
      </c>
      <c r="AI675" s="1212">
        <v>0</v>
      </c>
      <c r="AJ675" s="1212">
        <v>1</v>
      </c>
      <c r="AK675" s="2126">
        <v>1864.7354272685184</v>
      </c>
      <c r="AL675" s="2126">
        <v>0</v>
      </c>
      <c r="AM675" s="2126">
        <v>0</v>
      </c>
      <c r="AN675" s="2126">
        <v>1864.7354272685184</v>
      </c>
      <c r="AO675" s="1743" t="s">
        <v>85</v>
      </c>
      <c r="AP675" s="1743"/>
      <c r="AQ675" s="1764" t="s">
        <v>107</v>
      </c>
      <c r="AR675" s="1743" t="s">
        <v>87</v>
      </c>
      <c r="AS675" s="2135"/>
      <c r="AT675" s="2135"/>
      <c r="AU675" s="1212">
        <v>0.33333333333333331</v>
      </c>
      <c r="AV675" s="1212">
        <v>0.33333333333333331</v>
      </c>
      <c r="AW675" s="1212">
        <v>0.33333333333333331</v>
      </c>
      <c r="AX675" s="1212"/>
      <c r="AY675" s="1212"/>
      <c r="AZ675" s="1212"/>
      <c r="BA675" s="1212"/>
      <c r="BB675" s="1212"/>
      <c r="BC675" s="1212"/>
      <c r="BD675" s="1212"/>
      <c r="BE675" s="1212"/>
      <c r="BF675" s="2126">
        <v>0</v>
      </c>
      <c r="BG675" s="2126">
        <v>0</v>
      </c>
      <c r="BH675" s="2126">
        <v>621.57847575617279</v>
      </c>
      <c r="BI675" s="2126">
        <v>621.57847575617279</v>
      </c>
      <c r="BJ675" s="2126">
        <v>621.57847575617279</v>
      </c>
      <c r="BK675" s="2126">
        <v>0</v>
      </c>
      <c r="BL675" s="2126">
        <v>0</v>
      </c>
      <c r="BM675" s="2126">
        <v>0</v>
      </c>
      <c r="BN675" s="2126">
        <v>0</v>
      </c>
      <c r="BO675" s="2126">
        <v>0</v>
      </c>
      <c r="BP675" s="2126">
        <v>0</v>
      </c>
      <c r="BQ675" s="2126">
        <v>0</v>
      </c>
      <c r="BR675" s="2126">
        <v>0</v>
      </c>
    </row>
    <row r="676" spans="1:70" s="1765" customFormat="1" ht="33">
      <c r="A676" s="1272">
        <v>4000</v>
      </c>
      <c r="B676" s="971" t="s">
        <v>1316</v>
      </c>
      <c r="C676" s="1272">
        <v>4100</v>
      </c>
      <c r="D676" s="971" t="s">
        <v>120</v>
      </c>
      <c r="E676" s="971">
        <v>4130</v>
      </c>
      <c r="F676" s="971" t="s">
        <v>148</v>
      </c>
      <c r="G676" s="971">
        <v>4139</v>
      </c>
      <c r="H676" s="971" t="s">
        <v>172</v>
      </c>
      <c r="I676" s="1273"/>
      <c r="J676" s="971" t="s">
        <v>121</v>
      </c>
      <c r="K676" s="971" t="s">
        <v>150</v>
      </c>
      <c r="L676" s="971" t="s">
        <v>2800</v>
      </c>
      <c r="M676" s="971" t="s">
        <v>80</v>
      </c>
      <c r="N676" s="971" t="s">
        <v>83</v>
      </c>
      <c r="O676" s="971" t="s">
        <v>151</v>
      </c>
      <c r="P676" s="971" t="s">
        <v>152</v>
      </c>
      <c r="Q676" s="971" t="s">
        <v>1379</v>
      </c>
      <c r="R676" s="1266"/>
      <c r="S676" s="2106">
        <v>55900</v>
      </c>
      <c r="T676" s="1266" t="s">
        <v>136</v>
      </c>
      <c r="U676" s="1742">
        <v>1.2691883296460175E-2</v>
      </c>
      <c r="V676" s="1742">
        <v>0.14624999999999999</v>
      </c>
      <c r="W676" s="1742">
        <v>1.1186625937499999</v>
      </c>
      <c r="X676" s="1742">
        <v>0.4015178457754629</v>
      </c>
      <c r="Y676" s="2106">
        <v>1.6649423457754629</v>
      </c>
      <c r="Z676" s="2106">
        <v>709.47627627212376</v>
      </c>
      <c r="AA676" s="2106">
        <v>8175.3749999999991</v>
      </c>
      <c r="AB676" s="2106">
        <v>62533.238990624995</v>
      </c>
      <c r="AC676" s="2106">
        <v>22444.847578848377</v>
      </c>
      <c r="AD676" s="1744">
        <v>93070.277128848378</v>
      </c>
      <c r="AE676" s="2126">
        <v>0</v>
      </c>
      <c r="AF676" s="2126">
        <v>0</v>
      </c>
      <c r="AG676" s="1212">
        <v>1</v>
      </c>
      <c r="AH676" s="1212">
        <v>0</v>
      </c>
      <c r="AI676" s="1212">
        <v>0</v>
      </c>
      <c r="AJ676" s="1212">
        <v>1</v>
      </c>
      <c r="AK676" s="2126">
        <v>93070.277128848378</v>
      </c>
      <c r="AL676" s="2126">
        <v>0</v>
      </c>
      <c r="AM676" s="2126">
        <v>0</v>
      </c>
      <c r="AN676" s="2126">
        <v>93070.277128848378</v>
      </c>
      <c r="AO676" s="1743" t="s">
        <v>85</v>
      </c>
      <c r="AP676" s="1743"/>
      <c r="AQ676" s="1764" t="s">
        <v>105</v>
      </c>
      <c r="AR676" s="1743" t="s">
        <v>87</v>
      </c>
      <c r="AS676" s="2135"/>
      <c r="AT676" s="2135"/>
      <c r="AU676" s="1212">
        <v>0.33333333333333331</v>
      </c>
      <c r="AV676" s="1212">
        <v>0.33333333333333331</v>
      </c>
      <c r="AW676" s="1212">
        <v>0.33333333333333331</v>
      </c>
      <c r="AX676" s="1212"/>
      <c r="AY676" s="1212"/>
      <c r="AZ676" s="1212"/>
      <c r="BA676" s="1212"/>
      <c r="BB676" s="1212"/>
      <c r="BC676" s="1212"/>
      <c r="BD676" s="1212"/>
      <c r="BE676" s="1212"/>
      <c r="BF676" s="2126">
        <v>0</v>
      </c>
      <c r="BG676" s="2126">
        <v>0</v>
      </c>
      <c r="BH676" s="2126">
        <v>31023.425709616124</v>
      </c>
      <c r="BI676" s="2126">
        <v>31023.425709616124</v>
      </c>
      <c r="BJ676" s="2126">
        <v>31023.425709616124</v>
      </c>
      <c r="BK676" s="2126">
        <v>0</v>
      </c>
      <c r="BL676" s="2126">
        <v>0</v>
      </c>
      <c r="BM676" s="2126">
        <v>0</v>
      </c>
      <c r="BN676" s="2126">
        <v>0</v>
      </c>
      <c r="BO676" s="2126">
        <v>0</v>
      </c>
      <c r="BP676" s="2126">
        <v>0</v>
      </c>
      <c r="BQ676" s="2126">
        <v>0</v>
      </c>
      <c r="BR676" s="2126">
        <v>0</v>
      </c>
    </row>
    <row r="677" spans="1:70" s="1765" customFormat="1" ht="33">
      <c r="A677" s="1272">
        <v>4000</v>
      </c>
      <c r="B677" s="971" t="s">
        <v>1316</v>
      </c>
      <c r="C677" s="1272">
        <v>4100</v>
      </c>
      <c r="D677" s="971" t="s">
        <v>120</v>
      </c>
      <c r="E677" s="971">
        <v>4130</v>
      </c>
      <c r="F677" s="971" t="s">
        <v>148</v>
      </c>
      <c r="G677" s="971">
        <v>4139</v>
      </c>
      <c r="H677" s="971" t="s">
        <v>172</v>
      </c>
      <c r="I677" s="1273"/>
      <c r="J677" s="971" t="s">
        <v>121</v>
      </c>
      <c r="K677" s="971" t="s">
        <v>150</v>
      </c>
      <c r="L677" s="971" t="s">
        <v>2800</v>
      </c>
      <c r="M677" s="971" t="s">
        <v>80</v>
      </c>
      <c r="N677" s="971" t="s">
        <v>83</v>
      </c>
      <c r="O677" s="971" t="s">
        <v>151</v>
      </c>
      <c r="P677" s="971" t="s">
        <v>152</v>
      </c>
      <c r="Q677" s="971" t="s">
        <v>1380</v>
      </c>
      <c r="R677" s="1266" t="s">
        <v>1381</v>
      </c>
      <c r="S677" s="2106">
        <v>74577</v>
      </c>
      <c r="T677" s="1266" t="s">
        <v>136</v>
      </c>
      <c r="U677" s="1742">
        <v>1.2691883296460175E-2</v>
      </c>
      <c r="V677" s="1742">
        <v>0.14624999999999999</v>
      </c>
      <c r="W677" s="1742">
        <v>1.1186625937499999</v>
      </c>
      <c r="X677" s="1742">
        <v>0.4015178457754629</v>
      </c>
      <c r="Y677" s="2106">
        <v>1.6649423457754629</v>
      </c>
      <c r="Z677" s="2106">
        <v>946.52258060011047</v>
      </c>
      <c r="AA677" s="2106">
        <v>10906.88625</v>
      </c>
      <c r="AB677" s="2106">
        <v>83426.500254093742</v>
      </c>
      <c r="AC677" s="2106">
        <v>29943.996384396698</v>
      </c>
      <c r="AD677" s="1744">
        <v>124166.40532089669</v>
      </c>
      <c r="AE677" s="2126">
        <v>0</v>
      </c>
      <c r="AF677" s="2126">
        <v>0</v>
      </c>
      <c r="AG677" s="1212">
        <v>1</v>
      </c>
      <c r="AH677" s="1212">
        <v>0</v>
      </c>
      <c r="AI677" s="1212">
        <v>0</v>
      </c>
      <c r="AJ677" s="1212">
        <v>1</v>
      </c>
      <c r="AK677" s="2126">
        <v>124166.40532089669</v>
      </c>
      <c r="AL677" s="2126">
        <v>0</v>
      </c>
      <c r="AM677" s="2126">
        <v>0</v>
      </c>
      <c r="AN677" s="2126">
        <v>124166.40532089669</v>
      </c>
      <c r="AO677" s="1743" t="s">
        <v>85</v>
      </c>
      <c r="AP677" s="1743" t="s">
        <v>90</v>
      </c>
      <c r="AQ677" s="1764">
        <v>2022</v>
      </c>
      <c r="AR677" s="1743" t="s">
        <v>87</v>
      </c>
      <c r="AS677" s="2135"/>
      <c r="AT677" s="2135"/>
      <c r="AU677" s="1212">
        <v>0.33333333333333331</v>
      </c>
      <c r="AV677" s="1212">
        <v>0.33333333333333331</v>
      </c>
      <c r="AW677" s="1212">
        <v>0.33333333333333331</v>
      </c>
      <c r="AX677" s="1212"/>
      <c r="AY677" s="1212"/>
      <c r="AZ677" s="1212"/>
      <c r="BA677" s="1212"/>
      <c r="BB677" s="1212"/>
      <c r="BC677" s="1212"/>
      <c r="BD677" s="1212"/>
      <c r="BE677" s="1212"/>
      <c r="BF677" s="2126">
        <v>0</v>
      </c>
      <c r="BG677" s="2126">
        <v>0</v>
      </c>
      <c r="BH677" s="2126">
        <v>41388.801773632229</v>
      </c>
      <c r="BI677" s="2126">
        <v>41388.801773632229</v>
      </c>
      <c r="BJ677" s="2126">
        <v>41388.801773632229</v>
      </c>
      <c r="BK677" s="2126">
        <v>0</v>
      </c>
      <c r="BL677" s="2126">
        <v>0</v>
      </c>
      <c r="BM677" s="2126">
        <v>0</v>
      </c>
      <c r="BN677" s="2126">
        <v>0</v>
      </c>
      <c r="BO677" s="2126">
        <v>0</v>
      </c>
      <c r="BP677" s="2126">
        <v>0</v>
      </c>
      <c r="BQ677" s="2126">
        <v>0</v>
      </c>
      <c r="BR677" s="2126">
        <v>0</v>
      </c>
    </row>
    <row r="678" spans="1:70" s="1765" customFormat="1" ht="33">
      <c r="A678" s="1272">
        <v>4000</v>
      </c>
      <c r="B678" s="971" t="s">
        <v>1316</v>
      </c>
      <c r="C678" s="1272">
        <v>4100</v>
      </c>
      <c r="D678" s="971" t="s">
        <v>120</v>
      </c>
      <c r="E678" s="971">
        <v>4130</v>
      </c>
      <c r="F678" s="971" t="s">
        <v>148</v>
      </c>
      <c r="G678" s="971">
        <v>4139</v>
      </c>
      <c r="H678" s="971" t="s">
        <v>172</v>
      </c>
      <c r="I678" s="1273"/>
      <c r="J678" s="971" t="s">
        <v>121</v>
      </c>
      <c r="K678" s="971" t="s">
        <v>150</v>
      </c>
      <c r="L678" s="971" t="s">
        <v>2800</v>
      </c>
      <c r="M678" s="971" t="s">
        <v>80</v>
      </c>
      <c r="N678" s="971" t="s">
        <v>83</v>
      </c>
      <c r="O678" s="971" t="s">
        <v>151</v>
      </c>
      <c r="P678" s="971" t="s">
        <v>152</v>
      </c>
      <c r="Q678" s="971" t="s">
        <v>1382</v>
      </c>
      <c r="R678" s="1266" t="s">
        <v>1381</v>
      </c>
      <c r="S678" s="2106">
        <v>11423</v>
      </c>
      <c r="T678" s="1266" t="s">
        <v>136</v>
      </c>
      <c r="U678" s="1742">
        <v>1.2691883296460175E-2</v>
      </c>
      <c r="V678" s="1742">
        <v>0.14624999999999999</v>
      </c>
      <c r="W678" s="1742">
        <v>1.1186625937499999</v>
      </c>
      <c r="X678" s="1742">
        <v>0.4015178457754629</v>
      </c>
      <c r="Y678" s="2106">
        <v>1.6649423457754629</v>
      </c>
      <c r="Z678" s="2106">
        <v>144.97938289546457</v>
      </c>
      <c r="AA678" s="2106">
        <v>1670.61375</v>
      </c>
      <c r="AB678" s="2106">
        <v>12778.482808406248</v>
      </c>
      <c r="AC678" s="2106">
        <v>4586.5383522931124</v>
      </c>
      <c r="AD678" s="1744">
        <v>19018.636415793113</v>
      </c>
      <c r="AE678" s="2126">
        <v>0</v>
      </c>
      <c r="AF678" s="2126">
        <v>0</v>
      </c>
      <c r="AG678" s="1212">
        <v>1</v>
      </c>
      <c r="AH678" s="1212">
        <v>0</v>
      </c>
      <c r="AI678" s="1212">
        <v>0</v>
      </c>
      <c r="AJ678" s="1212">
        <v>1</v>
      </c>
      <c r="AK678" s="2126">
        <v>19018.636415793113</v>
      </c>
      <c r="AL678" s="2126">
        <v>0</v>
      </c>
      <c r="AM678" s="2126">
        <v>0</v>
      </c>
      <c r="AN678" s="2126">
        <v>19018.636415793113</v>
      </c>
      <c r="AO678" s="1743" t="s">
        <v>85</v>
      </c>
      <c r="AP678" s="1743" t="s">
        <v>90</v>
      </c>
      <c r="AQ678" s="1764">
        <v>2022</v>
      </c>
      <c r="AR678" s="1743" t="s">
        <v>87</v>
      </c>
      <c r="AS678" s="2135"/>
      <c r="AT678" s="2135"/>
      <c r="AU678" s="1212">
        <v>0.33333333333333331</v>
      </c>
      <c r="AV678" s="1212">
        <v>0.33333333333333331</v>
      </c>
      <c r="AW678" s="1212">
        <v>0.33333333333333331</v>
      </c>
      <c r="AX678" s="1212"/>
      <c r="AY678" s="1212"/>
      <c r="AZ678" s="1212"/>
      <c r="BA678" s="1212"/>
      <c r="BB678" s="1212"/>
      <c r="BC678" s="1212"/>
      <c r="BD678" s="1212"/>
      <c r="BE678" s="1212"/>
      <c r="BF678" s="2126">
        <v>0</v>
      </c>
      <c r="BG678" s="2126">
        <v>0</v>
      </c>
      <c r="BH678" s="2126">
        <v>6339.5454719310374</v>
      </c>
      <c r="BI678" s="2126">
        <v>6339.5454719310374</v>
      </c>
      <c r="BJ678" s="2126">
        <v>6339.5454719310374</v>
      </c>
      <c r="BK678" s="2126">
        <v>0</v>
      </c>
      <c r="BL678" s="2126">
        <v>0</v>
      </c>
      <c r="BM678" s="2126">
        <v>0</v>
      </c>
      <c r="BN678" s="2126">
        <v>0</v>
      </c>
      <c r="BO678" s="2126">
        <v>0</v>
      </c>
      <c r="BP678" s="2126">
        <v>0</v>
      </c>
      <c r="BQ678" s="2126">
        <v>0</v>
      </c>
      <c r="BR678" s="2126">
        <v>0</v>
      </c>
    </row>
    <row r="679" spans="1:70" s="1765" customFormat="1" ht="33">
      <c r="A679" s="1272">
        <v>4000</v>
      </c>
      <c r="B679" s="971" t="s">
        <v>1316</v>
      </c>
      <c r="C679" s="1272">
        <v>4100</v>
      </c>
      <c r="D679" s="971" t="s">
        <v>120</v>
      </c>
      <c r="E679" s="971">
        <v>4130</v>
      </c>
      <c r="F679" s="971" t="s">
        <v>148</v>
      </c>
      <c r="G679" s="971">
        <v>4139</v>
      </c>
      <c r="H679" s="971" t="s">
        <v>172</v>
      </c>
      <c r="I679" s="1273"/>
      <c r="J679" s="971" t="s">
        <v>121</v>
      </c>
      <c r="K679" s="971" t="s">
        <v>150</v>
      </c>
      <c r="L679" s="971" t="s">
        <v>2800</v>
      </c>
      <c r="M679" s="971" t="s">
        <v>80</v>
      </c>
      <c r="N679" s="971" t="s">
        <v>83</v>
      </c>
      <c r="O679" s="971" t="s">
        <v>151</v>
      </c>
      <c r="P679" s="971" t="s">
        <v>152</v>
      </c>
      <c r="Q679" s="971" t="s">
        <v>1383</v>
      </c>
      <c r="R679" s="1266" t="s">
        <v>1381</v>
      </c>
      <c r="S679" s="2106">
        <v>2429</v>
      </c>
      <c r="T679" s="1266" t="s">
        <v>136</v>
      </c>
      <c r="U679" s="1742">
        <v>1.2691883296460175E-2</v>
      </c>
      <c r="V679" s="1742">
        <v>0.14624999999999999</v>
      </c>
      <c r="W679" s="1742">
        <v>1.1186625937499999</v>
      </c>
      <c r="X679" s="1742">
        <v>0.4015178457754629</v>
      </c>
      <c r="Y679" s="2106">
        <v>1.6649423457754629</v>
      </c>
      <c r="Z679" s="2106">
        <v>30.828584527101764</v>
      </c>
      <c r="AA679" s="2106">
        <v>355.24124999999998</v>
      </c>
      <c r="AB679" s="2106">
        <v>2717.2314402187499</v>
      </c>
      <c r="AC679" s="2106">
        <v>975.28684738859943</v>
      </c>
      <c r="AD679" s="1744">
        <v>4044.144957888599</v>
      </c>
      <c r="AE679" s="2126">
        <v>0</v>
      </c>
      <c r="AF679" s="2126">
        <v>0</v>
      </c>
      <c r="AG679" s="1212">
        <v>1</v>
      </c>
      <c r="AH679" s="1212">
        <v>0</v>
      </c>
      <c r="AI679" s="1212">
        <v>0</v>
      </c>
      <c r="AJ679" s="1212">
        <v>1</v>
      </c>
      <c r="AK679" s="2126">
        <v>4044.144957888599</v>
      </c>
      <c r="AL679" s="2126">
        <v>0</v>
      </c>
      <c r="AM679" s="2126">
        <v>0</v>
      </c>
      <c r="AN679" s="2126">
        <v>4044.144957888599</v>
      </c>
      <c r="AO679" s="1743" t="s">
        <v>85</v>
      </c>
      <c r="AP679" s="1743" t="s">
        <v>90</v>
      </c>
      <c r="AQ679" s="1764">
        <v>2022</v>
      </c>
      <c r="AR679" s="1743" t="s">
        <v>87</v>
      </c>
      <c r="AS679" s="2135"/>
      <c r="AT679" s="2135"/>
      <c r="AU679" s="1212">
        <v>0.33333333333333331</v>
      </c>
      <c r="AV679" s="1212">
        <v>0.33333333333333331</v>
      </c>
      <c r="AW679" s="1212">
        <v>0.33333333333333331</v>
      </c>
      <c r="AX679" s="1212"/>
      <c r="AY679" s="1212"/>
      <c r="AZ679" s="1212"/>
      <c r="BA679" s="1212"/>
      <c r="BB679" s="1212"/>
      <c r="BC679" s="1212"/>
      <c r="BD679" s="1212"/>
      <c r="BE679" s="1212"/>
      <c r="BF679" s="2126">
        <v>0</v>
      </c>
      <c r="BG679" s="2126">
        <v>0</v>
      </c>
      <c r="BH679" s="2126">
        <v>1348.0483192961997</v>
      </c>
      <c r="BI679" s="2126">
        <v>1348.0483192961997</v>
      </c>
      <c r="BJ679" s="2126">
        <v>1348.0483192961997</v>
      </c>
      <c r="BK679" s="2126">
        <v>0</v>
      </c>
      <c r="BL679" s="2126">
        <v>0</v>
      </c>
      <c r="BM679" s="2126">
        <v>0</v>
      </c>
      <c r="BN679" s="2126">
        <v>0</v>
      </c>
      <c r="BO679" s="2126">
        <v>0</v>
      </c>
      <c r="BP679" s="2126">
        <v>0</v>
      </c>
      <c r="BQ679" s="2126">
        <v>0</v>
      </c>
      <c r="BR679" s="2126">
        <v>0</v>
      </c>
    </row>
    <row r="680" spans="1:70" s="1765" customFormat="1" ht="33">
      <c r="A680" s="1272">
        <v>4000</v>
      </c>
      <c r="B680" s="971" t="s">
        <v>1316</v>
      </c>
      <c r="C680" s="1272">
        <v>4100</v>
      </c>
      <c r="D680" s="971" t="s">
        <v>120</v>
      </c>
      <c r="E680" s="971">
        <v>4130</v>
      </c>
      <c r="F680" s="971" t="s">
        <v>148</v>
      </c>
      <c r="G680" s="971">
        <v>4139</v>
      </c>
      <c r="H680" s="971" t="s">
        <v>172</v>
      </c>
      <c r="I680" s="1273"/>
      <c r="J680" s="971" t="s">
        <v>121</v>
      </c>
      <c r="K680" s="971" t="s">
        <v>150</v>
      </c>
      <c r="L680" s="971" t="s">
        <v>2800</v>
      </c>
      <c r="M680" s="971" t="s">
        <v>80</v>
      </c>
      <c r="N680" s="971" t="s">
        <v>83</v>
      </c>
      <c r="O680" s="971" t="s">
        <v>151</v>
      </c>
      <c r="P680" s="971" t="s">
        <v>152</v>
      </c>
      <c r="Q680" s="971" t="s">
        <v>1384</v>
      </c>
      <c r="R680" s="1266" t="s">
        <v>1381</v>
      </c>
      <c r="S680" s="2106">
        <v>24534</v>
      </c>
      <c r="T680" s="1266" t="s">
        <v>136</v>
      </c>
      <c r="U680" s="1742">
        <v>1.2691883296460175E-2</v>
      </c>
      <c r="V680" s="1742">
        <v>0.14624999999999999</v>
      </c>
      <c r="W680" s="1742">
        <v>1.1186625937499999</v>
      </c>
      <c r="X680" s="1742">
        <v>0.4015178457754629</v>
      </c>
      <c r="Y680" s="2106">
        <v>1.6649423457754629</v>
      </c>
      <c r="Z680" s="2106">
        <v>311.38266479535395</v>
      </c>
      <c r="AA680" s="2106">
        <v>3588.0974999999999</v>
      </c>
      <c r="AB680" s="2106">
        <v>27445.268075062497</v>
      </c>
      <c r="AC680" s="2106">
        <v>9850.838828255206</v>
      </c>
      <c r="AD680" s="1744">
        <v>40847.695511255202</v>
      </c>
      <c r="AE680" s="2126">
        <v>0</v>
      </c>
      <c r="AF680" s="2126">
        <v>0</v>
      </c>
      <c r="AG680" s="1212">
        <v>1</v>
      </c>
      <c r="AH680" s="1212">
        <v>0</v>
      </c>
      <c r="AI680" s="1212">
        <v>0</v>
      </c>
      <c r="AJ680" s="1212">
        <v>1</v>
      </c>
      <c r="AK680" s="2126">
        <v>40847.695511255202</v>
      </c>
      <c r="AL680" s="2126">
        <v>0</v>
      </c>
      <c r="AM680" s="2126">
        <v>0</v>
      </c>
      <c r="AN680" s="2126">
        <v>40847.695511255202</v>
      </c>
      <c r="AO680" s="1743" t="s">
        <v>85</v>
      </c>
      <c r="AP680" s="1743" t="s">
        <v>90</v>
      </c>
      <c r="AQ680" s="1764">
        <v>2022</v>
      </c>
      <c r="AR680" s="1743" t="s">
        <v>87</v>
      </c>
      <c r="AS680" s="2135"/>
      <c r="AT680" s="2135"/>
      <c r="AU680" s="1212">
        <v>0.33333333333333331</v>
      </c>
      <c r="AV680" s="1212">
        <v>0.33333333333333331</v>
      </c>
      <c r="AW680" s="1212">
        <v>0.33333333333333331</v>
      </c>
      <c r="AX680" s="1212"/>
      <c r="AY680" s="1212"/>
      <c r="AZ680" s="1212"/>
      <c r="BA680" s="1212"/>
      <c r="BB680" s="1212"/>
      <c r="BC680" s="1212"/>
      <c r="BD680" s="1212"/>
      <c r="BE680" s="1212"/>
      <c r="BF680" s="2126">
        <v>0</v>
      </c>
      <c r="BG680" s="2126">
        <v>0</v>
      </c>
      <c r="BH680" s="2126">
        <v>13615.898503751734</v>
      </c>
      <c r="BI680" s="2126">
        <v>13615.898503751734</v>
      </c>
      <c r="BJ680" s="2126">
        <v>13615.898503751734</v>
      </c>
      <c r="BK680" s="2126">
        <v>0</v>
      </c>
      <c r="BL680" s="2126">
        <v>0</v>
      </c>
      <c r="BM680" s="2126">
        <v>0</v>
      </c>
      <c r="BN680" s="2126">
        <v>0</v>
      </c>
      <c r="BO680" s="2126">
        <v>0</v>
      </c>
      <c r="BP680" s="2126">
        <v>0</v>
      </c>
      <c r="BQ680" s="2126">
        <v>0</v>
      </c>
      <c r="BR680" s="2126">
        <v>0</v>
      </c>
    </row>
    <row r="681" spans="1:70" s="1765" customFormat="1" ht="33">
      <c r="A681" s="1272">
        <v>4000</v>
      </c>
      <c r="B681" s="971" t="s">
        <v>1316</v>
      </c>
      <c r="C681" s="1272">
        <v>4100</v>
      </c>
      <c r="D681" s="971" t="s">
        <v>120</v>
      </c>
      <c r="E681" s="971">
        <v>4130</v>
      </c>
      <c r="F681" s="971" t="s">
        <v>148</v>
      </c>
      <c r="G681" s="971">
        <v>4139</v>
      </c>
      <c r="H681" s="971" t="s">
        <v>172</v>
      </c>
      <c r="I681" s="1273"/>
      <c r="J681" s="971" t="s">
        <v>121</v>
      </c>
      <c r="K681" s="971" t="s">
        <v>150</v>
      </c>
      <c r="L681" s="971" t="s">
        <v>2800</v>
      </c>
      <c r="M681" s="971" t="s">
        <v>80</v>
      </c>
      <c r="N681" s="971" t="s">
        <v>83</v>
      </c>
      <c r="O681" s="971" t="s">
        <v>151</v>
      </c>
      <c r="P681" s="971" t="s">
        <v>152</v>
      </c>
      <c r="Q681" s="971" t="s">
        <v>1380</v>
      </c>
      <c r="R681" s="1266" t="s">
        <v>1381</v>
      </c>
      <c r="S681" s="2106">
        <v>-74577</v>
      </c>
      <c r="T681" s="1266" t="s">
        <v>136</v>
      </c>
      <c r="U681" s="1742">
        <v>1.2691883296460175E-2</v>
      </c>
      <c r="V681" s="1742">
        <v>0.14624999999999999</v>
      </c>
      <c r="W681" s="1742">
        <v>1.1186625937499999</v>
      </c>
      <c r="X681" s="1742">
        <v>0.4015178457754629</v>
      </c>
      <c r="Y681" s="2106">
        <v>1.6649423457754629</v>
      </c>
      <c r="Z681" s="2106">
        <v>-946.52258060011047</v>
      </c>
      <c r="AA681" s="2106">
        <v>-10906.88625</v>
      </c>
      <c r="AB681" s="2106">
        <v>-83426.500254093742</v>
      </c>
      <c r="AC681" s="2106">
        <v>-29943.996384396698</v>
      </c>
      <c r="AD681" s="1744">
        <v>-124166.40532089669</v>
      </c>
      <c r="AE681" s="2126">
        <v>0</v>
      </c>
      <c r="AF681" s="2126">
        <v>0</v>
      </c>
      <c r="AG681" s="1212">
        <v>1</v>
      </c>
      <c r="AH681" s="1212">
        <v>0</v>
      </c>
      <c r="AI681" s="1212">
        <v>0</v>
      </c>
      <c r="AJ681" s="1212">
        <v>1</v>
      </c>
      <c r="AK681" s="2126">
        <v>-124166.40532089669</v>
      </c>
      <c r="AL681" s="2126">
        <v>0</v>
      </c>
      <c r="AM681" s="2126">
        <v>0</v>
      </c>
      <c r="AN681" s="2126">
        <v>-124166.40532089669</v>
      </c>
      <c r="AO681" s="1743" t="s">
        <v>85</v>
      </c>
      <c r="AP681" s="1743" t="s">
        <v>96</v>
      </c>
      <c r="AQ681" s="1764" t="s">
        <v>118</v>
      </c>
      <c r="AR681" s="1743" t="s">
        <v>87</v>
      </c>
      <c r="AS681" s="2135"/>
      <c r="AT681" s="2135"/>
      <c r="AU681" s="1212">
        <v>0.33333333333333331</v>
      </c>
      <c r="AV681" s="1212">
        <v>0.33333333333333331</v>
      </c>
      <c r="AW681" s="1212">
        <v>0.33333333333333331</v>
      </c>
      <c r="AX681" s="1212"/>
      <c r="AY681" s="1212"/>
      <c r="AZ681" s="1212"/>
      <c r="BA681" s="1212"/>
      <c r="BB681" s="1212"/>
      <c r="BC681" s="1212"/>
      <c r="BD681" s="1212"/>
      <c r="BE681" s="1212"/>
      <c r="BF681" s="2126">
        <v>0</v>
      </c>
      <c r="BG681" s="2126">
        <v>0</v>
      </c>
      <c r="BH681" s="2126">
        <v>-41388.801773632229</v>
      </c>
      <c r="BI681" s="2126">
        <v>-41388.801773632229</v>
      </c>
      <c r="BJ681" s="2126">
        <v>-41388.801773632229</v>
      </c>
      <c r="BK681" s="2126">
        <v>0</v>
      </c>
      <c r="BL681" s="2126">
        <v>0</v>
      </c>
      <c r="BM681" s="2126">
        <v>0</v>
      </c>
      <c r="BN681" s="2126">
        <v>0</v>
      </c>
      <c r="BO681" s="2126">
        <v>0</v>
      </c>
      <c r="BP681" s="2126">
        <v>0</v>
      </c>
      <c r="BQ681" s="2126">
        <v>0</v>
      </c>
      <c r="BR681" s="2126">
        <v>0</v>
      </c>
    </row>
    <row r="682" spans="1:70" s="1765" customFormat="1" ht="33">
      <c r="A682" s="1272">
        <v>4000</v>
      </c>
      <c r="B682" s="971" t="s">
        <v>1316</v>
      </c>
      <c r="C682" s="1272">
        <v>4100</v>
      </c>
      <c r="D682" s="971" t="s">
        <v>120</v>
      </c>
      <c r="E682" s="971">
        <v>4130</v>
      </c>
      <c r="F682" s="971" t="s">
        <v>148</v>
      </c>
      <c r="G682" s="971">
        <v>4139</v>
      </c>
      <c r="H682" s="971" t="s">
        <v>172</v>
      </c>
      <c r="I682" s="1273"/>
      <c r="J682" s="971" t="s">
        <v>121</v>
      </c>
      <c r="K682" s="971" t="s">
        <v>150</v>
      </c>
      <c r="L682" s="971" t="s">
        <v>2800</v>
      </c>
      <c r="M682" s="971" t="s">
        <v>80</v>
      </c>
      <c r="N682" s="971" t="s">
        <v>83</v>
      </c>
      <c r="O682" s="971" t="s">
        <v>151</v>
      </c>
      <c r="P682" s="971" t="s">
        <v>152</v>
      </c>
      <c r="Q682" s="971" t="s">
        <v>1382</v>
      </c>
      <c r="R682" s="1266" t="s">
        <v>1381</v>
      </c>
      <c r="S682" s="2106">
        <v>-11423</v>
      </c>
      <c r="T682" s="1266" t="s">
        <v>136</v>
      </c>
      <c r="U682" s="1742">
        <v>1.2691883296460175E-2</v>
      </c>
      <c r="V682" s="1742">
        <v>0.14624999999999999</v>
      </c>
      <c r="W682" s="1742">
        <v>1.1186625937499999</v>
      </c>
      <c r="X682" s="1742">
        <v>0.4015178457754629</v>
      </c>
      <c r="Y682" s="2106">
        <v>1.6649423457754629</v>
      </c>
      <c r="Z682" s="2106">
        <v>-144.97938289546457</v>
      </c>
      <c r="AA682" s="2106">
        <v>-1670.61375</v>
      </c>
      <c r="AB682" s="2106">
        <v>-12778.482808406248</v>
      </c>
      <c r="AC682" s="2106">
        <v>-4586.5383522931124</v>
      </c>
      <c r="AD682" s="1744">
        <v>-19018.636415793113</v>
      </c>
      <c r="AE682" s="2126">
        <v>0</v>
      </c>
      <c r="AF682" s="2126">
        <v>0</v>
      </c>
      <c r="AG682" s="1212">
        <v>1</v>
      </c>
      <c r="AH682" s="1212">
        <v>0</v>
      </c>
      <c r="AI682" s="1212">
        <v>0</v>
      </c>
      <c r="AJ682" s="1212">
        <v>1</v>
      </c>
      <c r="AK682" s="2126">
        <v>-19018.636415793113</v>
      </c>
      <c r="AL682" s="2126">
        <v>0</v>
      </c>
      <c r="AM682" s="2126">
        <v>0</v>
      </c>
      <c r="AN682" s="2126">
        <v>-19018.636415793113</v>
      </c>
      <c r="AO682" s="1743" t="s">
        <v>85</v>
      </c>
      <c r="AP682" s="1743" t="s">
        <v>96</v>
      </c>
      <c r="AQ682" s="1764" t="s">
        <v>118</v>
      </c>
      <c r="AR682" s="1743" t="s">
        <v>87</v>
      </c>
      <c r="AS682" s="2135"/>
      <c r="AT682" s="2135"/>
      <c r="AU682" s="1212">
        <v>0.33333333333333331</v>
      </c>
      <c r="AV682" s="1212">
        <v>0.33333333333333331</v>
      </c>
      <c r="AW682" s="1212">
        <v>0.33333333333333331</v>
      </c>
      <c r="AX682" s="1212"/>
      <c r="AY682" s="1212"/>
      <c r="AZ682" s="1212"/>
      <c r="BA682" s="1212"/>
      <c r="BB682" s="1212"/>
      <c r="BC682" s="1212"/>
      <c r="BD682" s="1212"/>
      <c r="BE682" s="1212"/>
      <c r="BF682" s="2126">
        <v>0</v>
      </c>
      <c r="BG682" s="2126">
        <v>0</v>
      </c>
      <c r="BH682" s="2126">
        <v>-6339.5454719310374</v>
      </c>
      <c r="BI682" s="2126">
        <v>-6339.5454719310374</v>
      </c>
      <c r="BJ682" s="2126">
        <v>-6339.5454719310374</v>
      </c>
      <c r="BK682" s="2126">
        <v>0</v>
      </c>
      <c r="BL682" s="2126">
        <v>0</v>
      </c>
      <c r="BM682" s="2126">
        <v>0</v>
      </c>
      <c r="BN682" s="2126">
        <v>0</v>
      </c>
      <c r="BO682" s="2126">
        <v>0</v>
      </c>
      <c r="BP682" s="2126">
        <v>0</v>
      </c>
      <c r="BQ682" s="2126">
        <v>0</v>
      </c>
      <c r="BR682" s="2126">
        <v>0</v>
      </c>
    </row>
    <row r="683" spans="1:70" s="1765" customFormat="1" ht="33">
      <c r="A683" s="1272">
        <v>4000</v>
      </c>
      <c r="B683" s="971" t="s">
        <v>1316</v>
      </c>
      <c r="C683" s="1272">
        <v>4100</v>
      </c>
      <c r="D683" s="971" t="s">
        <v>120</v>
      </c>
      <c r="E683" s="971">
        <v>4130</v>
      </c>
      <c r="F683" s="971" t="s">
        <v>148</v>
      </c>
      <c r="G683" s="971">
        <v>4139</v>
      </c>
      <c r="H683" s="971" t="s">
        <v>172</v>
      </c>
      <c r="I683" s="1273"/>
      <c r="J683" s="971" t="s">
        <v>121</v>
      </c>
      <c r="K683" s="971" t="s">
        <v>150</v>
      </c>
      <c r="L683" s="971" t="s">
        <v>2800</v>
      </c>
      <c r="M683" s="971" t="s">
        <v>80</v>
      </c>
      <c r="N683" s="971" t="s">
        <v>83</v>
      </c>
      <c r="O683" s="971" t="s">
        <v>151</v>
      </c>
      <c r="P683" s="971" t="s">
        <v>152</v>
      </c>
      <c r="Q683" s="971" t="s">
        <v>1383</v>
      </c>
      <c r="R683" s="1266" t="s">
        <v>1381</v>
      </c>
      <c r="S683" s="2106">
        <v>-2429</v>
      </c>
      <c r="T683" s="1266" t="s">
        <v>136</v>
      </c>
      <c r="U683" s="1742">
        <v>1.2691883296460175E-2</v>
      </c>
      <c r="V683" s="1742">
        <v>0.14624999999999999</v>
      </c>
      <c r="W683" s="1742">
        <v>1.1186625937499999</v>
      </c>
      <c r="X683" s="1742">
        <v>0.4015178457754629</v>
      </c>
      <c r="Y683" s="2106">
        <v>1.6649423457754629</v>
      </c>
      <c r="Z683" s="2106">
        <v>-30.828584527101764</v>
      </c>
      <c r="AA683" s="2106">
        <v>-355.24124999999998</v>
      </c>
      <c r="AB683" s="2106">
        <v>-2717.2314402187499</v>
      </c>
      <c r="AC683" s="2106">
        <v>-975.28684738859943</v>
      </c>
      <c r="AD683" s="1744">
        <v>-4044.144957888599</v>
      </c>
      <c r="AE683" s="2126">
        <v>0</v>
      </c>
      <c r="AF683" s="2126">
        <v>0</v>
      </c>
      <c r="AG683" s="1212">
        <v>1</v>
      </c>
      <c r="AH683" s="1212">
        <v>0</v>
      </c>
      <c r="AI683" s="1212">
        <v>0</v>
      </c>
      <c r="AJ683" s="1212">
        <v>1</v>
      </c>
      <c r="AK683" s="2126">
        <v>-4044.144957888599</v>
      </c>
      <c r="AL683" s="2126">
        <v>0</v>
      </c>
      <c r="AM683" s="2126">
        <v>0</v>
      </c>
      <c r="AN683" s="2126">
        <v>-4044.144957888599</v>
      </c>
      <c r="AO683" s="1743" t="s">
        <v>85</v>
      </c>
      <c r="AP683" s="1743" t="s">
        <v>96</v>
      </c>
      <c r="AQ683" s="1764" t="s">
        <v>118</v>
      </c>
      <c r="AR683" s="1743" t="s">
        <v>87</v>
      </c>
      <c r="AS683" s="2135"/>
      <c r="AT683" s="2135"/>
      <c r="AU683" s="1212">
        <v>0.33333333333333331</v>
      </c>
      <c r="AV683" s="1212">
        <v>0.33333333333333331</v>
      </c>
      <c r="AW683" s="1212">
        <v>0.33333333333333331</v>
      </c>
      <c r="AX683" s="1212"/>
      <c r="AY683" s="1212"/>
      <c r="AZ683" s="1212"/>
      <c r="BA683" s="1212"/>
      <c r="BB683" s="1212"/>
      <c r="BC683" s="1212"/>
      <c r="BD683" s="1212"/>
      <c r="BE683" s="1212"/>
      <c r="BF683" s="2126">
        <v>0</v>
      </c>
      <c r="BG683" s="2126">
        <v>0</v>
      </c>
      <c r="BH683" s="2126">
        <v>-1348.0483192961997</v>
      </c>
      <c r="BI683" s="2126">
        <v>-1348.0483192961997</v>
      </c>
      <c r="BJ683" s="2126">
        <v>-1348.0483192961997</v>
      </c>
      <c r="BK683" s="2126">
        <v>0</v>
      </c>
      <c r="BL683" s="2126">
        <v>0</v>
      </c>
      <c r="BM683" s="2126">
        <v>0</v>
      </c>
      <c r="BN683" s="2126">
        <v>0</v>
      </c>
      <c r="BO683" s="2126">
        <v>0</v>
      </c>
      <c r="BP683" s="2126">
        <v>0</v>
      </c>
      <c r="BQ683" s="2126">
        <v>0</v>
      </c>
      <c r="BR683" s="2126">
        <v>0</v>
      </c>
    </row>
    <row r="684" spans="1:70" s="1765" customFormat="1" ht="33">
      <c r="A684" s="1272">
        <v>4000</v>
      </c>
      <c r="B684" s="971" t="s">
        <v>1316</v>
      </c>
      <c r="C684" s="1272">
        <v>4100</v>
      </c>
      <c r="D684" s="971" t="s">
        <v>120</v>
      </c>
      <c r="E684" s="971">
        <v>4130</v>
      </c>
      <c r="F684" s="971" t="s">
        <v>148</v>
      </c>
      <c r="G684" s="971">
        <v>4139</v>
      </c>
      <c r="H684" s="971" t="s">
        <v>172</v>
      </c>
      <c r="I684" s="1273"/>
      <c r="J684" s="971" t="s">
        <v>121</v>
      </c>
      <c r="K684" s="971" t="s">
        <v>150</v>
      </c>
      <c r="L684" s="971" t="s">
        <v>2800</v>
      </c>
      <c r="M684" s="971" t="s">
        <v>80</v>
      </c>
      <c r="N684" s="971" t="s">
        <v>83</v>
      </c>
      <c r="O684" s="971" t="s">
        <v>151</v>
      </c>
      <c r="P684" s="971" t="s">
        <v>152</v>
      </c>
      <c r="Q684" s="971" t="s">
        <v>1384</v>
      </c>
      <c r="R684" s="1266" t="s">
        <v>1381</v>
      </c>
      <c r="S684" s="2106">
        <v>-24534</v>
      </c>
      <c r="T684" s="1266" t="s">
        <v>136</v>
      </c>
      <c r="U684" s="1742">
        <v>1.2691883296460175E-2</v>
      </c>
      <c r="V684" s="1742">
        <v>0.14624999999999999</v>
      </c>
      <c r="W684" s="1742">
        <v>1.1186625937499999</v>
      </c>
      <c r="X684" s="1742">
        <v>0.4015178457754629</v>
      </c>
      <c r="Y684" s="2106">
        <v>1.6649423457754629</v>
      </c>
      <c r="Z684" s="2106">
        <v>-311.38266479535395</v>
      </c>
      <c r="AA684" s="2106">
        <v>-3588.0974999999999</v>
      </c>
      <c r="AB684" s="2106">
        <v>-27445.268075062497</v>
      </c>
      <c r="AC684" s="2106">
        <v>-9850.838828255206</v>
      </c>
      <c r="AD684" s="1744">
        <v>-40847.695511255202</v>
      </c>
      <c r="AE684" s="2126">
        <v>0</v>
      </c>
      <c r="AF684" s="2126">
        <v>0</v>
      </c>
      <c r="AG684" s="1212">
        <v>1</v>
      </c>
      <c r="AH684" s="1212">
        <v>0</v>
      </c>
      <c r="AI684" s="1212">
        <v>0</v>
      </c>
      <c r="AJ684" s="1212">
        <v>1</v>
      </c>
      <c r="AK684" s="2126">
        <v>-40847.695511255202</v>
      </c>
      <c r="AL684" s="2126">
        <v>0</v>
      </c>
      <c r="AM684" s="2126">
        <v>0</v>
      </c>
      <c r="AN684" s="2126">
        <v>-40847.695511255202</v>
      </c>
      <c r="AO684" s="1743" t="s">
        <v>85</v>
      </c>
      <c r="AP684" s="1743" t="s">
        <v>96</v>
      </c>
      <c r="AQ684" s="1764" t="s">
        <v>118</v>
      </c>
      <c r="AR684" s="1743" t="s">
        <v>87</v>
      </c>
      <c r="AS684" s="2135"/>
      <c r="AT684" s="2135"/>
      <c r="AU684" s="1212">
        <v>0.33333333333333331</v>
      </c>
      <c r="AV684" s="1212">
        <v>0.33333333333333331</v>
      </c>
      <c r="AW684" s="1212">
        <v>0.33333333333333331</v>
      </c>
      <c r="AX684" s="1212"/>
      <c r="AY684" s="1212"/>
      <c r="AZ684" s="1212"/>
      <c r="BA684" s="1212"/>
      <c r="BB684" s="1212"/>
      <c r="BC684" s="1212"/>
      <c r="BD684" s="1212"/>
      <c r="BE684" s="1212"/>
      <c r="BF684" s="2126">
        <v>0</v>
      </c>
      <c r="BG684" s="2126">
        <v>0</v>
      </c>
      <c r="BH684" s="2126">
        <v>-13615.898503751734</v>
      </c>
      <c r="BI684" s="2126">
        <v>-13615.898503751734</v>
      </c>
      <c r="BJ684" s="2126">
        <v>-13615.898503751734</v>
      </c>
      <c r="BK684" s="2126">
        <v>0</v>
      </c>
      <c r="BL684" s="2126">
        <v>0</v>
      </c>
      <c r="BM684" s="2126">
        <v>0</v>
      </c>
      <c r="BN684" s="2126">
        <v>0</v>
      </c>
      <c r="BO684" s="2126">
        <v>0</v>
      </c>
      <c r="BP684" s="2126">
        <v>0</v>
      </c>
      <c r="BQ684" s="2126">
        <v>0</v>
      </c>
      <c r="BR684" s="2126">
        <v>0</v>
      </c>
    </row>
    <row r="685" spans="1:70" s="1765" customFormat="1" ht="33">
      <c r="A685" s="1272">
        <v>4000</v>
      </c>
      <c r="B685" s="971" t="s">
        <v>1316</v>
      </c>
      <c r="C685" s="1272">
        <v>4100</v>
      </c>
      <c r="D685" s="971" t="s">
        <v>120</v>
      </c>
      <c r="E685" s="971">
        <v>4130</v>
      </c>
      <c r="F685" s="971" t="s">
        <v>148</v>
      </c>
      <c r="G685" s="971">
        <v>4139</v>
      </c>
      <c r="H685" s="971" t="s">
        <v>172</v>
      </c>
      <c r="I685" s="1273"/>
      <c r="J685" s="971" t="s">
        <v>121</v>
      </c>
      <c r="K685" s="971" t="s">
        <v>1256</v>
      </c>
      <c r="L685" s="971" t="s">
        <v>206</v>
      </c>
      <c r="M685" s="971" t="s">
        <v>1257</v>
      </c>
      <c r="N685" s="971" t="s">
        <v>83</v>
      </c>
      <c r="O685" s="971" t="s">
        <v>1258</v>
      </c>
      <c r="P685" s="971"/>
      <c r="Q685" s="971" t="s">
        <v>1385</v>
      </c>
      <c r="R685" s="1266"/>
      <c r="S685" s="2106">
        <v>225</v>
      </c>
      <c r="T685" s="1266" t="s">
        <v>991</v>
      </c>
      <c r="U685" s="1742">
        <v>0.3478</v>
      </c>
      <c r="V685" s="1742">
        <v>2.1737500000000001</v>
      </c>
      <c r="W685" s="1742">
        <v>30.655092</v>
      </c>
      <c r="X685" s="1742">
        <v>23.975593</v>
      </c>
      <c r="Y685" s="2106">
        <v>56.804434999999998</v>
      </c>
      <c r="Z685" s="2106">
        <v>78.254999999999995</v>
      </c>
      <c r="AA685" s="2106">
        <v>489.09375</v>
      </c>
      <c r="AB685" s="2106">
        <v>6897.3957</v>
      </c>
      <c r="AC685" s="2106">
        <v>5394.508425</v>
      </c>
      <c r="AD685" s="1744">
        <v>12780.997875000001</v>
      </c>
      <c r="AE685" s="2126">
        <v>0</v>
      </c>
      <c r="AF685" s="2126">
        <v>0</v>
      </c>
      <c r="AG685" s="1212">
        <v>1</v>
      </c>
      <c r="AH685" s="1212">
        <v>0</v>
      </c>
      <c r="AI685" s="1212">
        <v>0</v>
      </c>
      <c r="AJ685" s="1212">
        <v>1</v>
      </c>
      <c r="AK685" s="2126">
        <v>12780.997875000001</v>
      </c>
      <c r="AL685" s="2126">
        <v>0</v>
      </c>
      <c r="AM685" s="2126">
        <v>0</v>
      </c>
      <c r="AN685" s="2126">
        <v>12780.997875000001</v>
      </c>
      <c r="AO685" s="1743" t="s">
        <v>85</v>
      </c>
      <c r="AP685" s="1743" t="s">
        <v>1105</v>
      </c>
      <c r="AQ685" s="1764">
        <v>2019</v>
      </c>
      <c r="AR685" s="1743" t="s">
        <v>87</v>
      </c>
      <c r="AS685" s="2135"/>
      <c r="AT685" s="2135"/>
      <c r="AU685" s="1212">
        <v>0.33333333333333331</v>
      </c>
      <c r="AV685" s="1212">
        <v>0.33333333333333331</v>
      </c>
      <c r="AW685" s="1212">
        <v>0.33333333333333331</v>
      </c>
      <c r="AX685" s="1212"/>
      <c r="AY685" s="1212"/>
      <c r="AZ685" s="1212"/>
      <c r="BA685" s="1212"/>
      <c r="BB685" s="1212"/>
      <c r="BC685" s="1212"/>
      <c r="BD685" s="1212"/>
      <c r="BE685" s="1212"/>
      <c r="BF685" s="2126">
        <v>0</v>
      </c>
      <c r="BG685" s="2126">
        <v>0</v>
      </c>
      <c r="BH685" s="2126">
        <v>4260.332625</v>
      </c>
      <c r="BI685" s="2126">
        <v>4260.332625</v>
      </c>
      <c r="BJ685" s="2126">
        <v>4260.332625</v>
      </c>
      <c r="BK685" s="2126">
        <v>0</v>
      </c>
      <c r="BL685" s="2126">
        <v>0</v>
      </c>
      <c r="BM685" s="2126">
        <v>0</v>
      </c>
      <c r="BN685" s="2126">
        <v>0</v>
      </c>
      <c r="BO685" s="2126">
        <v>0</v>
      </c>
      <c r="BP685" s="2126">
        <v>0</v>
      </c>
      <c r="BQ685" s="2126">
        <v>0</v>
      </c>
      <c r="BR685" s="2126">
        <v>0</v>
      </c>
    </row>
    <row r="686" spans="1:70" s="1765" customFormat="1" ht="33">
      <c r="A686" s="1272">
        <v>4000</v>
      </c>
      <c r="B686" s="971" t="s">
        <v>1316</v>
      </c>
      <c r="C686" s="1272">
        <v>4100</v>
      </c>
      <c r="D686" s="971" t="s">
        <v>120</v>
      </c>
      <c r="E686" s="971">
        <v>4130</v>
      </c>
      <c r="F686" s="971" t="s">
        <v>148</v>
      </c>
      <c r="G686" s="971">
        <v>4139</v>
      </c>
      <c r="H686" s="971" t="s">
        <v>172</v>
      </c>
      <c r="I686" s="1273"/>
      <c r="J686" s="971" t="s">
        <v>121</v>
      </c>
      <c r="K686" s="971" t="s">
        <v>1256</v>
      </c>
      <c r="L686" s="971" t="s">
        <v>206</v>
      </c>
      <c r="M686" s="971" t="s">
        <v>1257</v>
      </c>
      <c r="N686" s="971" t="s">
        <v>83</v>
      </c>
      <c r="O686" s="971" t="s">
        <v>1258</v>
      </c>
      <c r="P686" s="971"/>
      <c r="Q686" s="971" t="s">
        <v>1386</v>
      </c>
      <c r="R686" s="1266"/>
      <c r="S686" s="2106">
        <v>60</v>
      </c>
      <c r="T686" s="1266" t="s">
        <v>991</v>
      </c>
      <c r="U686" s="1742">
        <v>0.3478</v>
      </c>
      <c r="V686" s="1742">
        <v>2.1737500000000001</v>
      </c>
      <c r="W686" s="1742">
        <v>30.655092</v>
      </c>
      <c r="X686" s="1742">
        <v>23.975593</v>
      </c>
      <c r="Y686" s="2106">
        <v>56.804434999999998</v>
      </c>
      <c r="Z686" s="2106">
        <v>20.867999999999999</v>
      </c>
      <c r="AA686" s="2106">
        <v>130.42500000000001</v>
      </c>
      <c r="AB686" s="2106">
        <v>1839.3055199999999</v>
      </c>
      <c r="AC686" s="2106">
        <v>1438.53558</v>
      </c>
      <c r="AD686" s="1744">
        <v>3408.2660999999998</v>
      </c>
      <c r="AE686" s="2126">
        <v>0</v>
      </c>
      <c r="AF686" s="2126">
        <v>0</v>
      </c>
      <c r="AG686" s="1212">
        <v>1</v>
      </c>
      <c r="AH686" s="1212">
        <v>0</v>
      </c>
      <c r="AI686" s="1212">
        <v>0</v>
      </c>
      <c r="AJ686" s="1212">
        <v>1</v>
      </c>
      <c r="AK686" s="2126">
        <v>3408.2660999999998</v>
      </c>
      <c r="AL686" s="2126">
        <v>0</v>
      </c>
      <c r="AM686" s="2126">
        <v>0</v>
      </c>
      <c r="AN686" s="2126">
        <v>3408.2660999999998</v>
      </c>
      <c r="AO686" s="1743" t="s">
        <v>85</v>
      </c>
      <c r="AP686" s="1743" t="s">
        <v>1105</v>
      </c>
      <c r="AQ686" s="1764">
        <v>2019</v>
      </c>
      <c r="AR686" s="1743" t="s">
        <v>87</v>
      </c>
      <c r="AS686" s="2135"/>
      <c r="AT686" s="2135"/>
      <c r="AU686" s="1212">
        <v>0.33333333333333331</v>
      </c>
      <c r="AV686" s="1212">
        <v>0.33333333333333331</v>
      </c>
      <c r="AW686" s="1212">
        <v>0.33333333333333331</v>
      </c>
      <c r="AX686" s="1212"/>
      <c r="AY686" s="1212"/>
      <c r="AZ686" s="1212"/>
      <c r="BA686" s="1212"/>
      <c r="BB686" s="1212"/>
      <c r="BC686" s="1212"/>
      <c r="BD686" s="1212"/>
      <c r="BE686" s="1212"/>
      <c r="BF686" s="2126">
        <v>0</v>
      </c>
      <c r="BG686" s="2126">
        <v>0</v>
      </c>
      <c r="BH686" s="2126">
        <v>1136.0886999999998</v>
      </c>
      <c r="BI686" s="2126">
        <v>1136.0886999999998</v>
      </c>
      <c r="BJ686" s="2126">
        <v>1136.0886999999998</v>
      </c>
      <c r="BK686" s="2126">
        <v>0</v>
      </c>
      <c r="BL686" s="2126">
        <v>0</v>
      </c>
      <c r="BM686" s="2126">
        <v>0</v>
      </c>
      <c r="BN686" s="2126">
        <v>0</v>
      </c>
      <c r="BO686" s="2126">
        <v>0</v>
      </c>
      <c r="BP686" s="2126">
        <v>0</v>
      </c>
      <c r="BQ686" s="2126">
        <v>0</v>
      </c>
      <c r="BR686" s="2126">
        <v>0</v>
      </c>
    </row>
    <row r="687" spans="1:70" s="1765" customFormat="1" ht="33">
      <c r="A687" s="1272">
        <v>4000</v>
      </c>
      <c r="B687" s="971" t="s">
        <v>1316</v>
      </c>
      <c r="C687" s="1272">
        <v>4100</v>
      </c>
      <c r="D687" s="971" t="s">
        <v>120</v>
      </c>
      <c r="E687" s="971">
        <v>4130</v>
      </c>
      <c r="F687" s="971" t="s">
        <v>148</v>
      </c>
      <c r="G687" s="971">
        <v>4139</v>
      </c>
      <c r="H687" s="971" t="s">
        <v>172</v>
      </c>
      <c r="I687" s="1273"/>
      <c r="J687" s="971" t="s">
        <v>121</v>
      </c>
      <c r="K687" s="971" t="s">
        <v>204</v>
      </c>
      <c r="L687" s="971" t="s">
        <v>206</v>
      </c>
      <c r="M687" s="971" t="s">
        <v>205</v>
      </c>
      <c r="N687" s="971" t="s">
        <v>83</v>
      </c>
      <c r="O687" s="971" t="s">
        <v>206</v>
      </c>
      <c r="P687" s="971"/>
      <c r="Q687" s="971" t="s">
        <v>207</v>
      </c>
      <c r="R687" s="1266"/>
      <c r="S687" s="2106">
        <v>14</v>
      </c>
      <c r="T687" s="1266" t="s">
        <v>242</v>
      </c>
      <c r="U687" s="1742">
        <v>6</v>
      </c>
      <c r="V687" s="1742">
        <v>37.5</v>
      </c>
      <c r="W687" s="1742">
        <v>528.84</v>
      </c>
      <c r="X687" s="1742">
        <v>413.61</v>
      </c>
      <c r="Y687" s="2106">
        <v>979.95</v>
      </c>
      <c r="Z687" s="2106">
        <v>84</v>
      </c>
      <c r="AA687" s="2106">
        <v>525</v>
      </c>
      <c r="AB687" s="2106">
        <v>7403.76</v>
      </c>
      <c r="AC687" s="2106">
        <v>5790.54</v>
      </c>
      <c r="AD687" s="1744">
        <v>13719.3</v>
      </c>
      <c r="AE687" s="2126">
        <v>0</v>
      </c>
      <c r="AF687" s="2126">
        <v>0</v>
      </c>
      <c r="AG687" s="1212">
        <v>1</v>
      </c>
      <c r="AH687" s="1212">
        <v>0</v>
      </c>
      <c r="AI687" s="1212">
        <v>0</v>
      </c>
      <c r="AJ687" s="1212">
        <v>1</v>
      </c>
      <c r="AK687" s="2126">
        <v>13719.3</v>
      </c>
      <c r="AL687" s="2126">
        <v>0</v>
      </c>
      <c r="AM687" s="2126">
        <v>0</v>
      </c>
      <c r="AN687" s="2126">
        <v>13719.3</v>
      </c>
      <c r="AO687" s="1743" t="s">
        <v>85</v>
      </c>
      <c r="AP687" s="1743"/>
      <c r="AQ687" s="1764" t="s">
        <v>105</v>
      </c>
      <c r="AR687" s="1743" t="s">
        <v>87</v>
      </c>
      <c r="AS687" s="2135"/>
      <c r="AT687" s="2135"/>
      <c r="AU687" s="1212">
        <v>0.33333333333333331</v>
      </c>
      <c r="AV687" s="1212">
        <v>0.33333333333333331</v>
      </c>
      <c r="AW687" s="1212">
        <v>0.33333333333333331</v>
      </c>
      <c r="AX687" s="1212"/>
      <c r="AY687" s="1212"/>
      <c r="AZ687" s="1212"/>
      <c r="BA687" s="1212"/>
      <c r="BB687" s="1212"/>
      <c r="BC687" s="1212"/>
      <c r="BD687" s="1212"/>
      <c r="BE687" s="1212"/>
      <c r="BF687" s="2126">
        <v>0</v>
      </c>
      <c r="BG687" s="2126">
        <v>0</v>
      </c>
      <c r="BH687" s="2126">
        <v>4573.0999999999995</v>
      </c>
      <c r="BI687" s="2126">
        <v>4573.0999999999995</v>
      </c>
      <c r="BJ687" s="2126">
        <v>4573.0999999999995</v>
      </c>
      <c r="BK687" s="2126">
        <v>0</v>
      </c>
      <c r="BL687" s="2126">
        <v>0</v>
      </c>
      <c r="BM687" s="2126">
        <v>0</v>
      </c>
      <c r="BN687" s="2126">
        <v>0</v>
      </c>
      <c r="BO687" s="2126">
        <v>0</v>
      </c>
      <c r="BP687" s="2126">
        <v>0</v>
      </c>
      <c r="BQ687" s="2126">
        <v>0</v>
      </c>
      <c r="BR687" s="2126">
        <v>0</v>
      </c>
    </row>
    <row r="688" spans="1:70" s="1765" customFormat="1" ht="49.5">
      <c r="A688" s="1272">
        <v>4000</v>
      </c>
      <c r="B688" s="971" t="s">
        <v>1316</v>
      </c>
      <c r="C688" s="1272">
        <v>4100</v>
      </c>
      <c r="D688" s="971" t="s">
        <v>838</v>
      </c>
      <c r="E688" s="971">
        <v>4130</v>
      </c>
      <c r="F688" s="971" t="s">
        <v>148</v>
      </c>
      <c r="G688" s="971">
        <v>4616</v>
      </c>
      <c r="H688" s="971" t="s">
        <v>910</v>
      </c>
      <c r="I688" s="1273"/>
      <c r="J688" s="971" t="s">
        <v>121</v>
      </c>
      <c r="K688" s="971" t="s">
        <v>255</v>
      </c>
      <c r="L688" s="971" t="s">
        <v>2802</v>
      </c>
      <c r="M688" s="971" t="s">
        <v>255</v>
      </c>
      <c r="N688" s="971" t="s">
        <v>83</v>
      </c>
      <c r="O688" s="971" t="s">
        <v>256</v>
      </c>
      <c r="P688" s="971"/>
      <c r="Q688" s="971" t="s">
        <v>1387</v>
      </c>
      <c r="R688" s="1266" t="s">
        <v>1388</v>
      </c>
      <c r="S688" s="2106">
        <v>146</v>
      </c>
      <c r="T688" s="1266" t="s">
        <v>136</v>
      </c>
      <c r="U688" s="1742">
        <v>4.4491883296460179E-2</v>
      </c>
      <c r="V688" s="1742">
        <v>0.1701</v>
      </c>
      <c r="W688" s="1742">
        <v>3.92151459375</v>
      </c>
      <c r="X688" s="1742">
        <v>0.68180304577546291</v>
      </c>
      <c r="Y688" s="2106">
        <v>4.7480795457754628</v>
      </c>
      <c r="Z688" s="2106">
        <v>6.4958149612831857</v>
      </c>
      <c r="AA688" s="2106">
        <v>24.834600000000002</v>
      </c>
      <c r="AB688" s="2106">
        <v>572.54113068749996</v>
      </c>
      <c r="AC688" s="2106">
        <v>99.54324468321758</v>
      </c>
      <c r="AD688" s="1744">
        <v>693.21961368321752</v>
      </c>
      <c r="AE688" s="2126">
        <v>0</v>
      </c>
      <c r="AF688" s="2126">
        <v>0</v>
      </c>
      <c r="AG688" s="1212">
        <v>1</v>
      </c>
      <c r="AH688" s="1212">
        <v>0</v>
      </c>
      <c r="AI688" s="1212">
        <v>0</v>
      </c>
      <c r="AJ688" s="1212">
        <v>1</v>
      </c>
      <c r="AK688" s="2126">
        <v>693.21961368321752</v>
      </c>
      <c r="AL688" s="2126">
        <v>0</v>
      </c>
      <c r="AM688" s="2126">
        <v>0</v>
      </c>
      <c r="AN688" s="2126">
        <v>693.21961368321752</v>
      </c>
      <c r="AO688" s="1743" t="s">
        <v>85</v>
      </c>
      <c r="AP688" s="1743" t="s">
        <v>90</v>
      </c>
      <c r="AQ688" s="1764">
        <v>2023</v>
      </c>
      <c r="AR688" s="1743" t="s">
        <v>87</v>
      </c>
      <c r="AS688" s="2135"/>
      <c r="AT688" s="2135"/>
      <c r="AU688" s="1212">
        <v>0.33333333333333331</v>
      </c>
      <c r="AV688" s="1212">
        <v>0.33333333333333331</v>
      </c>
      <c r="AW688" s="1212">
        <v>0.33333333333333331</v>
      </c>
      <c r="AX688" s="1212"/>
      <c r="AY688" s="1212"/>
      <c r="AZ688" s="1212"/>
      <c r="BA688" s="1212"/>
      <c r="BB688" s="1212"/>
      <c r="BC688" s="1212"/>
      <c r="BD688" s="1212"/>
      <c r="BE688" s="1212"/>
      <c r="BF688" s="2126">
        <v>0</v>
      </c>
      <c r="BG688" s="2126">
        <v>0</v>
      </c>
      <c r="BH688" s="2126">
        <v>231.07320456107249</v>
      </c>
      <c r="BI688" s="2126">
        <v>231.07320456107249</v>
      </c>
      <c r="BJ688" s="2126">
        <v>231.07320456107249</v>
      </c>
      <c r="BK688" s="2126">
        <v>0</v>
      </c>
      <c r="BL688" s="2126">
        <v>0</v>
      </c>
      <c r="BM688" s="2126">
        <v>0</v>
      </c>
      <c r="BN688" s="2126">
        <v>0</v>
      </c>
      <c r="BO688" s="2126">
        <v>0</v>
      </c>
      <c r="BP688" s="2126">
        <v>0</v>
      </c>
      <c r="BQ688" s="2126">
        <v>0</v>
      </c>
      <c r="BR688" s="2126">
        <v>0</v>
      </c>
    </row>
    <row r="689" spans="1:70" s="1765" customFormat="1" ht="33">
      <c r="A689" s="1272">
        <v>4000</v>
      </c>
      <c r="B689" s="971" t="s">
        <v>1316</v>
      </c>
      <c r="C689" s="1272">
        <v>4100</v>
      </c>
      <c r="D689" s="971" t="s">
        <v>120</v>
      </c>
      <c r="E689" s="971" t="s">
        <v>1389</v>
      </c>
      <c r="F689" s="971" t="s">
        <v>176</v>
      </c>
      <c r="G689" s="971">
        <v>4141</v>
      </c>
      <c r="H689" s="971" t="s">
        <v>1390</v>
      </c>
      <c r="I689" s="1273"/>
      <c r="J689" s="971" t="s">
        <v>177</v>
      </c>
      <c r="K689" s="971" t="s">
        <v>196</v>
      </c>
      <c r="L689" s="971" t="s">
        <v>197</v>
      </c>
      <c r="M689" s="971" t="s">
        <v>196</v>
      </c>
      <c r="N689" s="971" t="s">
        <v>179</v>
      </c>
      <c r="O689" s="971" t="s">
        <v>197</v>
      </c>
      <c r="P689" s="971"/>
      <c r="Q689" s="971" t="s">
        <v>1391</v>
      </c>
      <c r="R689" s="1266"/>
      <c r="S689" s="2106">
        <v>1</v>
      </c>
      <c r="T689" s="1266" t="s">
        <v>242</v>
      </c>
      <c r="U689" s="1742">
        <v>9.6666666666666661</v>
      </c>
      <c r="V689" s="1742">
        <v>89.583333333333329</v>
      </c>
      <c r="W689" s="1742">
        <v>852.02</v>
      </c>
      <c r="X689" s="1742">
        <v>988.06833333333327</v>
      </c>
      <c r="Y689" s="2106">
        <v>1929.6716666666666</v>
      </c>
      <c r="Z689" s="2106">
        <v>9.6666666666666661</v>
      </c>
      <c r="AA689" s="2106">
        <v>89.583333333333329</v>
      </c>
      <c r="AB689" s="2106">
        <v>852.02</v>
      </c>
      <c r="AC689" s="2106">
        <v>988.06833333333327</v>
      </c>
      <c r="AD689" s="1744">
        <v>1929.6716666666666</v>
      </c>
      <c r="AE689" s="2126">
        <v>1</v>
      </c>
      <c r="AF689" s="2126">
        <v>1</v>
      </c>
      <c r="AG689" s="1212">
        <v>1</v>
      </c>
      <c r="AH689" s="1212">
        <v>0</v>
      </c>
      <c r="AI689" s="1212">
        <v>0</v>
      </c>
      <c r="AJ689" s="1212">
        <v>1</v>
      </c>
      <c r="AK689" s="2126">
        <v>1929.6716666666666</v>
      </c>
      <c r="AL689" s="2126">
        <v>0</v>
      </c>
      <c r="AM689" s="2126">
        <v>0</v>
      </c>
      <c r="AN689" s="2126">
        <v>1929.6716666666666</v>
      </c>
      <c r="AO689" s="1743" t="s">
        <v>85</v>
      </c>
      <c r="AP689" s="1743" t="s">
        <v>1217</v>
      </c>
      <c r="AQ689" s="1764" t="s">
        <v>108</v>
      </c>
      <c r="AR689" s="1743" t="s">
        <v>87</v>
      </c>
      <c r="AS689" s="2135"/>
      <c r="AT689" s="2135"/>
      <c r="AU689" s="1212">
        <v>0.33333333333333331</v>
      </c>
      <c r="AV689" s="1212">
        <v>0.33333333333333331</v>
      </c>
      <c r="AW689" s="1212">
        <v>0.33333333333333331</v>
      </c>
      <c r="AX689" s="1212"/>
      <c r="AY689" s="1212"/>
      <c r="AZ689" s="1212"/>
      <c r="BA689" s="1212"/>
      <c r="BB689" s="1212"/>
      <c r="BC689" s="1212"/>
      <c r="BD689" s="1212"/>
      <c r="BE689" s="1212"/>
      <c r="BF689" s="2126">
        <v>0</v>
      </c>
      <c r="BG689" s="2126">
        <v>0</v>
      </c>
      <c r="BH689" s="2126">
        <v>643.22388888888884</v>
      </c>
      <c r="BI689" s="2126">
        <v>643.22388888888884</v>
      </c>
      <c r="BJ689" s="2126">
        <v>643.22388888888884</v>
      </c>
      <c r="BK689" s="2126">
        <v>0</v>
      </c>
      <c r="BL689" s="2126">
        <v>0</v>
      </c>
      <c r="BM689" s="2126">
        <v>0</v>
      </c>
      <c r="BN689" s="2126">
        <v>0</v>
      </c>
      <c r="BO689" s="2126">
        <v>0</v>
      </c>
      <c r="BP689" s="2126">
        <v>0</v>
      </c>
      <c r="BQ689" s="2126">
        <v>0</v>
      </c>
      <c r="BR689" s="2126">
        <v>0</v>
      </c>
    </row>
    <row r="690" spans="1:70" s="1765" customFormat="1" ht="33">
      <c r="A690" s="1272">
        <v>4000</v>
      </c>
      <c r="B690" s="971" t="s">
        <v>1316</v>
      </c>
      <c r="C690" s="1272">
        <v>4100</v>
      </c>
      <c r="D690" s="971" t="s">
        <v>120</v>
      </c>
      <c r="E690" s="971" t="s">
        <v>1389</v>
      </c>
      <c r="F690" s="971" t="s">
        <v>176</v>
      </c>
      <c r="G690" s="971">
        <v>4141</v>
      </c>
      <c r="H690" s="971" t="s">
        <v>1390</v>
      </c>
      <c r="I690" s="1273"/>
      <c r="J690" s="971" t="s">
        <v>177</v>
      </c>
      <c r="K690" s="971" t="s">
        <v>196</v>
      </c>
      <c r="L690" s="971" t="s">
        <v>197</v>
      </c>
      <c r="M690" s="971" t="s">
        <v>196</v>
      </c>
      <c r="N690" s="971" t="s">
        <v>179</v>
      </c>
      <c r="O690" s="971" t="s">
        <v>197</v>
      </c>
      <c r="P690" s="971"/>
      <c r="Q690" s="971" t="s">
        <v>1391</v>
      </c>
      <c r="R690" s="1266"/>
      <c r="S690" s="2106">
        <v>1</v>
      </c>
      <c r="T690" s="1266" t="s">
        <v>242</v>
      </c>
      <c r="U690" s="1742">
        <v>9.6666666666666661</v>
      </c>
      <c r="V690" s="1742">
        <v>89.583333333333329</v>
      </c>
      <c r="W690" s="1742">
        <v>852.02</v>
      </c>
      <c r="X690" s="1742">
        <v>988.06833333333327</v>
      </c>
      <c r="Y690" s="2106">
        <v>1929.6716666666666</v>
      </c>
      <c r="Z690" s="2106">
        <v>9.6666666666666661</v>
      </c>
      <c r="AA690" s="2106">
        <v>89.583333333333329</v>
      </c>
      <c r="AB690" s="2106">
        <v>852.02</v>
      </c>
      <c r="AC690" s="2106">
        <v>988.06833333333327</v>
      </c>
      <c r="AD690" s="1744">
        <v>1929.6716666666666</v>
      </c>
      <c r="AE690" s="2126">
        <v>1</v>
      </c>
      <c r="AF690" s="2126">
        <v>1</v>
      </c>
      <c r="AG690" s="1212">
        <v>1</v>
      </c>
      <c r="AH690" s="1212">
        <v>0</v>
      </c>
      <c r="AI690" s="1212">
        <v>0</v>
      </c>
      <c r="AJ690" s="1212">
        <v>1</v>
      </c>
      <c r="AK690" s="2126">
        <v>1929.6716666666666</v>
      </c>
      <c r="AL690" s="2126">
        <v>0</v>
      </c>
      <c r="AM690" s="2126">
        <v>0</v>
      </c>
      <c r="AN690" s="2126">
        <v>1929.6716666666666</v>
      </c>
      <c r="AO690" s="1743" t="s">
        <v>85</v>
      </c>
      <c r="AP690" s="1743" t="s">
        <v>1217</v>
      </c>
      <c r="AQ690" s="1764" t="s">
        <v>108</v>
      </c>
      <c r="AR690" s="1743" t="s">
        <v>87</v>
      </c>
      <c r="AS690" s="2135"/>
      <c r="AT690" s="2135"/>
      <c r="AU690" s="1212">
        <v>0.33333333333333331</v>
      </c>
      <c r="AV690" s="1212">
        <v>0.33333333333333331</v>
      </c>
      <c r="AW690" s="1212">
        <v>0.33333333333333331</v>
      </c>
      <c r="AX690" s="1212"/>
      <c r="AY690" s="1212"/>
      <c r="AZ690" s="1212"/>
      <c r="BA690" s="1212"/>
      <c r="BB690" s="1212"/>
      <c r="BC690" s="1212"/>
      <c r="BD690" s="1212"/>
      <c r="BE690" s="1212"/>
      <c r="BF690" s="2126">
        <v>0</v>
      </c>
      <c r="BG690" s="2126">
        <v>0</v>
      </c>
      <c r="BH690" s="2126">
        <v>643.22388888888884</v>
      </c>
      <c r="BI690" s="2126">
        <v>643.22388888888884</v>
      </c>
      <c r="BJ690" s="2126">
        <v>643.22388888888884</v>
      </c>
      <c r="BK690" s="2126">
        <v>0</v>
      </c>
      <c r="BL690" s="2126">
        <v>0</v>
      </c>
      <c r="BM690" s="2126">
        <v>0</v>
      </c>
      <c r="BN690" s="2126">
        <v>0</v>
      </c>
      <c r="BO690" s="2126">
        <v>0</v>
      </c>
      <c r="BP690" s="2126">
        <v>0</v>
      </c>
      <c r="BQ690" s="2126">
        <v>0</v>
      </c>
      <c r="BR690" s="2126">
        <v>0</v>
      </c>
    </row>
    <row r="691" spans="1:70" s="1765" customFormat="1" ht="33">
      <c r="A691" s="1272">
        <v>4000</v>
      </c>
      <c r="B691" s="971" t="s">
        <v>1316</v>
      </c>
      <c r="C691" s="1272">
        <v>4100</v>
      </c>
      <c r="D691" s="971" t="s">
        <v>120</v>
      </c>
      <c r="E691" s="971" t="s">
        <v>1389</v>
      </c>
      <c r="F691" s="971" t="s">
        <v>176</v>
      </c>
      <c r="G691" s="971">
        <v>4141</v>
      </c>
      <c r="H691" s="971" t="s">
        <v>1390</v>
      </c>
      <c r="I691" s="1273"/>
      <c r="J691" s="971" t="s">
        <v>177</v>
      </c>
      <c r="K691" s="971" t="s">
        <v>196</v>
      </c>
      <c r="L691" s="971" t="s">
        <v>197</v>
      </c>
      <c r="M691" s="971" t="s">
        <v>196</v>
      </c>
      <c r="N691" s="971" t="s">
        <v>179</v>
      </c>
      <c r="O691" s="971" t="s">
        <v>197</v>
      </c>
      <c r="P691" s="971"/>
      <c r="Q691" s="971" t="s">
        <v>1392</v>
      </c>
      <c r="R691" s="1266"/>
      <c r="S691" s="2106">
        <v>1</v>
      </c>
      <c r="T691" s="1266" t="s">
        <v>242</v>
      </c>
      <c r="U691" s="1742">
        <v>9.6666666666666661</v>
      </c>
      <c r="V691" s="1742">
        <v>89.583333333333329</v>
      </c>
      <c r="W691" s="1742">
        <v>852.02</v>
      </c>
      <c r="X691" s="1742">
        <v>988.06833333333327</v>
      </c>
      <c r="Y691" s="2106">
        <v>1929.6716666666666</v>
      </c>
      <c r="Z691" s="2106">
        <v>9.6666666666666661</v>
      </c>
      <c r="AA691" s="2106">
        <v>89.583333333333329</v>
      </c>
      <c r="AB691" s="2106">
        <v>852.02</v>
      </c>
      <c r="AC691" s="2106">
        <v>988.06833333333327</v>
      </c>
      <c r="AD691" s="1744">
        <v>1929.6716666666666</v>
      </c>
      <c r="AE691" s="2126">
        <v>1</v>
      </c>
      <c r="AF691" s="2126">
        <v>1</v>
      </c>
      <c r="AG691" s="1212">
        <v>1</v>
      </c>
      <c r="AH691" s="1212">
        <v>0</v>
      </c>
      <c r="AI691" s="1212">
        <v>0</v>
      </c>
      <c r="AJ691" s="1212">
        <v>1</v>
      </c>
      <c r="AK691" s="2126">
        <v>1929.6716666666666</v>
      </c>
      <c r="AL691" s="2126">
        <v>0</v>
      </c>
      <c r="AM691" s="2126">
        <v>0</v>
      </c>
      <c r="AN691" s="2126">
        <v>1929.6716666666666</v>
      </c>
      <c r="AO691" s="1743" t="s">
        <v>85</v>
      </c>
      <c r="AP691" s="1743" t="s">
        <v>1217</v>
      </c>
      <c r="AQ691" s="1764" t="s">
        <v>108</v>
      </c>
      <c r="AR691" s="1743" t="s">
        <v>87</v>
      </c>
      <c r="AS691" s="2135"/>
      <c r="AT691" s="2135"/>
      <c r="AU691" s="1212">
        <v>0.33333333333333331</v>
      </c>
      <c r="AV691" s="1212">
        <v>0.33333333333333331</v>
      </c>
      <c r="AW691" s="1212">
        <v>0.33333333333333331</v>
      </c>
      <c r="AX691" s="1212"/>
      <c r="AY691" s="1212"/>
      <c r="AZ691" s="1212"/>
      <c r="BA691" s="1212"/>
      <c r="BB691" s="1212"/>
      <c r="BC691" s="1212"/>
      <c r="BD691" s="1212"/>
      <c r="BE691" s="1212"/>
      <c r="BF691" s="2126">
        <v>0</v>
      </c>
      <c r="BG691" s="2126">
        <v>0</v>
      </c>
      <c r="BH691" s="2126">
        <v>643.22388888888884</v>
      </c>
      <c r="BI691" s="2126">
        <v>643.22388888888884</v>
      </c>
      <c r="BJ691" s="2126">
        <v>643.22388888888884</v>
      </c>
      <c r="BK691" s="2126">
        <v>0</v>
      </c>
      <c r="BL691" s="2126">
        <v>0</v>
      </c>
      <c r="BM691" s="2126">
        <v>0</v>
      </c>
      <c r="BN691" s="2126">
        <v>0</v>
      </c>
      <c r="BO691" s="2126">
        <v>0</v>
      </c>
      <c r="BP691" s="2126">
        <v>0</v>
      </c>
      <c r="BQ691" s="2126">
        <v>0</v>
      </c>
      <c r="BR691" s="2126">
        <v>0</v>
      </c>
    </row>
    <row r="692" spans="1:70" s="1765" customFormat="1" ht="49.5">
      <c r="A692" s="1272">
        <v>4000</v>
      </c>
      <c r="B692" s="971" t="s">
        <v>1316</v>
      </c>
      <c r="C692" s="1272">
        <v>4100</v>
      </c>
      <c r="D692" s="971" t="s">
        <v>120</v>
      </c>
      <c r="E692" s="971">
        <v>4140</v>
      </c>
      <c r="F692" s="971" t="s">
        <v>176</v>
      </c>
      <c r="G692" s="971">
        <v>4140</v>
      </c>
      <c r="H692" s="971" t="s">
        <v>176</v>
      </c>
      <c r="I692" s="1273"/>
      <c r="J692" s="971" t="s">
        <v>177</v>
      </c>
      <c r="K692" s="971" t="s">
        <v>178</v>
      </c>
      <c r="L692" s="971" t="s">
        <v>1948</v>
      </c>
      <c r="M692" s="971" t="s">
        <v>178</v>
      </c>
      <c r="N692" s="971" t="s">
        <v>179</v>
      </c>
      <c r="O692" s="971" t="s">
        <v>180</v>
      </c>
      <c r="P692" s="971" t="s">
        <v>181</v>
      </c>
      <c r="Q692" s="971" t="s">
        <v>187</v>
      </c>
      <c r="R692" s="1266"/>
      <c r="S692" s="2106">
        <v>2</v>
      </c>
      <c r="T692" s="1266" t="s">
        <v>242</v>
      </c>
      <c r="U692" s="1742">
        <v>42.724999999999994</v>
      </c>
      <c r="V692" s="1742">
        <v>470.625</v>
      </c>
      <c r="W692" s="1742">
        <v>3765.7815000000001</v>
      </c>
      <c r="X692" s="1742">
        <v>5190.8055000000004</v>
      </c>
      <c r="Y692" s="2106">
        <v>9427.2119999999995</v>
      </c>
      <c r="Z692" s="2106">
        <v>85.449999999999989</v>
      </c>
      <c r="AA692" s="2106">
        <v>941.25</v>
      </c>
      <c r="AB692" s="2106">
        <v>7531.5630000000001</v>
      </c>
      <c r="AC692" s="2106">
        <v>10381.611000000001</v>
      </c>
      <c r="AD692" s="1744">
        <v>18854.423999999999</v>
      </c>
      <c r="AE692" s="2126">
        <v>30</v>
      </c>
      <c r="AF692" s="2126">
        <v>60</v>
      </c>
      <c r="AG692" s="1212">
        <v>1</v>
      </c>
      <c r="AH692" s="1212">
        <v>0</v>
      </c>
      <c r="AI692" s="1212">
        <v>0</v>
      </c>
      <c r="AJ692" s="1212">
        <v>1</v>
      </c>
      <c r="AK692" s="2126">
        <v>18854.423999999999</v>
      </c>
      <c r="AL692" s="2126">
        <v>0</v>
      </c>
      <c r="AM692" s="2126">
        <v>0</v>
      </c>
      <c r="AN692" s="2126">
        <v>18854.423999999999</v>
      </c>
      <c r="AO692" s="1743" t="s">
        <v>85</v>
      </c>
      <c r="AP692" s="1743" t="s">
        <v>90</v>
      </c>
      <c r="AQ692" s="1764" t="s">
        <v>103</v>
      </c>
      <c r="AR692" s="1743" t="s">
        <v>87</v>
      </c>
      <c r="AS692" s="2135"/>
      <c r="AT692" s="2135"/>
      <c r="AU692" s="1212">
        <v>0.33333333333333331</v>
      </c>
      <c r="AV692" s="1212">
        <v>0.33333333333333331</v>
      </c>
      <c r="AW692" s="1212">
        <v>0.33333333333333331</v>
      </c>
      <c r="AX692" s="1212"/>
      <c r="AY692" s="1212"/>
      <c r="AZ692" s="1212"/>
      <c r="BA692" s="1212"/>
      <c r="BB692" s="1212"/>
      <c r="BC692" s="1212"/>
      <c r="BD692" s="1212"/>
      <c r="BE692" s="1212"/>
      <c r="BF692" s="2126">
        <v>0</v>
      </c>
      <c r="BG692" s="2126">
        <v>0</v>
      </c>
      <c r="BH692" s="2126">
        <v>6284.8079999999991</v>
      </c>
      <c r="BI692" s="2126">
        <v>6284.8079999999991</v>
      </c>
      <c r="BJ692" s="2126">
        <v>6284.8079999999991</v>
      </c>
      <c r="BK692" s="2126">
        <v>0</v>
      </c>
      <c r="BL692" s="2126">
        <v>0</v>
      </c>
      <c r="BM692" s="2126">
        <v>0</v>
      </c>
      <c r="BN692" s="2126">
        <v>0</v>
      </c>
      <c r="BO692" s="2126">
        <v>0</v>
      </c>
      <c r="BP692" s="2126">
        <v>0</v>
      </c>
      <c r="BQ692" s="2126">
        <v>0</v>
      </c>
      <c r="BR692" s="2126">
        <v>0</v>
      </c>
    </row>
    <row r="693" spans="1:70" s="1765" customFormat="1" ht="49.5">
      <c r="A693" s="1272">
        <v>4000</v>
      </c>
      <c r="B693" s="971" t="s">
        <v>1316</v>
      </c>
      <c r="C693" s="1272">
        <v>4100</v>
      </c>
      <c r="D693" s="971" t="s">
        <v>120</v>
      </c>
      <c r="E693" s="971">
        <v>4140</v>
      </c>
      <c r="F693" s="971" t="s">
        <v>176</v>
      </c>
      <c r="G693" s="971">
        <v>4140</v>
      </c>
      <c r="H693" s="971" t="s">
        <v>176</v>
      </c>
      <c r="I693" s="1273"/>
      <c r="J693" s="971" t="s">
        <v>177</v>
      </c>
      <c r="K693" s="971" t="s">
        <v>178</v>
      </c>
      <c r="L693" s="971" t="s">
        <v>1948</v>
      </c>
      <c r="M693" s="971" t="s">
        <v>178</v>
      </c>
      <c r="N693" s="971" t="s">
        <v>179</v>
      </c>
      <c r="O693" s="971" t="s">
        <v>180</v>
      </c>
      <c r="P693" s="971" t="s">
        <v>181</v>
      </c>
      <c r="Q693" s="971" t="s">
        <v>187</v>
      </c>
      <c r="R693" s="1266"/>
      <c r="S693" s="2106">
        <v>-2</v>
      </c>
      <c r="T693" s="1266" t="s">
        <v>242</v>
      </c>
      <c r="U693" s="1742">
        <v>42.724999999999994</v>
      </c>
      <c r="V693" s="1742">
        <v>470.625</v>
      </c>
      <c r="W693" s="1742">
        <v>3765.7815000000001</v>
      </c>
      <c r="X693" s="1742">
        <v>5190.8055000000004</v>
      </c>
      <c r="Y693" s="2106">
        <v>9427.2119999999995</v>
      </c>
      <c r="Z693" s="2106">
        <v>-85.449999999999989</v>
      </c>
      <c r="AA693" s="2106">
        <v>-941.25</v>
      </c>
      <c r="AB693" s="2106">
        <v>-7531.5630000000001</v>
      </c>
      <c r="AC693" s="2106">
        <v>-10381.611000000001</v>
      </c>
      <c r="AD693" s="1744">
        <v>-18854.423999999999</v>
      </c>
      <c r="AE693" s="2126">
        <v>30</v>
      </c>
      <c r="AF693" s="2126">
        <v>-60</v>
      </c>
      <c r="AG693" s="1212">
        <v>1</v>
      </c>
      <c r="AH693" s="1212">
        <v>0</v>
      </c>
      <c r="AI693" s="1212">
        <v>0</v>
      </c>
      <c r="AJ693" s="1212">
        <v>1</v>
      </c>
      <c r="AK693" s="2126">
        <v>-18854.423999999999</v>
      </c>
      <c r="AL693" s="2126">
        <v>0</v>
      </c>
      <c r="AM693" s="2126">
        <v>0</v>
      </c>
      <c r="AN693" s="2126">
        <v>-18854.423999999999</v>
      </c>
      <c r="AO693" s="1743" t="s">
        <v>85</v>
      </c>
      <c r="AP693" s="1743" t="s">
        <v>90</v>
      </c>
      <c r="AQ693" s="1764" t="s">
        <v>183</v>
      </c>
      <c r="AR693" s="1743" t="s">
        <v>87</v>
      </c>
      <c r="AS693" s="2135"/>
      <c r="AT693" s="2135"/>
      <c r="AU693" s="1212">
        <v>0.33333333333333331</v>
      </c>
      <c r="AV693" s="1212">
        <v>0.33333333333333331</v>
      </c>
      <c r="AW693" s="1212">
        <v>0.33333333333333331</v>
      </c>
      <c r="AX693" s="1212"/>
      <c r="AY693" s="1212"/>
      <c r="AZ693" s="1212"/>
      <c r="BA693" s="1212"/>
      <c r="BB693" s="1212"/>
      <c r="BC693" s="1212"/>
      <c r="BD693" s="1212"/>
      <c r="BE693" s="1212"/>
      <c r="BF693" s="2126">
        <v>0</v>
      </c>
      <c r="BG693" s="2126">
        <v>0</v>
      </c>
      <c r="BH693" s="2126">
        <v>-6284.8079999999991</v>
      </c>
      <c r="BI693" s="2126">
        <v>-6284.8079999999991</v>
      </c>
      <c r="BJ693" s="2126">
        <v>-6284.8079999999991</v>
      </c>
      <c r="BK693" s="2126">
        <v>0</v>
      </c>
      <c r="BL693" s="2126">
        <v>0</v>
      </c>
      <c r="BM693" s="2126">
        <v>0</v>
      </c>
      <c r="BN693" s="2126">
        <v>0</v>
      </c>
      <c r="BO693" s="2126">
        <v>0</v>
      </c>
      <c r="BP693" s="2126">
        <v>0</v>
      </c>
      <c r="BQ693" s="2126">
        <v>0</v>
      </c>
      <c r="BR693" s="2126">
        <v>0</v>
      </c>
    </row>
    <row r="694" spans="1:70" s="1765" customFormat="1" ht="49.5">
      <c r="A694" s="1272">
        <v>4000</v>
      </c>
      <c r="B694" s="971" t="s">
        <v>1316</v>
      </c>
      <c r="C694" s="1272">
        <v>4100</v>
      </c>
      <c r="D694" s="971" t="s">
        <v>120</v>
      </c>
      <c r="E694" s="971">
        <v>4140</v>
      </c>
      <c r="F694" s="971" t="s">
        <v>176</v>
      </c>
      <c r="G694" s="971">
        <v>4140</v>
      </c>
      <c r="H694" s="971" t="s">
        <v>176</v>
      </c>
      <c r="I694" s="1273"/>
      <c r="J694" s="971" t="s">
        <v>177</v>
      </c>
      <c r="K694" s="971" t="s">
        <v>178</v>
      </c>
      <c r="L694" s="971" t="s">
        <v>1948</v>
      </c>
      <c r="M694" s="971" t="s">
        <v>178</v>
      </c>
      <c r="N694" s="971" t="s">
        <v>179</v>
      </c>
      <c r="O694" s="971" t="s">
        <v>180</v>
      </c>
      <c r="P694" s="971" t="s">
        <v>181</v>
      </c>
      <c r="Q694" s="971" t="s">
        <v>185</v>
      </c>
      <c r="R694" s="1266"/>
      <c r="S694" s="2106">
        <v>1</v>
      </c>
      <c r="T694" s="1266" t="s">
        <v>242</v>
      </c>
      <c r="U694" s="1742">
        <v>42.724999999999994</v>
      </c>
      <c r="V694" s="1742">
        <v>470.625</v>
      </c>
      <c r="W694" s="1742">
        <v>3765.7815000000001</v>
      </c>
      <c r="X694" s="1742">
        <v>5190.8055000000004</v>
      </c>
      <c r="Y694" s="2106">
        <v>9427.2119999999995</v>
      </c>
      <c r="Z694" s="2106">
        <v>42.724999999999994</v>
      </c>
      <c r="AA694" s="2106">
        <v>470.625</v>
      </c>
      <c r="AB694" s="2106">
        <v>3765.7815000000001</v>
      </c>
      <c r="AC694" s="2106">
        <v>5190.8055000000004</v>
      </c>
      <c r="AD694" s="1744">
        <v>9427.2119999999995</v>
      </c>
      <c r="AE694" s="2126">
        <v>30</v>
      </c>
      <c r="AF694" s="2126">
        <v>30</v>
      </c>
      <c r="AG694" s="1212">
        <v>1</v>
      </c>
      <c r="AH694" s="1212">
        <v>0</v>
      </c>
      <c r="AI694" s="1212">
        <v>0</v>
      </c>
      <c r="AJ694" s="1212">
        <v>1</v>
      </c>
      <c r="AK694" s="2126">
        <v>9427.2119999999995</v>
      </c>
      <c r="AL694" s="2126">
        <v>0</v>
      </c>
      <c r="AM694" s="2126">
        <v>0</v>
      </c>
      <c r="AN694" s="2126">
        <v>9427.2119999999995</v>
      </c>
      <c r="AO694" s="1743" t="s">
        <v>85</v>
      </c>
      <c r="AP694" s="1743" t="s">
        <v>90</v>
      </c>
      <c r="AQ694" s="1764" t="s">
        <v>103</v>
      </c>
      <c r="AR694" s="1743" t="s">
        <v>87</v>
      </c>
      <c r="AS694" s="2135"/>
      <c r="AT694" s="2135"/>
      <c r="AU694" s="1212">
        <v>0.33333333333333331</v>
      </c>
      <c r="AV694" s="1212">
        <v>0.33333333333333331</v>
      </c>
      <c r="AW694" s="1212">
        <v>0.33333333333333331</v>
      </c>
      <c r="AX694" s="1212"/>
      <c r="AY694" s="1212"/>
      <c r="AZ694" s="1212"/>
      <c r="BA694" s="1212"/>
      <c r="BB694" s="1212"/>
      <c r="BC694" s="1212"/>
      <c r="BD694" s="1212"/>
      <c r="BE694" s="1212"/>
      <c r="BF694" s="2126">
        <v>0</v>
      </c>
      <c r="BG694" s="2126">
        <v>0</v>
      </c>
      <c r="BH694" s="2126">
        <v>3142.4039999999995</v>
      </c>
      <c r="BI694" s="2126">
        <v>3142.4039999999995</v>
      </c>
      <c r="BJ694" s="2126">
        <v>3142.4039999999995</v>
      </c>
      <c r="BK694" s="2126">
        <v>0</v>
      </c>
      <c r="BL694" s="2126">
        <v>0</v>
      </c>
      <c r="BM694" s="2126">
        <v>0</v>
      </c>
      <c r="BN694" s="2126">
        <v>0</v>
      </c>
      <c r="BO694" s="2126">
        <v>0</v>
      </c>
      <c r="BP694" s="2126">
        <v>0</v>
      </c>
      <c r="BQ694" s="2126">
        <v>0</v>
      </c>
      <c r="BR694" s="2126">
        <v>0</v>
      </c>
    </row>
    <row r="695" spans="1:70" s="1765" customFormat="1" ht="49.5">
      <c r="A695" s="1272">
        <v>4000</v>
      </c>
      <c r="B695" s="971" t="s">
        <v>1316</v>
      </c>
      <c r="C695" s="1272">
        <v>4100</v>
      </c>
      <c r="D695" s="971" t="s">
        <v>120</v>
      </c>
      <c r="E695" s="971">
        <v>4140</v>
      </c>
      <c r="F695" s="971" t="s">
        <v>176</v>
      </c>
      <c r="G695" s="971">
        <v>4140</v>
      </c>
      <c r="H695" s="971" t="s">
        <v>176</v>
      </c>
      <c r="I695" s="1273"/>
      <c r="J695" s="971" t="s">
        <v>177</v>
      </c>
      <c r="K695" s="971" t="s">
        <v>178</v>
      </c>
      <c r="L695" s="971" t="s">
        <v>1948</v>
      </c>
      <c r="M695" s="971" t="s">
        <v>178</v>
      </c>
      <c r="N695" s="971" t="s">
        <v>179</v>
      </c>
      <c r="O695" s="971" t="s">
        <v>180</v>
      </c>
      <c r="P695" s="971" t="s">
        <v>181</v>
      </c>
      <c r="Q695" s="971" t="s">
        <v>185</v>
      </c>
      <c r="R695" s="1266"/>
      <c r="S695" s="2106">
        <v>-1</v>
      </c>
      <c r="T695" s="1266" t="s">
        <v>242</v>
      </c>
      <c r="U695" s="1742">
        <v>42.724999999999994</v>
      </c>
      <c r="V695" s="1742">
        <v>470.625</v>
      </c>
      <c r="W695" s="1742">
        <v>3765.7815000000001</v>
      </c>
      <c r="X695" s="1742">
        <v>5190.8055000000004</v>
      </c>
      <c r="Y695" s="2106">
        <v>9427.2119999999995</v>
      </c>
      <c r="Z695" s="2106">
        <v>-42.724999999999994</v>
      </c>
      <c r="AA695" s="2106">
        <v>-470.625</v>
      </c>
      <c r="AB695" s="2106">
        <v>-3765.7815000000001</v>
      </c>
      <c r="AC695" s="2106">
        <v>-5190.8055000000004</v>
      </c>
      <c r="AD695" s="1744">
        <v>-9427.2119999999995</v>
      </c>
      <c r="AE695" s="2126">
        <v>30</v>
      </c>
      <c r="AF695" s="2126">
        <v>-30</v>
      </c>
      <c r="AG695" s="1212">
        <v>1</v>
      </c>
      <c r="AH695" s="1212">
        <v>0</v>
      </c>
      <c r="AI695" s="1212">
        <v>0</v>
      </c>
      <c r="AJ695" s="1212">
        <v>1</v>
      </c>
      <c r="AK695" s="2126">
        <v>-9427.2119999999995</v>
      </c>
      <c r="AL695" s="2126">
        <v>0</v>
      </c>
      <c r="AM695" s="2126">
        <v>0</v>
      </c>
      <c r="AN695" s="2126">
        <v>-9427.2119999999995</v>
      </c>
      <c r="AO695" s="1743" t="s">
        <v>85</v>
      </c>
      <c r="AP695" s="1743" t="s">
        <v>90</v>
      </c>
      <c r="AQ695" s="1764" t="s">
        <v>183</v>
      </c>
      <c r="AR695" s="1743" t="s">
        <v>87</v>
      </c>
      <c r="AS695" s="2135"/>
      <c r="AT695" s="2135"/>
      <c r="AU695" s="1212">
        <v>0.33333333333333331</v>
      </c>
      <c r="AV695" s="1212">
        <v>0.33333333333333331</v>
      </c>
      <c r="AW695" s="1212">
        <v>0.33333333333333331</v>
      </c>
      <c r="AX695" s="1212"/>
      <c r="AY695" s="1212"/>
      <c r="AZ695" s="1212"/>
      <c r="BA695" s="1212"/>
      <c r="BB695" s="1212"/>
      <c r="BC695" s="1212"/>
      <c r="BD695" s="1212"/>
      <c r="BE695" s="1212"/>
      <c r="BF695" s="2126">
        <v>0</v>
      </c>
      <c r="BG695" s="2126">
        <v>0</v>
      </c>
      <c r="BH695" s="2126">
        <v>-3142.4039999999995</v>
      </c>
      <c r="BI695" s="2126">
        <v>-3142.4039999999995</v>
      </c>
      <c r="BJ695" s="2126">
        <v>-3142.4039999999995</v>
      </c>
      <c r="BK695" s="2126">
        <v>0</v>
      </c>
      <c r="BL695" s="2126">
        <v>0</v>
      </c>
      <c r="BM695" s="2126">
        <v>0</v>
      </c>
      <c r="BN695" s="2126">
        <v>0</v>
      </c>
      <c r="BO695" s="2126">
        <v>0</v>
      </c>
      <c r="BP695" s="2126">
        <v>0</v>
      </c>
      <c r="BQ695" s="2126">
        <v>0</v>
      </c>
      <c r="BR695" s="2126">
        <v>0</v>
      </c>
    </row>
    <row r="696" spans="1:70" s="1765" customFormat="1" ht="49.5">
      <c r="A696" s="1272">
        <v>4000</v>
      </c>
      <c r="B696" s="971" t="s">
        <v>1316</v>
      </c>
      <c r="C696" s="1272">
        <v>4100</v>
      </c>
      <c r="D696" s="971" t="s">
        <v>120</v>
      </c>
      <c r="E696" s="971">
        <v>4140</v>
      </c>
      <c r="F696" s="971" t="s">
        <v>176</v>
      </c>
      <c r="G696" s="971">
        <v>4140</v>
      </c>
      <c r="H696" s="971" t="s">
        <v>176</v>
      </c>
      <c r="I696" s="1273"/>
      <c r="J696" s="971" t="s">
        <v>177</v>
      </c>
      <c r="K696" s="971" t="s">
        <v>188</v>
      </c>
      <c r="L696" s="971" t="s">
        <v>2841</v>
      </c>
      <c r="M696" s="971" t="s">
        <v>188</v>
      </c>
      <c r="N696" s="971" t="s">
        <v>179</v>
      </c>
      <c r="O696" s="971" t="s">
        <v>189</v>
      </c>
      <c r="P696" s="971" t="s">
        <v>190</v>
      </c>
      <c r="Q696" s="971" t="s">
        <v>194</v>
      </c>
      <c r="R696" s="1266"/>
      <c r="S696" s="2106">
        <v>2</v>
      </c>
      <c r="T696" s="1266" t="s">
        <v>242</v>
      </c>
      <c r="U696" s="1742">
        <v>15.5</v>
      </c>
      <c r="V696" s="1742">
        <v>162.5</v>
      </c>
      <c r="W696" s="1742">
        <v>1366.17</v>
      </c>
      <c r="X696" s="1742">
        <v>1792.3100000000002</v>
      </c>
      <c r="Y696" s="2106">
        <v>3320.98</v>
      </c>
      <c r="Z696" s="2106">
        <v>31</v>
      </c>
      <c r="AA696" s="2106">
        <v>325</v>
      </c>
      <c r="AB696" s="2106">
        <v>2732.34</v>
      </c>
      <c r="AC696" s="2106">
        <v>3584.6200000000003</v>
      </c>
      <c r="AD696" s="1744">
        <v>6641.9600000000009</v>
      </c>
      <c r="AE696" s="2126">
        <v>20</v>
      </c>
      <c r="AF696" s="2126">
        <v>40</v>
      </c>
      <c r="AG696" s="1212">
        <v>1</v>
      </c>
      <c r="AH696" s="1212">
        <v>0</v>
      </c>
      <c r="AI696" s="1212">
        <v>0</v>
      </c>
      <c r="AJ696" s="1212">
        <v>1</v>
      </c>
      <c r="AK696" s="2126">
        <v>6641.9600000000009</v>
      </c>
      <c r="AL696" s="2126">
        <v>0</v>
      </c>
      <c r="AM696" s="2126">
        <v>0</v>
      </c>
      <c r="AN696" s="2126">
        <v>6641.9600000000009</v>
      </c>
      <c r="AO696" s="1743" t="s">
        <v>85</v>
      </c>
      <c r="AP696" s="1743" t="s">
        <v>90</v>
      </c>
      <c r="AQ696" s="1764" t="s">
        <v>103</v>
      </c>
      <c r="AR696" s="1743" t="s">
        <v>87</v>
      </c>
      <c r="AS696" s="2135"/>
      <c r="AT696" s="2135"/>
      <c r="AU696" s="1212">
        <v>0.5</v>
      </c>
      <c r="AV696" s="1212">
        <v>0.5</v>
      </c>
      <c r="AW696" s="1212"/>
      <c r="AX696" s="1212"/>
      <c r="AY696" s="1212"/>
      <c r="AZ696" s="1212"/>
      <c r="BA696" s="1212"/>
      <c r="BB696" s="1212"/>
      <c r="BC696" s="1212"/>
      <c r="BD696" s="1212"/>
      <c r="BE696" s="1212"/>
      <c r="BF696" s="2126">
        <v>0</v>
      </c>
      <c r="BG696" s="2126">
        <v>0</v>
      </c>
      <c r="BH696" s="2126">
        <v>3320.9800000000005</v>
      </c>
      <c r="BI696" s="2126">
        <v>3320.9800000000005</v>
      </c>
      <c r="BJ696" s="2126">
        <v>0</v>
      </c>
      <c r="BK696" s="2126">
        <v>0</v>
      </c>
      <c r="BL696" s="2126">
        <v>0</v>
      </c>
      <c r="BM696" s="2126">
        <v>0</v>
      </c>
      <c r="BN696" s="2126">
        <v>0</v>
      </c>
      <c r="BO696" s="2126">
        <v>0</v>
      </c>
      <c r="BP696" s="2126">
        <v>0</v>
      </c>
      <c r="BQ696" s="2126">
        <v>0</v>
      </c>
      <c r="BR696" s="2126">
        <v>0</v>
      </c>
    </row>
    <row r="697" spans="1:70" s="1765" customFormat="1" ht="49.5">
      <c r="A697" s="1272">
        <v>4000</v>
      </c>
      <c r="B697" s="971" t="s">
        <v>1316</v>
      </c>
      <c r="C697" s="1272">
        <v>4100</v>
      </c>
      <c r="D697" s="971" t="s">
        <v>120</v>
      </c>
      <c r="E697" s="971">
        <v>4140</v>
      </c>
      <c r="F697" s="971" t="s">
        <v>176</v>
      </c>
      <c r="G697" s="971">
        <v>4140</v>
      </c>
      <c r="H697" s="971" t="s">
        <v>176</v>
      </c>
      <c r="I697" s="1273"/>
      <c r="J697" s="971" t="s">
        <v>177</v>
      </c>
      <c r="K697" s="971" t="s">
        <v>188</v>
      </c>
      <c r="L697" s="971" t="s">
        <v>2841</v>
      </c>
      <c r="M697" s="971" t="s">
        <v>188</v>
      </c>
      <c r="N697" s="971" t="s">
        <v>179</v>
      </c>
      <c r="O697" s="971" t="s">
        <v>189</v>
      </c>
      <c r="P697" s="971" t="s">
        <v>190</v>
      </c>
      <c r="Q697" s="971" t="s">
        <v>194</v>
      </c>
      <c r="R697" s="1266"/>
      <c r="S697" s="2106">
        <v>-2</v>
      </c>
      <c r="T697" s="1266" t="s">
        <v>242</v>
      </c>
      <c r="U697" s="1742">
        <v>15.5</v>
      </c>
      <c r="V697" s="1742">
        <v>162.5</v>
      </c>
      <c r="W697" s="1742">
        <v>1366.17</v>
      </c>
      <c r="X697" s="1742">
        <v>1792.3100000000002</v>
      </c>
      <c r="Y697" s="2106">
        <v>3320.98</v>
      </c>
      <c r="Z697" s="2106">
        <v>-31</v>
      </c>
      <c r="AA697" s="2106">
        <v>-325</v>
      </c>
      <c r="AB697" s="2106">
        <v>-2732.34</v>
      </c>
      <c r="AC697" s="2106">
        <v>-3584.6200000000003</v>
      </c>
      <c r="AD697" s="1744">
        <v>-6641.9600000000009</v>
      </c>
      <c r="AE697" s="2126">
        <v>20</v>
      </c>
      <c r="AF697" s="2126">
        <v>-40</v>
      </c>
      <c r="AG697" s="1212">
        <v>1</v>
      </c>
      <c r="AH697" s="1212">
        <v>0</v>
      </c>
      <c r="AI697" s="1212">
        <v>0</v>
      </c>
      <c r="AJ697" s="1212">
        <v>1</v>
      </c>
      <c r="AK697" s="2126">
        <v>-6641.9600000000009</v>
      </c>
      <c r="AL697" s="2126">
        <v>0</v>
      </c>
      <c r="AM697" s="2126">
        <v>0</v>
      </c>
      <c r="AN697" s="2126">
        <v>-6641.9600000000009</v>
      </c>
      <c r="AO697" s="1743" t="s">
        <v>85</v>
      </c>
      <c r="AP697" s="1743" t="s">
        <v>90</v>
      </c>
      <c r="AQ697" s="1764" t="s">
        <v>183</v>
      </c>
      <c r="AR697" s="1743" t="s">
        <v>87</v>
      </c>
      <c r="AS697" s="2135"/>
      <c r="AT697" s="2135"/>
      <c r="AU697" s="1212">
        <v>0.5</v>
      </c>
      <c r="AV697" s="1212">
        <v>0.5</v>
      </c>
      <c r="AW697" s="1212"/>
      <c r="AX697" s="1212"/>
      <c r="AY697" s="1212"/>
      <c r="AZ697" s="1212"/>
      <c r="BA697" s="1212"/>
      <c r="BB697" s="1212"/>
      <c r="BC697" s="1212"/>
      <c r="BD697" s="1212"/>
      <c r="BE697" s="1212"/>
      <c r="BF697" s="2126">
        <v>0</v>
      </c>
      <c r="BG697" s="2126">
        <v>0</v>
      </c>
      <c r="BH697" s="2126">
        <v>-3320.9800000000005</v>
      </c>
      <c r="BI697" s="2126">
        <v>-3320.9800000000005</v>
      </c>
      <c r="BJ697" s="2126">
        <v>0</v>
      </c>
      <c r="BK697" s="2126">
        <v>0</v>
      </c>
      <c r="BL697" s="2126">
        <v>0</v>
      </c>
      <c r="BM697" s="2126">
        <v>0</v>
      </c>
      <c r="BN697" s="2126">
        <v>0</v>
      </c>
      <c r="BO697" s="2126">
        <v>0</v>
      </c>
      <c r="BP697" s="2126">
        <v>0</v>
      </c>
      <c r="BQ697" s="2126">
        <v>0</v>
      </c>
      <c r="BR697" s="2126">
        <v>0</v>
      </c>
    </row>
    <row r="698" spans="1:70" s="1765" customFormat="1" ht="49.5">
      <c r="A698" s="1272">
        <v>4000</v>
      </c>
      <c r="B698" s="971" t="s">
        <v>1316</v>
      </c>
      <c r="C698" s="1272">
        <v>4100</v>
      </c>
      <c r="D698" s="971" t="s">
        <v>120</v>
      </c>
      <c r="E698" s="971">
        <v>4140</v>
      </c>
      <c r="F698" s="971" t="s">
        <v>176</v>
      </c>
      <c r="G698" s="971">
        <v>4140</v>
      </c>
      <c r="H698" s="971" t="s">
        <v>176</v>
      </c>
      <c r="I698" s="1273"/>
      <c r="J698" s="971" t="s">
        <v>177</v>
      </c>
      <c r="K698" s="971" t="s">
        <v>188</v>
      </c>
      <c r="L698" s="971" t="s">
        <v>2841</v>
      </c>
      <c r="M698" s="971" t="s">
        <v>188</v>
      </c>
      <c r="N698" s="971" t="s">
        <v>179</v>
      </c>
      <c r="O698" s="971" t="s">
        <v>189</v>
      </c>
      <c r="P698" s="971" t="s">
        <v>190</v>
      </c>
      <c r="Q698" s="971" t="s">
        <v>1393</v>
      </c>
      <c r="R698" s="1266"/>
      <c r="S698" s="2106">
        <v>1</v>
      </c>
      <c r="T698" s="1266" t="s">
        <v>242</v>
      </c>
      <c r="U698" s="1742">
        <v>15.5</v>
      </c>
      <c r="V698" s="1742">
        <v>162.5</v>
      </c>
      <c r="W698" s="1742">
        <v>1366.17</v>
      </c>
      <c r="X698" s="1742">
        <v>1792.3100000000002</v>
      </c>
      <c r="Y698" s="2106">
        <v>3320.98</v>
      </c>
      <c r="Z698" s="2106">
        <v>15.5</v>
      </c>
      <c r="AA698" s="2106">
        <v>162.5</v>
      </c>
      <c r="AB698" s="2106">
        <v>1366.17</v>
      </c>
      <c r="AC698" s="2106">
        <v>1792.3100000000002</v>
      </c>
      <c r="AD698" s="1744">
        <v>3320.9800000000005</v>
      </c>
      <c r="AE698" s="2126">
        <v>20</v>
      </c>
      <c r="AF698" s="2126">
        <v>20</v>
      </c>
      <c r="AG698" s="1212">
        <v>1</v>
      </c>
      <c r="AH698" s="1212">
        <v>0</v>
      </c>
      <c r="AI698" s="1212">
        <v>0</v>
      </c>
      <c r="AJ698" s="1212">
        <v>1</v>
      </c>
      <c r="AK698" s="2126">
        <v>3320.9800000000005</v>
      </c>
      <c r="AL698" s="2126">
        <v>0</v>
      </c>
      <c r="AM698" s="2126">
        <v>0</v>
      </c>
      <c r="AN698" s="2126">
        <v>3320.9800000000005</v>
      </c>
      <c r="AO698" s="1743" t="s">
        <v>85</v>
      </c>
      <c r="AP698" s="1743" t="s">
        <v>90</v>
      </c>
      <c r="AQ698" s="1764" t="s">
        <v>103</v>
      </c>
      <c r="AR698" s="1743" t="s">
        <v>87</v>
      </c>
      <c r="AS698" s="2135"/>
      <c r="AT698" s="2135"/>
      <c r="AU698" s="1212">
        <v>0.5</v>
      </c>
      <c r="AV698" s="1212">
        <v>0.5</v>
      </c>
      <c r="AW698" s="1212"/>
      <c r="AX698" s="1212"/>
      <c r="AY698" s="1212"/>
      <c r="AZ698" s="1212"/>
      <c r="BA698" s="1212"/>
      <c r="BB698" s="1212"/>
      <c r="BC698" s="1212"/>
      <c r="BD698" s="1212"/>
      <c r="BE698" s="1212"/>
      <c r="BF698" s="2126">
        <v>0</v>
      </c>
      <c r="BG698" s="2126">
        <v>0</v>
      </c>
      <c r="BH698" s="2126">
        <v>1660.4900000000002</v>
      </c>
      <c r="BI698" s="2126">
        <v>1660.4900000000002</v>
      </c>
      <c r="BJ698" s="2126">
        <v>0</v>
      </c>
      <c r="BK698" s="2126">
        <v>0</v>
      </c>
      <c r="BL698" s="2126">
        <v>0</v>
      </c>
      <c r="BM698" s="2126">
        <v>0</v>
      </c>
      <c r="BN698" s="2126">
        <v>0</v>
      </c>
      <c r="BO698" s="2126">
        <v>0</v>
      </c>
      <c r="BP698" s="2126">
        <v>0</v>
      </c>
      <c r="BQ698" s="2126">
        <v>0</v>
      </c>
      <c r="BR698" s="2126">
        <v>0</v>
      </c>
    </row>
    <row r="699" spans="1:70" s="1765" customFormat="1" ht="49.5">
      <c r="A699" s="1272">
        <v>4000</v>
      </c>
      <c r="B699" s="971" t="s">
        <v>1316</v>
      </c>
      <c r="C699" s="1272">
        <v>4100</v>
      </c>
      <c r="D699" s="971" t="s">
        <v>120</v>
      </c>
      <c r="E699" s="971">
        <v>4140</v>
      </c>
      <c r="F699" s="971" t="s">
        <v>176</v>
      </c>
      <c r="G699" s="971">
        <v>4140</v>
      </c>
      <c r="H699" s="971" t="s">
        <v>176</v>
      </c>
      <c r="I699" s="1273"/>
      <c r="J699" s="971" t="s">
        <v>177</v>
      </c>
      <c r="K699" s="971" t="s">
        <v>188</v>
      </c>
      <c r="L699" s="971" t="s">
        <v>2841</v>
      </c>
      <c r="M699" s="971" t="s">
        <v>188</v>
      </c>
      <c r="N699" s="971" t="s">
        <v>179</v>
      </c>
      <c r="O699" s="971" t="s">
        <v>189</v>
      </c>
      <c r="P699" s="971" t="s">
        <v>190</v>
      </c>
      <c r="Q699" s="971" t="s">
        <v>1393</v>
      </c>
      <c r="R699" s="1266"/>
      <c r="S699" s="2106">
        <v>-1</v>
      </c>
      <c r="T699" s="1266" t="s">
        <v>242</v>
      </c>
      <c r="U699" s="1742">
        <v>15.5</v>
      </c>
      <c r="V699" s="1742">
        <v>162.5</v>
      </c>
      <c r="W699" s="1742">
        <v>1366.17</v>
      </c>
      <c r="X699" s="1742">
        <v>1792.3100000000002</v>
      </c>
      <c r="Y699" s="2106">
        <v>3320.98</v>
      </c>
      <c r="Z699" s="2106">
        <v>-15.5</v>
      </c>
      <c r="AA699" s="2106">
        <v>-162.5</v>
      </c>
      <c r="AB699" s="2106">
        <v>-1366.17</v>
      </c>
      <c r="AC699" s="2106">
        <v>-1792.3100000000002</v>
      </c>
      <c r="AD699" s="1744">
        <v>-3320.9800000000005</v>
      </c>
      <c r="AE699" s="2126">
        <v>20</v>
      </c>
      <c r="AF699" s="2126">
        <v>-20</v>
      </c>
      <c r="AG699" s="1212">
        <v>1</v>
      </c>
      <c r="AH699" s="1212">
        <v>0</v>
      </c>
      <c r="AI699" s="1212">
        <v>0</v>
      </c>
      <c r="AJ699" s="1212">
        <v>1</v>
      </c>
      <c r="AK699" s="2126">
        <v>-3320.9800000000005</v>
      </c>
      <c r="AL699" s="2126">
        <v>0</v>
      </c>
      <c r="AM699" s="2126">
        <v>0</v>
      </c>
      <c r="AN699" s="2126">
        <v>-3320.9800000000005</v>
      </c>
      <c r="AO699" s="1743" t="s">
        <v>85</v>
      </c>
      <c r="AP699" s="1743" t="s">
        <v>90</v>
      </c>
      <c r="AQ699" s="1764" t="s">
        <v>183</v>
      </c>
      <c r="AR699" s="1743" t="s">
        <v>87</v>
      </c>
      <c r="AS699" s="2135"/>
      <c r="AT699" s="2135"/>
      <c r="AU699" s="1212">
        <v>0.5</v>
      </c>
      <c r="AV699" s="1212">
        <v>0.5</v>
      </c>
      <c r="AW699" s="1212"/>
      <c r="AX699" s="1212"/>
      <c r="AY699" s="1212"/>
      <c r="AZ699" s="1212"/>
      <c r="BA699" s="1212"/>
      <c r="BB699" s="1212"/>
      <c r="BC699" s="1212"/>
      <c r="BD699" s="1212"/>
      <c r="BE699" s="1212"/>
      <c r="BF699" s="2126">
        <v>0</v>
      </c>
      <c r="BG699" s="2126">
        <v>0</v>
      </c>
      <c r="BH699" s="2126">
        <v>-1660.4900000000002</v>
      </c>
      <c r="BI699" s="2126">
        <v>-1660.4900000000002</v>
      </c>
      <c r="BJ699" s="2126">
        <v>0</v>
      </c>
      <c r="BK699" s="2126">
        <v>0</v>
      </c>
      <c r="BL699" s="2126">
        <v>0</v>
      </c>
      <c r="BM699" s="2126">
        <v>0</v>
      </c>
      <c r="BN699" s="2126">
        <v>0</v>
      </c>
      <c r="BO699" s="2126">
        <v>0</v>
      </c>
      <c r="BP699" s="2126">
        <v>0</v>
      </c>
      <c r="BQ699" s="2126">
        <v>0</v>
      </c>
      <c r="BR699" s="2126">
        <v>0</v>
      </c>
    </row>
    <row r="700" spans="1:70" s="1765" customFormat="1">
      <c r="A700" s="1802">
        <v>4000</v>
      </c>
      <c r="B700" s="1803" t="s">
        <v>1316</v>
      </c>
      <c r="C700" s="1802">
        <v>4200</v>
      </c>
      <c r="D700" s="1803" t="s">
        <v>1394</v>
      </c>
      <c r="E700" s="1803"/>
      <c r="F700" s="1803"/>
      <c r="G700" s="1803"/>
      <c r="H700" s="1803"/>
      <c r="I700" s="1803"/>
      <c r="J700" s="1803" t="s">
        <v>121</v>
      </c>
      <c r="K700" s="1803"/>
      <c r="L700" s="1803"/>
      <c r="M700" s="1803"/>
      <c r="N700" s="1803"/>
      <c r="O700" s="1803"/>
      <c r="P700" s="1803"/>
      <c r="Q700" s="1803"/>
      <c r="R700" s="1774"/>
      <c r="S700" s="2107"/>
      <c r="T700" s="1774"/>
      <c r="U700" s="1776"/>
      <c r="V700" s="1776"/>
      <c r="W700" s="1776"/>
      <c r="X700" s="1776"/>
      <c r="Y700" s="2107"/>
      <c r="Z700" s="2107"/>
      <c r="AA700" s="2107"/>
      <c r="AB700" s="2107"/>
      <c r="AC700" s="2107"/>
      <c r="AD700" s="1775"/>
      <c r="AE700" s="2129"/>
      <c r="AF700" s="2129"/>
      <c r="AG700" s="1777"/>
      <c r="AH700" s="1777"/>
      <c r="AI700" s="1777"/>
      <c r="AJ700" s="1777"/>
      <c r="AK700" s="2127"/>
      <c r="AL700" s="2127"/>
      <c r="AM700" s="2127"/>
      <c r="AN700" s="2127"/>
      <c r="AO700" s="1775"/>
      <c r="AP700" s="1775"/>
      <c r="AQ700" s="1773"/>
      <c r="AR700" s="1775"/>
      <c r="AS700" s="1777"/>
      <c r="AT700" s="1777"/>
      <c r="AU700" s="1777"/>
      <c r="AV700" s="1777"/>
      <c r="AW700" s="1777"/>
      <c r="AX700" s="1777"/>
      <c r="AY700" s="1777"/>
      <c r="AZ700" s="1777"/>
      <c r="BA700" s="1777"/>
      <c r="BB700" s="1777"/>
      <c r="BC700" s="1777"/>
      <c r="BD700" s="1777"/>
      <c r="BE700" s="1777"/>
      <c r="BF700" s="2127"/>
      <c r="BG700" s="2127"/>
      <c r="BH700" s="2127"/>
      <c r="BI700" s="2127"/>
      <c r="BJ700" s="2127"/>
      <c r="BK700" s="2127"/>
      <c r="BL700" s="2127"/>
      <c r="BM700" s="2127"/>
      <c r="BN700" s="2127"/>
      <c r="BO700" s="2127"/>
      <c r="BP700" s="2127"/>
      <c r="BQ700" s="2127"/>
      <c r="BR700" s="2127"/>
    </row>
    <row r="701" spans="1:70" s="1765" customFormat="1" ht="49.5">
      <c r="A701" s="1272">
        <v>4000</v>
      </c>
      <c r="B701" s="971" t="s">
        <v>1316</v>
      </c>
      <c r="C701" s="1272">
        <v>4200</v>
      </c>
      <c r="D701" s="971" t="s">
        <v>1394</v>
      </c>
      <c r="E701" s="971">
        <v>4210</v>
      </c>
      <c r="F701" s="971" t="s">
        <v>1311</v>
      </c>
      <c r="G701" s="971">
        <v>4213</v>
      </c>
      <c r="H701" s="971" t="s">
        <v>1307</v>
      </c>
      <c r="I701" s="1273" t="s">
        <v>1395</v>
      </c>
      <c r="J701" s="971" t="s">
        <v>124</v>
      </c>
      <c r="K701" s="971" t="s">
        <v>2857</v>
      </c>
      <c r="L701" s="971" t="s">
        <v>2858</v>
      </c>
      <c r="M701" s="971" t="s">
        <v>487</v>
      </c>
      <c r="N701" s="971" t="s">
        <v>488</v>
      </c>
      <c r="O701" s="971" t="s">
        <v>215</v>
      </c>
      <c r="P701" s="971"/>
      <c r="Q701" s="971" t="s">
        <v>1396</v>
      </c>
      <c r="R701" s="1266" t="s">
        <v>1397</v>
      </c>
      <c r="S701" s="2106">
        <v>33.457249070631974</v>
      </c>
      <c r="T701" s="1266" t="s">
        <v>136</v>
      </c>
      <c r="U701" s="1742">
        <v>0.56041666666666667</v>
      </c>
      <c r="V701" s="1742">
        <v>2.8020833333333335</v>
      </c>
      <c r="W701" s="1742">
        <v>49.395125</v>
      </c>
      <c r="X701" s="1742">
        <v>77.264645833333333</v>
      </c>
      <c r="Y701" s="2106">
        <v>129.46185416666665</v>
      </c>
      <c r="Z701" s="2106">
        <v>18.750000000000004</v>
      </c>
      <c r="AA701" s="2106">
        <v>93.750000000000014</v>
      </c>
      <c r="AB701" s="2106">
        <v>1652.6250000000002</v>
      </c>
      <c r="AC701" s="2106">
        <v>2585.0625000000005</v>
      </c>
      <c r="AD701" s="1744">
        <v>4331.4375000000009</v>
      </c>
      <c r="AE701" s="2126">
        <v>1</v>
      </c>
      <c r="AF701" s="2126">
        <v>33.457249070631974</v>
      </c>
      <c r="AG701" s="1212">
        <v>1</v>
      </c>
      <c r="AH701" s="1212">
        <v>0</v>
      </c>
      <c r="AI701" s="1212">
        <v>0</v>
      </c>
      <c r="AJ701" s="1212">
        <v>1</v>
      </c>
      <c r="AK701" s="2126">
        <v>4331.4375000000009</v>
      </c>
      <c r="AL701" s="2126">
        <v>0</v>
      </c>
      <c r="AM701" s="2126">
        <v>0</v>
      </c>
      <c r="AN701" s="2126">
        <v>4331.4375000000009</v>
      </c>
      <c r="AO701" s="1743" t="s">
        <v>85</v>
      </c>
      <c r="AP701" s="1743"/>
      <c r="AQ701" s="1764">
        <v>2014</v>
      </c>
      <c r="AR701" s="1743" t="s">
        <v>87</v>
      </c>
      <c r="AS701" s="2135"/>
      <c r="AT701" s="2135"/>
      <c r="AU701" s="1212">
        <v>0.33333333333333331</v>
      </c>
      <c r="AV701" s="1212">
        <v>0.33333333333333331</v>
      </c>
      <c r="AW701" s="1212">
        <v>0.33333333333333331</v>
      </c>
      <c r="AX701" s="1212"/>
      <c r="AY701" s="1212"/>
      <c r="AZ701" s="1212"/>
      <c r="BA701" s="1212"/>
      <c r="BB701" s="1212"/>
      <c r="BC701" s="1212"/>
      <c r="BD701" s="1212"/>
      <c r="BE701" s="1212"/>
      <c r="BF701" s="2126">
        <v>0</v>
      </c>
      <c r="BG701" s="2126">
        <v>0</v>
      </c>
      <c r="BH701" s="2126">
        <v>1443.8125000000002</v>
      </c>
      <c r="BI701" s="2126">
        <v>1443.8125000000002</v>
      </c>
      <c r="BJ701" s="2126">
        <v>1443.8125000000002</v>
      </c>
      <c r="BK701" s="2126">
        <v>0</v>
      </c>
      <c r="BL701" s="2126">
        <v>0</v>
      </c>
      <c r="BM701" s="2126">
        <v>0</v>
      </c>
      <c r="BN701" s="2126">
        <v>0</v>
      </c>
      <c r="BO701" s="2126">
        <v>0</v>
      </c>
      <c r="BP701" s="2126">
        <v>0</v>
      </c>
      <c r="BQ701" s="2126">
        <v>0</v>
      </c>
      <c r="BR701" s="2126">
        <v>0</v>
      </c>
    </row>
    <row r="702" spans="1:70" s="1765" customFormat="1" ht="33">
      <c r="A702" s="1272">
        <v>4000</v>
      </c>
      <c r="B702" s="971" t="s">
        <v>1316</v>
      </c>
      <c r="C702" s="1272">
        <v>4200</v>
      </c>
      <c r="D702" s="971" t="s">
        <v>1394</v>
      </c>
      <c r="E702" s="971">
        <v>4210</v>
      </c>
      <c r="F702" s="971" t="s">
        <v>1311</v>
      </c>
      <c r="G702" s="971">
        <v>4213</v>
      </c>
      <c r="H702" s="971" t="s">
        <v>1307</v>
      </c>
      <c r="I702" s="1273" t="s">
        <v>1398</v>
      </c>
      <c r="J702" s="971" t="s">
        <v>124</v>
      </c>
      <c r="K702" s="971" t="s">
        <v>140</v>
      </c>
      <c r="L702" s="971" t="s">
        <v>2909</v>
      </c>
      <c r="M702" s="971" t="s">
        <v>140</v>
      </c>
      <c r="N702" s="971" t="s">
        <v>141</v>
      </c>
      <c r="O702" s="971" t="s">
        <v>142</v>
      </c>
      <c r="P702" s="971"/>
      <c r="Q702" s="971" t="s">
        <v>1399</v>
      </c>
      <c r="R702" s="1266" t="s">
        <v>1397</v>
      </c>
      <c r="S702" s="2106">
        <v>33.457249070631974</v>
      </c>
      <c r="T702" s="1266" t="s">
        <v>136</v>
      </c>
      <c r="U702" s="1742">
        <v>0</v>
      </c>
      <c r="V702" s="1742">
        <v>0</v>
      </c>
      <c r="W702" s="1742">
        <v>0</v>
      </c>
      <c r="X702" s="1742">
        <v>0</v>
      </c>
      <c r="Y702" s="2106">
        <v>0</v>
      </c>
      <c r="Z702" s="2106">
        <v>0</v>
      </c>
      <c r="AA702" s="2106">
        <v>0</v>
      </c>
      <c r="AB702" s="2106">
        <v>0</v>
      </c>
      <c r="AC702" s="2106">
        <v>0</v>
      </c>
      <c r="AD702" s="1744">
        <v>0</v>
      </c>
      <c r="AE702" s="2126">
        <v>0</v>
      </c>
      <c r="AF702" s="2126">
        <v>0</v>
      </c>
      <c r="AG702" s="1212">
        <v>1</v>
      </c>
      <c r="AH702" s="1212">
        <v>0</v>
      </c>
      <c r="AI702" s="1212">
        <v>0</v>
      </c>
      <c r="AJ702" s="1212">
        <v>1</v>
      </c>
      <c r="AK702" s="2126">
        <v>0</v>
      </c>
      <c r="AL702" s="2126">
        <v>0</v>
      </c>
      <c r="AM702" s="2126">
        <v>0</v>
      </c>
      <c r="AN702" s="2126">
        <v>0</v>
      </c>
      <c r="AO702" s="1743" t="s">
        <v>85</v>
      </c>
      <c r="AP702" s="1743"/>
      <c r="AQ702" s="1764">
        <v>2014</v>
      </c>
      <c r="AR702" s="1743" t="s">
        <v>87</v>
      </c>
      <c r="AS702" s="2135"/>
      <c r="AT702" s="2135"/>
      <c r="AU702" s="1212">
        <v>0.33333333333333331</v>
      </c>
      <c r="AV702" s="1212">
        <v>0.33333333333333331</v>
      </c>
      <c r="AW702" s="1212">
        <v>0.33333333333333331</v>
      </c>
      <c r="AX702" s="1212"/>
      <c r="AY702" s="1212"/>
      <c r="AZ702" s="1212"/>
      <c r="BA702" s="1212"/>
      <c r="BB702" s="1212"/>
      <c r="BC702" s="1212"/>
      <c r="BD702" s="1212"/>
      <c r="BE702" s="1212"/>
      <c r="BF702" s="2126">
        <v>0</v>
      </c>
      <c r="BG702" s="2126">
        <v>0</v>
      </c>
      <c r="BH702" s="2126">
        <v>0</v>
      </c>
      <c r="BI702" s="2126">
        <v>0</v>
      </c>
      <c r="BJ702" s="2126">
        <v>0</v>
      </c>
      <c r="BK702" s="2126">
        <v>0</v>
      </c>
      <c r="BL702" s="2126">
        <v>0</v>
      </c>
      <c r="BM702" s="2126">
        <v>0</v>
      </c>
      <c r="BN702" s="2126">
        <v>0</v>
      </c>
      <c r="BO702" s="2126">
        <v>0</v>
      </c>
      <c r="BP702" s="2126">
        <v>0</v>
      </c>
      <c r="BQ702" s="2126">
        <v>0</v>
      </c>
      <c r="BR702" s="2126">
        <v>0</v>
      </c>
    </row>
    <row r="703" spans="1:70" s="1765" customFormat="1" ht="33">
      <c r="A703" s="1272">
        <v>4000</v>
      </c>
      <c r="B703" s="971" t="s">
        <v>1316</v>
      </c>
      <c r="C703" s="1272">
        <v>4200</v>
      </c>
      <c r="D703" s="971" t="s">
        <v>1394</v>
      </c>
      <c r="E703" s="971">
        <v>4210</v>
      </c>
      <c r="F703" s="971" t="s">
        <v>1311</v>
      </c>
      <c r="G703" s="971">
        <v>4213</v>
      </c>
      <c r="H703" s="971" t="s">
        <v>1307</v>
      </c>
      <c r="I703" s="1273" t="s">
        <v>1400</v>
      </c>
      <c r="J703" s="971" t="s">
        <v>124</v>
      </c>
      <c r="K703" s="971"/>
      <c r="L703" s="971" t="e">
        <v>#N/A</v>
      </c>
      <c r="M703" s="971" t="s">
        <v>145</v>
      </c>
      <c r="N703" s="971" t="s">
        <v>141</v>
      </c>
      <c r="O703" s="971" t="s">
        <v>146</v>
      </c>
      <c r="P703" s="971"/>
      <c r="Q703" s="971" t="s">
        <v>1401</v>
      </c>
      <c r="R703" s="1266" t="s">
        <v>1397</v>
      </c>
      <c r="S703" s="2106">
        <v>33.457249070631974</v>
      </c>
      <c r="T703" s="1266" t="s">
        <v>136</v>
      </c>
      <c r="U703" s="1742" t="s">
        <v>6588</v>
      </c>
      <c r="V703" s="1742" t="s">
        <v>6588</v>
      </c>
      <c r="W703" s="1742" t="s">
        <v>6588</v>
      </c>
      <c r="X703" s="1742" t="s">
        <v>6588</v>
      </c>
      <c r="Y703" s="2106" t="s">
        <v>6588</v>
      </c>
      <c r="Z703" s="2106">
        <v>0</v>
      </c>
      <c r="AA703" s="2106">
        <v>0</v>
      </c>
      <c r="AB703" s="2106">
        <v>0</v>
      </c>
      <c r="AC703" s="2106">
        <v>0</v>
      </c>
      <c r="AD703" s="1744">
        <v>0</v>
      </c>
      <c r="AE703" s="2126">
        <v>0</v>
      </c>
      <c r="AF703" s="2126">
        <v>0</v>
      </c>
      <c r="AG703" s="1212">
        <v>1</v>
      </c>
      <c r="AH703" s="1212">
        <v>0</v>
      </c>
      <c r="AI703" s="1212">
        <v>0</v>
      </c>
      <c r="AJ703" s="1212">
        <v>1</v>
      </c>
      <c r="AK703" s="2126">
        <v>0</v>
      </c>
      <c r="AL703" s="2126">
        <v>0</v>
      </c>
      <c r="AM703" s="2126">
        <v>0</v>
      </c>
      <c r="AN703" s="2126">
        <v>0</v>
      </c>
      <c r="AO703" s="1743" t="s">
        <v>85</v>
      </c>
      <c r="AP703" s="1743"/>
      <c r="AQ703" s="1764">
        <v>2014</v>
      </c>
      <c r="AR703" s="1743" t="s">
        <v>87</v>
      </c>
      <c r="AS703" s="2135"/>
      <c r="AT703" s="2135"/>
      <c r="AU703" s="1212">
        <v>0.33333333333333331</v>
      </c>
      <c r="AV703" s="1212">
        <v>0.33333333333333331</v>
      </c>
      <c r="AW703" s="1212">
        <v>0.33333333333333331</v>
      </c>
      <c r="AX703" s="1212"/>
      <c r="AY703" s="1212"/>
      <c r="AZ703" s="1212"/>
      <c r="BA703" s="1212"/>
      <c r="BB703" s="1212"/>
      <c r="BC703" s="1212"/>
      <c r="BD703" s="1212"/>
      <c r="BE703" s="1212"/>
      <c r="BF703" s="2126">
        <v>0</v>
      </c>
      <c r="BG703" s="2126">
        <v>0</v>
      </c>
      <c r="BH703" s="2126">
        <v>0</v>
      </c>
      <c r="BI703" s="2126">
        <v>0</v>
      </c>
      <c r="BJ703" s="2126">
        <v>0</v>
      </c>
      <c r="BK703" s="2126">
        <v>0</v>
      </c>
      <c r="BL703" s="2126">
        <v>0</v>
      </c>
      <c r="BM703" s="2126">
        <v>0</v>
      </c>
      <c r="BN703" s="2126">
        <v>0</v>
      </c>
      <c r="BO703" s="2126">
        <v>0</v>
      </c>
      <c r="BP703" s="2126">
        <v>0</v>
      </c>
      <c r="BQ703" s="2126">
        <v>0</v>
      </c>
      <c r="BR703" s="2126">
        <v>0</v>
      </c>
    </row>
    <row r="704" spans="1:70" s="1765" customFormat="1" ht="49.5">
      <c r="A704" s="1272">
        <v>4000</v>
      </c>
      <c r="B704" s="971" t="s">
        <v>1316</v>
      </c>
      <c r="C704" s="1272">
        <v>4200</v>
      </c>
      <c r="D704" s="971" t="s">
        <v>1394</v>
      </c>
      <c r="E704" s="971">
        <v>4210</v>
      </c>
      <c r="F704" s="971" t="s">
        <v>1311</v>
      </c>
      <c r="G704" s="971">
        <v>4211</v>
      </c>
      <c r="H704" s="971" t="s">
        <v>1402</v>
      </c>
      <c r="I704" s="1273" t="s">
        <v>1403</v>
      </c>
      <c r="J704" s="971" t="s">
        <v>124</v>
      </c>
      <c r="K704" s="971" t="s">
        <v>2857</v>
      </c>
      <c r="L704" s="971" t="s">
        <v>2858</v>
      </c>
      <c r="M704" s="971" t="s">
        <v>627</v>
      </c>
      <c r="N704" s="971" t="s">
        <v>488</v>
      </c>
      <c r="O704" s="971" t="s">
        <v>539</v>
      </c>
      <c r="P704" s="971"/>
      <c r="Q704" s="971" t="s">
        <v>1404</v>
      </c>
      <c r="R704" s="1266" t="s">
        <v>1405</v>
      </c>
      <c r="S704" s="2106">
        <v>342.0074349442379</v>
      </c>
      <c r="T704" s="1266" t="s">
        <v>136</v>
      </c>
      <c r="U704" s="1742">
        <v>0.56041666666666667</v>
      </c>
      <c r="V704" s="1742">
        <v>2.8020833333333335</v>
      </c>
      <c r="W704" s="1742">
        <v>49.395125</v>
      </c>
      <c r="X704" s="1742">
        <v>77.264645833333333</v>
      </c>
      <c r="Y704" s="2106">
        <v>129.46185416666665</v>
      </c>
      <c r="Z704" s="2106">
        <v>191.66666666666666</v>
      </c>
      <c r="AA704" s="2106">
        <v>958.33333333333337</v>
      </c>
      <c r="AB704" s="2106">
        <v>16893.5</v>
      </c>
      <c r="AC704" s="2106">
        <v>26425.083333333332</v>
      </c>
      <c r="AD704" s="1744">
        <v>44276.916666666664</v>
      </c>
      <c r="AE704" s="2126">
        <v>1</v>
      </c>
      <c r="AF704" s="2126">
        <v>342.0074349442379</v>
      </c>
      <c r="AG704" s="1212">
        <v>1</v>
      </c>
      <c r="AH704" s="1212">
        <v>0</v>
      </c>
      <c r="AI704" s="1212">
        <v>0</v>
      </c>
      <c r="AJ704" s="1212">
        <v>1</v>
      </c>
      <c r="AK704" s="2126">
        <v>44276.916666666664</v>
      </c>
      <c r="AL704" s="2126">
        <v>0</v>
      </c>
      <c r="AM704" s="2126">
        <v>0</v>
      </c>
      <c r="AN704" s="2126">
        <v>44276.916666666664</v>
      </c>
      <c r="AO704" s="1743" t="s">
        <v>85</v>
      </c>
      <c r="AP704" s="1743"/>
      <c r="AQ704" s="1764">
        <v>2014</v>
      </c>
      <c r="AR704" s="1743" t="s">
        <v>87</v>
      </c>
      <c r="AS704" s="2135"/>
      <c r="AT704" s="2135"/>
      <c r="AU704" s="1212">
        <v>0.33333333333333331</v>
      </c>
      <c r="AV704" s="1212">
        <v>0.33333333333333331</v>
      </c>
      <c r="AW704" s="1212">
        <v>0.33333333333333331</v>
      </c>
      <c r="AX704" s="1212"/>
      <c r="AY704" s="1212"/>
      <c r="AZ704" s="1212"/>
      <c r="BA704" s="1212"/>
      <c r="BB704" s="1212"/>
      <c r="BC704" s="1212"/>
      <c r="BD704" s="1212"/>
      <c r="BE704" s="1212"/>
      <c r="BF704" s="2126">
        <v>0</v>
      </c>
      <c r="BG704" s="2126">
        <v>0</v>
      </c>
      <c r="BH704" s="2126">
        <v>14758.972222222221</v>
      </c>
      <c r="BI704" s="2126">
        <v>14758.972222222221</v>
      </c>
      <c r="BJ704" s="2126">
        <v>14758.972222222221</v>
      </c>
      <c r="BK704" s="2126">
        <v>0</v>
      </c>
      <c r="BL704" s="2126">
        <v>0</v>
      </c>
      <c r="BM704" s="2126">
        <v>0</v>
      </c>
      <c r="BN704" s="2126">
        <v>0</v>
      </c>
      <c r="BO704" s="2126">
        <v>0</v>
      </c>
      <c r="BP704" s="2126">
        <v>0</v>
      </c>
      <c r="BQ704" s="2126">
        <v>0</v>
      </c>
      <c r="BR704" s="2126">
        <v>0</v>
      </c>
    </row>
    <row r="705" spans="1:70" s="1765" customFormat="1" ht="33">
      <c r="A705" s="1272">
        <v>4000</v>
      </c>
      <c r="B705" s="971" t="s">
        <v>1316</v>
      </c>
      <c r="C705" s="1272">
        <v>4200</v>
      </c>
      <c r="D705" s="971" t="s">
        <v>1394</v>
      </c>
      <c r="E705" s="971">
        <v>4210</v>
      </c>
      <c r="F705" s="971" t="s">
        <v>1311</v>
      </c>
      <c r="G705" s="971">
        <v>4211</v>
      </c>
      <c r="H705" s="971" t="s">
        <v>1402</v>
      </c>
      <c r="I705" s="1273" t="s">
        <v>1406</v>
      </c>
      <c r="J705" s="971" t="s">
        <v>124</v>
      </c>
      <c r="K705" s="971" t="s">
        <v>140</v>
      </c>
      <c r="L705" s="971" t="s">
        <v>2909</v>
      </c>
      <c r="M705" s="971" t="s">
        <v>140</v>
      </c>
      <c r="N705" s="971" t="s">
        <v>141</v>
      </c>
      <c r="O705" s="971" t="s">
        <v>142</v>
      </c>
      <c r="P705" s="971"/>
      <c r="Q705" s="971" t="s">
        <v>1407</v>
      </c>
      <c r="R705" s="1266" t="s">
        <v>1405</v>
      </c>
      <c r="S705" s="2106">
        <v>342.0074349442379</v>
      </c>
      <c r="T705" s="1266" t="s">
        <v>136</v>
      </c>
      <c r="U705" s="1742">
        <v>0</v>
      </c>
      <c r="V705" s="1742">
        <v>0</v>
      </c>
      <c r="W705" s="1742">
        <v>0</v>
      </c>
      <c r="X705" s="1742">
        <v>0</v>
      </c>
      <c r="Y705" s="2106">
        <v>0</v>
      </c>
      <c r="Z705" s="2106">
        <v>0</v>
      </c>
      <c r="AA705" s="2106">
        <v>0</v>
      </c>
      <c r="AB705" s="2106">
        <v>0</v>
      </c>
      <c r="AC705" s="2106">
        <v>0</v>
      </c>
      <c r="AD705" s="1744">
        <v>0</v>
      </c>
      <c r="AE705" s="2126">
        <v>0</v>
      </c>
      <c r="AF705" s="2126">
        <v>0</v>
      </c>
      <c r="AG705" s="1212">
        <v>1</v>
      </c>
      <c r="AH705" s="1212">
        <v>0</v>
      </c>
      <c r="AI705" s="1212">
        <v>0</v>
      </c>
      <c r="AJ705" s="1212">
        <v>1</v>
      </c>
      <c r="AK705" s="2126">
        <v>0</v>
      </c>
      <c r="AL705" s="2126">
        <v>0</v>
      </c>
      <c r="AM705" s="2126">
        <v>0</v>
      </c>
      <c r="AN705" s="2126">
        <v>0</v>
      </c>
      <c r="AO705" s="1743" t="s">
        <v>85</v>
      </c>
      <c r="AP705" s="1743"/>
      <c r="AQ705" s="1764">
        <v>2014</v>
      </c>
      <c r="AR705" s="1743" t="s">
        <v>87</v>
      </c>
      <c r="AS705" s="2135"/>
      <c r="AT705" s="2135"/>
      <c r="AU705" s="1212">
        <v>0.33333333333333331</v>
      </c>
      <c r="AV705" s="1212">
        <v>0.33333333333333331</v>
      </c>
      <c r="AW705" s="1212">
        <v>0.33333333333333331</v>
      </c>
      <c r="AX705" s="1212"/>
      <c r="AY705" s="1212"/>
      <c r="AZ705" s="1212"/>
      <c r="BA705" s="1212"/>
      <c r="BB705" s="1212"/>
      <c r="BC705" s="1212"/>
      <c r="BD705" s="1212"/>
      <c r="BE705" s="1212"/>
      <c r="BF705" s="2126">
        <v>0</v>
      </c>
      <c r="BG705" s="2126">
        <v>0</v>
      </c>
      <c r="BH705" s="2126">
        <v>0</v>
      </c>
      <c r="BI705" s="2126">
        <v>0</v>
      </c>
      <c r="BJ705" s="2126">
        <v>0</v>
      </c>
      <c r="BK705" s="2126">
        <v>0</v>
      </c>
      <c r="BL705" s="2126">
        <v>0</v>
      </c>
      <c r="BM705" s="2126">
        <v>0</v>
      </c>
      <c r="BN705" s="2126">
        <v>0</v>
      </c>
      <c r="BO705" s="2126">
        <v>0</v>
      </c>
      <c r="BP705" s="2126">
        <v>0</v>
      </c>
      <c r="BQ705" s="2126">
        <v>0</v>
      </c>
      <c r="BR705" s="2126">
        <v>0</v>
      </c>
    </row>
    <row r="706" spans="1:70" s="1765" customFormat="1" ht="33">
      <c r="A706" s="1272">
        <v>4000</v>
      </c>
      <c r="B706" s="971" t="s">
        <v>1316</v>
      </c>
      <c r="C706" s="1272">
        <v>4200</v>
      </c>
      <c r="D706" s="971" t="s">
        <v>1394</v>
      </c>
      <c r="E706" s="971">
        <v>4210</v>
      </c>
      <c r="F706" s="971" t="s">
        <v>1311</v>
      </c>
      <c r="G706" s="971">
        <v>4211</v>
      </c>
      <c r="H706" s="971" t="s">
        <v>1402</v>
      </c>
      <c r="I706" s="1273" t="s">
        <v>1408</v>
      </c>
      <c r="J706" s="971" t="s">
        <v>124</v>
      </c>
      <c r="K706" s="971"/>
      <c r="L706" s="971" t="e">
        <v>#N/A</v>
      </c>
      <c r="M706" s="971" t="s">
        <v>145</v>
      </c>
      <c r="N706" s="971" t="s">
        <v>141</v>
      </c>
      <c r="O706" s="971" t="s">
        <v>146</v>
      </c>
      <c r="P706" s="971"/>
      <c r="Q706" s="971" t="s">
        <v>1409</v>
      </c>
      <c r="R706" s="1266" t="s">
        <v>1405</v>
      </c>
      <c r="S706" s="2106">
        <v>342.0074349442379</v>
      </c>
      <c r="T706" s="1266" t="s">
        <v>136</v>
      </c>
      <c r="U706" s="1742" t="s">
        <v>6588</v>
      </c>
      <c r="V706" s="1742" t="s">
        <v>6588</v>
      </c>
      <c r="W706" s="1742" t="s">
        <v>6588</v>
      </c>
      <c r="X706" s="1742" t="s">
        <v>6588</v>
      </c>
      <c r="Y706" s="2106" t="s">
        <v>6588</v>
      </c>
      <c r="Z706" s="2106">
        <v>0</v>
      </c>
      <c r="AA706" s="2106">
        <v>0</v>
      </c>
      <c r="AB706" s="2106">
        <v>0</v>
      </c>
      <c r="AC706" s="2106">
        <v>0</v>
      </c>
      <c r="AD706" s="1744">
        <v>0</v>
      </c>
      <c r="AE706" s="2126">
        <v>0</v>
      </c>
      <c r="AF706" s="2126">
        <v>0</v>
      </c>
      <c r="AG706" s="1212">
        <v>1</v>
      </c>
      <c r="AH706" s="1212">
        <v>0</v>
      </c>
      <c r="AI706" s="1212">
        <v>0</v>
      </c>
      <c r="AJ706" s="1212">
        <v>1</v>
      </c>
      <c r="AK706" s="2126">
        <v>0</v>
      </c>
      <c r="AL706" s="2126">
        <v>0</v>
      </c>
      <c r="AM706" s="2126">
        <v>0</v>
      </c>
      <c r="AN706" s="2126">
        <v>0</v>
      </c>
      <c r="AO706" s="1743" t="s">
        <v>85</v>
      </c>
      <c r="AP706" s="1743"/>
      <c r="AQ706" s="1764">
        <v>2014</v>
      </c>
      <c r="AR706" s="1743" t="s">
        <v>87</v>
      </c>
      <c r="AS706" s="2135"/>
      <c r="AT706" s="2135"/>
      <c r="AU706" s="1212">
        <v>0.33333333333333331</v>
      </c>
      <c r="AV706" s="1212">
        <v>0.33333333333333331</v>
      </c>
      <c r="AW706" s="1212">
        <v>0.33333333333333331</v>
      </c>
      <c r="AX706" s="1212"/>
      <c r="AY706" s="1212"/>
      <c r="AZ706" s="1212"/>
      <c r="BA706" s="1212"/>
      <c r="BB706" s="1212"/>
      <c r="BC706" s="1212"/>
      <c r="BD706" s="1212"/>
      <c r="BE706" s="1212"/>
      <c r="BF706" s="2126">
        <v>0</v>
      </c>
      <c r="BG706" s="2126">
        <v>0</v>
      </c>
      <c r="BH706" s="2126">
        <v>0</v>
      </c>
      <c r="BI706" s="2126">
        <v>0</v>
      </c>
      <c r="BJ706" s="2126">
        <v>0</v>
      </c>
      <c r="BK706" s="2126">
        <v>0</v>
      </c>
      <c r="BL706" s="2126">
        <v>0</v>
      </c>
      <c r="BM706" s="2126">
        <v>0</v>
      </c>
      <c r="BN706" s="2126">
        <v>0</v>
      </c>
      <c r="BO706" s="2126">
        <v>0</v>
      </c>
      <c r="BP706" s="2126">
        <v>0</v>
      </c>
      <c r="BQ706" s="2126">
        <v>0</v>
      </c>
      <c r="BR706" s="2126">
        <v>0</v>
      </c>
    </row>
    <row r="707" spans="1:70" s="1765" customFormat="1" ht="66">
      <c r="A707" s="1272">
        <v>4000</v>
      </c>
      <c r="B707" s="971" t="s">
        <v>1316</v>
      </c>
      <c r="C707" s="1272">
        <v>4200</v>
      </c>
      <c r="D707" s="971" t="s">
        <v>1394</v>
      </c>
      <c r="E707" s="971">
        <v>4210</v>
      </c>
      <c r="F707" s="971" t="s">
        <v>1311</v>
      </c>
      <c r="G707" s="971">
        <v>4212</v>
      </c>
      <c r="H707" s="971" t="s">
        <v>1410</v>
      </c>
      <c r="I707" s="1273" t="s">
        <v>1411</v>
      </c>
      <c r="J707" s="971" t="s">
        <v>124</v>
      </c>
      <c r="K707" s="971" t="s">
        <v>1747</v>
      </c>
      <c r="L707" s="971" t="s">
        <v>6606</v>
      </c>
      <c r="M707" s="971" t="s">
        <v>606</v>
      </c>
      <c r="N707" s="971" t="s">
        <v>488</v>
      </c>
      <c r="O707" s="971" t="s">
        <v>518</v>
      </c>
      <c r="P707" s="971"/>
      <c r="Q707" s="971" t="s">
        <v>1412</v>
      </c>
      <c r="R707" s="1266" t="s">
        <v>1413</v>
      </c>
      <c r="S707" s="2106">
        <v>371.74721189591077</v>
      </c>
      <c r="T707" s="1266" t="s">
        <v>136</v>
      </c>
      <c r="U707" s="1742">
        <v>0.56041666666666667</v>
      </c>
      <c r="V707" s="1742">
        <v>1.9614583333333333</v>
      </c>
      <c r="W707" s="1742">
        <v>49.395125</v>
      </c>
      <c r="X707" s="1742">
        <v>77.264645833333333</v>
      </c>
      <c r="Y707" s="2106">
        <v>128.62122916666667</v>
      </c>
      <c r="Z707" s="2106">
        <v>208.33333333333331</v>
      </c>
      <c r="AA707" s="2106">
        <v>729.16666666666663</v>
      </c>
      <c r="AB707" s="2106">
        <v>18362.5</v>
      </c>
      <c r="AC707" s="2106">
        <v>28722.916666666664</v>
      </c>
      <c r="AD707" s="1744">
        <v>47814.583333333328</v>
      </c>
      <c r="AE707" s="2126">
        <v>1</v>
      </c>
      <c r="AF707" s="2126">
        <v>371.74721189591077</v>
      </c>
      <c r="AG707" s="1212">
        <v>1</v>
      </c>
      <c r="AH707" s="1212">
        <v>0</v>
      </c>
      <c r="AI707" s="1212">
        <v>0</v>
      </c>
      <c r="AJ707" s="1212">
        <v>1</v>
      </c>
      <c r="AK707" s="2126">
        <v>47814.583333333328</v>
      </c>
      <c r="AL707" s="2126">
        <v>0</v>
      </c>
      <c r="AM707" s="2126">
        <v>0</v>
      </c>
      <c r="AN707" s="2126">
        <v>47814.583333333328</v>
      </c>
      <c r="AO707" s="1743" t="s">
        <v>85</v>
      </c>
      <c r="AP707" s="1743"/>
      <c r="AQ707" s="1764">
        <v>2014</v>
      </c>
      <c r="AR707" s="1743" t="s">
        <v>87</v>
      </c>
      <c r="AS707" s="2135"/>
      <c r="AT707" s="2135"/>
      <c r="AU707" s="1212">
        <v>0.33333333333333331</v>
      </c>
      <c r="AV707" s="1212">
        <v>0.33333333333333331</v>
      </c>
      <c r="AW707" s="1212">
        <v>0.33333333333333331</v>
      </c>
      <c r="AX707" s="1212"/>
      <c r="AY707" s="1212"/>
      <c r="AZ707" s="1212"/>
      <c r="BA707" s="1212"/>
      <c r="BB707" s="1212"/>
      <c r="BC707" s="1212"/>
      <c r="BD707" s="1212"/>
      <c r="BE707" s="1212"/>
      <c r="BF707" s="2126">
        <v>0</v>
      </c>
      <c r="BG707" s="2126">
        <v>0</v>
      </c>
      <c r="BH707" s="2126">
        <v>15938.194444444442</v>
      </c>
      <c r="BI707" s="2126">
        <v>15938.194444444442</v>
      </c>
      <c r="BJ707" s="2126">
        <v>15938.194444444442</v>
      </c>
      <c r="BK707" s="2126">
        <v>0</v>
      </c>
      <c r="BL707" s="2126">
        <v>0</v>
      </c>
      <c r="BM707" s="2126">
        <v>0</v>
      </c>
      <c r="BN707" s="2126">
        <v>0</v>
      </c>
      <c r="BO707" s="2126">
        <v>0</v>
      </c>
      <c r="BP707" s="2126">
        <v>0</v>
      </c>
      <c r="BQ707" s="2126">
        <v>0</v>
      </c>
      <c r="BR707" s="2126">
        <v>0</v>
      </c>
    </row>
    <row r="708" spans="1:70" s="1765" customFormat="1" ht="66">
      <c r="A708" s="1272">
        <v>4000</v>
      </c>
      <c r="B708" s="971" t="s">
        <v>1316</v>
      </c>
      <c r="C708" s="1272">
        <v>4200</v>
      </c>
      <c r="D708" s="971" t="s">
        <v>1394</v>
      </c>
      <c r="E708" s="971">
        <v>4210</v>
      </c>
      <c r="F708" s="971" t="s">
        <v>1311</v>
      </c>
      <c r="G708" s="971">
        <v>4212</v>
      </c>
      <c r="H708" s="971" t="s">
        <v>1410</v>
      </c>
      <c r="I708" s="1273" t="s">
        <v>1411</v>
      </c>
      <c r="J708" s="971" t="s">
        <v>124</v>
      </c>
      <c r="K708" s="971" t="s">
        <v>1747</v>
      </c>
      <c r="L708" s="971" t="s">
        <v>6606</v>
      </c>
      <c r="M708" s="971" t="s">
        <v>606</v>
      </c>
      <c r="N708" s="971" t="s">
        <v>488</v>
      </c>
      <c r="O708" s="971" t="s">
        <v>518</v>
      </c>
      <c r="P708" s="971"/>
      <c r="Q708" s="971" t="s">
        <v>1412</v>
      </c>
      <c r="R708" s="1266"/>
      <c r="S708" s="2106">
        <v>130</v>
      </c>
      <c r="T708" s="1266" t="s">
        <v>136</v>
      </c>
      <c r="U708" s="1742">
        <v>0.56041666666666667</v>
      </c>
      <c r="V708" s="1742">
        <v>1.9614583333333333</v>
      </c>
      <c r="W708" s="1742">
        <v>49.395125</v>
      </c>
      <c r="X708" s="1742">
        <v>77.264645833333333</v>
      </c>
      <c r="Y708" s="2106">
        <v>128.62122916666667</v>
      </c>
      <c r="Z708" s="2106">
        <v>72.854166666666671</v>
      </c>
      <c r="AA708" s="2106">
        <v>254.98958333333334</v>
      </c>
      <c r="AB708" s="2106">
        <v>6421.36625</v>
      </c>
      <c r="AC708" s="2106">
        <v>10044.403958333332</v>
      </c>
      <c r="AD708" s="1744">
        <v>16720.759791666664</v>
      </c>
      <c r="AE708" s="2126">
        <v>1</v>
      </c>
      <c r="AF708" s="2126">
        <v>130</v>
      </c>
      <c r="AG708" s="1212">
        <v>1</v>
      </c>
      <c r="AH708" s="1212">
        <v>0</v>
      </c>
      <c r="AI708" s="1212">
        <v>0</v>
      </c>
      <c r="AJ708" s="1212">
        <v>1</v>
      </c>
      <c r="AK708" s="2126">
        <v>16720.759791666664</v>
      </c>
      <c r="AL708" s="2126">
        <v>0</v>
      </c>
      <c r="AM708" s="2126">
        <v>0</v>
      </c>
      <c r="AN708" s="2126">
        <v>16720.759791666664</v>
      </c>
      <c r="AO708" s="1743" t="s">
        <v>85</v>
      </c>
      <c r="AP708" s="1743"/>
      <c r="AQ708" s="1764" t="s">
        <v>103</v>
      </c>
      <c r="AR708" s="1743" t="s">
        <v>87</v>
      </c>
      <c r="AS708" s="2135"/>
      <c r="AT708" s="2135"/>
      <c r="AU708" s="1212">
        <v>0.33333333333333331</v>
      </c>
      <c r="AV708" s="1212">
        <v>0.33333333333333331</v>
      </c>
      <c r="AW708" s="1212">
        <v>0.33333333333333331</v>
      </c>
      <c r="AX708" s="1212"/>
      <c r="AY708" s="1212"/>
      <c r="AZ708" s="1212"/>
      <c r="BA708" s="1212"/>
      <c r="BB708" s="1212"/>
      <c r="BC708" s="1212"/>
      <c r="BD708" s="1212"/>
      <c r="BE708" s="1212"/>
      <c r="BF708" s="2126">
        <v>0</v>
      </c>
      <c r="BG708" s="2126">
        <v>0</v>
      </c>
      <c r="BH708" s="2126">
        <v>5573.5865972222209</v>
      </c>
      <c r="BI708" s="2126">
        <v>5573.5865972222209</v>
      </c>
      <c r="BJ708" s="2126">
        <v>5573.5865972222209</v>
      </c>
      <c r="BK708" s="2126">
        <v>0</v>
      </c>
      <c r="BL708" s="2126">
        <v>0</v>
      </c>
      <c r="BM708" s="2126">
        <v>0</v>
      </c>
      <c r="BN708" s="2126">
        <v>0</v>
      </c>
      <c r="BO708" s="2126">
        <v>0</v>
      </c>
      <c r="BP708" s="2126">
        <v>0</v>
      </c>
      <c r="BQ708" s="2126">
        <v>0</v>
      </c>
      <c r="BR708" s="2126">
        <v>0</v>
      </c>
    </row>
    <row r="709" spans="1:70" s="1765" customFormat="1" ht="49.5">
      <c r="A709" s="1272">
        <v>4000</v>
      </c>
      <c r="B709" s="971" t="s">
        <v>1316</v>
      </c>
      <c r="C709" s="1272">
        <v>4200</v>
      </c>
      <c r="D709" s="971" t="s">
        <v>1394</v>
      </c>
      <c r="E709" s="971">
        <v>4210</v>
      </c>
      <c r="F709" s="971" t="s">
        <v>1311</v>
      </c>
      <c r="G709" s="971">
        <v>4212</v>
      </c>
      <c r="H709" s="971" t="s">
        <v>1410</v>
      </c>
      <c r="I709" s="1273" t="s">
        <v>1414</v>
      </c>
      <c r="J709" s="971" t="s">
        <v>124</v>
      </c>
      <c r="K709" s="971" t="s">
        <v>506</v>
      </c>
      <c r="L709" s="971" t="s">
        <v>6608</v>
      </c>
      <c r="M709" s="971" t="s">
        <v>506</v>
      </c>
      <c r="N709" s="971" t="s">
        <v>141</v>
      </c>
      <c r="O709" s="971" t="s">
        <v>507</v>
      </c>
      <c r="P709" s="971"/>
      <c r="Q709" s="971" t="s">
        <v>1415</v>
      </c>
      <c r="R709" s="1266" t="s">
        <v>1413</v>
      </c>
      <c r="S709" s="2106">
        <v>371.74721189591077</v>
      </c>
      <c r="T709" s="1266" t="s">
        <v>136</v>
      </c>
      <c r="U709" s="1742">
        <v>0.125</v>
      </c>
      <c r="V709" s="1742">
        <v>1.875</v>
      </c>
      <c r="W709" s="1742">
        <v>11.0175</v>
      </c>
      <c r="X709" s="1742">
        <v>18.75</v>
      </c>
      <c r="Y709" s="2106">
        <v>31.642499999999998</v>
      </c>
      <c r="Z709" s="2106">
        <v>46.468401486988846</v>
      </c>
      <c r="AA709" s="2106">
        <v>697.02602230483274</v>
      </c>
      <c r="AB709" s="2106">
        <v>4095.724907063197</v>
      </c>
      <c r="AC709" s="2106">
        <v>6970.2602230483271</v>
      </c>
      <c r="AD709" s="1744">
        <v>11763.011152416357</v>
      </c>
      <c r="AE709" s="2126">
        <v>0</v>
      </c>
      <c r="AF709" s="2126">
        <v>0</v>
      </c>
      <c r="AG709" s="1212">
        <v>1</v>
      </c>
      <c r="AH709" s="1212">
        <v>0</v>
      </c>
      <c r="AI709" s="1212">
        <v>0</v>
      </c>
      <c r="AJ709" s="1212">
        <v>1</v>
      </c>
      <c r="AK709" s="2126">
        <v>11763.011152416357</v>
      </c>
      <c r="AL709" s="2126">
        <v>0</v>
      </c>
      <c r="AM709" s="2126">
        <v>0</v>
      </c>
      <c r="AN709" s="2126">
        <v>11763.011152416357</v>
      </c>
      <c r="AO709" s="1743" t="s">
        <v>85</v>
      </c>
      <c r="AP709" s="1743"/>
      <c r="AQ709" s="1764">
        <v>2014</v>
      </c>
      <c r="AR709" s="1743" t="s">
        <v>87</v>
      </c>
      <c r="AS709" s="2135"/>
      <c r="AT709" s="2135"/>
      <c r="AU709" s="1212">
        <v>0.33333333333333331</v>
      </c>
      <c r="AV709" s="1212">
        <v>0.33333333333333331</v>
      </c>
      <c r="AW709" s="1212">
        <v>0.33333333333333331</v>
      </c>
      <c r="AX709" s="1212"/>
      <c r="AY709" s="1212"/>
      <c r="AZ709" s="1212"/>
      <c r="BA709" s="1212"/>
      <c r="BB709" s="1212"/>
      <c r="BC709" s="1212"/>
      <c r="BD709" s="1212"/>
      <c r="BE709" s="1212"/>
      <c r="BF709" s="2126">
        <v>0</v>
      </c>
      <c r="BG709" s="2126">
        <v>0</v>
      </c>
      <c r="BH709" s="2126">
        <v>3921.0037174721188</v>
      </c>
      <c r="BI709" s="2126">
        <v>3921.0037174721188</v>
      </c>
      <c r="BJ709" s="2126">
        <v>3921.0037174721188</v>
      </c>
      <c r="BK709" s="2126">
        <v>0</v>
      </c>
      <c r="BL709" s="2126">
        <v>0</v>
      </c>
      <c r="BM709" s="2126">
        <v>0</v>
      </c>
      <c r="BN709" s="2126">
        <v>0</v>
      </c>
      <c r="BO709" s="2126">
        <v>0</v>
      </c>
      <c r="BP709" s="2126">
        <v>0</v>
      </c>
      <c r="BQ709" s="2126">
        <v>0</v>
      </c>
      <c r="BR709" s="2126">
        <v>0</v>
      </c>
    </row>
    <row r="710" spans="1:70" s="1765" customFormat="1" ht="33">
      <c r="A710" s="1272">
        <v>4000</v>
      </c>
      <c r="B710" s="971" t="s">
        <v>1316</v>
      </c>
      <c r="C710" s="1272">
        <v>4200</v>
      </c>
      <c r="D710" s="971" t="s">
        <v>1394</v>
      </c>
      <c r="E710" s="971">
        <v>4210</v>
      </c>
      <c r="F710" s="971" t="s">
        <v>1311</v>
      </c>
      <c r="G710" s="971">
        <v>4212</v>
      </c>
      <c r="H710" s="971" t="s">
        <v>1410</v>
      </c>
      <c r="I710" s="1273" t="s">
        <v>1416</v>
      </c>
      <c r="J710" s="971" t="s">
        <v>124</v>
      </c>
      <c r="K710" s="971" t="s">
        <v>140</v>
      </c>
      <c r="L710" s="971" t="s">
        <v>2909</v>
      </c>
      <c r="M710" s="971" t="s">
        <v>140</v>
      </c>
      <c r="N710" s="971" t="s">
        <v>141</v>
      </c>
      <c r="O710" s="971" t="s">
        <v>142</v>
      </c>
      <c r="P710" s="971"/>
      <c r="Q710" s="971" t="s">
        <v>1417</v>
      </c>
      <c r="R710" s="1266" t="s">
        <v>1413</v>
      </c>
      <c r="S710" s="2106">
        <v>371.74721189591077</v>
      </c>
      <c r="T710" s="1266" t="s">
        <v>136</v>
      </c>
      <c r="U710" s="1742">
        <v>0</v>
      </c>
      <c r="V710" s="1742">
        <v>0</v>
      </c>
      <c r="W710" s="1742">
        <v>0</v>
      </c>
      <c r="X710" s="1742">
        <v>0</v>
      </c>
      <c r="Y710" s="2106">
        <v>0</v>
      </c>
      <c r="Z710" s="2106">
        <v>0</v>
      </c>
      <c r="AA710" s="2106">
        <v>0</v>
      </c>
      <c r="AB710" s="2106">
        <v>0</v>
      </c>
      <c r="AC710" s="2106">
        <v>0</v>
      </c>
      <c r="AD710" s="1744">
        <v>0</v>
      </c>
      <c r="AE710" s="2126">
        <v>0</v>
      </c>
      <c r="AF710" s="2126">
        <v>0</v>
      </c>
      <c r="AG710" s="1212">
        <v>1</v>
      </c>
      <c r="AH710" s="1212">
        <v>0</v>
      </c>
      <c r="AI710" s="1212">
        <v>0</v>
      </c>
      <c r="AJ710" s="1212">
        <v>1</v>
      </c>
      <c r="AK710" s="2126">
        <v>0</v>
      </c>
      <c r="AL710" s="2126">
        <v>0</v>
      </c>
      <c r="AM710" s="2126">
        <v>0</v>
      </c>
      <c r="AN710" s="2126">
        <v>0</v>
      </c>
      <c r="AO710" s="1743" t="s">
        <v>85</v>
      </c>
      <c r="AP710" s="1743"/>
      <c r="AQ710" s="1764">
        <v>2014</v>
      </c>
      <c r="AR710" s="1743" t="s">
        <v>87</v>
      </c>
      <c r="AS710" s="2135"/>
      <c r="AT710" s="2135"/>
      <c r="AU710" s="1212">
        <v>0.33333333333333331</v>
      </c>
      <c r="AV710" s="1212">
        <v>0.33333333333333331</v>
      </c>
      <c r="AW710" s="1212">
        <v>0.33333333333333331</v>
      </c>
      <c r="AX710" s="1212"/>
      <c r="AY710" s="1212"/>
      <c r="AZ710" s="1212"/>
      <c r="BA710" s="1212"/>
      <c r="BB710" s="1212"/>
      <c r="BC710" s="1212"/>
      <c r="BD710" s="1212"/>
      <c r="BE710" s="1212"/>
      <c r="BF710" s="2126">
        <v>0</v>
      </c>
      <c r="BG710" s="2126">
        <v>0</v>
      </c>
      <c r="BH710" s="2126">
        <v>0</v>
      </c>
      <c r="BI710" s="2126">
        <v>0</v>
      </c>
      <c r="BJ710" s="2126">
        <v>0</v>
      </c>
      <c r="BK710" s="2126">
        <v>0</v>
      </c>
      <c r="BL710" s="2126">
        <v>0</v>
      </c>
      <c r="BM710" s="2126">
        <v>0</v>
      </c>
      <c r="BN710" s="2126">
        <v>0</v>
      </c>
      <c r="BO710" s="2126">
        <v>0</v>
      </c>
      <c r="BP710" s="2126">
        <v>0</v>
      </c>
      <c r="BQ710" s="2126">
        <v>0</v>
      </c>
      <c r="BR710" s="2126">
        <v>0</v>
      </c>
    </row>
    <row r="711" spans="1:70" s="1765" customFormat="1" ht="33">
      <c r="A711" s="1272">
        <v>4000</v>
      </c>
      <c r="B711" s="971" t="s">
        <v>1316</v>
      </c>
      <c r="C711" s="1272">
        <v>4200</v>
      </c>
      <c r="D711" s="971" t="s">
        <v>1394</v>
      </c>
      <c r="E711" s="971">
        <v>4220</v>
      </c>
      <c r="F711" s="971" t="s">
        <v>1311</v>
      </c>
      <c r="G711" s="971">
        <v>4222</v>
      </c>
      <c r="H711" s="971" t="s">
        <v>1418</v>
      </c>
      <c r="I711" s="1273"/>
      <c r="J711" s="971"/>
      <c r="K711" s="971" t="s">
        <v>150</v>
      </c>
      <c r="L711" s="971" t="s">
        <v>2800</v>
      </c>
      <c r="M711" s="971" t="s">
        <v>80</v>
      </c>
      <c r="N711" s="971" t="s">
        <v>83</v>
      </c>
      <c r="O711" s="971" t="s">
        <v>151</v>
      </c>
      <c r="P711" s="971" t="s">
        <v>152</v>
      </c>
      <c r="Q711" s="971" t="s">
        <v>1418</v>
      </c>
      <c r="R711" s="1266"/>
      <c r="S711" s="2106">
        <v>19600</v>
      </c>
      <c r="T711" s="1266" t="s">
        <v>136</v>
      </c>
      <c r="U711" s="1742">
        <v>1.2691883296460175E-2</v>
      </c>
      <c r="V711" s="1742">
        <v>0.14624999999999999</v>
      </c>
      <c r="W711" s="1742">
        <v>1.1186625937499999</v>
      </c>
      <c r="X711" s="1742">
        <v>0.4015178457754629</v>
      </c>
      <c r="Y711" s="2106">
        <v>1.6649423457754629</v>
      </c>
      <c r="Z711" s="2106">
        <v>248.76091261061944</v>
      </c>
      <c r="AA711" s="2106">
        <v>2866.5</v>
      </c>
      <c r="AB711" s="2106">
        <v>21925.786837499996</v>
      </c>
      <c r="AC711" s="2106">
        <v>7869.7497771990729</v>
      </c>
      <c r="AD711" s="1744">
        <v>32662.036614699071</v>
      </c>
      <c r="AE711" s="2126">
        <v>0</v>
      </c>
      <c r="AF711" s="2126">
        <v>0</v>
      </c>
      <c r="AG711" s="1212">
        <v>1</v>
      </c>
      <c r="AH711" s="1212">
        <v>0</v>
      </c>
      <c r="AI711" s="1212">
        <v>0</v>
      </c>
      <c r="AJ711" s="1212">
        <v>1</v>
      </c>
      <c r="AK711" s="2126">
        <v>32662.036614699071</v>
      </c>
      <c r="AL711" s="2126">
        <v>0</v>
      </c>
      <c r="AM711" s="2126">
        <v>0</v>
      </c>
      <c r="AN711" s="2126">
        <v>32662.036614699071</v>
      </c>
      <c r="AO711" s="1743" t="s">
        <v>85</v>
      </c>
      <c r="AP711" s="1743"/>
      <c r="AQ711" s="1764">
        <v>2014</v>
      </c>
      <c r="AR711" s="1743" t="s">
        <v>87</v>
      </c>
      <c r="AS711" s="2135"/>
      <c r="AT711" s="2135"/>
      <c r="AU711" s="1212">
        <v>0.33333333333333331</v>
      </c>
      <c r="AV711" s="1212">
        <v>0.33333333333333331</v>
      </c>
      <c r="AW711" s="1212">
        <v>0.33333333333333331</v>
      </c>
      <c r="AX711" s="1212"/>
      <c r="AY711" s="1212"/>
      <c r="AZ711" s="1212"/>
      <c r="BA711" s="1212"/>
      <c r="BB711" s="1212"/>
      <c r="BC711" s="1212"/>
      <c r="BD711" s="1212"/>
      <c r="BE711" s="1212"/>
      <c r="BF711" s="2126">
        <v>0</v>
      </c>
      <c r="BG711" s="2126">
        <v>0</v>
      </c>
      <c r="BH711" s="2126">
        <v>10887.345538233023</v>
      </c>
      <c r="BI711" s="2126">
        <v>10887.345538233023</v>
      </c>
      <c r="BJ711" s="2126">
        <v>10887.345538233023</v>
      </c>
      <c r="BK711" s="2126">
        <v>0</v>
      </c>
      <c r="BL711" s="2126">
        <v>0</v>
      </c>
      <c r="BM711" s="2126">
        <v>0</v>
      </c>
      <c r="BN711" s="2126">
        <v>0</v>
      </c>
      <c r="BO711" s="2126">
        <v>0</v>
      </c>
      <c r="BP711" s="2126">
        <v>0</v>
      </c>
      <c r="BQ711" s="2126">
        <v>0</v>
      </c>
      <c r="BR711" s="2126">
        <v>0</v>
      </c>
    </row>
    <row r="712" spans="1:70" s="1765" customFormat="1" ht="33">
      <c r="A712" s="1272">
        <v>4000</v>
      </c>
      <c r="B712" s="971" t="s">
        <v>1316</v>
      </c>
      <c r="C712" s="1272">
        <v>4200</v>
      </c>
      <c r="D712" s="971" t="s">
        <v>1394</v>
      </c>
      <c r="E712" s="971">
        <v>4230</v>
      </c>
      <c r="F712" s="971" t="s">
        <v>1419</v>
      </c>
      <c r="G712" s="971">
        <v>4230</v>
      </c>
      <c r="H712" s="971" t="s">
        <v>1419</v>
      </c>
      <c r="I712" s="1273"/>
      <c r="J712" s="971" t="s">
        <v>121</v>
      </c>
      <c r="K712" s="971" t="s">
        <v>150</v>
      </c>
      <c r="L712" s="971" t="s">
        <v>2800</v>
      </c>
      <c r="M712" s="971" t="s">
        <v>80</v>
      </c>
      <c r="N712" s="971" t="s">
        <v>83</v>
      </c>
      <c r="O712" s="971" t="s">
        <v>151</v>
      </c>
      <c r="P712" s="971" t="s">
        <v>152</v>
      </c>
      <c r="Q712" s="971" t="s">
        <v>1419</v>
      </c>
      <c r="R712" s="1266"/>
      <c r="S712" s="2106">
        <v>190000</v>
      </c>
      <c r="T712" s="1266" t="s">
        <v>136</v>
      </c>
      <c r="U712" s="1742">
        <v>1.2691883296460175E-2</v>
      </c>
      <c r="V712" s="1742">
        <v>0.14624999999999999</v>
      </c>
      <c r="W712" s="1742">
        <v>1.1186625937499999</v>
      </c>
      <c r="X712" s="1742">
        <v>0.4015178457754629</v>
      </c>
      <c r="Y712" s="2106">
        <v>1.6649423457754629</v>
      </c>
      <c r="Z712" s="2106">
        <v>2411.4578263274334</v>
      </c>
      <c r="AA712" s="2106">
        <v>27787.5</v>
      </c>
      <c r="AB712" s="2106">
        <v>212545.89281249998</v>
      </c>
      <c r="AC712" s="2106">
        <v>76288.390697337949</v>
      </c>
      <c r="AD712" s="1744">
        <v>190000</v>
      </c>
      <c r="AE712" s="2126">
        <v>0</v>
      </c>
      <c r="AF712" s="2126">
        <v>0</v>
      </c>
      <c r="AG712" s="1212">
        <v>1</v>
      </c>
      <c r="AH712" s="1212">
        <v>0</v>
      </c>
      <c r="AI712" s="1212">
        <v>0</v>
      </c>
      <c r="AJ712" s="1212">
        <v>1</v>
      </c>
      <c r="AK712" s="2126">
        <v>190000</v>
      </c>
      <c r="AL712" s="2126">
        <v>0</v>
      </c>
      <c r="AM712" s="2126">
        <v>0</v>
      </c>
      <c r="AN712" s="2126">
        <v>190000</v>
      </c>
      <c r="AO712" s="1743" t="s">
        <v>85</v>
      </c>
      <c r="AP712" s="1743"/>
      <c r="AQ712" s="1764">
        <v>2015</v>
      </c>
      <c r="AR712" s="1743" t="s">
        <v>87</v>
      </c>
      <c r="AS712" s="2135"/>
      <c r="AT712" s="2135"/>
      <c r="AU712" s="1212">
        <v>0.33333333333333331</v>
      </c>
      <c r="AV712" s="1212">
        <v>0.33333333333333331</v>
      </c>
      <c r="AW712" s="1212">
        <v>0.33333333333333331</v>
      </c>
      <c r="AX712" s="1212"/>
      <c r="AY712" s="1212"/>
      <c r="AZ712" s="1212"/>
      <c r="BA712" s="1212"/>
      <c r="BB712" s="1212"/>
      <c r="BC712" s="1212"/>
      <c r="BD712" s="1212"/>
      <c r="BE712" s="1212"/>
      <c r="BF712" s="2126">
        <v>0</v>
      </c>
      <c r="BG712" s="2126">
        <v>0</v>
      </c>
      <c r="BH712" s="2126">
        <v>63333.333333333328</v>
      </c>
      <c r="BI712" s="2126">
        <v>63333.333333333328</v>
      </c>
      <c r="BJ712" s="2126">
        <v>63333.333333333328</v>
      </c>
      <c r="BK712" s="2126">
        <v>0</v>
      </c>
      <c r="BL712" s="2126">
        <v>0</v>
      </c>
      <c r="BM712" s="2126">
        <v>0</v>
      </c>
      <c r="BN712" s="2126">
        <v>0</v>
      </c>
      <c r="BO712" s="2126">
        <v>0</v>
      </c>
      <c r="BP712" s="2126">
        <v>0</v>
      </c>
      <c r="BQ712" s="2126">
        <v>0</v>
      </c>
      <c r="BR712" s="2126">
        <v>0</v>
      </c>
    </row>
    <row r="713" spans="1:70" s="1765" customFormat="1" ht="33">
      <c r="A713" s="1272">
        <v>4000</v>
      </c>
      <c r="B713" s="971" t="s">
        <v>1316</v>
      </c>
      <c r="C713" s="1272">
        <v>4200</v>
      </c>
      <c r="D713" s="971" t="s">
        <v>1394</v>
      </c>
      <c r="E713" s="971">
        <v>4230</v>
      </c>
      <c r="F713" s="971" t="s">
        <v>1419</v>
      </c>
      <c r="G713" s="971">
        <v>4230</v>
      </c>
      <c r="H713" s="971" t="s">
        <v>1419</v>
      </c>
      <c r="I713" s="1273"/>
      <c r="J713" s="971" t="s">
        <v>121</v>
      </c>
      <c r="K713" s="971" t="s">
        <v>150</v>
      </c>
      <c r="L713" s="971" t="s">
        <v>2800</v>
      </c>
      <c r="M713" s="971" t="s">
        <v>80</v>
      </c>
      <c r="N713" s="971" t="s">
        <v>83</v>
      </c>
      <c r="O713" s="971" t="s">
        <v>151</v>
      </c>
      <c r="P713" s="971" t="s">
        <v>152</v>
      </c>
      <c r="Q713" s="971" t="s">
        <v>1420</v>
      </c>
      <c r="R713" s="1266"/>
      <c r="S713" s="2106">
        <v>130000</v>
      </c>
      <c r="T713" s="1266" t="s">
        <v>136</v>
      </c>
      <c r="U713" s="1742">
        <v>1.2691883296460175E-2</v>
      </c>
      <c r="V713" s="1742">
        <v>0.14624999999999999</v>
      </c>
      <c r="W713" s="1742">
        <v>1.1186625937499999</v>
      </c>
      <c r="X713" s="1742">
        <v>0.4015178457754629</v>
      </c>
      <c r="Y713" s="2106">
        <v>1.6649423457754629</v>
      </c>
      <c r="Z713" s="2106">
        <v>1649.9448285398228</v>
      </c>
      <c r="AA713" s="2106">
        <v>19012.5</v>
      </c>
      <c r="AB713" s="2106">
        <v>145426.13718749999</v>
      </c>
      <c r="AC713" s="2106">
        <v>52197.319950810175</v>
      </c>
      <c r="AD713" s="1744">
        <v>216635.95713831016</v>
      </c>
      <c r="AE713" s="2126">
        <v>0</v>
      </c>
      <c r="AF713" s="2126">
        <v>0</v>
      </c>
      <c r="AG713" s="1212">
        <v>1</v>
      </c>
      <c r="AH713" s="1212">
        <v>0</v>
      </c>
      <c r="AI713" s="1212">
        <v>0</v>
      </c>
      <c r="AJ713" s="1212">
        <v>1</v>
      </c>
      <c r="AK713" s="2126">
        <v>216635.95713831016</v>
      </c>
      <c r="AL713" s="2126">
        <v>0</v>
      </c>
      <c r="AM713" s="2126">
        <v>0</v>
      </c>
      <c r="AN713" s="2126">
        <v>216635.95713831016</v>
      </c>
      <c r="AO713" s="1743" t="s">
        <v>85</v>
      </c>
      <c r="AP713" s="1743"/>
      <c r="AQ713" s="1764" t="s">
        <v>105</v>
      </c>
      <c r="AR713" s="1743" t="s">
        <v>87</v>
      </c>
      <c r="AS713" s="2135"/>
      <c r="AT713" s="2135"/>
      <c r="AU713" s="1212">
        <v>0.33333333333333331</v>
      </c>
      <c r="AV713" s="1212">
        <v>0.33333333333333331</v>
      </c>
      <c r="AW713" s="1212">
        <v>0.33333333333333331</v>
      </c>
      <c r="AX713" s="1212"/>
      <c r="AY713" s="1212"/>
      <c r="AZ713" s="1212"/>
      <c r="BA713" s="1212"/>
      <c r="BB713" s="1212"/>
      <c r="BC713" s="1212"/>
      <c r="BD713" s="1212"/>
      <c r="BE713" s="1212"/>
      <c r="BF713" s="2126">
        <v>0</v>
      </c>
      <c r="BG713" s="2126">
        <v>0</v>
      </c>
      <c r="BH713" s="2126">
        <v>72211.985712770052</v>
      </c>
      <c r="BI713" s="2126">
        <v>72211.985712770052</v>
      </c>
      <c r="BJ713" s="2126">
        <v>72211.985712770052</v>
      </c>
      <c r="BK713" s="2126">
        <v>0</v>
      </c>
      <c r="BL713" s="2126">
        <v>0</v>
      </c>
      <c r="BM713" s="2126">
        <v>0</v>
      </c>
      <c r="BN713" s="2126">
        <v>0</v>
      </c>
      <c r="BO713" s="2126">
        <v>0</v>
      </c>
      <c r="BP713" s="2126">
        <v>0</v>
      </c>
      <c r="BQ713" s="2126">
        <v>0</v>
      </c>
      <c r="BR713" s="2126">
        <v>0</v>
      </c>
    </row>
    <row r="714" spans="1:70" s="1765" customFormat="1" ht="33">
      <c r="A714" s="1272">
        <v>4000</v>
      </c>
      <c r="B714" s="971" t="s">
        <v>1316</v>
      </c>
      <c r="C714" s="1272">
        <v>4200</v>
      </c>
      <c r="D714" s="971" t="s">
        <v>1394</v>
      </c>
      <c r="E714" s="971">
        <v>4230</v>
      </c>
      <c r="F714" s="971" t="s">
        <v>1419</v>
      </c>
      <c r="G714" s="971">
        <v>4230</v>
      </c>
      <c r="H714" s="971" t="s">
        <v>1419</v>
      </c>
      <c r="I714" s="1273"/>
      <c r="J714" s="971" t="s">
        <v>121</v>
      </c>
      <c r="K714" s="971" t="s">
        <v>150</v>
      </c>
      <c r="L714" s="971" t="s">
        <v>2800</v>
      </c>
      <c r="M714" s="971" t="s">
        <v>80</v>
      </c>
      <c r="N714" s="971" t="s">
        <v>83</v>
      </c>
      <c r="O714" s="971" t="s">
        <v>151</v>
      </c>
      <c r="P714" s="971" t="s">
        <v>152</v>
      </c>
      <c r="Q714" s="971" t="s">
        <v>1421</v>
      </c>
      <c r="R714" s="1266" t="s">
        <v>1422</v>
      </c>
      <c r="S714" s="2106">
        <v>265000</v>
      </c>
      <c r="T714" s="1266" t="s">
        <v>136</v>
      </c>
      <c r="U714" s="1742">
        <v>1.2691883296460175E-2</v>
      </c>
      <c r="V714" s="1742">
        <v>0.14624999999999999</v>
      </c>
      <c r="W714" s="1742">
        <v>1.1186625937499999</v>
      </c>
      <c r="X714" s="1742">
        <v>0.4015178457754629</v>
      </c>
      <c r="Y714" s="2106">
        <v>1.6649423457754629</v>
      </c>
      <c r="Z714" s="2106">
        <v>3363.3490735619466</v>
      </c>
      <c r="AA714" s="2106">
        <v>38756.25</v>
      </c>
      <c r="AB714" s="2106">
        <v>296445.58734374994</v>
      </c>
      <c r="AC714" s="2106">
        <v>106402.22913049767</v>
      </c>
      <c r="AD714" s="1744">
        <v>441604.06647424761</v>
      </c>
      <c r="AE714" s="2126">
        <v>0</v>
      </c>
      <c r="AF714" s="2126">
        <v>0</v>
      </c>
      <c r="AG714" s="1212">
        <v>1</v>
      </c>
      <c r="AH714" s="1212">
        <v>0</v>
      </c>
      <c r="AI714" s="1212">
        <v>0</v>
      </c>
      <c r="AJ714" s="1212">
        <v>1</v>
      </c>
      <c r="AK714" s="2126">
        <v>441604.06647424761</v>
      </c>
      <c r="AL714" s="2126">
        <v>0</v>
      </c>
      <c r="AM714" s="2126">
        <v>0</v>
      </c>
      <c r="AN714" s="2126">
        <v>441604.06647424761</v>
      </c>
      <c r="AO714" s="1743" t="s">
        <v>85</v>
      </c>
      <c r="AP714" s="1743" t="s">
        <v>90</v>
      </c>
      <c r="AQ714" s="1764">
        <v>2021</v>
      </c>
      <c r="AR714" s="1743" t="s">
        <v>87</v>
      </c>
      <c r="AS714" s="2135"/>
      <c r="AT714" s="2135"/>
      <c r="AU714" s="1212">
        <v>0.33333333333333331</v>
      </c>
      <c r="AV714" s="1212">
        <v>0.33333333333333331</v>
      </c>
      <c r="AW714" s="1212">
        <v>0.33333333333333331</v>
      </c>
      <c r="AX714" s="1212"/>
      <c r="AY714" s="1212"/>
      <c r="AZ714" s="1212"/>
      <c r="BA714" s="1212"/>
      <c r="BB714" s="1212"/>
      <c r="BC714" s="1212"/>
      <c r="BD714" s="1212"/>
      <c r="BE714" s="1212"/>
      <c r="BF714" s="2126">
        <v>0</v>
      </c>
      <c r="BG714" s="2126">
        <v>0</v>
      </c>
      <c r="BH714" s="2126">
        <v>147201.35549141586</v>
      </c>
      <c r="BI714" s="2126">
        <v>147201.35549141586</v>
      </c>
      <c r="BJ714" s="2126">
        <v>147201.35549141586</v>
      </c>
      <c r="BK714" s="2126">
        <v>0</v>
      </c>
      <c r="BL714" s="2126">
        <v>0</v>
      </c>
      <c r="BM714" s="2126">
        <v>0</v>
      </c>
      <c r="BN714" s="2126">
        <v>0</v>
      </c>
      <c r="BO714" s="2126">
        <v>0</v>
      </c>
      <c r="BP714" s="2126">
        <v>0</v>
      </c>
      <c r="BQ714" s="2126">
        <v>0</v>
      </c>
      <c r="BR714" s="2126">
        <v>0</v>
      </c>
    </row>
    <row r="715" spans="1:70" s="1765" customFormat="1" ht="49.5">
      <c r="A715" s="1272">
        <v>4000</v>
      </c>
      <c r="B715" s="971" t="s">
        <v>1316</v>
      </c>
      <c r="C715" s="1272">
        <v>4200</v>
      </c>
      <c r="D715" s="971" t="s">
        <v>1394</v>
      </c>
      <c r="E715" s="971">
        <v>4230</v>
      </c>
      <c r="F715" s="971" t="s">
        <v>1423</v>
      </c>
      <c r="G715" s="971">
        <v>4230</v>
      </c>
      <c r="H715" s="971" t="s">
        <v>1423</v>
      </c>
      <c r="I715" s="1273"/>
      <c r="J715" s="971" t="s">
        <v>121</v>
      </c>
      <c r="K715" s="971" t="s">
        <v>255</v>
      </c>
      <c r="L715" s="971" t="s">
        <v>2802</v>
      </c>
      <c r="M715" s="971" t="s">
        <v>255</v>
      </c>
      <c r="N715" s="971" t="s">
        <v>83</v>
      </c>
      <c r="O715" s="971" t="s">
        <v>256</v>
      </c>
      <c r="P715" s="971" t="s">
        <v>152</v>
      </c>
      <c r="Q715" s="971" t="s">
        <v>1424</v>
      </c>
      <c r="R715" s="1266" t="s">
        <v>1425</v>
      </c>
      <c r="S715" s="2106">
        <v>3000</v>
      </c>
      <c r="T715" s="1266" t="s">
        <v>136</v>
      </c>
      <c r="U715" s="1742">
        <v>4.4491883296460179E-2</v>
      </c>
      <c r="V715" s="1742">
        <v>0.1701</v>
      </c>
      <c r="W715" s="1742">
        <v>3.92151459375</v>
      </c>
      <c r="X715" s="1742">
        <v>0.68180304577546291</v>
      </c>
      <c r="Y715" s="2106">
        <v>4.7480795457754628</v>
      </c>
      <c r="Z715" s="2106">
        <v>133.47564988938055</v>
      </c>
      <c r="AA715" s="2106">
        <v>510.3</v>
      </c>
      <c r="AB715" s="2106">
        <v>11764.54378125</v>
      </c>
      <c r="AC715" s="2106">
        <v>2045.4091373263886</v>
      </c>
      <c r="AD715" s="1744">
        <v>14320.252918576389</v>
      </c>
      <c r="AE715" s="2126">
        <v>0</v>
      </c>
      <c r="AF715" s="2126">
        <v>0</v>
      </c>
      <c r="AG715" s="1212">
        <v>1</v>
      </c>
      <c r="AH715" s="1212">
        <v>0</v>
      </c>
      <c r="AI715" s="1212">
        <v>0</v>
      </c>
      <c r="AJ715" s="1212">
        <v>1</v>
      </c>
      <c r="AK715" s="2126">
        <v>14320.252918576389</v>
      </c>
      <c r="AL715" s="2126">
        <v>0</v>
      </c>
      <c r="AM715" s="2126">
        <v>0</v>
      </c>
      <c r="AN715" s="2126">
        <v>14320.252918576389</v>
      </c>
      <c r="AO715" s="1743" t="s">
        <v>85</v>
      </c>
      <c r="AP715" s="1743" t="s">
        <v>90</v>
      </c>
      <c r="AQ715" s="1764">
        <v>2020</v>
      </c>
      <c r="AR715" s="1743" t="s">
        <v>87</v>
      </c>
      <c r="AS715" s="2135"/>
      <c r="AT715" s="2135"/>
      <c r="AU715" s="1212">
        <v>0.33333333333333331</v>
      </c>
      <c r="AV715" s="1212">
        <v>0.33333333333333331</v>
      </c>
      <c r="AW715" s="1212">
        <v>0.33333333333333331</v>
      </c>
      <c r="AX715" s="1212"/>
      <c r="AY715" s="1212"/>
      <c r="AZ715" s="1212"/>
      <c r="BA715" s="1212"/>
      <c r="BB715" s="1212"/>
      <c r="BC715" s="1212"/>
      <c r="BD715" s="1212"/>
      <c r="BE715" s="1212"/>
      <c r="BF715" s="2126">
        <v>0</v>
      </c>
      <c r="BG715" s="2126">
        <v>0</v>
      </c>
      <c r="BH715" s="2126">
        <v>4773.4176395254626</v>
      </c>
      <c r="BI715" s="2126">
        <v>4773.4176395254626</v>
      </c>
      <c r="BJ715" s="2126">
        <v>4773.4176395254626</v>
      </c>
      <c r="BK715" s="2126">
        <v>0</v>
      </c>
      <c r="BL715" s="2126">
        <v>0</v>
      </c>
      <c r="BM715" s="2126">
        <v>0</v>
      </c>
      <c r="BN715" s="2126">
        <v>0</v>
      </c>
      <c r="BO715" s="2126">
        <v>0</v>
      </c>
      <c r="BP715" s="2126">
        <v>0</v>
      </c>
      <c r="BQ715" s="2126">
        <v>0</v>
      </c>
      <c r="BR715" s="2126">
        <v>0</v>
      </c>
    </row>
    <row r="716" spans="1:70" s="1765" customFormat="1" ht="49.5">
      <c r="A716" s="1272">
        <v>4000</v>
      </c>
      <c r="B716" s="971" t="s">
        <v>1316</v>
      </c>
      <c r="C716" s="1272">
        <v>4200</v>
      </c>
      <c r="D716" s="971" t="s">
        <v>1394</v>
      </c>
      <c r="E716" s="971">
        <v>4230</v>
      </c>
      <c r="F716" s="971" t="s">
        <v>1423</v>
      </c>
      <c r="G716" s="971">
        <v>4230</v>
      </c>
      <c r="H716" s="971" t="s">
        <v>1423</v>
      </c>
      <c r="I716" s="1273"/>
      <c r="J716" s="971" t="s">
        <v>121</v>
      </c>
      <c r="K716" s="971" t="s">
        <v>255</v>
      </c>
      <c r="L716" s="971" t="s">
        <v>2802</v>
      </c>
      <c r="M716" s="971" t="s">
        <v>255</v>
      </c>
      <c r="N716" s="971" t="s">
        <v>83</v>
      </c>
      <c r="O716" s="971" t="s">
        <v>256</v>
      </c>
      <c r="P716" s="971" t="s">
        <v>152</v>
      </c>
      <c r="Q716" s="971" t="s">
        <v>1423</v>
      </c>
      <c r="R716" s="1266"/>
      <c r="S716" s="2106">
        <v>19000</v>
      </c>
      <c r="T716" s="1266" t="s">
        <v>136</v>
      </c>
      <c r="U716" s="1742">
        <v>4.4491883296460179E-2</v>
      </c>
      <c r="V716" s="1742">
        <v>0.1701</v>
      </c>
      <c r="W716" s="1742">
        <v>3.92151459375</v>
      </c>
      <c r="X716" s="1742">
        <v>0.68180304577546291</v>
      </c>
      <c r="Y716" s="2106">
        <v>4.7480795457754628</v>
      </c>
      <c r="Z716" s="2106">
        <v>845.34578263274341</v>
      </c>
      <c r="AA716" s="2106">
        <v>3231.9</v>
      </c>
      <c r="AB716" s="2106">
        <v>74508.777281250004</v>
      </c>
      <c r="AC716" s="2106">
        <v>12954.257869733796</v>
      </c>
      <c r="AD716" s="1744">
        <v>90694.935150983802</v>
      </c>
      <c r="AE716" s="2126">
        <v>0</v>
      </c>
      <c r="AF716" s="2126">
        <v>0</v>
      </c>
      <c r="AG716" s="1212">
        <v>1</v>
      </c>
      <c r="AH716" s="1212">
        <v>0</v>
      </c>
      <c r="AI716" s="1212">
        <v>0</v>
      </c>
      <c r="AJ716" s="1212">
        <v>1</v>
      </c>
      <c r="AK716" s="2126">
        <v>90694.935150983802</v>
      </c>
      <c r="AL716" s="2126">
        <v>0</v>
      </c>
      <c r="AM716" s="2126">
        <v>0</v>
      </c>
      <c r="AN716" s="2126">
        <v>90694.935150983802</v>
      </c>
      <c r="AO716" s="1743" t="s">
        <v>85</v>
      </c>
      <c r="AP716" s="1743"/>
      <c r="AQ716" s="1764" t="s">
        <v>105</v>
      </c>
      <c r="AR716" s="1743" t="s">
        <v>87</v>
      </c>
      <c r="AS716" s="2135"/>
      <c r="AT716" s="2135"/>
      <c r="AU716" s="1212">
        <v>0.33333333333333331</v>
      </c>
      <c r="AV716" s="1212">
        <v>0.33333333333333331</v>
      </c>
      <c r="AW716" s="1212">
        <v>0.33333333333333331</v>
      </c>
      <c r="AX716" s="1212"/>
      <c r="AY716" s="1212"/>
      <c r="AZ716" s="1212"/>
      <c r="BA716" s="1212"/>
      <c r="BB716" s="1212"/>
      <c r="BC716" s="1212"/>
      <c r="BD716" s="1212"/>
      <c r="BE716" s="1212"/>
      <c r="BF716" s="2126">
        <v>0</v>
      </c>
      <c r="BG716" s="2126">
        <v>0</v>
      </c>
      <c r="BH716" s="2126">
        <v>30231.645050327934</v>
      </c>
      <c r="BI716" s="2126">
        <v>30231.645050327934</v>
      </c>
      <c r="BJ716" s="2126">
        <v>30231.645050327934</v>
      </c>
      <c r="BK716" s="2126">
        <v>0</v>
      </c>
      <c r="BL716" s="2126">
        <v>0</v>
      </c>
      <c r="BM716" s="2126">
        <v>0</v>
      </c>
      <c r="BN716" s="2126">
        <v>0</v>
      </c>
      <c r="BO716" s="2126">
        <v>0</v>
      </c>
      <c r="BP716" s="2126">
        <v>0</v>
      </c>
      <c r="BQ716" s="2126">
        <v>0</v>
      </c>
      <c r="BR716" s="2126">
        <v>0</v>
      </c>
    </row>
    <row r="717" spans="1:70" s="1765" customFormat="1" ht="49.5">
      <c r="A717" s="1272">
        <v>4000</v>
      </c>
      <c r="B717" s="971" t="s">
        <v>1316</v>
      </c>
      <c r="C717" s="1272">
        <v>4200</v>
      </c>
      <c r="D717" s="971" t="s">
        <v>1394</v>
      </c>
      <c r="E717" s="971">
        <v>4230</v>
      </c>
      <c r="F717" s="971" t="s">
        <v>1423</v>
      </c>
      <c r="G717" s="971">
        <v>4230</v>
      </c>
      <c r="H717" s="971" t="s">
        <v>1423</v>
      </c>
      <c r="I717" s="1273"/>
      <c r="J717" s="971" t="s">
        <v>121</v>
      </c>
      <c r="K717" s="971" t="s">
        <v>255</v>
      </c>
      <c r="L717" s="971" t="s">
        <v>2802</v>
      </c>
      <c r="M717" s="971" t="s">
        <v>255</v>
      </c>
      <c r="N717" s="971" t="s">
        <v>83</v>
      </c>
      <c r="O717" s="971" t="s">
        <v>256</v>
      </c>
      <c r="P717" s="971" t="s">
        <v>152</v>
      </c>
      <c r="Q717" s="971" t="s">
        <v>1423</v>
      </c>
      <c r="R717" s="1266"/>
      <c r="S717" s="2106">
        <v>6000</v>
      </c>
      <c r="T717" s="1266" t="s">
        <v>136</v>
      </c>
      <c r="U717" s="1742">
        <v>4.4491883296460179E-2</v>
      </c>
      <c r="V717" s="1742">
        <v>0.1701</v>
      </c>
      <c r="W717" s="1742">
        <v>3.92151459375</v>
      </c>
      <c r="X717" s="1742">
        <v>0.68180304577546291</v>
      </c>
      <c r="Y717" s="2106">
        <v>4.7480795457754628</v>
      </c>
      <c r="Z717" s="2106">
        <v>266.9512997787611</v>
      </c>
      <c r="AA717" s="2106">
        <v>1020.6</v>
      </c>
      <c r="AB717" s="2106">
        <v>23529.087562500001</v>
      </c>
      <c r="AC717" s="2106">
        <v>4090.8182746527773</v>
      </c>
      <c r="AD717" s="1744">
        <v>28640.505837152778</v>
      </c>
      <c r="AE717" s="2126">
        <v>0</v>
      </c>
      <c r="AF717" s="2126">
        <v>0</v>
      </c>
      <c r="AG717" s="1212">
        <v>1</v>
      </c>
      <c r="AH717" s="1212">
        <v>0</v>
      </c>
      <c r="AI717" s="1212">
        <v>0</v>
      </c>
      <c r="AJ717" s="1212">
        <v>1</v>
      </c>
      <c r="AK717" s="2126">
        <v>28640.505837152778</v>
      </c>
      <c r="AL717" s="2126">
        <v>0</v>
      </c>
      <c r="AM717" s="2126">
        <v>0</v>
      </c>
      <c r="AN717" s="2126">
        <v>28640.505837152778</v>
      </c>
      <c r="AO717" s="1743" t="s">
        <v>85</v>
      </c>
      <c r="AP717" s="1743"/>
      <c r="AQ717" s="1764">
        <v>2015</v>
      </c>
      <c r="AR717" s="1743" t="s">
        <v>87</v>
      </c>
      <c r="AS717" s="2135"/>
      <c r="AT717" s="2135"/>
      <c r="AU717" s="1212">
        <v>0.33333333333333331</v>
      </c>
      <c r="AV717" s="1212">
        <v>0.33333333333333331</v>
      </c>
      <c r="AW717" s="1212">
        <v>0.33333333333333331</v>
      </c>
      <c r="AX717" s="1212"/>
      <c r="AY717" s="1212"/>
      <c r="AZ717" s="1212"/>
      <c r="BA717" s="1212"/>
      <c r="BB717" s="1212"/>
      <c r="BC717" s="1212"/>
      <c r="BD717" s="1212"/>
      <c r="BE717" s="1212"/>
      <c r="BF717" s="2126">
        <v>0</v>
      </c>
      <c r="BG717" s="2126">
        <v>0</v>
      </c>
      <c r="BH717" s="2126">
        <v>9546.8352790509252</v>
      </c>
      <c r="BI717" s="2126">
        <v>9546.8352790509252</v>
      </c>
      <c r="BJ717" s="2126">
        <v>9546.8352790509252</v>
      </c>
      <c r="BK717" s="2126">
        <v>0</v>
      </c>
      <c r="BL717" s="2126">
        <v>0</v>
      </c>
      <c r="BM717" s="2126">
        <v>0</v>
      </c>
      <c r="BN717" s="2126">
        <v>0</v>
      </c>
      <c r="BO717" s="2126">
        <v>0</v>
      </c>
      <c r="BP717" s="2126">
        <v>0</v>
      </c>
      <c r="BQ717" s="2126">
        <v>0</v>
      </c>
      <c r="BR717" s="2126">
        <v>0</v>
      </c>
    </row>
    <row r="718" spans="1:70" s="1765" customFormat="1" ht="33">
      <c r="A718" s="1272">
        <v>4000</v>
      </c>
      <c r="B718" s="971" t="s">
        <v>1316</v>
      </c>
      <c r="C718" s="1272">
        <v>4200</v>
      </c>
      <c r="D718" s="971" t="s">
        <v>1394</v>
      </c>
      <c r="E718" s="971">
        <v>4250</v>
      </c>
      <c r="F718" s="971" t="s">
        <v>1426</v>
      </c>
      <c r="G718" s="971">
        <v>4250</v>
      </c>
      <c r="H718" s="971" t="s">
        <v>1426</v>
      </c>
      <c r="I718" s="1273"/>
      <c r="J718" s="971" t="s">
        <v>121</v>
      </c>
      <c r="K718" s="971" t="s">
        <v>150</v>
      </c>
      <c r="L718" s="971" t="s">
        <v>2800</v>
      </c>
      <c r="M718" s="971" t="s">
        <v>80</v>
      </c>
      <c r="N718" s="971" t="s">
        <v>83</v>
      </c>
      <c r="O718" s="971" t="s">
        <v>151</v>
      </c>
      <c r="P718" s="971" t="s">
        <v>152</v>
      </c>
      <c r="Q718" s="971" t="s">
        <v>1427</v>
      </c>
      <c r="R718" s="1266"/>
      <c r="S718" s="2106">
        <v>0</v>
      </c>
      <c r="T718" s="1266" t="s">
        <v>136</v>
      </c>
      <c r="U718" s="1742">
        <v>1.2691883296460175E-2</v>
      </c>
      <c r="V718" s="1742">
        <v>0.14624999999999999</v>
      </c>
      <c r="W718" s="1742">
        <v>1.1186625937499999</v>
      </c>
      <c r="X718" s="1742">
        <v>0.4015178457754629</v>
      </c>
      <c r="Y718" s="2106">
        <v>1.6649423457754629</v>
      </c>
      <c r="Z718" s="2106">
        <v>0</v>
      </c>
      <c r="AA718" s="2106">
        <v>0</v>
      </c>
      <c r="AB718" s="2106">
        <v>0</v>
      </c>
      <c r="AC718" s="2106">
        <v>0</v>
      </c>
      <c r="AD718" s="1744">
        <v>0</v>
      </c>
      <c r="AE718" s="2126">
        <v>0</v>
      </c>
      <c r="AF718" s="2126">
        <v>0</v>
      </c>
      <c r="AG718" s="1212">
        <v>1</v>
      </c>
      <c r="AH718" s="1212">
        <v>0</v>
      </c>
      <c r="AI718" s="1212">
        <v>0</v>
      </c>
      <c r="AJ718" s="1212">
        <v>1</v>
      </c>
      <c r="AK718" s="2126">
        <v>0</v>
      </c>
      <c r="AL718" s="2126">
        <v>0</v>
      </c>
      <c r="AM718" s="2126">
        <v>0</v>
      </c>
      <c r="AN718" s="2126">
        <v>0</v>
      </c>
      <c r="AO718" s="1743" t="s">
        <v>85</v>
      </c>
      <c r="AP718" s="1743"/>
      <c r="AQ718" s="1764">
        <v>2014</v>
      </c>
      <c r="AR718" s="1743" t="s">
        <v>87</v>
      </c>
      <c r="AS718" s="2135"/>
      <c r="AT718" s="2135"/>
      <c r="AU718" s="1212">
        <v>0.33333333333333331</v>
      </c>
      <c r="AV718" s="1212">
        <v>0.33333333333333331</v>
      </c>
      <c r="AW718" s="1212">
        <v>0.33333333333333331</v>
      </c>
      <c r="AX718" s="1212"/>
      <c r="AY718" s="1212"/>
      <c r="AZ718" s="1212"/>
      <c r="BA718" s="1212"/>
      <c r="BB718" s="1212"/>
      <c r="BC718" s="1212"/>
      <c r="BD718" s="1212"/>
      <c r="BE718" s="1212"/>
      <c r="BF718" s="2126">
        <v>0</v>
      </c>
      <c r="BG718" s="2126">
        <v>0</v>
      </c>
      <c r="BH718" s="2126">
        <v>0</v>
      </c>
      <c r="BI718" s="2126">
        <v>0</v>
      </c>
      <c r="BJ718" s="2126">
        <v>0</v>
      </c>
      <c r="BK718" s="2126">
        <v>0</v>
      </c>
      <c r="BL718" s="2126">
        <v>0</v>
      </c>
      <c r="BM718" s="2126">
        <v>0</v>
      </c>
      <c r="BN718" s="2126">
        <v>0</v>
      </c>
      <c r="BO718" s="2126">
        <v>0</v>
      </c>
      <c r="BP718" s="2126">
        <v>0</v>
      </c>
      <c r="BQ718" s="2126">
        <v>0</v>
      </c>
      <c r="BR718" s="2126">
        <v>0</v>
      </c>
    </row>
    <row r="719" spans="1:70" s="1765" customFormat="1" ht="49.5">
      <c r="A719" s="1272">
        <v>4000</v>
      </c>
      <c r="B719" s="971" t="s">
        <v>1316</v>
      </c>
      <c r="C719" s="1272">
        <v>4200</v>
      </c>
      <c r="D719" s="971" t="s">
        <v>1394</v>
      </c>
      <c r="E719" s="971">
        <v>4250</v>
      </c>
      <c r="F719" s="971" t="s">
        <v>1426</v>
      </c>
      <c r="G719" s="971">
        <v>4250</v>
      </c>
      <c r="H719" s="971" t="s">
        <v>1426</v>
      </c>
      <c r="I719" s="1273"/>
      <c r="J719" s="971" t="s">
        <v>121</v>
      </c>
      <c r="K719" s="971" t="s">
        <v>255</v>
      </c>
      <c r="L719" s="971" t="s">
        <v>2802</v>
      </c>
      <c r="M719" s="971" t="s">
        <v>255</v>
      </c>
      <c r="N719" s="971" t="s">
        <v>83</v>
      </c>
      <c r="O719" s="971" t="s">
        <v>256</v>
      </c>
      <c r="P719" s="971"/>
      <c r="Q719" s="971" t="s">
        <v>1429</v>
      </c>
      <c r="R719" s="1266"/>
      <c r="S719" s="2106"/>
      <c r="T719" s="1266" t="s">
        <v>136</v>
      </c>
      <c r="U719" s="1742">
        <v>4.4491883296460179E-2</v>
      </c>
      <c r="V719" s="1742">
        <v>0.1701</v>
      </c>
      <c r="W719" s="1742">
        <v>3.92151459375</v>
      </c>
      <c r="X719" s="1742">
        <v>0.68180304577546291</v>
      </c>
      <c r="Y719" s="2106">
        <v>4.7480795457754628</v>
      </c>
      <c r="Z719" s="2106">
        <v>0</v>
      </c>
      <c r="AA719" s="2106">
        <v>0</v>
      </c>
      <c r="AB719" s="2106">
        <v>0</v>
      </c>
      <c r="AC719" s="2106">
        <v>0</v>
      </c>
      <c r="AD719" s="1744">
        <v>0</v>
      </c>
      <c r="AE719" s="2126">
        <v>0</v>
      </c>
      <c r="AF719" s="2126">
        <v>0</v>
      </c>
      <c r="AG719" s="1212">
        <v>1</v>
      </c>
      <c r="AH719" s="1212">
        <v>0</v>
      </c>
      <c r="AI719" s="1212">
        <v>0</v>
      </c>
      <c r="AJ719" s="1212">
        <v>1</v>
      </c>
      <c r="AK719" s="2126">
        <v>0</v>
      </c>
      <c r="AL719" s="2126">
        <v>0</v>
      </c>
      <c r="AM719" s="2126">
        <v>0</v>
      </c>
      <c r="AN719" s="2126">
        <v>0</v>
      </c>
      <c r="AO719" s="1743" t="s">
        <v>131</v>
      </c>
      <c r="AP719" s="1743" t="s">
        <v>1430</v>
      </c>
      <c r="AQ719" s="1764">
        <v>2014</v>
      </c>
      <c r="AR719" s="1743" t="s">
        <v>87</v>
      </c>
      <c r="AS719" s="2135"/>
      <c r="AT719" s="2135"/>
      <c r="AU719" s="1212"/>
      <c r="AV719" s="1212">
        <v>1</v>
      </c>
      <c r="AW719" s="1212"/>
      <c r="AX719" s="1212"/>
      <c r="AY719" s="1212"/>
      <c r="AZ719" s="1212"/>
      <c r="BA719" s="1212"/>
      <c r="BB719" s="1212"/>
      <c r="BC719" s="1212"/>
      <c r="BD719" s="1212"/>
      <c r="BE719" s="1212"/>
      <c r="BF719" s="2126">
        <v>0</v>
      </c>
      <c r="BG719" s="2126">
        <v>0</v>
      </c>
      <c r="BH719" s="2126">
        <v>0</v>
      </c>
      <c r="BI719" s="2126">
        <v>0</v>
      </c>
      <c r="BJ719" s="2126">
        <v>0</v>
      </c>
      <c r="BK719" s="2126">
        <v>0</v>
      </c>
      <c r="BL719" s="2126">
        <v>0</v>
      </c>
      <c r="BM719" s="2126">
        <v>0</v>
      </c>
      <c r="BN719" s="2126">
        <v>0</v>
      </c>
      <c r="BO719" s="2126">
        <v>0</v>
      </c>
      <c r="BP719" s="2126">
        <v>0</v>
      </c>
      <c r="BQ719" s="2126">
        <v>0</v>
      </c>
      <c r="BR719" s="2126">
        <v>0</v>
      </c>
    </row>
    <row r="720" spans="1:70" s="1765" customFormat="1" ht="33">
      <c r="A720" s="1272">
        <v>4000</v>
      </c>
      <c r="B720" s="971" t="s">
        <v>1316</v>
      </c>
      <c r="C720" s="1272">
        <v>4200</v>
      </c>
      <c r="D720" s="971" t="s">
        <v>1394</v>
      </c>
      <c r="E720" s="971">
        <v>4250</v>
      </c>
      <c r="F720" s="971" t="s">
        <v>1426</v>
      </c>
      <c r="G720" s="971">
        <v>4250</v>
      </c>
      <c r="H720" s="971" t="s">
        <v>1426</v>
      </c>
      <c r="I720" s="1273"/>
      <c r="J720" s="971" t="s">
        <v>121</v>
      </c>
      <c r="K720" s="971" t="s">
        <v>150</v>
      </c>
      <c r="L720" s="971" t="s">
        <v>2800</v>
      </c>
      <c r="M720" s="971" t="s">
        <v>80</v>
      </c>
      <c r="N720" s="971" t="s">
        <v>83</v>
      </c>
      <c r="O720" s="971" t="s">
        <v>151</v>
      </c>
      <c r="P720" s="971" t="s">
        <v>152</v>
      </c>
      <c r="Q720" s="971" t="s">
        <v>1432</v>
      </c>
      <c r="R720" s="1266"/>
      <c r="S720" s="2106">
        <v>55000</v>
      </c>
      <c r="T720" s="1266" t="s">
        <v>136</v>
      </c>
      <c r="U720" s="1742">
        <v>1.2691883296460175E-2</v>
      </c>
      <c r="V720" s="1742">
        <v>0.14624999999999999</v>
      </c>
      <c r="W720" s="1742">
        <v>1.1186625937499999</v>
      </c>
      <c r="X720" s="1742">
        <v>0.4015178457754629</v>
      </c>
      <c r="Y720" s="2106">
        <v>1.6649423457754629</v>
      </c>
      <c r="Z720" s="2106">
        <v>698.05358130530965</v>
      </c>
      <c r="AA720" s="2106">
        <v>8043.7499999999991</v>
      </c>
      <c r="AB720" s="2106">
        <v>61526.442656249994</v>
      </c>
      <c r="AC720" s="2106">
        <v>22083.48151765046</v>
      </c>
      <c r="AD720" s="1744">
        <v>91653.67417390045</v>
      </c>
      <c r="AE720" s="2126">
        <v>0</v>
      </c>
      <c r="AF720" s="2126">
        <v>0</v>
      </c>
      <c r="AG720" s="1212">
        <v>1</v>
      </c>
      <c r="AH720" s="1212">
        <v>0</v>
      </c>
      <c r="AI720" s="1212">
        <v>0</v>
      </c>
      <c r="AJ720" s="1212">
        <v>1</v>
      </c>
      <c r="AK720" s="2126">
        <v>91653.67417390045</v>
      </c>
      <c r="AL720" s="2126">
        <v>0</v>
      </c>
      <c r="AM720" s="2126">
        <v>0</v>
      </c>
      <c r="AN720" s="2126">
        <v>91653.67417390045</v>
      </c>
      <c r="AO720" s="1743" t="s">
        <v>85</v>
      </c>
      <c r="AP720" s="1743"/>
      <c r="AQ720" s="1764">
        <v>2015</v>
      </c>
      <c r="AR720" s="1743" t="s">
        <v>87</v>
      </c>
      <c r="AS720" s="2135"/>
      <c r="AT720" s="2135"/>
      <c r="AU720" s="1212">
        <v>0.5</v>
      </c>
      <c r="AV720" s="1212">
        <v>0.5</v>
      </c>
      <c r="AW720" s="1212"/>
      <c r="AX720" s="1212"/>
      <c r="AY720" s="1212"/>
      <c r="AZ720" s="1212"/>
      <c r="BA720" s="1212"/>
      <c r="BB720" s="1212"/>
      <c r="BC720" s="1212"/>
      <c r="BD720" s="1212"/>
      <c r="BE720" s="1212"/>
      <c r="BF720" s="2126">
        <v>0</v>
      </c>
      <c r="BG720" s="2126">
        <v>0</v>
      </c>
      <c r="BH720" s="2126">
        <v>45826.837086950225</v>
      </c>
      <c r="BI720" s="2126">
        <v>45826.837086950225</v>
      </c>
      <c r="BJ720" s="2126">
        <v>0</v>
      </c>
      <c r="BK720" s="2126">
        <v>0</v>
      </c>
      <c r="BL720" s="2126">
        <v>0</v>
      </c>
      <c r="BM720" s="2126">
        <v>0</v>
      </c>
      <c r="BN720" s="2126">
        <v>0</v>
      </c>
      <c r="BO720" s="2126">
        <v>0</v>
      </c>
      <c r="BP720" s="2126">
        <v>0</v>
      </c>
      <c r="BQ720" s="2126">
        <v>0</v>
      </c>
      <c r="BR720" s="2126">
        <v>0</v>
      </c>
    </row>
    <row r="721" spans="1:70" s="1765" customFormat="1" ht="33">
      <c r="A721" s="1272">
        <v>4000</v>
      </c>
      <c r="B721" s="971" t="s">
        <v>1316</v>
      </c>
      <c r="C721" s="1272">
        <v>4200</v>
      </c>
      <c r="D721" s="971" t="s">
        <v>1394</v>
      </c>
      <c r="E721" s="971">
        <v>4250</v>
      </c>
      <c r="F721" s="971" t="s">
        <v>1426</v>
      </c>
      <c r="G721" s="971">
        <v>4250</v>
      </c>
      <c r="H721" s="971" t="s">
        <v>1426</v>
      </c>
      <c r="I721" s="1273"/>
      <c r="J721" s="971" t="s">
        <v>121</v>
      </c>
      <c r="K721" s="971" t="s">
        <v>150</v>
      </c>
      <c r="L721" s="971" t="s">
        <v>2800</v>
      </c>
      <c r="M721" s="971" t="s">
        <v>80</v>
      </c>
      <c r="N721" s="971" t="s">
        <v>83</v>
      </c>
      <c r="O721" s="971" t="s">
        <v>151</v>
      </c>
      <c r="P721" s="971" t="s">
        <v>152</v>
      </c>
      <c r="Q721" s="971" t="s">
        <v>1433</v>
      </c>
      <c r="R721" s="1266"/>
      <c r="S721" s="2106">
        <v>214450</v>
      </c>
      <c r="T721" s="1266" t="s">
        <v>136</v>
      </c>
      <c r="U721" s="1742">
        <v>1.2691883296460175E-2</v>
      </c>
      <c r="V721" s="1742">
        <v>0.14624999999999999</v>
      </c>
      <c r="W721" s="1742">
        <v>1.1186625937499999</v>
      </c>
      <c r="X721" s="1742">
        <v>0.4015178457754629</v>
      </c>
      <c r="Y721" s="2106">
        <v>1.6649423457754629</v>
      </c>
      <c r="Z721" s="2106">
        <v>2721.7743729258846</v>
      </c>
      <c r="AA721" s="2106">
        <v>31363.312499999996</v>
      </c>
      <c r="AB721" s="2106">
        <v>239897.19322968749</v>
      </c>
      <c r="AC721" s="2106">
        <v>86105.502026548013</v>
      </c>
      <c r="AD721" s="1744">
        <v>357046.886051548</v>
      </c>
      <c r="AE721" s="2126">
        <v>0</v>
      </c>
      <c r="AF721" s="2126">
        <v>0</v>
      </c>
      <c r="AG721" s="1212">
        <v>1</v>
      </c>
      <c r="AH721" s="1212">
        <v>0</v>
      </c>
      <c r="AI721" s="1212">
        <v>0</v>
      </c>
      <c r="AJ721" s="1212">
        <v>1</v>
      </c>
      <c r="AK721" s="2126">
        <v>357046.886051548</v>
      </c>
      <c r="AL721" s="2126">
        <v>0</v>
      </c>
      <c r="AM721" s="2126">
        <v>0</v>
      </c>
      <c r="AN721" s="2126">
        <v>357046.886051548</v>
      </c>
      <c r="AO721" s="1743" t="s">
        <v>85</v>
      </c>
      <c r="AP721" s="1743" t="s">
        <v>90</v>
      </c>
      <c r="AQ721" s="1764" t="s">
        <v>108</v>
      </c>
      <c r="AR721" s="1743" t="s">
        <v>87</v>
      </c>
      <c r="AS721" s="2135"/>
      <c r="AT721" s="2135"/>
      <c r="AU721" s="1212">
        <v>0.5</v>
      </c>
      <c r="AV721" s="1212">
        <v>0.5</v>
      </c>
      <c r="AW721" s="1212"/>
      <c r="AX721" s="1212"/>
      <c r="AY721" s="1212"/>
      <c r="AZ721" s="1212"/>
      <c r="BA721" s="1212"/>
      <c r="BB721" s="1212"/>
      <c r="BC721" s="1212"/>
      <c r="BD721" s="1212"/>
      <c r="BE721" s="1212"/>
      <c r="BF721" s="2126">
        <v>0</v>
      </c>
      <c r="BG721" s="2126">
        <v>0</v>
      </c>
      <c r="BH721" s="2126">
        <v>178523.443025774</v>
      </c>
      <c r="BI721" s="2126">
        <v>178523.443025774</v>
      </c>
      <c r="BJ721" s="2126">
        <v>0</v>
      </c>
      <c r="BK721" s="2126">
        <v>0</v>
      </c>
      <c r="BL721" s="2126">
        <v>0</v>
      </c>
      <c r="BM721" s="2126">
        <v>0</v>
      </c>
      <c r="BN721" s="2126">
        <v>0</v>
      </c>
      <c r="BO721" s="2126">
        <v>0</v>
      </c>
      <c r="BP721" s="2126">
        <v>0</v>
      </c>
      <c r="BQ721" s="2126">
        <v>0</v>
      </c>
      <c r="BR721" s="2126">
        <v>0</v>
      </c>
    </row>
    <row r="722" spans="1:70" s="1765" customFormat="1" ht="33">
      <c r="A722" s="1272">
        <v>4000</v>
      </c>
      <c r="B722" s="971" t="s">
        <v>1316</v>
      </c>
      <c r="C722" s="1272">
        <v>4200</v>
      </c>
      <c r="D722" s="971" t="s">
        <v>1394</v>
      </c>
      <c r="E722" s="971">
        <v>4250</v>
      </c>
      <c r="F722" s="971" t="s">
        <v>1426</v>
      </c>
      <c r="G722" s="971">
        <v>4250</v>
      </c>
      <c r="H722" s="971" t="s">
        <v>1426</v>
      </c>
      <c r="I722" s="1273"/>
      <c r="J722" s="971" t="s">
        <v>121</v>
      </c>
      <c r="K722" s="971" t="s">
        <v>1434</v>
      </c>
      <c r="L722" s="971" t="s">
        <v>2930</v>
      </c>
      <c r="M722" s="971" t="s">
        <v>80</v>
      </c>
      <c r="N722" s="971" t="s">
        <v>83</v>
      </c>
      <c r="O722" s="971" t="s">
        <v>151</v>
      </c>
      <c r="P722" s="971" t="s">
        <v>152</v>
      </c>
      <c r="Q722" s="971" t="s">
        <v>1435</v>
      </c>
      <c r="R722" s="1266"/>
      <c r="S722" s="2106">
        <v>600</v>
      </c>
      <c r="T722" s="1266" t="s">
        <v>2688</v>
      </c>
      <c r="U722" s="1742">
        <v>7.4457177203835739E-2</v>
      </c>
      <c r="V722" s="1742">
        <v>0.64330680813439445</v>
      </c>
      <c r="W722" s="1742">
        <v>6.5626555987460824</v>
      </c>
      <c r="X722" s="1742">
        <v>7.1861791926634453</v>
      </c>
      <c r="Y722" s="2106">
        <v>13.53815815126806</v>
      </c>
      <c r="Z722" s="2106">
        <v>44.67430632230144</v>
      </c>
      <c r="AA722" s="2106">
        <v>385.98408488063666</v>
      </c>
      <c r="AB722" s="2106">
        <v>3937.5933592476495</v>
      </c>
      <c r="AC722" s="2106">
        <v>4311.7075155980674</v>
      </c>
      <c r="AD722" s="1744">
        <v>8122.8948907608365</v>
      </c>
      <c r="AE722" s="2126">
        <v>0</v>
      </c>
      <c r="AF722" s="2126">
        <v>0</v>
      </c>
      <c r="AG722" s="1212">
        <v>1</v>
      </c>
      <c r="AH722" s="1212">
        <v>0</v>
      </c>
      <c r="AI722" s="1212">
        <v>0</v>
      </c>
      <c r="AJ722" s="1212">
        <v>1</v>
      </c>
      <c r="AK722" s="2126">
        <v>8122.8948907608365</v>
      </c>
      <c r="AL722" s="2126">
        <v>0</v>
      </c>
      <c r="AM722" s="2126">
        <v>0</v>
      </c>
      <c r="AN722" s="2126">
        <v>8122.8948907608365</v>
      </c>
      <c r="AO722" s="1743" t="s">
        <v>85</v>
      </c>
      <c r="AP722" s="1743" t="s">
        <v>90</v>
      </c>
      <c r="AQ722" s="1764" t="s">
        <v>115</v>
      </c>
      <c r="AR722" s="1743" t="s">
        <v>87</v>
      </c>
      <c r="AS722" s="2135"/>
      <c r="AT722" s="2135"/>
      <c r="AU722" s="1212">
        <v>0.5</v>
      </c>
      <c r="AV722" s="1212">
        <v>0.5</v>
      </c>
      <c r="AW722" s="1212"/>
      <c r="AX722" s="1212"/>
      <c r="AY722" s="1212"/>
      <c r="AZ722" s="1212"/>
      <c r="BA722" s="1212"/>
      <c r="BB722" s="1212"/>
      <c r="BC722" s="1212"/>
      <c r="BD722" s="1212"/>
      <c r="BE722" s="1212"/>
      <c r="BF722" s="2126">
        <v>0</v>
      </c>
      <c r="BG722" s="2126">
        <v>0</v>
      </c>
      <c r="BH722" s="2126">
        <v>4061.4474453804182</v>
      </c>
      <c r="BI722" s="2126">
        <v>4061.4474453804182</v>
      </c>
      <c r="BJ722" s="2126">
        <v>0</v>
      </c>
      <c r="BK722" s="2126">
        <v>0</v>
      </c>
      <c r="BL722" s="2126">
        <v>0</v>
      </c>
      <c r="BM722" s="2126">
        <v>0</v>
      </c>
      <c r="BN722" s="2126">
        <v>0</v>
      </c>
      <c r="BO722" s="2126">
        <v>0</v>
      </c>
      <c r="BP722" s="2126">
        <v>0</v>
      </c>
      <c r="BQ722" s="2126">
        <v>0</v>
      </c>
      <c r="BR722" s="2126">
        <v>0</v>
      </c>
    </row>
    <row r="723" spans="1:70" s="1765" customFormat="1" ht="49.5">
      <c r="A723" s="1272">
        <v>4000</v>
      </c>
      <c r="B723" s="971" t="s">
        <v>1316</v>
      </c>
      <c r="C723" s="1272">
        <v>4200</v>
      </c>
      <c r="D723" s="971" t="s">
        <v>1394</v>
      </c>
      <c r="E723" s="971">
        <v>4250</v>
      </c>
      <c r="F723" s="971" t="s">
        <v>1426</v>
      </c>
      <c r="G723" s="971">
        <v>4250</v>
      </c>
      <c r="H723" s="971" t="s">
        <v>1426</v>
      </c>
      <c r="I723" s="1273"/>
      <c r="J723" s="971" t="s">
        <v>121</v>
      </c>
      <c r="K723" s="971" t="s">
        <v>255</v>
      </c>
      <c r="L723" s="971" t="s">
        <v>2802</v>
      </c>
      <c r="M723" s="971" t="s">
        <v>255</v>
      </c>
      <c r="N723" s="971" t="s">
        <v>83</v>
      </c>
      <c r="O723" s="971" t="s">
        <v>256</v>
      </c>
      <c r="P723" s="971"/>
      <c r="Q723" s="971" t="s">
        <v>1436</v>
      </c>
      <c r="R723" s="1266"/>
      <c r="S723" s="2106">
        <v>4180</v>
      </c>
      <c r="T723" s="1266" t="s">
        <v>136</v>
      </c>
      <c r="U723" s="1742">
        <v>4.4491883296460179E-2</v>
      </c>
      <c r="V723" s="1742">
        <v>0.1701</v>
      </c>
      <c r="W723" s="1742">
        <v>3.92151459375</v>
      </c>
      <c r="X723" s="1742">
        <v>0.68180304577546291</v>
      </c>
      <c r="Y723" s="2106">
        <v>4.7480795457754628</v>
      </c>
      <c r="Z723" s="2106">
        <v>185.97607217920356</v>
      </c>
      <c r="AA723" s="2106">
        <v>711.01800000000003</v>
      </c>
      <c r="AB723" s="2106">
        <v>16391.931001875</v>
      </c>
      <c r="AC723" s="2106">
        <v>2849.936731341435</v>
      </c>
      <c r="AD723" s="1744">
        <v>19846.972501341435</v>
      </c>
      <c r="AE723" s="2126">
        <v>0</v>
      </c>
      <c r="AF723" s="2126">
        <v>0</v>
      </c>
      <c r="AG723" s="1212">
        <v>1</v>
      </c>
      <c r="AH723" s="1212">
        <v>0</v>
      </c>
      <c r="AI723" s="1212">
        <v>0</v>
      </c>
      <c r="AJ723" s="1212">
        <v>1</v>
      </c>
      <c r="AK723" s="2126">
        <v>19846.972501341435</v>
      </c>
      <c r="AL723" s="2126">
        <v>0</v>
      </c>
      <c r="AM723" s="2126">
        <v>0</v>
      </c>
      <c r="AN723" s="2126">
        <v>19846.972501341435</v>
      </c>
      <c r="AO723" s="1743" t="s">
        <v>85</v>
      </c>
      <c r="AP723" s="1743" t="s">
        <v>90</v>
      </c>
      <c r="AQ723" s="1764">
        <v>2019</v>
      </c>
      <c r="AR723" s="1743" t="s">
        <v>87</v>
      </c>
      <c r="AS723" s="2135"/>
      <c r="AT723" s="2135"/>
      <c r="AU723" s="1212"/>
      <c r="AV723" s="1212">
        <v>1</v>
      </c>
      <c r="AW723" s="1212"/>
      <c r="AX723" s="1212"/>
      <c r="AY723" s="1212"/>
      <c r="AZ723" s="1212"/>
      <c r="BA723" s="1212"/>
      <c r="BB723" s="1212"/>
      <c r="BC723" s="1212"/>
      <c r="BD723" s="1212"/>
      <c r="BE723" s="1212"/>
      <c r="BF723" s="2126">
        <v>0</v>
      </c>
      <c r="BG723" s="2126">
        <v>0</v>
      </c>
      <c r="BH723" s="2126">
        <v>0</v>
      </c>
      <c r="BI723" s="2126">
        <v>19846.972501341435</v>
      </c>
      <c r="BJ723" s="2126">
        <v>0</v>
      </c>
      <c r="BK723" s="2126">
        <v>0</v>
      </c>
      <c r="BL723" s="2126">
        <v>0</v>
      </c>
      <c r="BM723" s="2126">
        <v>0</v>
      </c>
      <c r="BN723" s="2126">
        <v>0</v>
      </c>
      <c r="BO723" s="2126">
        <v>0</v>
      </c>
      <c r="BP723" s="2126">
        <v>0</v>
      </c>
      <c r="BQ723" s="2126">
        <v>0</v>
      </c>
      <c r="BR723" s="2126">
        <v>0</v>
      </c>
    </row>
    <row r="724" spans="1:70" s="1765" customFormat="1" ht="49.5">
      <c r="A724" s="1272">
        <v>4000</v>
      </c>
      <c r="B724" s="971" t="s">
        <v>1316</v>
      </c>
      <c r="C724" s="1272">
        <v>4200</v>
      </c>
      <c r="D724" s="971" t="s">
        <v>1394</v>
      </c>
      <c r="E724" s="971">
        <v>4250</v>
      </c>
      <c r="F724" s="971" t="s">
        <v>1426</v>
      </c>
      <c r="G724" s="971">
        <v>4250</v>
      </c>
      <c r="H724" s="971" t="s">
        <v>1426</v>
      </c>
      <c r="I724" s="1273"/>
      <c r="J724" s="971" t="s">
        <v>121</v>
      </c>
      <c r="K724" s="971" t="s">
        <v>255</v>
      </c>
      <c r="L724" s="971" t="s">
        <v>2802</v>
      </c>
      <c r="M724" s="971" t="s">
        <v>255</v>
      </c>
      <c r="N724" s="971" t="s">
        <v>83</v>
      </c>
      <c r="O724" s="971" t="s">
        <v>256</v>
      </c>
      <c r="P724" s="971"/>
      <c r="Q724" s="971" t="s">
        <v>960</v>
      </c>
      <c r="R724" s="1266" t="s">
        <v>964</v>
      </c>
      <c r="S724" s="2106">
        <v>6967</v>
      </c>
      <c r="T724" s="1266" t="s">
        <v>136</v>
      </c>
      <c r="U724" s="1742">
        <v>4.4491883296460179E-2</v>
      </c>
      <c r="V724" s="1742">
        <v>0.1701</v>
      </c>
      <c r="W724" s="1742">
        <v>3.92151459375</v>
      </c>
      <c r="X724" s="1742">
        <v>0.68180304577546291</v>
      </c>
      <c r="Y724" s="2106">
        <v>4.7480795457754628</v>
      </c>
      <c r="Z724" s="2106">
        <v>309.97495092643805</v>
      </c>
      <c r="AA724" s="2106">
        <v>1185.0867000000001</v>
      </c>
      <c r="AB724" s="2106">
        <v>27321.192174656251</v>
      </c>
      <c r="AC724" s="2106">
        <v>4750.1218199176501</v>
      </c>
      <c r="AD724" s="1744">
        <v>33079.87019541765</v>
      </c>
      <c r="AE724" s="2126">
        <v>0</v>
      </c>
      <c r="AF724" s="2126">
        <v>0</v>
      </c>
      <c r="AG724" s="1212">
        <v>1</v>
      </c>
      <c r="AH724" s="1212">
        <v>0</v>
      </c>
      <c r="AI724" s="1212">
        <v>0</v>
      </c>
      <c r="AJ724" s="1212">
        <v>1</v>
      </c>
      <c r="AK724" s="2126">
        <v>33079.87019541765</v>
      </c>
      <c r="AL724" s="2126">
        <v>0</v>
      </c>
      <c r="AM724" s="2126">
        <v>0</v>
      </c>
      <c r="AN724" s="2126">
        <v>33079.87019541765</v>
      </c>
      <c r="AO724" s="1743" t="s">
        <v>85</v>
      </c>
      <c r="AP724" s="1743" t="s">
        <v>86</v>
      </c>
      <c r="AQ724" s="1764" t="s">
        <v>108</v>
      </c>
      <c r="AR724" s="1743" t="s">
        <v>87</v>
      </c>
      <c r="AS724" s="2135"/>
      <c r="AT724" s="2135"/>
      <c r="AU724" s="1212"/>
      <c r="AV724" s="1212">
        <v>1</v>
      </c>
      <c r="AW724" s="1212"/>
      <c r="AX724" s="1212"/>
      <c r="AY724" s="1212"/>
      <c r="AZ724" s="1212"/>
      <c r="BA724" s="1212"/>
      <c r="BB724" s="1212"/>
      <c r="BC724" s="1212"/>
      <c r="BD724" s="1212"/>
      <c r="BE724" s="1212"/>
      <c r="BF724" s="2126">
        <v>0</v>
      </c>
      <c r="BG724" s="2126">
        <v>0</v>
      </c>
      <c r="BH724" s="2126">
        <v>0</v>
      </c>
      <c r="BI724" s="2126">
        <v>33079.87019541765</v>
      </c>
      <c r="BJ724" s="2126">
        <v>0</v>
      </c>
      <c r="BK724" s="2126">
        <v>0</v>
      </c>
      <c r="BL724" s="2126">
        <v>0</v>
      </c>
      <c r="BM724" s="2126">
        <v>0</v>
      </c>
      <c r="BN724" s="2126">
        <v>0</v>
      </c>
      <c r="BO724" s="2126">
        <v>0</v>
      </c>
      <c r="BP724" s="2126">
        <v>0</v>
      </c>
      <c r="BQ724" s="2126">
        <v>0</v>
      </c>
      <c r="BR724" s="2126">
        <v>0</v>
      </c>
    </row>
    <row r="725" spans="1:70" s="1765" customFormat="1" ht="49.5">
      <c r="A725" s="1272">
        <v>4000</v>
      </c>
      <c r="B725" s="971" t="s">
        <v>1316</v>
      </c>
      <c r="C725" s="1272">
        <v>4200</v>
      </c>
      <c r="D725" s="971" t="s">
        <v>1394</v>
      </c>
      <c r="E725" s="971">
        <v>4250</v>
      </c>
      <c r="F725" s="971" t="s">
        <v>1426</v>
      </c>
      <c r="G725" s="971">
        <v>4250</v>
      </c>
      <c r="H725" s="971" t="s">
        <v>1426</v>
      </c>
      <c r="I725" s="1273"/>
      <c r="J725" s="971" t="s">
        <v>121</v>
      </c>
      <c r="K725" s="971" t="s">
        <v>255</v>
      </c>
      <c r="L725" s="971" t="s">
        <v>2802</v>
      </c>
      <c r="M725" s="971" t="s">
        <v>255</v>
      </c>
      <c r="N725" s="971" t="s">
        <v>83</v>
      </c>
      <c r="O725" s="971" t="s">
        <v>256</v>
      </c>
      <c r="P725" s="971"/>
      <c r="Q725" s="971" t="s">
        <v>960</v>
      </c>
      <c r="R725" s="1266" t="s">
        <v>1437</v>
      </c>
      <c r="S725" s="2106">
        <v>6511</v>
      </c>
      <c r="T725" s="1266" t="s">
        <v>136</v>
      </c>
      <c r="U725" s="1742">
        <v>4.4491883296460179E-2</v>
      </c>
      <c r="V725" s="1742">
        <v>0.1701</v>
      </c>
      <c r="W725" s="1742">
        <v>3.92151459375</v>
      </c>
      <c r="X725" s="1742">
        <v>0.68180304577546291</v>
      </c>
      <c r="Y725" s="2106">
        <v>4.7480795457754628</v>
      </c>
      <c r="Z725" s="2106">
        <v>289.68665214325222</v>
      </c>
      <c r="AA725" s="2106">
        <v>1107.5210999999999</v>
      </c>
      <c r="AB725" s="2106">
        <v>25532.98151990625</v>
      </c>
      <c r="AC725" s="2106">
        <v>4439.2196310440386</v>
      </c>
      <c r="AD725" s="1744">
        <v>30914.74592254404</v>
      </c>
      <c r="AE725" s="2126">
        <v>0</v>
      </c>
      <c r="AF725" s="2126">
        <v>0</v>
      </c>
      <c r="AG725" s="1212">
        <v>1</v>
      </c>
      <c r="AH725" s="1212">
        <v>0</v>
      </c>
      <c r="AI725" s="1212">
        <v>0</v>
      </c>
      <c r="AJ725" s="1212">
        <v>1</v>
      </c>
      <c r="AK725" s="2126">
        <v>30914.74592254404</v>
      </c>
      <c r="AL725" s="2126">
        <v>0</v>
      </c>
      <c r="AM725" s="2126">
        <v>0</v>
      </c>
      <c r="AN725" s="2126">
        <v>30914.74592254404</v>
      </c>
      <c r="AO725" s="1743" t="s">
        <v>85</v>
      </c>
      <c r="AP725" s="1743" t="s">
        <v>86</v>
      </c>
      <c r="AQ725" s="1764" t="s">
        <v>108</v>
      </c>
      <c r="AR725" s="1743" t="s">
        <v>87</v>
      </c>
      <c r="AS725" s="2135"/>
      <c r="AT725" s="2135"/>
      <c r="AU725" s="1212"/>
      <c r="AV725" s="1212">
        <v>1</v>
      </c>
      <c r="AW725" s="1212"/>
      <c r="AX725" s="1212"/>
      <c r="AY725" s="1212"/>
      <c r="AZ725" s="1212"/>
      <c r="BA725" s="1212"/>
      <c r="BB725" s="1212"/>
      <c r="BC725" s="1212"/>
      <c r="BD725" s="1212"/>
      <c r="BE725" s="1212"/>
      <c r="BF725" s="2126">
        <v>0</v>
      </c>
      <c r="BG725" s="2126">
        <v>0</v>
      </c>
      <c r="BH725" s="2126">
        <v>0</v>
      </c>
      <c r="BI725" s="2126">
        <v>30914.74592254404</v>
      </c>
      <c r="BJ725" s="2126">
        <v>0</v>
      </c>
      <c r="BK725" s="2126">
        <v>0</v>
      </c>
      <c r="BL725" s="2126">
        <v>0</v>
      </c>
      <c r="BM725" s="2126">
        <v>0</v>
      </c>
      <c r="BN725" s="2126">
        <v>0</v>
      </c>
      <c r="BO725" s="2126">
        <v>0</v>
      </c>
      <c r="BP725" s="2126">
        <v>0</v>
      </c>
      <c r="BQ725" s="2126">
        <v>0</v>
      </c>
      <c r="BR725" s="2126">
        <v>0</v>
      </c>
    </row>
    <row r="726" spans="1:70" s="1765" customFormat="1" ht="49.5">
      <c r="A726" s="1272">
        <v>4000</v>
      </c>
      <c r="B726" s="971" t="s">
        <v>1316</v>
      </c>
      <c r="C726" s="1272">
        <v>4200</v>
      </c>
      <c r="D726" s="971" t="s">
        <v>1394</v>
      </c>
      <c r="E726" s="971">
        <v>4250</v>
      </c>
      <c r="F726" s="971" t="s">
        <v>1426</v>
      </c>
      <c r="G726" s="971">
        <v>4250</v>
      </c>
      <c r="H726" s="971" t="s">
        <v>1426</v>
      </c>
      <c r="I726" s="1273"/>
      <c r="J726" s="971" t="s">
        <v>121</v>
      </c>
      <c r="K726" s="971" t="s">
        <v>255</v>
      </c>
      <c r="L726" s="971" t="s">
        <v>2802</v>
      </c>
      <c r="M726" s="971" t="s">
        <v>255</v>
      </c>
      <c r="N726" s="971" t="s">
        <v>83</v>
      </c>
      <c r="O726" s="971" t="s">
        <v>256</v>
      </c>
      <c r="P726" s="971"/>
      <c r="Q726" s="971" t="s">
        <v>960</v>
      </c>
      <c r="R726" s="1266" t="s">
        <v>961</v>
      </c>
      <c r="S726" s="2106">
        <v>3720</v>
      </c>
      <c r="T726" s="1266" t="s">
        <v>136</v>
      </c>
      <c r="U726" s="1742">
        <v>4.4491883296460179E-2</v>
      </c>
      <c r="V726" s="1742">
        <v>0.1701</v>
      </c>
      <c r="W726" s="1742">
        <v>3.92151459375</v>
      </c>
      <c r="X726" s="1742">
        <v>0.68180304577546291</v>
      </c>
      <c r="Y726" s="2106">
        <v>4.7480795457754628</v>
      </c>
      <c r="Z726" s="2106">
        <v>165.50980586283185</v>
      </c>
      <c r="AA726" s="2106">
        <v>632.77200000000005</v>
      </c>
      <c r="AB726" s="2106">
        <v>14588.034288749999</v>
      </c>
      <c r="AC726" s="2106">
        <v>2536.307330284722</v>
      </c>
      <c r="AD726" s="1744">
        <v>17662.855910284721</v>
      </c>
      <c r="AE726" s="2126">
        <v>0</v>
      </c>
      <c r="AF726" s="2126">
        <v>0</v>
      </c>
      <c r="AG726" s="1212">
        <v>1</v>
      </c>
      <c r="AH726" s="1212">
        <v>0</v>
      </c>
      <c r="AI726" s="1212">
        <v>0</v>
      </c>
      <c r="AJ726" s="1212">
        <v>1</v>
      </c>
      <c r="AK726" s="2126">
        <v>17662.855910284721</v>
      </c>
      <c r="AL726" s="2126">
        <v>0</v>
      </c>
      <c r="AM726" s="2126">
        <v>0</v>
      </c>
      <c r="AN726" s="2126">
        <v>17662.855910284721</v>
      </c>
      <c r="AO726" s="1743" t="s">
        <v>85</v>
      </c>
      <c r="AP726" s="1743" t="s">
        <v>86</v>
      </c>
      <c r="AQ726" s="1764" t="s">
        <v>108</v>
      </c>
      <c r="AR726" s="1743" t="s">
        <v>87</v>
      </c>
      <c r="AS726" s="2135"/>
      <c r="AT726" s="2135"/>
      <c r="AU726" s="1212"/>
      <c r="AV726" s="1212">
        <v>1</v>
      </c>
      <c r="AW726" s="1212"/>
      <c r="AX726" s="1212"/>
      <c r="AY726" s="1212"/>
      <c r="AZ726" s="1212"/>
      <c r="BA726" s="1212"/>
      <c r="BB726" s="1212"/>
      <c r="BC726" s="1212"/>
      <c r="BD726" s="1212"/>
      <c r="BE726" s="1212"/>
      <c r="BF726" s="2126">
        <v>0</v>
      </c>
      <c r="BG726" s="2126">
        <v>0</v>
      </c>
      <c r="BH726" s="2126">
        <v>0</v>
      </c>
      <c r="BI726" s="2126">
        <v>17662.855910284721</v>
      </c>
      <c r="BJ726" s="2126">
        <v>0</v>
      </c>
      <c r="BK726" s="2126">
        <v>0</v>
      </c>
      <c r="BL726" s="2126">
        <v>0</v>
      </c>
      <c r="BM726" s="2126">
        <v>0</v>
      </c>
      <c r="BN726" s="2126">
        <v>0</v>
      </c>
      <c r="BO726" s="2126">
        <v>0</v>
      </c>
      <c r="BP726" s="2126">
        <v>0</v>
      </c>
      <c r="BQ726" s="2126">
        <v>0</v>
      </c>
      <c r="BR726" s="2126">
        <v>0</v>
      </c>
    </row>
    <row r="727" spans="1:70" s="1765" customFormat="1" ht="49.5">
      <c r="A727" s="1272">
        <v>4000</v>
      </c>
      <c r="B727" s="971" t="s">
        <v>1316</v>
      </c>
      <c r="C727" s="1272">
        <v>4200</v>
      </c>
      <c r="D727" s="971" t="s">
        <v>1394</v>
      </c>
      <c r="E727" s="971" t="s">
        <v>1438</v>
      </c>
      <c r="F727" s="971" t="s">
        <v>1439</v>
      </c>
      <c r="G727" s="971" t="s">
        <v>1440</v>
      </c>
      <c r="H727" s="971" t="s">
        <v>1441</v>
      </c>
      <c r="I727" s="1273" t="s">
        <v>1442</v>
      </c>
      <c r="J727" s="971" t="s">
        <v>124</v>
      </c>
      <c r="K727" s="971" t="s">
        <v>784</v>
      </c>
      <c r="L727" s="971" t="s">
        <v>2852</v>
      </c>
      <c r="M727" s="971" t="s">
        <v>214</v>
      </c>
      <c r="N727" s="971" t="s">
        <v>127</v>
      </c>
      <c r="O727" s="971" t="s">
        <v>215</v>
      </c>
      <c r="P727" s="971"/>
      <c r="Q727" s="971" t="s">
        <v>1443</v>
      </c>
      <c r="R727" s="1266" t="s">
        <v>1444</v>
      </c>
      <c r="S727" s="2106">
        <v>44.609665427509292</v>
      </c>
      <c r="T727" s="1266" t="s">
        <v>136</v>
      </c>
      <c r="U727" s="1742">
        <v>0.22416666666666665</v>
      </c>
      <c r="V727" s="1742">
        <v>2.8020833333333335</v>
      </c>
      <c r="W727" s="1742">
        <v>19.758049999999997</v>
      </c>
      <c r="X727" s="1742">
        <v>30.905858333333335</v>
      </c>
      <c r="Y727" s="2106">
        <v>53.46599166666666</v>
      </c>
      <c r="Z727" s="2106">
        <v>9.9999999999999982</v>
      </c>
      <c r="AA727" s="2106">
        <v>125</v>
      </c>
      <c r="AB727" s="2106">
        <v>881.39999999999986</v>
      </c>
      <c r="AC727" s="2106">
        <v>1378.7</v>
      </c>
      <c r="AD727" s="1744">
        <v>2385.1</v>
      </c>
      <c r="AE727" s="2126">
        <v>1</v>
      </c>
      <c r="AF727" s="2126">
        <v>44.609665427509292</v>
      </c>
      <c r="AG727" s="1212">
        <v>1</v>
      </c>
      <c r="AH727" s="1212">
        <v>0</v>
      </c>
      <c r="AI727" s="1212">
        <v>0</v>
      </c>
      <c r="AJ727" s="1212">
        <v>1</v>
      </c>
      <c r="AK727" s="2126">
        <v>2385.1</v>
      </c>
      <c r="AL727" s="2126">
        <v>0</v>
      </c>
      <c r="AM727" s="2126">
        <v>0</v>
      </c>
      <c r="AN727" s="2126">
        <v>2385.1</v>
      </c>
      <c r="AO727" s="1743" t="s">
        <v>85</v>
      </c>
      <c r="AP727" s="1743"/>
      <c r="AQ727" s="1764">
        <v>2014</v>
      </c>
      <c r="AR727" s="1743" t="s">
        <v>87</v>
      </c>
      <c r="AS727" s="2135"/>
      <c r="AT727" s="2135"/>
      <c r="AU727" s="1212">
        <v>0.33333333333333331</v>
      </c>
      <c r="AV727" s="1212">
        <v>0.33333333333333331</v>
      </c>
      <c r="AW727" s="1212">
        <v>0.33333333333333331</v>
      </c>
      <c r="AX727" s="1212"/>
      <c r="AY727" s="1212"/>
      <c r="AZ727" s="1212"/>
      <c r="BA727" s="1212"/>
      <c r="BB727" s="1212"/>
      <c r="BC727" s="1212"/>
      <c r="BD727" s="1212"/>
      <c r="BE727" s="1212"/>
      <c r="BF727" s="2126">
        <v>0</v>
      </c>
      <c r="BG727" s="2126">
        <v>0</v>
      </c>
      <c r="BH727" s="2126">
        <v>795.0333333333333</v>
      </c>
      <c r="BI727" s="2126">
        <v>795.0333333333333</v>
      </c>
      <c r="BJ727" s="2126">
        <v>795.0333333333333</v>
      </c>
      <c r="BK727" s="2126">
        <v>0</v>
      </c>
      <c r="BL727" s="2126">
        <v>0</v>
      </c>
      <c r="BM727" s="2126">
        <v>0</v>
      </c>
      <c r="BN727" s="2126">
        <v>0</v>
      </c>
      <c r="BO727" s="2126">
        <v>0</v>
      </c>
      <c r="BP727" s="2126">
        <v>0</v>
      </c>
      <c r="BQ727" s="2126">
        <v>0</v>
      </c>
      <c r="BR727" s="2126">
        <v>0</v>
      </c>
    </row>
    <row r="728" spans="1:70" s="1765" customFormat="1" ht="49.5">
      <c r="A728" s="1272">
        <v>4000</v>
      </c>
      <c r="B728" s="971" t="s">
        <v>1316</v>
      </c>
      <c r="C728" s="1272">
        <v>4200</v>
      </c>
      <c r="D728" s="971" t="s">
        <v>1394</v>
      </c>
      <c r="E728" s="971">
        <v>4280</v>
      </c>
      <c r="F728" s="971" t="s">
        <v>1439</v>
      </c>
      <c r="G728" s="971" t="s">
        <v>1440</v>
      </c>
      <c r="H728" s="971" t="s">
        <v>1441</v>
      </c>
      <c r="I728" s="1273" t="s">
        <v>1445</v>
      </c>
      <c r="J728" s="971" t="s">
        <v>124</v>
      </c>
      <c r="K728" s="971" t="s">
        <v>784</v>
      </c>
      <c r="L728" s="971" t="s">
        <v>2852</v>
      </c>
      <c r="M728" s="971" t="s">
        <v>537</v>
      </c>
      <c r="N728" s="971" t="s">
        <v>127</v>
      </c>
      <c r="O728" s="971" t="s">
        <v>539</v>
      </c>
      <c r="P728" s="971"/>
      <c r="Q728" s="971" t="s">
        <v>1446</v>
      </c>
      <c r="R728" s="1266" t="s">
        <v>1447</v>
      </c>
      <c r="S728" s="2106">
        <v>267.65799256505579</v>
      </c>
      <c r="T728" s="1266" t="s">
        <v>136</v>
      </c>
      <c r="U728" s="1742">
        <v>0.22416666666666665</v>
      </c>
      <c r="V728" s="1742">
        <v>2.8020833333333335</v>
      </c>
      <c r="W728" s="1742">
        <v>19.758049999999997</v>
      </c>
      <c r="X728" s="1742">
        <v>30.905858333333335</v>
      </c>
      <c r="Y728" s="2106">
        <v>53.46599166666666</v>
      </c>
      <c r="Z728" s="2106">
        <v>60</v>
      </c>
      <c r="AA728" s="2106">
        <v>750.00000000000011</v>
      </c>
      <c r="AB728" s="2106">
        <v>5288.4</v>
      </c>
      <c r="AC728" s="2106">
        <v>8272.2000000000007</v>
      </c>
      <c r="AD728" s="1744">
        <v>14310.6</v>
      </c>
      <c r="AE728" s="2126">
        <v>1</v>
      </c>
      <c r="AF728" s="2126">
        <v>267.65799256505579</v>
      </c>
      <c r="AG728" s="1212">
        <v>1</v>
      </c>
      <c r="AH728" s="1212">
        <v>0</v>
      </c>
      <c r="AI728" s="1212">
        <v>0</v>
      </c>
      <c r="AJ728" s="1212">
        <v>1</v>
      </c>
      <c r="AK728" s="2126">
        <v>14310.6</v>
      </c>
      <c r="AL728" s="2126">
        <v>0</v>
      </c>
      <c r="AM728" s="2126">
        <v>0</v>
      </c>
      <c r="AN728" s="2126">
        <v>14310.6</v>
      </c>
      <c r="AO728" s="1743" t="s">
        <v>85</v>
      </c>
      <c r="AP728" s="1743"/>
      <c r="AQ728" s="1764">
        <v>2014</v>
      </c>
      <c r="AR728" s="1743" t="s">
        <v>87</v>
      </c>
      <c r="AS728" s="2135"/>
      <c r="AT728" s="2135"/>
      <c r="AU728" s="1212">
        <v>0.33333333333333331</v>
      </c>
      <c r="AV728" s="1212">
        <v>0.33333333333333331</v>
      </c>
      <c r="AW728" s="1212">
        <v>0.33333333333333331</v>
      </c>
      <c r="AX728" s="1212"/>
      <c r="AY728" s="1212"/>
      <c r="AZ728" s="1212"/>
      <c r="BA728" s="1212"/>
      <c r="BB728" s="1212"/>
      <c r="BC728" s="1212"/>
      <c r="BD728" s="1212"/>
      <c r="BE728" s="1212"/>
      <c r="BF728" s="2126">
        <v>0</v>
      </c>
      <c r="BG728" s="2126">
        <v>0</v>
      </c>
      <c r="BH728" s="2126">
        <v>4770.2</v>
      </c>
      <c r="BI728" s="2126">
        <v>4770.2</v>
      </c>
      <c r="BJ728" s="2126">
        <v>4770.2</v>
      </c>
      <c r="BK728" s="2126">
        <v>0</v>
      </c>
      <c r="BL728" s="2126">
        <v>0</v>
      </c>
      <c r="BM728" s="2126">
        <v>0</v>
      </c>
      <c r="BN728" s="2126">
        <v>0</v>
      </c>
      <c r="BO728" s="2126">
        <v>0</v>
      </c>
      <c r="BP728" s="2126">
        <v>0</v>
      </c>
      <c r="BQ728" s="2126">
        <v>0</v>
      </c>
      <c r="BR728" s="2126">
        <v>0</v>
      </c>
    </row>
    <row r="729" spans="1:70" s="1765" customFormat="1" ht="33">
      <c r="A729" s="1272">
        <v>4000</v>
      </c>
      <c r="B729" s="971" t="s">
        <v>1316</v>
      </c>
      <c r="C729" s="1272">
        <v>4200</v>
      </c>
      <c r="D729" s="971" t="s">
        <v>1394</v>
      </c>
      <c r="E729" s="971" t="s">
        <v>1438</v>
      </c>
      <c r="F729" s="971" t="s">
        <v>1439</v>
      </c>
      <c r="G729" s="971" t="s">
        <v>1440</v>
      </c>
      <c r="H729" s="971" t="s">
        <v>1441</v>
      </c>
      <c r="I729" s="1273" t="s">
        <v>1448</v>
      </c>
      <c r="J729" s="971" t="s">
        <v>124</v>
      </c>
      <c r="K729" s="971" t="s">
        <v>145</v>
      </c>
      <c r="L729" s="971" t="s">
        <v>2871</v>
      </c>
      <c r="M729" s="971" t="s">
        <v>556</v>
      </c>
      <c r="N729" s="971" t="s">
        <v>141</v>
      </c>
      <c r="O729" s="971" t="s">
        <v>557</v>
      </c>
      <c r="P729" s="971"/>
      <c r="Q729" s="971" t="s">
        <v>1449</v>
      </c>
      <c r="R729" s="1266" t="s">
        <v>1447</v>
      </c>
      <c r="S729" s="2106">
        <v>267.65799256505579</v>
      </c>
      <c r="T729" s="1266" t="s">
        <v>136</v>
      </c>
      <c r="U729" s="1742">
        <v>0.12329166666666667</v>
      </c>
      <c r="V729" s="1742">
        <v>0.98072916666666676</v>
      </c>
      <c r="W729" s="1742">
        <v>6.9153175000000005</v>
      </c>
      <c r="X729" s="1742">
        <v>10.817050416666667</v>
      </c>
      <c r="Y729" s="2106">
        <v>18.713097083333334</v>
      </c>
      <c r="Z729" s="2106">
        <v>33.000000000000007</v>
      </c>
      <c r="AA729" s="2106">
        <v>262.50000000000006</v>
      </c>
      <c r="AB729" s="2106">
        <v>1850.9400000000003</v>
      </c>
      <c r="AC729" s="2106">
        <v>2895.2700000000004</v>
      </c>
      <c r="AD729" s="1744">
        <v>5008.7100000000009</v>
      </c>
      <c r="AE729" s="2126">
        <v>0.3</v>
      </c>
      <c r="AF729" s="2126">
        <v>80.297397769516735</v>
      </c>
      <c r="AG729" s="1212">
        <v>1</v>
      </c>
      <c r="AH729" s="1212">
        <v>0</v>
      </c>
      <c r="AI729" s="1212">
        <v>0</v>
      </c>
      <c r="AJ729" s="1212">
        <v>1</v>
      </c>
      <c r="AK729" s="2126">
        <v>5008.7100000000009</v>
      </c>
      <c r="AL729" s="2126">
        <v>0</v>
      </c>
      <c r="AM729" s="2126">
        <v>0</v>
      </c>
      <c r="AN729" s="2126">
        <v>5008.7100000000009</v>
      </c>
      <c r="AO729" s="1743" t="s">
        <v>85</v>
      </c>
      <c r="AP729" s="1743"/>
      <c r="AQ729" s="1764">
        <v>2014</v>
      </c>
      <c r="AR729" s="1743" t="s">
        <v>87</v>
      </c>
      <c r="AS729" s="2135"/>
      <c r="AT729" s="2135"/>
      <c r="AU729" s="1212">
        <v>0.33333333333333331</v>
      </c>
      <c r="AV729" s="1212">
        <v>0.33333333333333331</v>
      </c>
      <c r="AW729" s="1212">
        <v>0.33333333333333331</v>
      </c>
      <c r="AX729" s="1212"/>
      <c r="AY729" s="1212"/>
      <c r="AZ729" s="1212"/>
      <c r="BA729" s="1212"/>
      <c r="BB729" s="1212"/>
      <c r="BC729" s="1212"/>
      <c r="BD729" s="1212"/>
      <c r="BE729" s="1212"/>
      <c r="BF729" s="2126">
        <v>0</v>
      </c>
      <c r="BG729" s="2126">
        <v>0</v>
      </c>
      <c r="BH729" s="2126">
        <v>1669.5700000000002</v>
      </c>
      <c r="BI729" s="2126">
        <v>1669.5700000000002</v>
      </c>
      <c r="BJ729" s="2126">
        <v>1669.5700000000002</v>
      </c>
      <c r="BK729" s="2126">
        <v>0</v>
      </c>
      <c r="BL729" s="2126">
        <v>0</v>
      </c>
      <c r="BM729" s="2126">
        <v>0</v>
      </c>
      <c r="BN729" s="2126">
        <v>0</v>
      </c>
      <c r="BO729" s="2126">
        <v>0</v>
      </c>
      <c r="BP729" s="2126">
        <v>0</v>
      </c>
      <c r="BQ729" s="2126">
        <v>0</v>
      </c>
      <c r="BR729" s="2126">
        <v>0</v>
      </c>
    </row>
    <row r="730" spans="1:70" s="1765" customFormat="1" ht="33">
      <c r="A730" s="1272">
        <v>4000</v>
      </c>
      <c r="B730" s="971" t="s">
        <v>1316</v>
      </c>
      <c r="C730" s="1272">
        <v>4200</v>
      </c>
      <c r="D730" s="971" t="s">
        <v>1394</v>
      </c>
      <c r="E730" s="971" t="s">
        <v>1438</v>
      </c>
      <c r="F730" s="971" t="s">
        <v>1439</v>
      </c>
      <c r="G730" s="971" t="s">
        <v>1440</v>
      </c>
      <c r="H730" s="971" t="s">
        <v>1441</v>
      </c>
      <c r="I730" s="1273" t="s">
        <v>1450</v>
      </c>
      <c r="J730" s="971" t="s">
        <v>124</v>
      </c>
      <c r="K730" s="971" t="s">
        <v>140</v>
      </c>
      <c r="L730" s="971" t="s">
        <v>2909</v>
      </c>
      <c r="M730" s="971" t="s">
        <v>140</v>
      </c>
      <c r="N730" s="971" t="s">
        <v>141</v>
      </c>
      <c r="O730" s="971" t="s">
        <v>142</v>
      </c>
      <c r="P730" s="971"/>
      <c r="Q730" s="971" t="s">
        <v>1451</v>
      </c>
      <c r="R730" s="1266" t="s">
        <v>1444</v>
      </c>
      <c r="S730" s="2106">
        <v>44.609665427509292</v>
      </c>
      <c r="T730" s="1266" t="s">
        <v>136</v>
      </c>
      <c r="U730" s="1742">
        <v>0</v>
      </c>
      <c r="V730" s="1742">
        <v>0</v>
      </c>
      <c r="W730" s="1742">
        <v>0</v>
      </c>
      <c r="X730" s="1742">
        <v>0</v>
      </c>
      <c r="Y730" s="2106">
        <v>0</v>
      </c>
      <c r="Z730" s="2106">
        <v>0</v>
      </c>
      <c r="AA730" s="2106">
        <v>0</v>
      </c>
      <c r="AB730" s="2106">
        <v>0</v>
      </c>
      <c r="AC730" s="2106">
        <v>0</v>
      </c>
      <c r="AD730" s="1744">
        <v>0</v>
      </c>
      <c r="AE730" s="2126">
        <v>0</v>
      </c>
      <c r="AF730" s="2126">
        <v>0</v>
      </c>
      <c r="AG730" s="1212">
        <v>1</v>
      </c>
      <c r="AH730" s="1212">
        <v>0</v>
      </c>
      <c r="AI730" s="1212">
        <v>0</v>
      </c>
      <c r="AJ730" s="1212">
        <v>1</v>
      </c>
      <c r="AK730" s="2126">
        <v>0</v>
      </c>
      <c r="AL730" s="2126">
        <v>0</v>
      </c>
      <c r="AM730" s="2126">
        <v>0</v>
      </c>
      <c r="AN730" s="2126">
        <v>0</v>
      </c>
      <c r="AO730" s="1743" t="s">
        <v>85</v>
      </c>
      <c r="AP730" s="1743"/>
      <c r="AQ730" s="1764">
        <v>2014</v>
      </c>
      <c r="AR730" s="1743" t="s">
        <v>87</v>
      </c>
      <c r="AS730" s="2135"/>
      <c r="AT730" s="2135"/>
      <c r="AU730" s="1212">
        <v>0.33333333333333331</v>
      </c>
      <c r="AV730" s="1212">
        <v>0.33333333333333331</v>
      </c>
      <c r="AW730" s="1212">
        <v>0.33333333333333331</v>
      </c>
      <c r="AX730" s="1212"/>
      <c r="AY730" s="1212"/>
      <c r="AZ730" s="1212"/>
      <c r="BA730" s="1212"/>
      <c r="BB730" s="1212"/>
      <c r="BC730" s="1212"/>
      <c r="BD730" s="1212"/>
      <c r="BE730" s="1212"/>
      <c r="BF730" s="2126">
        <v>0</v>
      </c>
      <c r="BG730" s="2126">
        <v>0</v>
      </c>
      <c r="BH730" s="2126">
        <v>0</v>
      </c>
      <c r="BI730" s="2126">
        <v>0</v>
      </c>
      <c r="BJ730" s="2126">
        <v>0</v>
      </c>
      <c r="BK730" s="2126">
        <v>0</v>
      </c>
      <c r="BL730" s="2126">
        <v>0</v>
      </c>
      <c r="BM730" s="2126">
        <v>0</v>
      </c>
      <c r="BN730" s="2126">
        <v>0</v>
      </c>
      <c r="BO730" s="2126">
        <v>0</v>
      </c>
      <c r="BP730" s="2126">
        <v>0</v>
      </c>
      <c r="BQ730" s="2126">
        <v>0</v>
      </c>
      <c r="BR730" s="2126">
        <v>0</v>
      </c>
    </row>
    <row r="731" spans="1:70" s="1765" customFormat="1" ht="33">
      <c r="A731" s="1272">
        <v>4000</v>
      </c>
      <c r="B731" s="971" t="s">
        <v>1316</v>
      </c>
      <c r="C731" s="1272">
        <v>4200</v>
      </c>
      <c r="D731" s="971" t="s">
        <v>1394</v>
      </c>
      <c r="E731" s="971" t="s">
        <v>1438</v>
      </c>
      <c r="F731" s="971" t="s">
        <v>1439</v>
      </c>
      <c r="G731" s="971" t="s">
        <v>1440</v>
      </c>
      <c r="H731" s="971" t="s">
        <v>1441</v>
      </c>
      <c r="I731" s="1273" t="s">
        <v>1452</v>
      </c>
      <c r="J731" s="971" t="s">
        <v>124</v>
      </c>
      <c r="K731" s="971"/>
      <c r="L731" s="971" t="e">
        <v>#N/A</v>
      </c>
      <c r="M731" s="971" t="s">
        <v>145</v>
      </c>
      <c r="N731" s="971" t="s">
        <v>141</v>
      </c>
      <c r="O731" s="971" t="s">
        <v>146</v>
      </c>
      <c r="P731" s="971"/>
      <c r="Q731" s="971" t="s">
        <v>1453</v>
      </c>
      <c r="R731" s="1266" t="s">
        <v>1444</v>
      </c>
      <c r="S731" s="2106">
        <v>44.609665427509292</v>
      </c>
      <c r="T731" s="1266" t="s">
        <v>136</v>
      </c>
      <c r="U731" s="1742" t="s">
        <v>6588</v>
      </c>
      <c r="V731" s="1742" t="s">
        <v>6588</v>
      </c>
      <c r="W731" s="1742" t="s">
        <v>6588</v>
      </c>
      <c r="X731" s="1742" t="s">
        <v>6588</v>
      </c>
      <c r="Y731" s="2106" t="s">
        <v>6588</v>
      </c>
      <c r="Z731" s="2106">
        <v>0</v>
      </c>
      <c r="AA731" s="2106">
        <v>0</v>
      </c>
      <c r="AB731" s="2106">
        <v>0</v>
      </c>
      <c r="AC731" s="2106">
        <v>0</v>
      </c>
      <c r="AD731" s="1744">
        <v>0</v>
      </c>
      <c r="AE731" s="2126">
        <v>0</v>
      </c>
      <c r="AF731" s="2126">
        <v>0</v>
      </c>
      <c r="AG731" s="1212">
        <v>1</v>
      </c>
      <c r="AH731" s="1212">
        <v>0</v>
      </c>
      <c r="AI731" s="1212">
        <v>0</v>
      </c>
      <c r="AJ731" s="1212">
        <v>1</v>
      </c>
      <c r="AK731" s="2126">
        <v>0</v>
      </c>
      <c r="AL731" s="2126">
        <v>0</v>
      </c>
      <c r="AM731" s="2126">
        <v>0</v>
      </c>
      <c r="AN731" s="2126">
        <v>0</v>
      </c>
      <c r="AO731" s="1743" t="s">
        <v>85</v>
      </c>
      <c r="AP731" s="1743"/>
      <c r="AQ731" s="1764">
        <v>2014</v>
      </c>
      <c r="AR731" s="1743" t="s">
        <v>87</v>
      </c>
      <c r="AS731" s="2135"/>
      <c r="AT731" s="2135"/>
      <c r="AU731" s="1212">
        <v>0.33333333333333331</v>
      </c>
      <c r="AV731" s="1212">
        <v>0.33333333333333331</v>
      </c>
      <c r="AW731" s="1212">
        <v>0.33333333333333331</v>
      </c>
      <c r="AX731" s="1212"/>
      <c r="AY731" s="1212"/>
      <c r="AZ731" s="1212"/>
      <c r="BA731" s="1212"/>
      <c r="BB731" s="1212"/>
      <c r="BC731" s="1212"/>
      <c r="BD731" s="1212"/>
      <c r="BE731" s="1212"/>
      <c r="BF731" s="2126">
        <v>0</v>
      </c>
      <c r="BG731" s="2126">
        <v>0</v>
      </c>
      <c r="BH731" s="2126">
        <v>0</v>
      </c>
      <c r="BI731" s="2126">
        <v>0</v>
      </c>
      <c r="BJ731" s="2126">
        <v>0</v>
      </c>
      <c r="BK731" s="2126">
        <v>0</v>
      </c>
      <c r="BL731" s="2126">
        <v>0</v>
      </c>
      <c r="BM731" s="2126">
        <v>0</v>
      </c>
      <c r="BN731" s="2126">
        <v>0</v>
      </c>
      <c r="BO731" s="2126">
        <v>0</v>
      </c>
      <c r="BP731" s="2126">
        <v>0</v>
      </c>
      <c r="BQ731" s="2126">
        <v>0</v>
      </c>
      <c r="BR731" s="2126">
        <v>0</v>
      </c>
    </row>
    <row r="732" spans="1:70" s="1765" customFormat="1" ht="33">
      <c r="A732" s="1272">
        <v>4000</v>
      </c>
      <c r="B732" s="971" t="s">
        <v>1316</v>
      </c>
      <c r="C732" s="1272">
        <v>4200</v>
      </c>
      <c r="D732" s="971" t="s">
        <v>1394</v>
      </c>
      <c r="E732" s="971" t="s">
        <v>1438</v>
      </c>
      <c r="F732" s="971" t="s">
        <v>1439</v>
      </c>
      <c r="G732" s="971" t="s">
        <v>1440</v>
      </c>
      <c r="H732" s="971" t="s">
        <v>1441</v>
      </c>
      <c r="I732" s="1273" t="s">
        <v>1454</v>
      </c>
      <c r="J732" s="971" t="s">
        <v>124</v>
      </c>
      <c r="K732" s="971"/>
      <c r="L732" s="971" t="e">
        <v>#N/A</v>
      </c>
      <c r="M732" s="971" t="s">
        <v>145</v>
      </c>
      <c r="N732" s="971" t="s">
        <v>141</v>
      </c>
      <c r="O732" s="971" t="s">
        <v>146</v>
      </c>
      <c r="P732" s="971"/>
      <c r="Q732" s="971" t="s">
        <v>1455</v>
      </c>
      <c r="R732" s="1266" t="s">
        <v>1447</v>
      </c>
      <c r="S732" s="2106">
        <v>267.65799256505579</v>
      </c>
      <c r="T732" s="1266" t="s">
        <v>136</v>
      </c>
      <c r="U732" s="1742" t="s">
        <v>6588</v>
      </c>
      <c r="V732" s="1742" t="s">
        <v>6588</v>
      </c>
      <c r="W732" s="1742" t="s">
        <v>6588</v>
      </c>
      <c r="X732" s="1742" t="s">
        <v>6588</v>
      </c>
      <c r="Y732" s="2106" t="s">
        <v>6588</v>
      </c>
      <c r="Z732" s="2106">
        <v>0</v>
      </c>
      <c r="AA732" s="2106">
        <v>0</v>
      </c>
      <c r="AB732" s="2106">
        <v>0</v>
      </c>
      <c r="AC732" s="2106">
        <v>0</v>
      </c>
      <c r="AD732" s="1744">
        <v>0</v>
      </c>
      <c r="AE732" s="2126">
        <v>0</v>
      </c>
      <c r="AF732" s="2126">
        <v>0</v>
      </c>
      <c r="AG732" s="1212">
        <v>1</v>
      </c>
      <c r="AH732" s="1212">
        <v>0</v>
      </c>
      <c r="AI732" s="1212">
        <v>0</v>
      </c>
      <c r="AJ732" s="1212">
        <v>1</v>
      </c>
      <c r="AK732" s="2126">
        <v>0</v>
      </c>
      <c r="AL732" s="2126">
        <v>0</v>
      </c>
      <c r="AM732" s="2126">
        <v>0</v>
      </c>
      <c r="AN732" s="2126">
        <v>0</v>
      </c>
      <c r="AO732" s="1743" t="s">
        <v>85</v>
      </c>
      <c r="AP732" s="1743"/>
      <c r="AQ732" s="1764">
        <v>2014</v>
      </c>
      <c r="AR732" s="1743" t="s">
        <v>87</v>
      </c>
      <c r="AS732" s="2135"/>
      <c r="AT732" s="2135"/>
      <c r="AU732" s="1212">
        <v>0.33333333333333331</v>
      </c>
      <c r="AV732" s="1212">
        <v>0.33333333333333331</v>
      </c>
      <c r="AW732" s="1212">
        <v>0.33333333333333331</v>
      </c>
      <c r="AX732" s="1212"/>
      <c r="AY732" s="1212"/>
      <c r="AZ732" s="1212"/>
      <c r="BA732" s="1212"/>
      <c r="BB732" s="1212"/>
      <c r="BC732" s="1212"/>
      <c r="BD732" s="1212"/>
      <c r="BE732" s="1212"/>
      <c r="BF732" s="2126">
        <v>0</v>
      </c>
      <c r="BG732" s="2126">
        <v>0</v>
      </c>
      <c r="BH732" s="2126">
        <v>0</v>
      </c>
      <c r="BI732" s="2126">
        <v>0</v>
      </c>
      <c r="BJ732" s="2126">
        <v>0</v>
      </c>
      <c r="BK732" s="2126">
        <v>0</v>
      </c>
      <c r="BL732" s="2126">
        <v>0</v>
      </c>
      <c r="BM732" s="2126">
        <v>0</v>
      </c>
      <c r="BN732" s="2126">
        <v>0</v>
      </c>
      <c r="BO732" s="2126">
        <v>0</v>
      </c>
      <c r="BP732" s="2126">
        <v>0</v>
      </c>
      <c r="BQ732" s="2126">
        <v>0</v>
      </c>
      <c r="BR732" s="2126">
        <v>0</v>
      </c>
    </row>
    <row r="733" spans="1:70" s="1765" customFormat="1" ht="49.5">
      <c r="A733" s="1272">
        <v>4000</v>
      </c>
      <c r="B733" s="971" t="s">
        <v>1316</v>
      </c>
      <c r="C733" s="1272">
        <v>4200</v>
      </c>
      <c r="D733" s="971" t="s">
        <v>1394</v>
      </c>
      <c r="E733" s="971" t="s">
        <v>1438</v>
      </c>
      <c r="F733" s="971" t="s">
        <v>1439</v>
      </c>
      <c r="G733" s="971">
        <v>4281</v>
      </c>
      <c r="H733" s="971" t="s">
        <v>1441</v>
      </c>
      <c r="I733" s="1273" t="s">
        <v>1067</v>
      </c>
      <c r="J733" s="971" t="s">
        <v>124</v>
      </c>
      <c r="K733" s="971" t="s">
        <v>784</v>
      </c>
      <c r="L733" s="971" t="s">
        <v>2852</v>
      </c>
      <c r="M733" s="971" t="s">
        <v>214</v>
      </c>
      <c r="N733" s="971" t="s">
        <v>127</v>
      </c>
      <c r="O733" s="971" t="s">
        <v>215</v>
      </c>
      <c r="P733" s="971"/>
      <c r="Q733" s="971" t="s">
        <v>1456</v>
      </c>
      <c r="R733" s="1266" t="s">
        <v>1444</v>
      </c>
      <c r="S733" s="2106">
        <v>0</v>
      </c>
      <c r="T733" s="1266" t="s">
        <v>136</v>
      </c>
      <c r="U733" s="1742">
        <v>0.22416666666666665</v>
      </c>
      <c r="V733" s="1742">
        <v>2.8020833333333335</v>
      </c>
      <c r="W733" s="1742">
        <v>19.758049999999997</v>
      </c>
      <c r="X733" s="1742">
        <v>30.905858333333335</v>
      </c>
      <c r="Y733" s="2106">
        <v>53.46599166666666</v>
      </c>
      <c r="Z733" s="2106">
        <v>0</v>
      </c>
      <c r="AA733" s="2106">
        <v>0</v>
      </c>
      <c r="AB733" s="2106">
        <v>0</v>
      </c>
      <c r="AC733" s="2106">
        <v>0</v>
      </c>
      <c r="AD733" s="1744">
        <v>0</v>
      </c>
      <c r="AE733" s="2126">
        <v>1</v>
      </c>
      <c r="AF733" s="2126">
        <v>0</v>
      </c>
      <c r="AG733" s="1212">
        <v>1</v>
      </c>
      <c r="AH733" s="1212">
        <v>0</v>
      </c>
      <c r="AI733" s="1212">
        <v>0</v>
      </c>
      <c r="AJ733" s="1212">
        <v>1</v>
      </c>
      <c r="AK733" s="2126">
        <v>0</v>
      </c>
      <c r="AL733" s="2126">
        <v>0</v>
      </c>
      <c r="AM733" s="2126">
        <v>0</v>
      </c>
      <c r="AN733" s="2126">
        <v>0</v>
      </c>
      <c r="AO733" s="1743" t="s">
        <v>85</v>
      </c>
      <c r="AP733" s="1743" t="s">
        <v>96</v>
      </c>
      <c r="AQ733" s="1764" t="s">
        <v>107</v>
      </c>
      <c r="AR733" s="1743" t="s">
        <v>87</v>
      </c>
      <c r="AS733" s="2135"/>
      <c r="AT733" s="2135"/>
      <c r="AU733" s="1212">
        <v>0.33333333333333331</v>
      </c>
      <c r="AV733" s="1212">
        <v>0.33333333333333331</v>
      </c>
      <c r="AW733" s="1212">
        <v>0.33333333333333331</v>
      </c>
      <c r="AX733" s="1212"/>
      <c r="AY733" s="1212"/>
      <c r="AZ733" s="1212"/>
      <c r="BA733" s="1212"/>
      <c r="BB733" s="1212"/>
      <c r="BC733" s="1212"/>
      <c r="BD733" s="1212"/>
      <c r="BE733" s="1212"/>
      <c r="BF733" s="2126">
        <v>0</v>
      </c>
      <c r="BG733" s="2126">
        <v>0</v>
      </c>
      <c r="BH733" s="2126">
        <v>0</v>
      </c>
      <c r="BI733" s="2126">
        <v>0</v>
      </c>
      <c r="BJ733" s="2126">
        <v>0</v>
      </c>
      <c r="BK733" s="2126">
        <v>0</v>
      </c>
      <c r="BL733" s="2126">
        <v>0</v>
      </c>
      <c r="BM733" s="2126">
        <v>0</v>
      </c>
      <c r="BN733" s="2126">
        <v>0</v>
      </c>
      <c r="BO733" s="2126">
        <v>0</v>
      </c>
      <c r="BP733" s="2126">
        <v>0</v>
      </c>
      <c r="BQ733" s="2126">
        <v>0</v>
      </c>
      <c r="BR733" s="2126">
        <v>0</v>
      </c>
    </row>
    <row r="734" spans="1:70" s="1765" customFormat="1" ht="33">
      <c r="A734" s="1272">
        <v>4000</v>
      </c>
      <c r="B734" s="971" t="s">
        <v>1316</v>
      </c>
      <c r="C734" s="1272">
        <v>4200</v>
      </c>
      <c r="D734" s="971" t="s">
        <v>1394</v>
      </c>
      <c r="E734" s="971" t="s">
        <v>1438</v>
      </c>
      <c r="F734" s="971" t="s">
        <v>1439</v>
      </c>
      <c r="G734" s="971">
        <v>4281</v>
      </c>
      <c r="H734" s="971" t="s">
        <v>1441</v>
      </c>
      <c r="I734" s="1273" t="s">
        <v>1067</v>
      </c>
      <c r="J734" s="971" t="s">
        <v>124</v>
      </c>
      <c r="K734" s="971" t="s">
        <v>145</v>
      </c>
      <c r="L734" s="971" t="s">
        <v>2871</v>
      </c>
      <c r="M734" s="971" t="s">
        <v>556</v>
      </c>
      <c r="N734" s="971" t="s">
        <v>141</v>
      </c>
      <c r="O734" s="971" t="s">
        <v>557</v>
      </c>
      <c r="P734" s="971"/>
      <c r="Q734" s="971" t="s">
        <v>1457</v>
      </c>
      <c r="R734" s="1266" t="s">
        <v>1444</v>
      </c>
      <c r="S734" s="2106">
        <v>0</v>
      </c>
      <c r="T734" s="1266" t="s">
        <v>136</v>
      </c>
      <c r="U734" s="1742">
        <v>0.12329166666666667</v>
      </c>
      <c r="V734" s="1742">
        <v>0.98072916666666676</v>
      </c>
      <c r="W734" s="1742">
        <v>6.9153175000000005</v>
      </c>
      <c r="X734" s="1742">
        <v>10.817050416666667</v>
      </c>
      <c r="Y734" s="2106">
        <v>18.713097083333334</v>
      </c>
      <c r="Z734" s="2106">
        <v>0</v>
      </c>
      <c r="AA734" s="2106">
        <v>0</v>
      </c>
      <c r="AB734" s="2106">
        <v>0</v>
      </c>
      <c r="AC734" s="2106">
        <v>0</v>
      </c>
      <c r="AD734" s="1744">
        <v>0</v>
      </c>
      <c r="AE734" s="2126">
        <v>0.3</v>
      </c>
      <c r="AF734" s="2126">
        <v>0</v>
      </c>
      <c r="AG734" s="1212">
        <v>1</v>
      </c>
      <c r="AH734" s="1212">
        <v>0</v>
      </c>
      <c r="AI734" s="1212">
        <v>0</v>
      </c>
      <c r="AJ734" s="1212">
        <v>1</v>
      </c>
      <c r="AK734" s="2126">
        <v>0</v>
      </c>
      <c r="AL734" s="2126">
        <v>0</v>
      </c>
      <c r="AM734" s="2126">
        <v>0</v>
      </c>
      <c r="AN734" s="2126">
        <v>0</v>
      </c>
      <c r="AO734" s="1743" t="s">
        <v>85</v>
      </c>
      <c r="AP734" s="1743" t="s">
        <v>96</v>
      </c>
      <c r="AQ734" s="1764" t="s">
        <v>107</v>
      </c>
      <c r="AR734" s="1743" t="s">
        <v>87</v>
      </c>
      <c r="AS734" s="2135"/>
      <c r="AT734" s="2135"/>
      <c r="AU734" s="1212">
        <v>0.33333333333333331</v>
      </c>
      <c r="AV734" s="1212">
        <v>0.33333333333333331</v>
      </c>
      <c r="AW734" s="1212">
        <v>0.33333333333333331</v>
      </c>
      <c r="AX734" s="1212"/>
      <c r="AY734" s="1212"/>
      <c r="AZ734" s="1212"/>
      <c r="BA734" s="1212"/>
      <c r="BB734" s="1212"/>
      <c r="BC734" s="1212"/>
      <c r="BD734" s="1212"/>
      <c r="BE734" s="1212"/>
      <c r="BF734" s="2126">
        <v>0</v>
      </c>
      <c r="BG734" s="2126">
        <v>0</v>
      </c>
      <c r="BH734" s="2126">
        <v>0</v>
      </c>
      <c r="BI734" s="2126">
        <v>0</v>
      </c>
      <c r="BJ734" s="2126">
        <v>0</v>
      </c>
      <c r="BK734" s="2126">
        <v>0</v>
      </c>
      <c r="BL734" s="2126">
        <v>0</v>
      </c>
      <c r="BM734" s="2126">
        <v>0</v>
      </c>
      <c r="BN734" s="2126">
        <v>0</v>
      </c>
      <c r="BO734" s="2126">
        <v>0</v>
      </c>
      <c r="BP734" s="2126">
        <v>0</v>
      </c>
      <c r="BQ734" s="2126">
        <v>0</v>
      </c>
      <c r="BR734" s="2126">
        <v>0</v>
      </c>
    </row>
    <row r="735" spans="1:70" s="1765" customFormat="1" ht="33">
      <c r="A735" s="1272">
        <v>4000</v>
      </c>
      <c r="B735" s="971" t="s">
        <v>1316</v>
      </c>
      <c r="C735" s="1272">
        <v>4200</v>
      </c>
      <c r="D735" s="971" t="s">
        <v>1394</v>
      </c>
      <c r="E735" s="971" t="s">
        <v>1438</v>
      </c>
      <c r="F735" s="971" t="s">
        <v>1439</v>
      </c>
      <c r="G735" s="971">
        <v>4281</v>
      </c>
      <c r="H735" s="971" t="s">
        <v>1441</v>
      </c>
      <c r="I735" s="1273" t="s">
        <v>1067</v>
      </c>
      <c r="J735" s="971" t="s">
        <v>124</v>
      </c>
      <c r="K735" s="971"/>
      <c r="L735" s="971" t="e">
        <v>#N/A</v>
      </c>
      <c r="M735" s="971" t="s">
        <v>145</v>
      </c>
      <c r="N735" s="971" t="s">
        <v>141</v>
      </c>
      <c r="O735" s="971" t="s">
        <v>146</v>
      </c>
      <c r="P735" s="971"/>
      <c r="Q735" s="971" t="s">
        <v>1458</v>
      </c>
      <c r="R735" s="1266" t="s">
        <v>1444</v>
      </c>
      <c r="S735" s="2106">
        <v>0</v>
      </c>
      <c r="T735" s="1266" t="s">
        <v>136</v>
      </c>
      <c r="U735" s="1742" t="s">
        <v>6588</v>
      </c>
      <c r="V735" s="1742" t="s">
        <v>6588</v>
      </c>
      <c r="W735" s="1742" t="s">
        <v>6588</v>
      </c>
      <c r="X735" s="1742" t="s">
        <v>6588</v>
      </c>
      <c r="Y735" s="2106" t="s">
        <v>6588</v>
      </c>
      <c r="Z735" s="2106">
        <v>0</v>
      </c>
      <c r="AA735" s="2106">
        <v>0</v>
      </c>
      <c r="AB735" s="2106">
        <v>0</v>
      </c>
      <c r="AC735" s="2106">
        <v>0</v>
      </c>
      <c r="AD735" s="1744">
        <v>0</v>
      </c>
      <c r="AE735" s="2126">
        <v>0</v>
      </c>
      <c r="AF735" s="2126">
        <v>0</v>
      </c>
      <c r="AG735" s="1212">
        <v>1</v>
      </c>
      <c r="AH735" s="1212">
        <v>0</v>
      </c>
      <c r="AI735" s="1212">
        <v>0</v>
      </c>
      <c r="AJ735" s="1212">
        <v>1</v>
      </c>
      <c r="AK735" s="2126">
        <v>0</v>
      </c>
      <c r="AL735" s="2126">
        <v>0</v>
      </c>
      <c r="AM735" s="2126">
        <v>0</v>
      </c>
      <c r="AN735" s="2126">
        <v>0</v>
      </c>
      <c r="AO735" s="1743" t="s">
        <v>85</v>
      </c>
      <c r="AP735" s="1743" t="s">
        <v>96</v>
      </c>
      <c r="AQ735" s="1764" t="s">
        <v>107</v>
      </c>
      <c r="AR735" s="1743" t="s">
        <v>87</v>
      </c>
      <c r="AS735" s="2135"/>
      <c r="AT735" s="2135"/>
      <c r="AU735" s="1212">
        <v>0.33333333333333331</v>
      </c>
      <c r="AV735" s="1212">
        <v>0.33333333333333331</v>
      </c>
      <c r="AW735" s="1212">
        <v>0.33333333333333331</v>
      </c>
      <c r="AX735" s="1212"/>
      <c r="AY735" s="1212"/>
      <c r="AZ735" s="1212"/>
      <c r="BA735" s="1212"/>
      <c r="BB735" s="1212"/>
      <c r="BC735" s="1212"/>
      <c r="BD735" s="1212"/>
      <c r="BE735" s="1212"/>
      <c r="BF735" s="2126">
        <v>0</v>
      </c>
      <c r="BG735" s="2126">
        <v>0</v>
      </c>
      <c r="BH735" s="2126">
        <v>0</v>
      </c>
      <c r="BI735" s="2126">
        <v>0</v>
      </c>
      <c r="BJ735" s="2126">
        <v>0</v>
      </c>
      <c r="BK735" s="2126">
        <v>0</v>
      </c>
      <c r="BL735" s="2126">
        <v>0</v>
      </c>
      <c r="BM735" s="2126">
        <v>0</v>
      </c>
      <c r="BN735" s="2126">
        <v>0</v>
      </c>
      <c r="BO735" s="2126">
        <v>0</v>
      </c>
      <c r="BP735" s="2126">
        <v>0</v>
      </c>
      <c r="BQ735" s="2126">
        <v>0</v>
      </c>
      <c r="BR735" s="2126">
        <v>0</v>
      </c>
    </row>
    <row r="736" spans="1:70" s="1765" customFormat="1" ht="49.5">
      <c r="A736" s="1272">
        <v>4000</v>
      </c>
      <c r="B736" s="971" t="s">
        <v>1316</v>
      </c>
      <c r="C736" s="1272">
        <v>4200</v>
      </c>
      <c r="D736" s="971" t="s">
        <v>1394</v>
      </c>
      <c r="E736" s="971" t="s">
        <v>1438</v>
      </c>
      <c r="F736" s="971" t="s">
        <v>1439</v>
      </c>
      <c r="G736" s="971">
        <v>4281</v>
      </c>
      <c r="H736" s="971" t="s">
        <v>1441</v>
      </c>
      <c r="I736" s="1273" t="s">
        <v>1067</v>
      </c>
      <c r="J736" s="971" t="s">
        <v>124</v>
      </c>
      <c r="K736" s="971" t="s">
        <v>784</v>
      </c>
      <c r="L736" s="971" t="s">
        <v>2852</v>
      </c>
      <c r="M736" s="971" t="s">
        <v>214</v>
      </c>
      <c r="N736" s="971" t="s">
        <v>127</v>
      </c>
      <c r="O736" s="971" t="s">
        <v>215</v>
      </c>
      <c r="P736" s="971"/>
      <c r="Q736" s="971" t="s">
        <v>1459</v>
      </c>
      <c r="R736" s="1266" t="s">
        <v>1460</v>
      </c>
      <c r="S736" s="2106">
        <v>72</v>
      </c>
      <c r="T736" s="1266" t="s">
        <v>136</v>
      </c>
      <c r="U736" s="1742">
        <v>0.22416666666666665</v>
      </c>
      <c r="V736" s="1742">
        <v>2.8020833333333335</v>
      </c>
      <c r="W736" s="1742">
        <v>19.758049999999997</v>
      </c>
      <c r="X736" s="1742">
        <v>30.905858333333335</v>
      </c>
      <c r="Y736" s="2106">
        <v>53.46599166666666</v>
      </c>
      <c r="Z736" s="2106">
        <v>16.14</v>
      </c>
      <c r="AA736" s="2106">
        <v>201.75</v>
      </c>
      <c r="AB736" s="2106">
        <v>1422.5795999999998</v>
      </c>
      <c r="AC736" s="2106">
        <v>2225.2218000000003</v>
      </c>
      <c r="AD736" s="1744">
        <v>3849.5513999999994</v>
      </c>
      <c r="AE736" s="2126">
        <v>1</v>
      </c>
      <c r="AF736" s="2126">
        <v>72</v>
      </c>
      <c r="AG736" s="1212">
        <v>1</v>
      </c>
      <c r="AH736" s="1212">
        <v>0</v>
      </c>
      <c r="AI736" s="1212">
        <v>0</v>
      </c>
      <c r="AJ736" s="1212">
        <v>1</v>
      </c>
      <c r="AK736" s="2126">
        <v>3849.5513999999994</v>
      </c>
      <c r="AL736" s="2126">
        <v>0</v>
      </c>
      <c r="AM736" s="2126">
        <v>0</v>
      </c>
      <c r="AN736" s="2126">
        <v>3849.5513999999994</v>
      </c>
      <c r="AO736" s="1743" t="s">
        <v>85</v>
      </c>
      <c r="AP736" s="1743" t="s">
        <v>90</v>
      </c>
      <c r="AQ736" s="1764" t="s">
        <v>108</v>
      </c>
      <c r="AR736" s="1743" t="s">
        <v>87</v>
      </c>
      <c r="AS736" s="2135"/>
      <c r="AT736" s="2135"/>
      <c r="AU736" s="1212">
        <v>0.33333333333333331</v>
      </c>
      <c r="AV736" s="1212">
        <v>0.33333333333333331</v>
      </c>
      <c r="AW736" s="1212">
        <v>0.33333333333333331</v>
      </c>
      <c r="AX736" s="1212"/>
      <c r="AY736" s="1212"/>
      <c r="AZ736" s="1212"/>
      <c r="BA736" s="1212"/>
      <c r="BB736" s="1212"/>
      <c r="BC736" s="1212"/>
      <c r="BD736" s="1212"/>
      <c r="BE736" s="1212"/>
      <c r="BF736" s="2126">
        <v>0</v>
      </c>
      <c r="BG736" s="2126">
        <v>0</v>
      </c>
      <c r="BH736" s="2126">
        <v>1283.1837999999998</v>
      </c>
      <c r="BI736" s="2126">
        <v>1283.1837999999998</v>
      </c>
      <c r="BJ736" s="2126">
        <v>1283.1837999999998</v>
      </c>
      <c r="BK736" s="2126">
        <v>0</v>
      </c>
      <c r="BL736" s="2126">
        <v>0</v>
      </c>
      <c r="BM736" s="2126">
        <v>0</v>
      </c>
      <c r="BN736" s="2126">
        <v>0</v>
      </c>
      <c r="BO736" s="2126">
        <v>0</v>
      </c>
      <c r="BP736" s="2126">
        <v>0</v>
      </c>
      <c r="BQ736" s="2126">
        <v>0</v>
      </c>
      <c r="BR736" s="2126">
        <v>0</v>
      </c>
    </row>
    <row r="737" spans="1:70" s="1765" customFormat="1" ht="49.5">
      <c r="A737" s="1272">
        <v>4000</v>
      </c>
      <c r="B737" s="971" t="s">
        <v>1316</v>
      </c>
      <c r="C737" s="1272">
        <v>4200</v>
      </c>
      <c r="D737" s="971" t="s">
        <v>1394</v>
      </c>
      <c r="E737" s="971" t="s">
        <v>1438</v>
      </c>
      <c r="F737" s="971" t="s">
        <v>1439</v>
      </c>
      <c r="G737" s="971">
        <v>4281</v>
      </c>
      <c r="H737" s="971" t="s">
        <v>1441</v>
      </c>
      <c r="I737" s="1273" t="s">
        <v>1067</v>
      </c>
      <c r="J737" s="971" t="s">
        <v>124</v>
      </c>
      <c r="K737" s="971" t="s">
        <v>784</v>
      </c>
      <c r="L737" s="971" t="s">
        <v>2852</v>
      </c>
      <c r="M737" s="971" t="s">
        <v>214</v>
      </c>
      <c r="N737" s="971" t="s">
        <v>127</v>
      </c>
      <c r="O737" s="971" t="s">
        <v>215</v>
      </c>
      <c r="P737" s="971"/>
      <c r="Q737" s="971" t="s">
        <v>1459</v>
      </c>
      <c r="R737" s="1266" t="s">
        <v>1461</v>
      </c>
      <c r="S737" s="2106">
        <v>54</v>
      </c>
      <c r="T737" s="1266" t="s">
        <v>136</v>
      </c>
      <c r="U737" s="1742">
        <v>0.22416666666666665</v>
      </c>
      <c r="V737" s="1742">
        <v>2.8020833333333335</v>
      </c>
      <c r="W737" s="1742">
        <v>19.758049999999997</v>
      </c>
      <c r="X737" s="1742">
        <v>30.905858333333335</v>
      </c>
      <c r="Y737" s="2106">
        <v>53.46599166666666</v>
      </c>
      <c r="Z737" s="2106">
        <v>12.104999999999999</v>
      </c>
      <c r="AA737" s="2106">
        <v>151.3125</v>
      </c>
      <c r="AB737" s="2106">
        <v>1066.9346999999998</v>
      </c>
      <c r="AC737" s="2106">
        <v>1668.91635</v>
      </c>
      <c r="AD737" s="1744">
        <v>2887.1635499999998</v>
      </c>
      <c r="AE737" s="2126">
        <v>1</v>
      </c>
      <c r="AF737" s="2126">
        <v>54</v>
      </c>
      <c r="AG737" s="1212">
        <v>1</v>
      </c>
      <c r="AH737" s="1212">
        <v>0</v>
      </c>
      <c r="AI737" s="1212">
        <v>0</v>
      </c>
      <c r="AJ737" s="1212">
        <v>1</v>
      </c>
      <c r="AK737" s="2126">
        <v>2887.1635499999998</v>
      </c>
      <c r="AL737" s="2126">
        <v>0</v>
      </c>
      <c r="AM737" s="2126">
        <v>0</v>
      </c>
      <c r="AN737" s="2126">
        <v>2887.1635499999998</v>
      </c>
      <c r="AO737" s="1743" t="s">
        <v>85</v>
      </c>
      <c r="AP737" s="1743" t="s">
        <v>90</v>
      </c>
      <c r="AQ737" s="1764" t="s">
        <v>108</v>
      </c>
      <c r="AR737" s="1743" t="s">
        <v>87</v>
      </c>
      <c r="AS737" s="2135"/>
      <c r="AT737" s="2135"/>
      <c r="AU737" s="1212">
        <v>0.33333333333333331</v>
      </c>
      <c r="AV737" s="1212">
        <v>0.33333333333333331</v>
      </c>
      <c r="AW737" s="1212">
        <v>0.33333333333333331</v>
      </c>
      <c r="AX737" s="1212"/>
      <c r="AY737" s="1212"/>
      <c r="AZ737" s="1212"/>
      <c r="BA737" s="1212"/>
      <c r="BB737" s="1212"/>
      <c r="BC737" s="1212"/>
      <c r="BD737" s="1212"/>
      <c r="BE737" s="1212"/>
      <c r="BF737" s="2126">
        <v>0</v>
      </c>
      <c r="BG737" s="2126">
        <v>0</v>
      </c>
      <c r="BH737" s="2126">
        <v>962.38784999999984</v>
      </c>
      <c r="BI737" s="2126">
        <v>962.38784999999984</v>
      </c>
      <c r="BJ737" s="2126">
        <v>962.38784999999984</v>
      </c>
      <c r="BK737" s="2126">
        <v>0</v>
      </c>
      <c r="BL737" s="2126">
        <v>0</v>
      </c>
      <c r="BM737" s="2126">
        <v>0</v>
      </c>
      <c r="BN737" s="2126">
        <v>0</v>
      </c>
      <c r="BO737" s="2126">
        <v>0</v>
      </c>
      <c r="BP737" s="2126">
        <v>0</v>
      </c>
      <c r="BQ737" s="2126">
        <v>0</v>
      </c>
      <c r="BR737" s="2126">
        <v>0</v>
      </c>
    </row>
    <row r="738" spans="1:70" s="1765" customFormat="1" ht="49.5">
      <c r="A738" s="1272">
        <v>4000</v>
      </c>
      <c r="B738" s="971" t="s">
        <v>1316</v>
      </c>
      <c r="C738" s="1272">
        <v>4200</v>
      </c>
      <c r="D738" s="971" t="s">
        <v>1394</v>
      </c>
      <c r="E738" s="971" t="s">
        <v>1438</v>
      </c>
      <c r="F738" s="971" t="s">
        <v>1439</v>
      </c>
      <c r="G738" s="971">
        <v>4281</v>
      </c>
      <c r="H738" s="971" t="s">
        <v>1441</v>
      </c>
      <c r="I738" s="1273" t="s">
        <v>1067</v>
      </c>
      <c r="J738" s="971" t="s">
        <v>124</v>
      </c>
      <c r="K738" s="971" t="s">
        <v>784</v>
      </c>
      <c r="L738" s="971" t="s">
        <v>2852</v>
      </c>
      <c r="M738" s="971" t="s">
        <v>214</v>
      </c>
      <c r="N738" s="971" t="s">
        <v>127</v>
      </c>
      <c r="O738" s="971" t="s">
        <v>215</v>
      </c>
      <c r="P738" s="971"/>
      <c r="Q738" s="971" t="s">
        <v>1459</v>
      </c>
      <c r="R738" s="1266" t="s">
        <v>1462</v>
      </c>
      <c r="S738" s="2106">
        <v>36</v>
      </c>
      <c r="T738" s="1266" t="s">
        <v>136</v>
      </c>
      <c r="U738" s="1742">
        <v>0.22416666666666665</v>
      </c>
      <c r="V738" s="1742">
        <v>2.8020833333333335</v>
      </c>
      <c r="W738" s="1742">
        <v>19.758049999999997</v>
      </c>
      <c r="X738" s="1742">
        <v>30.905858333333335</v>
      </c>
      <c r="Y738" s="2106">
        <v>53.46599166666666</v>
      </c>
      <c r="Z738" s="2106">
        <v>8.07</v>
      </c>
      <c r="AA738" s="2106">
        <v>100.875</v>
      </c>
      <c r="AB738" s="2106">
        <v>711.2897999999999</v>
      </c>
      <c r="AC738" s="2106">
        <v>1112.6109000000001</v>
      </c>
      <c r="AD738" s="1744">
        <v>1924.7756999999997</v>
      </c>
      <c r="AE738" s="2126">
        <v>1</v>
      </c>
      <c r="AF738" s="2126">
        <v>36</v>
      </c>
      <c r="AG738" s="1212">
        <v>1</v>
      </c>
      <c r="AH738" s="1212">
        <v>0</v>
      </c>
      <c r="AI738" s="1212">
        <v>0</v>
      </c>
      <c r="AJ738" s="1212">
        <v>1</v>
      </c>
      <c r="AK738" s="2126">
        <v>1924.7756999999997</v>
      </c>
      <c r="AL738" s="2126">
        <v>0</v>
      </c>
      <c r="AM738" s="2126">
        <v>0</v>
      </c>
      <c r="AN738" s="2126">
        <v>1924.7756999999997</v>
      </c>
      <c r="AO738" s="1743" t="s">
        <v>85</v>
      </c>
      <c r="AP738" s="1743" t="s">
        <v>90</v>
      </c>
      <c r="AQ738" s="1764" t="s">
        <v>108</v>
      </c>
      <c r="AR738" s="1743" t="s">
        <v>87</v>
      </c>
      <c r="AS738" s="2135"/>
      <c r="AT738" s="2135"/>
      <c r="AU738" s="1212">
        <v>0.33333333333333331</v>
      </c>
      <c r="AV738" s="1212">
        <v>0.33333333333333331</v>
      </c>
      <c r="AW738" s="1212">
        <v>0.33333333333333331</v>
      </c>
      <c r="AX738" s="1212"/>
      <c r="AY738" s="1212"/>
      <c r="AZ738" s="1212"/>
      <c r="BA738" s="1212"/>
      <c r="BB738" s="1212"/>
      <c r="BC738" s="1212"/>
      <c r="BD738" s="1212"/>
      <c r="BE738" s="1212"/>
      <c r="BF738" s="2126">
        <v>0</v>
      </c>
      <c r="BG738" s="2126">
        <v>0</v>
      </c>
      <c r="BH738" s="2126">
        <v>641.5918999999999</v>
      </c>
      <c r="BI738" s="2126">
        <v>641.5918999999999</v>
      </c>
      <c r="BJ738" s="2126">
        <v>641.5918999999999</v>
      </c>
      <c r="BK738" s="2126">
        <v>0</v>
      </c>
      <c r="BL738" s="2126">
        <v>0</v>
      </c>
      <c r="BM738" s="2126">
        <v>0</v>
      </c>
      <c r="BN738" s="2126">
        <v>0</v>
      </c>
      <c r="BO738" s="2126">
        <v>0</v>
      </c>
      <c r="BP738" s="2126">
        <v>0</v>
      </c>
      <c r="BQ738" s="2126">
        <v>0</v>
      </c>
      <c r="BR738" s="2126">
        <v>0</v>
      </c>
    </row>
    <row r="739" spans="1:70" s="1765" customFormat="1" ht="49.5">
      <c r="A739" s="1272">
        <v>4000</v>
      </c>
      <c r="B739" s="971" t="s">
        <v>1316</v>
      </c>
      <c r="C739" s="1272">
        <v>4200</v>
      </c>
      <c r="D739" s="971" t="s">
        <v>1394</v>
      </c>
      <c r="E739" s="971" t="s">
        <v>1438</v>
      </c>
      <c r="F739" s="971" t="s">
        <v>1439</v>
      </c>
      <c r="G739" s="971">
        <v>4281</v>
      </c>
      <c r="H739" s="971" t="s">
        <v>1441</v>
      </c>
      <c r="I739" s="1273" t="s">
        <v>1067</v>
      </c>
      <c r="J739" s="971" t="s">
        <v>124</v>
      </c>
      <c r="K739" s="971" t="s">
        <v>784</v>
      </c>
      <c r="L739" s="971" t="s">
        <v>2852</v>
      </c>
      <c r="M739" s="971" t="s">
        <v>214</v>
      </c>
      <c r="N739" s="971" t="s">
        <v>127</v>
      </c>
      <c r="O739" s="971" t="s">
        <v>215</v>
      </c>
      <c r="P739" s="971"/>
      <c r="Q739" s="971" t="s">
        <v>1459</v>
      </c>
      <c r="R739" s="1266" t="s">
        <v>1463</v>
      </c>
      <c r="S739" s="2106">
        <v>25</v>
      </c>
      <c r="T739" s="1266" t="s">
        <v>136</v>
      </c>
      <c r="U739" s="1742">
        <v>0.22416666666666665</v>
      </c>
      <c r="V739" s="1742">
        <v>2.8020833333333335</v>
      </c>
      <c r="W739" s="1742">
        <v>19.758049999999997</v>
      </c>
      <c r="X739" s="1742">
        <v>30.905858333333335</v>
      </c>
      <c r="Y739" s="2106">
        <v>53.46599166666666</v>
      </c>
      <c r="Z739" s="2106">
        <v>5.6041666666666661</v>
      </c>
      <c r="AA739" s="2106">
        <v>70.052083333333343</v>
      </c>
      <c r="AB739" s="2106">
        <v>493.95124999999996</v>
      </c>
      <c r="AC739" s="2106">
        <v>772.64645833333338</v>
      </c>
      <c r="AD739" s="1744">
        <v>1336.6497916666665</v>
      </c>
      <c r="AE739" s="2126">
        <v>1</v>
      </c>
      <c r="AF739" s="2126">
        <v>25</v>
      </c>
      <c r="AG739" s="1212">
        <v>1</v>
      </c>
      <c r="AH739" s="1212">
        <v>0</v>
      </c>
      <c r="AI739" s="1212">
        <v>0</v>
      </c>
      <c r="AJ739" s="1212">
        <v>1</v>
      </c>
      <c r="AK739" s="2126">
        <v>1336.6497916666665</v>
      </c>
      <c r="AL739" s="2126">
        <v>0</v>
      </c>
      <c r="AM739" s="2126">
        <v>0</v>
      </c>
      <c r="AN739" s="2126">
        <v>1336.6497916666665</v>
      </c>
      <c r="AO739" s="1743" t="s">
        <v>85</v>
      </c>
      <c r="AP739" s="1743" t="s">
        <v>90</v>
      </c>
      <c r="AQ739" s="1764" t="s">
        <v>108</v>
      </c>
      <c r="AR739" s="1743" t="s">
        <v>87</v>
      </c>
      <c r="AS739" s="2135"/>
      <c r="AT739" s="2135"/>
      <c r="AU739" s="1212">
        <v>0.33333333333333331</v>
      </c>
      <c r="AV739" s="1212">
        <v>0.33333333333333331</v>
      </c>
      <c r="AW739" s="1212">
        <v>0.33333333333333331</v>
      </c>
      <c r="AX739" s="1212"/>
      <c r="AY739" s="1212"/>
      <c r="AZ739" s="1212"/>
      <c r="BA739" s="1212"/>
      <c r="BB739" s="1212"/>
      <c r="BC739" s="1212"/>
      <c r="BD739" s="1212"/>
      <c r="BE739" s="1212"/>
      <c r="BF739" s="2126">
        <v>0</v>
      </c>
      <c r="BG739" s="2126">
        <v>0</v>
      </c>
      <c r="BH739" s="2126">
        <v>445.54993055555548</v>
      </c>
      <c r="BI739" s="2126">
        <v>445.54993055555548</v>
      </c>
      <c r="BJ739" s="2126">
        <v>445.54993055555548</v>
      </c>
      <c r="BK739" s="2126">
        <v>0</v>
      </c>
      <c r="BL739" s="2126">
        <v>0</v>
      </c>
      <c r="BM739" s="2126">
        <v>0</v>
      </c>
      <c r="BN739" s="2126">
        <v>0</v>
      </c>
      <c r="BO739" s="2126">
        <v>0</v>
      </c>
      <c r="BP739" s="2126">
        <v>0</v>
      </c>
      <c r="BQ739" s="2126">
        <v>0</v>
      </c>
      <c r="BR739" s="2126">
        <v>0</v>
      </c>
    </row>
    <row r="740" spans="1:70" s="1765" customFormat="1" ht="33">
      <c r="A740" s="1272">
        <v>4000</v>
      </c>
      <c r="B740" s="971" t="s">
        <v>1316</v>
      </c>
      <c r="C740" s="1272">
        <v>4200</v>
      </c>
      <c r="D740" s="971" t="s">
        <v>1394</v>
      </c>
      <c r="E740" s="971" t="s">
        <v>1438</v>
      </c>
      <c r="F740" s="971" t="s">
        <v>1439</v>
      </c>
      <c r="G740" s="971">
        <v>4281</v>
      </c>
      <c r="H740" s="971" t="s">
        <v>1441</v>
      </c>
      <c r="I740" s="1273" t="s">
        <v>1067</v>
      </c>
      <c r="J740" s="971" t="s">
        <v>124</v>
      </c>
      <c r="K740" s="971" t="s">
        <v>140</v>
      </c>
      <c r="L740" s="971" t="s">
        <v>2909</v>
      </c>
      <c r="M740" s="971" t="s">
        <v>140</v>
      </c>
      <c r="N740" s="971" t="s">
        <v>141</v>
      </c>
      <c r="O740" s="971" t="s">
        <v>142</v>
      </c>
      <c r="P740" s="971"/>
      <c r="Q740" s="971" t="s">
        <v>1464</v>
      </c>
      <c r="R740" s="1266" t="s">
        <v>1463</v>
      </c>
      <c r="S740" s="2106">
        <v>25</v>
      </c>
      <c r="T740" s="1266" t="s">
        <v>136</v>
      </c>
      <c r="U740" s="1742">
        <v>0</v>
      </c>
      <c r="V740" s="1742">
        <v>0</v>
      </c>
      <c r="W740" s="1742">
        <v>0</v>
      </c>
      <c r="X740" s="1742">
        <v>0</v>
      </c>
      <c r="Y740" s="2106">
        <v>0</v>
      </c>
      <c r="Z740" s="2106">
        <v>0</v>
      </c>
      <c r="AA740" s="2106">
        <v>0</v>
      </c>
      <c r="AB740" s="2106">
        <v>0</v>
      </c>
      <c r="AC740" s="2106">
        <v>0</v>
      </c>
      <c r="AD740" s="1744">
        <v>0</v>
      </c>
      <c r="AE740" s="2126">
        <v>0</v>
      </c>
      <c r="AF740" s="2126">
        <v>0</v>
      </c>
      <c r="AG740" s="1212">
        <v>1</v>
      </c>
      <c r="AH740" s="1212">
        <v>0</v>
      </c>
      <c r="AI740" s="1212">
        <v>0</v>
      </c>
      <c r="AJ740" s="1212">
        <v>1</v>
      </c>
      <c r="AK740" s="2126">
        <v>0</v>
      </c>
      <c r="AL740" s="2126">
        <v>0</v>
      </c>
      <c r="AM740" s="2126">
        <v>0</v>
      </c>
      <c r="AN740" s="2126">
        <v>0</v>
      </c>
      <c r="AO740" s="1743" t="s">
        <v>85</v>
      </c>
      <c r="AP740" s="1743" t="s">
        <v>90</v>
      </c>
      <c r="AQ740" s="1764" t="s">
        <v>108</v>
      </c>
      <c r="AR740" s="1743" t="s">
        <v>87</v>
      </c>
      <c r="AS740" s="2135"/>
      <c r="AT740" s="2135"/>
      <c r="AU740" s="1212">
        <v>0.33333333333333331</v>
      </c>
      <c r="AV740" s="1212">
        <v>0.33333333333333331</v>
      </c>
      <c r="AW740" s="1212">
        <v>0.33333333333333331</v>
      </c>
      <c r="AX740" s="1212"/>
      <c r="AY740" s="1212"/>
      <c r="AZ740" s="1212"/>
      <c r="BA740" s="1212"/>
      <c r="BB740" s="1212"/>
      <c r="BC740" s="1212"/>
      <c r="BD740" s="1212"/>
      <c r="BE740" s="1212"/>
      <c r="BF740" s="2126">
        <v>0</v>
      </c>
      <c r="BG740" s="2126">
        <v>0</v>
      </c>
      <c r="BH740" s="2126">
        <v>0</v>
      </c>
      <c r="BI740" s="2126">
        <v>0</v>
      </c>
      <c r="BJ740" s="2126">
        <v>0</v>
      </c>
      <c r="BK740" s="2126">
        <v>0</v>
      </c>
      <c r="BL740" s="2126">
        <v>0</v>
      </c>
      <c r="BM740" s="2126">
        <v>0</v>
      </c>
      <c r="BN740" s="2126">
        <v>0</v>
      </c>
      <c r="BO740" s="2126">
        <v>0</v>
      </c>
      <c r="BP740" s="2126">
        <v>0</v>
      </c>
      <c r="BQ740" s="2126">
        <v>0</v>
      </c>
      <c r="BR740" s="2126">
        <v>0</v>
      </c>
    </row>
    <row r="741" spans="1:70" s="1765" customFormat="1" ht="33">
      <c r="A741" s="1272">
        <v>4000</v>
      </c>
      <c r="B741" s="971" t="s">
        <v>1316</v>
      </c>
      <c r="C741" s="1272">
        <v>4200</v>
      </c>
      <c r="D741" s="971" t="s">
        <v>1394</v>
      </c>
      <c r="E741" s="971" t="s">
        <v>1438</v>
      </c>
      <c r="F741" s="971" t="s">
        <v>1439</v>
      </c>
      <c r="G741" s="971">
        <v>4281</v>
      </c>
      <c r="H741" s="971" t="s">
        <v>1441</v>
      </c>
      <c r="I741" s="1273" t="s">
        <v>1067</v>
      </c>
      <c r="J741" s="971" t="s">
        <v>124</v>
      </c>
      <c r="K741" s="971"/>
      <c r="L741" s="971" t="e">
        <v>#N/A</v>
      </c>
      <c r="M741" s="971" t="s">
        <v>145</v>
      </c>
      <c r="N741" s="971" t="s">
        <v>141</v>
      </c>
      <c r="O741" s="971" t="s">
        <v>146</v>
      </c>
      <c r="P741" s="971"/>
      <c r="Q741" s="971" t="s">
        <v>1465</v>
      </c>
      <c r="R741" s="1266" t="s">
        <v>1463</v>
      </c>
      <c r="S741" s="2106">
        <v>25</v>
      </c>
      <c r="T741" s="1266" t="s">
        <v>136</v>
      </c>
      <c r="U741" s="1742" t="s">
        <v>6588</v>
      </c>
      <c r="V741" s="1742" t="s">
        <v>6588</v>
      </c>
      <c r="W741" s="1742" t="s">
        <v>6588</v>
      </c>
      <c r="X741" s="1742" t="s">
        <v>6588</v>
      </c>
      <c r="Y741" s="2106" t="s">
        <v>6588</v>
      </c>
      <c r="Z741" s="2106">
        <v>0</v>
      </c>
      <c r="AA741" s="2106">
        <v>0</v>
      </c>
      <c r="AB741" s="2106">
        <v>0</v>
      </c>
      <c r="AC741" s="2106">
        <v>0</v>
      </c>
      <c r="AD741" s="1744">
        <v>0</v>
      </c>
      <c r="AE741" s="2126">
        <v>0</v>
      </c>
      <c r="AF741" s="2126">
        <v>0</v>
      </c>
      <c r="AG741" s="1212">
        <v>1</v>
      </c>
      <c r="AH741" s="1212">
        <v>0</v>
      </c>
      <c r="AI741" s="1212">
        <v>0</v>
      </c>
      <c r="AJ741" s="1212">
        <v>1</v>
      </c>
      <c r="AK741" s="2126">
        <v>0</v>
      </c>
      <c r="AL741" s="2126">
        <v>0</v>
      </c>
      <c r="AM741" s="2126">
        <v>0</v>
      </c>
      <c r="AN741" s="2126">
        <v>0</v>
      </c>
      <c r="AO741" s="1743" t="s">
        <v>85</v>
      </c>
      <c r="AP741" s="1743" t="s">
        <v>90</v>
      </c>
      <c r="AQ741" s="1764" t="s">
        <v>108</v>
      </c>
      <c r="AR741" s="1743" t="s">
        <v>87</v>
      </c>
      <c r="AS741" s="2135"/>
      <c r="AT741" s="2135"/>
      <c r="AU741" s="1212">
        <v>0.33333333333333331</v>
      </c>
      <c r="AV741" s="1212">
        <v>0.33333333333333331</v>
      </c>
      <c r="AW741" s="1212">
        <v>0.33333333333333331</v>
      </c>
      <c r="AX741" s="1212"/>
      <c r="AY741" s="1212"/>
      <c r="AZ741" s="1212"/>
      <c r="BA741" s="1212"/>
      <c r="BB741" s="1212"/>
      <c r="BC741" s="1212"/>
      <c r="BD741" s="1212"/>
      <c r="BE741" s="1212"/>
      <c r="BF741" s="2126">
        <v>0</v>
      </c>
      <c r="BG741" s="2126">
        <v>0</v>
      </c>
      <c r="BH741" s="2126">
        <v>0</v>
      </c>
      <c r="BI741" s="2126">
        <v>0</v>
      </c>
      <c r="BJ741" s="2126">
        <v>0</v>
      </c>
      <c r="BK741" s="2126">
        <v>0</v>
      </c>
      <c r="BL741" s="2126">
        <v>0</v>
      </c>
      <c r="BM741" s="2126">
        <v>0</v>
      </c>
      <c r="BN741" s="2126">
        <v>0</v>
      </c>
      <c r="BO741" s="2126">
        <v>0</v>
      </c>
      <c r="BP741" s="2126">
        <v>0</v>
      </c>
      <c r="BQ741" s="2126">
        <v>0</v>
      </c>
      <c r="BR741" s="2126">
        <v>0</v>
      </c>
    </row>
    <row r="742" spans="1:70" s="1765" customFormat="1" ht="33">
      <c r="A742" s="1272">
        <v>4000</v>
      </c>
      <c r="B742" s="971" t="s">
        <v>1316</v>
      </c>
      <c r="C742" s="1272">
        <v>4200</v>
      </c>
      <c r="D742" s="971" t="s">
        <v>1394</v>
      </c>
      <c r="E742" s="971" t="s">
        <v>1438</v>
      </c>
      <c r="F742" s="971" t="s">
        <v>1439</v>
      </c>
      <c r="G742" s="971">
        <v>4281</v>
      </c>
      <c r="H742" s="971" t="s">
        <v>1441</v>
      </c>
      <c r="I742" s="1273" t="s">
        <v>1067</v>
      </c>
      <c r="J742" s="971" t="s">
        <v>124</v>
      </c>
      <c r="K742" s="971" t="s">
        <v>140</v>
      </c>
      <c r="L742" s="971" t="s">
        <v>2909</v>
      </c>
      <c r="M742" s="971" t="s">
        <v>140</v>
      </c>
      <c r="N742" s="971" t="s">
        <v>141</v>
      </c>
      <c r="O742" s="971" t="s">
        <v>142</v>
      </c>
      <c r="P742" s="971"/>
      <c r="Q742" s="971" t="s">
        <v>1464</v>
      </c>
      <c r="R742" s="1266" t="s">
        <v>1462</v>
      </c>
      <c r="S742" s="2106">
        <v>36</v>
      </c>
      <c r="T742" s="1266" t="s">
        <v>136</v>
      </c>
      <c r="U742" s="1742">
        <v>0</v>
      </c>
      <c r="V742" s="1742">
        <v>0</v>
      </c>
      <c r="W742" s="1742">
        <v>0</v>
      </c>
      <c r="X742" s="1742">
        <v>0</v>
      </c>
      <c r="Y742" s="2106">
        <v>0</v>
      </c>
      <c r="Z742" s="2106">
        <v>0</v>
      </c>
      <c r="AA742" s="2106">
        <v>0</v>
      </c>
      <c r="AB742" s="2106">
        <v>0</v>
      </c>
      <c r="AC742" s="2106">
        <v>0</v>
      </c>
      <c r="AD742" s="1744">
        <v>0</v>
      </c>
      <c r="AE742" s="2126">
        <v>0</v>
      </c>
      <c r="AF742" s="2126">
        <v>0</v>
      </c>
      <c r="AG742" s="1212">
        <v>1</v>
      </c>
      <c r="AH742" s="1212">
        <v>0</v>
      </c>
      <c r="AI742" s="1212">
        <v>0</v>
      </c>
      <c r="AJ742" s="1212">
        <v>1</v>
      </c>
      <c r="AK742" s="2126">
        <v>0</v>
      </c>
      <c r="AL742" s="2126">
        <v>0</v>
      </c>
      <c r="AM742" s="2126">
        <v>0</v>
      </c>
      <c r="AN742" s="2126">
        <v>0</v>
      </c>
      <c r="AO742" s="1743" t="s">
        <v>85</v>
      </c>
      <c r="AP742" s="1743" t="s">
        <v>90</v>
      </c>
      <c r="AQ742" s="1764" t="s">
        <v>108</v>
      </c>
      <c r="AR742" s="1743" t="s">
        <v>87</v>
      </c>
      <c r="AS742" s="2135"/>
      <c r="AT742" s="2135"/>
      <c r="AU742" s="1212">
        <v>0.33333333333333331</v>
      </c>
      <c r="AV742" s="1212">
        <v>0.33333333333333331</v>
      </c>
      <c r="AW742" s="1212">
        <v>0.33333333333333331</v>
      </c>
      <c r="AX742" s="1212"/>
      <c r="AY742" s="1212"/>
      <c r="AZ742" s="1212"/>
      <c r="BA742" s="1212"/>
      <c r="BB742" s="1212"/>
      <c r="BC742" s="1212"/>
      <c r="BD742" s="1212"/>
      <c r="BE742" s="1212"/>
      <c r="BF742" s="2126">
        <v>0</v>
      </c>
      <c r="BG742" s="2126">
        <v>0</v>
      </c>
      <c r="BH742" s="2126">
        <v>0</v>
      </c>
      <c r="BI742" s="2126">
        <v>0</v>
      </c>
      <c r="BJ742" s="2126">
        <v>0</v>
      </c>
      <c r="BK742" s="2126">
        <v>0</v>
      </c>
      <c r="BL742" s="2126">
        <v>0</v>
      </c>
      <c r="BM742" s="2126">
        <v>0</v>
      </c>
      <c r="BN742" s="2126">
        <v>0</v>
      </c>
      <c r="BO742" s="2126">
        <v>0</v>
      </c>
      <c r="BP742" s="2126">
        <v>0</v>
      </c>
      <c r="BQ742" s="2126">
        <v>0</v>
      </c>
      <c r="BR742" s="2126">
        <v>0</v>
      </c>
    </row>
    <row r="743" spans="1:70" s="1765" customFormat="1" ht="33">
      <c r="A743" s="1272">
        <v>4000</v>
      </c>
      <c r="B743" s="971" t="s">
        <v>1316</v>
      </c>
      <c r="C743" s="1272">
        <v>4200</v>
      </c>
      <c r="D743" s="971" t="s">
        <v>1394</v>
      </c>
      <c r="E743" s="971" t="s">
        <v>1438</v>
      </c>
      <c r="F743" s="971" t="s">
        <v>1439</v>
      </c>
      <c r="G743" s="971">
        <v>4281</v>
      </c>
      <c r="H743" s="971" t="s">
        <v>1441</v>
      </c>
      <c r="I743" s="1273" t="s">
        <v>1067</v>
      </c>
      <c r="J743" s="971" t="s">
        <v>124</v>
      </c>
      <c r="K743" s="971"/>
      <c r="L743" s="971" t="e">
        <v>#N/A</v>
      </c>
      <c r="M743" s="971" t="s">
        <v>145</v>
      </c>
      <c r="N743" s="971" t="s">
        <v>141</v>
      </c>
      <c r="O743" s="971" t="s">
        <v>146</v>
      </c>
      <c r="P743" s="971"/>
      <c r="Q743" s="971" t="s">
        <v>1465</v>
      </c>
      <c r="R743" s="1266" t="s">
        <v>1462</v>
      </c>
      <c r="S743" s="2106">
        <v>36</v>
      </c>
      <c r="T743" s="1266" t="s">
        <v>136</v>
      </c>
      <c r="U743" s="1742" t="s">
        <v>6588</v>
      </c>
      <c r="V743" s="1742" t="s">
        <v>6588</v>
      </c>
      <c r="W743" s="1742" t="s">
        <v>6588</v>
      </c>
      <c r="X743" s="1742" t="s">
        <v>6588</v>
      </c>
      <c r="Y743" s="2106" t="s">
        <v>6588</v>
      </c>
      <c r="Z743" s="2106">
        <v>0</v>
      </c>
      <c r="AA743" s="2106">
        <v>0</v>
      </c>
      <c r="AB743" s="2106">
        <v>0</v>
      </c>
      <c r="AC743" s="2106">
        <v>0</v>
      </c>
      <c r="AD743" s="1744">
        <v>0</v>
      </c>
      <c r="AE743" s="2126">
        <v>0</v>
      </c>
      <c r="AF743" s="2126">
        <v>0</v>
      </c>
      <c r="AG743" s="1212">
        <v>1</v>
      </c>
      <c r="AH743" s="1212">
        <v>0</v>
      </c>
      <c r="AI743" s="1212">
        <v>0</v>
      </c>
      <c r="AJ743" s="1212">
        <v>1</v>
      </c>
      <c r="AK743" s="2126">
        <v>0</v>
      </c>
      <c r="AL743" s="2126">
        <v>0</v>
      </c>
      <c r="AM743" s="2126">
        <v>0</v>
      </c>
      <c r="AN743" s="2126">
        <v>0</v>
      </c>
      <c r="AO743" s="1743" t="s">
        <v>85</v>
      </c>
      <c r="AP743" s="1743" t="s">
        <v>90</v>
      </c>
      <c r="AQ743" s="1764" t="s">
        <v>108</v>
      </c>
      <c r="AR743" s="1743" t="s">
        <v>87</v>
      </c>
      <c r="AS743" s="2135"/>
      <c r="AT743" s="2135"/>
      <c r="AU743" s="1212">
        <v>0.33333333333333331</v>
      </c>
      <c r="AV743" s="1212">
        <v>0.33333333333333331</v>
      </c>
      <c r="AW743" s="1212">
        <v>0.33333333333333331</v>
      </c>
      <c r="AX743" s="1212"/>
      <c r="AY743" s="1212"/>
      <c r="AZ743" s="1212"/>
      <c r="BA743" s="1212"/>
      <c r="BB743" s="1212"/>
      <c r="BC743" s="1212"/>
      <c r="BD743" s="1212"/>
      <c r="BE743" s="1212"/>
      <c r="BF743" s="2126">
        <v>0</v>
      </c>
      <c r="BG743" s="2126">
        <v>0</v>
      </c>
      <c r="BH743" s="2126">
        <v>0</v>
      </c>
      <c r="BI743" s="2126">
        <v>0</v>
      </c>
      <c r="BJ743" s="2126">
        <v>0</v>
      </c>
      <c r="BK743" s="2126">
        <v>0</v>
      </c>
      <c r="BL743" s="2126">
        <v>0</v>
      </c>
      <c r="BM743" s="2126">
        <v>0</v>
      </c>
      <c r="BN743" s="2126">
        <v>0</v>
      </c>
      <c r="BO743" s="2126">
        <v>0</v>
      </c>
      <c r="BP743" s="2126">
        <v>0</v>
      </c>
      <c r="BQ743" s="2126">
        <v>0</v>
      </c>
      <c r="BR743" s="2126">
        <v>0</v>
      </c>
    </row>
    <row r="744" spans="1:70" s="1765" customFormat="1" ht="33">
      <c r="A744" s="1272">
        <v>4000</v>
      </c>
      <c r="B744" s="971" t="s">
        <v>1316</v>
      </c>
      <c r="C744" s="1272">
        <v>4200</v>
      </c>
      <c r="D744" s="971" t="s">
        <v>1394</v>
      </c>
      <c r="E744" s="971" t="s">
        <v>1438</v>
      </c>
      <c r="F744" s="971" t="s">
        <v>1439</v>
      </c>
      <c r="G744" s="971">
        <v>4281</v>
      </c>
      <c r="H744" s="971" t="s">
        <v>1441</v>
      </c>
      <c r="I744" s="1273" t="s">
        <v>1067</v>
      </c>
      <c r="J744" s="971" t="s">
        <v>124</v>
      </c>
      <c r="K744" s="971" t="s">
        <v>140</v>
      </c>
      <c r="L744" s="971" t="s">
        <v>2909</v>
      </c>
      <c r="M744" s="971" t="s">
        <v>140</v>
      </c>
      <c r="N744" s="971" t="s">
        <v>141</v>
      </c>
      <c r="O744" s="971" t="s">
        <v>142</v>
      </c>
      <c r="P744" s="971"/>
      <c r="Q744" s="971" t="s">
        <v>1464</v>
      </c>
      <c r="R744" s="1266" t="s">
        <v>1461</v>
      </c>
      <c r="S744" s="2106">
        <v>54</v>
      </c>
      <c r="T744" s="1266" t="s">
        <v>136</v>
      </c>
      <c r="U744" s="1742">
        <v>0</v>
      </c>
      <c r="V744" s="1742">
        <v>0</v>
      </c>
      <c r="W744" s="1742">
        <v>0</v>
      </c>
      <c r="X744" s="1742">
        <v>0</v>
      </c>
      <c r="Y744" s="2106">
        <v>0</v>
      </c>
      <c r="Z744" s="2106">
        <v>0</v>
      </c>
      <c r="AA744" s="2106">
        <v>0</v>
      </c>
      <c r="AB744" s="2106">
        <v>0</v>
      </c>
      <c r="AC744" s="2106">
        <v>0</v>
      </c>
      <c r="AD744" s="1744">
        <v>0</v>
      </c>
      <c r="AE744" s="2126">
        <v>0</v>
      </c>
      <c r="AF744" s="2126">
        <v>0</v>
      </c>
      <c r="AG744" s="1212">
        <v>1</v>
      </c>
      <c r="AH744" s="1212">
        <v>0</v>
      </c>
      <c r="AI744" s="1212">
        <v>0</v>
      </c>
      <c r="AJ744" s="1212">
        <v>1</v>
      </c>
      <c r="AK744" s="2126">
        <v>0</v>
      </c>
      <c r="AL744" s="2126">
        <v>0</v>
      </c>
      <c r="AM744" s="2126">
        <v>0</v>
      </c>
      <c r="AN744" s="2126">
        <v>0</v>
      </c>
      <c r="AO744" s="1743" t="s">
        <v>85</v>
      </c>
      <c r="AP744" s="1743" t="s">
        <v>90</v>
      </c>
      <c r="AQ744" s="1764" t="s">
        <v>108</v>
      </c>
      <c r="AR744" s="1743" t="s">
        <v>87</v>
      </c>
      <c r="AS744" s="2135"/>
      <c r="AT744" s="2135"/>
      <c r="AU744" s="1212">
        <v>0.33333333333333331</v>
      </c>
      <c r="AV744" s="1212">
        <v>0.33333333333333331</v>
      </c>
      <c r="AW744" s="1212">
        <v>0.33333333333333331</v>
      </c>
      <c r="AX744" s="1212"/>
      <c r="AY744" s="1212"/>
      <c r="AZ744" s="1212"/>
      <c r="BA744" s="1212"/>
      <c r="BB744" s="1212"/>
      <c r="BC744" s="1212"/>
      <c r="BD744" s="1212"/>
      <c r="BE744" s="1212"/>
      <c r="BF744" s="2126">
        <v>0</v>
      </c>
      <c r="BG744" s="2126">
        <v>0</v>
      </c>
      <c r="BH744" s="2126">
        <v>0</v>
      </c>
      <c r="BI744" s="2126">
        <v>0</v>
      </c>
      <c r="BJ744" s="2126">
        <v>0</v>
      </c>
      <c r="BK744" s="2126">
        <v>0</v>
      </c>
      <c r="BL744" s="2126">
        <v>0</v>
      </c>
      <c r="BM744" s="2126">
        <v>0</v>
      </c>
      <c r="BN744" s="2126">
        <v>0</v>
      </c>
      <c r="BO744" s="2126">
        <v>0</v>
      </c>
      <c r="BP744" s="2126">
        <v>0</v>
      </c>
      <c r="BQ744" s="2126">
        <v>0</v>
      </c>
      <c r="BR744" s="2126">
        <v>0</v>
      </c>
    </row>
    <row r="745" spans="1:70" s="1765" customFormat="1" ht="33">
      <c r="A745" s="1272">
        <v>4000</v>
      </c>
      <c r="B745" s="971" t="s">
        <v>1316</v>
      </c>
      <c r="C745" s="1272">
        <v>4200</v>
      </c>
      <c r="D745" s="971" t="s">
        <v>1394</v>
      </c>
      <c r="E745" s="971" t="s">
        <v>1438</v>
      </c>
      <c r="F745" s="971" t="s">
        <v>1439</v>
      </c>
      <c r="G745" s="971">
        <v>4281</v>
      </c>
      <c r="H745" s="971" t="s">
        <v>1441</v>
      </c>
      <c r="I745" s="1273" t="s">
        <v>1067</v>
      </c>
      <c r="J745" s="971" t="s">
        <v>124</v>
      </c>
      <c r="K745" s="971"/>
      <c r="L745" s="971" t="e">
        <v>#N/A</v>
      </c>
      <c r="M745" s="971" t="s">
        <v>145</v>
      </c>
      <c r="N745" s="971" t="s">
        <v>141</v>
      </c>
      <c r="O745" s="971" t="s">
        <v>146</v>
      </c>
      <c r="P745" s="971"/>
      <c r="Q745" s="971" t="s">
        <v>1465</v>
      </c>
      <c r="R745" s="1266" t="s">
        <v>1461</v>
      </c>
      <c r="S745" s="2106">
        <v>54</v>
      </c>
      <c r="T745" s="1266" t="s">
        <v>136</v>
      </c>
      <c r="U745" s="1742" t="s">
        <v>6588</v>
      </c>
      <c r="V745" s="1742" t="s">
        <v>6588</v>
      </c>
      <c r="W745" s="1742" t="s">
        <v>6588</v>
      </c>
      <c r="X745" s="1742" t="s">
        <v>6588</v>
      </c>
      <c r="Y745" s="2106" t="s">
        <v>6588</v>
      </c>
      <c r="Z745" s="2106">
        <v>0</v>
      </c>
      <c r="AA745" s="2106">
        <v>0</v>
      </c>
      <c r="AB745" s="2106">
        <v>0</v>
      </c>
      <c r="AC745" s="2106">
        <v>0</v>
      </c>
      <c r="AD745" s="1744">
        <v>0</v>
      </c>
      <c r="AE745" s="2126">
        <v>0</v>
      </c>
      <c r="AF745" s="2126">
        <v>0</v>
      </c>
      <c r="AG745" s="1212">
        <v>1</v>
      </c>
      <c r="AH745" s="1212">
        <v>0</v>
      </c>
      <c r="AI745" s="1212">
        <v>0</v>
      </c>
      <c r="AJ745" s="1212">
        <v>1</v>
      </c>
      <c r="AK745" s="2126">
        <v>0</v>
      </c>
      <c r="AL745" s="2126">
        <v>0</v>
      </c>
      <c r="AM745" s="2126">
        <v>0</v>
      </c>
      <c r="AN745" s="2126">
        <v>0</v>
      </c>
      <c r="AO745" s="1743" t="s">
        <v>85</v>
      </c>
      <c r="AP745" s="1743" t="s">
        <v>90</v>
      </c>
      <c r="AQ745" s="1764" t="s">
        <v>108</v>
      </c>
      <c r="AR745" s="1743" t="s">
        <v>87</v>
      </c>
      <c r="AS745" s="2135"/>
      <c r="AT745" s="2135"/>
      <c r="AU745" s="1212">
        <v>0.33333333333333331</v>
      </c>
      <c r="AV745" s="1212">
        <v>0.33333333333333331</v>
      </c>
      <c r="AW745" s="1212">
        <v>0.33333333333333331</v>
      </c>
      <c r="AX745" s="1212"/>
      <c r="AY745" s="1212"/>
      <c r="AZ745" s="1212"/>
      <c r="BA745" s="1212"/>
      <c r="BB745" s="1212"/>
      <c r="BC745" s="1212"/>
      <c r="BD745" s="1212"/>
      <c r="BE745" s="1212"/>
      <c r="BF745" s="2126">
        <v>0</v>
      </c>
      <c r="BG745" s="2126">
        <v>0</v>
      </c>
      <c r="BH745" s="2126">
        <v>0</v>
      </c>
      <c r="BI745" s="2126">
        <v>0</v>
      </c>
      <c r="BJ745" s="2126">
        <v>0</v>
      </c>
      <c r="BK745" s="2126">
        <v>0</v>
      </c>
      <c r="BL745" s="2126">
        <v>0</v>
      </c>
      <c r="BM745" s="2126">
        <v>0</v>
      </c>
      <c r="BN745" s="2126">
        <v>0</v>
      </c>
      <c r="BO745" s="2126">
        <v>0</v>
      </c>
      <c r="BP745" s="2126">
        <v>0</v>
      </c>
      <c r="BQ745" s="2126">
        <v>0</v>
      </c>
      <c r="BR745" s="2126">
        <v>0</v>
      </c>
    </row>
    <row r="746" spans="1:70" s="1765" customFormat="1" ht="33">
      <c r="A746" s="1272">
        <v>4000</v>
      </c>
      <c r="B746" s="971" t="s">
        <v>1316</v>
      </c>
      <c r="C746" s="1272">
        <v>4200</v>
      </c>
      <c r="D746" s="971" t="s">
        <v>1394</v>
      </c>
      <c r="E746" s="971" t="s">
        <v>1438</v>
      </c>
      <c r="F746" s="971" t="s">
        <v>1439</v>
      </c>
      <c r="G746" s="971">
        <v>4281</v>
      </c>
      <c r="H746" s="971" t="s">
        <v>1441</v>
      </c>
      <c r="I746" s="1273" t="s">
        <v>1067</v>
      </c>
      <c r="J746" s="971" t="s">
        <v>124</v>
      </c>
      <c r="K746" s="971" t="s">
        <v>140</v>
      </c>
      <c r="L746" s="971" t="s">
        <v>2909</v>
      </c>
      <c r="M746" s="971" t="s">
        <v>140</v>
      </c>
      <c r="N746" s="971" t="s">
        <v>141</v>
      </c>
      <c r="O746" s="971" t="s">
        <v>142</v>
      </c>
      <c r="P746" s="971"/>
      <c r="Q746" s="971" t="s">
        <v>1464</v>
      </c>
      <c r="R746" s="1266" t="s">
        <v>1460</v>
      </c>
      <c r="S746" s="2106">
        <v>72</v>
      </c>
      <c r="T746" s="1266" t="s">
        <v>136</v>
      </c>
      <c r="U746" s="1742">
        <v>0</v>
      </c>
      <c r="V746" s="1742">
        <v>0</v>
      </c>
      <c r="W746" s="1742">
        <v>0</v>
      </c>
      <c r="X746" s="1742">
        <v>0</v>
      </c>
      <c r="Y746" s="2106">
        <v>0</v>
      </c>
      <c r="Z746" s="2106">
        <v>0</v>
      </c>
      <c r="AA746" s="2106">
        <v>0</v>
      </c>
      <c r="AB746" s="2106">
        <v>0</v>
      </c>
      <c r="AC746" s="2106">
        <v>0</v>
      </c>
      <c r="AD746" s="1744">
        <v>0</v>
      </c>
      <c r="AE746" s="2126">
        <v>0</v>
      </c>
      <c r="AF746" s="2126">
        <v>0</v>
      </c>
      <c r="AG746" s="1212">
        <v>1</v>
      </c>
      <c r="AH746" s="1212">
        <v>0</v>
      </c>
      <c r="AI746" s="1212">
        <v>0</v>
      </c>
      <c r="AJ746" s="1212">
        <v>1</v>
      </c>
      <c r="AK746" s="2126">
        <v>0</v>
      </c>
      <c r="AL746" s="2126">
        <v>0</v>
      </c>
      <c r="AM746" s="2126">
        <v>0</v>
      </c>
      <c r="AN746" s="2126">
        <v>0</v>
      </c>
      <c r="AO746" s="1743" t="s">
        <v>85</v>
      </c>
      <c r="AP746" s="1743" t="s">
        <v>90</v>
      </c>
      <c r="AQ746" s="1764" t="s">
        <v>108</v>
      </c>
      <c r="AR746" s="1743" t="s">
        <v>87</v>
      </c>
      <c r="AS746" s="2135"/>
      <c r="AT746" s="2135"/>
      <c r="AU746" s="1212">
        <v>0.33333333333333331</v>
      </c>
      <c r="AV746" s="1212">
        <v>0.33333333333333331</v>
      </c>
      <c r="AW746" s="1212">
        <v>0.33333333333333331</v>
      </c>
      <c r="AX746" s="1212"/>
      <c r="AY746" s="1212"/>
      <c r="AZ746" s="1212"/>
      <c r="BA746" s="1212"/>
      <c r="BB746" s="1212"/>
      <c r="BC746" s="1212"/>
      <c r="BD746" s="1212"/>
      <c r="BE746" s="1212"/>
      <c r="BF746" s="2126">
        <v>0</v>
      </c>
      <c r="BG746" s="2126">
        <v>0</v>
      </c>
      <c r="BH746" s="2126">
        <v>0</v>
      </c>
      <c r="BI746" s="2126">
        <v>0</v>
      </c>
      <c r="BJ746" s="2126">
        <v>0</v>
      </c>
      <c r="BK746" s="2126">
        <v>0</v>
      </c>
      <c r="BL746" s="2126">
        <v>0</v>
      </c>
      <c r="BM746" s="2126">
        <v>0</v>
      </c>
      <c r="BN746" s="2126">
        <v>0</v>
      </c>
      <c r="BO746" s="2126">
        <v>0</v>
      </c>
      <c r="BP746" s="2126">
        <v>0</v>
      </c>
      <c r="BQ746" s="2126">
        <v>0</v>
      </c>
      <c r="BR746" s="2126">
        <v>0</v>
      </c>
    </row>
    <row r="747" spans="1:70" s="1765" customFormat="1" ht="33">
      <c r="A747" s="1272">
        <v>4000</v>
      </c>
      <c r="B747" s="971" t="s">
        <v>1316</v>
      </c>
      <c r="C747" s="1272">
        <v>4200</v>
      </c>
      <c r="D747" s="971" t="s">
        <v>1394</v>
      </c>
      <c r="E747" s="971" t="s">
        <v>1438</v>
      </c>
      <c r="F747" s="971" t="s">
        <v>1439</v>
      </c>
      <c r="G747" s="971">
        <v>4281</v>
      </c>
      <c r="H747" s="971" t="s">
        <v>1441</v>
      </c>
      <c r="I747" s="1273" t="s">
        <v>1067</v>
      </c>
      <c r="J747" s="971" t="s">
        <v>124</v>
      </c>
      <c r="K747" s="971"/>
      <c r="L747" s="971" t="e">
        <v>#N/A</v>
      </c>
      <c r="M747" s="971" t="s">
        <v>145</v>
      </c>
      <c r="N747" s="971" t="s">
        <v>141</v>
      </c>
      <c r="O747" s="971" t="s">
        <v>146</v>
      </c>
      <c r="P747" s="971"/>
      <c r="Q747" s="971" t="s">
        <v>1465</v>
      </c>
      <c r="R747" s="1266" t="s">
        <v>1460</v>
      </c>
      <c r="S747" s="2106">
        <v>72</v>
      </c>
      <c r="T747" s="1266" t="s">
        <v>136</v>
      </c>
      <c r="U747" s="1742" t="s">
        <v>6588</v>
      </c>
      <c r="V747" s="1742" t="s">
        <v>6588</v>
      </c>
      <c r="W747" s="1742" t="s">
        <v>6588</v>
      </c>
      <c r="X747" s="1742" t="s">
        <v>6588</v>
      </c>
      <c r="Y747" s="2106" t="s">
        <v>6588</v>
      </c>
      <c r="Z747" s="2106">
        <v>0</v>
      </c>
      <c r="AA747" s="2106">
        <v>0</v>
      </c>
      <c r="AB747" s="2106">
        <v>0</v>
      </c>
      <c r="AC747" s="2106">
        <v>0</v>
      </c>
      <c r="AD747" s="1744">
        <v>0</v>
      </c>
      <c r="AE747" s="2126">
        <v>0</v>
      </c>
      <c r="AF747" s="2126">
        <v>0</v>
      </c>
      <c r="AG747" s="1212">
        <v>1</v>
      </c>
      <c r="AH747" s="1212">
        <v>0</v>
      </c>
      <c r="AI747" s="1212">
        <v>0</v>
      </c>
      <c r="AJ747" s="1212">
        <v>1</v>
      </c>
      <c r="AK747" s="2126">
        <v>0</v>
      </c>
      <c r="AL747" s="2126">
        <v>0</v>
      </c>
      <c r="AM747" s="2126">
        <v>0</v>
      </c>
      <c r="AN747" s="2126">
        <v>0</v>
      </c>
      <c r="AO747" s="1743" t="s">
        <v>85</v>
      </c>
      <c r="AP747" s="1743" t="s">
        <v>90</v>
      </c>
      <c r="AQ747" s="1764" t="s">
        <v>108</v>
      </c>
      <c r="AR747" s="1743" t="s">
        <v>87</v>
      </c>
      <c r="AS747" s="2135"/>
      <c r="AT747" s="2135"/>
      <c r="AU747" s="1212">
        <v>0.33333333333333331</v>
      </c>
      <c r="AV747" s="1212">
        <v>0.33333333333333331</v>
      </c>
      <c r="AW747" s="1212">
        <v>0.33333333333333331</v>
      </c>
      <c r="AX747" s="1212"/>
      <c r="AY747" s="1212"/>
      <c r="AZ747" s="1212"/>
      <c r="BA747" s="1212"/>
      <c r="BB747" s="1212"/>
      <c r="BC747" s="1212"/>
      <c r="BD747" s="1212"/>
      <c r="BE747" s="1212"/>
      <c r="BF747" s="2126">
        <v>0</v>
      </c>
      <c r="BG747" s="2126">
        <v>0</v>
      </c>
      <c r="BH747" s="2126">
        <v>0</v>
      </c>
      <c r="BI747" s="2126">
        <v>0</v>
      </c>
      <c r="BJ747" s="2126">
        <v>0</v>
      </c>
      <c r="BK747" s="2126">
        <v>0</v>
      </c>
      <c r="BL747" s="2126">
        <v>0</v>
      </c>
      <c r="BM747" s="2126">
        <v>0</v>
      </c>
      <c r="BN747" s="2126">
        <v>0</v>
      </c>
      <c r="BO747" s="2126">
        <v>0</v>
      </c>
      <c r="BP747" s="2126">
        <v>0</v>
      </c>
      <c r="BQ747" s="2126">
        <v>0</v>
      </c>
      <c r="BR747" s="2126">
        <v>0</v>
      </c>
    </row>
    <row r="748" spans="1:70" s="1765" customFormat="1">
      <c r="A748" s="1802">
        <v>4000</v>
      </c>
      <c r="B748" s="1803" t="s">
        <v>1316</v>
      </c>
      <c r="C748" s="1802">
        <v>4300</v>
      </c>
      <c r="D748" s="1803" t="s">
        <v>222</v>
      </c>
      <c r="E748" s="1803"/>
      <c r="F748" s="1803"/>
      <c r="G748" s="1803"/>
      <c r="H748" s="1803"/>
      <c r="I748" s="1803"/>
      <c r="J748" s="1803" t="s">
        <v>121</v>
      </c>
      <c r="K748" s="1803"/>
      <c r="L748" s="1803"/>
      <c r="M748" s="1803"/>
      <c r="N748" s="1803"/>
      <c r="O748" s="1803"/>
      <c r="P748" s="1803"/>
      <c r="Q748" s="1803"/>
      <c r="R748" s="1774"/>
      <c r="S748" s="2107"/>
      <c r="T748" s="1774"/>
      <c r="U748" s="1776"/>
      <c r="V748" s="1776"/>
      <c r="W748" s="1776"/>
      <c r="X748" s="1776"/>
      <c r="Y748" s="2107"/>
      <c r="Z748" s="2107"/>
      <c r="AA748" s="2107"/>
      <c r="AB748" s="2107"/>
      <c r="AC748" s="2107"/>
      <c r="AD748" s="1775"/>
      <c r="AE748" s="2129"/>
      <c r="AF748" s="2129"/>
      <c r="AG748" s="1777"/>
      <c r="AH748" s="1777"/>
      <c r="AI748" s="1777"/>
      <c r="AJ748" s="1777"/>
      <c r="AK748" s="2127"/>
      <c r="AL748" s="2127"/>
      <c r="AM748" s="2127"/>
      <c r="AN748" s="2127"/>
      <c r="AO748" s="1775"/>
      <c r="AP748" s="1775"/>
      <c r="AQ748" s="1773"/>
      <c r="AR748" s="1775"/>
      <c r="AS748" s="1777"/>
      <c r="AT748" s="1777"/>
      <c r="AU748" s="1777"/>
      <c r="AV748" s="1777"/>
      <c r="AW748" s="1777"/>
      <c r="AX748" s="1777"/>
      <c r="AY748" s="1777"/>
      <c r="AZ748" s="1777"/>
      <c r="BA748" s="1777"/>
      <c r="BB748" s="1777"/>
      <c r="BC748" s="1777"/>
      <c r="BD748" s="1777"/>
      <c r="BE748" s="1777"/>
      <c r="BF748" s="2127"/>
      <c r="BG748" s="2127"/>
      <c r="BH748" s="2127"/>
      <c r="BI748" s="2127"/>
      <c r="BJ748" s="2127"/>
      <c r="BK748" s="2127"/>
      <c r="BL748" s="2127"/>
      <c r="BM748" s="2127"/>
      <c r="BN748" s="2127"/>
      <c r="BO748" s="2127"/>
      <c r="BP748" s="2127"/>
      <c r="BQ748" s="2127"/>
      <c r="BR748" s="2127"/>
    </row>
    <row r="749" spans="1:70" s="1765" customFormat="1" ht="33">
      <c r="A749" s="1272">
        <v>4000</v>
      </c>
      <c r="B749" s="971" t="s">
        <v>1316</v>
      </c>
      <c r="C749" s="1272">
        <v>4300</v>
      </c>
      <c r="D749" s="971" t="s">
        <v>222</v>
      </c>
      <c r="E749" s="971">
        <v>4380</v>
      </c>
      <c r="F749" s="971" t="s">
        <v>1466</v>
      </c>
      <c r="G749" s="971">
        <v>4381</v>
      </c>
      <c r="H749" s="971" t="s">
        <v>1467</v>
      </c>
      <c r="I749" s="1273"/>
      <c r="J749" s="971" t="s">
        <v>121</v>
      </c>
      <c r="K749" s="971" t="s">
        <v>150</v>
      </c>
      <c r="L749" s="971" t="s">
        <v>2800</v>
      </c>
      <c r="M749" s="971" t="s">
        <v>80</v>
      </c>
      <c r="N749" s="971" t="s">
        <v>83</v>
      </c>
      <c r="O749" s="971" t="s">
        <v>151</v>
      </c>
      <c r="P749" s="971" t="s">
        <v>152</v>
      </c>
      <c r="Q749" s="971" t="s">
        <v>1468</v>
      </c>
      <c r="R749" s="1266"/>
      <c r="S749" s="2106">
        <v>12000</v>
      </c>
      <c r="T749" s="1266" t="s">
        <v>136</v>
      </c>
      <c r="U749" s="1742">
        <v>1.2691883296460175E-2</v>
      </c>
      <c r="V749" s="1742">
        <v>0.14624999999999999</v>
      </c>
      <c r="W749" s="1742">
        <v>1.1186625937499999</v>
      </c>
      <c r="X749" s="1742">
        <v>0.4015178457754629</v>
      </c>
      <c r="Y749" s="2106">
        <v>1.6649423457754629</v>
      </c>
      <c r="Z749" s="2106">
        <v>152.30259955752211</v>
      </c>
      <c r="AA749" s="2106">
        <v>1755</v>
      </c>
      <c r="AB749" s="2106">
        <v>13423.951124999998</v>
      </c>
      <c r="AC749" s="2106">
        <v>4818.2141493055551</v>
      </c>
      <c r="AD749" s="1744">
        <v>19997.165274305553</v>
      </c>
      <c r="AE749" s="2126">
        <v>0</v>
      </c>
      <c r="AF749" s="2126">
        <v>0</v>
      </c>
      <c r="AG749" s="1212">
        <v>1</v>
      </c>
      <c r="AH749" s="1212">
        <v>0</v>
      </c>
      <c r="AI749" s="1212">
        <v>0</v>
      </c>
      <c r="AJ749" s="1212">
        <v>1</v>
      </c>
      <c r="AK749" s="2126">
        <v>19997.165274305553</v>
      </c>
      <c r="AL749" s="2126">
        <v>0</v>
      </c>
      <c r="AM749" s="2126">
        <v>0</v>
      </c>
      <c r="AN749" s="2126">
        <v>19997.165274305553</v>
      </c>
      <c r="AO749" s="1743" t="s">
        <v>85</v>
      </c>
      <c r="AP749" s="1743" t="s">
        <v>90</v>
      </c>
      <c r="AQ749" s="1764">
        <v>2019</v>
      </c>
      <c r="AR749" s="1743" t="s">
        <v>87</v>
      </c>
      <c r="AS749" s="2135"/>
      <c r="AT749" s="2135"/>
      <c r="AU749" s="1212">
        <v>0.33333333333333331</v>
      </c>
      <c r="AV749" s="1212">
        <v>0.33333333333333331</v>
      </c>
      <c r="AW749" s="1212">
        <v>0.33333333333333331</v>
      </c>
      <c r="AX749" s="1212"/>
      <c r="AY749" s="1212"/>
      <c r="AZ749" s="1212"/>
      <c r="BA749" s="1212"/>
      <c r="BB749" s="1212"/>
      <c r="BC749" s="1212"/>
      <c r="BD749" s="1212"/>
      <c r="BE749" s="1212"/>
      <c r="BF749" s="2126">
        <v>0</v>
      </c>
      <c r="BG749" s="2126">
        <v>0</v>
      </c>
      <c r="BH749" s="2126">
        <v>6665.7217581018504</v>
      </c>
      <c r="BI749" s="2126">
        <v>6665.7217581018504</v>
      </c>
      <c r="BJ749" s="2126">
        <v>6665.7217581018504</v>
      </c>
      <c r="BK749" s="2126">
        <v>0</v>
      </c>
      <c r="BL749" s="2126">
        <v>0</v>
      </c>
      <c r="BM749" s="2126">
        <v>0</v>
      </c>
      <c r="BN749" s="2126">
        <v>0</v>
      </c>
      <c r="BO749" s="2126">
        <v>0</v>
      </c>
      <c r="BP749" s="2126">
        <v>0</v>
      </c>
      <c r="BQ749" s="2126">
        <v>0</v>
      </c>
      <c r="BR749" s="2126">
        <v>0</v>
      </c>
    </row>
    <row r="750" spans="1:70" s="1765" customFormat="1" ht="33">
      <c r="A750" s="1272">
        <v>4000</v>
      </c>
      <c r="B750" s="971" t="s">
        <v>1316</v>
      </c>
      <c r="C750" s="1272">
        <v>4300</v>
      </c>
      <c r="D750" s="971" t="s">
        <v>222</v>
      </c>
      <c r="E750" s="971">
        <v>4380</v>
      </c>
      <c r="F750" s="971" t="s">
        <v>1466</v>
      </c>
      <c r="G750" s="971">
        <v>4381</v>
      </c>
      <c r="H750" s="971" t="s">
        <v>1467</v>
      </c>
      <c r="I750" s="1273"/>
      <c r="J750" s="971" t="s">
        <v>121</v>
      </c>
      <c r="K750" s="971" t="s">
        <v>150</v>
      </c>
      <c r="L750" s="971" t="s">
        <v>2800</v>
      </c>
      <c r="M750" s="971" t="s">
        <v>80</v>
      </c>
      <c r="N750" s="971" t="s">
        <v>83</v>
      </c>
      <c r="O750" s="971" t="s">
        <v>151</v>
      </c>
      <c r="P750" s="971" t="s">
        <v>152</v>
      </c>
      <c r="Q750" s="971" t="s">
        <v>1469</v>
      </c>
      <c r="R750" s="1266"/>
      <c r="S750" s="2106">
        <v>121021</v>
      </c>
      <c r="T750" s="1266" t="s">
        <v>136</v>
      </c>
      <c r="U750" s="1742">
        <v>1.2691883296460175E-2</v>
      </c>
      <c r="V750" s="1742">
        <v>0.14624999999999999</v>
      </c>
      <c r="W750" s="1742">
        <v>1.1186625937499999</v>
      </c>
      <c r="X750" s="1742">
        <v>0.4015178457754629</v>
      </c>
      <c r="Y750" s="2106">
        <v>1.6649423457754629</v>
      </c>
      <c r="Z750" s="2106">
        <v>1535.9844084209069</v>
      </c>
      <c r="AA750" s="2106">
        <v>17699.321249999997</v>
      </c>
      <c r="AB750" s="2106">
        <v>135381.66575821873</v>
      </c>
      <c r="AC750" s="2106">
        <v>48592.091213592299</v>
      </c>
      <c r="AD750" s="1744">
        <v>201673.07822181104</v>
      </c>
      <c r="AE750" s="2126">
        <v>0</v>
      </c>
      <c r="AF750" s="2126">
        <v>0</v>
      </c>
      <c r="AG750" s="1212">
        <v>1</v>
      </c>
      <c r="AH750" s="1212">
        <v>0</v>
      </c>
      <c r="AI750" s="1212">
        <v>0</v>
      </c>
      <c r="AJ750" s="1212">
        <v>1</v>
      </c>
      <c r="AK750" s="2126">
        <v>201673.07822181104</v>
      </c>
      <c r="AL750" s="2126">
        <v>0</v>
      </c>
      <c r="AM750" s="2126">
        <v>0</v>
      </c>
      <c r="AN750" s="2126">
        <v>201673.07822181104</v>
      </c>
      <c r="AO750" s="1743" t="s">
        <v>85</v>
      </c>
      <c r="AP750" s="1743"/>
      <c r="AQ750" s="1764">
        <v>2014</v>
      </c>
      <c r="AR750" s="1743" t="s">
        <v>87</v>
      </c>
      <c r="AS750" s="2135"/>
      <c r="AT750" s="2135"/>
      <c r="AU750" s="1212">
        <v>0.33333333333333331</v>
      </c>
      <c r="AV750" s="1212">
        <v>0.33333333333333331</v>
      </c>
      <c r="AW750" s="1212">
        <v>0.33333333333333331</v>
      </c>
      <c r="AX750" s="1212"/>
      <c r="AY750" s="1212"/>
      <c r="AZ750" s="1212"/>
      <c r="BA750" s="1212"/>
      <c r="BB750" s="1212"/>
      <c r="BC750" s="1212"/>
      <c r="BD750" s="1212"/>
      <c r="BE750" s="1212"/>
      <c r="BF750" s="2126">
        <v>0</v>
      </c>
      <c r="BG750" s="2126">
        <v>0</v>
      </c>
      <c r="BH750" s="2126">
        <v>67224.359407270342</v>
      </c>
      <c r="BI750" s="2126">
        <v>67224.359407270342</v>
      </c>
      <c r="BJ750" s="2126">
        <v>67224.359407270342</v>
      </c>
      <c r="BK750" s="2126">
        <v>0</v>
      </c>
      <c r="BL750" s="2126">
        <v>0</v>
      </c>
      <c r="BM750" s="2126">
        <v>0</v>
      </c>
      <c r="BN750" s="2126">
        <v>0</v>
      </c>
      <c r="BO750" s="2126">
        <v>0</v>
      </c>
      <c r="BP750" s="2126">
        <v>0</v>
      </c>
      <c r="BQ750" s="2126">
        <v>0</v>
      </c>
      <c r="BR750" s="2126">
        <v>0</v>
      </c>
    </row>
    <row r="751" spans="1:70" s="1765" customFormat="1" ht="33">
      <c r="A751" s="1272">
        <v>4000</v>
      </c>
      <c r="B751" s="971" t="s">
        <v>1316</v>
      </c>
      <c r="C751" s="1272">
        <v>4300</v>
      </c>
      <c r="D751" s="971" t="s">
        <v>222</v>
      </c>
      <c r="E751" s="971">
        <v>4380</v>
      </c>
      <c r="F751" s="971" t="s">
        <v>1466</v>
      </c>
      <c r="G751" s="971">
        <v>4381</v>
      </c>
      <c r="H751" s="971" t="s">
        <v>1467</v>
      </c>
      <c r="I751" s="1273"/>
      <c r="J751" s="971" t="s">
        <v>121</v>
      </c>
      <c r="K751" s="971" t="s">
        <v>150</v>
      </c>
      <c r="L751" s="971" t="s">
        <v>2800</v>
      </c>
      <c r="M751" s="971" t="s">
        <v>80</v>
      </c>
      <c r="N751" s="971" t="s">
        <v>83</v>
      </c>
      <c r="O751" s="971" t="s">
        <v>151</v>
      </c>
      <c r="P751" s="971" t="s">
        <v>152</v>
      </c>
      <c r="Q751" s="971" t="s">
        <v>1470</v>
      </c>
      <c r="R751" s="1266"/>
      <c r="S751" s="2106">
        <v>5100.2299999999996</v>
      </c>
      <c r="T751" s="1266" t="s">
        <v>136</v>
      </c>
      <c r="U751" s="1742">
        <v>1.2691883296460175E-2</v>
      </c>
      <c r="V751" s="1742">
        <v>0.14624999999999999</v>
      </c>
      <c r="W751" s="1742">
        <v>1.1186625937499999</v>
      </c>
      <c r="X751" s="1742">
        <v>0.4015178457754629</v>
      </c>
      <c r="Y751" s="2106">
        <v>1.6649423457754629</v>
      </c>
      <c r="Z751" s="2106">
        <v>64.731523945105067</v>
      </c>
      <c r="AA751" s="2106">
        <v>745.90863749999994</v>
      </c>
      <c r="AB751" s="2106">
        <v>5705.4365205215618</v>
      </c>
      <c r="AC751" s="2106">
        <v>2047.8333625593889</v>
      </c>
      <c r="AD751" s="1744">
        <v>8499.1785205809501</v>
      </c>
      <c r="AE751" s="2126">
        <v>0</v>
      </c>
      <c r="AF751" s="2126">
        <v>0</v>
      </c>
      <c r="AG751" s="1212">
        <v>1</v>
      </c>
      <c r="AH751" s="1212">
        <v>0</v>
      </c>
      <c r="AI751" s="1212">
        <v>0</v>
      </c>
      <c r="AJ751" s="1212">
        <v>1</v>
      </c>
      <c r="AK751" s="2126">
        <v>8499.1785205809501</v>
      </c>
      <c r="AL751" s="2126">
        <v>0</v>
      </c>
      <c r="AM751" s="2126">
        <v>0</v>
      </c>
      <c r="AN751" s="2126">
        <v>8499.1785205809501</v>
      </c>
      <c r="AO751" s="1743" t="s">
        <v>85</v>
      </c>
      <c r="AP751" s="1743"/>
      <c r="AQ751" s="1764">
        <v>2014</v>
      </c>
      <c r="AR751" s="1743" t="s">
        <v>87</v>
      </c>
      <c r="AS751" s="2135"/>
      <c r="AT751" s="2135"/>
      <c r="AU751" s="1212">
        <v>0.33333333333333331</v>
      </c>
      <c r="AV751" s="1212">
        <v>0.33333333333333331</v>
      </c>
      <c r="AW751" s="1212">
        <v>0.33333333333333331</v>
      </c>
      <c r="AX751" s="1212"/>
      <c r="AY751" s="1212"/>
      <c r="AZ751" s="1212"/>
      <c r="BA751" s="1212"/>
      <c r="BB751" s="1212"/>
      <c r="BC751" s="1212"/>
      <c r="BD751" s="1212"/>
      <c r="BE751" s="1212"/>
      <c r="BF751" s="2126">
        <v>0</v>
      </c>
      <c r="BG751" s="2126">
        <v>0</v>
      </c>
      <c r="BH751" s="2126">
        <v>2833.0595068603166</v>
      </c>
      <c r="BI751" s="2126">
        <v>2833.0595068603166</v>
      </c>
      <c r="BJ751" s="2126">
        <v>2833.0595068603166</v>
      </c>
      <c r="BK751" s="2126">
        <v>0</v>
      </c>
      <c r="BL751" s="2126">
        <v>0</v>
      </c>
      <c r="BM751" s="2126">
        <v>0</v>
      </c>
      <c r="BN751" s="2126">
        <v>0</v>
      </c>
      <c r="BO751" s="2126">
        <v>0</v>
      </c>
      <c r="BP751" s="2126">
        <v>0</v>
      </c>
      <c r="BQ751" s="2126">
        <v>0</v>
      </c>
      <c r="BR751" s="2126">
        <v>0</v>
      </c>
    </row>
    <row r="752" spans="1:70" s="1765" customFormat="1" ht="49.5">
      <c r="A752" s="1272">
        <v>4000</v>
      </c>
      <c r="B752" s="971" t="s">
        <v>1316</v>
      </c>
      <c r="C752" s="1272">
        <v>4300</v>
      </c>
      <c r="D752" s="971" t="s">
        <v>222</v>
      </c>
      <c r="E752" s="971" t="s">
        <v>1471</v>
      </c>
      <c r="F752" s="971" t="s">
        <v>1466</v>
      </c>
      <c r="G752" s="971" t="s">
        <v>1472</v>
      </c>
      <c r="H752" s="971" t="s">
        <v>1467</v>
      </c>
      <c r="I752" s="1273" t="s">
        <v>1473</v>
      </c>
      <c r="J752" s="971" t="s">
        <v>124</v>
      </c>
      <c r="K752" s="971" t="s">
        <v>2857</v>
      </c>
      <c r="L752" s="971" t="s">
        <v>2858</v>
      </c>
      <c r="M752" s="971" t="s">
        <v>703</v>
      </c>
      <c r="N752" s="971" t="s">
        <v>488</v>
      </c>
      <c r="O752" s="971" t="s">
        <v>459</v>
      </c>
      <c r="P752" s="971"/>
      <c r="Q752" s="971" t="s">
        <v>1474</v>
      </c>
      <c r="R752" s="1266" t="s">
        <v>1475</v>
      </c>
      <c r="S752" s="2106">
        <v>39.405204460966544</v>
      </c>
      <c r="T752" s="1266" t="s">
        <v>136</v>
      </c>
      <c r="U752" s="1742">
        <v>0.56041666666666667</v>
      </c>
      <c r="V752" s="1742">
        <v>2.8020833333333335</v>
      </c>
      <c r="W752" s="1742">
        <v>49.395125</v>
      </c>
      <c r="X752" s="1742">
        <v>77.264645833333333</v>
      </c>
      <c r="Y752" s="2106">
        <v>129.46185416666665</v>
      </c>
      <c r="Z752" s="2106">
        <v>22.083333333333336</v>
      </c>
      <c r="AA752" s="2106">
        <v>110.41666666666667</v>
      </c>
      <c r="AB752" s="2106">
        <v>1946.4250000000002</v>
      </c>
      <c r="AC752" s="2106">
        <v>3044.6291666666666</v>
      </c>
      <c r="AD752" s="1744">
        <v>5101.4708333333328</v>
      </c>
      <c r="AE752" s="2126">
        <v>1</v>
      </c>
      <c r="AF752" s="2126">
        <v>39.405204460966544</v>
      </c>
      <c r="AG752" s="1212">
        <v>1</v>
      </c>
      <c r="AH752" s="1212">
        <v>0</v>
      </c>
      <c r="AI752" s="1212">
        <v>0</v>
      </c>
      <c r="AJ752" s="1212">
        <v>1</v>
      </c>
      <c r="AK752" s="2126">
        <v>5101.4708333333328</v>
      </c>
      <c r="AL752" s="2126">
        <v>0</v>
      </c>
      <c r="AM752" s="2126">
        <v>0</v>
      </c>
      <c r="AN752" s="2126">
        <v>5101.4708333333328</v>
      </c>
      <c r="AO752" s="1743" t="s">
        <v>85</v>
      </c>
      <c r="AP752" s="1743"/>
      <c r="AQ752" s="1764">
        <v>2014</v>
      </c>
      <c r="AR752" s="1743" t="s">
        <v>87</v>
      </c>
      <c r="AS752" s="2135"/>
      <c r="AT752" s="2135"/>
      <c r="AU752" s="1212">
        <v>0.33333333333333331</v>
      </c>
      <c r="AV752" s="1212">
        <v>0.33333333333333331</v>
      </c>
      <c r="AW752" s="1212">
        <v>0.33333333333333331</v>
      </c>
      <c r="AX752" s="1212"/>
      <c r="AY752" s="1212"/>
      <c r="AZ752" s="1212"/>
      <c r="BA752" s="1212"/>
      <c r="BB752" s="1212"/>
      <c r="BC752" s="1212"/>
      <c r="BD752" s="1212"/>
      <c r="BE752" s="1212"/>
      <c r="BF752" s="2126">
        <v>0</v>
      </c>
      <c r="BG752" s="2126">
        <v>0</v>
      </c>
      <c r="BH752" s="2126">
        <v>1700.4902777777775</v>
      </c>
      <c r="BI752" s="2126">
        <v>1700.4902777777775</v>
      </c>
      <c r="BJ752" s="2126">
        <v>1700.4902777777775</v>
      </c>
      <c r="BK752" s="2126">
        <v>0</v>
      </c>
      <c r="BL752" s="2126">
        <v>0</v>
      </c>
      <c r="BM752" s="2126">
        <v>0</v>
      </c>
      <c r="BN752" s="2126">
        <v>0</v>
      </c>
      <c r="BO752" s="2126">
        <v>0</v>
      </c>
      <c r="BP752" s="2126">
        <v>0</v>
      </c>
      <c r="BQ752" s="2126">
        <v>0</v>
      </c>
      <c r="BR752" s="2126">
        <v>0</v>
      </c>
    </row>
    <row r="753" spans="1:70" s="1765" customFormat="1" ht="49.5">
      <c r="A753" s="1272">
        <v>4000</v>
      </c>
      <c r="B753" s="971" t="s">
        <v>1316</v>
      </c>
      <c r="C753" s="1272">
        <v>4300</v>
      </c>
      <c r="D753" s="971" t="s">
        <v>222</v>
      </c>
      <c r="E753" s="971" t="s">
        <v>1471</v>
      </c>
      <c r="F753" s="971" t="s">
        <v>1466</v>
      </c>
      <c r="G753" s="971" t="s">
        <v>1472</v>
      </c>
      <c r="H753" s="971" t="s">
        <v>1467</v>
      </c>
      <c r="I753" s="1273" t="s">
        <v>1476</v>
      </c>
      <c r="J753" s="971" t="s">
        <v>124</v>
      </c>
      <c r="K753" s="971" t="s">
        <v>2857</v>
      </c>
      <c r="L753" s="971" t="s">
        <v>2858</v>
      </c>
      <c r="M753" s="971" t="s">
        <v>703</v>
      </c>
      <c r="N753" s="971" t="s">
        <v>488</v>
      </c>
      <c r="O753" s="971" t="s">
        <v>459</v>
      </c>
      <c r="P753" s="971"/>
      <c r="Q753" s="971" t="s">
        <v>1474</v>
      </c>
      <c r="R753" s="1266" t="s">
        <v>1477</v>
      </c>
      <c r="S753" s="2106">
        <v>39.405204460966544</v>
      </c>
      <c r="T753" s="1266" t="s">
        <v>136</v>
      </c>
      <c r="U753" s="1742">
        <v>0.56041666666666667</v>
      </c>
      <c r="V753" s="1742">
        <v>2.8020833333333335</v>
      </c>
      <c r="W753" s="1742">
        <v>49.395125</v>
      </c>
      <c r="X753" s="1742">
        <v>77.264645833333333</v>
      </c>
      <c r="Y753" s="2106">
        <v>129.46185416666665</v>
      </c>
      <c r="Z753" s="2106">
        <v>22.083333333333336</v>
      </c>
      <c r="AA753" s="2106">
        <v>110.41666666666667</v>
      </c>
      <c r="AB753" s="2106">
        <v>1946.4250000000002</v>
      </c>
      <c r="AC753" s="2106">
        <v>3044.6291666666666</v>
      </c>
      <c r="AD753" s="1744">
        <v>5101.4708333333328</v>
      </c>
      <c r="AE753" s="2126">
        <v>1</v>
      </c>
      <c r="AF753" s="2126">
        <v>39.405204460966544</v>
      </c>
      <c r="AG753" s="1212">
        <v>1</v>
      </c>
      <c r="AH753" s="1212">
        <v>0</v>
      </c>
      <c r="AI753" s="1212">
        <v>0</v>
      </c>
      <c r="AJ753" s="1212">
        <v>1</v>
      </c>
      <c r="AK753" s="2126">
        <v>5101.4708333333328</v>
      </c>
      <c r="AL753" s="2126">
        <v>0</v>
      </c>
      <c r="AM753" s="2126">
        <v>0</v>
      </c>
      <c r="AN753" s="2126">
        <v>5101.4708333333328</v>
      </c>
      <c r="AO753" s="1743" t="s">
        <v>85</v>
      </c>
      <c r="AP753" s="1743"/>
      <c r="AQ753" s="1764">
        <v>2014</v>
      </c>
      <c r="AR753" s="1743" t="s">
        <v>87</v>
      </c>
      <c r="AS753" s="2135"/>
      <c r="AT753" s="2135"/>
      <c r="AU753" s="1212">
        <v>0.33333333333333331</v>
      </c>
      <c r="AV753" s="1212">
        <v>0.33333333333333331</v>
      </c>
      <c r="AW753" s="1212">
        <v>0.33333333333333331</v>
      </c>
      <c r="AX753" s="1212"/>
      <c r="AY753" s="1212"/>
      <c r="AZ753" s="1212"/>
      <c r="BA753" s="1212"/>
      <c r="BB753" s="1212"/>
      <c r="BC753" s="1212"/>
      <c r="BD753" s="1212"/>
      <c r="BE753" s="1212"/>
      <c r="BF753" s="2126">
        <v>0</v>
      </c>
      <c r="BG753" s="2126">
        <v>0</v>
      </c>
      <c r="BH753" s="2126">
        <v>1700.4902777777775</v>
      </c>
      <c r="BI753" s="2126">
        <v>1700.4902777777775</v>
      </c>
      <c r="BJ753" s="2126">
        <v>1700.4902777777775</v>
      </c>
      <c r="BK753" s="2126">
        <v>0</v>
      </c>
      <c r="BL753" s="2126">
        <v>0</v>
      </c>
      <c r="BM753" s="2126">
        <v>0</v>
      </c>
      <c r="BN753" s="2126">
        <v>0</v>
      </c>
      <c r="BO753" s="2126">
        <v>0</v>
      </c>
      <c r="BP753" s="2126">
        <v>0</v>
      </c>
      <c r="BQ753" s="2126">
        <v>0</v>
      </c>
      <c r="BR753" s="2126">
        <v>0</v>
      </c>
    </row>
    <row r="754" spans="1:70" s="1765" customFormat="1" ht="33">
      <c r="A754" s="1272">
        <v>4000</v>
      </c>
      <c r="B754" s="971" t="s">
        <v>1316</v>
      </c>
      <c r="C754" s="1272">
        <v>4300</v>
      </c>
      <c r="D754" s="971" t="s">
        <v>222</v>
      </c>
      <c r="E754" s="971" t="s">
        <v>1471</v>
      </c>
      <c r="F754" s="971" t="s">
        <v>1466</v>
      </c>
      <c r="G754" s="971" t="s">
        <v>1472</v>
      </c>
      <c r="H754" s="971" t="s">
        <v>1467</v>
      </c>
      <c r="I754" s="1273" t="s">
        <v>1478</v>
      </c>
      <c r="J754" s="971" t="s">
        <v>124</v>
      </c>
      <c r="K754" s="971" t="s">
        <v>140</v>
      </c>
      <c r="L754" s="971" t="s">
        <v>2909</v>
      </c>
      <c r="M754" s="971" t="s">
        <v>140</v>
      </c>
      <c r="N754" s="971" t="s">
        <v>141</v>
      </c>
      <c r="O754" s="971" t="s">
        <v>142</v>
      </c>
      <c r="P754" s="971"/>
      <c r="Q754" s="971" t="s">
        <v>1479</v>
      </c>
      <c r="R754" s="1266" t="s">
        <v>1475</v>
      </c>
      <c r="S754" s="2106">
        <v>39.405204460966544</v>
      </c>
      <c r="T754" s="1266" t="s">
        <v>136</v>
      </c>
      <c r="U754" s="1742">
        <v>0</v>
      </c>
      <c r="V754" s="1742">
        <v>0</v>
      </c>
      <c r="W754" s="1742">
        <v>0</v>
      </c>
      <c r="X754" s="1742">
        <v>0</v>
      </c>
      <c r="Y754" s="2106">
        <v>0</v>
      </c>
      <c r="Z754" s="2106">
        <v>0</v>
      </c>
      <c r="AA754" s="2106">
        <v>0</v>
      </c>
      <c r="AB754" s="2106">
        <v>0</v>
      </c>
      <c r="AC754" s="2106">
        <v>0</v>
      </c>
      <c r="AD754" s="1744">
        <v>0</v>
      </c>
      <c r="AE754" s="2126">
        <v>0</v>
      </c>
      <c r="AF754" s="2126">
        <v>0</v>
      </c>
      <c r="AG754" s="1212">
        <v>1</v>
      </c>
      <c r="AH754" s="1212">
        <v>0</v>
      </c>
      <c r="AI754" s="1212">
        <v>0</v>
      </c>
      <c r="AJ754" s="1212">
        <v>1</v>
      </c>
      <c r="AK754" s="2126">
        <v>0</v>
      </c>
      <c r="AL754" s="2126">
        <v>0</v>
      </c>
      <c r="AM754" s="2126">
        <v>0</v>
      </c>
      <c r="AN754" s="2126">
        <v>0</v>
      </c>
      <c r="AO754" s="1743" t="s">
        <v>85</v>
      </c>
      <c r="AP754" s="1743"/>
      <c r="AQ754" s="1764">
        <v>2014</v>
      </c>
      <c r="AR754" s="1743" t="s">
        <v>87</v>
      </c>
      <c r="AS754" s="2135"/>
      <c r="AT754" s="2135"/>
      <c r="AU754" s="1212">
        <v>0.33333333333333331</v>
      </c>
      <c r="AV754" s="1212">
        <v>0.33333333333333331</v>
      </c>
      <c r="AW754" s="1212">
        <v>0.33333333333333331</v>
      </c>
      <c r="AX754" s="1212"/>
      <c r="AY754" s="1212"/>
      <c r="AZ754" s="1212"/>
      <c r="BA754" s="1212"/>
      <c r="BB754" s="1212"/>
      <c r="BC754" s="1212"/>
      <c r="BD754" s="1212"/>
      <c r="BE754" s="1212"/>
      <c r="BF754" s="2126">
        <v>0</v>
      </c>
      <c r="BG754" s="2126">
        <v>0</v>
      </c>
      <c r="BH754" s="2126">
        <v>0</v>
      </c>
      <c r="BI754" s="2126">
        <v>0</v>
      </c>
      <c r="BJ754" s="2126">
        <v>0</v>
      </c>
      <c r="BK754" s="2126">
        <v>0</v>
      </c>
      <c r="BL754" s="2126">
        <v>0</v>
      </c>
      <c r="BM754" s="2126">
        <v>0</v>
      </c>
      <c r="BN754" s="2126">
        <v>0</v>
      </c>
      <c r="BO754" s="2126">
        <v>0</v>
      </c>
      <c r="BP754" s="2126">
        <v>0</v>
      </c>
      <c r="BQ754" s="2126">
        <v>0</v>
      </c>
      <c r="BR754" s="2126">
        <v>0</v>
      </c>
    </row>
    <row r="755" spans="1:70" s="1765" customFormat="1" ht="33">
      <c r="A755" s="1272">
        <v>4000</v>
      </c>
      <c r="B755" s="971" t="s">
        <v>1316</v>
      </c>
      <c r="C755" s="1272">
        <v>4300</v>
      </c>
      <c r="D755" s="971" t="s">
        <v>222</v>
      </c>
      <c r="E755" s="971" t="s">
        <v>1471</v>
      </c>
      <c r="F755" s="971" t="s">
        <v>1466</v>
      </c>
      <c r="G755" s="971" t="s">
        <v>1472</v>
      </c>
      <c r="H755" s="971" t="s">
        <v>1467</v>
      </c>
      <c r="I755" s="1273" t="s">
        <v>1480</v>
      </c>
      <c r="J755" s="971" t="s">
        <v>124</v>
      </c>
      <c r="K755" s="971"/>
      <c r="L755" s="971" t="e">
        <v>#N/A</v>
      </c>
      <c r="M755" s="971" t="s">
        <v>145</v>
      </c>
      <c r="N755" s="971" t="s">
        <v>141</v>
      </c>
      <c r="O755" s="971" t="s">
        <v>146</v>
      </c>
      <c r="P755" s="971"/>
      <c r="Q755" s="971" t="s">
        <v>1481</v>
      </c>
      <c r="R755" s="1266" t="s">
        <v>1475</v>
      </c>
      <c r="S755" s="2106">
        <v>39.405204460966544</v>
      </c>
      <c r="T755" s="1266" t="s">
        <v>136</v>
      </c>
      <c r="U755" s="1742" t="s">
        <v>6588</v>
      </c>
      <c r="V755" s="1742" t="s">
        <v>6588</v>
      </c>
      <c r="W755" s="1742" t="s">
        <v>6588</v>
      </c>
      <c r="X755" s="1742" t="s">
        <v>6588</v>
      </c>
      <c r="Y755" s="2106" t="s">
        <v>6588</v>
      </c>
      <c r="Z755" s="2106">
        <v>0</v>
      </c>
      <c r="AA755" s="2106">
        <v>0</v>
      </c>
      <c r="AB755" s="2106">
        <v>0</v>
      </c>
      <c r="AC755" s="2106">
        <v>0</v>
      </c>
      <c r="AD755" s="1744">
        <v>0</v>
      </c>
      <c r="AE755" s="2126">
        <v>0</v>
      </c>
      <c r="AF755" s="2126">
        <v>0</v>
      </c>
      <c r="AG755" s="1212">
        <v>1</v>
      </c>
      <c r="AH755" s="1212">
        <v>0</v>
      </c>
      <c r="AI755" s="1212">
        <v>0</v>
      </c>
      <c r="AJ755" s="1212">
        <v>1</v>
      </c>
      <c r="AK755" s="2126">
        <v>0</v>
      </c>
      <c r="AL755" s="2126">
        <v>0</v>
      </c>
      <c r="AM755" s="2126">
        <v>0</v>
      </c>
      <c r="AN755" s="2126">
        <v>0</v>
      </c>
      <c r="AO755" s="1743" t="s">
        <v>85</v>
      </c>
      <c r="AP755" s="1743"/>
      <c r="AQ755" s="1764">
        <v>2014</v>
      </c>
      <c r="AR755" s="1743" t="s">
        <v>87</v>
      </c>
      <c r="AS755" s="2135"/>
      <c r="AT755" s="2135"/>
      <c r="AU755" s="1212">
        <v>0.33333333333333331</v>
      </c>
      <c r="AV755" s="1212">
        <v>0.33333333333333331</v>
      </c>
      <c r="AW755" s="1212">
        <v>0.33333333333333331</v>
      </c>
      <c r="AX755" s="1212"/>
      <c r="AY755" s="1212"/>
      <c r="AZ755" s="1212"/>
      <c r="BA755" s="1212"/>
      <c r="BB755" s="1212"/>
      <c r="BC755" s="1212"/>
      <c r="BD755" s="1212"/>
      <c r="BE755" s="1212"/>
      <c r="BF755" s="2126">
        <v>0</v>
      </c>
      <c r="BG755" s="2126">
        <v>0</v>
      </c>
      <c r="BH755" s="2126">
        <v>0</v>
      </c>
      <c r="BI755" s="2126">
        <v>0</v>
      </c>
      <c r="BJ755" s="2126">
        <v>0</v>
      </c>
      <c r="BK755" s="2126">
        <v>0</v>
      </c>
      <c r="BL755" s="2126">
        <v>0</v>
      </c>
      <c r="BM755" s="2126">
        <v>0</v>
      </c>
      <c r="BN755" s="2126">
        <v>0</v>
      </c>
      <c r="BO755" s="2126">
        <v>0</v>
      </c>
      <c r="BP755" s="2126">
        <v>0</v>
      </c>
      <c r="BQ755" s="2126">
        <v>0</v>
      </c>
      <c r="BR755" s="2126">
        <v>0</v>
      </c>
    </row>
    <row r="756" spans="1:70" s="1765" customFormat="1" ht="33">
      <c r="A756" s="1272">
        <v>4000</v>
      </c>
      <c r="B756" s="971" t="s">
        <v>1316</v>
      </c>
      <c r="C756" s="1272">
        <v>4300</v>
      </c>
      <c r="D756" s="971" t="s">
        <v>222</v>
      </c>
      <c r="E756" s="971" t="s">
        <v>1471</v>
      </c>
      <c r="F756" s="971" t="s">
        <v>1466</v>
      </c>
      <c r="G756" s="971" t="s">
        <v>1472</v>
      </c>
      <c r="H756" s="971" t="s">
        <v>1467</v>
      </c>
      <c r="I756" s="1273" t="s">
        <v>1482</v>
      </c>
      <c r="J756" s="971" t="s">
        <v>124</v>
      </c>
      <c r="K756" s="971" t="s">
        <v>140</v>
      </c>
      <c r="L756" s="971" t="s">
        <v>2909</v>
      </c>
      <c r="M756" s="971" t="s">
        <v>140</v>
      </c>
      <c r="N756" s="971" t="s">
        <v>141</v>
      </c>
      <c r="O756" s="971" t="s">
        <v>142</v>
      </c>
      <c r="P756" s="971"/>
      <c r="Q756" s="971" t="s">
        <v>1479</v>
      </c>
      <c r="R756" s="1266" t="s">
        <v>1477</v>
      </c>
      <c r="S756" s="2106">
        <v>39.405204460966544</v>
      </c>
      <c r="T756" s="1266" t="s">
        <v>136</v>
      </c>
      <c r="U756" s="1742">
        <v>0</v>
      </c>
      <c r="V756" s="1742">
        <v>0</v>
      </c>
      <c r="W756" s="1742">
        <v>0</v>
      </c>
      <c r="X756" s="1742">
        <v>0</v>
      </c>
      <c r="Y756" s="2106">
        <v>0</v>
      </c>
      <c r="Z756" s="2106">
        <v>0</v>
      </c>
      <c r="AA756" s="2106">
        <v>0</v>
      </c>
      <c r="AB756" s="2106">
        <v>0</v>
      </c>
      <c r="AC756" s="2106">
        <v>0</v>
      </c>
      <c r="AD756" s="1744">
        <v>0</v>
      </c>
      <c r="AE756" s="2126">
        <v>0</v>
      </c>
      <c r="AF756" s="2126">
        <v>0</v>
      </c>
      <c r="AG756" s="1212">
        <v>1</v>
      </c>
      <c r="AH756" s="1212">
        <v>0</v>
      </c>
      <c r="AI756" s="1212">
        <v>0</v>
      </c>
      <c r="AJ756" s="1212">
        <v>1</v>
      </c>
      <c r="AK756" s="2126">
        <v>0</v>
      </c>
      <c r="AL756" s="2126">
        <v>0</v>
      </c>
      <c r="AM756" s="2126">
        <v>0</v>
      </c>
      <c r="AN756" s="2126">
        <v>0</v>
      </c>
      <c r="AO756" s="1743" t="s">
        <v>85</v>
      </c>
      <c r="AP756" s="1743"/>
      <c r="AQ756" s="1764">
        <v>2014</v>
      </c>
      <c r="AR756" s="1743" t="s">
        <v>87</v>
      </c>
      <c r="AS756" s="2135"/>
      <c r="AT756" s="2135"/>
      <c r="AU756" s="1212">
        <v>0.33333333333333331</v>
      </c>
      <c r="AV756" s="1212">
        <v>0.33333333333333331</v>
      </c>
      <c r="AW756" s="1212">
        <v>0.33333333333333331</v>
      </c>
      <c r="AX756" s="1212"/>
      <c r="AY756" s="1212"/>
      <c r="AZ756" s="1212"/>
      <c r="BA756" s="1212"/>
      <c r="BB756" s="1212"/>
      <c r="BC756" s="1212"/>
      <c r="BD756" s="1212"/>
      <c r="BE756" s="1212"/>
      <c r="BF756" s="2126">
        <v>0</v>
      </c>
      <c r="BG756" s="2126">
        <v>0</v>
      </c>
      <c r="BH756" s="2126">
        <v>0</v>
      </c>
      <c r="BI756" s="2126">
        <v>0</v>
      </c>
      <c r="BJ756" s="2126">
        <v>0</v>
      </c>
      <c r="BK756" s="2126">
        <v>0</v>
      </c>
      <c r="BL756" s="2126">
        <v>0</v>
      </c>
      <c r="BM756" s="2126">
        <v>0</v>
      </c>
      <c r="BN756" s="2126">
        <v>0</v>
      </c>
      <c r="BO756" s="2126">
        <v>0</v>
      </c>
      <c r="BP756" s="2126">
        <v>0</v>
      </c>
      <c r="BQ756" s="2126">
        <v>0</v>
      </c>
      <c r="BR756" s="2126">
        <v>0</v>
      </c>
    </row>
    <row r="757" spans="1:70" s="1765" customFormat="1" ht="33">
      <c r="A757" s="1272">
        <v>4000</v>
      </c>
      <c r="B757" s="971" t="s">
        <v>1316</v>
      </c>
      <c r="C757" s="1272">
        <v>4300</v>
      </c>
      <c r="D757" s="971" t="s">
        <v>222</v>
      </c>
      <c r="E757" s="971" t="s">
        <v>1471</v>
      </c>
      <c r="F757" s="971" t="s">
        <v>1466</v>
      </c>
      <c r="G757" s="971" t="s">
        <v>1472</v>
      </c>
      <c r="H757" s="971" t="s">
        <v>1467</v>
      </c>
      <c r="I757" s="1273" t="s">
        <v>1483</v>
      </c>
      <c r="J757" s="971" t="s">
        <v>124</v>
      </c>
      <c r="K757" s="971"/>
      <c r="L757" s="971" t="e">
        <v>#N/A</v>
      </c>
      <c r="M757" s="971" t="s">
        <v>145</v>
      </c>
      <c r="N757" s="971" t="s">
        <v>141</v>
      </c>
      <c r="O757" s="971" t="s">
        <v>146</v>
      </c>
      <c r="P757" s="971"/>
      <c r="Q757" s="971" t="s">
        <v>1481</v>
      </c>
      <c r="R757" s="1266" t="s">
        <v>1477</v>
      </c>
      <c r="S757" s="2106">
        <v>39.405204460966544</v>
      </c>
      <c r="T757" s="1266" t="s">
        <v>136</v>
      </c>
      <c r="U757" s="1742" t="s">
        <v>6588</v>
      </c>
      <c r="V757" s="1742" t="s">
        <v>6588</v>
      </c>
      <c r="W757" s="1742" t="s">
        <v>6588</v>
      </c>
      <c r="X757" s="1742" t="s">
        <v>6588</v>
      </c>
      <c r="Y757" s="2106" t="s">
        <v>6588</v>
      </c>
      <c r="Z757" s="2106">
        <v>0</v>
      </c>
      <c r="AA757" s="2106">
        <v>0</v>
      </c>
      <c r="AB757" s="2106">
        <v>0</v>
      </c>
      <c r="AC757" s="2106">
        <v>0</v>
      </c>
      <c r="AD757" s="1744">
        <v>0</v>
      </c>
      <c r="AE757" s="2126">
        <v>0</v>
      </c>
      <c r="AF757" s="2126">
        <v>0</v>
      </c>
      <c r="AG757" s="1212">
        <v>1</v>
      </c>
      <c r="AH757" s="1212">
        <v>0</v>
      </c>
      <c r="AI757" s="1212">
        <v>0</v>
      </c>
      <c r="AJ757" s="1212">
        <v>1</v>
      </c>
      <c r="AK757" s="2126">
        <v>0</v>
      </c>
      <c r="AL757" s="2126">
        <v>0</v>
      </c>
      <c r="AM757" s="2126">
        <v>0</v>
      </c>
      <c r="AN757" s="2126">
        <v>0</v>
      </c>
      <c r="AO757" s="1743" t="s">
        <v>85</v>
      </c>
      <c r="AP757" s="1743"/>
      <c r="AQ757" s="1764">
        <v>2014</v>
      </c>
      <c r="AR757" s="1743" t="s">
        <v>87</v>
      </c>
      <c r="AS757" s="2135"/>
      <c r="AT757" s="2135"/>
      <c r="AU757" s="1212">
        <v>0.33333333333333331</v>
      </c>
      <c r="AV757" s="1212">
        <v>0.33333333333333331</v>
      </c>
      <c r="AW757" s="1212">
        <v>0.33333333333333331</v>
      </c>
      <c r="AX757" s="1212"/>
      <c r="AY757" s="1212"/>
      <c r="AZ757" s="1212"/>
      <c r="BA757" s="1212"/>
      <c r="BB757" s="1212"/>
      <c r="BC757" s="1212"/>
      <c r="BD757" s="1212"/>
      <c r="BE757" s="1212"/>
      <c r="BF757" s="2126">
        <v>0</v>
      </c>
      <c r="BG757" s="2126">
        <v>0</v>
      </c>
      <c r="BH757" s="2126">
        <v>0</v>
      </c>
      <c r="BI757" s="2126">
        <v>0</v>
      </c>
      <c r="BJ757" s="2126">
        <v>0</v>
      </c>
      <c r="BK757" s="2126">
        <v>0</v>
      </c>
      <c r="BL757" s="2126">
        <v>0</v>
      </c>
      <c r="BM757" s="2126">
        <v>0</v>
      </c>
      <c r="BN757" s="2126">
        <v>0</v>
      </c>
      <c r="BO757" s="2126">
        <v>0</v>
      </c>
      <c r="BP757" s="2126">
        <v>0</v>
      </c>
      <c r="BQ757" s="2126">
        <v>0</v>
      </c>
      <c r="BR757" s="2126">
        <v>0</v>
      </c>
    </row>
    <row r="758" spans="1:70" s="1765" customFormat="1" ht="33">
      <c r="A758" s="1272">
        <v>4000</v>
      </c>
      <c r="B758" s="971" t="s">
        <v>1316</v>
      </c>
      <c r="C758" s="1272">
        <v>4300</v>
      </c>
      <c r="D758" s="971" t="s">
        <v>222</v>
      </c>
      <c r="E758" s="971" t="s">
        <v>1471</v>
      </c>
      <c r="F758" s="971" t="s">
        <v>1466</v>
      </c>
      <c r="G758" s="971">
        <v>4385</v>
      </c>
      <c r="H758" s="971" t="s">
        <v>1484</v>
      </c>
      <c r="I758" s="1273" t="s">
        <v>1485</v>
      </c>
      <c r="J758" s="971" t="s">
        <v>638</v>
      </c>
      <c r="K758" s="971" t="s">
        <v>1971</v>
      </c>
      <c r="L758" s="971" t="s">
        <v>639</v>
      </c>
      <c r="M758" s="971" t="s">
        <v>639</v>
      </c>
      <c r="N758" s="971" t="s">
        <v>640</v>
      </c>
      <c r="O758" s="971" t="s">
        <v>639</v>
      </c>
      <c r="P758" s="971"/>
      <c r="Q758" s="971" t="s">
        <v>1486</v>
      </c>
      <c r="R758" s="1266" t="s">
        <v>1487</v>
      </c>
      <c r="S758" s="2106">
        <v>5220</v>
      </c>
      <c r="T758" s="1266" t="s">
        <v>991</v>
      </c>
      <c r="U758" s="1742">
        <v>0.25</v>
      </c>
      <c r="V758" s="1742">
        <v>3.125</v>
      </c>
      <c r="W758" s="1742">
        <v>22.035</v>
      </c>
      <c r="X758" s="1742">
        <v>34.467500000000001</v>
      </c>
      <c r="Y758" s="2106">
        <v>59.627499999999998</v>
      </c>
      <c r="Z758" s="2106">
        <v>1305</v>
      </c>
      <c r="AA758" s="2106">
        <v>16312.5</v>
      </c>
      <c r="AB758" s="2106">
        <v>115022.7</v>
      </c>
      <c r="AC758" s="2106">
        <v>179920.35</v>
      </c>
      <c r="AD758" s="2132">
        <v>311255.55000000005</v>
      </c>
      <c r="AE758" s="2126">
        <v>1.0000000000000002E-2</v>
      </c>
      <c r="AF758" s="2126">
        <v>52.20000000000001</v>
      </c>
      <c r="AG758" s="1212">
        <v>1</v>
      </c>
      <c r="AH758" s="1212">
        <v>0</v>
      </c>
      <c r="AI758" s="1212">
        <v>1</v>
      </c>
      <c r="AJ758" s="1212">
        <v>0</v>
      </c>
      <c r="AK758" s="2126">
        <v>311255.55000000005</v>
      </c>
      <c r="AL758" s="2126">
        <v>0</v>
      </c>
      <c r="AM758" s="2126">
        <v>311255.55000000005</v>
      </c>
      <c r="AN758" s="2126">
        <v>0</v>
      </c>
      <c r="AO758" s="1743" t="s">
        <v>85</v>
      </c>
      <c r="AP758" s="1743"/>
      <c r="AQ758" s="1764">
        <v>2014</v>
      </c>
      <c r="AR758" s="1743" t="s">
        <v>87</v>
      </c>
      <c r="AS758" s="2135"/>
      <c r="AT758" s="2135"/>
      <c r="AU758" s="1212">
        <v>0.33333333333333331</v>
      </c>
      <c r="AV758" s="1212">
        <v>0.33333333333333331</v>
      </c>
      <c r="AW758" s="1212">
        <v>0.33333333333333331</v>
      </c>
      <c r="AX758" s="1212"/>
      <c r="AY758" s="1212"/>
      <c r="AZ758" s="1212"/>
      <c r="BA758" s="1212"/>
      <c r="BB758" s="1212"/>
      <c r="BC758" s="1212"/>
      <c r="BD758" s="1212"/>
      <c r="BE758" s="1212"/>
      <c r="BF758" s="2126">
        <v>0</v>
      </c>
      <c r="BG758" s="2126">
        <v>0</v>
      </c>
      <c r="BH758" s="2126">
        <v>103751.85</v>
      </c>
      <c r="BI758" s="2126">
        <v>103751.85</v>
      </c>
      <c r="BJ758" s="2126">
        <v>103751.85</v>
      </c>
      <c r="BK758" s="2126">
        <v>0</v>
      </c>
      <c r="BL758" s="2126">
        <v>0</v>
      </c>
      <c r="BM758" s="2126">
        <v>0</v>
      </c>
      <c r="BN758" s="2126">
        <v>0</v>
      </c>
      <c r="BO758" s="2126">
        <v>0</v>
      </c>
      <c r="BP758" s="2126">
        <v>0</v>
      </c>
      <c r="BQ758" s="2126">
        <v>0</v>
      </c>
      <c r="BR758" s="2126">
        <v>0</v>
      </c>
    </row>
    <row r="759" spans="1:70" s="1765" customFormat="1" ht="49.5">
      <c r="A759" s="1272">
        <v>4000</v>
      </c>
      <c r="B759" s="971" t="s">
        <v>1316</v>
      </c>
      <c r="C759" s="1272">
        <v>4300</v>
      </c>
      <c r="D759" s="971" t="s">
        <v>222</v>
      </c>
      <c r="E759" s="971">
        <v>4380</v>
      </c>
      <c r="F759" s="971" t="s">
        <v>1466</v>
      </c>
      <c r="G759" s="971">
        <v>4385</v>
      </c>
      <c r="H759" s="971" t="s">
        <v>1484</v>
      </c>
      <c r="I759" s="1273"/>
      <c r="J759" s="971" t="s">
        <v>121</v>
      </c>
      <c r="K759" s="971" t="s">
        <v>255</v>
      </c>
      <c r="L759" s="971" t="s">
        <v>2802</v>
      </c>
      <c r="M759" s="971" t="s">
        <v>255</v>
      </c>
      <c r="N759" s="971" t="s">
        <v>83</v>
      </c>
      <c r="O759" s="971" t="s">
        <v>256</v>
      </c>
      <c r="P759" s="971"/>
      <c r="Q759" s="971" t="s">
        <v>1488</v>
      </c>
      <c r="R759" s="1266" t="s">
        <v>1489</v>
      </c>
      <c r="S759" s="2106">
        <v>10000</v>
      </c>
      <c r="T759" s="1266" t="s">
        <v>136</v>
      </c>
      <c r="U759" s="1742">
        <v>4.4491883296460179E-2</v>
      </c>
      <c r="V759" s="1742">
        <v>0.1701</v>
      </c>
      <c r="W759" s="1742">
        <v>3.92151459375</v>
      </c>
      <c r="X759" s="1742">
        <v>0.68180304577546291</v>
      </c>
      <c r="Y759" s="2106">
        <v>4.7480795457754628</v>
      </c>
      <c r="Z759" s="2106">
        <v>444.91883296460179</v>
      </c>
      <c r="AA759" s="2106">
        <v>1701</v>
      </c>
      <c r="AB759" s="2106">
        <v>39215.145937499998</v>
      </c>
      <c r="AC759" s="2106">
        <v>6818.0304577546294</v>
      </c>
      <c r="AD759" s="1744">
        <v>47734.176395254624</v>
      </c>
      <c r="AE759" s="2126">
        <v>0</v>
      </c>
      <c r="AF759" s="2126">
        <v>0</v>
      </c>
      <c r="AG759" s="1212">
        <v>1</v>
      </c>
      <c r="AH759" s="1212">
        <v>0</v>
      </c>
      <c r="AI759" s="1212">
        <v>0</v>
      </c>
      <c r="AJ759" s="1212">
        <v>1</v>
      </c>
      <c r="AK759" s="2126">
        <v>47734.176395254624</v>
      </c>
      <c r="AL759" s="2126">
        <v>0</v>
      </c>
      <c r="AM759" s="2126">
        <v>0</v>
      </c>
      <c r="AN759" s="2126">
        <v>47734.176395254624</v>
      </c>
      <c r="AO759" s="1743" t="s">
        <v>85</v>
      </c>
      <c r="AP759" s="1743" t="s">
        <v>90</v>
      </c>
      <c r="AQ759" s="1764">
        <v>2020</v>
      </c>
      <c r="AR759" s="1743" t="s">
        <v>87</v>
      </c>
      <c r="AS759" s="2135"/>
      <c r="AT759" s="2135"/>
      <c r="AU759" s="1212">
        <v>0.33333333333333331</v>
      </c>
      <c r="AV759" s="1212">
        <v>0.33333333333333331</v>
      </c>
      <c r="AW759" s="1212">
        <v>0.33333333333333331</v>
      </c>
      <c r="AX759" s="1212"/>
      <c r="AY759" s="1212"/>
      <c r="AZ759" s="1212"/>
      <c r="BA759" s="1212"/>
      <c r="BB759" s="1212"/>
      <c r="BC759" s="1212"/>
      <c r="BD759" s="1212"/>
      <c r="BE759" s="1212"/>
      <c r="BF759" s="2126">
        <v>0</v>
      </c>
      <c r="BG759" s="2126">
        <v>0</v>
      </c>
      <c r="BH759" s="2126">
        <v>15911.392131751541</v>
      </c>
      <c r="BI759" s="2126">
        <v>15911.392131751541</v>
      </c>
      <c r="BJ759" s="2126">
        <v>15911.392131751541</v>
      </c>
      <c r="BK759" s="2126">
        <v>0</v>
      </c>
      <c r="BL759" s="2126">
        <v>0</v>
      </c>
      <c r="BM759" s="2126">
        <v>0</v>
      </c>
      <c r="BN759" s="2126">
        <v>0</v>
      </c>
      <c r="BO759" s="2126">
        <v>0</v>
      </c>
      <c r="BP759" s="2126">
        <v>0</v>
      </c>
      <c r="BQ759" s="2126">
        <v>0</v>
      </c>
      <c r="BR759" s="2126">
        <v>0</v>
      </c>
    </row>
    <row r="760" spans="1:70" s="1765" customFormat="1" ht="49.5">
      <c r="A760" s="1272">
        <v>4000</v>
      </c>
      <c r="B760" s="971" t="s">
        <v>1316</v>
      </c>
      <c r="C760" s="1272">
        <v>4300</v>
      </c>
      <c r="D760" s="971" t="s">
        <v>222</v>
      </c>
      <c r="E760" s="971">
        <v>4380</v>
      </c>
      <c r="F760" s="971" t="s">
        <v>1466</v>
      </c>
      <c r="G760" s="971">
        <v>4385</v>
      </c>
      <c r="H760" s="971" t="s">
        <v>1484</v>
      </c>
      <c r="I760" s="1273"/>
      <c r="J760" s="971" t="s">
        <v>121</v>
      </c>
      <c r="K760" s="971" t="s">
        <v>255</v>
      </c>
      <c r="L760" s="971" t="s">
        <v>2802</v>
      </c>
      <c r="M760" s="971" t="s">
        <v>255</v>
      </c>
      <c r="N760" s="971" t="s">
        <v>83</v>
      </c>
      <c r="O760" s="971" t="s">
        <v>256</v>
      </c>
      <c r="P760" s="971"/>
      <c r="Q760" s="971" t="s">
        <v>1490</v>
      </c>
      <c r="R760" s="1266" t="s">
        <v>1353</v>
      </c>
      <c r="S760" s="2106">
        <v>7400</v>
      </c>
      <c r="T760" s="1266" t="s">
        <v>136</v>
      </c>
      <c r="U760" s="1742">
        <v>4.4491883296460179E-2</v>
      </c>
      <c r="V760" s="1742">
        <v>0.1701</v>
      </c>
      <c r="W760" s="1742">
        <v>3.92151459375</v>
      </c>
      <c r="X760" s="1742">
        <v>0.68180304577546291</v>
      </c>
      <c r="Y760" s="2106">
        <v>4.7480795457754628</v>
      </c>
      <c r="Z760" s="2106">
        <v>329.23993639380535</v>
      </c>
      <c r="AA760" s="2106">
        <v>1258.74</v>
      </c>
      <c r="AB760" s="2106">
        <v>29019.207993749998</v>
      </c>
      <c r="AC760" s="2106">
        <v>5045.3425387384259</v>
      </c>
      <c r="AD760" s="1744">
        <v>35323.290532488427</v>
      </c>
      <c r="AE760" s="2126">
        <v>0</v>
      </c>
      <c r="AF760" s="2126">
        <v>0</v>
      </c>
      <c r="AG760" s="1212">
        <v>1</v>
      </c>
      <c r="AH760" s="1212">
        <v>0</v>
      </c>
      <c r="AI760" s="1212">
        <v>0</v>
      </c>
      <c r="AJ760" s="1212">
        <v>1</v>
      </c>
      <c r="AK760" s="2126">
        <v>35323.290532488427</v>
      </c>
      <c r="AL760" s="2126">
        <v>0</v>
      </c>
      <c r="AM760" s="2126">
        <v>0</v>
      </c>
      <c r="AN760" s="2126">
        <v>35323.290532488427</v>
      </c>
      <c r="AO760" s="1743" t="s">
        <v>85</v>
      </c>
      <c r="AP760" s="1743" t="s">
        <v>90</v>
      </c>
      <c r="AQ760" s="1764">
        <v>2019</v>
      </c>
      <c r="AR760" s="1743" t="s">
        <v>87</v>
      </c>
      <c r="AS760" s="2135"/>
      <c r="AT760" s="2135"/>
      <c r="AU760" s="1212">
        <v>0.33333333333333331</v>
      </c>
      <c r="AV760" s="1212">
        <v>0.33333333333333331</v>
      </c>
      <c r="AW760" s="1212">
        <v>0.33333333333333331</v>
      </c>
      <c r="AX760" s="1212"/>
      <c r="AY760" s="1212"/>
      <c r="AZ760" s="1212"/>
      <c r="BA760" s="1212"/>
      <c r="BB760" s="1212"/>
      <c r="BC760" s="1212"/>
      <c r="BD760" s="1212"/>
      <c r="BE760" s="1212"/>
      <c r="BF760" s="2126">
        <v>0</v>
      </c>
      <c r="BG760" s="2126">
        <v>0</v>
      </c>
      <c r="BH760" s="2126">
        <v>11774.430177496142</v>
      </c>
      <c r="BI760" s="2126">
        <v>11774.430177496142</v>
      </c>
      <c r="BJ760" s="2126">
        <v>11774.430177496142</v>
      </c>
      <c r="BK760" s="2126">
        <v>0</v>
      </c>
      <c r="BL760" s="2126">
        <v>0</v>
      </c>
      <c r="BM760" s="2126">
        <v>0</v>
      </c>
      <c r="BN760" s="2126">
        <v>0</v>
      </c>
      <c r="BO760" s="2126">
        <v>0</v>
      </c>
      <c r="BP760" s="2126">
        <v>0</v>
      </c>
      <c r="BQ760" s="2126">
        <v>0</v>
      </c>
      <c r="BR760" s="2126">
        <v>0</v>
      </c>
    </row>
    <row r="761" spans="1:70" s="1765" customFormat="1" ht="33">
      <c r="A761" s="1272">
        <v>4000</v>
      </c>
      <c r="B761" s="971" t="s">
        <v>1316</v>
      </c>
      <c r="C761" s="1272">
        <v>4300</v>
      </c>
      <c r="D761" s="971" t="s">
        <v>222</v>
      </c>
      <c r="E761" s="971">
        <v>4380</v>
      </c>
      <c r="F761" s="971" t="s">
        <v>1466</v>
      </c>
      <c r="G761" s="971">
        <v>4385</v>
      </c>
      <c r="H761" s="971" t="s">
        <v>1484</v>
      </c>
      <c r="I761" s="1273"/>
      <c r="J761" s="971" t="s">
        <v>121</v>
      </c>
      <c r="K761" s="971" t="s">
        <v>150</v>
      </c>
      <c r="L761" s="971" t="s">
        <v>2800</v>
      </c>
      <c r="M761" s="971" t="s">
        <v>150</v>
      </c>
      <c r="N761" s="971" t="s">
        <v>83</v>
      </c>
      <c r="O761" s="971" t="s">
        <v>151</v>
      </c>
      <c r="P761" s="971"/>
      <c r="Q761" s="971" t="s">
        <v>1490</v>
      </c>
      <c r="R761" s="1266" t="s">
        <v>1353</v>
      </c>
      <c r="S761" s="2106">
        <v>10600</v>
      </c>
      <c r="T761" s="1266" t="s">
        <v>136</v>
      </c>
      <c r="U761" s="1742">
        <v>1.2691883296460175E-2</v>
      </c>
      <c r="V761" s="1742">
        <v>0.14624999999999999</v>
      </c>
      <c r="W761" s="1742">
        <v>1.1186625937499999</v>
      </c>
      <c r="X761" s="1742">
        <v>0.4015178457754629</v>
      </c>
      <c r="Y761" s="2106">
        <v>1.6649423457754629</v>
      </c>
      <c r="Z761" s="2106">
        <v>134.53396294247787</v>
      </c>
      <c r="AA761" s="2106">
        <v>1550.25</v>
      </c>
      <c r="AB761" s="2106">
        <v>11857.823493749998</v>
      </c>
      <c r="AC761" s="2106">
        <v>4256.089165219907</v>
      </c>
      <c r="AD761" s="1744">
        <v>17664.162658969904</v>
      </c>
      <c r="AE761" s="2126">
        <v>0</v>
      </c>
      <c r="AF761" s="2126">
        <v>0</v>
      </c>
      <c r="AG761" s="1212">
        <v>1</v>
      </c>
      <c r="AH761" s="1212">
        <v>0</v>
      </c>
      <c r="AI761" s="1212">
        <v>0</v>
      </c>
      <c r="AJ761" s="1212">
        <v>1</v>
      </c>
      <c r="AK761" s="2126">
        <v>17664.162658969904</v>
      </c>
      <c r="AL761" s="2126">
        <v>0</v>
      </c>
      <c r="AM761" s="2126">
        <v>0</v>
      </c>
      <c r="AN761" s="2126">
        <v>17664.162658969904</v>
      </c>
      <c r="AO761" s="1743" t="s">
        <v>85</v>
      </c>
      <c r="AP761" s="1743" t="s">
        <v>90</v>
      </c>
      <c r="AQ761" s="1764" t="s">
        <v>115</v>
      </c>
      <c r="AR761" s="1743" t="s">
        <v>87</v>
      </c>
      <c r="AS761" s="2135"/>
      <c r="AT761" s="2135"/>
      <c r="AU761" s="1212">
        <v>0.33333333333333331</v>
      </c>
      <c r="AV761" s="1212">
        <v>0.33333333333333331</v>
      </c>
      <c r="AW761" s="1212">
        <v>0.33333333333333331</v>
      </c>
      <c r="AX761" s="1212"/>
      <c r="AY761" s="1212"/>
      <c r="AZ761" s="1212"/>
      <c r="BA761" s="1212"/>
      <c r="BB761" s="1212"/>
      <c r="BC761" s="1212"/>
      <c r="BD761" s="1212"/>
      <c r="BE761" s="1212"/>
      <c r="BF761" s="2126">
        <v>0</v>
      </c>
      <c r="BG761" s="2126">
        <v>0</v>
      </c>
      <c r="BH761" s="2126">
        <v>5888.0542196566348</v>
      </c>
      <c r="BI761" s="2126">
        <v>5888.0542196566348</v>
      </c>
      <c r="BJ761" s="2126">
        <v>5888.0542196566348</v>
      </c>
      <c r="BK761" s="2126">
        <v>0</v>
      </c>
      <c r="BL761" s="2126">
        <v>0</v>
      </c>
      <c r="BM761" s="2126">
        <v>0</v>
      </c>
      <c r="BN761" s="2126">
        <v>0</v>
      </c>
      <c r="BO761" s="2126">
        <v>0</v>
      </c>
      <c r="BP761" s="2126">
        <v>0</v>
      </c>
      <c r="BQ761" s="2126">
        <v>0</v>
      </c>
      <c r="BR761" s="2126">
        <v>0</v>
      </c>
    </row>
    <row r="762" spans="1:70" s="1765" customFormat="1" ht="49.5">
      <c r="A762" s="1272">
        <v>4000</v>
      </c>
      <c r="B762" s="971" t="s">
        <v>1316</v>
      </c>
      <c r="C762" s="1272">
        <v>4300</v>
      </c>
      <c r="D762" s="971" t="s">
        <v>222</v>
      </c>
      <c r="E762" s="971">
        <v>4380</v>
      </c>
      <c r="F762" s="971" t="s">
        <v>1466</v>
      </c>
      <c r="G762" s="971">
        <v>4385</v>
      </c>
      <c r="H762" s="971" t="s">
        <v>1484</v>
      </c>
      <c r="I762" s="1273"/>
      <c r="J762" s="971" t="s">
        <v>121</v>
      </c>
      <c r="K762" s="971" t="s">
        <v>255</v>
      </c>
      <c r="L762" s="971" t="s">
        <v>2802</v>
      </c>
      <c r="M762" s="971" t="s">
        <v>255</v>
      </c>
      <c r="N762" s="971" t="s">
        <v>83</v>
      </c>
      <c r="O762" s="971" t="s">
        <v>256</v>
      </c>
      <c r="P762" s="971"/>
      <c r="Q762" s="971" t="s">
        <v>1491</v>
      </c>
      <c r="R762" s="1266"/>
      <c r="S762" s="2106">
        <v>2000</v>
      </c>
      <c r="T762" s="1266" t="s">
        <v>136</v>
      </c>
      <c r="U762" s="1742">
        <v>4.4491883296460179E-2</v>
      </c>
      <c r="V762" s="1742">
        <v>0.1701</v>
      </c>
      <c r="W762" s="1742">
        <v>3.92151459375</v>
      </c>
      <c r="X762" s="1742">
        <v>0.68180304577546291</v>
      </c>
      <c r="Y762" s="2106">
        <v>4.7480795457754628</v>
      </c>
      <c r="Z762" s="2106">
        <v>88.983766592920361</v>
      </c>
      <c r="AA762" s="2106">
        <v>340.2</v>
      </c>
      <c r="AB762" s="2106">
        <v>7843.0291875000003</v>
      </c>
      <c r="AC762" s="2106">
        <v>1363.6060915509258</v>
      </c>
      <c r="AD762" s="1744">
        <v>9546.8352790509252</v>
      </c>
      <c r="AE762" s="2126">
        <v>0</v>
      </c>
      <c r="AF762" s="2126">
        <v>0</v>
      </c>
      <c r="AG762" s="1212">
        <v>1</v>
      </c>
      <c r="AH762" s="1212">
        <v>0</v>
      </c>
      <c r="AI762" s="1212">
        <v>0</v>
      </c>
      <c r="AJ762" s="1212">
        <v>1</v>
      </c>
      <c r="AK762" s="2126">
        <v>9546.8352790509252</v>
      </c>
      <c r="AL762" s="2126">
        <v>0</v>
      </c>
      <c r="AM762" s="2126">
        <v>0</v>
      </c>
      <c r="AN762" s="2126">
        <v>9546.8352790509252</v>
      </c>
      <c r="AO762" s="1743" t="s">
        <v>85</v>
      </c>
      <c r="AP762" s="1743" t="s">
        <v>90</v>
      </c>
      <c r="AQ762" s="1764">
        <v>2019</v>
      </c>
      <c r="AR762" s="1743" t="s">
        <v>87</v>
      </c>
      <c r="AS762" s="2135"/>
      <c r="AT762" s="2135"/>
      <c r="AU762" s="1212">
        <v>0.33333333333333331</v>
      </c>
      <c r="AV762" s="1212">
        <v>0.33333333333333331</v>
      </c>
      <c r="AW762" s="1212">
        <v>0.33333333333333331</v>
      </c>
      <c r="AX762" s="1212"/>
      <c r="AY762" s="1212"/>
      <c r="AZ762" s="1212"/>
      <c r="BA762" s="1212"/>
      <c r="BB762" s="1212"/>
      <c r="BC762" s="1212"/>
      <c r="BD762" s="1212"/>
      <c r="BE762" s="1212"/>
      <c r="BF762" s="2126">
        <v>0</v>
      </c>
      <c r="BG762" s="2126">
        <v>0</v>
      </c>
      <c r="BH762" s="2126">
        <v>3182.2784263503081</v>
      </c>
      <c r="BI762" s="2126">
        <v>3182.2784263503081</v>
      </c>
      <c r="BJ762" s="2126">
        <v>3182.2784263503081</v>
      </c>
      <c r="BK762" s="2126">
        <v>0</v>
      </c>
      <c r="BL762" s="2126">
        <v>0</v>
      </c>
      <c r="BM762" s="2126">
        <v>0</v>
      </c>
      <c r="BN762" s="2126">
        <v>0</v>
      </c>
      <c r="BO762" s="2126">
        <v>0</v>
      </c>
      <c r="BP762" s="2126">
        <v>0</v>
      </c>
      <c r="BQ762" s="2126">
        <v>0</v>
      </c>
      <c r="BR762" s="2126">
        <v>0</v>
      </c>
    </row>
    <row r="763" spans="1:70" s="1765" customFormat="1" ht="49.5">
      <c r="A763" s="1272">
        <v>4000</v>
      </c>
      <c r="B763" s="971" t="s">
        <v>1316</v>
      </c>
      <c r="C763" s="1272">
        <v>4300</v>
      </c>
      <c r="D763" s="971" t="s">
        <v>222</v>
      </c>
      <c r="E763" s="971">
        <v>4380</v>
      </c>
      <c r="F763" s="971" t="s">
        <v>1466</v>
      </c>
      <c r="G763" s="971">
        <v>4385</v>
      </c>
      <c r="H763" s="971" t="s">
        <v>1484</v>
      </c>
      <c r="I763" s="1273"/>
      <c r="J763" s="971" t="s">
        <v>121</v>
      </c>
      <c r="K763" s="971" t="s">
        <v>255</v>
      </c>
      <c r="L763" s="971" t="s">
        <v>2802</v>
      </c>
      <c r="M763" s="971" t="s">
        <v>255</v>
      </c>
      <c r="N763" s="971" t="s">
        <v>83</v>
      </c>
      <c r="O763" s="971" t="s">
        <v>256</v>
      </c>
      <c r="P763" s="971"/>
      <c r="Q763" s="971" t="s">
        <v>1492</v>
      </c>
      <c r="R763" s="1266"/>
      <c r="S763" s="2106">
        <v>6428.69</v>
      </c>
      <c r="T763" s="1266" t="s">
        <v>136</v>
      </c>
      <c r="U763" s="1742">
        <v>4.4491883296460179E-2</v>
      </c>
      <c r="V763" s="1742">
        <v>0.1701</v>
      </c>
      <c r="W763" s="1742">
        <v>3.92151459375</v>
      </c>
      <c r="X763" s="1742">
        <v>0.68180304577546291</v>
      </c>
      <c r="Y763" s="2106">
        <v>4.7480795457754628</v>
      </c>
      <c r="Z763" s="2106">
        <v>286.02452522912057</v>
      </c>
      <c r="AA763" s="2106">
        <v>1093.5201689999999</v>
      </c>
      <c r="AB763" s="2106">
        <v>25210.201653694687</v>
      </c>
      <c r="AC763" s="2106">
        <v>4383.1004223462605</v>
      </c>
      <c r="AD763" s="1744">
        <v>30686.822245040945</v>
      </c>
      <c r="AE763" s="2126">
        <v>0</v>
      </c>
      <c r="AF763" s="2126">
        <v>0</v>
      </c>
      <c r="AG763" s="1212">
        <v>1</v>
      </c>
      <c r="AH763" s="1212">
        <v>0</v>
      </c>
      <c r="AI763" s="1212">
        <v>0</v>
      </c>
      <c r="AJ763" s="1212">
        <v>1</v>
      </c>
      <c r="AK763" s="2126">
        <v>30686.822245040945</v>
      </c>
      <c r="AL763" s="2126">
        <v>0</v>
      </c>
      <c r="AM763" s="2126">
        <v>0</v>
      </c>
      <c r="AN763" s="2126">
        <v>30686.822245040945</v>
      </c>
      <c r="AO763" s="1743" t="s">
        <v>85</v>
      </c>
      <c r="AP763" s="1743"/>
      <c r="AQ763" s="1764">
        <v>2014</v>
      </c>
      <c r="AR763" s="1743" t="s">
        <v>87</v>
      </c>
      <c r="AS763" s="2135"/>
      <c r="AT763" s="2135"/>
      <c r="AU763" s="1212">
        <v>0.33333333333333331</v>
      </c>
      <c r="AV763" s="1212">
        <v>0.33333333333333331</v>
      </c>
      <c r="AW763" s="1212">
        <v>0.33333333333333331</v>
      </c>
      <c r="AX763" s="1212"/>
      <c r="AY763" s="1212"/>
      <c r="AZ763" s="1212"/>
      <c r="BA763" s="1212"/>
      <c r="BB763" s="1212"/>
      <c r="BC763" s="1212"/>
      <c r="BD763" s="1212"/>
      <c r="BE763" s="1212"/>
      <c r="BF763" s="2126">
        <v>0</v>
      </c>
      <c r="BG763" s="2126">
        <v>0</v>
      </c>
      <c r="BH763" s="2126">
        <v>10228.94074834698</v>
      </c>
      <c r="BI763" s="2126">
        <v>10228.94074834698</v>
      </c>
      <c r="BJ763" s="2126">
        <v>10228.94074834698</v>
      </c>
      <c r="BK763" s="2126">
        <v>0</v>
      </c>
      <c r="BL763" s="2126">
        <v>0</v>
      </c>
      <c r="BM763" s="2126">
        <v>0</v>
      </c>
      <c r="BN763" s="2126">
        <v>0</v>
      </c>
      <c r="BO763" s="2126">
        <v>0</v>
      </c>
      <c r="BP763" s="2126">
        <v>0</v>
      </c>
      <c r="BQ763" s="2126">
        <v>0</v>
      </c>
      <c r="BR763" s="2126">
        <v>0</v>
      </c>
    </row>
    <row r="764" spans="1:70" s="1765" customFormat="1" ht="33">
      <c r="A764" s="1272">
        <v>4000</v>
      </c>
      <c r="B764" s="971" t="s">
        <v>1316</v>
      </c>
      <c r="C764" s="1272">
        <v>4300</v>
      </c>
      <c r="D764" s="971" t="s">
        <v>222</v>
      </c>
      <c r="E764" s="971">
        <v>4380</v>
      </c>
      <c r="F764" s="971" t="s">
        <v>1466</v>
      </c>
      <c r="G764" s="971">
        <v>4385</v>
      </c>
      <c r="H764" s="971" t="s">
        <v>1484</v>
      </c>
      <c r="I764" s="1273"/>
      <c r="J764" s="971" t="s">
        <v>121</v>
      </c>
      <c r="K764" s="971" t="s">
        <v>150</v>
      </c>
      <c r="L764" s="971" t="s">
        <v>2800</v>
      </c>
      <c r="M764" s="971" t="s">
        <v>80</v>
      </c>
      <c r="N764" s="971" t="s">
        <v>83</v>
      </c>
      <c r="O764" s="971" t="s">
        <v>151</v>
      </c>
      <c r="P764" s="971" t="s">
        <v>152</v>
      </c>
      <c r="Q764" s="971" t="s">
        <v>1493</v>
      </c>
      <c r="R764" s="1266" t="s">
        <v>1494</v>
      </c>
      <c r="S764" s="2106">
        <v>19238</v>
      </c>
      <c r="T764" s="1266" t="s">
        <v>136</v>
      </c>
      <c r="U764" s="1742">
        <v>1.2691883296460175E-2</v>
      </c>
      <c r="V764" s="1742">
        <v>0.14624999999999999</v>
      </c>
      <c r="W764" s="1742">
        <v>1.1186625937499999</v>
      </c>
      <c r="X764" s="1742">
        <v>0.4015178457754629</v>
      </c>
      <c r="Y764" s="2106">
        <v>1.6649423457754629</v>
      </c>
      <c r="Z764" s="2106">
        <v>244.16645085730084</v>
      </c>
      <c r="AA764" s="2106">
        <v>2813.5574999999999</v>
      </c>
      <c r="AB764" s="2106">
        <v>21520.830978562499</v>
      </c>
      <c r="AC764" s="2106">
        <v>7724.4003170283549</v>
      </c>
      <c r="AD764" s="1744">
        <v>32058.788795590852</v>
      </c>
      <c r="AE764" s="2126">
        <v>0</v>
      </c>
      <c r="AF764" s="2126">
        <v>0</v>
      </c>
      <c r="AG764" s="1212">
        <v>1</v>
      </c>
      <c r="AH764" s="1212">
        <v>0</v>
      </c>
      <c r="AI764" s="1212">
        <v>0</v>
      </c>
      <c r="AJ764" s="1212">
        <v>1</v>
      </c>
      <c r="AK764" s="2126">
        <v>32058.788795590852</v>
      </c>
      <c r="AL764" s="2126">
        <v>0</v>
      </c>
      <c r="AM764" s="2126">
        <v>0</v>
      </c>
      <c r="AN764" s="2126">
        <v>32058.788795590852</v>
      </c>
      <c r="AO764" s="1743" t="s">
        <v>85</v>
      </c>
      <c r="AP764" s="1743" t="s">
        <v>90</v>
      </c>
      <c r="AQ764" s="1764">
        <v>2022</v>
      </c>
      <c r="AR764" s="1743" t="s">
        <v>87</v>
      </c>
      <c r="AS764" s="2135"/>
      <c r="AT764" s="2135"/>
      <c r="AU764" s="1212">
        <v>0.33333333333333331</v>
      </c>
      <c r="AV764" s="1212">
        <v>0.33333333333333331</v>
      </c>
      <c r="AW764" s="1212">
        <v>0.33333333333333331</v>
      </c>
      <c r="AX764" s="1212"/>
      <c r="AY764" s="1212"/>
      <c r="AZ764" s="1212"/>
      <c r="BA764" s="1212"/>
      <c r="BB764" s="1212"/>
      <c r="BC764" s="1212"/>
      <c r="BD764" s="1212"/>
      <c r="BE764" s="1212"/>
      <c r="BF764" s="2126">
        <v>0</v>
      </c>
      <c r="BG764" s="2126">
        <v>0</v>
      </c>
      <c r="BH764" s="2126">
        <v>10686.262931863617</v>
      </c>
      <c r="BI764" s="2126">
        <v>10686.262931863617</v>
      </c>
      <c r="BJ764" s="2126">
        <v>10686.262931863617</v>
      </c>
      <c r="BK764" s="2126">
        <v>0</v>
      </c>
      <c r="BL764" s="2126">
        <v>0</v>
      </c>
      <c r="BM764" s="2126">
        <v>0</v>
      </c>
      <c r="BN764" s="2126">
        <v>0</v>
      </c>
      <c r="BO764" s="2126">
        <v>0</v>
      </c>
      <c r="BP764" s="2126">
        <v>0</v>
      </c>
      <c r="BQ764" s="2126">
        <v>0</v>
      </c>
      <c r="BR764" s="2126">
        <v>0</v>
      </c>
    </row>
    <row r="765" spans="1:70" s="1765" customFormat="1" ht="49.5">
      <c r="A765" s="1272">
        <v>4000</v>
      </c>
      <c r="B765" s="971" t="s">
        <v>1316</v>
      </c>
      <c r="C765" s="1272">
        <v>4300</v>
      </c>
      <c r="D765" s="971" t="s">
        <v>222</v>
      </c>
      <c r="E765" s="971">
        <v>4380</v>
      </c>
      <c r="F765" s="971" t="s">
        <v>1466</v>
      </c>
      <c r="G765" s="971">
        <v>4385</v>
      </c>
      <c r="H765" s="971" t="s">
        <v>1484</v>
      </c>
      <c r="I765" s="1273"/>
      <c r="J765" s="971" t="s">
        <v>121</v>
      </c>
      <c r="K765" s="971" t="s">
        <v>255</v>
      </c>
      <c r="L765" s="971" t="s">
        <v>2802</v>
      </c>
      <c r="M765" s="971" t="s">
        <v>255</v>
      </c>
      <c r="N765" s="971" t="s">
        <v>83</v>
      </c>
      <c r="O765" s="971" t="s">
        <v>256</v>
      </c>
      <c r="P765" s="971"/>
      <c r="Q765" s="971" t="s">
        <v>1493</v>
      </c>
      <c r="R765" s="1266" t="s">
        <v>1494</v>
      </c>
      <c r="S765" s="2106">
        <v>6687</v>
      </c>
      <c r="T765" s="1266" t="s">
        <v>136</v>
      </c>
      <c r="U765" s="1742">
        <v>4.4491883296460179E-2</v>
      </c>
      <c r="V765" s="1742">
        <v>0.1701</v>
      </c>
      <c r="W765" s="1742">
        <v>3.92151459375</v>
      </c>
      <c r="X765" s="1742">
        <v>0.68180304577546291</v>
      </c>
      <c r="Y765" s="2106">
        <v>4.7480795457754628</v>
      </c>
      <c r="Z765" s="2106">
        <v>297.51722360342922</v>
      </c>
      <c r="AA765" s="2106">
        <v>1137.4586999999999</v>
      </c>
      <c r="AB765" s="2106">
        <v>26223.168088406252</v>
      </c>
      <c r="AC765" s="2106">
        <v>4559.2169671005204</v>
      </c>
      <c r="AD765" s="1744">
        <v>31919.843755506772</v>
      </c>
      <c r="AE765" s="2126">
        <v>0</v>
      </c>
      <c r="AF765" s="2126">
        <v>0</v>
      </c>
      <c r="AG765" s="1212">
        <v>1</v>
      </c>
      <c r="AH765" s="1212">
        <v>0</v>
      </c>
      <c r="AI765" s="1212">
        <v>0</v>
      </c>
      <c r="AJ765" s="1212">
        <v>1</v>
      </c>
      <c r="AK765" s="2126">
        <v>31919.843755506772</v>
      </c>
      <c r="AL765" s="2126">
        <v>0</v>
      </c>
      <c r="AM765" s="2126">
        <v>0</v>
      </c>
      <c r="AN765" s="2126">
        <v>31919.843755506772</v>
      </c>
      <c r="AO765" s="1743" t="s">
        <v>85</v>
      </c>
      <c r="AP765" s="1743" t="s">
        <v>90</v>
      </c>
      <c r="AQ765" s="1764">
        <v>2022</v>
      </c>
      <c r="AR765" s="1743" t="s">
        <v>87</v>
      </c>
      <c r="AS765" s="2135"/>
      <c r="AT765" s="2135"/>
      <c r="AU765" s="1212">
        <v>0.33333333333333331</v>
      </c>
      <c r="AV765" s="1212">
        <v>0.33333333333333331</v>
      </c>
      <c r="AW765" s="1212">
        <v>0.33333333333333331</v>
      </c>
      <c r="AX765" s="1212"/>
      <c r="AY765" s="1212"/>
      <c r="AZ765" s="1212"/>
      <c r="BA765" s="1212"/>
      <c r="BB765" s="1212"/>
      <c r="BC765" s="1212"/>
      <c r="BD765" s="1212"/>
      <c r="BE765" s="1212"/>
      <c r="BF765" s="2126">
        <v>0</v>
      </c>
      <c r="BG765" s="2126">
        <v>0</v>
      </c>
      <c r="BH765" s="2126">
        <v>10639.947918502257</v>
      </c>
      <c r="BI765" s="2126">
        <v>10639.947918502257</v>
      </c>
      <c r="BJ765" s="2126">
        <v>10639.947918502257</v>
      </c>
      <c r="BK765" s="2126">
        <v>0</v>
      </c>
      <c r="BL765" s="2126">
        <v>0</v>
      </c>
      <c r="BM765" s="2126">
        <v>0</v>
      </c>
      <c r="BN765" s="2126">
        <v>0</v>
      </c>
      <c r="BO765" s="2126">
        <v>0</v>
      </c>
      <c r="BP765" s="2126">
        <v>0</v>
      </c>
      <c r="BQ765" s="2126">
        <v>0</v>
      </c>
      <c r="BR765" s="2126">
        <v>0</v>
      </c>
    </row>
    <row r="766" spans="1:70" s="1765" customFormat="1" ht="33">
      <c r="A766" s="1272">
        <v>4000</v>
      </c>
      <c r="B766" s="971" t="s">
        <v>1316</v>
      </c>
      <c r="C766" s="1272">
        <v>4300</v>
      </c>
      <c r="D766" s="971" t="s">
        <v>222</v>
      </c>
      <c r="E766" s="971">
        <v>4380</v>
      </c>
      <c r="F766" s="971" t="s">
        <v>1466</v>
      </c>
      <c r="G766" s="971">
        <v>4385</v>
      </c>
      <c r="H766" s="971" t="s">
        <v>1484</v>
      </c>
      <c r="I766" s="1273"/>
      <c r="J766" s="971" t="s">
        <v>121</v>
      </c>
      <c r="K766" s="971" t="s">
        <v>150</v>
      </c>
      <c r="L766" s="971" t="s">
        <v>2800</v>
      </c>
      <c r="M766" s="971" t="s">
        <v>80</v>
      </c>
      <c r="N766" s="971" t="s">
        <v>83</v>
      </c>
      <c r="O766" s="971" t="s">
        <v>151</v>
      </c>
      <c r="P766" s="971" t="s">
        <v>152</v>
      </c>
      <c r="Q766" s="971" t="s">
        <v>1495</v>
      </c>
      <c r="R766" s="1266" t="s">
        <v>1496</v>
      </c>
      <c r="S766" s="2106">
        <v>58324</v>
      </c>
      <c r="T766" s="1266" t="s">
        <v>136</v>
      </c>
      <c r="U766" s="1742">
        <v>1.2691883296460175E-2</v>
      </c>
      <c r="V766" s="1742">
        <v>0.14624999999999999</v>
      </c>
      <c r="W766" s="1742">
        <v>1.1186625937499999</v>
      </c>
      <c r="X766" s="1742">
        <v>0.4015178457754629</v>
      </c>
      <c r="Y766" s="2106">
        <v>1.6649423457754629</v>
      </c>
      <c r="Z766" s="2106">
        <v>740.24140138274322</v>
      </c>
      <c r="AA766" s="2106">
        <v>8529.8850000000002</v>
      </c>
      <c r="AB766" s="2106">
        <v>65244.877117874996</v>
      </c>
      <c r="AC766" s="2106">
        <v>23418.126837008098</v>
      </c>
      <c r="AD766" s="1744">
        <v>97192.888954883092</v>
      </c>
      <c r="AE766" s="2126">
        <v>0</v>
      </c>
      <c r="AF766" s="2126">
        <v>0</v>
      </c>
      <c r="AG766" s="1212">
        <v>1</v>
      </c>
      <c r="AH766" s="1212">
        <v>0</v>
      </c>
      <c r="AI766" s="1212">
        <v>0</v>
      </c>
      <c r="AJ766" s="1212">
        <v>1</v>
      </c>
      <c r="AK766" s="2126">
        <v>97192.888954883092</v>
      </c>
      <c r="AL766" s="2126">
        <v>0</v>
      </c>
      <c r="AM766" s="2126">
        <v>0</v>
      </c>
      <c r="AN766" s="2126">
        <v>97192.888954883092</v>
      </c>
      <c r="AO766" s="1743" t="s">
        <v>85</v>
      </c>
      <c r="AP766" s="1743" t="s">
        <v>90</v>
      </c>
      <c r="AQ766" s="1764">
        <v>2022</v>
      </c>
      <c r="AR766" s="1743" t="s">
        <v>87</v>
      </c>
      <c r="AS766" s="2135"/>
      <c r="AT766" s="2135"/>
      <c r="AU766" s="1212">
        <v>0.33333333333333331</v>
      </c>
      <c r="AV766" s="1212">
        <v>0.33333333333333331</v>
      </c>
      <c r="AW766" s="1212">
        <v>0.33333333333333331</v>
      </c>
      <c r="AX766" s="1212"/>
      <c r="AY766" s="1212"/>
      <c r="AZ766" s="1212"/>
      <c r="BA766" s="1212"/>
      <c r="BB766" s="1212"/>
      <c r="BC766" s="1212"/>
      <c r="BD766" s="1212"/>
      <c r="BE766" s="1212"/>
      <c r="BF766" s="2126">
        <v>0</v>
      </c>
      <c r="BG766" s="2126">
        <v>0</v>
      </c>
      <c r="BH766" s="2126">
        <v>32397.629651627696</v>
      </c>
      <c r="BI766" s="2126">
        <v>32397.629651627696</v>
      </c>
      <c r="BJ766" s="2126">
        <v>32397.629651627696</v>
      </c>
      <c r="BK766" s="2126">
        <v>0</v>
      </c>
      <c r="BL766" s="2126">
        <v>0</v>
      </c>
      <c r="BM766" s="2126">
        <v>0</v>
      </c>
      <c r="BN766" s="2126">
        <v>0</v>
      </c>
      <c r="BO766" s="2126">
        <v>0</v>
      </c>
      <c r="BP766" s="2126">
        <v>0</v>
      </c>
      <c r="BQ766" s="2126">
        <v>0</v>
      </c>
      <c r="BR766" s="2126">
        <v>0</v>
      </c>
    </row>
    <row r="767" spans="1:70" s="1765" customFormat="1" ht="49.5">
      <c r="A767" s="1272">
        <v>4000</v>
      </c>
      <c r="B767" s="971" t="s">
        <v>1316</v>
      </c>
      <c r="C767" s="1272">
        <v>4300</v>
      </c>
      <c r="D767" s="971" t="s">
        <v>222</v>
      </c>
      <c r="E767" s="971">
        <v>4380</v>
      </c>
      <c r="F767" s="971" t="s">
        <v>1466</v>
      </c>
      <c r="G767" s="971">
        <v>4385</v>
      </c>
      <c r="H767" s="971" t="s">
        <v>1484</v>
      </c>
      <c r="I767" s="1273"/>
      <c r="J767" s="971" t="s">
        <v>121</v>
      </c>
      <c r="K767" s="971" t="s">
        <v>255</v>
      </c>
      <c r="L767" s="971" t="s">
        <v>2802</v>
      </c>
      <c r="M767" s="971" t="s">
        <v>255</v>
      </c>
      <c r="N767" s="971" t="s">
        <v>83</v>
      </c>
      <c r="O767" s="971" t="s">
        <v>256</v>
      </c>
      <c r="P767" s="971"/>
      <c r="Q767" s="971" t="s">
        <v>1495</v>
      </c>
      <c r="R767" s="1266" t="s">
        <v>1496</v>
      </c>
      <c r="S767" s="2106">
        <v>20678</v>
      </c>
      <c r="T767" s="1266" t="s">
        <v>136</v>
      </c>
      <c r="U767" s="1742">
        <v>4.4491883296460179E-2</v>
      </c>
      <c r="V767" s="1742">
        <v>0.1701</v>
      </c>
      <c r="W767" s="1742">
        <v>3.92151459375</v>
      </c>
      <c r="X767" s="1742">
        <v>0.68180304577546291</v>
      </c>
      <c r="Y767" s="2106">
        <v>4.7480795457754628</v>
      </c>
      <c r="Z767" s="2106">
        <v>920.00316280420361</v>
      </c>
      <c r="AA767" s="2106">
        <v>3517.3278</v>
      </c>
      <c r="AB767" s="2106">
        <v>81089.078769562504</v>
      </c>
      <c r="AC767" s="2106">
        <v>14098.323380545022</v>
      </c>
      <c r="AD767" s="1744">
        <v>98704.729950107518</v>
      </c>
      <c r="AE767" s="2126">
        <v>0</v>
      </c>
      <c r="AF767" s="2126">
        <v>0</v>
      </c>
      <c r="AG767" s="1212">
        <v>1</v>
      </c>
      <c r="AH767" s="1212">
        <v>0</v>
      </c>
      <c r="AI767" s="1212">
        <v>0</v>
      </c>
      <c r="AJ767" s="1212">
        <v>1</v>
      </c>
      <c r="AK767" s="2126">
        <v>98704.729950107518</v>
      </c>
      <c r="AL767" s="2126">
        <v>0</v>
      </c>
      <c r="AM767" s="2126">
        <v>0</v>
      </c>
      <c r="AN767" s="2126">
        <v>98704.729950107518</v>
      </c>
      <c r="AO767" s="1743" t="s">
        <v>85</v>
      </c>
      <c r="AP767" s="1743" t="s">
        <v>90</v>
      </c>
      <c r="AQ767" s="1764">
        <v>2022</v>
      </c>
      <c r="AR767" s="1743" t="s">
        <v>87</v>
      </c>
      <c r="AS767" s="2135"/>
      <c r="AT767" s="2135"/>
      <c r="AU767" s="1212">
        <v>0.33333333333333331</v>
      </c>
      <c r="AV767" s="1212">
        <v>0.33333333333333331</v>
      </c>
      <c r="AW767" s="1212">
        <v>0.33333333333333331</v>
      </c>
      <c r="AX767" s="1212"/>
      <c r="AY767" s="1212"/>
      <c r="AZ767" s="1212"/>
      <c r="BA767" s="1212"/>
      <c r="BB767" s="1212"/>
      <c r="BC767" s="1212"/>
      <c r="BD767" s="1212"/>
      <c r="BE767" s="1212"/>
      <c r="BF767" s="2126">
        <v>0</v>
      </c>
      <c r="BG767" s="2126">
        <v>0</v>
      </c>
      <c r="BH767" s="2126">
        <v>32901.576650035837</v>
      </c>
      <c r="BI767" s="2126">
        <v>32901.576650035837</v>
      </c>
      <c r="BJ767" s="2126">
        <v>32901.576650035837</v>
      </c>
      <c r="BK767" s="2126">
        <v>0</v>
      </c>
      <c r="BL767" s="2126">
        <v>0</v>
      </c>
      <c r="BM767" s="2126">
        <v>0</v>
      </c>
      <c r="BN767" s="2126">
        <v>0</v>
      </c>
      <c r="BO767" s="2126">
        <v>0</v>
      </c>
      <c r="BP767" s="2126">
        <v>0</v>
      </c>
      <c r="BQ767" s="2126">
        <v>0</v>
      </c>
      <c r="BR767" s="2126">
        <v>0</v>
      </c>
    </row>
    <row r="768" spans="1:70" s="1765" customFormat="1" ht="49.5">
      <c r="A768" s="1272">
        <v>4000</v>
      </c>
      <c r="B768" s="971" t="s">
        <v>1316</v>
      </c>
      <c r="C768" s="1272">
        <v>4300</v>
      </c>
      <c r="D768" s="971" t="s">
        <v>222</v>
      </c>
      <c r="E768" s="971">
        <v>4380</v>
      </c>
      <c r="F768" s="971" t="s">
        <v>1466</v>
      </c>
      <c r="G768" s="971">
        <v>4385</v>
      </c>
      <c r="H768" s="971" t="s">
        <v>1484</v>
      </c>
      <c r="I768" s="1273"/>
      <c r="J768" s="971" t="s">
        <v>121</v>
      </c>
      <c r="K768" s="971" t="s">
        <v>255</v>
      </c>
      <c r="L768" s="971" t="s">
        <v>2802</v>
      </c>
      <c r="M768" s="971" t="s">
        <v>255</v>
      </c>
      <c r="N768" s="971" t="s">
        <v>83</v>
      </c>
      <c r="O768" s="971" t="s">
        <v>256</v>
      </c>
      <c r="P768" s="971"/>
      <c r="Q768" s="971" t="s">
        <v>1497</v>
      </c>
      <c r="R768" s="1266" t="s">
        <v>1498</v>
      </c>
      <c r="S768" s="2106">
        <v>10000</v>
      </c>
      <c r="T768" s="1266" t="s">
        <v>136</v>
      </c>
      <c r="U768" s="1742">
        <v>4.4491883296460179E-2</v>
      </c>
      <c r="V768" s="1742">
        <v>0.1701</v>
      </c>
      <c r="W768" s="1742">
        <v>3.92151459375</v>
      </c>
      <c r="X768" s="1742">
        <v>0.68180304577546291</v>
      </c>
      <c r="Y768" s="2106">
        <v>4.7480795457754628</v>
      </c>
      <c r="Z768" s="2106">
        <v>444.91883296460179</v>
      </c>
      <c r="AA768" s="2106">
        <v>1701</v>
      </c>
      <c r="AB768" s="2106">
        <v>39215.145937499998</v>
      </c>
      <c r="AC768" s="2106">
        <v>6818.0304577546294</v>
      </c>
      <c r="AD768" s="1744">
        <v>47734.176395254624</v>
      </c>
      <c r="AE768" s="2126">
        <v>0</v>
      </c>
      <c r="AF768" s="2126">
        <v>0</v>
      </c>
      <c r="AG768" s="1212">
        <v>1</v>
      </c>
      <c r="AH768" s="1212">
        <v>0</v>
      </c>
      <c r="AI768" s="1212">
        <v>0</v>
      </c>
      <c r="AJ768" s="1212">
        <v>1</v>
      </c>
      <c r="AK768" s="2126">
        <v>47734.176395254624</v>
      </c>
      <c r="AL768" s="2126">
        <v>0</v>
      </c>
      <c r="AM768" s="2126">
        <v>0</v>
      </c>
      <c r="AN768" s="2126">
        <v>47734.176395254624</v>
      </c>
      <c r="AO768" s="1743" t="s">
        <v>85</v>
      </c>
      <c r="AP768" s="1743" t="s">
        <v>90</v>
      </c>
      <c r="AQ768" s="1764">
        <v>2022</v>
      </c>
      <c r="AR768" s="1743" t="s">
        <v>87</v>
      </c>
      <c r="AS768" s="2135"/>
      <c r="AT768" s="2135"/>
      <c r="AU768" s="1212">
        <v>0.33333333333333331</v>
      </c>
      <c r="AV768" s="1212">
        <v>0.33333333333333331</v>
      </c>
      <c r="AW768" s="1212">
        <v>0.33333333333333331</v>
      </c>
      <c r="AX768" s="1212"/>
      <c r="AY768" s="1212"/>
      <c r="AZ768" s="1212"/>
      <c r="BA768" s="1212"/>
      <c r="BB768" s="1212"/>
      <c r="BC768" s="1212"/>
      <c r="BD768" s="1212"/>
      <c r="BE768" s="1212"/>
      <c r="BF768" s="2126">
        <v>0</v>
      </c>
      <c r="BG768" s="2126">
        <v>0</v>
      </c>
      <c r="BH768" s="2126">
        <v>15911.392131751541</v>
      </c>
      <c r="BI768" s="2126">
        <v>15911.392131751541</v>
      </c>
      <c r="BJ768" s="2126">
        <v>15911.392131751541</v>
      </c>
      <c r="BK768" s="2126">
        <v>0</v>
      </c>
      <c r="BL768" s="2126">
        <v>0</v>
      </c>
      <c r="BM768" s="2126">
        <v>0</v>
      </c>
      <c r="BN768" s="2126">
        <v>0</v>
      </c>
      <c r="BO768" s="2126">
        <v>0</v>
      </c>
      <c r="BP768" s="2126">
        <v>0</v>
      </c>
      <c r="BQ768" s="2126">
        <v>0</v>
      </c>
      <c r="BR768" s="2126">
        <v>0</v>
      </c>
    </row>
    <row r="769" spans="1:70" s="1765" customFormat="1" ht="49.5">
      <c r="A769" s="1272">
        <v>4000</v>
      </c>
      <c r="B769" s="971" t="s">
        <v>1316</v>
      </c>
      <c r="C769" s="1272">
        <v>4300</v>
      </c>
      <c r="D769" s="971" t="s">
        <v>222</v>
      </c>
      <c r="E769" s="971" t="s">
        <v>1471</v>
      </c>
      <c r="F769" s="971" t="s">
        <v>1466</v>
      </c>
      <c r="G769" s="971">
        <v>4385</v>
      </c>
      <c r="H769" s="971" t="s">
        <v>1484</v>
      </c>
      <c r="I769" s="1273" t="s">
        <v>1499</v>
      </c>
      <c r="J769" s="971" t="s">
        <v>638</v>
      </c>
      <c r="K769" s="971"/>
      <c r="L769" s="971" t="e">
        <v>#N/A</v>
      </c>
      <c r="M769" s="971" t="s">
        <v>988</v>
      </c>
      <c r="N769" s="971" t="s">
        <v>640</v>
      </c>
      <c r="O769" s="971" t="s">
        <v>988</v>
      </c>
      <c r="P769" s="971"/>
      <c r="Q769" s="971" t="s">
        <v>1500</v>
      </c>
      <c r="R769" s="1266" t="s">
        <v>1501</v>
      </c>
      <c r="S769" s="2106">
        <v>2610</v>
      </c>
      <c r="T769" s="1266" t="s">
        <v>991</v>
      </c>
      <c r="U769" s="1742" t="s">
        <v>6588</v>
      </c>
      <c r="V769" s="1742" t="s">
        <v>6588</v>
      </c>
      <c r="W769" s="1742" t="s">
        <v>6588</v>
      </c>
      <c r="X769" s="1742" t="s">
        <v>6588</v>
      </c>
      <c r="Y769" s="2106" t="s">
        <v>6588</v>
      </c>
      <c r="Z769" s="2106">
        <v>0</v>
      </c>
      <c r="AA769" s="2106">
        <v>0</v>
      </c>
      <c r="AB769" s="2106">
        <v>0</v>
      </c>
      <c r="AC769" s="2106">
        <v>0</v>
      </c>
      <c r="AD769" s="2132">
        <v>0</v>
      </c>
      <c r="AE769" s="2126">
        <v>0</v>
      </c>
      <c r="AF769" s="2126">
        <v>0</v>
      </c>
      <c r="AG769" s="1212">
        <v>1</v>
      </c>
      <c r="AH769" s="1212">
        <v>0</v>
      </c>
      <c r="AI769" s="1212">
        <v>1</v>
      </c>
      <c r="AJ769" s="1212">
        <v>0</v>
      </c>
      <c r="AK769" s="2126">
        <v>0</v>
      </c>
      <c r="AL769" s="2126">
        <v>0</v>
      </c>
      <c r="AM769" s="2126">
        <v>0</v>
      </c>
      <c r="AN769" s="2126">
        <v>0</v>
      </c>
      <c r="AO769" s="1743" t="s">
        <v>85</v>
      </c>
      <c r="AP769" s="1743"/>
      <c r="AQ769" s="1764">
        <v>2014</v>
      </c>
      <c r="AR769" s="1743" t="s">
        <v>87</v>
      </c>
      <c r="AS769" s="2135"/>
      <c r="AT769" s="2135"/>
      <c r="AU769" s="1212">
        <v>0.33333333333333331</v>
      </c>
      <c r="AV769" s="1212">
        <v>0.33333333333333331</v>
      </c>
      <c r="AW769" s="1212">
        <v>0.33333333333333331</v>
      </c>
      <c r="AX769" s="1212"/>
      <c r="AY769" s="1212"/>
      <c r="AZ769" s="1212"/>
      <c r="BA769" s="1212"/>
      <c r="BB769" s="1212"/>
      <c r="BC769" s="1212"/>
      <c r="BD769" s="1212"/>
      <c r="BE769" s="1212"/>
      <c r="BF769" s="2126">
        <v>0</v>
      </c>
      <c r="BG769" s="2126">
        <v>0</v>
      </c>
      <c r="BH769" s="2126">
        <v>0</v>
      </c>
      <c r="BI769" s="2126">
        <v>0</v>
      </c>
      <c r="BJ769" s="2126">
        <v>0</v>
      </c>
      <c r="BK769" s="2126">
        <v>0</v>
      </c>
      <c r="BL769" s="2126">
        <v>0</v>
      </c>
      <c r="BM769" s="2126">
        <v>0</v>
      </c>
      <c r="BN769" s="2126">
        <v>0</v>
      </c>
      <c r="BO769" s="2126">
        <v>0</v>
      </c>
      <c r="BP769" s="2126">
        <v>0</v>
      </c>
      <c r="BQ769" s="2126">
        <v>0</v>
      </c>
      <c r="BR769" s="2126">
        <v>0</v>
      </c>
    </row>
    <row r="770" spans="1:70" s="1765" customFormat="1" ht="66">
      <c r="A770" s="1272">
        <v>4000</v>
      </c>
      <c r="B770" s="971" t="s">
        <v>1316</v>
      </c>
      <c r="C770" s="1272">
        <v>4300</v>
      </c>
      <c r="D770" s="971" t="s">
        <v>222</v>
      </c>
      <c r="E770" s="971" t="s">
        <v>1471</v>
      </c>
      <c r="F770" s="971" t="s">
        <v>1466</v>
      </c>
      <c r="G770" s="971">
        <v>4382</v>
      </c>
      <c r="H770" s="971" t="s">
        <v>1502</v>
      </c>
      <c r="I770" s="1273" t="s">
        <v>1503</v>
      </c>
      <c r="J770" s="971" t="s">
        <v>124</v>
      </c>
      <c r="K770" s="971" t="s">
        <v>1747</v>
      </c>
      <c r="L770" s="971" t="s">
        <v>6606</v>
      </c>
      <c r="M770" s="971" t="s">
        <v>606</v>
      </c>
      <c r="N770" s="971" t="s">
        <v>488</v>
      </c>
      <c r="O770" s="971" t="s">
        <v>518</v>
      </c>
      <c r="P770" s="971"/>
      <c r="Q770" s="971" t="s">
        <v>1504</v>
      </c>
      <c r="R770" s="1266" t="s">
        <v>1505</v>
      </c>
      <c r="S770" s="2106">
        <v>334.57249070631968</v>
      </c>
      <c r="T770" s="1266" t="s">
        <v>136</v>
      </c>
      <c r="U770" s="1742">
        <v>0.56041666666666667</v>
      </c>
      <c r="V770" s="1742">
        <v>1.9614583333333333</v>
      </c>
      <c r="W770" s="1742">
        <v>49.395125</v>
      </c>
      <c r="X770" s="1742">
        <v>77.264645833333333</v>
      </c>
      <c r="Y770" s="2106">
        <v>128.62122916666667</v>
      </c>
      <c r="Z770" s="2106">
        <v>187.5</v>
      </c>
      <c r="AA770" s="2106">
        <v>656.25</v>
      </c>
      <c r="AB770" s="2106">
        <v>16526.25</v>
      </c>
      <c r="AC770" s="2106">
        <v>25850.625</v>
      </c>
      <c r="AD770" s="1744">
        <v>43033.125</v>
      </c>
      <c r="AE770" s="2126">
        <v>1</v>
      </c>
      <c r="AF770" s="2126">
        <v>334.57249070631968</v>
      </c>
      <c r="AG770" s="1212">
        <v>1</v>
      </c>
      <c r="AH770" s="1212">
        <v>0</v>
      </c>
      <c r="AI770" s="1212">
        <v>0</v>
      </c>
      <c r="AJ770" s="1212">
        <v>1</v>
      </c>
      <c r="AK770" s="2126">
        <v>43033.125</v>
      </c>
      <c r="AL770" s="2126">
        <v>0</v>
      </c>
      <c r="AM770" s="2126">
        <v>0</v>
      </c>
      <c r="AN770" s="2126">
        <v>43033.125</v>
      </c>
      <c r="AO770" s="1743" t="s">
        <v>85</v>
      </c>
      <c r="AP770" s="1743"/>
      <c r="AQ770" s="1764">
        <v>2014</v>
      </c>
      <c r="AR770" s="1743" t="s">
        <v>87</v>
      </c>
      <c r="AS770" s="2135"/>
      <c r="AT770" s="2135"/>
      <c r="AU770" s="1212">
        <v>0.33333333333333331</v>
      </c>
      <c r="AV770" s="1212">
        <v>0.33333333333333331</v>
      </c>
      <c r="AW770" s="1212">
        <v>0.33333333333333331</v>
      </c>
      <c r="AX770" s="1212"/>
      <c r="AY770" s="1212"/>
      <c r="AZ770" s="1212"/>
      <c r="BA770" s="1212"/>
      <c r="BB770" s="1212"/>
      <c r="BC770" s="1212"/>
      <c r="BD770" s="1212"/>
      <c r="BE770" s="1212"/>
      <c r="BF770" s="2126">
        <v>0</v>
      </c>
      <c r="BG770" s="2126">
        <v>0</v>
      </c>
      <c r="BH770" s="2126">
        <v>14344.375</v>
      </c>
      <c r="BI770" s="2126">
        <v>14344.375</v>
      </c>
      <c r="BJ770" s="2126">
        <v>14344.375</v>
      </c>
      <c r="BK770" s="2126">
        <v>0</v>
      </c>
      <c r="BL770" s="2126">
        <v>0</v>
      </c>
      <c r="BM770" s="2126">
        <v>0</v>
      </c>
      <c r="BN770" s="2126">
        <v>0</v>
      </c>
      <c r="BO770" s="2126">
        <v>0</v>
      </c>
      <c r="BP770" s="2126">
        <v>0</v>
      </c>
      <c r="BQ770" s="2126">
        <v>0</v>
      </c>
      <c r="BR770" s="2126">
        <v>0</v>
      </c>
    </row>
    <row r="771" spans="1:70" s="1765" customFormat="1" ht="49.5">
      <c r="A771" s="1272">
        <v>4000</v>
      </c>
      <c r="B771" s="971" t="s">
        <v>1316</v>
      </c>
      <c r="C771" s="1272">
        <v>4300</v>
      </c>
      <c r="D771" s="971" t="s">
        <v>222</v>
      </c>
      <c r="E771" s="971" t="s">
        <v>1471</v>
      </c>
      <c r="F771" s="971" t="s">
        <v>1466</v>
      </c>
      <c r="G771" s="971">
        <v>4382</v>
      </c>
      <c r="H771" s="971" t="s">
        <v>1502</v>
      </c>
      <c r="I771" s="1273" t="s">
        <v>1506</v>
      </c>
      <c r="J771" s="971" t="s">
        <v>124</v>
      </c>
      <c r="K771" s="971" t="s">
        <v>523</v>
      </c>
      <c r="L771" s="971" t="s">
        <v>6607</v>
      </c>
      <c r="M771" s="971" t="s">
        <v>523</v>
      </c>
      <c r="N771" s="971" t="s">
        <v>141</v>
      </c>
      <c r="O771" s="971" t="s">
        <v>524</v>
      </c>
      <c r="P771" s="971"/>
      <c r="Q771" s="971" t="s">
        <v>1507</v>
      </c>
      <c r="R771" s="1266" t="s">
        <v>1505</v>
      </c>
      <c r="S771" s="2106">
        <v>334.57249070631968</v>
      </c>
      <c r="T771" s="1266" t="s">
        <v>136</v>
      </c>
      <c r="U771" s="1742">
        <v>0.14520631503408685</v>
      </c>
      <c r="V771" s="1742">
        <v>1.8150789379260854</v>
      </c>
      <c r="W771" s="1742">
        <v>12.798484607104415</v>
      </c>
      <c r="X771" s="1742">
        <v>20.019594653749554</v>
      </c>
      <c r="Y771" s="2106">
        <v>34.633158198780052</v>
      </c>
      <c r="Z771" s="2106">
        <v>48.582038487240951</v>
      </c>
      <c r="AA771" s="2106">
        <v>607.27548109051179</v>
      </c>
      <c r="AB771" s="2106">
        <v>4282.020872265417</v>
      </c>
      <c r="AC771" s="2106">
        <v>6698.0056462359098</v>
      </c>
      <c r="AD771" s="1744">
        <v>11587.301999591838</v>
      </c>
      <c r="AE771" s="2126">
        <v>0.75</v>
      </c>
      <c r="AF771" s="2126">
        <v>250.92936802973975</v>
      </c>
      <c r="AG771" s="1212">
        <v>1</v>
      </c>
      <c r="AH771" s="1212">
        <v>0</v>
      </c>
      <c r="AI771" s="1212">
        <v>0</v>
      </c>
      <c r="AJ771" s="1212">
        <v>1</v>
      </c>
      <c r="AK771" s="2126">
        <v>11587.301999591838</v>
      </c>
      <c r="AL771" s="2126">
        <v>0</v>
      </c>
      <c r="AM771" s="2126">
        <v>0</v>
      </c>
      <c r="AN771" s="2126">
        <v>11587.301999591838</v>
      </c>
      <c r="AO771" s="1743" t="s">
        <v>85</v>
      </c>
      <c r="AP771" s="1743"/>
      <c r="AQ771" s="1764">
        <v>2014</v>
      </c>
      <c r="AR771" s="1743" t="s">
        <v>87</v>
      </c>
      <c r="AS771" s="2135"/>
      <c r="AT771" s="2135"/>
      <c r="AU771" s="1212">
        <v>0.33333333333333331</v>
      </c>
      <c r="AV771" s="1212">
        <v>0.33333333333333331</v>
      </c>
      <c r="AW771" s="1212">
        <v>0.33333333333333331</v>
      </c>
      <c r="AX771" s="1212"/>
      <c r="AY771" s="1212"/>
      <c r="AZ771" s="1212"/>
      <c r="BA771" s="1212"/>
      <c r="BB771" s="1212"/>
      <c r="BC771" s="1212"/>
      <c r="BD771" s="1212"/>
      <c r="BE771" s="1212"/>
      <c r="BF771" s="2126">
        <v>0</v>
      </c>
      <c r="BG771" s="2126">
        <v>0</v>
      </c>
      <c r="BH771" s="2126">
        <v>3862.4339998639462</v>
      </c>
      <c r="BI771" s="2126">
        <v>3862.4339998639462</v>
      </c>
      <c r="BJ771" s="2126">
        <v>3862.4339998639462</v>
      </c>
      <c r="BK771" s="2126">
        <v>0</v>
      </c>
      <c r="BL771" s="2126">
        <v>0</v>
      </c>
      <c r="BM771" s="2126">
        <v>0</v>
      </c>
      <c r="BN771" s="2126">
        <v>0</v>
      </c>
      <c r="BO771" s="2126">
        <v>0</v>
      </c>
      <c r="BP771" s="2126">
        <v>0</v>
      </c>
      <c r="BQ771" s="2126">
        <v>0</v>
      </c>
      <c r="BR771" s="2126">
        <v>0</v>
      </c>
    </row>
    <row r="772" spans="1:70" s="1765" customFormat="1" ht="33">
      <c r="A772" s="1272">
        <v>4000</v>
      </c>
      <c r="B772" s="971" t="s">
        <v>1316</v>
      </c>
      <c r="C772" s="1272">
        <v>4300</v>
      </c>
      <c r="D772" s="971" t="s">
        <v>222</v>
      </c>
      <c r="E772" s="971" t="s">
        <v>1471</v>
      </c>
      <c r="F772" s="971" t="s">
        <v>1466</v>
      </c>
      <c r="G772" s="971">
        <v>4382</v>
      </c>
      <c r="H772" s="971" t="s">
        <v>1502</v>
      </c>
      <c r="I772" s="1273" t="s">
        <v>1508</v>
      </c>
      <c r="J772" s="971" t="s">
        <v>124</v>
      </c>
      <c r="K772" s="971" t="s">
        <v>140</v>
      </c>
      <c r="L772" s="971" t="s">
        <v>2909</v>
      </c>
      <c r="M772" s="971" t="s">
        <v>140</v>
      </c>
      <c r="N772" s="971" t="s">
        <v>141</v>
      </c>
      <c r="O772" s="971" t="s">
        <v>142</v>
      </c>
      <c r="P772" s="971"/>
      <c r="Q772" s="971" t="s">
        <v>1509</v>
      </c>
      <c r="R772" s="1266" t="s">
        <v>1505</v>
      </c>
      <c r="S772" s="2106">
        <v>334.57249070631968</v>
      </c>
      <c r="T772" s="1266" t="s">
        <v>136</v>
      </c>
      <c r="U772" s="1742">
        <v>0</v>
      </c>
      <c r="V772" s="1742">
        <v>0</v>
      </c>
      <c r="W772" s="1742">
        <v>0</v>
      </c>
      <c r="X772" s="1742">
        <v>0</v>
      </c>
      <c r="Y772" s="2106">
        <v>0</v>
      </c>
      <c r="Z772" s="2106">
        <v>0</v>
      </c>
      <c r="AA772" s="2106">
        <v>0</v>
      </c>
      <c r="AB772" s="2106">
        <v>0</v>
      </c>
      <c r="AC772" s="2106">
        <v>0</v>
      </c>
      <c r="AD772" s="1744">
        <v>0</v>
      </c>
      <c r="AE772" s="2126">
        <v>0</v>
      </c>
      <c r="AF772" s="2126">
        <v>0</v>
      </c>
      <c r="AG772" s="1212">
        <v>1</v>
      </c>
      <c r="AH772" s="1212">
        <v>0</v>
      </c>
      <c r="AI772" s="1212">
        <v>0</v>
      </c>
      <c r="AJ772" s="1212">
        <v>1</v>
      </c>
      <c r="AK772" s="2126">
        <v>0</v>
      </c>
      <c r="AL772" s="2126">
        <v>0</v>
      </c>
      <c r="AM772" s="2126">
        <v>0</v>
      </c>
      <c r="AN772" s="2126">
        <v>0</v>
      </c>
      <c r="AO772" s="1743" t="s">
        <v>85</v>
      </c>
      <c r="AP772" s="1743"/>
      <c r="AQ772" s="1764">
        <v>2014</v>
      </c>
      <c r="AR772" s="1743" t="s">
        <v>87</v>
      </c>
      <c r="AS772" s="2135"/>
      <c r="AT772" s="2135"/>
      <c r="AU772" s="1212">
        <v>0.33333333333333331</v>
      </c>
      <c r="AV772" s="1212">
        <v>0.33333333333333331</v>
      </c>
      <c r="AW772" s="1212">
        <v>0.33333333333333331</v>
      </c>
      <c r="AX772" s="1212"/>
      <c r="AY772" s="1212"/>
      <c r="AZ772" s="1212"/>
      <c r="BA772" s="1212"/>
      <c r="BB772" s="1212"/>
      <c r="BC772" s="1212"/>
      <c r="BD772" s="1212"/>
      <c r="BE772" s="1212"/>
      <c r="BF772" s="2126">
        <v>0</v>
      </c>
      <c r="BG772" s="2126">
        <v>0</v>
      </c>
      <c r="BH772" s="2126">
        <v>0</v>
      </c>
      <c r="BI772" s="2126">
        <v>0</v>
      </c>
      <c r="BJ772" s="2126">
        <v>0</v>
      </c>
      <c r="BK772" s="2126">
        <v>0</v>
      </c>
      <c r="BL772" s="2126">
        <v>0</v>
      </c>
      <c r="BM772" s="2126">
        <v>0</v>
      </c>
      <c r="BN772" s="2126">
        <v>0</v>
      </c>
      <c r="BO772" s="2126">
        <v>0</v>
      </c>
      <c r="BP772" s="2126">
        <v>0</v>
      </c>
      <c r="BQ772" s="2126">
        <v>0</v>
      </c>
      <c r="BR772" s="2126">
        <v>0</v>
      </c>
    </row>
    <row r="773" spans="1:70" s="1765" customFormat="1" ht="33">
      <c r="A773" s="1272">
        <v>4000</v>
      </c>
      <c r="B773" s="971" t="s">
        <v>1316</v>
      </c>
      <c r="C773" s="1272">
        <v>4300</v>
      </c>
      <c r="D773" s="971" t="s">
        <v>222</v>
      </c>
      <c r="E773" s="971">
        <v>4380</v>
      </c>
      <c r="F773" s="971" t="s">
        <v>1466</v>
      </c>
      <c r="G773" s="971">
        <v>4382</v>
      </c>
      <c r="H773" s="971" t="s">
        <v>1502</v>
      </c>
      <c r="I773" s="1273"/>
      <c r="J773" s="971" t="s">
        <v>121</v>
      </c>
      <c r="K773" s="971" t="s">
        <v>150</v>
      </c>
      <c r="L773" s="971" t="s">
        <v>2800</v>
      </c>
      <c r="M773" s="971" t="s">
        <v>80</v>
      </c>
      <c r="N773" s="971" t="s">
        <v>83</v>
      </c>
      <c r="O773" s="971" t="s">
        <v>151</v>
      </c>
      <c r="P773" s="971" t="s">
        <v>152</v>
      </c>
      <c r="Q773" s="971" t="s">
        <v>1510</v>
      </c>
      <c r="R773" s="1266"/>
      <c r="S773" s="2106">
        <v>13000</v>
      </c>
      <c r="T773" s="1266" t="s">
        <v>136</v>
      </c>
      <c r="U773" s="1742">
        <v>1.2691883296460175E-2</v>
      </c>
      <c r="V773" s="1742">
        <v>0.14624999999999999</v>
      </c>
      <c r="W773" s="1742">
        <v>1.1186625937499999</v>
      </c>
      <c r="X773" s="1742">
        <v>0.4015178457754629</v>
      </c>
      <c r="Y773" s="2106">
        <v>1.6649423457754629</v>
      </c>
      <c r="Z773" s="2106">
        <v>164.99448285398228</v>
      </c>
      <c r="AA773" s="2106">
        <v>1901.2499999999998</v>
      </c>
      <c r="AB773" s="2106">
        <v>14542.613718749999</v>
      </c>
      <c r="AC773" s="2106">
        <v>5219.7319950810179</v>
      </c>
      <c r="AD773" s="1744">
        <v>21663.595713831019</v>
      </c>
      <c r="AE773" s="2126">
        <v>0</v>
      </c>
      <c r="AF773" s="2126">
        <v>0</v>
      </c>
      <c r="AG773" s="1212">
        <v>1</v>
      </c>
      <c r="AH773" s="1212">
        <v>0</v>
      </c>
      <c r="AI773" s="1212">
        <v>0</v>
      </c>
      <c r="AJ773" s="1212">
        <v>1</v>
      </c>
      <c r="AK773" s="2126">
        <v>21663.595713831019</v>
      </c>
      <c r="AL773" s="2126">
        <v>0</v>
      </c>
      <c r="AM773" s="2126">
        <v>0</v>
      </c>
      <c r="AN773" s="2126">
        <v>21663.595713831019</v>
      </c>
      <c r="AO773" s="1743" t="s">
        <v>85</v>
      </c>
      <c r="AP773" s="1743" t="s">
        <v>1167</v>
      </c>
      <c r="AQ773" s="1764">
        <v>2015</v>
      </c>
      <c r="AR773" s="1743" t="s">
        <v>87</v>
      </c>
      <c r="AS773" s="2135"/>
      <c r="AT773" s="2135"/>
      <c r="AU773" s="1212">
        <v>1</v>
      </c>
      <c r="AV773" s="1212"/>
      <c r="AW773" s="1212"/>
      <c r="AX773" s="1212"/>
      <c r="AY773" s="1212"/>
      <c r="AZ773" s="1212"/>
      <c r="BA773" s="1212"/>
      <c r="BB773" s="1212"/>
      <c r="BC773" s="1212"/>
      <c r="BD773" s="1212"/>
      <c r="BE773" s="1212"/>
      <c r="BF773" s="2126">
        <v>0</v>
      </c>
      <c r="BG773" s="2126">
        <v>0</v>
      </c>
      <c r="BH773" s="2126">
        <v>21663.595713831019</v>
      </c>
      <c r="BI773" s="2126">
        <v>0</v>
      </c>
      <c r="BJ773" s="2126">
        <v>0</v>
      </c>
      <c r="BK773" s="2126">
        <v>0</v>
      </c>
      <c r="BL773" s="2126">
        <v>0</v>
      </c>
      <c r="BM773" s="2126">
        <v>0</v>
      </c>
      <c r="BN773" s="2126">
        <v>0</v>
      </c>
      <c r="BO773" s="2126">
        <v>0</v>
      </c>
      <c r="BP773" s="2126">
        <v>0</v>
      </c>
      <c r="BQ773" s="2126">
        <v>0</v>
      </c>
      <c r="BR773" s="2126">
        <v>0</v>
      </c>
    </row>
    <row r="774" spans="1:70" s="1765" customFormat="1">
      <c r="A774" s="1802">
        <v>4000</v>
      </c>
      <c r="B774" s="1803" t="s">
        <v>1316</v>
      </c>
      <c r="C774" s="1802">
        <v>4400</v>
      </c>
      <c r="D774" s="1803" t="s">
        <v>451</v>
      </c>
      <c r="E774" s="1803"/>
      <c r="F774" s="1803"/>
      <c r="G774" s="1803"/>
      <c r="H774" s="1803"/>
      <c r="I774" s="1803"/>
      <c r="J774" s="1803" t="s">
        <v>121</v>
      </c>
      <c r="K774" s="1803"/>
      <c r="L774" s="1803"/>
      <c r="M774" s="1803"/>
      <c r="N774" s="1803"/>
      <c r="O774" s="1803"/>
      <c r="P774" s="1803"/>
      <c r="Q774" s="1803"/>
      <c r="R774" s="1774"/>
      <c r="S774" s="2107"/>
      <c r="T774" s="1774"/>
      <c r="U774" s="1776"/>
      <c r="V774" s="1776"/>
      <c r="W774" s="1776"/>
      <c r="X774" s="1776"/>
      <c r="Y774" s="2107"/>
      <c r="Z774" s="2107"/>
      <c r="AA774" s="2107"/>
      <c r="AB774" s="2107"/>
      <c r="AC774" s="2107"/>
      <c r="AD774" s="1775"/>
      <c r="AE774" s="2129"/>
      <c r="AF774" s="2129"/>
      <c r="AG774" s="1777"/>
      <c r="AH774" s="1777"/>
      <c r="AI774" s="1777"/>
      <c r="AJ774" s="1777"/>
      <c r="AK774" s="2127"/>
      <c r="AL774" s="2127"/>
      <c r="AM774" s="2127"/>
      <c r="AN774" s="2127"/>
      <c r="AO774" s="1775"/>
      <c r="AP774" s="1775"/>
      <c r="AQ774" s="1773"/>
      <c r="AR774" s="1775"/>
      <c r="AS774" s="1777"/>
      <c r="AT774" s="1777"/>
      <c r="AU774" s="1777"/>
      <c r="AV774" s="1777"/>
      <c r="AW774" s="1777"/>
      <c r="AX774" s="1777"/>
      <c r="AY774" s="1777"/>
      <c r="AZ774" s="1777"/>
      <c r="BA774" s="1777"/>
      <c r="BB774" s="1777"/>
      <c r="BC774" s="1777"/>
      <c r="BD774" s="1777"/>
      <c r="BE774" s="1777"/>
      <c r="BF774" s="2127"/>
      <c r="BG774" s="2127"/>
      <c r="BH774" s="2127"/>
      <c r="BI774" s="2127"/>
      <c r="BJ774" s="2127"/>
      <c r="BK774" s="2127"/>
      <c r="BL774" s="2127"/>
      <c r="BM774" s="2127"/>
      <c r="BN774" s="2127"/>
      <c r="BO774" s="2127"/>
      <c r="BP774" s="2127"/>
      <c r="BQ774" s="2127"/>
      <c r="BR774" s="2127"/>
    </row>
    <row r="775" spans="1:70" s="1765" customFormat="1" ht="33">
      <c r="A775" s="1272">
        <v>4000</v>
      </c>
      <c r="B775" s="971" t="s">
        <v>1316</v>
      </c>
      <c r="C775" s="1272">
        <v>4400</v>
      </c>
      <c r="D775" s="971" t="s">
        <v>451</v>
      </c>
      <c r="E775" s="971">
        <v>4430</v>
      </c>
      <c r="F775" s="971" t="s">
        <v>1511</v>
      </c>
      <c r="G775" s="971">
        <v>4430</v>
      </c>
      <c r="H775" s="971" t="s">
        <v>1511</v>
      </c>
      <c r="I775" s="1273"/>
      <c r="J775" s="971" t="s">
        <v>121</v>
      </c>
      <c r="K775" s="971" t="s">
        <v>150</v>
      </c>
      <c r="L775" s="971" t="s">
        <v>2800</v>
      </c>
      <c r="M775" s="971" t="s">
        <v>80</v>
      </c>
      <c r="N775" s="971" t="s">
        <v>83</v>
      </c>
      <c r="O775" s="971" t="s">
        <v>151</v>
      </c>
      <c r="P775" s="971" t="s">
        <v>152</v>
      </c>
      <c r="Q775" s="971" t="s">
        <v>1512</v>
      </c>
      <c r="R775" s="1266"/>
      <c r="S775" s="2106">
        <v>5776</v>
      </c>
      <c r="T775" s="1266" t="s">
        <v>136</v>
      </c>
      <c r="U775" s="1742">
        <v>1.2691883296460175E-2</v>
      </c>
      <c r="V775" s="1742">
        <v>0.14624999999999999</v>
      </c>
      <c r="W775" s="1742">
        <v>1.1186625937499999</v>
      </c>
      <c r="X775" s="1742">
        <v>0.4015178457754629</v>
      </c>
      <c r="Y775" s="2106">
        <v>1.6649423457754629</v>
      </c>
      <c r="Z775" s="2106">
        <v>73.308317920353971</v>
      </c>
      <c r="AA775" s="2106">
        <v>844.7399999999999</v>
      </c>
      <c r="AB775" s="2106">
        <v>6461.3951414999992</v>
      </c>
      <c r="AC775" s="2106">
        <v>2319.1670771990739</v>
      </c>
      <c r="AD775" s="1744">
        <v>9625.3022186990729</v>
      </c>
      <c r="AE775" s="2126">
        <v>0</v>
      </c>
      <c r="AF775" s="2126">
        <v>0</v>
      </c>
      <c r="AG775" s="1212">
        <v>1</v>
      </c>
      <c r="AH775" s="1212">
        <v>0</v>
      </c>
      <c r="AI775" s="1212">
        <v>0</v>
      </c>
      <c r="AJ775" s="1212">
        <v>1</v>
      </c>
      <c r="AK775" s="2126">
        <v>9625.3022186990729</v>
      </c>
      <c r="AL775" s="2126">
        <v>0</v>
      </c>
      <c r="AM775" s="2126">
        <v>0</v>
      </c>
      <c r="AN775" s="2126">
        <v>9625.3022186990729</v>
      </c>
      <c r="AO775" s="1743" t="s">
        <v>85</v>
      </c>
      <c r="AP775" s="1743"/>
      <c r="AQ775" s="1764">
        <v>2014</v>
      </c>
      <c r="AR775" s="1743" t="s">
        <v>87</v>
      </c>
      <c r="AS775" s="2135"/>
      <c r="AT775" s="2135"/>
      <c r="AU775" s="1212">
        <v>0.33333333333333331</v>
      </c>
      <c r="AV775" s="1212">
        <v>0.33333333333333331</v>
      </c>
      <c r="AW775" s="1212">
        <v>0.33333333333333331</v>
      </c>
      <c r="AX775" s="1212"/>
      <c r="AY775" s="1212"/>
      <c r="AZ775" s="1212"/>
      <c r="BA775" s="1212"/>
      <c r="BB775" s="1212"/>
      <c r="BC775" s="1212"/>
      <c r="BD775" s="1212"/>
      <c r="BE775" s="1212"/>
      <c r="BF775" s="2126">
        <v>0</v>
      </c>
      <c r="BG775" s="2126">
        <v>0</v>
      </c>
      <c r="BH775" s="2126">
        <v>3208.4340728996908</v>
      </c>
      <c r="BI775" s="2126">
        <v>3208.4340728996908</v>
      </c>
      <c r="BJ775" s="2126">
        <v>3208.4340728996908</v>
      </c>
      <c r="BK775" s="2126">
        <v>0</v>
      </c>
      <c r="BL775" s="2126">
        <v>0</v>
      </c>
      <c r="BM775" s="2126">
        <v>0</v>
      </c>
      <c r="BN775" s="2126">
        <v>0</v>
      </c>
      <c r="BO775" s="2126">
        <v>0</v>
      </c>
      <c r="BP775" s="2126">
        <v>0</v>
      </c>
      <c r="BQ775" s="2126">
        <v>0</v>
      </c>
      <c r="BR775" s="2126">
        <v>0</v>
      </c>
    </row>
    <row r="776" spans="1:70" s="1765" customFormat="1" ht="82.5">
      <c r="A776" s="1272">
        <v>4000</v>
      </c>
      <c r="B776" s="971" t="s">
        <v>1316</v>
      </c>
      <c r="C776" s="1272">
        <v>4400</v>
      </c>
      <c r="D776" s="971" t="s">
        <v>451</v>
      </c>
      <c r="E776" s="971" t="s">
        <v>1513</v>
      </c>
      <c r="F776" s="971" t="s">
        <v>1511</v>
      </c>
      <c r="G776" s="971" t="s">
        <v>1514</v>
      </c>
      <c r="H776" s="971" t="s">
        <v>1515</v>
      </c>
      <c r="I776" s="1273" t="s">
        <v>1516</v>
      </c>
      <c r="J776" s="971" t="s">
        <v>177</v>
      </c>
      <c r="K776" s="971" t="s">
        <v>530</v>
      </c>
      <c r="L776" s="971" t="s">
        <v>531</v>
      </c>
      <c r="M776" s="971" t="s">
        <v>530</v>
      </c>
      <c r="N776" s="971" t="s">
        <v>179</v>
      </c>
      <c r="O776" s="971" t="s">
        <v>531</v>
      </c>
      <c r="P776" s="971"/>
      <c r="Q776" s="971" t="s">
        <v>1517</v>
      </c>
      <c r="R776" s="1266" t="s">
        <v>1518</v>
      </c>
      <c r="S776" s="2106">
        <v>1</v>
      </c>
      <c r="T776" s="1266" t="s">
        <v>242</v>
      </c>
      <c r="U776" s="1742">
        <v>31</v>
      </c>
      <c r="V776" s="1742">
        <v>325</v>
      </c>
      <c r="W776" s="1742">
        <v>2732.34</v>
      </c>
      <c r="X776" s="1742">
        <v>3584.62</v>
      </c>
      <c r="Y776" s="2106">
        <v>6641.9599999999991</v>
      </c>
      <c r="Z776" s="2106">
        <v>31</v>
      </c>
      <c r="AA776" s="2106">
        <v>325</v>
      </c>
      <c r="AB776" s="2106">
        <v>2732.34</v>
      </c>
      <c r="AC776" s="2106">
        <v>3584.62</v>
      </c>
      <c r="AD776" s="1744">
        <v>6641.96</v>
      </c>
      <c r="AE776" s="2126">
        <v>2</v>
      </c>
      <c r="AF776" s="2126">
        <v>2</v>
      </c>
      <c r="AG776" s="1212">
        <v>1</v>
      </c>
      <c r="AH776" s="1212">
        <v>0</v>
      </c>
      <c r="AI776" s="1212">
        <v>0</v>
      </c>
      <c r="AJ776" s="1212">
        <v>1</v>
      </c>
      <c r="AK776" s="2126">
        <v>6641.96</v>
      </c>
      <c r="AL776" s="2126">
        <v>0</v>
      </c>
      <c r="AM776" s="2126">
        <v>0</v>
      </c>
      <c r="AN776" s="2126">
        <v>6641.96</v>
      </c>
      <c r="AO776" s="1743" t="s">
        <v>85</v>
      </c>
      <c r="AP776" s="1743"/>
      <c r="AQ776" s="1764">
        <v>2014</v>
      </c>
      <c r="AR776" s="1743" t="s">
        <v>87</v>
      </c>
      <c r="AS776" s="2135"/>
      <c r="AT776" s="2135"/>
      <c r="AU776" s="1212">
        <v>0.5</v>
      </c>
      <c r="AV776" s="1212">
        <v>0.5</v>
      </c>
      <c r="AW776" s="1212"/>
      <c r="AX776" s="1212"/>
      <c r="AY776" s="1212"/>
      <c r="AZ776" s="1212"/>
      <c r="BA776" s="1212"/>
      <c r="BB776" s="1212"/>
      <c r="BC776" s="1212"/>
      <c r="BD776" s="1212"/>
      <c r="BE776" s="1212"/>
      <c r="BF776" s="2126">
        <v>0</v>
      </c>
      <c r="BG776" s="2126">
        <v>0</v>
      </c>
      <c r="BH776" s="2126">
        <v>3320.98</v>
      </c>
      <c r="BI776" s="2126">
        <v>3320.98</v>
      </c>
      <c r="BJ776" s="2126">
        <v>0</v>
      </c>
      <c r="BK776" s="2126">
        <v>0</v>
      </c>
      <c r="BL776" s="2126">
        <v>0</v>
      </c>
      <c r="BM776" s="2126">
        <v>0</v>
      </c>
      <c r="BN776" s="2126">
        <v>0</v>
      </c>
      <c r="BO776" s="2126">
        <v>0</v>
      </c>
      <c r="BP776" s="2126">
        <v>0</v>
      </c>
      <c r="BQ776" s="2126">
        <v>0</v>
      </c>
      <c r="BR776" s="2126">
        <v>0</v>
      </c>
    </row>
    <row r="777" spans="1:70" s="1765" customFormat="1" ht="49.5">
      <c r="A777" s="1272">
        <v>4000</v>
      </c>
      <c r="B777" s="971" t="s">
        <v>1316</v>
      </c>
      <c r="C777" s="1272">
        <v>4400</v>
      </c>
      <c r="D777" s="971" t="s">
        <v>451</v>
      </c>
      <c r="E777" s="971" t="s">
        <v>1513</v>
      </c>
      <c r="F777" s="971" t="s">
        <v>1511</v>
      </c>
      <c r="G777" s="971" t="s">
        <v>1519</v>
      </c>
      <c r="H777" s="971" t="s">
        <v>1515</v>
      </c>
      <c r="I777" s="1273" t="s">
        <v>1520</v>
      </c>
      <c r="J777" s="971" t="s">
        <v>124</v>
      </c>
      <c r="K777" s="971" t="s">
        <v>784</v>
      </c>
      <c r="L777" s="971" t="s">
        <v>2852</v>
      </c>
      <c r="M777" s="971" t="s">
        <v>214</v>
      </c>
      <c r="N777" s="971" t="s">
        <v>127</v>
      </c>
      <c r="O777" s="971" t="s">
        <v>215</v>
      </c>
      <c r="P777" s="971"/>
      <c r="Q777" s="971" t="s">
        <v>1521</v>
      </c>
      <c r="R777" s="1266" t="s">
        <v>1522</v>
      </c>
      <c r="S777" s="2106">
        <v>66.914498141263948</v>
      </c>
      <c r="T777" s="1266" t="s">
        <v>136</v>
      </c>
      <c r="U777" s="1742">
        <v>0.22416666666666665</v>
      </c>
      <c r="V777" s="1742">
        <v>2.8020833333333335</v>
      </c>
      <c r="W777" s="1742">
        <v>19.758049999999997</v>
      </c>
      <c r="X777" s="1742">
        <v>30.905858333333335</v>
      </c>
      <c r="Y777" s="2106">
        <v>53.46599166666666</v>
      </c>
      <c r="Z777" s="2106">
        <v>15</v>
      </c>
      <c r="AA777" s="2106">
        <v>187.50000000000003</v>
      </c>
      <c r="AB777" s="2106">
        <v>1322.1</v>
      </c>
      <c r="AC777" s="2106">
        <v>2068.0500000000002</v>
      </c>
      <c r="AD777" s="1744">
        <v>3577.65</v>
      </c>
      <c r="AE777" s="2126">
        <v>1</v>
      </c>
      <c r="AF777" s="2126">
        <v>66.914498141263948</v>
      </c>
      <c r="AG777" s="1212">
        <v>1</v>
      </c>
      <c r="AH777" s="1212">
        <v>0</v>
      </c>
      <c r="AI777" s="1212">
        <v>0</v>
      </c>
      <c r="AJ777" s="1212">
        <v>1</v>
      </c>
      <c r="AK777" s="2126">
        <v>3577.65</v>
      </c>
      <c r="AL777" s="2126">
        <v>0</v>
      </c>
      <c r="AM777" s="2126">
        <v>0</v>
      </c>
      <c r="AN777" s="2126">
        <v>3577.65</v>
      </c>
      <c r="AO777" s="1743" t="s">
        <v>85</v>
      </c>
      <c r="AP777" s="1743"/>
      <c r="AQ777" s="1764">
        <v>2014</v>
      </c>
      <c r="AR777" s="1743" t="s">
        <v>87</v>
      </c>
      <c r="AS777" s="2135"/>
      <c r="AT777" s="2135"/>
      <c r="AU777" s="1212">
        <v>0.33333333333333331</v>
      </c>
      <c r="AV777" s="1212">
        <v>0.33333333333333331</v>
      </c>
      <c r="AW777" s="1212">
        <v>0.33333333333333331</v>
      </c>
      <c r="AX777" s="1212"/>
      <c r="AY777" s="1212"/>
      <c r="AZ777" s="1212"/>
      <c r="BA777" s="1212"/>
      <c r="BB777" s="1212"/>
      <c r="BC777" s="1212"/>
      <c r="BD777" s="1212"/>
      <c r="BE777" s="1212"/>
      <c r="BF777" s="2126">
        <v>0</v>
      </c>
      <c r="BG777" s="2126">
        <v>0</v>
      </c>
      <c r="BH777" s="2126">
        <v>1192.55</v>
      </c>
      <c r="BI777" s="2126">
        <v>1192.55</v>
      </c>
      <c r="BJ777" s="2126">
        <v>1192.55</v>
      </c>
      <c r="BK777" s="2126">
        <v>0</v>
      </c>
      <c r="BL777" s="2126">
        <v>0</v>
      </c>
      <c r="BM777" s="2126">
        <v>0</v>
      </c>
      <c r="BN777" s="2126">
        <v>0</v>
      </c>
      <c r="BO777" s="2126">
        <v>0</v>
      </c>
      <c r="BP777" s="2126">
        <v>0</v>
      </c>
      <c r="BQ777" s="2126">
        <v>0</v>
      </c>
      <c r="BR777" s="2126">
        <v>0</v>
      </c>
    </row>
    <row r="778" spans="1:70" s="1765" customFormat="1" ht="66">
      <c r="A778" s="1272">
        <v>4000</v>
      </c>
      <c r="B778" s="971" t="s">
        <v>1316</v>
      </c>
      <c r="C778" s="1272">
        <v>4400</v>
      </c>
      <c r="D778" s="971" t="s">
        <v>451</v>
      </c>
      <c r="E778" s="971" t="s">
        <v>1513</v>
      </c>
      <c r="F778" s="971" t="s">
        <v>1511</v>
      </c>
      <c r="G778" s="971" t="s">
        <v>1514</v>
      </c>
      <c r="H778" s="971" t="s">
        <v>1515</v>
      </c>
      <c r="I778" s="1273" t="s">
        <v>1523</v>
      </c>
      <c r="J778" s="971" t="s">
        <v>177</v>
      </c>
      <c r="K778" s="971" t="s">
        <v>196</v>
      </c>
      <c r="L778" s="971" t="s">
        <v>197</v>
      </c>
      <c r="M778" s="971" t="s">
        <v>196</v>
      </c>
      <c r="N778" s="971" t="s">
        <v>179</v>
      </c>
      <c r="O778" s="971" t="s">
        <v>197</v>
      </c>
      <c r="P778" s="971"/>
      <c r="Q778" s="971" t="s">
        <v>1524</v>
      </c>
      <c r="R778" s="1266" t="s">
        <v>1525</v>
      </c>
      <c r="S778" s="2106">
        <v>1</v>
      </c>
      <c r="T778" s="1266" t="s">
        <v>242</v>
      </c>
      <c r="U778" s="1742">
        <v>9.6666666666666661</v>
      </c>
      <c r="V778" s="1742">
        <v>89.583333333333329</v>
      </c>
      <c r="W778" s="1742">
        <v>852.02</v>
      </c>
      <c r="X778" s="1742">
        <v>988.06833333333327</v>
      </c>
      <c r="Y778" s="2106">
        <v>1929.6716666666666</v>
      </c>
      <c r="Z778" s="2106">
        <v>9.6666666666666661</v>
      </c>
      <c r="AA778" s="2106">
        <v>89.583333333333329</v>
      </c>
      <c r="AB778" s="2106">
        <v>852.02</v>
      </c>
      <c r="AC778" s="2106">
        <v>988.06833333333327</v>
      </c>
      <c r="AD778" s="1744">
        <v>1929.6716666666666</v>
      </c>
      <c r="AE778" s="2126">
        <v>1</v>
      </c>
      <c r="AF778" s="2126">
        <v>1</v>
      </c>
      <c r="AG778" s="1212">
        <v>1</v>
      </c>
      <c r="AH778" s="1212">
        <v>0</v>
      </c>
      <c r="AI778" s="1212">
        <v>0</v>
      </c>
      <c r="AJ778" s="1212">
        <v>1</v>
      </c>
      <c r="AK778" s="2126">
        <v>1929.6716666666666</v>
      </c>
      <c r="AL778" s="2126">
        <v>0</v>
      </c>
      <c r="AM778" s="2126">
        <v>0</v>
      </c>
      <c r="AN778" s="2126">
        <v>1929.6716666666666</v>
      </c>
      <c r="AO778" s="1743" t="s">
        <v>85</v>
      </c>
      <c r="AP778" s="1743"/>
      <c r="AQ778" s="1764">
        <v>2014</v>
      </c>
      <c r="AR778" s="1743" t="s">
        <v>87</v>
      </c>
      <c r="AS778" s="2135"/>
      <c r="AT778" s="2135"/>
      <c r="AU778" s="1212">
        <v>0.33333333333333331</v>
      </c>
      <c r="AV778" s="1212">
        <v>0.33333333333333331</v>
      </c>
      <c r="AW778" s="1212">
        <v>0.33333333333333331</v>
      </c>
      <c r="AX778" s="1212"/>
      <c r="AY778" s="1212"/>
      <c r="AZ778" s="1212"/>
      <c r="BA778" s="1212"/>
      <c r="BB778" s="1212"/>
      <c r="BC778" s="1212"/>
      <c r="BD778" s="1212"/>
      <c r="BE778" s="1212"/>
      <c r="BF778" s="2126">
        <v>0</v>
      </c>
      <c r="BG778" s="2126">
        <v>0</v>
      </c>
      <c r="BH778" s="2126">
        <v>643.22388888888884</v>
      </c>
      <c r="BI778" s="2126">
        <v>643.22388888888884</v>
      </c>
      <c r="BJ778" s="2126">
        <v>643.22388888888884</v>
      </c>
      <c r="BK778" s="2126">
        <v>0</v>
      </c>
      <c r="BL778" s="2126">
        <v>0</v>
      </c>
      <c r="BM778" s="2126">
        <v>0</v>
      </c>
      <c r="BN778" s="2126">
        <v>0</v>
      </c>
      <c r="BO778" s="2126">
        <v>0</v>
      </c>
      <c r="BP778" s="2126">
        <v>0</v>
      </c>
      <c r="BQ778" s="2126">
        <v>0</v>
      </c>
      <c r="BR778" s="2126">
        <v>0</v>
      </c>
    </row>
    <row r="779" spans="1:70" s="1765" customFormat="1" ht="33">
      <c r="A779" s="1272">
        <v>4000</v>
      </c>
      <c r="B779" s="971" t="s">
        <v>1316</v>
      </c>
      <c r="C779" s="1272">
        <v>4400</v>
      </c>
      <c r="D779" s="971" t="s">
        <v>451</v>
      </c>
      <c r="E779" s="971" t="s">
        <v>1513</v>
      </c>
      <c r="F779" s="971" t="s">
        <v>1511</v>
      </c>
      <c r="G779" s="971" t="s">
        <v>1519</v>
      </c>
      <c r="H779" s="971" t="s">
        <v>1515</v>
      </c>
      <c r="I779" s="1273" t="s">
        <v>1526</v>
      </c>
      <c r="J779" s="971" t="s">
        <v>124</v>
      </c>
      <c r="K779" s="971" t="s">
        <v>145</v>
      </c>
      <c r="L779" s="971" t="s">
        <v>2871</v>
      </c>
      <c r="M779" s="971" t="s">
        <v>556</v>
      </c>
      <c r="N779" s="971" t="s">
        <v>141</v>
      </c>
      <c r="O779" s="971" t="s">
        <v>557</v>
      </c>
      <c r="P779" s="971"/>
      <c r="Q779" s="971" t="s">
        <v>1527</v>
      </c>
      <c r="R779" s="1266" t="s">
        <v>1522</v>
      </c>
      <c r="S779" s="2106">
        <v>66.914498141263948</v>
      </c>
      <c r="T779" s="1266" t="s">
        <v>136</v>
      </c>
      <c r="U779" s="1742">
        <v>0.12329166666666667</v>
      </c>
      <c r="V779" s="1742">
        <v>0.98072916666666676</v>
      </c>
      <c r="W779" s="1742">
        <v>6.9153175000000005</v>
      </c>
      <c r="X779" s="1742">
        <v>10.817050416666667</v>
      </c>
      <c r="Y779" s="2106">
        <v>18.713097083333334</v>
      </c>
      <c r="Z779" s="2106">
        <v>8.2500000000000018</v>
      </c>
      <c r="AA779" s="2106">
        <v>65.625000000000014</v>
      </c>
      <c r="AB779" s="2106">
        <v>462.73500000000007</v>
      </c>
      <c r="AC779" s="2106">
        <v>723.81750000000011</v>
      </c>
      <c r="AD779" s="1744">
        <v>1252.1775000000002</v>
      </c>
      <c r="AE779" s="2126">
        <v>0.3</v>
      </c>
      <c r="AF779" s="2126">
        <v>20.074349442379184</v>
      </c>
      <c r="AG779" s="1212">
        <v>1</v>
      </c>
      <c r="AH779" s="1212">
        <v>0</v>
      </c>
      <c r="AI779" s="1212">
        <v>0</v>
      </c>
      <c r="AJ779" s="1212">
        <v>1</v>
      </c>
      <c r="AK779" s="2126">
        <v>1252.1775000000002</v>
      </c>
      <c r="AL779" s="2126">
        <v>0</v>
      </c>
      <c r="AM779" s="2126">
        <v>0</v>
      </c>
      <c r="AN779" s="2126">
        <v>1252.1775000000002</v>
      </c>
      <c r="AO779" s="1743" t="s">
        <v>85</v>
      </c>
      <c r="AP779" s="1743"/>
      <c r="AQ779" s="1764">
        <v>2014</v>
      </c>
      <c r="AR779" s="1743" t="s">
        <v>87</v>
      </c>
      <c r="AS779" s="2135"/>
      <c r="AT779" s="2135"/>
      <c r="AU779" s="1212">
        <v>0.33333333333333331</v>
      </c>
      <c r="AV779" s="1212">
        <v>0.33333333333333331</v>
      </c>
      <c r="AW779" s="1212">
        <v>0.33333333333333331</v>
      </c>
      <c r="AX779" s="1212"/>
      <c r="AY779" s="1212"/>
      <c r="AZ779" s="1212"/>
      <c r="BA779" s="1212"/>
      <c r="BB779" s="1212"/>
      <c r="BC779" s="1212"/>
      <c r="BD779" s="1212"/>
      <c r="BE779" s="1212"/>
      <c r="BF779" s="2126">
        <v>0</v>
      </c>
      <c r="BG779" s="2126">
        <v>0</v>
      </c>
      <c r="BH779" s="2126">
        <v>417.39250000000004</v>
      </c>
      <c r="BI779" s="2126">
        <v>417.39250000000004</v>
      </c>
      <c r="BJ779" s="2126">
        <v>417.39250000000004</v>
      </c>
      <c r="BK779" s="2126">
        <v>0</v>
      </c>
      <c r="BL779" s="2126">
        <v>0</v>
      </c>
      <c r="BM779" s="2126">
        <v>0</v>
      </c>
      <c r="BN779" s="2126">
        <v>0</v>
      </c>
      <c r="BO779" s="2126">
        <v>0</v>
      </c>
      <c r="BP779" s="2126">
        <v>0</v>
      </c>
      <c r="BQ779" s="2126">
        <v>0</v>
      </c>
      <c r="BR779" s="2126">
        <v>0</v>
      </c>
    </row>
    <row r="780" spans="1:70" s="1765" customFormat="1" ht="33">
      <c r="A780" s="1272">
        <v>4000</v>
      </c>
      <c r="B780" s="971" t="s">
        <v>1316</v>
      </c>
      <c r="C780" s="1272">
        <v>4400</v>
      </c>
      <c r="D780" s="971" t="s">
        <v>451</v>
      </c>
      <c r="E780" s="971" t="s">
        <v>1513</v>
      </c>
      <c r="F780" s="971" t="s">
        <v>1511</v>
      </c>
      <c r="G780" s="971" t="s">
        <v>1519</v>
      </c>
      <c r="H780" s="971" t="s">
        <v>1515</v>
      </c>
      <c r="I780" s="1273" t="s">
        <v>1528</v>
      </c>
      <c r="J780" s="971" t="s">
        <v>124</v>
      </c>
      <c r="K780" s="971"/>
      <c r="L780" s="971" t="e">
        <v>#N/A</v>
      </c>
      <c r="M780" s="971" t="s">
        <v>145</v>
      </c>
      <c r="N780" s="971" t="s">
        <v>141</v>
      </c>
      <c r="O780" s="971" t="s">
        <v>146</v>
      </c>
      <c r="P780" s="971"/>
      <c r="Q780" s="971" t="s">
        <v>1529</v>
      </c>
      <c r="R780" s="1266" t="s">
        <v>1522</v>
      </c>
      <c r="S780" s="2106">
        <v>66.914498141263948</v>
      </c>
      <c r="T780" s="1266" t="s">
        <v>136</v>
      </c>
      <c r="U780" s="1742" t="s">
        <v>6588</v>
      </c>
      <c r="V780" s="1742" t="s">
        <v>6588</v>
      </c>
      <c r="W780" s="1742" t="s">
        <v>6588</v>
      </c>
      <c r="X780" s="1742" t="s">
        <v>6588</v>
      </c>
      <c r="Y780" s="2106" t="s">
        <v>6588</v>
      </c>
      <c r="Z780" s="2106">
        <v>0</v>
      </c>
      <c r="AA780" s="2106">
        <v>0</v>
      </c>
      <c r="AB780" s="2106">
        <v>0</v>
      </c>
      <c r="AC780" s="2106">
        <v>0</v>
      </c>
      <c r="AD780" s="1744">
        <v>0</v>
      </c>
      <c r="AE780" s="2126">
        <v>0</v>
      </c>
      <c r="AF780" s="2126">
        <v>0</v>
      </c>
      <c r="AG780" s="1212">
        <v>1</v>
      </c>
      <c r="AH780" s="1212">
        <v>0</v>
      </c>
      <c r="AI780" s="1212">
        <v>0</v>
      </c>
      <c r="AJ780" s="1212">
        <v>1</v>
      </c>
      <c r="AK780" s="2126">
        <v>0</v>
      </c>
      <c r="AL780" s="2126">
        <v>0</v>
      </c>
      <c r="AM780" s="2126">
        <v>0</v>
      </c>
      <c r="AN780" s="2126">
        <v>0</v>
      </c>
      <c r="AO780" s="1743" t="s">
        <v>85</v>
      </c>
      <c r="AP780" s="1743"/>
      <c r="AQ780" s="1764">
        <v>2014</v>
      </c>
      <c r="AR780" s="1743" t="s">
        <v>87</v>
      </c>
      <c r="AS780" s="2135"/>
      <c r="AT780" s="2135"/>
      <c r="AU780" s="1212">
        <v>0.33333333333333331</v>
      </c>
      <c r="AV780" s="1212">
        <v>0.33333333333333331</v>
      </c>
      <c r="AW780" s="1212">
        <v>0.33333333333333331</v>
      </c>
      <c r="AX780" s="1212"/>
      <c r="AY780" s="1212"/>
      <c r="AZ780" s="1212"/>
      <c r="BA780" s="1212"/>
      <c r="BB780" s="1212"/>
      <c r="BC780" s="1212"/>
      <c r="BD780" s="1212"/>
      <c r="BE780" s="1212"/>
      <c r="BF780" s="2126">
        <v>0</v>
      </c>
      <c r="BG780" s="2126">
        <v>0</v>
      </c>
      <c r="BH780" s="2126">
        <v>0</v>
      </c>
      <c r="BI780" s="2126">
        <v>0</v>
      </c>
      <c r="BJ780" s="2126">
        <v>0</v>
      </c>
      <c r="BK780" s="2126">
        <v>0</v>
      </c>
      <c r="BL780" s="2126">
        <v>0</v>
      </c>
      <c r="BM780" s="2126">
        <v>0</v>
      </c>
      <c r="BN780" s="2126">
        <v>0</v>
      </c>
      <c r="BO780" s="2126">
        <v>0</v>
      </c>
      <c r="BP780" s="2126">
        <v>0</v>
      </c>
      <c r="BQ780" s="2126">
        <v>0</v>
      </c>
      <c r="BR780" s="2126">
        <v>0</v>
      </c>
    </row>
    <row r="781" spans="1:70" s="1765" customFormat="1" ht="33">
      <c r="A781" s="1272">
        <v>4000</v>
      </c>
      <c r="B781" s="971" t="s">
        <v>1316</v>
      </c>
      <c r="C781" s="1272">
        <v>4400</v>
      </c>
      <c r="D781" s="971" t="s">
        <v>451</v>
      </c>
      <c r="E781" s="971" t="s">
        <v>1513</v>
      </c>
      <c r="F781" s="971" t="s">
        <v>1511</v>
      </c>
      <c r="G781" s="971" t="s">
        <v>1530</v>
      </c>
      <c r="H781" s="971" t="s">
        <v>1531</v>
      </c>
      <c r="I781" s="1273"/>
      <c r="J781" s="971" t="s">
        <v>124</v>
      </c>
      <c r="K781" s="971"/>
      <c r="L781" s="971"/>
      <c r="M781" s="971"/>
      <c r="N781" s="971"/>
      <c r="O781" s="971"/>
      <c r="P781" s="971"/>
      <c r="Q781" s="971" t="s">
        <v>1532</v>
      </c>
      <c r="R781" s="1266" t="s">
        <v>1533</v>
      </c>
      <c r="S781" s="2106">
        <v>0</v>
      </c>
      <c r="T781" s="1266" t="s">
        <v>136</v>
      </c>
      <c r="U781" s="1742" t="s">
        <v>6588</v>
      </c>
      <c r="V781" s="1742" t="s">
        <v>6588</v>
      </c>
      <c r="W781" s="1742" t="s">
        <v>6588</v>
      </c>
      <c r="X781" s="1742" t="s">
        <v>6588</v>
      </c>
      <c r="Y781" s="2106" t="s">
        <v>6588</v>
      </c>
      <c r="Z781" s="2106">
        <v>0</v>
      </c>
      <c r="AA781" s="2106">
        <v>0</v>
      </c>
      <c r="AB781" s="2106">
        <v>0</v>
      </c>
      <c r="AC781" s="2106">
        <v>0</v>
      </c>
      <c r="AD781" s="1744">
        <v>0</v>
      </c>
      <c r="AE781" s="2126">
        <v>0</v>
      </c>
      <c r="AF781" s="2126">
        <v>0</v>
      </c>
      <c r="AG781" s="1212">
        <v>1</v>
      </c>
      <c r="AH781" s="1212">
        <v>0</v>
      </c>
      <c r="AI781" s="1212">
        <v>0</v>
      </c>
      <c r="AJ781" s="1212">
        <v>1</v>
      </c>
      <c r="AK781" s="2126">
        <v>0</v>
      </c>
      <c r="AL781" s="2126">
        <v>0</v>
      </c>
      <c r="AM781" s="2126">
        <v>0</v>
      </c>
      <c r="AN781" s="2126">
        <v>0</v>
      </c>
      <c r="AO781" s="1743" t="s">
        <v>85</v>
      </c>
      <c r="AP781" s="1743"/>
      <c r="AQ781" s="1764">
        <v>2014</v>
      </c>
      <c r="AR781" s="1743" t="s">
        <v>87</v>
      </c>
      <c r="AS781" s="2135"/>
      <c r="AT781" s="2135"/>
      <c r="AU781" s="1212">
        <v>0.33333333333333331</v>
      </c>
      <c r="AV781" s="1212">
        <v>0.33333333333333331</v>
      </c>
      <c r="AW781" s="1212">
        <v>0.33333333333333331</v>
      </c>
      <c r="AX781" s="1212"/>
      <c r="AY781" s="1212"/>
      <c r="AZ781" s="1212"/>
      <c r="BA781" s="1212"/>
      <c r="BB781" s="1212"/>
      <c r="BC781" s="1212"/>
      <c r="BD781" s="1212"/>
      <c r="BE781" s="1212"/>
      <c r="BF781" s="2126">
        <v>0</v>
      </c>
      <c r="BG781" s="2126">
        <v>0</v>
      </c>
      <c r="BH781" s="2126">
        <v>0</v>
      </c>
      <c r="BI781" s="2126">
        <v>0</v>
      </c>
      <c r="BJ781" s="2126">
        <v>0</v>
      </c>
      <c r="BK781" s="2126">
        <v>0</v>
      </c>
      <c r="BL781" s="2126">
        <v>0</v>
      </c>
      <c r="BM781" s="2126">
        <v>0</v>
      </c>
      <c r="BN781" s="2126">
        <v>0</v>
      </c>
      <c r="BO781" s="2126">
        <v>0</v>
      </c>
      <c r="BP781" s="2126">
        <v>0</v>
      </c>
      <c r="BQ781" s="2126">
        <v>0</v>
      </c>
      <c r="BR781" s="2126">
        <v>0</v>
      </c>
    </row>
    <row r="782" spans="1:70" s="1765" customFormat="1" ht="33">
      <c r="A782" s="1272">
        <v>4000</v>
      </c>
      <c r="B782" s="971" t="s">
        <v>1316</v>
      </c>
      <c r="C782" s="1272">
        <v>4400</v>
      </c>
      <c r="D782" s="971" t="s">
        <v>451</v>
      </c>
      <c r="E782" s="971" t="s">
        <v>1513</v>
      </c>
      <c r="F782" s="971" t="s">
        <v>1511</v>
      </c>
      <c r="G782" s="971" t="s">
        <v>1530</v>
      </c>
      <c r="H782" s="971" t="s">
        <v>1531</v>
      </c>
      <c r="I782" s="1273"/>
      <c r="J782" s="971" t="s">
        <v>124</v>
      </c>
      <c r="K782" s="971"/>
      <c r="L782" s="971"/>
      <c r="M782" s="971"/>
      <c r="N782" s="971"/>
      <c r="O782" s="971"/>
      <c r="P782" s="971"/>
      <c r="Q782" s="971" t="s">
        <v>1534</v>
      </c>
      <c r="R782" s="1266" t="s">
        <v>1533</v>
      </c>
      <c r="S782" s="2106">
        <v>0</v>
      </c>
      <c r="T782" s="1266" t="s">
        <v>136</v>
      </c>
      <c r="U782" s="1742" t="s">
        <v>6588</v>
      </c>
      <c r="V782" s="1742" t="s">
        <v>6588</v>
      </c>
      <c r="W782" s="1742" t="s">
        <v>6588</v>
      </c>
      <c r="X782" s="1742" t="s">
        <v>6588</v>
      </c>
      <c r="Y782" s="2106" t="s">
        <v>6588</v>
      </c>
      <c r="Z782" s="2106">
        <v>0</v>
      </c>
      <c r="AA782" s="2106">
        <v>0</v>
      </c>
      <c r="AB782" s="2106">
        <v>0</v>
      </c>
      <c r="AC782" s="2106">
        <v>0</v>
      </c>
      <c r="AD782" s="1744">
        <v>0</v>
      </c>
      <c r="AE782" s="2126">
        <v>0</v>
      </c>
      <c r="AF782" s="2126">
        <v>0</v>
      </c>
      <c r="AG782" s="1212">
        <v>1</v>
      </c>
      <c r="AH782" s="1212">
        <v>0</v>
      </c>
      <c r="AI782" s="1212">
        <v>0</v>
      </c>
      <c r="AJ782" s="1212">
        <v>1</v>
      </c>
      <c r="AK782" s="2126">
        <v>0</v>
      </c>
      <c r="AL782" s="2126">
        <v>0</v>
      </c>
      <c r="AM782" s="2126">
        <v>0</v>
      </c>
      <c r="AN782" s="2126">
        <v>0</v>
      </c>
      <c r="AO782" s="1743" t="s">
        <v>85</v>
      </c>
      <c r="AP782" s="1743"/>
      <c r="AQ782" s="1764">
        <v>2014</v>
      </c>
      <c r="AR782" s="1743" t="s">
        <v>87</v>
      </c>
      <c r="AS782" s="2135"/>
      <c r="AT782" s="2135"/>
      <c r="AU782" s="1212">
        <v>0.33333333333333331</v>
      </c>
      <c r="AV782" s="1212">
        <v>0.33333333333333331</v>
      </c>
      <c r="AW782" s="1212">
        <v>0.33333333333333331</v>
      </c>
      <c r="AX782" s="1212"/>
      <c r="AY782" s="1212"/>
      <c r="AZ782" s="1212"/>
      <c r="BA782" s="1212"/>
      <c r="BB782" s="1212"/>
      <c r="BC782" s="1212"/>
      <c r="BD782" s="1212"/>
      <c r="BE782" s="1212"/>
      <c r="BF782" s="2126">
        <v>0</v>
      </c>
      <c r="BG782" s="2126">
        <v>0</v>
      </c>
      <c r="BH782" s="2126">
        <v>0</v>
      </c>
      <c r="BI782" s="2126">
        <v>0</v>
      </c>
      <c r="BJ782" s="2126">
        <v>0</v>
      </c>
      <c r="BK782" s="2126">
        <v>0</v>
      </c>
      <c r="BL782" s="2126">
        <v>0</v>
      </c>
      <c r="BM782" s="2126">
        <v>0</v>
      </c>
      <c r="BN782" s="2126">
        <v>0</v>
      </c>
      <c r="BO782" s="2126">
        <v>0</v>
      </c>
      <c r="BP782" s="2126">
        <v>0</v>
      </c>
      <c r="BQ782" s="2126">
        <v>0</v>
      </c>
      <c r="BR782" s="2126">
        <v>0</v>
      </c>
    </row>
    <row r="783" spans="1:70" s="1765" customFormat="1" ht="33">
      <c r="A783" s="1272">
        <v>4000</v>
      </c>
      <c r="B783" s="971" t="s">
        <v>1316</v>
      </c>
      <c r="C783" s="1272">
        <v>4400</v>
      </c>
      <c r="D783" s="971" t="s">
        <v>451</v>
      </c>
      <c r="E783" s="971" t="s">
        <v>1513</v>
      </c>
      <c r="F783" s="971" t="s">
        <v>1511</v>
      </c>
      <c r="G783" s="971" t="s">
        <v>1530</v>
      </c>
      <c r="H783" s="971" t="s">
        <v>1531</v>
      </c>
      <c r="I783" s="1273"/>
      <c r="J783" s="971" t="s">
        <v>124</v>
      </c>
      <c r="K783" s="971"/>
      <c r="L783" s="971"/>
      <c r="M783" s="971"/>
      <c r="N783" s="971"/>
      <c r="O783" s="971"/>
      <c r="P783" s="971"/>
      <c r="Q783" s="971" t="s">
        <v>1535</v>
      </c>
      <c r="R783" s="1266" t="s">
        <v>1533</v>
      </c>
      <c r="S783" s="2106">
        <v>0</v>
      </c>
      <c r="T783" s="1266" t="s">
        <v>136</v>
      </c>
      <c r="U783" s="1742" t="s">
        <v>6588</v>
      </c>
      <c r="V783" s="1742" t="s">
        <v>6588</v>
      </c>
      <c r="W783" s="1742" t="s">
        <v>6588</v>
      </c>
      <c r="X783" s="1742" t="s">
        <v>6588</v>
      </c>
      <c r="Y783" s="2106" t="s">
        <v>6588</v>
      </c>
      <c r="Z783" s="2106">
        <v>0</v>
      </c>
      <c r="AA783" s="2106">
        <v>0</v>
      </c>
      <c r="AB783" s="2106">
        <v>0</v>
      </c>
      <c r="AC783" s="2106">
        <v>0</v>
      </c>
      <c r="AD783" s="1744">
        <v>0</v>
      </c>
      <c r="AE783" s="2126">
        <v>0</v>
      </c>
      <c r="AF783" s="2126">
        <v>0</v>
      </c>
      <c r="AG783" s="1212">
        <v>1</v>
      </c>
      <c r="AH783" s="1212">
        <v>0</v>
      </c>
      <c r="AI783" s="1212">
        <v>0</v>
      </c>
      <c r="AJ783" s="1212">
        <v>1</v>
      </c>
      <c r="AK783" s="2126">
        <v>0</v>
      </c>
      <c r="AL783" s="2126">
        <v>0</v>
      </c>
      <c r="AM783" s="2126">
        <v>0</v>
      </c>
      <c r="AN783" s="2126">
        <v>0</v>
      </c>
      <c r="AO783" s="1743" t="s">
        <v>85</v>
      </c>
      <c r="AP783" s="1743"/>
      <c r="AQ783" s="1764">
        <v>2014</v>
      </c>
      <c r="AR783" s="1743" t="s">
        <v>87</v>
      </c>
      <c r="AS783" s="2135"/>
      <c r="AT783" s="2135"/>
      <c r="AU783" s="1212">
        <v>0.33333333333333331</v>
      </c>
      <c r="AV783" s="1212">
        <v>0.33333333333333331</v>
      </c>
      <c r="AW783" s="1212">
        <v>0.33333333333333331</v>
      </c>
      <c r="AX783" s="1212"/>
      <c r="AY783" s="1212"/>
      <c r="AZ783" s="1212"/>
      <c r="BA783" s="1212"/>
      <c r="BB783" s="1212"/>
      <c r="BC783" s="1212"/>
      <c r="BD783" s="1212"/>
      <c r="BE783" s="1212"/>
      <c r="BF783" s="2126">
        <v>0</v>
      </c>
      <c r="BG783" s="2126">
        <v>0</v>
      </c>
      <c r="BH783" s="2126">
        <v>0</v>
      </c>
      <c r="BI783" s="2126">
        <v>0</v>
      </c>
      <c r="BJ783" s="2126">
        <v>0</v>
      </c>
      <c r="BK783" s="2126">
        <v>0</v>
      </c>
      <c r="BL783" s="2126">
        <v>0</v>
      </c>
      <c r="BM783" s="2126">
        <v>0</v>
      </c>
      <c r="BN783" s="2126">
        <v>0</v>
      </c>
      <c r="BO783" s="2126">
        <v>0</v>
      </c>
      <c r="BP783" s="2126">
        <v>0</v>
      </c>
      <c r="BQ783" s="2126">
        <v>0</v>
      </c>
      <c r="BR783" s="2126">
        <v>0</v>
      </c>
    </row>
    <row r="784" spans="1:70" s="1765" customFormat="1" ht="66">
      <c r="A784" s="1272">
        <v>4000</v>
      </c>
      <c r="B784" s="971" t="s">
        <v>1316</v>
      </c>
      <c r="C784" s="1272">
        <v>4400</v>
      </c>
      <c r="D784" s="971" t="s">
        <v>452</v>
      </c>
      <c r="E784" s="971" t="s">
        <v>1513</v>
      </c>
      <c r="F784" s="971" t="s">
        <v>1511</v>
      </c>
      <c r="G784" s="971" t="s">
        <v>1530</v>
      </c>
      <c r="H784" s="971" t="s">
        <v>1531</v>
      </c>
      <c r="I784" s="1273"/>
      <c r="J784" s="971" t="s">
        <v>124</v>
      </c>
      <c r="K784" s="971" t="s">
        <v>1747</v>
      </c>
      <c r="L784" s="971" t="s">
        <v>6606</v>
      </c>
      <c r="M784" s="971" t="s">
        <v>606</v>
      </c>
      <c r="N784" s="971" t="s">
        <v>488</v>
      </c>
      <c r="O784" s="971" t="s">
        <v>518</v>
      </c>
      <c r="P784" s="971"/>
      <c r="Q784" s="971" t="s">
        <v>1532</v>
      </c>
      <c r="R784" s="1266" t="s">
        <v>1536</v>
      </c>
      <c r="S784" s="2106">
        <v>1296</v>
      </c>
      <c r="T784" s="1266" t="s">
        <v>136</v>
      </c>
      <c r="U784" s="1742">
        <v>0.56041666666666667</v>
      </c>
      <c r="V784" s="1742">
        <v>1.9614583333333333</v>
      </c>
      <c r="W784" s="1742">
        <v>49.395125</v>
      </c>
      <c r="X784" s="1742">
        <v>77.264645833333333</v>
      </c>
      <c r="Y784" s="2106">
        <v>128.62122916666667</v>
      </c>
      <c r="Z784" s="2106">
        <v>726.3</v>
      </c>
      <c r="AA784" s="2106">
        <v>2542.0500000000002</v>
      </c>
      <c r="AB784" s="2106">
        <v>64016.082000000002</v>
      </c>
      <c r="AC784" s="2106">
        <v>100134.981</v>
      </c>
      <c r="AD784" s="1744">
        <v>166693.11300000001</v>
      </c>
      <c r="AE784" s="2126">
        <v>1</v>
      </c>
      <c r="AF784" s="2126">
        <v>1296</v>
      </c>
      <c r="AG784" s="1212">
        <v>1</v>
      </c>
      <c r="AH784" s="1212">
        <v>0</v>
      </c>
      <c r="AI784" s="1212">
        <v>0</v>
      </c>
      <c r="AJ784" s="1212">
        <v>1</v>
      </c>
      <c r="AK784" s="2126">
        <v>166693.11300000001</v>
      </c>
      <c r="AL784" s="2126">
        <v>0</v>
      </c>
      <c r="AM784" s="2126">
        <v>0</v>
      </c>
      <c r="AN784" s="2126">
        <v>166693.11300000001</v>
      </c>
      <c r="AO784" s="1743" t="s">
        <v>85</v>
      </c>
      <c r="AP784" s="1743"/>
      <c r="AQ784" s="1764">
        <v>2015</v>
      </c>
      <c r="AR784" s="1743" t="s">
        <v>87</v>
      </c>
      <c r="AS784" s="2135"/>
      <c r="AT784" s="2135"/>
      <c r="AU784" s="1212">
        <v>0.33333333333333331</v>
      </c>
      <c r="AV784" s="1212">
        <v>0.33333333333333331</v>
      </c>
      <c r="AW784" s="1212">
        <v>0.33333333333333331</v>
      </c>
      <c r="AX784" s="1212"/>
      <c r="AY784" s="1212"/>
      <c r="AZ784" s="1212"/>
      <c r="BA784" s="1212"/>
      <c r="BB784" s="1212"/>
      <c r="BC784" s="1212"/>
      <c r="BD784" s="1212"/>
      <c r="BE784" s="1212"/>
      <c r="BF784" s="2126">
        <v>0</v>
      </c>
      <c r="BG784" s="2126">
        <v>0</v>
      </c>
      <c r="BH784" s="2126">
        <v>55564.370999999999</v>
      </c>
      <c r="BI784" s="2126">
        <v>55564.370999999999</v>
      </c>
      <c r="BJ784" s="2126">
        <v>55564.370999999999</v>
      </c>
      <c r="BK784" s="2126">
        <v>0</v>
      </c>
      <c r="BL784" s="2126">
        <v>0</v>
      </c>
      <c r="BM784" s="2126">
        <v>0</v>
      </c>
      <c r="BN784" s="2126">
        <v>0</v>
      </c>
      <c r="BO784" s="2126">
        <v>0</v>
      </c>
      <c r="BP784" s="2126">
        <v>0</v>
      </c>
      <c r="BQ784" s="2126">
        <v>0</v>
      </c>
      <c r="BR784" s="2126">
        <v>0</v>
      </c>
    </row>
    <row r="785" spans="1:70" s="1765" customFormat="1" ht="49.5">
      <c r="A785" s="1272">
        <v>4000</v>
      </c>
      <c r="B785" s="971" t="s">
        <v>1316</v>
      </c>
      <c r="C785" s="1272">
        <v>4400</v>
      </c>
      <c r="D785" s="971" t="s">
        <v>452</v>
      </c>
      <c r="E785" s="971" t="s">
        <v>1513</v>
      </c>
      <c r="F785" s="971" t="s">
        <v>1511</v>
      </c>
      <c r="G785" s="971" t="s">
        <v>1530</v>
      </c>
      <c r="H785" s="971" t="s">
        <v>1531</v>
      </c>
      <c r="I785" s="1273"/>
      <c r="J785" s="971" t="s">
        <v>124</v>
      </c>
      <c r="K785" s="971" t="s">
        <v>523</v>
      </c>
      <c r="L785" s="971" t="s">
        <v>6607</v>
      </c>
      <c r="M785" s="971" t="s">
        <v>523</v>
      </c>
      <c r="N785" s="971" t="s">
        <v>141</v>
      </c>
      <c r="O785" s="971" t="s">
        <v>524</v>
      </c>
      <c r="P785" s="971"/>
      <c r="Q785" s="971" t="s">
        <v>1534</v>
      </c>
      <c r="R785" s="1266" t="s">
        <v>1536</v>
      </c>
      <c r="S785" s="2106">
        <v>1296</v>
      </c>
      <c r="T785" s="1266" t="s">
        <v>136</v>
      </c>
      <c r="U785" s="1742">
        <v>0.14520631503408685</v>
      </c>
      <c r="V785" s="1742">
        <v>1.8150789379260854</v>
      </c>
      <c r="W785" s="1742">
        <v>12.798484607104415</v>
      </c>
      <c r="X785" s="1742">
        <v>20.019594653749554</v>
      </c>
      <c r="Y785" s="2106">
        <v>34.633158198780052</v>
      </c>
      <c r="Z785" s="2106">
        <v>188.18738428417655</v>
      </c>
      <c r="AA785" s="2106">
        <v>2352.3423035522069</v>
      </c>
      <c r="AB785" s="2106">
        <v>16586.83605080732</v>
      </c>
      <c r="AC785" s="2106">
        <v>25945.394671259422</v>
      </c>
      <c r="AD785" s="1744">
        <v>44884.573025618949</v>
      </c>
      <c r="AE785" s="2126">
        <v>0.75</v>
      </c>
      <c r="AF785" s="2126">
        <v>972</v>
      </c>
      <c r="AG785" s="1212">
        <v>1</v>
      </c>
      <c r="AH785" s="1212">
        <v>0</v>
      </c>
      <c r="AI785" s="1212">
        <v>0</v>
      </c>
      <c r="AJ785" s="1212">
        <v>1</v>
      </c>
      <c r="AK785" s="2126">
        <v>44884.573025618949</v>
      </c>
      <c r="AL785" s="2126">
        <v>0</v>
      </c>
      <c r="AM785" s="2126">
        <v>0</v>
      </c>
      <c r="AN785" s="2126">
        <v>44884.573025618949</v>
      </c>
      <c r="AO785" s="1743" t="s">
        <v>85</v>
      </c>
      <c r="AP785" s="1743"/>
      <c r="AQ785" s="1764">
        <v>2015</v>
      </c>
      <c r="AR785" s="1743" t="s">
        <v>87</v>
      </c>
      <c r="AS785" s="2135"/>
      <c r="AT785" s="2135"/>
      <c r="AU785" s="1212">
        <v>0.33333333333333331</v>
      </c>
      <c r="AV785" s="1212">
        <v>0.33333333333333331</v>
      </c>
      <c r="AW785" s="1212">
        <v>0.33333333333333331</v>
      </c>
      <c r="AX785" s="1212"/>
      <c r="AY785" s="1212"/>
      <c r="AZ785" s="1212"/>
      <c r="BA785" s="1212"/>
      <c r="BB785" s="1212"/>
      <c r="BC785" s="1212"/>
      <c r="BD785" s="1212"/>
      <c r="BE785" s="1212"/>
      <c r="BF785" s="2126">
        <v>0</v>
      </c>
      <c r="BG785" s="2126">
        <v>0</v>
      </c>
      <c r="BH785" s="2126">
        <v>14961.524341872982</v>
      </c>
      <c r="BI785" s="2126">
        <v>14961.524341872982</v>
      </c>
      <c r="BJ785" s="2126">
        <v>14961.524341872982</v>
      </c>
      <c r="BK785" s="2126">
        <v>0</v>
      </c>
      <c r="BL785" s="2126">
        <v>0</v>
      </c>
      <c r="BM785" s="2126">
        <v>0</v>
      </c>
      <c r="BN785" s="2126">
        <v>0</v>
      </c>
      <c r="BO785" s="2126">
        <v>0</v>
      </c>
      <c r="BP785" s="2126">
        <v>0</v>
      </c>
      <c r="BQ785" s="2126">
        <v>0</v>
      </c>
      <c r="BR785" s="2126">
        <v>0</v>
      </c>
    </row>
    <row r="786" spans="1:70" s="1765" customFormat="1" ht="49.5">
      <c r="A786" s="1272">
        <v>4000</v>
      </c>
      <c r="B786" s="971" t="s">
        <v>1316</v>
      </c>
      <c r="C786" s="1272">
        <v>4400</v>
      </c>
      <c r="D786" s="971" t="s">
        <v>452</v>
      </c>
      <c r="E786" s="971" t="s">
        <v>1513</v>
      </c>
      <c r="F786" s="971" t="s">
        <v>1511</v>
      </c>
      <c r="G786" s="971" t="s">
        <v>1530</v>
      </c>
      <c r="H786" s="971" t="s">
        <v>1531</v>
      </c>
      <c r="I786" s="1273"/>
      <c r="J786" s="971" t="s">
        <v>124</v>
      </c>
      <c r="K786" s="971" t="s">
        <v>506</v>
      </c>
      <c r="L786" s="971" t="s">
        <v>6608</v>
      </c>
      <c r="M786" s="971" t="s">
        <v>506</v>
      </c>
      <c r="N786" s="971" t="s">
        <v>141</v>
      </c>
      <c r="O786" s="971" t="s">
        <v>507</v>
      </c>
      <c r="P786" s="971"/>
      <c r="Q786" s="971" t="s">
        <v>1535</v>
      </c>
      <c r="R786" s="1266" t="s">
        <v>1536</v>
      </c>
      <c r="S786" s="2106">
        <v>1296</v>
      </c>
      <c r="T786" s="1266" t="s">
        <v>136</v>
      </c>
      <c r="U786" s="1742">
        <v>0.125</v>
      </c>
      <c r="V786" s="1742">
        <v>1.875</v>
      </c>
      <c r="W786" s="1742">
        <v>11.0175</v>
      </c>
      <c r="X786" s="1742">
        <v>18.75</v>
      </c>
      <c r="Y786" s="2106">
        <v>31.642499999999998</v>
      </c>
      <c r="Z786" s="2106">
        <v>162</v>
      </c>
      <c r="AA786" s="2106">
        <v>2430</v>
      </c>
      <c r="AB786" s="2106">
        <v>14278.68</v>
      </c>
      <c r="AC786" s="2106">
        <v>24300</v>
      </c>
      <c r="AD786" s="1744">
        <v>41008.68</v>
      </c>
      <c r="AE786" s="2126">
        <v>0</v>
      </c>
      <c r="AF786" s="2126">
        <v>0</v>
      </c>
      <c r="AG786" s="1212">
        <v>1</v>
      </c>
      <c r="AH786" s="1212">
        <v>0</v>
      </c>
      <c r="AI786" s="1212">
        <v>0</v>
      </c>
      <c r="AJ786" s="1212">
        <v>1</v>
      </c>
      <c r="AK786" s="2126">
        <v>41008.68</v>
      </c>
      <c r="AL786" s="2126">
        <v>0</v>
      </c>
      <c r="AM786" s="2126">
        <v>0</v>
      </c>
      <c r="AN786" s="2126">
        <v>41008.68</v>
      </c>
      <c r="AO786" s="1743" t="s">
        <v>85</v>
      </c>
      <c r="AP786" s="1743"/>
      <c r="AQ786" s="1764">
        <v>2015</v>
      </c>
      <c r="AR786" s="1743" t="s">
        <v>87</v>
      </c>
      <c r="AS786" s="2135"/>
      <c r="AT786" s="2135"/>
      <c r="AU786" s="1212">
        <v>0.33333333333333331</v>
      </c>
      <c r="AV786" s="1212">
        <v>0.33333333333333331</v>
      </c>
      <c r="AW786" s="1212">
        <v>0.33333333333333331</v>
      </c>
      <c r="AX786" s="1212"/>
      <c r="AY786" s="1212"/>
      <c r="AZ786" s="1212"/>
      <c r="BA786" s="1212"/>
      <c r="BB786" s="1212"/>
      <c r="BC786" s="1212"/>
      <c r="BD786" s="1212"/>
      <c r="BE786" s="1212"/>
      <c r="BF786" s="2126">
        <v>0</v>
      </c>
      <c r="BG786" s="2126">
        <v>0</v>
      </c>
      <c r="BH786" s="2126">
        <v>13669.56</v>
      </c>
      <c r="BI786" s="2126">
        <v>13669.56</v>
      </c>
      <c r="BJ786" s="2126">
        <v>13669.56</v>
      </c>
      <c r="BK786" s="2126">
        <v>0</v>
      </c>
      <c r="BL786" s="2126">
        <v>0</v>
      </c>
      <c r="BM786" s="2126">
        <v>0</v>
      </c>
      <c r="BN786" s="2126">
        <v>0</v>
      </c>
      <c r="BO786" s="2126">
        <v>0</v>
      </c>
      <c r="BP786" s="2126">
        <v>0</v>
      </c>
      <c r="BQ786" s="2126">
        <v>0</v>
      </c>
      <c r="BR786" s="2126">
        <v>0</v>
      </c>
    </row>
    <row r="787" spans="1:70" s="1765" customFormat="1" ht="49.5">
      <c r="A787" s="1272">
        <v>4000</v>
      </c>
      <c r="B787" s="971" t="s">
        <v>1316</v>
      </c>
      <c r="C787" s="1272">
        <v>4400</v>
      </c>
      <c r="D787" s="971" t="s">
        <v>451</v>
      </c>
      <c r="E787" s="971" t="s">
        <v>1513</v>
      </c>
      <c r="F787" s="971" t="s">
        <v>1511</v>
      </c>
      <c r="G787" s="971" t="s">
        <v>1537</v>
      </c>
      <c r="H787" s="971" t="s">
        <v>1538</v>
      </c>
      <c r="I787" s="1273" t="s">
        <v>1539</v>
      </c>
      <c r="J787" s="971" t="s">
        <v>124</v>
      </c>
      <c r="K787" s="971" t="s">
        <v>2857</v>
      </c>
      <c r="L787" s="971" t="s">
        <v>2858</v>
      </c>
      <c r="M787" s="971" t="s">
        <v>703</v>
      </c>
      <c r="N787" s="971" t="s">
        <v>488</v>
      </c>
      <c r="O787" s="971" t="s">
        <v>459</v>
      </c>
      <c r="P787" s="971"/>
      <c r="Q787" s="971" t="s">
        <v>1540</v>
      </c>
      <c r="R787" s="1266" t="s">
        <v>1541</v>
      </c>
      <c r="S787" s="2106">
        <v>14.869888475836431</v>
      </c>
      <c r="T787" s="1266" t="s">
        <v>136</v>
      </c>
      <c r="U787" s="1742">
        <v>0.56041666666666667</v>
      </c>
      <c r="V787" s="1742">
        <v>2.8020833333333335</v>
      </c>
      <c r="W787" s="1742">
        <v>49.395125</v>
      </c>
      <c r="X787" s="1742">
        <v>77.264645833333333</v>
      </c>
      <c r="Y787" s="2106">
        <v>129.46185416666665</v>
      </c>
      <c r="Z787" s="2106">
        <v>8.3333333333333339</v>
      </c>
      <c r="AA787" s="2106">
        <v>41.666666666666671</v>
      </c>
      <c r="AB787" s="2106">
        <v>734.5</v>
      </c>
      <c r="AC787" s="2106">
        <v>1148.9166666666667</v>
      </c>
      <c r="AD787" s="1744">
        <v>1925.0833333333335</v>
      </c>
      <c r="AE787" s="2126">
        <v>1</v>
      </c>
      <c r="AF787" s="2126">
        <v>14.869888475836431</v>
      </c>
      <c r="AG787" s="1212">
        <v>1</v>
      </c>
      <c r="AH787" s="1212">
        <v>0</v>
      </c>
      <c r="AI787" s="1212">
        <v>0</v>
      </c>
      <c r="AJ787" s="1212">
        <v>1</v>
      </c>
      <c r="AK787" s="2126">
        <v>1925.0833333333335</v>
      </c>
      <c r="AL787" s="2126">
        <v>0</v>
      </c>
      <c r="AM787" s="2126">
        <v>0</v>
      </c>
      <c r="AN787" s="2126">
        <v>1925.0833333333335</v>
      </c>
      <c r="AO787" s="1743" t="s">
        <v>85</v>
      </c>
      <c r="AP787" s="1743"/>
      <c r="AQ787" s="1764">
        <v>2014</v>
      </c>
      <c r="AR787" s="1743" t="s">
        <v>87</v>
      </c>
      <c r="AS787" s="2135"/>
      <c r="AT787" s="2135"/>
      <c r="AU787" s="1212">
        <v>0.33333333333333331</v>
      </c>
      <c r="AV787" s="1212">
        <v>0.33333333333333331</v>
      </c>
      <c r="AW787" s="1212">
        <v>0.33333333333333331</v>
      </c>
      <c r="AX787" s="1212"/>
      <c r="AY787" s="1212"/>
      <c r="AZ787" s="1212"/>
      <c r="BA787" s="1212"/>
      <c r="BB787" s="1212"/>
      <c r="BC787" s="1212"/>
      <c r="BD787" s="1212"/>
      <c r="BE787" s="1212"/>
      <c r="BF787" s="2126">
        <v>0</v>
      </c>
      <c r="BG787" s="2126">
        <v>0</v>
      </c>
      <c r="BH787" s="2126">
        <v>641.69444444444446</v>
      </c>
      <c r="BI787" s="2126">
        <v>641.69444444444446</v>
      </c>
      <c r="BJ787" s="2126">
        <v>641.69444444444446</v>
      </c>
      <c r="BK787" s="2126">
        <v>0</v>
      </c>
      <c r="BL787" s="2126">
        <v>0</v>
      </c>
      <c r="BM787" s="2126">
        <v>0</v>
      </c>
      <c r="BN787" s="2126">
        <v>0</v>
      </c>
      <c r="BO787" s="2126">
        <v>0</v>
      </c>
      <c r="BP787" s="2126">
        <v>0</v>
      </c>
      <c r="BQ787" s="2126">
        <v>0</v>
      </c>
      <c r="BR787" s="2126">
        <v>0</v>
      </c>
    </row>
    <row r="788" spans="1:70" s="1765" customFormat="1" ht="33">
      <c r="A788" s="1272">
        <v>4000</v>
      </c>
      <c r="B788" s="971" t="s">
        <v>1316</v>
      </c>
      <c r="C788" s="1272">
        <v>4400</v>
      </c>
      <c r="D788" s="971" t="s">
        <v>451</v>
      </c>
      <c r="E788" s="971" t="s">
        <v>1513</v>
      </c>
      <c r="F788" s="971" t="s">
        <v>1511</v>
      </c>
      <c r="G788" s="971" t="s">
        <v>1537</v>
      </c>
      <c r="H788" s="971" t="s">
        <v>1538</v>
      </c>
      <c r="I788" s="1273" t="s">
        <v>1542</v>
      </c>
      <c r="J788" s="971" t="s">
        <v>124</v>
      </c>
      <c r="K788" s="971" t="s">
        <v>140</v>
      </c>
      <c r="L788" s="971" t="s">
        <v>2909</v>
      </c>
      <c r="M788" s="971" t="s">
        <v>140</v>
      </c>
      <c r="N788" s="971" t="s">
        <v>141</v>
      </c>
      <c r="O788" s="971" t="s">
        <v>142</v>
      </c>
      <c r="P788" s="971"/>
      <c r="Q788" s="971" t="s">
        <v>1543</v>
      </c>
      <c r="R788" s="1266" t="s">
        <v>1541</v>
      </c>
      <c r="S788" s="2106">
        <v>14.869888475836431</v>
      </c>
      <c r="T788" s="1266" t="s">
        <v>136</v>
      </c>
      <c r="U788" s="1742">
        <v>0</v>
      </c>
      <c r="V788" s="1742">
        <v>0</v>
      </c>
      <c r="W788" s="1742">
        <v>0</v>
      </c>
      <c r="X788" s="1742">
        <v>0</v>
      </c>
      <c r="Y788" s="2106">
        <v>0</v>
      </c>
      <c r="Z788" s="2106">
        <v>0</v>
      </c>
      <c r="AA788" s="2106">
        <v>0</v>
      </c>
      <c r="AB788" s="2106">
        <v>0</v>
      </c>
      <c r="AC788" s="2106">
        <v>0</v>
      </c>
      <c r="AD788" s="1744">
        <v>0</v>
      </c>
      <c r="AE788" s="2126">
        <v>0</v>
      </c>
      <c r="AF788" s="2126">
        <v>0</v>
      </c>
      <c r="AG788" s="1212">
        <v>1</v>
      </c>
      <c r="AH788" s="1212">
        <v>0</v>
      </c>
      <c r="AI788" s="1212">
        <v>0</v>
      </c>
      <c r="AJ788" s="1212">
        <v>1</v>
      </c>
      <c r="AK788" s="2126">
        <v>0</v>
      </c>
      <c r="AL788" s="2126">
        <v>0</v>
      </c>
      <c r="AM788" s="2126">
        <v>0</v>
      </c>
      <c r="AN788" s="2126">
        <v>0</v>
      </c>
      <c r="AO788" s="1743" t="s">
        <v>85</v>
      </c>
      <c r="AP788" s="1743"/>
      <c r="AQ788" s="1764">
        <v>2014</v>
      </c>
      <c r="AR788" s="1743" t="s">
        <v>87</v>
      </c>
      <c r="AS788" s="2135"/>
      <c r="AT788" s="2135"/>
      <c r="AU788" s="1212">
        <v>0.33333333333333331</v>
      </c>
      <c r="AV788" s="1212">
        <v>0.33333333333333331</v>
      </c>
      <c r="AW788" s="1212">
        <v>0.33333333333333331</v>
      </c>
      <c r="AX788" s="1212"/>
      <c r="AY788" s="1212"/>
      <c r="AZ788" s="1212"/>
      <c r="BA788" s="1212"/>
      <c r="BB788" s="1212"/>
      <c r="BC788" s="1212"/>
      <c r="BD788" s="1212"/>
      <c r="BE788" s="1212"/>
      <c r="BF788" s="2126">
        <v>0</v>
      </c>
      <c r="BG788" s="2126">
        <v>0</v>
      </c>
      <c r="BH788" s="2126">
        <v>0</v>
      </c>
      <c r="BI788" s="2126">
        <v>0</v>
      </c>
      <c r="BJ788" s="2126">
        <v>0</v>
      </c>
      <c r="BK788" s="2126">
        <v>0</v>
      </c>
      <c r="BL788" s="2126">
        <v>0</v>
      </c>
      <c r="BM788" s="2126">
        <v>0</v>
      </c>
      <c r="BN788" s="2126">
        <v>0</v>
      </c>
      <c r="BO788" s="2126">
        <v>0</v>
      </c>
      <c r="BP788" s="2126">
        <v>0</v>
      </c>
      <c r="BQ788" s="2126">
        <v>0</v>
      </c>
      <c r="BR788" s="2126">
        <v>0</v>
      </c>
    </row>
    <row r="789" spans="1:70" s="1765" customFormat="1" ht="33">
      <c r="A789" s="1272">
        <v>4000</v>
      </c>
      <c r="B789" s="971" t="s">
        <v>1316</v>
      </c>
      <c r="C789" s="1272">
        <v>4400</v>
      </c>
      <c r="D789" s="971" t="s">
        <v>451</v>
      </c>
      <c r="E789" s="971" t="s">
        <v>1513</v>
      </c>
      <c r="F789" s="971" t="s">
        <v>1511</v>
      </c>
      <c r="G789" s="971" t="s">
        <v>1537</v>
      </c>
      <c r="H789" s="971" t="s">
        <v>1538</v>
      </c>
      <c r="I789" s="1273" t="s">
        <v>1544</v>
      </c>
      <c r="J789" s="971" t="s">
        <v>124</v>
      </c>
      <c r="K789" s="971"/>
      <c r="L789" s="971" t="e">
        <v>#N/A</v>
      </c>
      <c r="M789" s="971" t="s">
        <v>145</v>
      </c>
      <c r="N789" s="971" t="s">
        <v>141</v>
      </c>
      <c r="O789" s="971" t="s">
        <v>146</v>
      </c>
      <c r="P789" s="971"/>
      <c r="Q789" s="971" t="s">
        <v>1545</v>
      </c>
      <c r="R789" s="1266" t="s">
        <v>1541</v>
      </c>
      <c r="S789" s="2106">
        <v>14.869888475836431</v>
      </c>
      <c r="T789" s="1266" t="s">
        <v>136</v>
      </c>
      <c r="U789" s="1742" t="s">
        <v>6588</v>
      </c>
      <c r="V789" s="1742" t="s">
        <v>6588</v>
      </c>
      <c r="W789" s="1742" t="s">
        <v>6588</v>
      </c>
      <c r="X789" s="1742" t="s">
        <v>6588</v>
      </c>
      <c r="Y789" s="2106" t="s">
        <v>6588</v>
      </c>
      <c r="Z789" s="2106">
        <v>0</v>
      </c>
      <c r="AA789" s="2106">
        <v>0</v>
      </c>
      <c r="AB789" s="2106">
        <v>0</v>
      </c>
      <c r="AC789" s="2106">
        <v>0</v>
      </c>
      <c r="AD789" s="1744">
        <v>0</v>
      </c>
      <c r="AE789" s="2126">
        <v>0</v>
      </c>
      <c r="AF789" s="2126">
        <v>0</v>
      </c>
      <c r="AG789" s="1212">
        <v>1</v>
      </c>
      <c r="AH789" s="1212">
        <v>0</v>
      </c>
      <c r="AI789" s="1212">
        <v>0</v>
      </c>
      <c r="AJ789" s="1212">
        <v>1</v>
      </c>
      <c r="AK789" s="2126">
        <v>0</v>
      </c>
      <c r="AL789" s="2126">
        <v>0</v>
      </c>
      <c r="AM789" s="2126">
        <v>0</v>
      </c>
      <c r="AN789" s="2126">
        <v>0</v>
      </c>
      <c r="AO789" s="1743" t="s">
        <v>85</v>
      </c>
      <c r="AP789" s="1743"/>
      <c r="AQ789" s="1764">
        <v>2014</v>
      </c>
      <c r="AR789" s="1743" t="s">
        <v>87</v>
      </c>
      <c r="AS789" s="2135"/>
      <c r="AT789" s="2135"/>
      <c r="AU789" s="1212">
        <v>0.33333333333333331</v>
      </c>
      <c r="AV789" s="1212">
        <v>0.33333333333333331</v>
      </c>
      <c r="AW789" s="1212">
        <v>0.33333333333333331</v>
      </c>
      <c r="AX789" s="1212"/>
      <c r="AY789" s="1212"/>
      <c r="AZ789" s="1212"/>
      <c r="BA789" s="1212"/>
      <c r="BB789" s="1212"/>
      <c r="BC789" s="1212"/>
      <c r="BD789" s="1212"/>
      <c r="BE789" s="1212"/>
      <c r="BF789" s="2126">
        <v>0</v>
      </c>
      <c r="BG789" s="2126">
        <v>0</v>
      </c>
      <c r="BH789" s="2126">
        <v>0</v>
      </c>
      <c r="BI789" s="2126">
        <v>0</v>
      </c>
      <c r="BJ789" s="2126">
        <v>0</v>
      </c>
      <c r="BK789" s="2126">
        <v>0</v>
      </c>
      <c r="BL789" s="2126">
        <v>0</v>
      </c>
      <c r="BM789" s="2126">
        <v>0</v>
      </c>
      <c r="BN789" s="2126">
        <v>0</v>
      </c>
      <c r="BO789" s="2126">
        <v>0</v>
      </c>
      <c r="BP789" s="2126">
        <v>0</v>
      </c>
      <c r="BQ789" s="2126">
        <v>0</v>
      </c>
      <c r="BR789" s="2126">
        <v>0</v>
      </c>
    </row>
    <row r="790" spans="1:70" s="1765" customFormat="1" ht="33">
      <c r="A790" s="1802">
        <v>4000</v>
      </c>
      <c r="B790" s="1803" t="s">
        <v>1316</v>
      </c>
      <c r="C790" s="1802">
        <v>4500</v>
      </c>
      <c r="D790" s="1803" t="s">
        <v>452</v>
      </c>
      <c r="E790" s="1803"/>
      <c r="F790" s="1803"/>
      <c r="G790" s="1803"/>
      <c r="H790" s="1803"/>
      <c r="I790" s="1806"/>
      <c r="J790" s="1803" t="s">
        <v>121</v>
      </c>
      <c r="K790" s="1803"/>
      <c r="L790" s="1803"/>
      <c r="M790" s="1803"/>
      <c r="N790" s="1803"/>
      <c r="O790" s="1803"/>
      <c r="P790" s="1807"/>
      <c r="Q790" s="1807"/>
      <c r="R790" s="1784"/>
      <c r="S790" s="2109"/>
      <c r="T790" s="1784"/>
      <c r="U790" s="1785"/>
      <c r="V790" s="1785"/>
      <c r="W790" s="1785"/>
      <c r="X790" s="1785"/>
      <c r="Y790" s="2117"/>
      <c r="Z790" s="2117"/>
      <c r="AA790" s="2117"/>
      <c r="AB790" s="2117"/>
      <c r="AC790" s="2117"/>
      <c r="AD790" s="1775"/>
      <c r="AE790" s="2131"/>
      <c r="AF790" s="2131"/>
      <c r="AG790" s="1777"/>
      <c r="AH790" s="1777"/>
      <c r="AI790" s="1777"/>
      <c r="AJ790" s="1777"/>
      <c r="AK790" s="2140"/>
      <c r="AL790" s="2140"/>
      <c r="AM790" s="2140"/>
      <c r="AN790" s="2140"/>
      <c r="AO790" s="1775"/>
      <c r="AP790" s="1775"/>
      <c r="AQ790" s="1773"/>
      <c r="AR790" s="1775"/>
      <c r="AS790" s="1777"/>
      <c r="AT790" s="1777"/>
      <c r="AU790" s="1777"/>
      <c r="AV790" s="1777"/>
      <c r="AW790" s="1777"/>
      <c r="AX790" s="1777"/>
      <c r="AY790" s="1777"/>
      <c r="AZ790" s="1777"/>
      <c r="BA790" s="1777"/>
      <c r="BB790" s="1777"/>
      <c r="BC790" s="1777"/>
      <c r="BD790" s="1777"/>
      <c r="BE790" s="1777"/>
      <c r="BF790" s="2127"/>
      <c r="BG790" s="2127"/>
      <c r="BH790" s="2127"/>
      <c r="BI790" s="2127"/>
      <c r="BJ790" s="2127"/>
      <c r="BK790" s="2127"/>
      <c r="BL790" s="2127"/>
      <c r="BM790" s="2127"/>
      <c r="BN790" s="2127"/>
      <c r="BO790" s="2127"/>
      <c r="BP790" s="2127"/>
      <c r="BQ790" s="2127"/>
      <c r="BR790" s="2127"/>
    </row>
    <row r="791" spans="1:70" s="1765" customFormat="1" ht="49.5">
      <c r="A791" s="1272">
        <v>4000</v>
      </c>
      <c r="B791" s="971" t="s">
        <v>1316</v>
      </c>
      <c r="C791" s="1272">
        <v>4500</v>
      </c>
      <c r="D791" s="971" t="s">
        <v>452</v>
      </c>
      <c r="E791" s="971" t="s">
        <v>1546</v>
      </c>
      <c r="F791" s="971" t="s">
        <v>454</v>
      </c>
      <c r="G791" s="971">
        <v>4512</v>
      </c>
      <c r="H791" s="971" t="s">
        <v>456</v>
      </c>
      <c r="I791" s="1273" t="s">
        <v>1547</v>
      </c>
      <c r="J791" s="971" t="s">
        <v>124</v>
      </c>
      <c r="K791" s="971" t="s">
        <v>784</v>
      </c>
      <c r="L791" s="971" t="s">
        <v>2852</v>
      </c>
      <c r="M791" s="971" t="s">
        <v>458</v>
      </c>
      <c r="N791" s="971" t="s">
        <v>127</v>
      </c>
      <c r="O791" s="971" t="s">
        <v>459</v>
      </c>
      <c r="P791" s="971"/>
      <c r="Q791" s="971" t="s">
        <v>1548</v>
      </c>
      <c r="R791" s="1266" t="s">
        <v>1549</v>
      </c>
      <c r="S791" s="2106">
        <v>611.80297397769516</v>
      </c>
      <c r="T791" s="1266" t="s">
        <v>136</v>
      </c>
      <c r="U791" s="1742">
        <v>0.22416666666666665</v>
      </c>
      <c r="V791" s="1742">
        <v>2.8020833333333335</v>
      </c>
      <c r="W791" s="1742">
        <v>19.758049999999997</v>
      </c>
      <c r="X791" s="1742">
        <v>30.905858333333335</v>
      </c>
      <c r="Y791" s="2106">
        <v>53.46599166666666</v>
      </c>
      <c r="Z791" s="2106">
        <v>137.14583333333331</v>
      </c>
      <c r="AA791" s="2106">
        <v>1714.3229166666667</v>
      </c>
      <c r="AB791" s="2106">
        <v>12088.033749999999</v>
      </c>
      <c r="AC791" s="2106">
        <v>18908.296041666668</v>
      </c>
      <c r="AD791" s="1744">
        <v>32710.652708333335</v>
      </c>
      <c r="AE791" s="2126">
        <v>1</v>
      </c>
      <c r="AF791" s="2126">
        <v>611.80297397769516</v>
      </c>
      <c r="AG791" s="1212">
        <v>1</v>
      </c>
      <c r="AH791" s="1212">
        <v>0</v>
      </c>
      <c r="AI791" s="1212">
        <v>0</v>
      </c>
      <c r="AJ791" s="1212">
        <v>1</v>
      </c>
      <c r="AK791" s="2126">
        <v>32710.652708333335</v>
      </c>
      <c r="AL791" s="2126">
        <v>0</v>
      </c>
      <c r="AM791" s="2126">
        <v>0</v>
      </c>
      <c r="AN791" s="2126">
        <v>32710.652708333335</v>
      </c>
      <c r="AO791" s="1743" t="s">
        <v>85</v>
      </c>
      <c r="AP791" s="1743"/>
      <c r="AQ791" s="1764">
        <v>2014</v>
      </c>
      <c r="AR791" s="1743" t="s">
        <v>87</v>
      </c>
      <c r="AS791" s="2135"/>
      <c r="AT791" s="2135"/>
      <c r="AU791" s="1212">
        <v>0.33333333333333331</v>
      </c>
      <c r="AV791" s="1212">
        <v>0.33333333333333331</v>
      </c>
      <c r="AW791" s="1212">
        <v>0.33333333333333331</v>
      </c>
      <c r="AX791" s="1212"/>
      <c r="AY791" s="1212"/>
      <c r="AZ791" s="1212"/>
      <c r="BA791" s="1212"/>
      <c r="BB791" s="1212"/>
      <c r="BC791" s="1212"/>
      <c r="BD791" s="1212"/>
      <c r="BE791" s="1212"/>
      <c r="BF791" s="2126">
        <v>0</v>
      </c>
      <c r="BG791" s="2126">
        <v>0</v>
      </c>
      <c r="BH791" s="2126">
        <v>10903.550902777777</v>
      </c>
      <c r="BI791" s="2126">
        <v>10903.550902777777</v>
      </c>
      <c r="BJ791" s="2126">
        <v>10903.550902777777</v>
      </c>
      <c r="BK791" s="2126">
        <v>0</v>
      </c>
      <c r="BL791" s="2126">
        <v>0</v>
      </c>
      <c r="BM791" s="2126">
        <v>0</v>
      </c>
      <c r="BN791" s="2126">
        <v>0</v>
      </c>
      <c r="BO791" s="2126">
        <v>0</v>
      </c>
      <c r="BP791" s="2126">
        <v>0</v>
      </c>
      <c r="BQ791" s="2126">
        <v>0</v>
      </c>
      <c r="BR791" s="2126">
        <v>0</v>
      </c>
    </row>
    <row r="792" spans="1:70" s="1765" customFormat="1" ht="49.5">
      <c r="A792" s="1272">
        <v>4000</v>
      </c>
      <c r="B792" s="971" t="s">
        <v>1316</v>
      </c>
      <c r="C792" s="1272">
        <v>4500</v>
      </c>
      <c r="D792" s="971" t="s">
        <v>452</v>
      </c>
      <c r="E792" s="971" t="s">
        <v>1546</v>
      </c>
      <c r="F792" s="971" t="s">
        <v>454</v>
      </c>
      <c r="G792" s="971">
        <v>4512</v>
      </c>
      <c r="H792" s="971" t="s">
        <v>456</v>
      </c>
      <c r="I792" s="1273" t="s">
        <v>1550</v>
      </c>
      <c r="J792" s="971" t="s">
        <v>124</v>
      </c>
      <c r="K792" s="971" t="s">
        <v>784</v>
      </c>
      <c r="L792" s="971" t="s">
        <v>2852</v>
      </c>
      <c r="M792" s="971" t="s">
        <v>458</v>
      </c>
      <c r="N792" s="971" t="s">
        <v>127</v>
      </c>
      <c r="O792" s="971" t="s">
        <v>459</v>
      </c>
      <c r="P792" s="971"/>
      <c r="Q792" s="971" t="s">
        <v>1551</v>
      </c>
      <c r="R792" s="1266" t="s">
        <v>1552</v>
      </c>
      <c r="S792" s="2106">
        <v>611.80297397769516</v>
      </c>
      <c r="T792" s="1266" t="s">
        <v>136</v>
      </c>
      <c r="U792" s="1742">
        <v>0.22416666666666665</v>
      </c>
      <c r="V792" s="1742">
        <v>2.8020833333333335</v>
      </c>
      <c r="W792" s="1742">
        <v>19.758049999999997</v>
      </c>
      <c r="X792" s="1742">
        <v>30.905858333333335</v>
      </c>
      <c r="Y792" s="2106">
        <v>53.46599166666666</v>
      </c>
      <c r="Z792" s="2106">
        <v>137.14583333333331</v>
      </c>
      <c r="AA792" s="2106">
        <v>1714.3229166666667</v>
      </c>
      <c r="AB792" s="2106">
        <v>12088.033749999999</v>
      </c>
      <c r="AC792" s="2106">
        <v>18908.296041666668</v>
      </c>
      <c r="AD792" s="1744">
        <v>32710.652708333335</v>
      </c>
      <c r="AE792" s="2126">
        <v>1</v>
      </c>
      <c r="AF792" s="2126">
        <v>611.80297397769516</v>
      </c>
      <c r="AG792" s="1212">
        <v>1</v>
      </c>
      <c r="AH792" s="1212">
        <v>0</v>
      </c>
      <c r="AI792" s="1212">
        <v>0</v>
      </c>
      <c r="AJ792" s="1212">
        <v>1</v>
      </c>
      <c r="AK792" s="2126">
        <v>32710.652708333335</v>
      </c>
      <c r="AL792" s="2126">
        <v>0</v>
      </c>
      <c r="AM792" s="2126">
        <v>0</v>
      </c>
      <c r="AN792" s="2126">
        <v>32710.652708333335</v>
      </c>
      <c r="AO792" s="1743" t="s">
        <v>85</v>
      </c>
      <c r="AP792" s="1743"/>
      <c r="AQ792" s="1764">
        <v>2014</v>
      </c>
      <c r="AR792" s="1743" t="s">
        <v>87</v>
      </c>
      <c r="AS792" s="2135"/>
      <c r="AT792" s="2135"/>
      <c r="AU792" s="1212">
        <v>0.33333333333333331</v>
      </c>
      <c r="AV792" s="1212">
        <v>0.33333333333333331</v>
      </c>
      <c r="AW792" s="1212">
        <v>0.33333333333333331</v>
      </c>
      <c r="AX792" s="1212"/>
      <c r="AY792" s="1212"/>
      <c r="AZ792" s="1212"/>
      <c r="BA792" s="1212"/>
      <c r="BB792" s="1212"/>
      <c r="BC792" s="1212"/>
      <c r="BD792" s="1212"/>
      <c r="BE792" s="1212"/>
      <c r="BF792" s="2126">
        <v>0</v>
      </c>
      <c r="BG792" s="2126">
        <v>0</v>
      </c>
      <c r="BH792" s="2126">
        <v>10903.550902777777</v>
      </c>
      <c r="BI792" s="2126">
        <v>10903.550902777777</v>
      </c>
      <c r="BJ792" s="2126">
        <v>10903.550902777777</v>
      </c>
      <c r="BK792" s="2126">
        <v>0</v>
      </c>
      <c r="BL792" s="2126">
        <v>0</v>
      </c>
      <c r="BM792" s="2126">
        <v>0</v>
      </c>
      <c r="BN792" s="2126">
        <v>0</v>
      </c>
      <c r="BO792" s="2126">
        <v>0</v>
      </c>
      <c r="BP792" s="2126">
        <v>0</v>
      </c>
      <c r="BQ792" s="2126">
        <v>0</v>
      </c>
      <c r="BR792" s="2126">
        <v>0</v>
      </c>
    </row>
    <row r="793" spans="1:70" s="1765" customFormat="1" ht="49.5">
      <c r="A793" s="1272">
        <v>4000</v>
      </c>
      <c r="B793" s="971" t="s">
        <v>1316</v>
      </c>
      <c r="C793" s="1272">
        <v>4500</v>
      </c>
      <c r="D793" s="971" t="s">
        <v>452</v>
      </c>
      <c r="E793" s="971" t="s">
        <v>1546</v>
      </c>
      <c r="F793" s="971" t="s">
        <v>454</v>
      </c>
      <c r="G793" s="971">
        <v>4512</v>
      </c>
      <c r="H793" s="971" t="s">
        <v>456</v>
      </c>
      <c r="I793" s="1273" t="s">
        <v>1553</v>
      </c>
      <c r="J793" s="971" t="s">
        <v>124</v>
      </c>
      <c r="K793" s="971" t="s">
        <v>784</v>
      </c>
      <c r="L793" s="971" t="s">
        <v>2852</v>
      </c>
      <c r="M793" s="971" t="s">
        <v>458</v>
      </c>
      <c r="N793" s="971" t="s">
        <v>127</v>
      </c>
      <c r="O793" s="971" t="s">
        <v>459</v>
      </c>
      <c r="P793" s="971"/>
      <c r="Q793" s="971" t="s">
        <v>1554</v>
      </c>
      <c r="R793" s="1266" t="s">
        <v>1555</v>
      </c>
      <c r="S793" s="2106">
        <v>611.80297397769516</v>
      </c>
      <c r="T793" s="1266" t="s">
        <v>136</v>
      </c>
      <c r="U793" s="1742">
        <v>0.22416666666666665</v>
      </c>
      <c r="V793" s="1742">
        <v>2.8020833333333335</v>
      </c>
      <c r="W793" s="1742">
        <v>19.758049999999997</v>
      </c>
      <c r="X793" s="1742">
        <v>30.905858333333335</v>
      </c>
      <c r="Y793" s="2106">
        <v>53.46599166666666</v>
      </c>
      <c r="Z793" s="2106">
        <v>137.14583333333331</v>
      </c>
      <c r="AA793" s="2106">
        <v>1714.3229166666667</v>
      </c>
      <c r="AB793" s="2106">
        <v>12088.033749999999</v>
      </c>
      <c r="AC793" s="2106">
        <v>18908.296041666668</v>
      </c>
      <c r="AD793" s="1744">
        <v>32710.652708333335</v>
      </c>
      <c r="AE793" s="2126">
        <v>1</v>
      </c>
      <c r="AF793" s="2126">
        <v>611.80297397769516</v>
      </c>
      <c r="AG793" s="1212">
        <v>1</v>
      </c>
      <c r="AH793" s="1212">
        <v>0</v>
      </c>
      <c r="AI793" s="1212">
        <v>0</v>
      </c>
      <c r="AJ793" s="1212">
        <v>1</v>
      </c>
      <c r="AK793" s="2126">
        <v>32710.652708333335</v>
      </c>
      <c r="AL793" s="2126">
        <v>0</v>
      </c>
      <c r="AM793" s="2126">
        <v>0</v>
      </c>
      <c r="AN793" s="2126">
        <v>32710.652708333335</v>
      </c>
      <c r="AO793" s="1743" t="s">
        <v>85</v>
      </c>
      <c r="AP793" s="1743"/>
      <c r="AQ793" s="1764">
        <v>2014</v>
      </c>
      <c r="AR793" s="1743" t="s">
        <v>87</v>
      </c>
      <c r="AS793" s="2135"/>
      <c r="AT793" s="2135"/>
      <c r="AU793" s="1212">
        <v>0.33333333333333331</v>
      </c>
      <c r="AV793" s="1212">
        <v>0.33333333333333331</v>
      </c>
      <c r="AW793" s="1212">
        <v>0.33333333333333331</v>
      </c>
      <c r="AX793" s="1212"/>
      <c r="AY793" s="1212"/>
      <c r="AZ793" s="1212"/>
      <c r="BA793" s="1212"/>
      <c r="BB793" s="1212"/>
      <c r="BC793" s="1212"/>
      <c r="BD793" s="1212"/>
      <c r="BE793" s="1212"/>
      <c r="BF793" s="2126">
        <v>0</v>
      </c>
      <c r="BG793" s="2126">
        <v>0</v>
      </c>
      <c r="BH793" s="2126">
        <v>10903.550902777777</v>
      </c>
      <c r="BI793" s="2126">
        <v>10903.550902777777</v>
      </c>
      <c r="BJ793" s="2126">
        <v>10903.550902777777</v>
      </c>
      <c r="BK793" s="2126">
        <v>0</v>
      </c>
      <c r="BL793" s="2126">
        <v>0</v>
      </c>
      <c r="BM793" s="2126">
        <v>0</v>
      </c>
      <c r="BN793" s="2126">
        <v>0</v>
      </c>
      <c r="BO793" s="2126">
        <v>0</v>
      </c>
      <c r="BP793" s="2126">
        <v>0</v>
      </c>
      <c r="BQ793" s="2126">
        <v>0</v>
      </c>
      <c r="BR793" s="2126">
        <v>0</v>
      </c>
    </row>
    <row r="794" spans="1:70" s="1765" customFormat="1" ht="49.5">
      <c r="A794" s="1272">
        <v>4000</v>
      </c>
      <c r="B794" s="971" t="s">
        <v>1316</v>
      </c>
      <c r="C794" s="1272">
        <v>4500</v>
      </c>
      <c r="D794" s="971" t="s">
        <v>452</v>
      </c>
      <c r="E794" s="971" t="s">
        <v>1546</v>
      </c>
      <c r="F794" s="971" t="s">
        <v>454</v>
      </c>
      <c r="G794" s="971">
        <v>4512</v>
      </c>
      <c r="H794" s="971" t="s">
        <v>456</v>
      </c>
      <c r="I794" s="1273" t="s">
        <v>1556</v>
      </c>
      <c r="J794" s="971" t="s">
        <v>124</v>
      </c>
      <c r="K794" s="971" t="s">
        <v>784</v>
      </c>
      <c r="L794" s="971" t="s">
        <v>2852</v>
      </c>
      <c r="M794" s="971" t="s">
        <v>458</v>
      </c>
      <c r="N794" s="971" t="s">
        <v>127</v>
      </c>
      <c r="O794" s="971" t="s">
        <v>459</v>
      </c>
      <c r="P794" s="971"/>
      <c r="Q794" s="971" t="s">
        <v>1557</v>
      </c>
      <c r="R794" s="1266" t="s">
        <v>1558</v>
      </c>
      <c r="S794" s="2106">
        <v>611.80297397769516</v>
      </c>
      <c r="T794" s="1266" t="s">
        <v>136</v>
      </c>
      <c r="U794" s="1742">
        <v>0.22416666666666665</v>
      </c>
      <c r="V794" s="1742">
        <v>2.8020833333333335</v>
      </c>
      <c r="W794" s="1742">
        <v>19.758049999999997</v>
      </c>
      <c r="X794" s="1742">
        <v>30.905858333333335</v>
      </c>
      <c r="Y794" s="2106">
        <v>53.46599166666666</v>
      </c>
      <c r="Z794" s="2106">
        <v>137.14583333333331</v>
      </c>
      <c r="AA794" s="2106">
        <v>1714.3229166666667</v>
      </c>
      <c r="AB794" s="2106">
        <v>12088.033749999999</v>
      </c>
      <c r="AC794" s="2106">
        <v>18908.296041666668</v>
      </c>
      <c r="AD794" s="1744">
        <v>32710.652708333335</v>
      </c>
      <c r="AE794" s="2126">
        <v>1</v>
      </c>
      <c r="AF794" s="2126">
        <v>611.80297397769516</v>
      </c>
      <c r="AG794" s="1212">
        <v>1</v>
      </c>
      <c r="AH794" s="1212">
        <v>0</v>
      </c>
      <c r="AI794" s="1212">
        <v>0</v>
      </c>
      <c r="AJ794" s="1212">
        <v>1</v>
      </c>
      <c r="AK794" s="2126">
        <v>32710.652708333335</v>
      </c>
      <c r="AL794" s="2126">
        <v>0</v>
      </c>
      <c r="AM794" s="2126">
        <v>0</v>
      </c>
      <c r="AN794" s="2126">
        <v>32710.652708333335</v>
      </c>
      <c r="AO794" s="1743" t="s">
        <v>85</v>
      </c>
      <c r="AP794" s="1743"/>
      <c r="AQ794" s="1764">
        <v>2014</v>
      </c>
      <c r="AR794" s="1743" t="s">
        <v>87</v>
      </c>
      <c r="AS794" s="2135"/>
      <c r="AT794" s="2135"/>
      <c r="AU794" s="1212">
        <v>0.33333333333333331</v>
      </c>
      <c r="AV794" s="1212">
        <v>0.33333333333333331</v>
      </c>
      <c r="AW794" s="1212">
        <v>0.33333333333333331</v>
      </c>
      <c r="AX794" s="1212"/>
      <c r="AY794" s="1212"/>
      <c r="AZ794" s="1212"/>
      <c r="BA794" s="1212"/>
      <c r="BB794" s="1212"/>
      <c r="BC794" s="1212"/>
      <c r="BD794" s="1212"/>
      <c r="BE794" s="1212"/>
      <c r="BF794" s="2126">
        <v>0</v>
      </c>
      <c r="BG794" s="2126">
        <v>0</v>
      </c>
      <c r="BH794" s="2126">
        <v>10903.550902777777</v>
      </c>
      <c r="BI794" s="2126">
        <v>10903.550902777777</v>
      </c>
      <c r="BJ794" s="2126">
        <v>10903.550902777777</v>
      </c>
      <c r="BK794" s="2126">
        <v>0</v>
      </c>
      <c r="BL794" s="2126">
        <v>0</v>
      </c>
      <c r="BM794" s="2126">
        <v>0</v>
      </c>
      <c r="BN794" s="2126">
        <v>0</v>
      </c>
      <c r="BO794" s="2126">
        <v>0</v>
      </c>
      <c r="BP794" s="2126">
        <v>0</v>
      </c>
      <c r="BQ794" s="2126">
        <v>0</v>
      </c>
      <c r="BR794" s="2126">
        <v>0</v>
      </c>
    </row>
    <row r="795" spans="1:70" s="1765" customFormat="1" ht="49.5">
      <c r="A795" s="1272">
        <v>4000</v>
      </c>
      <c r="B795" s="971" t="s">
        <v>1316</v>
      </c>
      <c r="C795" s="1272">
        <v>4500</v>
      </c>
      <c r="D795" s="971" t="s">
        <v>452</v>
      </c>
      <c r="E795" s="971" t="s">
        <v>1546</v>
      </c>
      <c r="F795" s="971" t="s">
        <v>454</v>
      </c>
      <c r="G795" s="971">
        <v>4512</v>
      </c>
      <c r="H795" s="971" t="s">
        <v>456</v>
      </c>
      <c r="I795" s="1273" t="s">
        <v>1559</v>
      </c>
      <c r="J795" s="971" t="s">
        <v>124</v>
      </c>
      <c r="K795" s="971" t="s">
        <v>784</v>
      </c>
      <c r="L795" s="971" t="s">
        <v>2852</v>
      </c>
      <c r="M795" s="971" t="s">
        <v>458</v>
      </c>
      <c r="N795" s="971" t="s">
        <v>127</v>
      </c>
      <c r="O795" s="971" t="s">
        <v>459</v>
      </c>
      <c r="P795" s="971"/>
      <c r="Q795" s="971" t="s">
        <v>1560</v>
      </c>
      <c r="R795" s="1266" t="s">
        <v>1561</v>
      </c>
      <c r="S795" s="2106">
        <v>611.80297397769516</v>
      </c>
      <c r="T795" s="1266" t="s">
        <v>136</v>
      </c>
      <c r="U795" s="1742">
        <v>0.22416666666666665</v>
      </c>
      <c r="V795" s="1742">
        <v>2.8020833333333335</v>
      </c>
      <c r="W795" s="1742">
        <v>19.758049999999997</v>
      </c>
      <c r="X795" s="1742">
        <v>30.905858333333335</v>
      </c>
      <c r="Y795" s="2106">
        <v>53.46599166666666</v>
      </c>
      <c r="Z795" s="2106">
        <v>137.14583333333331</v>
      </c>
      <c r="AA795" s="2106">
        <v>1714.3229166666667</v>
      </c>
      <c r="AB795" s="2106">
        <v>12088.033749999999</v>
      </c>
      <c r="AC795" s="2106">
        <v>18908.296041666668</v>
      </c>
      <c r="AD795" s="1744">
        <v>32710.652708333335</v>
      </c>
      <c r="AE795" s="2126">
        <v>1</v>
      </c>
      <c r="AF795" s="2126">
        <v>611.80297397769516</v>
      </c>
      <c r="AG795" s="1212">
        <v>1</v>
      </c>
      <c r="AH795" s="1212">
        <v>0</v>
      </c>
      <c r="AI795" s="1212">
        <v>0</v>
      </c>
      <c r="AJ795" s="1212">
        <v>1</v>
      </c>
      <c r="AK795" s="2126">
        <v>32710.652708333335</v>
      </c>
      <c r="AL795" s="2126">
        <v>0</v>
      </c>
      <c r="AM795" s="2126">
        <v>0</v>
      </c>
      <c r="AN795" s="2126">
        <v>32710.652708333335</v>
      </c>
      <c r="AO795" s="1743" t="s">
        <v>85</v>
      </c>
      <c r="AP795" s="1743"/>
      <c r="AQ795" s="1764">
        <v>2014</v>
      </c>
      <c r="AR795" s="1743" t="s">
        <v>87</v>
      </c>
      <c r="AS795" s="2135"/>
      <c r="AT795" s="2135"/>
      <c r="AU795" s="1212">
        <v>0.33333333333333331</v>
      </c>
      <c r="AV795" s="1212">
        <v>0.33333333333333331</v>
      </c>
      <c r="AW795" s="1212">
        <v>0.33333333333333331</v>
      </c>
      <c r="AX795" s="1212"/>
      <c r="AY795" s="1212"/>
      <c r="AZ795" s="1212"/>
      <c r="BA795" s="1212"/>
      <c r="BB795" s="1212"/>
      <c r="BC795" s="1212"/>
      <c r="BD795" s="1212"/>
      <c r="BE795" s="1212"/>
      <c r="BF795" s="2126">
        <v>0</v>
      </c>
      <c r="BG795" s="2126">
        <v>0</v>
      </c>
      <c r="BH795" s="2126">
        <v>10903.550902777777</v>
      </c>
      <c r="BI795" s="2126">
        <v>10903.550902777777</v>
      </c>
      <c r="BJ795" s="2126">
        <v>10903.550902777777</v>
      </c>
      <c r="BK795" s="2126">
        <v>0</v>
      </c>
      <c r="BL795" s="2126">
        <v>0</v>
      </c>
      <c r="BM795" s="2126">
        <v>0</v>
      </c>
      <c r="BN795" s="2126">
        <v>0</v>
      </c>
      <c r="BO795" s="2126">
        <v>0</v>
      </c>
      <c r="BP795" s="2126">
        <v>0</v>
      </c>
      <c r="BQ795" s="2126">
        <v>0</v>
      </c>
      <c r="BR795" s="2126">
        <v>0</v>
      </c>
    </row>
    <row r="796" spans="1:70" s="1765" customFormat="1" ht="49.5">
      <c r="A796" s="1272">
        <v>4000</v>
      </c>
      <c r="B796" s="971" t="s">
        <v>1316</v>
      </c>
      <c r="C796" s="1272">
        <v>4500</v>
      </c>
      <c r="D796" s="971" t="s">
        <v>452</v>
      </c>
      <c r="E796" s="971" t="s">
        <v>1546</v>
      </c>
      <c r="F796" s="971" t="s">
        <v>454</v>
      </c>
      <c r="G796" s="971">
        <v>4512</v>
      </c>
      <c r="H796" s="971" t="s">
        <v>456</v>
      </c>
      <c r="I796" s="1273" t="s">
        <v>1562</v>
      </c>
      <c r="J796" s="971" t="s">
        <v>124</v>
      </c>
      <c r="K796" s="971" t="s">
        <v>784</v>
      </c>
      <c r="L796" s="971" t="s">
        <v>2852</v>
      </c>
      <c r="M796" s="971" t="s">
        <v>458</v>
      </c>
      <c r="N796" s="971" t="s">
        <v>127</v>
      </c>
      <c r="O796" s="971" t="s">
        <v>459</v>
      </c>
      <c r="P796" s="971"/>
      <c r="Q796" s="971" t="s">
        <v>1563</v>
      </c>
      <c r="R796" s="1266" t="s">
        <v>1564</v>
      </c>
      <c r="S796" s="2106">
        <v>611.80297397769516</v>
      </c>
      <c r="T796" s="1266" t="s">
        <v>136</v>
      </c>
      <c r="U796" s="1742">
        <v>0.22416666666666665</v>
      </c>
      <c r="V796" s="1742">
        <v>2.8020833333333335</v>
      </c>
      <c r="W796" s="1742">
        <v>19.758049999999997</v>
      </c>
      <c r="X796" s="1742">
        <v>30.905858333333335</v>
      </c>
      <c r="Y796" s="2106">
        <v>53.46599166666666</v>
      </c>
      <c r="Z796" s="2106">
        <v>137.14583333333331</v>
      </c>
      <c r="AA796" s="2106">
        <v>1714.3229166666667</v>
      </c>
      <c r="AB796" s="2106">
        <v>12088.033749999999</v>
      </c>
      <c r="AC796" s="2106">
        <v>18908.296041666668</v>
      </c>
      <c r="AD796" s="1744">
        <v>32710.652708333335</v>
      </c>
      <c r="AE796" s="2126">
        <v>1</v>
      </c>
      <c r="AF796" s="2126">
        <v>611.80297397769516</v>
      </c>
      <c r="AG796" s="1212">
        <v>1</v>
      </c>
      <c r="AH796" s="1212">
        <v>0</v>
      </c>
      <c r="AI796" s="1212">
        <v>0</v>
      </c>
      <c r="AJ796" s="1212">
        <v>1</v>
      </c>
      <c r="AK796" s="2126">
        <v>32710.652708333335</v>
      </c>
      <c r="AL796" s="2126">
        <v>0</v>
      </c>
      <c r="AM796" s="2126">
        <v>0</v>
      </c>
      <c r="AN796" s="2126">
        <v>32710.652708333335</v>
      </c>
      <c r="AO796" s="1743" t="s">
        <v>85</v>
      </c>
      <c r="AP796" s="1743"/>
      <c r="AQ796" s="1764">
        <v>2014</v>
      </c>
      <c r="AR796" s="1743" t="s">
        <v>87</v>
      </c>
      <c r="AS796" s="2135"/>
      <c r="AT796" s="2135"/>
      <c r="AU796" s="1212">
        <v>0.33333333333333331</v>
      </c>
      <c r="AV796" s="1212">
        <v>0.33333333333333331</v>
      </c>
      <c r="AW796" s="1212">
        <v>0.33333333333333331</v>
      </c>
      <c r="AX796" s="1212"/>
      <c r="AY796" s="1212"/>
      <c r="AZ796" s="1212"/>
      <c r="BA796" s="1212"/>
      <c r="BB796" s="1212"/>
      <c r="BC796" s="1212"/>
      <c r="BD796" s="1212"/>
      <c r="BE796" s="1212"/>
      <c r="BF796" s="2126">
        <v>0</v>
      </c>
      <c r="BG796" s="2126">
        <v>0</v>
      </c>
      <c r="BH796" s="2126">
        <v>10903.550902777777</v>
      </c>
      <c r="BI796" s="2126">
        <v>10903.550902777777</v>
      </c>
      <c r="BJ796" s="2126">
        <v>10903.550902777777</v>
      </c>
      <c r="BK796" s="2126">
        <v>0</v>
      </c>
      <c r="BL796" s="2126">
        <v>0</v>
      </c>
      <c r="BM796" s="2126">
        <v>0</v>
      </c>
      <c r="BN796" s="2126">
        <v>0</v>
      </c>
      <c r="BO796" s="2126">
        <v>0</v>
      </c>
      <c r="BP796" s="2126">
        <v>0</v>
      </c>
      <c r="BQ796" s="2126">
        <v>0</v>
      </c>
      <c r="BR796" s="2126">
        <v>0</v>
      </c>
    </row>
    <row r="797" spans="1:70" s="1765" customFormat="1" ht="49.5">
      <c r="A797" s="1272">
        <v>4000</v>
      </c>
      <c r="B797" s="971" t="s">
        <v>1316</v>
      </c>
      <c r="C797" s="1272">
        <v>4500</v>
      </c>
      <c r="D797" s="971" t="s">
        <v>452</v>
      </c>
      <c r="E797" s="971" t="s">
        <v>1546</v>
      </c>
      <c r="F797" s="971" t="s">
        <v>454</v>
      </c>
      <c r="G797" s="971">
        <v>4512</v>
      </c>
      <c r="H797" s="971" t="s">
        <v>456</v>
      </c>
      <c r="I797" s="1273" t="s">
        <v>1565</v>
      </c>
      <c r="J797" s="971" t="s">
        <v>124</v>
      </c>
      <c r="K797" s="971" t="s">
        <v>784</v>
      </c>
      <c r="L797" s="971" t="s">
        <v>2852</v>
      </c>
      <c r="M797" s="971" t="s">
        <v>458</v>
      </c>
      <c r="N797" s="971" t="s">
        <v>127</v>
      </c>
      <c r="O797" s="971" t="s">
        <v>459</v>
      </c>
      <c r="P797" s="971"/>
      <c r="Q797" s="971" t="s">
        <v>1566</v>
      </c>
      <c r="R797" s="1266" t="s">
        <v>1567</v>
      </c>
      <c r="S797" s="2106">
        <v>611.80297397769516</v>
      </c>
      <c r="T797" s="1266" t="s">
        <v>136</v>
      </c>
      <c r="U797" s="1742">
        <v>0.22416666666666665</v>
      </c>
      <c r="V797" s="1742">
        <v>2.8020833333333335</v>
      </c>
      <c r="W797" s="1742">
        <v>19.758049999999997</v>
      </c>
      <c r="X797" s="1742">
        <v>30.905858333333335</v>
      </c>
      <c r="Y797" s="2106">
        <v>53.46599166666666</v>
      </c>
      <c r="Z797" s="2106">
        <v>137.14583333333331</v>
      </c>
      <c r="AA797" s="2106">
        <v>1714.3229166666667</v>
      </c>
      <c r="AB797" s="2106">
        <v>12088.033749999999</v>
      </c>
      <c r="AC797" s="2106">
        <v>18908.296041666668</v>
      </c>
      <c r="AD797" s="1744">
        <v>32710.652708333335</v>
      </c>
      <c r="AE797" s="2126">
        <v>1</v>
      </c>
      <c r="AF797" s="2126">
        <v>611.80297397769516</v>
      </c>
      <c r="AG797" s="1212">
        <v>1</v>
      </c>
      <c r="AH797" s="1212">
        <v>0</v>
      </c>
      <c r="AI797" s="1212">
        <v>0</v>
      </c>
      <c r="AJ797" s="1212">
        <v>1</v>
      </c>
      <c r="AK797" s="2126">
        <v>32710.652708333335</v>
      </c>
      <c r="AL797" s="2126">
        <v>0</v>
      </c>
      <c r="AM797" s="2126">
        <v>0</v>
      </c>
      <c r="AN797" s="2126">
        <v>32710.652708333335</v>
      </c>
      <c r="AO797" s="1743" t="s">
        <v>85</v>
      </c>
      <c r="AP797" s="1743"/>
      <c r="AQ797" s="1764">
        <v>2014</v>
      </c>
      <c r="AR797" s="1743" t="s">
        <v>87</v>
      </c>
      <c r="AS797" s="2135"/>
      <c r="AT797" s="2135"/>
      <c r="AU797" s="1212">
        <v>0.33333333333333331</v>
      </c>
      <c r="AV797" s="1212">
        <v>0.33333333333333331</v>
      </c>
      <c r="AW797" s="1212">
        <v>0.33333333333333331</v>
      </c>
      <c r="AX797" s="1212"/>
      <c r="AY797" s="1212"/>
      <c r="AZ797" s="1212"/>
      <c r="BA797" s="1212"/>
      <c r="BB797" s="1212"/>
      <c r="BC797" s="1212"/>
      <c r="BD797" s="1212"/>
      <c r="BE797" s="1212"/>
      <c r="BF797" s="2126">
        <v>0</v>
      </c>
      <c r="BG797" s="2126">
        <v>0</v>
      </c>
      <c r="BH797" s="2126">
        <v>10903.550902777777</v>
      </c>
      <c r="BI797" s="2126">
        <v>10903.550902777777</v>
      </c>
      <c r="BJ797" s="2126">
        <v>10903.550902777777</v>
      </c>
      <c r="BK797" s="2126">
        <v>0</v>
      </c>
      <c r="BL797" s="2126">
        <v>0</v>
      </c>
      <c r="BM797" s="2126">
        <v>0</v>
      </c>
      <c r="BN797" s="2126">
        <v>0</v>
      </c>
      <c r="BO797" s="2126">
        <v>0</v>
      </c>
      <c r="BP797" s="2126">
        <v>0</v>
      </c>
      <c r="BQ797" s="2126">
        <v>0</v>
      </c>
      <c r="BR797" s="2126">
        <v>0</v>
      </c>
    </row>
    <row r="798" spans="1:70" s="1765" customFormat="1" ht="33">
      <c r="A798" s="1272">
        <v>4000</v>
      </c>
      <c r="B798" s="971" t="s">
        <v>1316</v>
      </c>
      <c r="C798" s="1272">
        <v>4500</v>
      </c>
      <c r="D798" s="971" t="s">
        <v>452</v>
      </c>
      <c r="E798" s="971" t="s">
        <v>1546</v>
      </c>
      <c r="F798" s="971" t="s">
        <v>454</v>
      </c>
      <c r="G798" s="971">
        <v>4512</v>
      </c>
      <c r="H798" s="971" t="s">
        <v>456</v>
      </c>
      <c r="I798" s="1273" t="s">
        <v>1568</v>
      </c>
      <c r="J798" s="971" t="s">
        <v>124</v>
      </c>
      <c r="K798" s="971" t="s">
        <v>140</v>
      </c>
      <c r="L798" s="971" t="s">
        <v>2909</v>
      </c>
      <c r="M798" s="971" t="s">
        <v>140</v>
      </c>
      <c r="N798" s="971" t="s">
        <v>141</v>
      </c>
      <c r="O798" s="971" t="s">
        <v>142</v>
      </c>
      <c r="P798" s="971"/>
      <c r="Q798" s="971" t="s">
        <v>1569</v>
      </c>
      <c r="R798" s="1266" t="s">
        <v>1549</v>
      </c>
      <c r="S798" s="2106">
        <v>611.80297397769516</v>
      </c>
      <c r="T798" s="1266" t="s">
        <v>136</v>
      </c>
      <c r="U798" s="1742">
        <v>0</v>
      </c>
      <c r="V798" s="1742">
        <v>0</v>
      </c>
      <c r="W798" s="1742">
        <v>0</v>
      </c>
      <c r="X798" s="1742">
        <v>0</v>
      </c>
      <c r="Y798" s="2106">
        <v>0</v>
      </c>
      <c r="Z798" s="2106">
        <v>0</v>
      </c>
      <c r="AA798" s="2106">
        <v>0</v>
      </c>
      <c r="AB798" s="2106">
        <v>0</v>
      </c>
      <c r="AC798" s="2106">
        <v>0</v>
      </c>
      <c r="AD798" s="1744">
        <v>0</v>
      </c>
      <c r="AE798" s="2126">
        <v>0</v>
      </c>
      <c r="AF798" s="2126">
        <v>0</v>
      </c>
      <c r="AG798" s="1212">
        <v>1</v>
      </c>
      <c r="AH798" s="1212">
        <v>0</v>
      </c>
      <c r="AI798" s="1212">
        <v>0</v>
      </c>
      <c r="AJ798" s="1212">
        <v>1</v>
      </c>
      <c r="AK798" s="2126">
        <v>0</v>
      </c>
      <c r="AL798" s="2126">
        <v>0</v>
      </c>
      <c r="AM798" s="2126">
        <v>0</v>
      </c>
      <c r="AN798" s="2126">
        <v>0</v>
      </c>
      <c r="AO798" s="1743" t="s">
        <v>85</v>
      </c>
      <c r="AP798" s="1743"/>
      <c r="AQ798" s="1764">
        <v>2014</v>
      </c>
      <c r="AR798" s="1743" t="s">
        <v>87</v>
      </c>
      <c r="AS798" s="2135"/>
      <c r="AT798" s="2135"/>
      <c r="AU798" s="1212">
        <v>0.33333333333333331</v>
      </c>
      <c r="AV798" s="1212">
        <v>0.33333333333333331</v>
      </c>
      <c r="AW798" s="1212">
        <v>0.33333333333333331</v>
      </c>
      <c r="AX798" s="1212"/>
      <c r="AY798" s="1212"/>
      <c r="AZ798" s="1212"/>
      <c r="BA798" s="1212"/>
      <c r="BB798" s="1212"/>
      <c r="BC798" s="1212"/>
      <c r="BD798" s="1212"/>
      <c r="BE798" s="1212"/>
      <c r="BF798" s="2126">
        <v>0</v>
      </c>
      <c r="BG798" s="2126">
        <v>0</v>
      </c>
      <c r="BH798" s="2126">
        <v>0</v>
      </c>
      <c r="BI798" s="2126">
        <v>0</v>
      </c>
      <c r="BJ798" s="2126">
        <v>0</v>
      </c>
      <c r="BK798" s="2126">
        <v>0</v>
      </c>
      <c r="BL798" s="2126">
        <v>0</v>
      </c>
      <c r="BM798" s="2126">
        <v>0</v>
      </c>
      <c r="BN798" s="2126">
        <v>0</v>
      </c>
      <c r="BO798" s="2126">
        <v>0</v>
      </c>
      <c r="BP798" s="2126">
        <v>0</v>
      </c>
      <c r="BQ798" s="2126">
        <v>0</v>
      </c>
      <c r="BR798" s="2126">
        <v>0</v>
      </c>
    </row>
    <row r="799" spans="1:70" s="1765" customFormat="1" ht="33">
      <c r="A799" s="1272">
        <v>4000</v>
      </c>
      <c r="B799" s="971" t="s">
        <v>1316</v>
      </c>
      <c r="C799" s="1272">
        <v>4500</v>
      </c>
      <c r="D799" s="971" t="s">
        <v>452</v>
      </c>
      <c r="E799" s="971" t="s">
        <v>1546</v>
      </c>
      <c r="F799" s="971" t="s">
        <v>454</v>
      </c>
      <c r="G799" s="971">
        <v>4512</v>
      </c>
      <c r="H799" s="971" t="s">
        <v>456</v>
      </c>
      <c r="I799" s="1273" t="s">
        <v>1570</v>
      </c>
      <c r="J799" s="971" t="s">
        <v>124</v>
      </c>
      <c r="K799" s="971"/>
      <c r="L799" s="971" t="e">
        <v>#N/A</v>
      </c>
      <c r="M799" s="971" t="s">
        <v>145</v>
      </c>
      <c r="N799" s="971" t="s">
        <v>141</v>
      </c>
      <c r="O799" s="971" t="s">
        <v>146</v>
      </c>
      <c r="P799" s="971"/>
      <c r="Q799" s="971" t="s">
        <v>1571</v>
      </c>
      <c r="R799" s="1266" t="s">
        <v>1549</v>
      </c>
      <c r="S799" s="2106">
        <v>611.80297397769516</v>
      </c>
      <c r="T799" s="1266" t="s">
        <v>136</v>
      </c>
      <c r="U799" s="1742" t="s">
        <v>6588</v>
      </c>
      <c r="V799" s="1742" t="s">
        <v>6588</v>
      </c>
      <c r="W799" s="1742" t="s">
        <v>6588</v>
      </c>
      <c r="X799" s="1742" t="s">
        <v>6588</v>
      </c>
      <c r="Y799" s="2106" t="s">
        <v>6588</v>
      </c>
      <c r="Z799" s="2106">
        <v>0</v>
      </c>
      <c r="AA799" s="2106">
        <v>0</v>
      </c>
      <c r="AB799" s="2106">
        <v>0</v>
      </c>
      <c r="AC799" s="2106">
        <v>0</v>
      </c>
      <c r="AD799" s="1744">
        <v>0</v>
      </c>
      <c r="AE799" s="2126">
        <v>0</v>
      </c>
      <c r="AF799" s="2126">
        <v>0</v>
      </c>
      <c r="AG799" s="1212">
        <v>1</v>
      </c>
      <c r="AH799" s="1212">
        <v>0</v>
      </c>
      <c r="AI799" s="1212">
        <v>0</v>
      </c>
      <c r="AJ799" s="1212">
        <v>1</v>
      </c>
      <c r="AK799" s="2126">
        <v>0</v>
      </c>
      <c r="AL799" s="2126">
        <v>0</v>
      </c>
      <c r="AM799" s="2126">
        <v>0</v>
      </c>
      <c r="AN799" s="2126">
        <v>0</v>
      </c>
      <c r="AO799" s="1743" t="s">
        <v>85</v>
      </c>
      <c r="AP799" s="1743"/>
      <c r="AQ799" s="1764">
        <v>2014</v>
      </c>
      <c r="AR799" s="1743" t="s">
        <v>87</v>
      </c>
      <c r="AS799" s="2135"/>
      <c r="AT799" s="2135"/>
      <c r="AU799" s="1212">
        <v>0.33333333333333331</v>
      </c>
      <c r="AV799" s="1212">
        <v>0.33333333333333331</v>
      </c>
      <c r="AW799" s="1212">
        <v>0.33333333333333331</v>
      </c>
      <c r="AX799" s="1212"/>
      <c r="AY799" s="1212"/>
      <c r="AZ799" s="1212"/>
      <c r="BA799" s="1212"/>
      <c r="BB799" s="1212"/>
      <c r="BC799" s="1212"/>
      <c r="BD799" s="1212"/>
      <c r="BE799" s="1212"/>
      <c r="BF799" s="2126">
        <v>0</v>
      </c>
      <c r="BG799" s="2126">
        <v>0</v>
      </c>
      <c r="BH799" s="2126">
        <v>0</v>
      </c>
      <c r="BI799" s="2126">
        <v>0</v>
      </c>
      <c r="BJ799" s="2126">
        <v>0</v>
      </c>
      <c r="BK799" s="2126">
        <v>0</v>
      </c>
      <c r="BL799" s="2126">
        <v>0</v>
      </c>
      <c r="BM799" s="2126">
        <v>0</v>
      </c>
      <c r="BN799" s="2126">
        <v>0</v>
      </c>
      <c r="BO799" s="2126">
        <v>0</v>
      </c>
      <c r="BP799" s="2126">
        <v>0</v>
      </c>
      <c r="BQ799" s="2126">
        <v>0</v>
      </c>
      <c r="BR799" s="2126">
        <v>0</v>
      </c>
    </row>
    <row r="800" spans="1:70" s="1765" customFormat="1" ht="33">
      <c r="A800" s="1272">
        <v>4000</v>
      </c>
      <c r="B800" s="971" t="s">
        <v>1316</v>
      </c>
      <c r="C800" s="1272">
        <v>4500</v>
      </c>
      <c r="D800" s="971" t="s">
        <v>452</v>
      </c>
      <c r="E800" s="971" t="s">
        <v>1546</v>
      </c>
      <c r="F800" s="971" t="s">
        <v>454</v>
      </c>
      <c r="G800" s="971">
        <v>4512</v>
      </c>
      <c r="H800" s="971" t="s">
        <v>456</v>
      </c>
      <c r="I800" s="1273" t="s">
        <v>1572</v>
      </c>
      <c r="J800" s="971" t="s">
        <v>124</v>
      </c>
      <c r="K800" s="971" t="s">
        <v>140</v>
      </c>
      <c r="L800" s="971" t="s">
        <v>2909</v>
      </c>
      <c r="M800" s="971" t="s">
        <v>140</v>
      </c>
      <c r="N800" s="971" t="s">
        <v>141</v>
      </c>
      <c r="O800" s="971" t="s">
        <v>142</v>
      </c>
      <c r="P800" s="971"/>
      <c r="Q800" s="971" t="s">
        <v>1573</v>
      </c>
      <c r="R800" s="1266" t="s">
        <v>1552</v>
      </c>
      <c r="S800" s="2106">
        <v>611.80297397769516</v>
      </c>
      <c r="T800" s="1266" t="s">
        <v>136</v>
      </c>
      <c r="U800" s="1742">
        <v>0</v>
      </c>
      <c r="V800" s="1742">
        <v>0</v>
      </c>
      <c r="W800" s="1742">
        <v>0</v>
      </c>
      <c r="X800" s="1742">
        <v>0</v>
      </c>
      <c r="Y800" s="2106">
        <v>0</v>
      </c>
      <c r="Z800" s="2106">
        <v>0</v>
      </c>
      <c r="AA800" s="2106">
        <v>0</v>
      </c>
      <c r="AB800" s="2106">
        <v>0</v>
      </c>
      <c r="AC800" s="2106">
        <v>0</v>
      </c>
      <c r="AD800" s="1744">
        <v>0</v>
      </c>
      <c r="AE800" s="2126">
        <v>0</v>
      </c>
      <c r="AF800" s="2126">
        <v>0</v>
      </c>
      <c r="AG800" s="1212">
        <v>1</v>
      </c>
      <c r="AH800" s="1212">
        <v>0</v>
      </c>
      <c r="AI800" s="1212">
        <v>0</v>
      </c>
      <c r="AJ800" s="1212">
        <v>1</v>
      </c>
      <c r="AK800" s="2126">
        <v>0</v>
      </c>
      <c r="AL800" s="2126">
        <v>0</v>
      </c>
      <c r="AM800" s="2126">
        <v>0</v>
      </c>
      <c r="AN800" s="2126">
        <v>0</v>
      </c>
      <c r="AO800" s="1743" t="s">
        <v>85</v>
      </c>
      <c r="AP800" s="1743"/>
      <c r="AQ800" s="1764">
        <v>2014</v>
      </c>
      <c r="AR800" s="1743" t="s">
        <v>87</v>
      </c>
      <c r="AS800" s="2135"/>
      <c r="AT800" s="2135"/>
      <c r="AU800" s="1212">
        <v>0.33333333333333331</v>
      </c>
      <c r="AV800" s="1212">
        <v>0.33333333333333331</v>
      </c>
      <c r="AW800" s="1212">
        <v>0.33333333333333331</v>
      </c>
      <c r="AX800" s="1212"/>
      <c r="AY800" s="1212"/>
      <c r="AZ800" s="1212"/>
      <c r="BA800" s="1212"/>
      <c r="BB800" s="1212"/>
      <c r="BC800" s="1212"/>
      <c r="BD800" s="1212"/>
      <c r="BE800" s="1212"/>
      <c r="BF800" s="2126">
        <v>0</v>
      </c>
      <c r="BG800" s="2126">
        <v>0</v>
      </c>
      <c r="BH800" s="2126">
        <v>0</v>
      </c>
      <c r="BI800" s="2126">
        <v>0</v>
      </c>
      <c r="BJ800" s="2126">
        <v>0</v>
      </c>
      <c r="BK800" s="2126">
        <v>0</v>
      </c>
      <c r="BL800" s="2126">
        <v>0</v>
      </c>
      <c r="BM800" s="2126">
        <v>0</v>
      </c>
      <c r="BN800" s="2126">
        <v>0</v>
      </c>
      <c r="BO800" s="2126">
        <v>0</v>
      </c>
      <c r="BP800" s="2126">
        <v>0</v>
      </c>
      <c r="BQ800" s="2126">
        <v>0</v>
      </c>
      <c r="BR800" s="2126">
        <v>0</v>
      </c>
    </row>
    <row r="801" spans="1:70" s="1765" customFormat="1" ht="33">
      <c r="A801" s="1272">
        <v>4000</v>
      </c>
      <c r="B801" s="971" t="s">
        <v>1316</v>
      </c>
      <c r="C801" s="1272">
        <v>4500</v>
      </c>
      <c r="D801" s="971" t="s">
        <v>452</v>
      </c>
      <c r="E801" s="971" t="s">
        <v>1546</v>
      </c>
      <c r="F801" s="971" t="s">
        <v>454</v>
      </c>
      <c r="G801" s="971">
        <v>4512</v>
      </c>
      <c r="H801" s="971" t="s">
        <v>456</v>
      </c>
      <c r="I801" s="1273" t="s">
        <v>1574</v>
      </c>
      <c r="J801" s="971" t="s">
        <v>124</v>
      </c>
      <c r="K801" s="971"/>
      <c r="L801" s="971" t="e">
        <v>#N/A</v>
      </c>
      <c r="M801" s="971" t="s">
        <v>145</v>
      </c>
      <c r="N801" s="971" t="s">
        <v>141</v>
      </c>
      <c r="O801" s="971" t="s">
        <v>146</v>
      </c>
      <c r="P801" s="971"/>
      <c r="Q801" s="971" t="s">
        <v>1575</v>
      </c>
      <c r="R801" s="1266" t="s">
        <v>1552</v>
      </c>
      <c r="S801" s="2106">
        <v>611.80297397769516</v>
      </c>
      <c r="T801" s="1266" t="s">
        <v>136</v>
      </c>
      <c r="U801" s="1742" t="s">
        <v>6588</v>
      </c>
      <c r="V801" s="1742" t="s">
        <v>6588</v>
      </c>
      <c r="W801" s="1742" t="s">
        <v>6588</v>
      </c>
      <c r="X801" s="1742" t="s">
        <v>6588</v>
      </c>
      <c r="Y801" s="2106" t="s">
        <v>6588</v>
      </c>
      <c r="Z801" s="2106">
        <v>0</v>
      </c>
      <c r="AA801" s="2106">
        <v>0</v>
      </c>
      <c r="AB801" s="2106">
        <v>0</v>
      </c>
      <c r="AC801" s="2106">
        <v>0</v>
      </c>
      <c r="AD801" s="1744">
        <v>0</v>
      </c>
      <c r="AE801" s="2126">
        <v>0</v>
      </c>
      <c r="AF801" s="2126">
        <v>0</v>
      </c>
      <c r="AG801" s="1212">
        <v>1</v>
      </c>
      <c r="AH801" s="1212">
        <v>0</v>
      </c>
      <c r="AI801" s="1212">
        <v>0</v>
      </c>
      <c r="AJ801" s="1212">
        <v>1</v>
      </c>
      <c r="AK801" s="2126">
        <v>0</v>
      </c>
      <c r="AL801" s="2126">
        <v>0</v>
      </c>
      <c r="AM801" s="2126">
        <v>0</v>
      </c>
      <c r="AN801" s="2126">
        <v>0</v>
      </c>
      <c r="AO801" s="1743" t="s">
        <v>85</v>
      </c>
      <c r="AP801" s="1743"/>
      <c r="AQ801" s="1764">
        <v>2014</v>
      </c>
      <c r="AR801" s="1743" t="s">
        <v>87</v>
      </c>
      <c r="AS801" s="2135"/>
      <c r="AT801" s="2135"/>
      <c r="AU801" s="1212">
        <v>0.33333333333333331</v>
      </c>
      <c r="AV801" s="1212">
        <v>0.33333333333333331</v>
      </c>
      <c r="AW801" s="1212">
        <v>0.33333333333333331</v>
      </c>
      <c r="AX801" s="1212"/>
      <c r="AY801" s="1212"/>
      <c r="AZ801" s="1212"/>
      <c r="BA801" s="1212"/>
      <c r="BB801" s="1212"/>
      <c r="BC801" s="1212"/>
      <c r="BD801" s="1212"/>
      <c r="BE801" s="1212"/>
      <c r="BF801" s="2126">
        <v>0</v>
      </c>
      <c r="BG801" s="2126">
        <v>0</v>
      </c>
      <c r="BH801" s="2126">
        <v>0</v>
      </c>
      <c r="BI801" s="2126">
        <v>0</v>
      </c>
      <c r="BJ801" s="2126">
        <v>0</v>
      </c>
      <c r="BK801" s="2126">
        <v>0</v>
      </c>
      <c r="BL801" s="2126">
        <v>0</v>
      </c>
      <c r="BM801" s="2126">
        <v>0</v>
      </c>
      <c r="BN801" s="2126">
        <v>0</v>
      </c>
      <c r="BO801" s="2126">
        <v>0</v>
      </c>
      <c r="BP801" s="2126">
        <v>0</v>
      </c>
      <c r="BQ801" s="2126">
        <v>0</v>
      </c>
      <c r="BR801" s="2126">
        <v>0</v>
      </c>
    </row>
    <row r="802" spans="1:70" s="1765" customFormat="1" ht="33">
      <c r="A802" s="1272">
        <v>4000</v>
      </c>
      <c r="B802" s="971" t="s">
        <v>1316</v>
      </c>
      <c r="C802" s="1272">
        <v>4500</v>
      </c>
      <c r="D802" s="971" t="s">
        <v>452</v>
      </c>
      <c r="E802" s="971" t="s">
        <v>1546</v>
      </c>
      <c r="F802" s="971" t="s">
        <v>454</v>
      </c>
      <c r="G802" s="971">
        <v>4512</v>
      </c>
      <c r="H802" s="971" t="s">
        <v>456</v>
      </c>
      <c r="I802" s="1273" t="s">
        <v>1576</v>
      </c>
      <c r="J802" s="971" t="s">
        <v>124</v>
      </c>
      <c r="K802" s="971" t="s">
        <v>140</v>
      </c>
      <c r="L802" s="971" t="s">
        <v>2909</v>
      </c>
      <c r="M802" s="971" t="s">
        <v>140</v>
      </c>
      <c r="N802" s="971" t="s">
        <v>141</v>
      </c>
      <c r="O802" s="971" t="s">
        <v>142</v>
      </c>
      <c r="P802" s="971"/>
      <c r="Q802" s="971" t="s">
        <v>1577</v>
      </c>
      <c r="R802" s="1266" t="s">
        <v>1555</v>
      </c>
      <c r="S802" s="2106">
        <v>611.80297397769516</v>
      </c>
      <c r="T802" s="1266" t="s">
        <v>136</v>
      </c>
      <c r="U802" s="1742">
        <v>0</v>
      </c>
      <c r="V802" s="1742">
        <v>0</v>
      </c>
      <c r="W802" s="1742">
        <v>0</v>
      </c>
      <c r="X802" s="1742">
        <v>0</v>
      </c>
      <c r="Y802" s="2106">
        <v>0</v>
      </c>
      <c r="Z802" s="2106">
        <v>0</v>
      </c>
      <c r="AA802" s="2106">
        <v>0</v>
      </c>
      <c r="AB802" s="2106">
        <v>0</v>
      </c>
      <c r="AC802" s="2106">
        <v>0</v>
      </c>
      <c r="AD802" s="1744">
        <v>0</v>
      </c>
      <c r="AE802" s="2126">
        <v>0</v>
      </c>
      <c r="AF802" s="2126">
        <v>0</v>
      </c>
      <c r="AG802" s="1212">
        <v>1</v>
      </c>
      <c r="AH802" s="1212">
        <v>0</v>
      </c>
      <c r="AI802" s="1212">
        <v>0</v>
      </c>
      <c r="AJ802" s="1212">
        <v>1</v>
      </c>
      <c r="AK802" s="2126">
        <v>0</v>
      </c>
      <c r="AL802" s="2126">
        <v>0</v>
      </c>
      <c r="AM802" s="2126">
        <v>0</v>
      </c>
      <c r="AN802" s="2126">
        <v>0</v>
      </c>
      <c r="AO802" s="1743" t="s">
        <v>85</v>
      </c>
      <c r="AP802" s="1743"/>
      <c r="AQ802" s="1764">
        <v>2014</v>
      </c>
      <c r="AR802" s="1743" t="s">
        <v>87</v>
      </c>
      <c r="AS802" s="2135"/>
      <c r="AT802" s="2135"/>
      <c r="AU802" s="1212">
        <v>0.33333333333333331</v>
      </c>
      <c r="AV802" s="1212">
        <v>0.33333333333333331</v>
      </c>
      <c r="AW802" s="1212">
        <v>0.33333333333333331</v>
      </c>
      <c r="AX802" s="1212"/>
      <c r="AY802" s="1212"/>
      <c r="AZ802" s="1212"/>
      <c r="BA802" s="1212"/>
      <c r="BB802" s="1212"/>
      <c r="BC802" s="1212"/>
      <c r="BD802" s="1212"/>
      <c r="BE802" s="1212"/>
      <c r="BF802" s="2126">
        <v>0</v>
      </c>
      <c r="BG802" s="2126">
        <v>0</v>
      </c>
      <c r="BH802" s="2126">
        <v>0</v>
      </c>
      <c r="BI802" s="2126">
        <v>0</v>
      </c>
      <c r="BJ802" s="2126">
        <v>0</v>
      </c>
      <c r="BK802" s="2126">
        <v>0</v>
      </c>
      <c r="BL802" s="2126">
        <v>0</v>
      </c>
      <c r="BM802" s="2126">
        <v>0</v>
      </c>
      <c r="BN802" s="2126">
        <v>0</v>
      </c>
      <c r="BO802" s="2126">
        <v>0</v>
      </c>
      <c r="BP802" s="2126">
        <v>0</v>
      </c>
      <c r="BQ802" s="2126">
        <v>0</v>
      </c>
      <c r="BR802" s="2126">
        <v>0</v>
      </c>
    </row>
    <row r="803" spans="1:70" s="1765" customFormat="1" ht="33">
      <c r="A803" s="1272">
        <v>4000</v>
      </c>
      <c r="B803" s="971" t="s">
        <v>1316</v>
      </c>
      <c r="C803" s="1272">
        <v>4500</v>
      </c>
      <c r="D803" s="971" t="s">
        <v>452</v>
      </c>
      <c r="E803" s="971" t="s">
        <v>1546</v>
      </c>
      <c r="F803" s="971" t="s">
        <v>454</v>
      </c>
      <c r="G803" s="971">
        <v>4512</v>
      </c>
      <c r="H803" s="971" t="s">
        <v>456</v>
      </c>
      <c r="I803" s="1273" t="s">
        <v>1578</v>
      </c>
      <c r="J803" s="971" t="s">
        <v>124</v>
      </c>
      <c r="K803" s="971"/>
      <c r="L803" s="971" t="e">
        <v>#N/A</v>
      </c>
      <c r="M803" s="971" t="s">
        <v>145</v>
      </c>
      <c r="N803" s="971" t="s">
        <v>141</v>
      </c>
      <c r="O803" s="971" t="s">
        <v>146</v>
      </c>
      <c r="P803" s="971"/>
      <c r="Q803" s="971" t="s">
        <v>1579</v>
      </c>
      <c r="R803" s="1266" t="s">
        <v>1555</v>
      </c>
      <c r="S803" s="2106">
        <v>611.80297397769516</v>
      </c>
      <c r="T803" s="1266" t="s">
        <v>136</v>
      </c>
      <c r="U803" s="1742" t="s">
        <v>6588</v>
      </c>
      <c r="V803" s="1742" t="s">
        <v>6588</v>
      </c>
      <c r="W803" s="1742" t="s">
        <v>6588</v>
      </c>
      <c r="X803" s="1742" t="s">
        <v>6588</v>
      </c>
      <c r="Y803" s="2106" t="s">
        <v>6588</v>
      </c>
      <c r="Z803" s="2106">
        <v>0</v>
      </c>
      <c r="AA803" s="2106">
        <v>0</v>
      </c>
      <c r="AB803" s="2106">
        <v>0</v>
      </c>
      <c r="AC803" s="2106">
        <v>0</v>
      </c>
      <c r="AD803" s="1744">
        <v>0</v>
      </c>
      <c r="AE803" s="2126">
        <v>0</v>
      </c>
      <c r="AF803" s="2126">
        <v>0</v>
      </c>
      <c r="AG803" s="1212">
        <v>1</v>
      </c>
      <c r="AH803" s="1212">
        <v>0</v>
      </c>
      <c r="AI803" s="1212">
        <v>0</v>
      </c>
      <c r="AJ803" s="1212">
        <v>1</v>
      </c>
      <c r="AK803" s="2126">
        <v>0</v>
      </c>
      <c r="AL803" s="2126">
        <v>0</v>
      </c>
      <c r="AM803" s="2126">
        <v>0</v>
      </c>
      <c r="AN803" s="2126">
        <v>0</v>
      </c>
      <c r="AO803" s="1743" t="s">
        <v>85</v>
      </c>
      <c r="AP803" s="1743"/>
      <c r="AQ803" s="1764">
        <v>2014</v>
      </c>
      <c r="AR803" s="1743" t="s">
        <v>87</v>
      </c>
      <c r="AS803" s="2135"/>
      <c r="AT803" s="2135"/>
      <c r="AU803" s="1212">
        <v>0.33333333333333331</v>
      </c>
      <c r="AV803" s="1212">
        <v>0.33333333333333331</v>
      </c>
      <c r="AW803" s="1212">
        <v>0.33333333333333331</v>
      </c>
      <c r="AX803" s="1212"/>
      <c r="AY803" s="1212"/>
      <c r="AZ803" s="1212"/>
      <c r="BA803" s="1212"/>
      <c r="BB803" s="1212"/>
      <c r="BC803" s="1212"/>
      <c r="BD803" s="1212"/>
      <c r="BE803" s="1212"/>
      <c r="BF803" s="2126">
        <v>0</v>
      </c>
      <c r="BG803" s="2126">
        <v>0</v>
      </c>
      <c r="BH803" s="2126">
        <v>0</v>
      </c>
      <c r="BI803" s="2126">
        <v>0</v>
      </c>
      <c r="BJ803" s="2126">
        <v>0</v>
      </c>
      <c r="BK803" s="2126">
        <v>0</v>
      </c>
      <c r="BL803" s="2126">
        <v>0</v>
      </c>
      <c r="BM803" s="2126">
        <v>0</v>
      </c>
      <c r="BN803" s="2126">
        <v>0</v>
      </c>
      <c r="BO803" s="2126">
        <v>0</v>
      </c>
      <c r="BP803" s="2126">
        <v>0</v>
      </c>
      <c r="BQ803" s="2126">
        <v>0</v>
      </c>
      <c r="BR803" s="2126">
        <v>0</v>
      </c>
    </row>
    <row r="804" spans="1:70" s="1765" customFormat="1" ht="33">
      <c r="A804" s="1272">
        <v>4000</v>
      </c>
      <c r="B804" s="971" t="s">
        <v>1316</v>
      </c>
      <c r="C804" s="1272">
        <v>4500</v>
      </c>
      <c r="D804" s="971" t="s">
        <v>452</v>
      </c>
      <c r="E804" s="971" t="s">
        <v>1546</v>
      </c>
      <c r="F804" s="971" t="s">
        <v>454</v>
      </c>
      <c r="G804" s="971">
        <v>4512</v>
      </c>
      <c r="H804" s="971" t="s">
        <v>456</v>
      </c>
      <c r="I804" s="1273" t="s">
        <v>1580</v>
      </c>
      <c r="J804" s="971" t="s">
        <v>124</v>
      </c>
      <c r="K804" s="971" t="s">
        <v>140</v>
      </c>
      <c r="L804" s="971" t="s">
        <v>2909</v>
      </c>
      <c r="M804" s="971" t="s">
        <v>140</v>
      </c>
      <c r="N804" s="971" t="s">
        <v>141</v>
      </c>
      <c r="O804" s="971" t="s">
        <v>142</v>
      </c>
      <c r="P804" s="971"/>
      <c r="Q804" s="971" t="s">
        <v>1581</v>
      </c>
      <c r="R804" s="1266" t="s">
        <v>1558</v>
      </c>
      <c r="S804" s="2106">
        <v>611.80297397769516</v>
      </c>
      <c r="T804" s="1266" t="s">
        <v>136</v>
      </c>
      <c r="U804" s="1742">
        <v>0</v>
      </c>
      <c r="V804" s="1742">
        <v>0</v>
      </c>
      <c r="W804" s="1742">
        <v>0</v>
      </c>
      <c r="X804" s="1742">
        <v>0</v>
      </c>
      <c r="Y804" s="2106">
        <v>0</v>
      </c>
      <c r="Z804" s="2106">
        <v>0</v>
      </c>
      <c r="AA804" s="2106">
        <v>0</v>
      </c>
      <c r="AB804" s="2106">
        <v>0</v>
      </c>
      <c r="AC804" s="2106">
        <v>0</v>
      </c>
      <c r="AD804" s="1744">
        <v>0</v>
      </c>
      <c r="AE804" s="2126">
        <v>0</v>
      </c>
      <c r="AF804" s="2126">
        <v>0</v>
      </c>
      <c r="AG804" s="1212">
        <v>1</v>
      </c>
      <c r="AH804" s="1212">
        <v>0</v>
      </c>
      <c r="AI804" s="1212">
        <v>0</v>
      </c>
      <c r="AJ804" s="1212">
        <v>1</v>
      </c>
      <c r="AK804" s="2126">
        <v>0</v>
      </c>
      <c r="AL804" s="2126">
        <v>0</v>
      </c>
      <c r="AM804" s="2126">
        <v>0</v>
      </c>
      <c r="AN804" s="2126">
        <v>0</v>
      </c>
      <c r="AO804" s="1743" t="s">
        <v>85</v>
      </c>
      <c r="AP804" s="1743"/>
      <c r="AQ804" s="1764">
        <v>2014</v>
      </c>
      <c r="AR804" s="1743" t="s">
        <v>87</v>
      </c>
      <c r="AS804" s="2135"/>
      <c r="AT804" s="2135"/>
      <c r="AU804" s="1212">
        <v>0.33333333333333331</v>
      </c>
      <c r="AV804" s="1212">
        <v>0.33333333333333331</v>
      </c>
      <c r="AW804" s="1212">
        <v>0.33333333333333331</v>
      </c>
      <c r="AX804" s="1212"/>
      <c r="AY804" s="1212"/>
      <c r="AZ804" s="1212"/>
      <c r="BA804" s="1212"/>
      <c r="BB804" s="1212"/>
      <c r="BC804" s="1212"/>
      <c r="BD804" s="1212"/>
      <c r="BE804" s="1212"/>
      <c r="BF804" s="2126">
        <v>0</v>
      </c>
      <c r="BG804" s="2126">
        <v>0</v>
      </c>
      <c r="BH804" s="2126">
        <v>0</v>
      </c>
      <c r="BI804" s="2126">
        <v>0</v>
      </c>
      <c r="BJ804" s="2126">
        <v>0</v>
      </c>
      <c r="BK804" s="2126">
        <v>0</v>
      </c>
      <c r="BL804" s="2126">
        <v>0</v>
      </c>
      <c r="BM804" s="2126">
        <v>0</v>
      </c>
      <c r="BN804" s="2126">
        <v>0</v>
      </c>
      <c r="BO804" s="2126">
        <v>0</v>
      </c>
      <c r="BP804" s="2126">
        <v>0</v>
      </c>
      <c r="BQ804" s="2126">
        <v>0</v>
      </c>
      <c r="BR804" s="2126">
        <v>0</v>
      </c>
    </row>
    <row r="805" spans="1:70" s="1765" customFormat="1" ht="33">
      <c r="A805" s="1272">
        <v>4000</v>
      </c>
      <c r="B805" s="971" t="s">
        <v>1316</v>
      </c>
      <c r="C805" s="1272">
        <v>4500</v>
      </c>
      <c r="D805" s="971" t="s">
        <v>452</v>
      </c>
      <c r="E805" s="971" t="s">
        <v>1546</v>
      </c>
      <c r="F805" s="971" t="s">
        <v>454</v>
      </c>
      <c r="G805" s="971">
        <v>4512</v>
      </c>
      <c r="H805" s="971" t="s">
        <v>456</v>
      </c>
      <c r="I805" s="1273" t="s">
        <v>1582</v>
      </c>
      <c r="J805" s="971" t="s">
        <v>124</v>
      </c>
      <c r="K805" s="971"/>
      <c r="L805" s="971" t="e">
        <v>#N/A</v>
      </c>
      <c r="M805" s="971" t="s">
        <v>145</v>
      </c>
      <c r="N805" s="971" t="s">
        <v>141</v>
      </c>
      <c r="O805" s="971" t="s">
        <v>146</v>
      </c>
      <c r="P805" s="971"/>
      <c r="Q805" s="971" t="s">
        <v>1583</v>
      </c>
      <c r="R805" s="1266" t="s">
        <v>1558</v>
      </c>
      <c r="S805" s="2106">
        <v>611.80297397769516</v>
      </c>
      <c r="T805" s="1266" t="s">
        <v>136</v>
      </c>
      <c r="U805" s="1742" t="s">
        <v>6588</v>
      </c>
      <c r="V805" s="1742" t="s">
        <v>6588</v>
      </c>
      <c r="W805" s="1742" t="s">
        <v>6588</v>
      </c>
      <c r="X805" s="1742" t="s">
        <v>6588</v>
      </c>
      <c r="Y805" s="2106" t="s">
        <v>6588</v>
      </c>
      <c r="Z805" s="2106">
        <v>0</v>
      </c>
      <c r="AA805" s="2106">
        <v>0</v>
      </c>
      <c r="AB805" s="2106">
        <v>0</v>
      </c>
      <c r="AC805" s="2106">
        <v>0</v>
      </c>
      <c r="AD805" s="1744">
        <v>0</v>
      </c>
      <c r="AE805" s="2126">
        <v>0</v>
      </c>
      <c r="AF805" s="2126">
        <v>0</v>
      </c>
      <c r="AG805" s="1212">
        <v>1</v>
      </c>
      <c r="AH805" s="1212">
        <v>0</v>
      </c>
      <c r="AI805" s="1212">
        <v>0</v>
      </c>
      <c r="AJ805" s="1212">
        <v>1</v>
      </c>
      <c r="AK805" s="2126">
        <v>0</v>
      </c>
      <c r="AL805" s="2126">
        <v>0</v>
      </c>
      <c r="AM805" s="2126">
        <v>0</v>
      </c>
      <c r="AN805" s="2126">
        <v>0</v>
      </c>
      <c r="AO805" s="1743" t="s">
        <v>85</v>
      </c>
      <c r="AP805" s="1743"/>
      <c r="AQ805" s="1764">
        <v>2014</v>
      </c>
      <c r="AR805" s="1743" t="s">
        <v>87</v>
      </c>
      <c r="AS805" s="2135"/>
      <c r="AT805" s="2135"/>
      <c r="AU805" s="1212">
        <v>0.33333333333333331</v>
      </c>
      <c r="AV805" s="1212">
        <v>0.33333333333333331</v>
      </c>
      <c r="AW805" s="1212">
        <v>0.33333333333333331</v>
      </c>
      <c r="AX805" s="1212"/>
      <c r="AY805" s="1212"/>
      <c r="AZ805" s="1212"/>
      <c r="BA805" s="1212"/>
      <c r="BB805" s="1212"/>
      <c r="BC805" s="1212"/>
      <c r="BD805" s="1212"/>
      <c r="BE805" s="1212"/>
      <c r="BF805" s="2126">
        <v>0</v>
      </c>
      <c r="BG805" s="2126">
        <v>0</v>
      </c>
      <c r="BH805" s="2126">
        <v>0</v>
      </c>
      <c r="BI805" s="2126">
        <v>0</v>
      </c>
      <c r="BJ805" s="2126">
        <v>0</v>
      </c>
      <c r="BK805" s="2126">
        <v>0</v>
      </c>
      <c r="BL805" s="2126">
        <v>0</v>
      </c>
      <c r="BM805" s="2126">
        <v>0</v>
      </c>
      <c r="BN805" s="2126">
        <v>0</v>
      </c>
      <c r="BO805" s="2126">
        <v>0</v>
      </c>
      <c r="BP805" s="2126">
        <v>0</v>
      </c>
      <c r="BQ805" s="2126">
        <v>0</v>
      </c>
      <c r="BR805" s="2126">
        <v>0</v>
      </c>
    </row>
    <row r="806" spans="1:70" s="1765" customFormat="1" ht="33">
      <c r="A806" s="1272">
        <v>4000</v>
      </c>
      <c r="B806" s="971" t="s">
        <v>1316</v>
      </c>
      <c r="C806" s="1272">
        <v>4500</v>
      </c>
      <c r="D806" s="971" t="s">
        <v>452</v>
      </c>
      <c r="E806" s="971" t="s">
        <v>1546</v>
      </c>
      <c r="F806" s="971" t="s">
        <v>454</v>
      </c>
      <c r="G806" s="971">
        <v>4512</v>
      </c>
      <c r="H806" s="971" t="s">
        <v>456</v>
      </c>
      <c r="I806" s="1273" t="s">
        <v>1584</v>
      </c>
      <c r="J806" s="971" t="s">
        <v>124</v>
      </c>
      <c r="K806" s="971" t="s">
        <v>140</v>
      </c>
      <c r="L806" s="971" t="s">
        <v>2909</v>
      </c>
      <c r="M806" s="971" t="s">
        <v>140</v>
      </c>
      <c r="N806" s="971" t="s">
        <v>141</v>
      </c>
      <c r="O806" s="971" t="s">
        <v>142</v>
      </c>
      <c r="P806" s="971"/>
      <c r="Q806" s="971" t="s">
        <v>1585</v>
      </c>
      <c r="R806" s="1266" t="s">
        <v>1561</v>
      </c>
      <c r="S806" s="2106">
        <v>611.80297397769516</v>
      </c>
      <c r="T806" s="1266" t="s">
        <v>136</v>
      </c>
      <c r="U806" s="1742">
        <v>0</v>
      </c>
      <c r="V806" s="1742">
        <v>0</v>
      </c>
      <c r="W806" s="1742">
        <v>0</v>
      </c>
      <c r="X806" s="1742">
        <v>0</v>
      </c>
      <c r="Y806" s="2106">
        <v>0</v>
      </c>
      <c r="Z806" s="2106">
        <v>0</v>
      </c>
      <c r="AA806" s="2106">
        <v>0</v>
      </c>
      <c r="AB806" s="2106">
        <v>0</v>
      </c>
      <c r="AC806" s="2106">
        <v>0</v>
      </c>
      <c r="AD806" s="1744">
        <v>0</v>
      </c>
      <c r="AE806" s="2126">
        <v>0</v>
      </c>
      <c r="AF806" s="2126">
        <v>0</v>
      </c>
      <c r="AG806" s="1212">
        <v>1</v>
      </c>
      <c r="AH806" s="1212">
        <v>0</v>
      </c>
      <c r="AI806" s="1212">
        <v>0</v>
      </c>
      <c r="AJ806" s="1212">
        <v>1</v>
      </c>
      <c r="AK806" s="2126">
        <v>0</v>
      </c>
      <c r="AL806" s="2126">
        <v>0</v>
      </c>
      <c r="AM806" s="2126">
        <v>0</v>
      </c>
      <c r="AN806" s="2126">
        <v>0</v>
      </c>
      <c r="AO806" s="1743" t="s">
        <v>85</v>
      </c>
      <c r="AP806" s="1743"/>
      <c r="AQ806" s="1764">
        <v>2014</v>
      </c>
      <c r="AR806" s="1743" t="s">
        <v>87</v>
      </c>
      <c r="AS806" s="2135"/>
      <c r="AT806" s="2135"/>
      <c r="AU806" s="1212">
        <v>0.33333333333333331</v>
      </c>
      <c r="AV806" s="1212">
        <v>0.33333333333333331</v>
      </c>
      <c r="AW806" s="1212">
        <v>0.33333333333333331</v>
      </c>
      <c r="AX806" s="1212"/>
      <c r="AY806" s="1212"/>
      <c r="AZ806" s="1212"/>
      <c r="BA806" s="1212"/>
      <c r="BB806" s="1212"/>
      <c r="BC806" s="1212"/>
      <c r="BD806" s="1212"/>
      <c r="BE806" s="1212"/>
      <c r="BF806" s="2126">
        <v>0</v>
      </c>
      <c r="BG806" s="2126">
        <v>0</v>
      </c>
      <c r="BH806" s="2126">
        <v>0</v>
      </c>
      <c r="BI806" s="2126">
        <v>0</v>
      </c>
      <c r="BJ806" s="2126">
        <v>0</v>
      </c>
      <c r="BK806" s="2126">
        <v>0</v>
      </c>
      <c r="BL806" s="2126">
        <v>0</v>
      </c>
      <c r="BM806" s="2126">
        <v>0</v>
      </c>
      <c r="BN806" s="2126">
        <v>0</v>
      </c>
      <c r="BO806" s="2126">
        <v>0</v>
      </c>
      <c r="BP806" s="2126">
        <v>0</v>
      </c>
      <c r="BQ806" s="2126">
        <v>0</v>
      </c>
      <c r="BR806" s="2126">
        <v>0</v>
      </c>
    </row>
    <row r="807" spans="1:70" s="1765" customFormat="1" ht="33">
      <c r="A807" s="1272">
        <v>4000</v>
      </c>
      <c r="B807" s="971" t="s">
        <v>1316</v>
      </c>
      <c r="C807" s="1272">
        <v>4500</v>
      </c>
      <c r="D807" s="971" t="s">
        <v>452</v>
      </c>
      <c r="E807" s="971" t="s">
        <v>1546</v>
      </c>
      <c r="F807" s="971" t="s">
        <v>454</v>
      </c>
      <c r="G807" s="971">
        <v>4512</v>
      </c>
      <c r="H807" s="971" t="s">
        <v>456</v>
      </c>
      <c r="I807" s="1273" t="s">
        <v>1586</v>
      </c>
      <c r="J807" s="971" t="s">
        <v>124</v>
      </c>
      <c r="K807" s="971"/>
      <c r="L807" s="971" t="e">
        <v>#N/A</v>
      </c>
      <c r="M807" s="971" t="s">
        <v>145</v>
      </c>
      <c r="N807" s="971" t="s">
        <v>141</v>
      </c>
      <c r="O807" s="971" t="s">
        <v>146</v>
      </c>
      <c r="P807" s="971"/>
      <c r="Q807" s="971" t="s">
        <v>1587</v>
      </c>
      <c r="R807" s="1266" t="s">
        <v>1561</v>
      </c>
      <c r="S807" s="2106">
        <v>611.80297397769516</v>
      </c>
      <c r="T807" s="1266" t="s">
        <v>136</v>
      </c>
      <c r="U807" s="1742" t="s">
        <v>6588</v>
      </c>
      <c r="V807" s="1742" t="s">
        <v>6588</v>
      </c>
      <c r="W807" s="1742" t="s">
        <v>6588</v>
      </c>
      <c r="X807" s="1742" t="s">
        <v>6588</v>
      </c>
      <c r="Y807" s="2106" t="s">
        <v>6588</v>
      </c>
      <c r="Z807" s="2106">
        <v>0</v>
      </c>
      <c r="AA807" s="2106">
        <v>0</v>
      </c>
      <c r="AB807" s="2106">
        <v>0</v>
      </c>
      <c r="AC807" s="2106">
        <v>0</v>
      </c>
      <c r="AD807" s="1744">
        <v>0</v>
      </c>
      <c r="AE807" s="2126">
        <v>0</v>
      </c>
      <c r="AF807" s="2126">
        <v>0</v>
      </c>
      <c r="AG807" s="1212">
        <v>1</v>
      </c>
      <c r="AH807" s="1212">
        <v>0</v>
      </c>
      <c r="AI807" s="1212">
        <v>0</v>
      </c>
      <c r="AJ807" s="1212">
        <v>1</v>
      </c>
      <c r="AK807" s="2126">
        <v>0</v>
      </c>
      <c r="AL807" s="2126">
        <v>0</v>
      </c>
      <c r="AM807" s="2126">
        <v>0</v>
      </c>
      <c r="AN807" s="2126">
        <v>0</v>
      </c>
      <c r="AO807" s="1743" t="s">
        <v>85</v>
      </c>
      <c r="AP807" s="1743"/>
      <c r="AQ807" s="1764">
        <v>2014</v>
      </c>
      <c r="AR807" s="1743" t="s">
        <v>87</v>
      </c>
      <c r="AS807" s="2135"/>
      <c r="AT807" s="2135"/>
      <c r="AU807" s="1212">
        <v>0.33333333333333331</v>
      </c>
      <c r="AV807" s="1212">
        <v>0.33333333333333331</v>
      </c>
      <c r="AW807" s="1212">
        <v>0.33333333333333331</v>
      </c>
      <c r="AX807" s="1212"/>
      <c r="AY807" s="1212"/>
      <c r="AZ807" s="1212"/>
      <c r="BA807" s="1212"/>
      <c r="BB807" s="1212"/>
      <c r="BC807" s="1212"/>
      <c r="BD807" s="1212"/>
      <c r="BE807" s="1212"/>
      <c r="BF807" s="2126">
        <v>0</v>
      </c>
      <c r="BG807" s="2126">
        <v>0</v>
      </c>
      <c r="BH807" s="2126">
        <v>0</v>
      </c>
      <c r="BI807" s="2126">
        <v>0</v>
      </c>
      <c r="BJ807" s="2126">
        <v>0</v>
      </c>
      <c r="BK807" s="2126">
        <v>0</v>
      </c>
      <c r="BL807" s="2126">
        <v>0</v>
      </c>
      <c r="BM807" s="2126">
        <v>0</v>
      </c>
      <c r="BN807" s="2126">
        <v>0</v>
      </c>
      <c r="BO807" s="2126">
        <v>0</v>
      </c>
      <c r="BP807" s="2126">
        <v>0</v>
      </c>
      <c r="BQ807" s="2126">
        <v>0</v>
      </c>
      <c r="BR807" s="2126">
        <v>0</v>
      </c>
    </row>
    <row r="808" spans="1:70" s="1765" customFormat="1" ht="33">
      <c r="A808" s="1272">
        <v>4000</v>
      </c>
      <c r="B808" s="971" t="s">
        <v>1316</v>
      </c>
      <c r="C808" s="1272">
        <v>4500</v>
      </c>
      <c r="D808" s="971" t="s">
        <v>452</v>
      </c>
      <c r="E808" s="971" t="s">
        <v>1546</v>
      </c>
      <c r="F808" s="971" t="s">
        <v>454</v>
      </c>
      <c r="G808" s="971">
        <v>4512</v>
      </c>
      <c r="H808" s="971" t="s">
        <v>456</v>
      </c>
      <c r="I808" s="1273" t="s">
        <v>1588</v>
      </c>
      <c r="J808" s="971" t="s">
        <v>124</v>
      </c>
      <c r="K808" s="971" t="s">
        <v>140</v>
      </c>
      <c r="L808" s="971" t="s">
        <v>2909</v>
      </c>
      <c r="M808" s="971" t="s">
        <v>140</v>
      </c>
      <c r="N808" s="971" t="s">
        <v>141</v>
      </c>
      <c r="O808" s="971" t="s">
        <v>142</v>
      </c>
      <c r="P808" s="971"/>
      <c r="Q808" s="971" t="s">
        <v>1589</v>
      </c>
      <c r="R808" s="1266" t="s">
        <v>1564</v>
      </c>
      <c r="S808" s="2106">
        <v>611.80297397769516</v>
      </c>
      <c r="T808" s="1266" t="s">
        <v>136</v>
      </c>
      <c r="U808" s="1742">
        <v>0</v>
      </c>
      <c r="V808" s="1742">
        <v>0</v>
      </c>
      <c r="W808" s="1742">
        <v>0</v>
      </c>
      <c r="X808" s="1742">
        <v>0</v>
      </c>
      <c r="Y808" s="2106">
        <v>0</v>
      </c>
      <c r="Z808" s="2106">
        <v>0</v>
      </c>
      <c r="AA808" s="2106">
        <v>0</v>
      </c>
      <c r="AB808" s="2106">
        <v>0</v>
      </c>
      <c r="AC808" s="2106">
        <v>0</v>
      </c>
      <c r="AD808" s="1744">
        <v>0</v>
      </c>
      <c r="AE808" s="2126">
        <v>0</v>
      </c>
      <c r="AF808" s="2126">
        <v>0</v>
      </c>
      <c r="AG808" s="1212">
        <v>1</v>
      </c>
      <c r="AH808" s="1212">
        <v>0</v>
      </c>
      <c r="AI808" s="1212">
        <v>0</v>
      </c>
      <c r="AJ808" s="1212">
        <v>1</v>
      </c>
      <c r="AK808" s="2126">
        <v>0</v>
      </c>
      <c r="AL808" s="2126">
        <v>0</v>
      </c>
      <c r="AM808" s="2126">
        <v>0</v>
      </c>
      <c r="AN808" s="2126">
        <v>0</v>
      </c>
      <c r="AO808" s="1743" t="s">
        <v>85</v>
      </c>
      <c r="AP808" s="1743"/>
      <c r="AQ808" s="1764">
        <v>2014</v>
      </c>
      <c r="AR808" s="1743" t="s">
        <v>87</v>
      </c>
      <c r="AS808" s="2135"/>
      <c r="AT808" s="2135"/>
      <c r="AU808" s="1212">
        <v>0.33333333333333331</v>
      </c>
      <c r="AV808" s="1212">
        <v>0.33333333333333331</v>
      </c>
      <c r="AW808" s="1212">
        <v>0.33333333333333331</v>
      </c>
      <c r="AX808" s="1212"/>
      <c r="AY808" s="1212"/>
      <c r="AZ808" s="1212"/>
      <c r="BA808" s="1212"/>
      <c r="BB808" s="1212"/>
      <c r="BC808" s="1212"/>
      <c r="BD808" s="1212"/>
      <c r="BE808" s="1212"/>
      <c r="BF808" s="2126">
        <v>0</v>
      </c>
      <c r="BG808" s="2126">
        <v>0</v>
      </c>
      <c r="BH808" s="2126">
        <v>0</v>
      </c>
      <c r="BI808" s="2126">
        <v>0</v>
      </c>
      <c r="BJ808" s="2126">
        <v>0</v>
      </c>
      <c r="BK808" s="2126">
        <v>0</v>
      </c>
      <c r="BL808" s="2126">
        <v>0</v>
      </c>
      <c r="BM808" s="2126">
        <v>0</v>
      </c>
      <c r="BN808" s="2126">
        <v>0</v>
      </c>
      <c r="BO808" s="2126">
        <v>0</v>
      </c>
      <c r="BP808" s="2126">
        <v>0</v>
      </c>
      <c r="BQ808" s="2126">
        <v>0</v>
      </c>
      <c r="BR808" s="2126">
        <v>0</v>
      </c>
    </row>
    <row r="809" spans="1:70" s="1765" customFormat="1" ht="33">
      <c r="A809" s="1272">
        <v>4000</v>
      </c>
      <c r="B809" s="971" t="s">
        <v>1316</v>
      </c>
      <c r="C809" s="1272">
        <v>4500</v>
      </c>
      <c r="D809" s="971" t="s">
        <v>452</v>
      </c>
      <c r="E809" s="971" t="s">
        <v>1546</v>
      </c>
      <c r="F809" s="971" t="s">
        <v>454</v>
      </c>
      <c r="G809" s="971">
        <v>4512</v>
      </c>
      <c r="H809" s="971" t="s">
        <v>456</v>
      </c>
      <c r="I809" s="1273" t="s">
        <v>1590</v>
      </c>
      <c r="J809" s="971" t="s">
        <v>124</v>
      </c>
      <c r="K809" s="971"/>
      <c r="L809" s="971" t="e">
        <v>#N/A</v>
      </c>
      <c r="M809" s="971" t="s">
        <v>145</v>
      </c>
      <c r="N809" s="971" t="s">
        <v>141</v>
      </c>
      <c r="O809" s="971" t="s">
        <v>146</v>
      </c>
      <c r="P809" s="971"/>
      <c r="Q809" s="971" t="s">
        <v>1591</v>
      </c>
      <c r="R809" s="1266" t="s">
        <v>1564</v>
      </c>
      <c r="S809" s="2106">
        <v>611.80297397769516</v>
      </c>
      <c r="T809" s="1266" t="s">
        <v>136</v>
      </c>
      <c r="U809" s="1742" t="s">
        <v>6588</v>
      </c>
      <c r="V809" s="1742" t="s">
        <v>6588</v>
      </c>
      <c r="W809" s="1742" t="s">
        <v>6588</v>
      </c>
      <c r="X809" s="1742" t="s">
        <v>6588</v>
      </c>
      <c r="Y809" s="2106" t="s">
        <v>6588</v>
      </c>
      <c r="Z809" s="2106">
        <v>0</v>
      </c>
      <c r="AA809" s="2106">
        <v>0</v>
      </c>
      <c r="AB809" s="2106">
        <v>0</v>
      </c>
      <c r="AC809" s="2106">
        <v>0</v>
      </c>
      <c r="AD809" s="1744">
        <v>0</v>
      </c>
      <c r="AE809" s="2126">
        <v>0</v>
      </c>
      <c r="AF809" s="2126">
        <v>0</v>
      </c>
      <c r="AG809" s="1212">
        <v>1</v>
      </c>
      <c r="AH809" s="1212">
        <v>0</v>
      </c>
      <c r="AI809" s="1212">
        <v>0</v>
      </c>
      <c r="AJ809" s="1212">
        <v>1</v>
      </c>
      <c r="AK809" s="2126">
        <v>0</v>
      </c>
      <c r="AL809" s="2126">
        <v>0</v>
      </c>
      <c r="AM809" s="2126">
        <v>0</v>
      </c>
      <c r="AN809" s="2126">
        <v>0</v>
      </c>
      <c r="AO809" s="1743" t="s">
        <v>85</v>
      </c>
      <c r="AP809" s="1743"/>
      <c r="AQ809" s="1764">
        <v>2014</v>
      </c>
      <c r="AR809" s="1743" t="s">
        <v>87</v>
      </c>
      <c r="AS809" s="2135"/>
      <c r="AT809" s="2135"/>
      <c r="AU809" s="1212">
        <v>0.33333333333333331</v>
      </c>
      <c r="AV809" s="1212">
        <v>0.33333333333333331</v>
      </c>
      <c r="AW809" s="1212">
        <v>0.33333333333333331</v>
      </c>
      <c r="AX809" s="1212"/>
      <c r="AY809" s="1212"/>
      <c r="AZ809" s="1212"/>
      <c r="BA809" s="1212"/>
      <c r="BB809" s="1212"/>
      <c r="BC809" s="1212"/>
      <c r="BD809" s="1212"/>
      <c r="BE809" s="1212"/>
      <c r="BF809" s="2126">
        <v>0</v>
      </c>
      <c r="BG809" s="2126">
        <v>0</v>
      </c>
      <c r="BH809" s="2126">
        <v>0</v>
      </c>
      <c r="BI809" s="2126">
        <v>0</v>
      </c>
      <c r="BJ809" s="2126">
        <v>0</v>
      </c>
      <c r="BK809" s="2126">
        <v>0</v>
      </c>
      <c r="BL809" s="2126">
        <v>0</v>
      </c>
      <c r="BM809" s="2126">
        <v>0</v>
      </c>
      <c r="BN809" s="2126">
        <v>0</v>
      </c>
      <c r="BO809" s="2126">
        <v>0</v>
      </c>
      <c r="BP809" s="2126">
        <v>0</v>
      </c>
      <c r="BQ809" s="2126">
        <v>0</v>
      </c>
      <c r="BR809" s="2126">
        <v>0</v>
      </c>
    </row>
    <row r="810" spans="1:70" s="1765" customFormat="1" ht="33">
      <c r="A810" s="1272">
        <v>4000</v>
      </c>
      <c r="B810" s="971" t="s">
        <v>1316</v>
      </c>
      <c r="C810" s="1272">
        <v>4500</v>
      </c>
      <c r="D810" s="971" t="s">
        <v>452</v>
      </c>
      <c r="E810" s="971" t="s">
        <v>1546</v>
      </c>
      <c r="F810" s="971" t="s">
        <v>454</v>
      </c>
      <c r="G810" s="971">
        <v>4512</v>
      </c>
      <c r="H810" s="971" t="s">
        <v>456</v>
      </c>
      <c r="I810" s="1273" t="s">
        <v>1592</v>
      </c>
      <c r="J810" s="971" t="s">
        <v>124</v>
      </c>
      <c r="K810" s="971" t="s">
        <v>140</v>
      </c>
      <c r="L810" s="971" t="s">
        <v>2909</v>
      </c>
      <c r="M810" s="971" t="s">
        <v>140</v>
      </c>
      <c r="N810" s="971" t="s">
        <v>141</v>
      </c>
      <c r="O810" s="971" t="s">
        <v>142</v>
      </c>
      <c r="P810" s="971"/>
      <c r="Q810" s="971" t="s">
        <v>1593</v>
      </c>
      <c r="R810" s="1266" t="s">
        <v>1567</v>
      </c>
      <c r="S810" s="2106">
        <v>611.80297397769516</v>
      </c>
      <c r="T810" s="1266" t="s">
        <v>136</v>
      </c>
      <c r="U810" s="1742">
        <v>0</v>
      </c>
      <c r="V810" s="1742">
        <v>0</v>
      </c>
      <c r="W810" s="1742">
        <v>0</v>
      </c>
      <c r="X810" s="1742">
        <v>0</v>
      </c>
      <c r="Y810" s="2106">
        <v>0</v>
      </c>
      <c r="Z810" s="2106">
        <v>0</v>
      </c>
      <c r="AA810" s="2106">
        <v>0</v>
      </c>
      <c r="AB810" s="2106">
        <v>0</v>
      </c>
      <c r="AC810" s="2106">
        <v>0</v>
      </c>
      <c r="AD810" s="1744">
        <v>0</v>
      </c>
      <c r="AE810" s="2126">
        <v>0</v>
      </c>
      <c r="AF810" s="2126">
        <v>0</v>
      </c>
      <c r="AG810" s="1212">
        <v>1</v>
      </c>
      <c r="AH810" s="1212">
        <v>0</v>
      </c>
      <c r="AI810" s="1212">
        <v>0</v>
      </c>
      <c r="AJ810" s="1212">
        <v>1</v>
      </c>
      <c r="AK810" s="2126">
        <v>0</v>
      </c>
      <c r="AL810" s="2126">
        <v>0</v>
      </c>
      <c r="AM810" s="2126">
        <v>0</v>
      </c>
      <c r="AN810" s="2126">
        <v>0</v>
      </c>
      <c r="AO810" s="1743" t="s">
        <v>85</v>
      </c>
      <c r="AP810" s="1743"/>
      <c r="AQ810" s="1764">
        <v>2014</v>
      </c>
      <c r="AR810" s="1743" t="s">
        <v>87</v>
      </c>
      <c r="AS810" s="2135"/>
      <c r="AT810" s="2135"/>
      <c r="AU810" s="1212">
        <v>0.33333333333333331</v>
      </c>
      <c r="AV810" s="1212">
        <v>0.33333333333333331</v>
      </c>
      <c r="AW810" s="1212">
        <v>0.33333333333333331</v>
      </c>
      <c r="AX810" s="1212"/>
      <c r="AY810" s="1212"/>
      <c r="AZ810" s="1212"/>
      <c r="BA810" s="1212"/>
      <c r="BB810" s="1212"/>
      <c r="BC810" s="1212"/>
      <c r="BD810" s="1212"/>
      <c r="BE810" s="1212"/>
      <c r="BF810" s="2126">
        <v>0</v>
      </c>
      <c r="BG810" s="2126">
        <v>0</v>
      </c>
      <c r="BH810" s="2126">
        <v>0</v>
      </c>
      <c r="BI810" s="2126">
        <v>0</v>
      </c>
      <c r="BJ810" s="2126">
        <v>0</v>
      </c>
      <c r="BK810" s="2126">
        <v>0</v>
      </c>
      <c r="BL810" s="2126">
        <v>0</v>
      </c>
      <c r="BM810" s="2126">
        <v>0</v>
      </c>
      <c r="BN810" s="2126">
        <v>0</v>
      </c>
      <c r="BO810" s="2126">
        <v>0</v>
      </c>
      <c r="BP810" s="2126">
        <v>0</v>
      </c>
      <c r="BQ810" s="2126">
        <v>0</v>
      </c>
      <c r="BR810" s="2126">
        <v>0</v>
      </c>
    </row>
    <row r="811" spans="1:70" s="1765" customFormat="1" ht="33">
      <c r="A811" s="1272">
        <v>4000</v>
      </c>
      <c r="B811" s="971" t="s">
        <v>1316</v>
      </c>
      <c r="C811" s="1272">
        <v>4500</v>
      </c>
      <c r="D811" s="971" t="s">
        <v>452</v>
      </c>
      <c r="E811" s="971" t="s">
        <v>1546</v>
      </c>
      <c r="F811" s="971" t="s">
        <v>454</v>
      </c>
      <c r="G811" s="971">
        <v>4512</v>
      </c>
      <c r="H811" s="971" t="s">
        <v>456</v>
      </c>
      <c r="I811" s="1273" t="s">
        <v>1594</v>
      </c>
      <c r="J811" s="971" t="s">
        <v>124</v>
      </c>
      <c r="K811" s="971"/>
      <c r="L811" s="971" t="e">
        <v>#N/A</v>
      </c>
      <c r="M811" s="971" t="s">
        <v>145</v>
      </c>
      <c r="N811" s="971" t="s">
        <v>141</v>
      </c>
      <c r="O811" s="971" t="s">
        <v>146</v>
      </c>
      <c r="P811" s="971"/>
      <c r="Q811" s="971" t="s">
        <v>1595</v>
      </c>
      <c r="R811" s="1266" t="s">
        <v>1567</v>
      </c>
      <c r="S811" s="2106">
        <v>611.80297397769516</v>
      </c>
      <c r="T811" s="1266" t="s">
        <v>136</v>
      </c>
      <c r="U811" s="1742" t="s">
        <v>6588</v>
      </c>
      <c r="V811" s="1742" t="s">
        <v>6588</v>
      </c>
      <c r="W811" s="1742" t="s">
        <v>6588</v>
      </c>
      <c r="X811" s="1742" t="s">
        <v>6588</v>
      </c>
      <c r="Y811" s="2106" t="s">
        <v>6588</v>
      </c>
      <c r="Z811" s="2106">
        <v>0</v>
      </c>
      <c r="AA811" s="2106">
        <v>0</v>
      </c>
      <c r="AB811" s="2106">
        <v>0</v>
      </c>
      <c r="AC811" s="2106">
        <v>0</v>
      </c>
      <c r="AD811" s="1744">
        <v>0</v>
      </c>
      <c r="AE811" s="2126">
        <v>0</v>
      </c>
      <c r="AF811" s="2126">
        <v>0</v>
      </c>
      <c r="AG811" s="1212">
        <v>1</v>
      </c>
      <c r="AH811" s="1212">
        <v>0</v>
      </c>
      <c r="AI811" s="1212">
        <v>0</v>
      </c>
      <c r="AJ811" s="1212">
        <v>1</v>
      </c>
      <c r="AK811" s="2126">
        <v>0</v>
      </c>
      <c r="AL811" s="2126">
        <v>0</v>
      </c>
      <c r="AM811" s="2126">
        <v>0</v>
      </c>
      <c r="AN811" s="2126">
        <v>0</v>
      </c>
      <c r="AO811" s="1743" t="s">
        <v>85</v>
      </c>
      <c r="AP811" s="1743"/>
      <c r="AQ811" s="1764">
        <v>2014</v>
      </c>
      <c r="AR811" s="1743" t="s">
        <v>87</v>
      </c>
      <c r="AS811" s="2135"/>
      <c r="AT811" s="2135"/>
      <c r="AU811" s="1212">
        <v>0.33333333333333331</v>
      </c>
      <c r="AV811" s="1212">
        <v>0.33333333333333331</v>
      </c>
      <c r="AW811" s="1212">
        <v>0.33333333333333331</v>
      </c>
      <c r="AX811" s="1212"/>
      <c r="AY811" s="1212"/>
      <c r="AZ811" s="1212"/>
      <c r="BA811" s="1212"/>
      <c r="BB811" s="1212"/>
      <c r="BC811" s="1212"/>
      <c r="BD811" s="1212"/>
      <c r="BE811" s="1212"/>
      <c r="BF811" s="2126">
        <v>0</v>
      </c>
      <c r="BG811" s="2126">
        <v>0</v>
      </c>
      <c r="BH811" s="2126">
        <v>0</v>
      </c>
      <c r="BI811" s="2126">
        <v>0</v>
      </c>
      <c r="BJ811" s="2126">
        <v>0</v>
      </c>
      <c r="BK811" s="2126">
        <v>0</v>
      </c>
      <c r="BL811" s="2126">
        <v>0</v>
      </c>
      <c r="BM811" s="2126">
        <v>0</v>
      </c>
      <c r="BN811" s="2126">
        <v>0</v>
      </c>
      <c r="BO811" s="2126">
        <v>0</v>
      </c>
      <c r="BP811" s="2126">
        <v>0</v>
      </c>
      <c r="BQ811" s="2126">
        <v>0</v>
      </c>
      <c r="BR811" s="2126">
        <v>0</v>
      </c>
    </row>
    <row r="812" spans="1:70" s="1765" customFormat="1" ht="49.5">
      <c r="A812" s="1272">
        <v>4000</v>
      </c>
      <c r="B812" s="971" t="s">
        <v>1316</v>
      </c>
      <c r="C812" s="1272">
        <v>4500</v>
      </c>
      <c r="D812" s="971" t="s">
        <v>452</v>
      </c>
      <c r="E812" s="971" t="s">
        <v>1546</v>
      </c>
      <c r="F812" s="971" t="s">
        <v>454</v>
      </c>
      <c r="G812" s="971">
        <v>4512</v>
      </c>
      <c r="H812" s="971" t="s">
        <v>456</v>
      </c>
      <c r="I812" s="1273" t="s">
        <v>503</v>
      </c>
      <c r="J812" s="971" t="s">
        <v>124</v>
      </c>
      <c r="K812" s="971" t="s">
        <v>784</v>
      </c>
      <c r="L812" s="971" t="s">
        <v>2852</v>
      </c>
      <c r="M812" s="971" t="s">
        <v>458</v>
      </c>
      <c r="N812" s="971" t="s">
        <v>127</v>
      </c>
      <c r="O812" s="971" t="s">
        <v>459</v>
      </c>
      <c r="P812" s="971"/>
      <c r="Q812" s="971" t="s">
        <v>1596</v>
      </c>
      <c r="R812" s="1266" t="s">
        <v>1597</v>
      </c>
      <c r="S812" s="2106">
        <v>0</v>
      </c>
      <c r="T812" s="1266" t="s">
        <v>136</v>
      </c>
      <c r="U812" s="1742">
        <v>0.22416666666666665</v>
      </c>
      <c r="V812" s="1742">
        <v>2.8020833333333335</v>
      </c>
      <c r="W812" s="1742">
        <v>19.758049999999997</v>
      </c>
      <c r="X812" s="1742">
        <v>30.905858333333335</v>
      </c>
      <c r="Y812" s="2106">
        <v>53.46599166666666</v>
      </c>
      <c r="Z812" s="2106">
        <v>0</v>
      </c>
      <c r="AA812" s="2106">
        <v>0</v>
      </c>
      <c r="AB812" s="2106">
        <v>0</v>
      </c>
      <c r="AC812" s="2106">
        <v>0</v>
      </c>
      <c r="AD812" s="1744">
        <v>0</v>
      </c>
      <c r="AE812" s="2126">
        <v>1</v>
      </c>
      <c r="AF812" s="2126">
        <v>0</v>
      </c>
      <c r="AG812" s="1212">
        <v>1</v>
      </c>
      <c r="AH812" s="1212">
        <v>0</v>
      </c>
      <c r="AI812" s="1212">
        <v>0</v>
      </c>
      <c r="AJ812" s="1212">
        <v>1</v>
      </c>
      <c r="AK812" s="2126">
        <v>0</v>
      </c>
      <c r="AL812" s="2126">
        <v>0</v>
      </c>
      <c r="AM812" s="2126">
        <v>0</v>
      </c>
      <c r="AN812" s="2126">
        <v>0</v>
      </c>
      <c r="AO812" s="1743" t="s">
        <v>85</v>
      </c>
      <c r="AP812" s="1743" t="s">
        <v>96</v>
      </c>
      <c r="AQ812" s="1764" t="s">
        <v>107</v>
      </c>
      <c r="AR812" s="1743" t="s">
        <v>87</v>
      </c>
      <c r="AS812" s="2135"/>
      <c r="AT812" s="2135"/>
      <c r="AU812" s="1212">
        <v>0.33333333333333331</v>
      </c>
      <c r="AV812" s="1212">
        <v>0.33333333333333331</v>
      </c>
      <c r="AW812" s="1212">
        <v>0.33333333333333331</v>
      </c>
      <c r="AX812" s="1212"/>
      <c r="AY812" s="1212"/>
      <c r="AZ812" s="1212"/>
      <c r="BA812" s="1212"/>
      <c r="BB812" s="1212"/>
      <c r="BC812" s="1212"/>
      <c r="BD812" s="1212"/>
      <c r="BE812" s="1212"/>
      <c r="BF812" s="2126">
        <v>0</v>
      </c>
      <c r="BG812" s="2126">
        <v>0</v>
      </c>
      <c r="BH812" s="2126">
        <v>0</v>
      </c>
      <c r="BI812" s="2126">
        <v>0</v>
      </c>
      <c r="BJ812" s="2126">
        <v>0</v>
      </c>
      <c r="BK812" s="2126">
        <v>0</v>
      </c>
      <c r="BL812" s="2126">
        <v>0</v>
      </c>
      <c r="BM812" s="2126">
        <v>0</v>
      </c>
      <c r="BN812" s="2126">
        <v>0</v>
      </c>
      <c r="BO812" s="2126">
        <v>0</v>
      </c>
      <c r="BP812" s="2126">
        <v>0</v>
      </c>
      <c r="BQ812" s="2126">
        <v>0</v>
      </c>
      <c r="BR812" s="2126">
        <v>0</v>
      </c>
    </row>
    <row r="813" spans="1:70" s="1765" customFormat="1" ht="33">
      <c r="A813" s="1272">
        <v>4000</v>
      </c>
      <c r="B813" s="971" t="s">
        <v>1316</v>
      </c>
      <c r="C813" s="1272">
        <v>4500</v>
      </c>
      <c r="D813" s="971" t="s">
        <v>452</v>
      </c>
      <c r="E813" s="971" t="s">
        <v>1546</v>
      </c>
      <c r="F813" s="971" t="s">
        <v>454</v>
      </c>
      <c r="G813" s="971">
        <v>4512</v>
      </c>
      <c r="H813" s="971" t="s">
        <v>456</v>
      </c>
      <c r="I813" s="1273" t="s">
        <v>503</v>
      </c>
      <c r="J813" s="971" t="s">
        <v>124</v>
      </c>
      <c r="K813" s="971" t="s">
        <v>140</v>
      </c>
      <c r="L813" s="971" t="s">
        <v>2909</v>
      </c>
      <c r="M813" s="971" t="s">
        <v>140</v>
      </c>
      <c r="N813" s="971" t="s">
        <v>141</v>
      </c>
      <c r="O813" s="971" t="s">
        <v>142</v>
      </c>
      <c r="P813" s="971"/>
      <c r="Q813" s="971" t="s">
        <v>1598</v>
      </c>
      <c r="R813" s="1266" t="s">
        <v>1597</v>
      </c>
      <c r="S813" s="2106">
        <v>0</v>
      </c>
      <c r="T813" s="1266" t="s">
        <v>136</v>
      </c>
      <c r="U813" s="1742">
        <v>0</v>
      </c>
      <c r="V813" s="1742">
        <v>0</v>
      </c>
      <c r="W813" s="1742">
        <v>0</v>
      </c>
      <c r="X813" s="1742">
        <v>0</v>
      </c>
      <c r="Y813" s="2106">
        <v>0</v>
      </c>
      <c r="Z813" s="2106">
        <v>0</v>
      </c>
      <c r="AA813" s="2106">
        <v>0</v>
      </c>
      <c r="AB813" s="2106">
        <v>0</v>
      </c>
      <c r="AC813" s="2106">
        <v>0</v>
      </c>
      <c r="AD813" s="1744">
        <v>0</v>
      </c>
      <c r="AE813" s="2126">
        <v>0</v>
      </c>
      <c r="AF813" s="2126">
        <v>0</v>
      </c>
      <c r="AG813" s="1212">
        <v>1</v>
      </c>
      <c r="AH813" s="1212">
        <v>0</v>
      </c>
      <c r="AI813" s="1212">
        <v>0</v>
      </c>
      <c r="AJ813" s="1212">
        <v>1</v>
      </c>
      <c r="AK813" s="2126">
        <v>0</v>
      </c>
      <c r="AL813" s="2126">
        <v>0</v>
      </c>
      <c r="AM813" s="2126">
        <v>0</v>
      </c>
      <c r="AN813" s="2126">
        <v>0</v>
      </c>
      <c r="AO813" s="1743" t="s">
        <v>85</v>
      </c>
      <c r="AP813" s="1743" t="s">
        <v>96</v>
      </c>
      <c r="AQ813" s="1764" t="s">
        <v>107</v>
      </c>
      <c r="AR813" s="1743" t="s">
        <v>87</v>
      </c>
      <c r="AS813" s="2135"/>
      <c r="AT813" s="2135"/>
      <c r="AU813" s="1212">
        <v>0.33333333333333331</v>
      </c>
      <c r="AV813" s="1212">
        <v>0.33333333333333331</v>
      </c>
      <c r="AW813" s="1212">
        <v>0.33333333333333331</v>
      </c>
      <c r="AX813" s="1212"/>
      <c r="AY813" s="1212"/>
      <c r="AZ813" s="1212"/>
      <c r="BA813" s="1212"/>
      <c r="BB813" s="1212"/>
      <c r="BC813" s="1212"/>
      <c r="BD813" s="1212"/>
      <c r="BE813" s="1212"/>
      <c r="BF813" s="2126">
        <v>0</v>
      </c>
      <c r="BG813" s="2126">
        <v>0</v>
      </c>
      <c r="BH813" s="2126">
        <v>0</v>
      </c>
      <c r="BI813" s="2126">
        <v>0</v>
      </c>
      <c r="BJ813" s="2126">
        <v>0</v>
      </c>
      <c r="BK813" s="2126">
        <v>0</v>
      </c>
      <c r="BL813" s="2126">
        <v>0</v>
      </c>
      <c r="BM813" s="2126">
        <v>0</v>
      </c>
      <c r="BN813" s="2126">
        <v>0</v>
      </c>
      <c r="BO813" s="2126">
        <v>0</v>
      </c>
      <c r="BP813" s="2126">
        <v>0</v>
      </c>
      <c r="BQ813" s="2126">
        <v>0</v>
      </c>
      <c r="BR813" s="2126">
        <v>0</v>
      </c>
    </row>
    <row r="814" spans="1:70" s="1765" customFormat="1" ht="33">
      <c r="A814" s="1272">
        <v>4000</v>
      </c>
      <c r="B814" s="971" t="s">
        <v>1316</v>
      </c>
      <c r="C814" s="1272">
        <v>4500</v>
      </c>
      <c r="D814" s="971" t="s">
        <v>452</v>
      </c>
      <c r="E814" s="971" t="s">
        <v>1546</v>
      </c>
      <c r="F814" s="971" t="s">
        <v>454</v>
      </c>
      <c r="G814" s="971">
        <v>4512</v>
      </c>
      <c r="H814" s="971" t="s">
        <v>456</v>
      </c>
      <c r="I814" s="1273" t="s">
        <v>503</v>
      </c>
      <c r="J814" s="971" t="s">
        <v>124</v>
      </c>
      <c r="K814" s="971"/>
      <c r="L814" s="971" t="e">
        <v>#N/A</v>
      </c>
      <c r="M814" s="971" t="s">
        <v>145</v>
      </c>
      <c r="N814" s="971" t="s">
        <v>141</v>
      </c>
      <c r="O814" s="971" t="s">
        <v>146</v>
      </c>
      <c r="P814" s="971"/>
      <c r="Q814" s="971" t="s">
        <v>1599</v>
      </c>
      <c r="R814" s="1266" t="s">
        <v>1597</v>
      </c>
      <c r="S814" s="2106">
        <v>0</v>
      </c>
      <c r="T814" s="1266" t="s">
        <v>136</v>
      </c>
      <c r="U814" s="1742" t="s">
        <v>6588</v>
      </c>
      <c r="V814" s="1742" t="s">
        <v>6588</v>
      </c>
      <c r="W814" s="1742" t="s">
        <v>6588</v>
      </c>
      <c r="X814" s="1742" t="s">
        <v>6588</v>
      </c>
      <c r="Y814" s="2106" t="s">
        <v>6588</v>
      </c>
      <c r="Z814" s="2106">
        <v>0</v>
      </c>
      <c r="AA814" s="2106">
        <v>0</v>
      </c>
      <c r="AB814" s="2106">
        <v>0</v>
      </c>
      <c r="AC814" s="2106">
        <v>0</v>
      </c>
      <c r="AD814" s="1744">
        <v>0</v>
      </c>
      <c r="AE814" s="2126">
        <v>0</v>
      </c>
      <c r="AF814" s="2126">
        <v>0</v>
      </c>
      <c r="AG814" s="1212">
        <v>1</v>
      </c>
      <c r="AH814" s="1212">
        <v>0</v>
      </c>
      <c r="AI814" s="1212">
        <v>0</v>
      </c>
      <c r="AJ814" s="1212">
        <v>1</v>
      </c>
      <c r="AK814" s="2126">
        <v>0</v>
      </c>
      <c r="AL814" s="2126">
        <v>0</v>
      </c>
      <c r="AM814" s="2126">
        <v>0</v>
      </c>
      <c r="AN814" s="2126">
        <v>0</v>
      </c>
      <c r="AO814" s="1743" t="s">
        <v>85</v>
      </c>
      <c r="AP814" s="1743" t="s">
        <v>96</v>
      </c>
      <c r="AQ814" s="1764" t="s">
        <v>107</v>
      </c>
      <c r="AR814" s="1743" t="s">
        <v>87</v>
      </c>
      <c r="AS814" s="2135"/>
      <c r="AT814" s="2135"/>
      <c r="AU814" s="1212">
        <v>0.33333333333333331</v>
      </c>
      <c r="AV814" s="1212">
        <v>0.33333333333333331</v>
      </c>
      <c r="AW814" s="1212">
        <v>0.33333333333333331</v>
      </c>
      <c r="AX814" s="1212"/>
      <c r="AY814" s="1212"/>
      <c r="AZ814" s="1212"/>
      <c r="BA814" s="1212"/>
      <c r="BB814" s="1212"/>
      <c r="BC814" s="1212"/>
      <c r="BD814" s="1212"/>
      <c r="BE814" s="1212"/>
      <c r="BF814" s="2126">
        <v>0</v>
      </c>
      <c r="BG814" s="2126">
        <v>0</v>
      </c>
      <c r="BH814" s="2126">
        <v>0</v>
      </c>
      <c r="BI814" s="2126">
        <v>0</v>
      </c>
      <c r="BJ814" s="2126">
        <v>0</v>
      </c>
      <c r="BK814" s="2126">
        <v>0</v>
      </c>
      <c r="BL814" s="2126">
        <v>0</v>
      </c>
      <c r="BM814" s="2126">
        <v>0</v>
      </c>
      <c r="BN814" s="2126">
        <v>0</v>
      </c>
      <c r="BO814" s="2126">
        <v>0</v>
      </c>
      <c r="BP814" s="2126">
        <v>0</v>
      </c>
      <c r="BQ814" s="2126">
        <v>0</v>
      </c>
      <c r="BR814" s="2126">
        <v>0</v>
      </c>
    </row>
    <row r="815" spans="1:70" s="1765" customFormat="1" ht="49.5">
      <c r="A815" s="1272">
        <v>4000</v>
      </c>
      <c r="B815" s="971" t="s">
        <v>1316</v>
      </c>
      <c r="C815" s="1272">
        <v>4500</v>
      </c>
      <c r="D815" s="971" t="s">
        <v>452</v>
      </c>
      <c r="E815" s="971" t="s">
        <v>1546</v>
      </c>
      <c r="F815" s="971" t="s">
        <v>454</v>
      </c>
      <c r="G815" s="971">
        <v>4512</v>
      </c>
      <c r="H815" s="971" t="s">
        <v>456</v>
      </c>
      <c r="I815" s="1273" t="s">
        <v>1067</v>
      </c>
      <c r="J815" s="971" t="s">
        <v>124</v>
      </c>
      <c r="K815" s="971" t="s">
        <v>784</v>
      </c>
      <c r="L815" s="971" t="s">
        <v>2852</v>
      </c>
      <c r="M815" s="971" t="s">
        <v>458</v>
      </c>
      <c r="N815" s="971" t="s">
        <v>127</v>
      </c>
      <c r="O815" s="971" t="s">
        <v>459</v>
      </c>
      <c r="P815" s="971"/>
      <c r="Q815" s="971" t="s">
        <v>1600</v>
      </c>
      <c r="R815" s="1266" t="s">
        <v>1601</v>
      </c>
      <c r="S815" s="2106">
        <v>0</v>
      </c>
      <c r="T815" s="1266" t="s">
        <v>136</v>
      </c>
      <c r="U815" s="1742">
        <v>0.22416666666666665</v>
      </c>
      <c r="V815" s="1742">
        <v>2.8020833333333335</v>
      </c>
      <c r="W815" s="1742">
        <v>19.758049999999997</v>
      </c>
      <c r="X815" s="1742">
        <v>30.905858333333335</v>
      </c>
      <c r="Y815" s="2106">
        <v>53.46599166666666</v>
      </c>
      <c r="Z815" s="2106">
        <v>0</v>
      </c>
      <c r="AA815" s="2106">
        <v>0</v>
      </c>
      <c r="AB815" s="2106">
        <v>0</v>
      </c>
      <c r="AC815" s="2106">
        <v>0</v>
      </c>
      <c r="AD815" s="1744">
        <v>0</v>
      </c>
      <c r="AE815" s="2126">
        <v>1</v>
      </c>
      <c r="AF815" s="2126">
        <v>0</v>
      </c>
      <c r="AG815" s="1212">
        <v>1</v>
      </c>
      <c r="AH815" s="1212">
        <v>0</v>
      </c>
      <c r="AI815" s="1212">
        <v>0</v>
      </c>
      <c r="AJ815" s="1212">
        <v>1</v>
      </c>
      <c r="AK815" s="2126">
        <v>0</v>
      </c>
      <c r="AL815" s="2126">
        <v>0</v>
      </c>
      <c r="AM815" s="2126">
        <v>0</v>
      </c>
      <c r="AN815" s="2126">
        <v>0</v>
      </c>
      <c r="AO815" s="1743" t="s">
        <v>85</v>
      </c>
      <c r="AP815" s="1743" t="s">
        <v>96</v>
      </c>
      <c r="AQ815" s="1764" t="s">
        <v>107</v>
      </c>
      <c r="AR815" s="1743" t="s">
        <v>87</v>
      </c>
      <c r="AS815" s="2135"/>
      <c r="AT815" s="2135"/>
      <c r="AU815" s="1212">
        <v>0.33333333333333331</v>
      </c>
      <c r="AV815" s="1212">
        <v>0.33333333333333331</v>
      </c>
      <c r="AW815" s="1212">
        <v>0.33333333333333331</v>
      </c>
      <c r="AX815" s="1212"/>
      <c r="AY815" s="1212"/>
      <c r="AZ815" s="1212"/>
      <c r="BA815" s="1212"/>
      <c r="BB815" s="1212"/>
      <c r="BC815" s="1212"/>
      <c r="BD815" s="1212"/>
      <c r="BE815" s="1212"/>
      <c r="BF815" s="2126">
        <v>0</v>
      </c>
      <c r="BG815" s="2126">
        <v>0</v>
      </c>
      <c r="BH815" s="2126">
        <v>0</v>
      </c>
      <c r="BI815" s="2126">
        <v>0</v>
      </c>
      <c r="BJ815" s="2126">
        <v>0</v>
      </c>
      <c r="BK815" s="2126">
        <v>0</v>
      </c>
      <c r="BL815" s="2126">
        <v>0</v>
      </c>
      <c r="BM815" s="2126">
        <v>0</v>
      </c>
      <c r="BN815" s="2126">
        <v>0</v>
      </c>
      <c r="BO815" s="2126">
        <v>0</v>
      </c>
      <c r="BP815" s="2126">
        <v>0</v>
      </c>
      <c r="BQ815" s="2126">
        <v>0</v>
      </c>
      <c r="BR815" s="2126">
        <v>0</v>
      </c>
    </row>
    <row r="816" spans="1:70" s="1765" customFormat="1" ht="33">
      <c r="A816" s="1272">
        <v>4000</v>
      </c>
      <c r="B816" s="971" t="s">
        <v>1316</v>
      </c>
      <c r="C816" s="1272">
        <v>4500</v>
      </c>
      <c r="D816" s="971" t="s">
        <v>452</v>
      </c>
      <c r="E816" s="971" t="s">
        <v>1546</v>
      </c>
      <c r="F816" s="971" t="s">
        <v>454</v>
      </c>
      <c r="G816" s="971">
        <v>4512</v>
      </c>
      <c r="H816" s="971" t="s">
        <v>456</v>
      </c>
      <c r="I816" s="1273" t="s">
        <v>1067</v>
      </c>
      <c r="J816" s="971" t="s">
        <v>124</v>
      </c>
      <c r="K816" s="971" t="s">
        <v>140</v>
      </c>
      <c r="L816" s="971" t="s">
        <v>2909</v>
      </c>
      <c r="M816" s="971" t="s">
        <v>140</v>
      </c>
      <c r="N816" s="971" t="s">
        <v>141</v>
      </c>
      <c r="O816" s="971" t="s">
        <v>142</v>
      </c>
      <c r="P816" s="971"/>
      <c r="Q816" s="971" t="s">
        <v>1602</v>
      </c>
      <c r="R816" s="1266" t="s">
        <v>1601</v>
      </c>
      <c r="S816" s="2106">
        <v>0</v>
      </c>
      <c r="T816" s="1266" t="s">
        <v>136</v>
      </c>
      <c r="U816" s="1742">
        <v>0</v>
      </c>
      <c r="V816" s="1742">
        <v>0</v>
      </c>
      <c r="W816" s="1742">
        <v>0</v>
      </c>
      <c r="X816" s="1742">
        <v>0</v>
      </c>
      <c r="Y816" s="2106">
        <v>0</v>
      </c>
      <c r="Z816" s="2106">
        <v>0</v>
      </c>
      <c r="AA816" s="2106">
        <v>0</v>
      </c>
      <c r="AB816" s="2106">
        <v>0</v>
      </c>
      <c r="AC816" s="2106">
        <v>0</v>
      </c>
      <c r="AD816" s="1744">
        <v>0</v>
      </c>
      <c r="AE816" s="2126">
        <v>0</v>
      </c>
      <c r="AF816" s="2126">
        <v>0</v>
      </c>
      <c r="AG816" s="1212">
        <v>1</v>
      </c>
      <c r="AH816" s="1212">
        <v>0</v>
      </c>
      <c r="AI816" s="1212">
        <v>0</v>
      </c>
      <c r="AJ816" s="1212">
        <v>1</v>
      </c>
      <c r="AK816" s="2126">
        <v>0</v>
      </c>
      <c r="AL816" s="2126">
        <v>0</v>
      </c>
      <c r="AM816" s="2126">
        <v>0</v>
      </c>
      <c r="AN816" s="2126">
        <v>0</v>
      </c>
      <c r="AO816" s="1743" t="s">
        <v>85</v>
      </c>
      <c r="AP816" s="1743" t="s">
        <v>96</v>
      </c>
      <c r="AQ816" s="1764" t="s">
        <v>107</v>
      </c>
      <c r="AR816" s="1743" t="s">
        <v>87</v>
      </c>
      <c r="AS816" s="2135"/>
      <c r="AT816" s="2135"/>
      <c r="AU816" s="1212">
        <v>0.33333333333333331</v>
      </c>
      <c r="AV816" s="1212">
        <v>0.33333333333333331</v>
      </c>
      <c r="AW816" s="1212">
        <v>0.33333333333333331</v>
      </c>
      <c r="AX816" s="1212"/>
      <c r="AY816" s="1212"/>
      <c r="AZ816" s="1212"/>
      <c r="BA816" s="1212"/>
      <c r="BB816" s="1212"/>
      <c r="BC816" s="1212"/>
      <c r="BD816" s="1212"/>
      <c r="BE816" s="1212"/>
      <c r="BF816" s="2126">
        <v>0</v>
      </c>
      <c r="BG816" s="2126">
        <v>0</v>
      </c>
      <c r="BH816" s="2126">
        <v>0</v>
      </c>
      <c r="BI816" s="2126">
        <v>0</v>
      </c>
      <c r="BJ816" s="2126">
        <v>0</v>
      </c>
      <c r="BK816" s="2126">
        <v>0</v>
      </c>
      <c r="BL816" s="2126">
        <v>0</v>
      </c>
      <c r="BM816" s="2126">
        <v>0</v>
      </c>
      <c r="BN816" s="2126">
        <v>0</v>
      </c>
      <c r="BO816" s="2126">
        <v>0</v>
      </c>
      <c r="BP816" s="2126">
        <v>0</v>
      </c>
      <c r="BQ816" s="2126">
        <v>0</v>
      </c>
      <c r="BR816" s="2126">
        <v>0</v>
      </c>
    </row>
    <row r="817" spans="1:70" s="1765" customFormat="1" ht="33">
      <c r="A817" s="1272">
        <v>4000</v>
      </c>
      <c r="B817" s="971" t="s">
        <v>1316</v>
      </c>
      <c r="C817" s="1272">
        <v>4500</v>
      </c>
      <c r="D817" s="971" t="s">
        <v>452</v>
      </c>
      <c r="E817" s="971" t="s">
        <v>1546</v>
      </c>
      <c r="F817" s="971" t="s">
        <v>454</v>
      </c>
      <c r="G817" s="971">
        <v>4512</v>
      </c>
      <c r="H817" s="971" t="s">
        <v>456</v>
      </c>
      <c r="I817" s="1273" t="s">
        <v>1067</v>
      </c>
      <c r="J817" s="971" t="s">
        <v>124</v>
      </c>
      <c r="K817" s="971"/>
      <c r="L817" s="971" t="e">
        <v>#N/A</v>
      </c>
      <c r="M817" s="971" t="s">
        <v>145</v>
      </c>
      <c r="N817" s="971" t="s">
        <v>141</v>
      </c>
      <c r="O817" s="971" t="s">
        <v>146</v>
      </c>
      <c r="P817" s="971"/>
      <c r="Q817" s="971" t="s">
        <v>1603</v>
      </c>
      <c r="R817" s="1266" t="s">
        <v>1601</v>
      </c>
      <c r="S817" s="2106">
        <v>0</v>
      </c>
      <c r="T817" s="1266" t="s">
        <v>136</v>
      </c>
      <c r="U817" s="1742" t="s">
        <v>6588</v>
      </c>
      <c r="V817" s="1742" t="s">
        <v>6588</v>
      </c>
      <c r="W817" s="1742" t="s">
        <v>6588</v>
      </c>
      <c r="X817" s="1742" t="s">
        <v>6588</v>
      </c>
      <c r="Y817" s="2106" t="s">
        <v>6588</v>
      </c>
      <c r="Z817" s="2106">
        <v>0</v>
      </c>
      <c r="AA817" s="2106">
        <v>0</v>
      </c>
      <c r="AB817" s="2106">
        <v>0</v>
      </c>
      <c r="AC817" s="2106">
        <v>0</v>
      </c>
      <c r="AD817" s="1744">
        <v>0</v>
      </c>
      <c r="AE817" s="2126">
        <v>0</v>
      </c>
      <c r="AF817" s="2126">
        <v>0</v>
      </c>
      <c r="AG817" s="1212">
        <v>1</v>
      </c>
      <c r="AH817" s="1212">
        <v>0</v>
      </c>
      <c r="AI817" s="1212">
        <v>0</v>
      </c>
      <c r="AJ817" s="1212">
        <v>1</v>
      </c>
      <c r="AK817" s="2126">
        <v>0</v>
      </c>
      <c r="AL817" s="2126">
        <v>0</v>
      </c>
      <c r="AM817" s="2126">
        <v>0</v>
      </c>
      <c r="AN817" s="2126">
        <v>0</v>
      </c>
      <c r="AO817" s="1743" t="s">
        <v>85</v>
      </c>
      <c r="AP817" s="1743" t="s">
        <v>96</v>
      </c>
      <c r="AQ817" s="1764" t="s">
        <v>107</v>
      </c>
      <c r="AR817" s="1743" t="s">
        <v>87</v>
      </c>
      <c r="AS817" s="2135"/>
      <c r="AT817" s="2135"/>
      <c r="AU817" s="1212">
        <v>0.33333333333333331</v>
      </c>
      <c r="AV817" s="1212">
        <v>0.33333333333333331</v>
      </c>
      <c r="AW817" s="1212">
        <v>0.33333333333333331</v>
      </c>
      <c r="AX817" s="1212"/>
      <c r="AY817" s="1212"/>
      <c r="AZ817" s="1212"/>
      <c r="BA817" s="1212"/>
      <c r="BB817" s="1212"/>
      <c r="BC817" s="1212"/>
      <c r="BD817" s="1212"/>
      <c r="BE817" s="1212"/>
      <c r="BF817" s="2126">
        <v>0</v>
      </c>
      <c r="BG817" s="2126">
        <v>0</v>
      </c>
      <c r="BH817" s="2126">
        <v>0</v>
      </c>
      <c r="BI817" s="2126">
        <v>0</v>
      </c>
      <c r="BJ817" s="2126">
        <v>0</v>
      </c>
      <c r="BK817" s="2126">
        <v>0</v>
      </c>
      <c r="BL817" s="2126">
        <v>0</v>
      </c>
      <c r="BM817" s="2126">
        <v>0</v>
      </c>
      <c r="BN817" s="2126">
        <v>0</v>
      </c>
      <c r="BO817" s="2126">
        <v>0</v>
      </c>
      <c r="BP817" s="2126">
        <v>0</v>
      </c>
      <c r="BQ817" s="2126">
        <v>0</v>
      </c>
      <c r="BR817" s="2126">
        <v>0</v>
      </c>
    </row>
    <row r="818" spans="1:70" s="1765" customFormat="1" ht="49.5">
      <c r="A818" s="1272">
        <v>4000</v>
      </c>
      <c r="B818" s="971" t="s">
        <v>1316</v>
      </c>
      <c r="C818" s="1272">
        <v>4500</v>
      </c>
      <c r="D818" s="971" t="s">
        <v>452</v>
      </c>
      <c r="E818" s="971" t="s">
        <v>1546</v>
      </c>
      <c r="F818" s="971" t="s">
        <v>454</v>
      </c>
      <c r="G818" s="971">
        <v>4512</v>
      </c>
      <c r="H818" s="971" t="s">
        <v>456</v>
      </c>
      <c r="I818" s="1273" t="s">
        <v>1604</v>
      </c>
      <c r="J818" s="971" t="s">
        <v>124</v>
      </c>
      <c r="K818" s="971" t="s">
        <v>784</v>
      </c>
      <c r="L818" s="971" t="s">
        <v>2852</v>
      </c>
      <c r="M818" s="971" t="s">
        <v>458</v>
      </c>
      <c r="N818" s="971" t="s">
        <v>127</v>
      </c>
      <c r="O818" s="971" t="s">
        <v>459</v>
      </c>
      <c r="P818" s="971"/>
      <c r="Q818" s="971" t="s">
        <v>1605</v>
      </c>
      <c r="R818" s="1266" t="s">
        <v>1606</v>
      </c>
      <c r="S818" s="2106">
        <v>0</v>
      </c>
      <c r="T818" s="1266" t="s">
        <v>136</v>
      </c>
      <c r="U818" s="1742">
        <v>0.22416666666666665</v>
      </c>
      <c r="V818" s="1742">
        <v>2.8020833333333335</v>
      </c>
      <c r="W818" s="1742">
        <v>19.758049999999997</v>
      </c>
      <c r="X818" s="1742">
        <v>30.905858333333335</v>
      </c>
      <c r="Y818" s="2106">
        <v>53.46599166666666</v>
      </c>
      <c r="Z818" s="2106">
        <v>0</v>
      </c>
      <c r="AA818" s="2106">
        <v>0</v>
      </c>
      <c r="AB818" s="2106">
        <v>0</v>
      </c>
      <c r="AC818" s="2106">
        <v>0</v>
      </c>
      <c r="AD818" s="1744">
        <v>0</v>
      </c>
      <c r="AE818" s="2126">
        <v>1</v>
      </c>
      <c r="AF818" s="2126">
        <v>0</v>
      </c>
      <c r="AG818" s="1212">
        <v>1</v>
      </c>
      <c r="AH818" s="1212">
        <v>0</v>
      </c>
      <c r="AI818" s="1212">
        <v>0</v>
      </c>
      <c r="AJ818" s="1212">
        <v>1</v>
      </c>
      <c r="AK818" s="2126">
        <v>0</v>
      </c>
      <c r="AL818" s="2126">
        <v>0</v>
      </c>
      <c r="AM818" s="2126">
        <v>0</v>
      </c>
      <c r="AN818" s="2126">
        <v>0</v>
      </c>
      <c r="AO818" s="1743" t="s">
        <v>85</v>
      </c>
      <c r="AP818" s="1743" t="s">
        <v>96</v>
      </c>
      <c r="AQ818" s="1764" t="s">
        <v>107</v>
      </c>
      <c r="AR818" s="1743" t="s">
        <v>87</v>
      </c>
      <c r="AS818" s="2135"/>
      <c r="AT818" s="2135"/>
      <c r="AU818" s="1212">
        <v>0.33333333333333331</v>
      </c>
      <c r="AV818" s="1212">
        <v>0.33333333333333331</v>
      </c>
      <c r="AW818" s="1212">
        <v>0.33333333333333331</v>
      </c>
      <c r="AX818" s="1212"/>
      <c r="AY818" s="1212"/>
      <c r="AZ818" s="1212"/>
      <c r="BA818" s="1212"/>
      <c r="BB818" s="1212"/>
      <c r="BC818" s="1212"/>
      <c r="BD818" s="1212"/>
      <c r="BE818" s="1212"/>
      <c r="BF818" s="2126">
        <v>0</v>
      </c>
      <c r="BG818" s="2126">
        <v>0</v>
      </c>
      <c r="BH818" s="2126">
        <v>0</v>
      </c>
      <c r="BI818" s="2126">
        <v>0</v>
      </c>
      <c r="BJ818" s="2126">
        <v>0</v>
      </c>
      <c r="BK818" s="2126">
        <v>0</v>
      </c>
      <c r="BL818" s="2126">
        <v>0</v>
      </c>
      <c r="BM818" s="2126">
        <v>0</v>
      </c>
      <c r="BN818" s="2126">
        <v>0</v>
      </c>
      <c r="BO818" s="2126">
        <v>0</v>
      </c>
      <c r="BP818" s="2126">
        <v>0</v>
      </c>
      <c r="BQ818" s="2126">
        <v>0</v>
      </c>
      <c r="BR818" s="2126">
        <v>0</v>
      </c>
    </row>
    <row r="819" spans="1:70" s="1765" customFormat="1" ht="33">
      <c r="A819" s="1272">
        <v>4000</v>
      </c>
      <c r="B819" s="971" t="s">
        <v>1316</v>
      </c>
      <c r="C819" s="1272">
        <v>4500</v>
      </c>
      <c r="D819" s="971" t="s">
        <v>452</v>
      </c>
      <c r="E819" s="971" t="s">
        <v>1546</v>
      </c>
      <c r="F819" s="971" t="s">
        <v>454</v>
      </c>
      <c r="G819" s="971">
        <v>4512</v>
      </c>
      <c r="H819" s="971" t="s">
        <v>456</v>
      </c>
      <c r="I819" s="1273" t="s">
        <v>1604</v>
      </c>
      <c r="J819" s="971" t="s">
        <v>124</v>
      </c>
      <c r="K819" s="971" t="s">
        <v>140</v>
      </c>
      <c r="L819" s="971" t="s">
        <v>2909</v>
      </c>
      <c r="M819" s="971" t="s">
        <v>140</v>
      </c>
      <c r="N819" s="971" t="s">
        <v>141</v>
      </c>
      <c r="O819" s="971" t="s">
        <v>142</v>
      </c>
      <c r="P819" s="971"/>
      <c r="Q819" s="971" t="s">
        <v>1607</v>
      </c>
      <c r="R819" s="1266" t="s">
        <v>1606</v>
      </c>
      <c r="S819" s="2106">
        <v>0</v>
      </c>
      <c r="T819" s="1266" t="s">
        <v>136</v>
      </c>
      <c r="U819" s="1742">
        <v>0</v>
      </c>
      <c r="V819" s="1742">
        <v>0</v>
      </c>
      <c r="W819" s="1742">
        <v>0</v>
      </c>
      <c r="X819" s="1742">
        <v>0</v>
      </c>
      <c r="Y819" s="2106">
        <v>0</v>
      </c>
      <c r="Z819" s="2106">
        <v>0</v>
      </c>
      <c r="AA819" s="2106">
        <v>0</v>
      </c>
      <c r="AB819" s="2106">
        <v>0</v>
      </c>
      <c r="AC819" s="2106">
        <v>0</v>
      </c>
      <c r="AD819" s="1744">
        <v>0</v>
      </c>
      <c r="AE819" s="2126">
        <v>0</v>
      </c>
      <c r="AF819" s="2126">
        <v>0</v>
      </c>
      <c r="AG819" s="1212">
        <v>1</v>
      </c>
      <c r="AH819" s="1212">
        <v>0</v>
      </c>
      <c r="AI819" s="1212">
        <v>0</v>
      </c>
      <c r="AJ819" s="1212">
        <v>1</v>
      </c>
      <c r="AK819" s="2126">
        <v>0</v>
      </c>
      <c r="AL819" s="2126">
        <v>0</v>
      </c>
      <c r="AM819" s="2126">
        <v>0</v>
      </c>
      <c r="AN819" s="2126">
        <v>0</v>
      </c>
      <c r="AO819" s="1743" t="s">
        <v>85</v>
      </c>
      <c r="AP819" s="1743" t="s">
        <v>96</v>
      </c>
      <c r="AQ819" s="1764" t="s">
        <v>107</v>
      </c>
      <c r="AR819" s="1743" t="s">
        <v>87</v>
      </c>
      <c r="AS819" s="2135"/>
      <c r="AT819" s="2135"/>
      <c r="AU819" s="1212">
        <v>0.33333333333333331</v>
      </c>
      <c r="AV819" s="1212">
        <v>0.33333333333333331</v>
      </c>
      <c r="AW819" s="1212">
        <v>0.33333333333333331</v>
      </c>
      <c r="AX819" s="1212"/>
      <c r="AY819" s="1212"/>
      <c r="AZ819" s="1212"/>
      <c r="BA819" s="1212"/>
      <c r="BB819" s="1212"/>
      <c r="BC819" s="1212"/>
      <c r="BD819" s="1212"/>
      <c r="BE819" s="1212"/>
      <c r="BF819" s="2126">
        <v>0</v>
      </c>
      <c r="BG819" s="2126">
        <v>0</v>
      </c>
      <c r="BH819" s="2126">
        <v>0</v>
      </c>
      <c r="BI819" s="2126">
        <v>0</v>
      </c>
      <c r="BJ819" s="2126">
        <v>0</v>
      </c>
      <c r="BK819" s="2126">
        <v>0</v>
      </c>
      <c r="BL819" s="2126">
        <v>0</v>
      </c>
      <c r="BM819" s="2126">
        <v>0</v>
      </c>
      <c r="BN819" s="2126">
        <v>0</v>
      </c>
      <c r="BO819" s="2126">
        <v>0</v>
      </c>
      <c r="BP819" s="2126">
        <v>0</v>
      </c>
      <c r="BQ819" s="2126">
        <v>0</v>
      </c>
      <c r="BR819" s="2126">
        <v>0</v>
      </c>
    </row>
    <row r="820" spans="1:70" s="1765" customFormat="1" ht="33">
      <c r="A820" s="1272">
        <v>4000</v>
      </c>
      <c r="B820" s="971" t="s">
        <v>1316</v>
      </c>
      <c r="C820" s="1272">
        <v>4500</v>
      </c>
      <c r="D820" s="971" t="s">
        <v>452</v>
      </c>
      <c r="E820" s="971" t="s">
        <v>1546</v>
      </c>
      <c r="F820" s="971" t="s">
        <v>454</v>
      </c>
      <c r="G820" s="971">
        <v>4512</v>
      </c>
      <c r="H820" s="971" t="s">
        <v>456</v>
      </c>
      <c r="I820" s="1273" t="s">
        <v>1604</v>
      </c>
      <c r="J820" s="971" t="s">
        <v>124</v>
      </c>
      <c r="K820" s="971"/>
      <c r="L820" s="971" t="e">
        <v>#N/A</v>
      </c>
      <c r="M820" s="971" t="s">
        <v>145</v>
      </c>
      <c r="N820" s="971" t="s">
        <v>141</v>
      </c>
      <c r="O820" s="971" t="s">
        <v>146</v>
      </c>
      <c r="P820" s="971"/>
      <c r="Q820" s="971" t="s">
        <v>1608</v>
      </c>
      <c r="R820" s="1266" t="s">
        <v>1606</v>
      </c>
      <c r="S820" s="2106">
        <v>0</v>
      </c>
      <c r="T820" s="1266" t="s">
        <v>136</v>
      </c>
      <c r="U820" s="1742" t="s">
        <v>6588</v>
      </c>
      <c r="V820" s="1742" t="s">
        <v>6588</v>
      </c>
      <c r="W820" s="1742" t="s">
        <v>6588</v>
      </c>
      <c r="X820" s="1742" t="s">
        <v>6588</v>
      </c>
      <c r="Y820" s="2106" t="s">
        <v>6588</v>
      </c>
      <c r="Z820" s="2106">
        <v>0</v>
      </c>
      <c r="AA820" s="2106">
        <v>0</v>
      </c>
      <c r="AB820" s="2106">
        <v>0</v>
      </c>
      <c r="AC820" s="2106">
        <v>0</v>
      </c>
      <c r="AD820" s="1744">
        <v>0</v>
      </c>
      <c r="AE820" s="2126">
        <v>0</v>
      </c>
      <c r="AF820" s="2126">
        <v>0</v>
      </c>
      <c r="AG820" s="1212">
        <v>1</v>
      </c>
      <c r="AH820" s="1212">
        <v>0</v>
      </c>
      <c r="AI820" s="1212">
        <v>0</v>
      </c>
      <c r="AJ820" s="1212">
        <v>1</v>
      </c>
      <c r="AK820" s="2126">
        <v>0</v>
      </c>
      <c r="AL820" s="2126">
        <v>0</v>
      </c>
      <c r="AM820" s="2126">
        <v>0</v>
      </c>
      <c r="AN820" s="2126">
        <v>0</v>
      </c>
      <c r="AO820" s="1743" t="s">
        <v>85</v>
      </c>
      <c r="AP820" s="1743" t="s">
        <v>96</v>
      </c>
      <c r="AQ820" s="1764" t="s">
        <v>107</v>
      </c>
      <c r="AR820" s="1743" t="s">
        <v>87</v>
      </c>
      <c r="AS820" s="2135"/>
      <c r="AT820" s="2135"/>
      <c r="AU820" s="1212">
        <v>0.33333333333333331</v>
      </c>
      <c r="AV820" s="1212">
        <v>0.33333333333333331</v>
      </c>
      <c r="AW820" s="1212">
        <v>0.33333333333333331</v>
      </c>
      <c r="AX820" s="1212"/>
      <c r="AY820" s="1212"/>
      <c r="AZ820" s="1212"/>
      <c r="BA820" s="1212"/>
      <c r="BB820" s="1212"/>
      <c r="BC820" s="1212"/>
      <c r="BD820" s="1212"/>
      <c r="BE820" s="1212"/>
      <c r="BF820" s="2126">
        <v>0</v>
      </c>
      <c r="BG820" s="2126">
        <v>0</v>
      </c>
      <c r="BH820" s="2126">
        <v>0</v>
      </c>
      <c r="BI820" s="2126">
        <v>0</v>
      </c>
      <c r="BJ820" s="2126">
        <v>0</v>
      </c>
      <c r="BK820" s="2126">
        <v>0</v>
      </c>
      <c r="BL820" s="2126">
        <v>0</v>
      </c>
      <c r="BM820" s="2126">
        <v>0</v>
      </c>
      <c r="BN820" s="2126">
        <v>0</v>
      </c>
      <c r="BO820" s="2126">
        <v>0</v>
      </c>
      <c r="BP820" s="2126">
        <v>0</v>
      </c>
      <c r="BQ820" s="2126">
        <v>0</v>
      </c>
      <c r="BR820" s="2126">
        <v>0</v>
      </c>
    </row>
    <row r="821" spans="1:70" s="1765" customFormat="1" ht="49.5">
      <c r="A821" s="1272">
        <v>4000</v>
      </c>
      <c r="B821" s="971" t="s">
        <v>1316</v>
      </c>
      <c r="C821" s="1272">
        <v>4500</v>
      </c>
      <c r="D821" s="971" t="s">
        <v>452</v>
      </c>
      <c r="E821" s="971" t="s">
        <v>1546</v>
      </c>
      <c r="F821" s="971" t="s">
        <v>454</v>
      </c>
      <c r="G821" s="971">
        <v>4512</v>
      </c>
      <c r="H821" s="971" t="s">
        <v>456</v>
      </c>
      <c r="I821" s="1273" t="s">
        <v>1609</v>
      </c>
      <c r="J821" s="971" t="s">
        <v>124</v>
      </c>
      <c r="K821" s="971" t="s">
        <v>784</v>
      </c>
      <c r="L821" s="971" t="s">
        <v>2852</v>
      </c>
      <c r="M821" s="971" t="s">
        <v>458</v>
      </c>
      <c r="N821" s="971" t="s">
        <v>127</v>
      </c>
      <c r="O821" s="971" t="s">
        <v>459</v>
      </c>
      <c r="P821" s="971"/>
      <c r="Q821" s="971" t="s">
        <v>1610</v>
      </c>
      <c r="R821" s="1266" t="s">
        <v>1611</v>
      </c>
      <c r="S821" s="2106">
        <v>0</v>
      </c>
      <c r="T821" s="1266" t="s">
        <v>136</v>
      </c>
      <c r="U821" s="1742">
        <v>0.22416666666666665</v>
      </c>
      <c r="V821" s="1742">
        <v>2.8020833333333335</v>
      </c>
      <c r="W821" s="1742">
        <v>19.758049999999997</v>
      </c>
      <c r="X821" s="1742">
        <v>30.905858333333335</v>
      </c>
      <c r="Y821" s="2106">
        <v>53.46599166666666</v>
      </c>
      <c r="Z821" s="2106">
        <v>0</v>
      </c>
      <c r="AA821" s="2106">
        <v>0</v>
      </c>
      <c r="AB821" s="2106">
        <v>0</v>
      </c>
      <c r="AC821" s="2106">
        <v>0</v>
      </c>
      <c r="AD821" s="1744">
        <v>0</v>
      </c>
      <c r="AE821" s="2126">
        <v>1</v>
      </c>
      <c r="AF821" s="2126">
        <v>0</v>
      </c>
      <c r="AG821" s="1212">
        <v>1</v>
      </c>
      <c r="AH821" s="1212">
        <v>0</v>
      </c>
      <c r="AI821" s="1212">
        <v>0</v>
      </c>
      <c r="AJ821" s="1212">
        <v>1</v>
      </c>
      <c r="AK821" s="2126">
        <v>0</v>
      </c>
      <c r="AL821" s="2126">
        <v>0</v>
      </c>
      <c r="AM821" s="2126">
        <v>0</v>
      </c>
      <c r="AN821" s="2126">
        <v>0</v>
      </c>
      <c r="AO821" s="1743" t="s">
        <v>85</v>
      </c>
      <c r="AP821" s="1743" t="s">
        <v>96</v>
      </c>
      <c r="AQ821" s="1764" t="s">
        <v>107</v>
      </c>
      <c r="AR821" s="1743" t="s">
        <v>87</v>
      </c>
      <c r="AS821" s="2135"/>
      <c r="AT821" s="2135"/>
      <c r="AU821" s="1212">
        <v>0.33333333333333331</v>
      </c>
      <c r="AV821" s="1212">
        <v>0.33333333333333331</v>
      </c>
      <c r="AW821" s="1212">
        <v>0.33333333333333331</v>
      </c>
      <c r="AX821" s="1212"/>
      <c r="AY821" s="1212"/>
      <c r="AZ821" s="1212"/>
      <c r="BA821" s="1212"/>
      <c r="BB821" s="1212"/>
      <c r="BC821" s="1212"/>
      <c r="BD821" s="1212"/>
      <c r="BE821" s="1212"/>
      <c r="BF821" s="2126">
        <v>0</v>
      </c>
      <c r="BG821" s="2126">
        <v>0</v>
      </c>
      <c r="BH821" s="2126">
        <v>0</v>
      </c>
      <c r="BI821" s="2126">
        <v>0</v>
      </c>
      <c r="BJ821" s="2126">
        <v>0</v>
      </c>
      <c r="BK821" s="2126">
        <v>0</v>
      </c>
      <c r="BL821" s="2126">
        <v>0</v>
      </c>
      <c r="BM821" s="2126">
        <v>0</v>
      </c>
      <c r="BN821" s="2126">
        <v>0</v>
      </c>
      <c r="BO821" s="2126">
        <v>0</v>
      </c>
      <c r="BP821" s="2126">
        <v>0</v>
      </c>
      <c r="BQ821" s="2126">
        <v>0</v>
      </c>
      <c r="BR821" s="2126">
        <v>0</v>
      </c>
    </row>
    <row r="822" spans="1:70" s="1765" customFormat="1" ht="33">
      <c r="A822" s="1272">
        <v>4000</v>
      </c>
      <c r="B822" s="971" t="s">
        <v>1316</v>
      </c>
      <c r="C822" s="1272">
        <v>4500</v>
      </c>
      <c r="D822" s="971" t="s">
        <v>452</v>
      </c>
      <c r="E822" s="971" t="s">
        <v>1546</v>
      </c>
      <c r="F822" s="971" t="s">
        <v>454</v>
      </c>
      <c r="G822" s="971">
        <v>4512</v>
      </c>
      <c r="H822" s="971" t="s">
        <v>456</v>
      </c>
      <c r="I822" s="1273" t="s">
        <v>1609</v>
      </c>
      <c r="J822" s="971" t="s">
        <v>124</v>
      </c>
      <c r="K822" s="971" t="s">
        <v>140</v>
      </c>
      <c r="L822" s="971" t="s">
        <v>2909</v>
      </c>
      <c r="M822" s="971" t="s">
        <v>140</v>
      </c>
      <c r="N822" s="971" t="s">
        <v>141</v>
      </c>
      <c r="O822" s="971" t="s">
        <v>142</v>
      </c>
      <c r="P822" s="971"/>
      <c r="Q822" s="971" t="s">
        <v>1612</v>
      </c>
      <c r="R822" s="1266" t="s">
        <v>1611</v>
      </c>
      <c r="S822" s="2106">
        <v>0</v>
      </c>
      <c r="T822" s="1266" t="s">
        <v>136</v>
      </c>
      <c r="U822" s="1742">
        <v>0</v>
      </c>
      <c r="V822" s="1742">
        <v>0</v>
      </c>
      <c r="W822" s="1742">
        <v>0</v>
      </c>
      <c r="X822" s="1742">
        <v>0</v>
      </c>
      <c r="Y822" s="2106">
        <v>0</v>
      </c>
      <c r="Z822" s="2106">
        <v>0</v>
      </c>
      <c r="AA822" s="2106">
        <v>0</v>
      </c>
      <c r="AB822" s="2106">
        <v>0</v>
      </c>
      <c r="AC822" s="2106">
        <v>0</v>
      </c>
      <c r="AD822" s="1744">
        <v>0</v>
      </c>
      <c r="AE822" s="2126">
        <v>0</v>
      </c>
      <c r="AF822" s="2126">
        <v>0</v>
      </c>
      <c r="AG822" s="1212">
        <v>1</v>
      </c>
      <c r="AH822" s="1212">
        <v>0</v>
      </c>
      <c r="AI822" s="1212">
        <v>0</v>
      </c>
      <c r="AJ822" s="1212">
        <v>1</v>
      </c>
      <c r="AK822" s="2126">
        <v>0</v>
      </c>
      <c r="AL822" s="2126">
        <v>0</v>
      </c>
      <c r="AM822" s="2126">
        <v>0</v>
      </c>
      <c r="AN822" s="2126">
        <v>0</v>
      </c>
      <c r="AO822" s="1743" t="s">
        <v>85</v>
      </c>
      <c r="AP822" s="1743" t="s">
        <v>96</v>
      </c>
      <c r="AQ822" s="1764" t="s">
        <v>107</v>
      </c>
      <c r="AR822" s="1743" t="s">
        <v>87</v>
      </c>
      <c r="AS822" s="2135"/>
      <c r="AT822" s="2135"/>
      <c r="AU822" s="1212">
        <v>0.33333333333333331</v>
      </c>
      <c r="AV822" s="1212">
        <v>0.33333333333333331</v>
      </c>
      <c r="AW822" s="1212">
        <v>0.33333333333333331</v>
      </c>
      <c r="AX822" s="1212"/>
      <c r="AY822" s="1212"/>
      <c r="AZ822" s="1212"/>
      <c r="BA822" s="1212"/>
      <c r="BB822" s="1212"/>
      <c r="BC822" s="1212"/>
      <c r="BD822" s="1212"/>
      <c r="BE822" s="1212"/>
      <c r="BF822" s="2126">
        <v>0</v>
      </c>
      <c r="BG822" s="2126">
        <v>0</v>
      </c>
      <c r="BH822" s="2126">
        <v>0</v>
      </c>
      <c r="BI822" s="2126">
        <v>0</v>
      </c>
      <c r="BJ822" s="2126">
        <v>0</v>
      </c>
      <c r="BK822" s="2126">
        <v>0</v>
      </c>
      <c r="BL822" s="2126">
        <v>0</v>
      </c>
      <c r="BM822" s="2126">
        <v>0</v>
      </c>
      <c r="BN822" s="2126">
        <v>0</v>
      </c>
      <c r="BO822" s="2126">
        <v>0</v>
      </c>
      <c r="BP822" s="2126">
        <v>0</v>
      </c>
      <c r="BQ822" s="2126">
        <v>0</v>
      </c>
      <c r="BR822" s="2126">
        <v>0</v>
      </c>
    </row>
    <row r="823" spans="1:70" s="1765" customFormat="1" ht="33">
      <c r="A823" s="1272">
        <v>4000</v>
      </c>
      <c r="B823" s="971" t="s">
        <v>1316</v>
      </c>
      <c r="C823" s="1272">
        <v>4500</v>
      </c>
      <c r="D823" s="971" t="s">
        <v>452</v>
      </c>
      <c r="E823" s="971" t="s">
        <v>1546</v>
      </c>
      <c r="F823" s="971" t="s">
        <v>454</v>
      </c>
      <c r="G823" s="971">
        <v>4512</v>
      </c>
      <c r="H823" s="971" t="s">
        <v>456</v>
      </c>
      <c r="I823" s="1273" t="s">
        <v>1609</v>
      </c>
      <c r="J823" s="971" t="s">
        <v>124</v>
      </c>
      <c r="K823" s="971"/>
      <c r="L823" s="971" t="e">
        <v>#N/A</v>
      </c>
      <c r="M823" s="971" t="s">
        <v>145</v>
      </c>
      <c r="N823" s="971" t="s">
        <v>141</v>
      </c>
      <c r="O823" s="971" t="s">
        <v>146</v>
      </c>
      <c r="P823" s="971"/>
      <c r="Q823" s="971" t="s">
        <v>1613</v>
      </c>
      <c r="R823" s="1266" t="s">
        <v>1611</v>
      </c>
      <c r="S823" s="2106">
        <v>0</v>
      </c>
      <c r="T823" s="1266" t="s">
        <v>136</v>
      </c>
      <c r="U823" s="1742" t="s">
        <v>6588</v>
      </c>
      <c r="V823" s="1742" t="s">
        <v>6588</v>
      </c>
      <c r="W823" s="1742" t="s">
        <v>6588</v>
      </c>
      <c r="X823" s="1742" t="s">
        <v>6588</v>
      </c>
      <c r="Y823" s="2106" t="s">
        <v>6588</v>
      </c>
      <c r="Z823" s="2106">
        <v>0</v>
      </c>
      <c r="AA823" s="2106">
        <v>0</v>
      </c>
      <c r="AB823" s="2106">
        <v>0</v>
      </c>
      <c r="AC823" s="2106">
        <v>0</v>
      </c>
      <c r="AD823" s="1744">
        <v>0</v>
      </c>
      <c r="AE823" s="2126">
        <v>0</v>
      </c>
      <c r="AF823" s="2126">
        <v>0</v>
      </c>
      <c r="AG823" s="1212">
        <v>1</v>
      </c>
      <c r="AH823" s="1212">
        <v>0</v>
      </c>
      <c r="AI823" s="1212">
        <v>0</v>
      </c>
      <c r="AJ823" s="1212">
        <v>1</v>
      </c>
      <c r="AK823" s="2126">
        <v>0</v>
      </c>
      <c r="AL823" s="2126">
        <v>0</v>
      </c>
      <c r="AM823" s="2126">
        <v>0</v>
      </c>
      <c r="AN823" s="2126">
        <v>0</v>
      </c>
      <c r="AO823" s="1743" t="s">
        <v>85</v>
      </c>
      <c r="AP823" s="1743" t="s">
        <v>96</v>
      </c>
      <c r="AQ823" s="1764" t="s">
        <v>107</v>
      </c>
      <c r="AR823" s="1743" t="s">
        <v>87</v>
      </c>
      <c r="AS823" s="2135"/>
      <c r="AT823" s="2135"/>
      <c r="AU823" s="1212">
        <v>0.33333333333333331</v>
      </c>
      <c r="AV823" s="1212">
        <v>0.33333333333333331</v>
      </c>
      <c r="AW823" s="1212">
        <v>0.33333333333333331</v>
      </c>
      <c r="AX823" s="1212"/>
      <c r="AY823" s="1212"/>
      <c r="AZ823" s="1212"/>
      <c r="BA823" s="1212"/>
      <c r="BB823" s="1212"/>
      <c r="BC823" s="1212"/>
      <c r="BD823" s="1212"/>
      <c r="BE823" s="1212"/>
      <c r="BF823" s="2126">
        <v>0</v>
      </c>
      <c r="BG823" s="2126">
        <v>0</v>
      </c>
      <c r="BH823" s="2126">
        <v>0</v>
      </c>
      <c r="BI823" s="2126">
        <v>0</v>
      </c>
      <c r="BJ823" s="2126">
        <v>0</v>
      </c>
      <c r="BK823" s="2126">
        <v>0</v>
      </c>
      <c r="BL823" s="2126">
        <v>0</v>
      </c>
      <c r="BM823" s="2126">
        <v>0</v>
      </c>
      <c r="BN823" s="2126">
        <v>0</v>
      </c>
      <c r="BO823" s="2126">
        <v>0</v>
      </c>
      <c r="BP823" s="2126">
        <v>0</v>
      </c>
      <c r="BQ823" s="2126">
        <v>0</v>
      </c>
      <c r="BR823" s="2126">
        <v>0</v>
      </c>
    </row>
    <row r="824" spans="1:70" s="1765" customFormat="1" ht="49.5">
      <c r="A824" s="1272">
        <v>4000</v>
      </c>
      <c r="B824" s="971" t="s">
        <v>1316</v>
      </c>
      <c r="C824" s="1272">
        <v>4500</v>
      </c>
      <c r="D824" s="971" t="s">
        <v>452</v>
      </c>
      <c r="E824" s="971" t="s">
        <v>1546</v>
      </c>
      <c r="F824" s="971" t="s">
        <v>454</v>
      </c>
      <c r="G824" s="971">
        <v>4512</v>
      </c>
      <c r="H824" s="971" t="s">
        <v>456</v>
      </c>
      <c r="I824" s="1273" t="s">
        <v>1614</v>
      </c>
      <c r="J824" s="971" t="s">
        <v>124</v>
      </c>
      <c r="K824" s="971" t="s">
        <v>784</v>
      </c>
      <c r="L824" s="971" t="s">
        <v>2852</v>
      </c>
      <c r="M824" s="971" t="s">
        <v>458</v>
      </c>
      <c r="N824" s="971" t="s">
        <v>127</v>
      </c>
      <c r="O824" s="971" t="s">
        <v>459</v>
      </c>
      <c r="P824" s="971"/>
      <c r="Q824" s="971" t="s">
        <v>1615</v>
      </c>
      <c r="R824" s="1266" t="s">
        <v>1616</v>
      </c>
      <c r="S824" s="2106">
        <v>0</v>
      </c>
      <c r="T824" s="1266" t="s">
        <v>136</v>
      </c>
      <c r="U824" s="1742">
        <v>0.22416666666666665</v>
      </c>
      <c r="V824" s="1742">
        <v>2.8020833333333335</v>
      </c>
      <c r="W824" s="1742">
        <v>19.758049999999997</v>
      </c>
      <c r="X824" s="1742">
        <v>30.905858333333335</v>
      </c>
      <c r="Y824" s="2106">
        <v>53.46599166666666</v>
      </c>
      <c r="Z824" s="2106">
        <v>0</v>
      </c>
      <c r="AA824" s="2106">
        <v>0</v>
      </c>
      <c r="AB824" s="2106">
        <v>0</v>
      </c>
      <c r="AC824" s="2106">
        <v>0</v>
      </c>
      <c r="AD824" s="1744">
        <v>0</v>
      </c>
      <c r="AE824" s="2126">
        <v>1</v>
      </c>
      <c r="AF824" s="2126">
        <v>0</v>
      </c>
      <c r="AG824" s="1212">
        <v>1</v>
      </c>
      <c r="AH824" s="1212">
        <v>0</v>
      </c>
      <c r="AI824" s="1212">
        <v>0</v>
      </c>
      <c r="AJ824" s="1212">
        <v>1</v>
      </c>
      <c r="AK824" s="2126">
        <v>0</v>
      </c>
      <c r="AL824" s="2126">
        <v>0</v>
      </c>
      <c r="AM824" s="2126">
        <v>0</v>
      </c>
      <c r="AN824" s="2126">
        <v>0</v>
      </c>
      <c r="AO824" s="1743" t="s">
        <v>85</v>
      </c>
      <c r="AP824" s="1743" t="s">
        <v>96</v>
      </c>
      <c r="AQ824" s="1764" t="s">
        <v>107</v>
      </c>
      <c r="AR824" s="1743" t="s">
        <v>87</v>
      </c>
      <c r="AS824" s="2135"/>
      <c r="AT824" s="2135"/>
      <c r="AU824" s="1212">
        <v>0.33333333333333331</v>
      </c>
      <c r="AV824" s="1212">
        <v>0.33333333333333331</v>
      </c>
      <c r="AW824" s="1212">
        <v>0.33333333333333331</v>
      </c>
      <c r="AX824" s="1212"/>
      <c r="AY824" s="1212"/>
      <c r="AZ824" s="1212"/>
      <c r="BA824" s="1212"/>
      <c r="BB824" s="1212"/>
      <c r="BC824" s="1212"/>
      <c r="BD824" s="1212"/>
      <c r="BE824" s="1212"/>
      <c r="BF824" s="2126">
        <v>0</v>
      </c>
      <c r="BG824" s="2126">
        <v>0</v>
      </c>
      <c r="BH824" s="2126">
        <v>0</v>
      </c>
      <c r="BI824" s="2126">
        <v>0</v>
      </c>
      <c r="BJ824" s="2126">
        <v>0</v>
      </c>
      <c r="BK824" s="2126">
        <v>0</v>
      </c>
      <c r="BL824" s="2126">
        <v>0</v>
      </c>
      <c r="BM824" s="2126">
        <v>0</v>
      </c>
      <c r="BN824" s="2126">
        <v>0</v>
      </c>
      <c r="BO824" s="2126">
        <v>0</v>
      </c>
      <c r="BP824" s="2126">
        <v>0</v>
      </c>
      <c r="BQ824" s="2126">
        <v>0</v>
      </c>
      <c r="BR824" s="2126">
        <v>0</v>
      </c>
    </row>
    <row r="825" spans="1:70" s="1765" customFormat="1" ht="33">
      <c r="A825" s="1272">
        <v>4000</v>
      </c>
      <c r="B825" s="971" t="s">
        <v>1316</v>
      </c>
      <c r="C825" s="1272">
        <v>4500</v>
      </c>
      <c r="D825" s="971" t="s">
        <v>452</v>
      </c>
      <c r="E825" s="971" t="s">
        <v>1546</v>
      </c>
      <c r="F825" s="971" t="s">
        <v>454</v>
      </c>
      <c r="G825" s="971">
        <v>4512</v>
      </c>
      <c r="H825" s="971" t="s">
        <v>456</v>
      </c>
      <c r="I825" s="1273" t="s">
        <v>1614</v>
      </c>
      <c r="J825" s="971" t="s">
        <v>124</v>
      </c>
      <c r="K825" s="971" t="s">
        <v>140</v>
      </c>
      <c r="L825" s="971" t="s">
        <v>2909</v>
      </c>
      <c r="M825" s="971" t="s">
        <v>140</v>
      </c>
      <c r="N825" s="971" t="s">
        <v>141</v>
      </c>
      <c r="O825" s="971" t="s">
        <v>142</v>
      </c>
      <c r="P825" s="971"/>
      <c r="Q825" s="971" t="s">
        <v>1617</v>
      </c>
      <c r="R825" s="1266" t="s">
        <v>1616</v>
      </c>
      <c r="S825" s="2106">
        <v>0</v>
      </c>
      <c r="T825" s="1266" t="s">
        <v>136</v>
      </c>
      <c r="U825" s="1742">
        <v>0</v>
      </c>
      <c r="V825" s="1742">
        <v>0</v>
      </c>
      <c r="W825" s="1742">
        <v>0</v>
      </c>
      <c r="X825" s="1742">
        <v>0</v>
      </c>
      <c r="Y825" s="2106">
        <v>0</v>
      </c>
      <c r="Z825" s="2106">
        <v>0</v>
      </c>
      <c r="AA825" s="2106">
        <v>0</v>
      </c>
      <c r="AB825" s="2106">
        <v>0</v>
      </c>
      <c r="AC825" s="2106">
        <v>0</v>
      </c>
      <c r="AD825" s="1744">
        <v>0</v>
      </c>
      <c r="AE825" s="2126">
        <v>0</v>
      </c>
      <c r="AF825" s="2126">
        <v>0</v>
      </c>
      <c r="AG825" s="1212">
        <v>1</v>
      </c>
      <c r="AH825" s="1212">
        <v>0</v>
      </c>
      <c r="AI825" s="1212">
        <v>0</v>
      </c>
      <c r="AJ825" s="1212">
        <v>1</v>
      </c>
      <c r="AK825" s="2126">
        <v>0</v>
      </c>
      <c r="AL825" s="2126">
        <v>0</v>
      </c>
      <c r="AM825" s="2126">
        <v>0</v>
      </c>
      <c r="AN825" s="2126">
        <v>0</v>
      </c>
      <c r="AO825" s="1743" t="s">
        <v>85</v>
      </c>
      <c r="AP825" s="1743" t="s">
        <v>96</v>
      </c>
      <c r="AQ825" s="1764" t="s">
        <v>107</v>
      </c>
      <c r="AR825" s="1743" t="s">
        <v>87</v>
      </c>
      <c r="AS825" s="2135"/>
      <c r="AT825" s="2135"/>
      <c r="AU825" s="1212">
        <v>0.33333333333333331</v>
      </c>
      <c r="AV825" s="1212">
        <v>0.33333333333333331</v>
      </c>
      <c r="AW825" s="1212">
        <v>0.33333333333333331</v>
      </c>
      <c r="AX825" s="1212"/>
      <c r="AY825" s="1212"/>
      <c r="AZ825" s="1212"/>
      <c r="BA825" s="1212"/>
      <c r="BB825" s="1212"/>
      <c r="BC825" s="1212"/>
      <c r="BD825" s="1212"/>
      <c r="BE825" s="1212"/>
      <c r="BF825" s="2126">
        <v>0</v>
      </c>
      <c r="BG825" s="2126">
        <v>0</v>
      </c>
      <c r="BH825" s="2126">
        <v>0</v>
      </c>
      <c r="BI825" s="2126">
        <v>0</v>
      </c>
      <c r="BJ825" s="2126">
        <v>0</v>
      </c>
      <c r="BK825" s="2126">
        <v>0</v>
      </c>
      <c r="BL825" s="2126">
        <v>0</v>
      </c>
      <c r="BM825" s="2126">
        <v>0</v>
      </c>
      <c r="BN825" s="2126">
        <v>0</v>
      </c>
      <c r="BO825" s="2126">
        <v>0</v>
      </c>
      <c r="BP825" s="2126">
        <v>0</v>
      </c>
      <c r="BQ825" s="2126">
        <v>0</v>
      </c>
      <c r="BR825" s="2126">
        <v>0</v>
      </c>
    </row>
    <row r="826" spans="1:70" s="1765" customFormat="1" ht="33">
      <c r="A826" s="1272">
        <v>4000</v>
      </c>
      <c r="B826" s="971" t="s">
        <v>1316</v>
      </c>
      <c r="C826" s="1272">
        <v>4500</v>
      </c>
      <c r="D826" s="971" t="s">
        <v>452</v>
      </c>
      <c r="E826" s="971" t="s">
        <v>1546</v>
      </c>
      <c r="F826" s="971" t="s">
        <v>454</v>
      </c>
      <c r="G826" s="971">
        <v>4512</v>
      </c>
      <c r="H826" s="971" t="s">
        <v>456</v>
      </c>
      <c r="I826" s="1273" t="s">
        <v>1614</v>
      </c>
      <c r="J826" s="971" t="s">
        <v>124</v>
      </c>
      <c r="K826" s="971"/>
      <c r="L826" s="971" t="e">
        <v>#N/A</v>
      </c>
      <c r="M826" s="971" t="s">
        <v>145</v>
      </c>
      <c r="N826" s="971" t="s">
        <v>141</v>
      </c>
      <c r="O826" s="971" t="s">
        <v>146</v>
      </c>
      <c r="P826" s="971"/>
      <c r="Q826" s="971" t="s">
        <v>1618</v>
      </c>
      <c r="R826" s="1266" t="s">
        <v>1616</v>
      </c>
      <c r="S826" s="2106">
        <v>0</v>
      </c>
      <c r="T826" s="1266" t="s">
        <v>136</v>
      </c>
      <c r="U826" s="1742" t="s">
        <v>6588</v>
      </c>
      <c r="V826" s="1742" t="s">
        <v>6588</v>
      </c>
      <c r="W826" s="1742" t="s">
        <v>6588</v>
      </c>
      <c r="X826" s="1742" t="s">
        <v>6588</v>
      </c>
      <c r="Y826" s="2106" t="s">
        <v>6588</v>
      </c>
      <c r="Z826" s="2106">
        <v>0</v>
      </c>
      <c r="AA826" s="2106">
        <v>0</v>
      </c>
      <c r="AB826" s="2106">
        <v>0</v>
      </c>
      <c r="AC826" s="2106">
        <v>0</v>
      </c>
      <c r="AD826" s="1744">
        <v>0</v>
      </c>
      <c r="AE826" s="2126">
        <v>0</v>
      </c>
      <c r="AF826" s="2126">
        <v>0</v>
      </c>
      <c r="AG826" s="1212">
        <v>1</v>
      </c>
      <c r="AH826" s="1212">
        <v>0</v>
      </c>
      <c r="AI826" s="1212">
        <v>0</v>
      </c>
      <c r="AJ826" s="1212">
        <v>1</v>
      </c>
      <c r="AK826" s="2126">
        <v>0</v>
      </c>
      <c r="AL826" s="2126">
        <v>0</v>
      </c>
      <c r="AM826" s="2126">
        <v>0</v>
      </c>
      <c r="AN826" s="2126">
        <v>0</v>
      </c>
      <c r="AO826" s="1743" t="s">
        <v>85</v>
      </c>
      <c r="AP826" s="1743" t="s">
        <v>96</v>
      </c>
      <c r="AQ826" s="1764" t="s">
        <v>107</v>
      </c>
      <c r="AR826" s="1743" t="s">
        <v>87</v>
      </c>
      <c r="AS826" s="2135"/>
      <c r="AT826" s="2135"/>
      <c r="AU826" s="1212">
        <v>0.33333333333333331</v>
      </c>
      <c r="AV826" s="1212">
        <v>0.33333333333333331</v>
      </c>
      <c r="AW826" s="1212">
        <v>0.33333333333333331</v>
      </c>
      <c r="AX826" s="1212"/>
      <c r="AY826" s="1212"/>
      <c r="AZ826" s="1212"/>
      <c r="BA826" s="1212"/>
      <c r="BB826" s="1212"/>
      <c r="BC826" s="1212"/>
      <c r="BD826" s="1212"/>
      <c r="BE826" s="1212"/>
      <c r="BF826" s="2126">
        <v>0</v>
      </c>
      <c r="BG826" s="2126">
        <v>0</v>
      </c>
      <c r="BH826" s="2126">
        <v>0</v>
      </c>
      <c r="BI826" s="2126">
        <v>0</v>
      </c>
      <c r="BJ826" s="2126">
        <v>0</v>
      </c>
      <c r="BK826" s="2126">
        <v>0</v>
      </c>
      <c r="BL826" s="2126">
        <v>0</v>
      </c>
      <c r="BM826" s="2126">
        <v>0</v>
      </c>
      <c r="BN826" s="2126">
        <v>0</v>
      </c>
      <c r="BO826" s="2126">
        <v>0</v>
      </c>
      <c r="BP826" s="2126">
        <v>0</v>
      </c>
      <c r="BQ826" s="2126">
        <v>0</v>
      </c>
      <c r="BR826" s="2126">
        <v>0</v>
      </c>
    </row>
    <row r="827" spans="1:70" s="1765" customFormat="1" ht="49.5">
      <c r="A827" s="1272">
        <v>4000</v>
      </c>
      <c r="B827" s="971" t="s">
        <v>1316</v>
      </c>
      <c r="C827" s="1272">
        <v>4500</v>
      </c>
      <c r="D827" s="971" t="s">
        <v>452</v>
      </c>
      <c r="E827" s="971" t="s">
        <v>1546</v>
      </c>
      <c r="F827" s="971" t="s">
        <v>454</v>
      </c>
      <c r="G827" s="971">
        <v>4512</v>
      </c>
      <c r="H827" s="971" t="s">
        <v>456</v>
      </c>
      <c r="I827" s="1273" t="s">
        <v>1619</v>
      </c>
      <c r="J827" s="971" t="s">
        <v>124</v>
      </c>
      <c r="K827" s="971" t="s">
        <v>784</v>
      </c>
      <c r="L827" s="971" t="s">
        <v>2852</v>
      </c>
      <c r="M827" s="971" t="s">
        <v>458</v>
      </c>
      <c r="N827" s="971" t="s">
        <v>127</v>
      </c>
      <c r="O827" s="971" t="s">
        <v>459</v>
      </c>
      <c r="P827" s="971"/>
      <c r="Q827" s="971" t="s">
        <v>1620</v>
      </c>
      <c r="R827" s="1266" t="s">
        <v>1621</v>
      </c>
      <c r="S827" s="2106">
        <v>0</v>
      </c>
      <c r="T827" s="1266" t="s">
        <v>136</v>
      </c>
      <c r="U827" s="1742">
        <v>0.22416666666666665</v>
      </c>
      <c r="V827" s="1742">
        <v>2.8020833333333335</v>
      </c>
      <c r="W827" s="1742">
        <v>19.758049999999997</v>
      </c>
      <c r="X827" s="1742">
        <v>30.905858333333335</v>
      </c>
      <c r="Y827" s="2106">
        <v>53.46599166666666</v>
      </c>
      <c r="Z827" s="2106">
        <v>0</v>
      </c>
      <c r="AA827" s="2106">
        <v>0</v>
      </c>
      <c r="AB827" s="2106">
        <v>0</v>
      </c>
      <c r="AC827" s="2106">
        <v>0</v>
      </c>
      <c r="AD827" s="1744">
        <v>0</v>
      </c>
      <c r="AE827" s="2126">
        <v>1</v>
      </c>
      <c r="AF827" s="2126">
        <v>0</v>
      </c>
      <c r="AG827" s="1212">
        <v>1</v>
      </c>
      <c r="AH827" s="1212">
        <v>0</v>
      </c>
      <c r="AI827" s="1212">
        <v>0</v>
      </c>
      <c r="AJ827" s="1212">
        <v>1</v>
      </c>
      <c r="AK827" s="2126">
        <v>0</v>
      </c>
      <c r="AL827" s="2126">
        <v>0</v>
      </c>
      <c r="AM827" s="2126">
        <v>0</v>
      </c>
      <c r="AN827" s="2126">
        <v>0</v>
      </c>
      <c r="AO827" s="1743" t="s">
        <v>85</v>
      </c>
      <c r="AP827" s="1743" t="s">
        <v>96</v>
      </c>
      <c r="AQ827" s="1764" t="s">
        <v>107</v>
      </c>
      <c r="AR827" s="1743" t="s">
        <v>87</v>
      </c>
      <c r="AS827" s="2135"/>
      <c r="AT827" s="2135"/>
      <c r="AU827" s="1212">
        <v>0.33333333333333331</v>
      </c>
      <c r="AV827" s="1212">
        <v>0.33333333333333331</v>
      </c>
      <c r="AW827" s="1212">
        <v>0.33333333333333331</v>
      </c>
      <c r="AX827" s="1212"/>
      <c r="AY827" s="1212"/>
      <c r="AZ827" s="1212"/>
      <c r="BA827" s="1212"/>
      <c r="BB827" s="1212"/>
      <c r="BC827" s="1212"/>
      <c r="BD827" s="1212"/>
      <c r="BE827" s="1212"/>
      <c r="BF827" s="2126">
        <v>0</v>
      </c>
      <c r="BG827" s="2126">
        <v>0</v>
      </c>
      <c r="BH827" s="2126">
        <v>0</v>
      </c>
      <c r="BI827" s="2126">
        <v>0</v>
      </c>
      <c r="BJ827" s="2126">
        <v>0</v>
      </c>
      <c r="BK827" s="2126">
        <v>0</v>
      </c>
      <c r="BL827" s="2126">
        <v>0</v>
      </c>
      <c r="BM827" s="2126">
        <v>0</v>
      </c>
      <c r="BN827" s="2126">
        <v>0</v>
      </c>
      <c r="BO827" s="2126">
        <v>0</v>
      </c>
      <c r="BP827" s="2126">
        <v>0</v>
      </c>
      <c r="BQ827" s="2126">
        <v>0</v>
      </c>
      <c r="BR827" s="2126">
        <v>0</v>
      </c>
    </row>
    <row r="828" spans="1:70" s="1765" customFormat="1" ht="33">
      <c r="A828" s="1272">
        <v>4000</v>
      </c>
      <c r="B828" s="971" t="s">
        <v>1316</v>
      </c>
      <c r="C828" s="1272">
        <v>4500</v>
      </c>
      <c r="D828" s="971" t="s">
        <v>452</v>
      </c>
      <c r="E828" s="971" t="s">
        <v>1546</v>
      </c>
      <c r="F828" s="971" t="s">
        <v>454</v>
      </c>
      <c r="G828" s="971">
        <v>4512</v>
      </c>
      <c r="H828" s="971" t="s">
        <v>456</v>
      </c>
      <c r="I828" s="1273" t="s">
        <v>1619</v>
      </c>
      <c r="J828" s="971" t="s">
        <v>124</v>
      </c>
      <c r="K828" s="971" t="s">
        <v>140</v>
      </c>
      <c r="L828" s="971" t="s">
        <v>2909</v>
      </c>
      <c r="M828" s="971" t="s">
        <v>140</v>
      </c>
      <c r="N828" s="971" t="s">
        <v>141</v>
      </c>
      <c r="O828" s="971" t="s">
        <v>142</v>
      </c>
      <c r="P828" s="971"/>
      <c r="Q828" s="971" t="s">
        <v>1622</v>
      </c>
      <c r="R828" s="1266" t="s">
        <v>1621</v>
      </c>
      <c r="S828" s="2106">
        <v>0</v>
      </c>
      <c r="T828" s="1266" t="s">
        <v>136</v>
      </c>
      <c r="U828" s="1742">
        <v>0</v>
      </c>
      <c r="V828" s="1742">
        <v>0</v>
      </c>
      <c r="W828" s="1742">
        <v>0</v>
      </c>
      <c r="X828" s="1742">
        <v>0</v>
      </c>
      <c r="Y828" s="2106">
        <v>0</v>
      </c>
      <c r="Z828" s="2106">
        <v>0</v>
      </c>
      <c r="AA828" s="2106">
        <v>0</v>
      </c>
      <c r="AB828" s="2106">
        <v>0</v>
      </c>
      <c r="AC828" s="2106">
        <v>0</v>
      </c>
      <c r="AD828" s="1744">
        <v>0</v>
      </c>
      <c r="AE828" s="2126">
        <v>0</v>
      </c>
      <c r="AF828" s="2126">
        <v>0</v>
      </c>
      <c r="AG828" s="1212">
        <v>1</v>
      </c>
      <c r="AH828" s="1212">
        <v>0</v>
      </c>
      <c r="AI828" s="1212">
        <v>0</v>
      </c>
      <c r="AJ828" s="1212">
        <v>1</v>
      </c>
      <c r="AK828" s="2126">
        <v>0</v>
      </c>
      <c r="AL828" s="2126">
        <v>0</v>
      </c>
      <c r="AM828" s="2126">
        <v>0</v>
      </c>
      <c r="AN828" s="2126">
        <v>0</v>
      </c>
      <c r="AO828" s="1743" t="s">
        <v>85</v>
      </c>
      <c r="AP828" s="1743" t="s">
        <v>96</v>
      </c>
      <c r="AQ828" s="1764" t="s">
        <v>107</v>
      </c>
      <c r="AR828" s="1743" t="s">
        <v>87</v>
      </c>
      <c r="AS828" s="2135"/>
      <c r="AT828" s="2135"/>
      <c r="AU828" s="1212">
        <v>0.33333333333333331</v>
      </c>
      <c r="AV828" s="1212">
        <v>0.33333333333333331</v>
      </c>
      <c r="AW828" s="1212">
        <v>0.33333333333333331</v>
      </c>
      <c r="AX828" s="1212"/>
      <c r="AY828" s="1212"/>
      <c r="AZ828" s="1212"/>
      <c r="BA828" s="1212"/>
      <c r="BB828" s="1212"/>
      <c r="BC828" s="1212"/>
      <c r="BD828" s="1212"/>
      <c r="BE828" s="1212"/>
      <c r="BF828" s="2126">
        <v>0</v>
      </c>
      <c r="BG828" s="2126">
        <v>0</v>
      </c>
      <c r="BH828" s="2126">
        <v>0</v>
      </c>
      <c r="BI828" s="2126">
        <v>0</v>
      </c>
      <c r="BJ828" s="2126">
        <v>0</v>
      </c>
      <c r="BK828" s="2126">
        <v>0</v>
      </c>
      <c r="BL828" s="2126">
        <v>0</v>
      </c>
      <c r="BM828" s="2126">
        <v>0</v>
      </c>
      <c r="BN828" s="2126">
        <v>0</v>
      </c>
      <c r="BO828" s="2126">
        <v>0</v>
      </c>
      <c r="BP828" s="2126">
        <v>0</v>
      </c>
      <c r="BQ828" s="2126">
        <v>0</v>
      </c>
      <c r="BR828" s="2126">
        <v>0</v>
      </c>
    </row>
    <row r="829" spans="1:70" s="1765" customFormat="1" ht="33">
      <c r="A829" s="1272">
        <v>4000</v>
      </c>
      <c r="B829" s="971" t="s">
        <v>1316</v>
      </c>
      <c r="C829" s="1272">
        <v>4500</v>
      </c>
      <c r="D829" s="971" t="s">
        <v>452</v>
      </c>
      <c r="E829" s="971" t="s">
        <v>1546</v>
      </c>
      <c r="F829" s="971" t="s">
        <v>454</v>
      </c>
      <c r="G829" s="971">
        <v>4512</v>
      </c>
      <c r="H829" s="971" t="s">
        <v>456</v>
      </c>
      <c r="I829" s="1273" t="s">
        <v>1619</v>
      </c>
      <c r="J829" s="971" t="s">
        <v>124</v>
      </c>
      <c r="K829" s="971"/>
      <c r="L829" s="971" t="e">
        <v>#N/A</v>
      </c>
      <c r="M829" s="971" t="s">
        <v>145</v>
      </c>
      <c r="N829" s="971" t="s">
        <v>141</v>
      </c>
      <c r="O829" s="971" t="s">
        <v>146</v>
      </c>
      <c r="P829" s="971"/>
      <c r="Q829" s="971" t="s">
        <v>1623</v>
      </c>
      <c r="R829" s="1266" t="s">
        <v>1621</v>
      </c>
      <c r="S829" s="2106">
        <v>0</v>
      </c>
      <c r="T829" s="1266" t="s">
        <v>136</v>
      </c>
      <c r="U829" s="1742" t="s">
        <v>6588</v>
      </c>
      <c r="V829" s="1742" t="s">
        <v>6588</v>
      </c>
      <c r="W829" s="1742" t="s">
        <v>6588</v>
      </c>
      <c r="X829" s="1742" t="s">
        <v>6588</v>
      </c>
      <c r="Y829" s="2106" t="s">
        <v>6588</v>
      </c>
      <c r="Z829" s="2106">
        <v>0</v>
      </c>
      <c r="AA829" s="2106">
        <v>0</v>
      </c>
      <c r="AB829" s="2106">
        <v>0</v>
      </c>
      <c r="AC829" s="2106">
        <v>0</v>
      </c>
      <c r="AD829" s="1744">
        <v>0</v>
      </c>
      <c r="AE829" s="2126">
        <v>0</v>
      </c>
      <c r="AF829" s="2126">
        <v>0</v>
      </c>
      <c r="AG829" s="1212">
        <v>1</v>
      </c>
      <c r="AH829" s="1212">
        <v>0</v>
      </c>
      <c r="AI829" s="1212">
        <v>0</v>
      </c>
      <c r="AJ829" s="1212">
        <v>1</v>
      </c>
      <c r="AK829" s="2126">
        <v>0</v>
      </c>
      <c r="AL829" s="2126">
        <v>0</v>
      </c>
      <c r="AM829" s="2126">
        <v>0</v>
      </c>
      <c r="AN829" s="2126">
        <v>0</v>
      </c>
      <c r="AO829" s="1743" t="s">
        <v>85</v>
      </c>
      <c r="AP829" s="1743" t="s">
        <v>96</v>
      </c>
      <c r="AQ829" s="1764" t="s">
        <v>107</v>
      </c>
      <c r="AR829" s="1743" t="s">
        <v>87</v>
      </c>
      <c r="AS829" s="2135"/>
      <c r="AT829" s="2135"/>
      <c r="AU829" s="1212">
        <v>0.33333333333333331</v>
      </c>
      <c r="AV829" s="1212">
        <v>0.33333333333333331</v>
      </c>
      <c r="AW829" s="1212">
        <v>0.33333333333333331</v>
      </c>
      <c r="AX829" s="1212"/>
      <c r="AY829" s="1212"/>
      <c r="AZ829" s="1212"/>
      <c r="BA829" s="1212"/>
      <c r="BB829" s="1212"/>
      <c r="BC829" s="1212"/>
      <c r="BD829" s="1212"/>
      <c r="BE829" s="1212"/>
      <c r="BF829" s="2126">
        <v>0</v>
      </c>
      <c r="BG829" s="2126">
        <v>0</v>
      </c>
      <c r="BH829" s="2126">
        <v>0</v>
      </c>
      <c r="BI829" s="2126">
        <v>0</v>
      </c>
      <c r="BJ829" s="2126">
        <v>0</v>
      </c>
      <c r="BK829" s="2126">
        <v>0</v>
      </c>
      <c r="BL829" s="2126">
        <v>0</v>
      </c>
      <c r="BM829" s="2126">
        <v>0</v>
      </c>
      <c r="BN829" s="2126">
        <v>0</v>
      </c>
      <c r="BO829" s="2126">
        <v>0</v>
      </c>
      <c r="BP829" s="2126">
        <v>0</v>
      </c>
      <c r="BQ829" s="2126">
        <v>0</v>
      </c>
      <c r="BR829" s="2126">
        <v>0</v>
      </c>
    </row>
    <row r="830" spans="1:70" s="1765" customFormat="1" ht="33">
      <c r="A830" s="1272">
        <v>4000</v>
      </c>
      <c r="B830" s="971" t="s">
        <v>1316</v>
      </c>
      <c r="C830" s="1272">
        <v>4500</v>
      </c>
      <c r="D830" s="971" t="s">
        <v>452</v>
      </c>
      <c r="E830" s="971" t="s">
        <v>1546</v>
      </c>
      <c r="F830" s="971" t="s">
        <v>454</v>
      </c>
      <c r="G830" s="971">
        <v>4512</v>
      </c>
      <c r="H830" s="971" t="s">
        <v>456</v>
      </c>
      <c r="I830" s="1273"/>
      <c r="J830" s="971" t="s">
        <v>121</v>
      </c>
      <c r="K830" s="971" t="s">
        <v>150</v>
      </c>
      <c r="L830" s="971" t="s">
        <v>2800</v>
      </c>
      <c r="M830" s="971" t="s">
        <v>80</v>
      </c>
      <c r="N830" s="971" t="s">
        <v>83</v>
      </c>
      <c r="O830" s="971" t="s">
        <v>151</v>
      </c>
      <c r="P830" s="971" t="s">
        <v>152</v>
      </c>
      <c r="Q830" s="971" t="s">
        <v>1624</v>
      </c>
      <c r="R830" s="1266"/>
      <c r="S830" s="2106">
        <v>0</v>
      </c>
      <c r="T830" s="1266" t="s">
        <v>136</v>
      </c>
      <c r="U830" s="1742">
        <v>1.2691883296460175E-2</v>
      </c>
      <c r="V830" s="1742">
        <v>0.14624999999999999</v>
      </c>
      <c r="W830" s="1742">
        <v>1.1186625937499999</v>
      </c>
      <c r="X830" s="1742">
        <v>0.4015178457754629</v>
      </c>
      <c r="Y830" s="2106">
        <v>1.6649423457754629</v>
      </c>
      <c r="Z830" s="2106">
        <v>0</v>
      </c>
      <c r="AA830" s="2106">
        <v>0</v>
      </c>
      <c r="AB830" s="2106">
        <v>0</v>
      </c>
      <c r="AC830" s="2106">
        <v>0</v>
      </c>
      <c r="AD830" s="1744">
        <v>0</v>
      </c>
      <c r="AE830" s="2126">
        <v>0</v>
      </c>
      <c r="AF830" s="2126">
        <v>0</v>
      </c>
      <c r="AG830" s="1212">
        <v>1</v>
      </c>
      <c r="AH830" s="1212">
        <v>0</v>
      </c>
      <c r="AI830" s="1212">
        <v>0</v>
      </c>
      <c r="AJ830" s="1212">
        <v>1</v>
      </c>
      <c r="AK830" s="2126">
        <v>0</v>
      </c>
      <c r="AL830" s="2126">
        <v>0</v>
      </c>
      <c r="AM830" s="2126">
        <v>0</v>
      </c>
      <c r="AN830" s="2126">
        <v>0</v>
      </c>
      <c r="AO830" s="1743" t="s">
        <v>85</v>
      </c>
      <c r="AP830" s="1743" t="s">
        <v>96</v>
      </c>
      <c r="AQ830" s="1764" t="s">
        <v>107</v>
      </c>
      <c r="AR830" s="1743" t="s">
        <v>87</v>
      </c>
      <c r="AS830" s="2135"/>
      <c r="AT830" s="2135"/>
      <c r="AU830" s="1212">
        <v>0.33333333333333331</v>
      </c>
      <c r="AV830" s="1212">
        <v>0.33333333333333331</v>
      </c>
      <c r="AW830" s="1212">
        <v>0.33333333333333331</v>
      </c>
      <c r="AX830" s="1212"/>
      <c r="AY830" s="1212"/>
      <c r="AZ830" s="1212"/>
      <c r="BA830" s="1212"/>
      <c r="BB830" s="1212"/>
      <c r="BC830" s="1212"/>
      <c r="BD830" s="1212"/>
      <c r="BE830" s="1212"/>
      <c r="BF830" s="2126">
        <v>0</v>
      </c>
      <c r="BG830" s="2126">
        <v>0</v>
      </c>
      <c r="BH830" s="2126">
        <v>0</v>
      </c>
      <c r="BI830" s="2126">
        <v>0</v>
      </c>
      <c r="BJ830" s="2126">
        <v>0</v>
      </c>
      <c r="BK830" s="2126">
        <v>0</v>
      </c>
      <c r="BL830" s="2126">
        <v>0</v>
      </c>
      <c r="BM830" s="2126">
        <v>0</v>
      </c>
      <c r="BN830" s="2126">
        <v>0</v>
      </c>
      <c r="BO830" s="2126">
        <v>0</v>
      </c>
      <c r="BP830" s="2126">
        <v>0</v>
      </c>
      <c r="BQ830" s="2126">
        <v>0</v>
      </c>
      <c r="BR830" s="2126">
        <v>0</v>
      </c>
    </row>
    <row r="831" spans="1:70" s="1765" customFormat="1" ht="33">
      <c r="A831" s="1272">
        <v>4000</v>
      </c>
      <c r="B831" s="971" t="s">
        <v>1316</v>
      </c>
      <c r="C831" s="1272">
        <v>4500</v>
      </c>
      <c r="D831" s="971" t="s">
        <v>452</v>
      </c>
      <c r="E831" s="971" t="s">
        <v>1546</v>
      </c>
      <c r="F831" s="971" t="s">
        <v>454</v>
      </c>
      <c r="G831" s="971">
        <v>4512</v>
      </c>
      <c r="H831" s="971" t="s">
        <v>456</v>
      </c>
      <c r="I831" s="1273"/>
      <c r="J831" s="971" t="s">
        <v>121</v>
      </c>
      <c r="K831" s="971" t="s">
        <v>150</v>
      </c>
      <c r="L831" s="971" t="s">
        <v>2800</v>
      </c>
      <c r="M831" s="971" t="s">
        <v>80</v>
      </c>
      <c r="N831" s="971" t="s">
        <v>83</v>
      </c>
      <c r="O831" s="971" t="s">
        <v>151</v>
      </c>
      <c r="P831" s="971" t="s">
        <v>152</v>
      </c>
      <c r="Q831" s="971" t="s">
        <v>1625</v>
      </c>
      <c r="R831" s="1266"/>
      <c r="S831" s="2106">
        <v>0</v>
      </c>
      <c r="T831" s="1266" t="s">
        <v>136</v>
      </c>
      <c r="U831" s="1742">
        <v>1.2691883296460175E-2</v>
      </c>
      <c r="V831" s="1742">
        <v>0.14624999999999999</v>
      </c>
      <c r="W831" s="1742">
        <v>1.1186625937499999</v>
      </c>
      <c r="X831" s="1742">
        <v>0.4015178457754629</v>
      </c>
      <c r="Y831" s="2106">
        <v>1.6649423457754629</v>
      </c>
      <c r="Z831" s="2106">
        <v>0</v>
      </c>
      <c r="AA831" s="2106">
        <v>0</v>
      </c>
      <c r="AB831" s="2106">
        <v>0</v>
      </c>
      <c r="AC831" s="2106">
        <v>0</v>
      </c>
      <c r="AD831" s="1744">
        <v>0</v>
      </c>
      <c r="AE831" s="2126">
        <v>0</v>
      </c>
      <c r="AF831" s="2126">
        <v>0</v>
      </c>
      <c r="AG831" s="1212">
        <v>1</v>
      </c>
      <c r="AH831" s="1212">
        <v>0</v>
      </c>
      <c r="AI831" s="1212">
        <v>0</v>
      </c>
      <c r="AJ831" s="1212">
        <v>1</v>
      </c>
      <c r="AK831" s="2126">
        <v>0</v>
      </c>
      <c r="AL831" s="2126">
        <v>0</v>
      </c>
      <c r="AM831" s="2126">
        <v>0</v>
      </c>
      <c r="AN831" s="2126">
        <v>0</v>
      </c>
      <c r="AO831" s="1743" t="s">
        <v>85</v>
      </c>
      <c r="AP831" s="1743" t="s">
        <v>96</v>
      </c>
      <c r="AQ831" s="1764" t="s">
        <v>107</v>
      </c>
      <c r="AR831" s="1743" t="s">
        <v>87</v>
      </c>
      <c r="AS831" s="2135"/>
      <c r="AT831" s="2135"/>
      <c r="AU831" s="1212">
        <v>0.33333333333333331</v>
      </c>
      <c r="AV831" s="1212">
        <v>0.33333333333333331</v>
      </c>
      <c r="AW831" s="1212">
        <v>0.33333333333333331</v>
      </c>
      <c r="AX831" s="1212"/>
      <c r="AY831" s="1212"/>
      <c r="AZ831" s="1212"/>
      <c r="BA831" s="1212"/>
      <c r="BB831" s="1212"/>
      <c r="BC831" s="1212"/>
      <c r="BD831" s="1212"/>
      <c r="BE831" s="1212"/>
      <c r="BF831" s="2126">
        <v>0</v>
      </c>
      <c r="BG831" s="2126">
        <v>0</v>
      </c>
      <c r="BH831" s="2126">
        <v>0</v>
      </c>
      <c r="BI831" s="2126">
        <v>0</v>
      </c>
      <c r="BJ831" s="2126">
        <v>0</v>
      </c>
      <c r="BK831" s="2126">
        <v>0</v>
      </c>
      <c r="BL831" s="2126">
        <v>0</v>
      </c>
      <c r="BM831" s="2126">
        <v>0</v>
      </c>
      <c r="BN831" s="2126">
        <v>0</v>
      </c>
      <c r="BO831" s="2126">
        <v>0</v>
      </c>
      <c r="BP831" s="2126">
        <v>0</v>
      </c>
      <c r="BQ831" s="2126">
        <v>0</v>
      </c>
      <c r="BR831" s="2126">
        <v>0</v>
      </c>
    </row>
    <row r="832" spans="1:70" s="1765" customFormat="1" ht="49.5">
      <c r="A832" s="1272">
        <v>4000</v>
      </c>
      <c r="B832" s="971" t="s">
        <v>1316</v>
      </c>
      <c r="C832" s="1272">
        <v>4500</v>
      </c>
      <c r="D832" s="971" t="s">
        <v>452</v>
      </c>
      <c r="E832" s="971" t="s">
        <v>1546</v>
      </c>
      <c r="F832" s="971" t="s">
        <v>454</v>
      </c>
      <c r="G832" s="971">
        <v>4512</v>
      </c>
      <c r="H832" s="971" t="s">
        <v>456</v>
      </c>
      <c r="I832" s="1273"/>
      <c r="J832" s="971" t="s">
        <v>124</v>
      </c>
      <c r="K832" s="971" t="s">
        <v>784</v>
      </c>
      <c r="L832" s="971" t="s">
        <v>2852</v>
      </c>
      <c r="M832" s="971" t="s">
        <v>458</v>
      </c>
      <c r="N832" s="971" t="s">
        <v>127</v>
      </c>
      <c r="O832" s="971" t="s">
        <v>215</v>
      </c>
      <c r="P832" s="971" t="s">
        <v>181</v>
      </c>
      <c r="Q832" s="971" t="s">
        <v>1626</v>
      </c>
      <c r="R832" s="1266"/>
      <c r="S832" s="2106">
        <v>100</v>
      </c>
      <c r="T832" s="1266" t="s">
        <v>136</v>
      </c>
      <c r="U832" s="1742">
        <v>0.22416666666666665</v>
      </c>
      <c r="V832" s="1742">
        <v>2.8020833333333335</v>
      </c>
      <c r="W832" s="1742">
        <v>19.758049999999997</v>
      </c>
      <c r="X832" s="1742">
        <v>30.905858333333335</v>
      </c>
      <c r="Y832" s="2106">
        <v>53.46599166666666</v>
      </c>
      <c r="Z832" s="2106">
        <v>22.416666666666664</v>
      </c>
      <c r="AA832" s="2106">
        <v>280.20833333333337</v>
      </c>
      <c r="AB832" s="2106">
        <v>1975.8049999999998</v>
      </c>
      <c r="AC832" s="2106">
        <v>3090.5858333333335</v>
      </c>
      <c r="AD832" s="1744">
        <v>5346.5991666666669</v>
      </c>
      <c r="AE832" s="2126">
        <v>1</v>
      </c>
      <c r="AF832" s="2126">
        <v>100</v>
      </c>
      <c r="AG832" s="1212">
        <v>1</v>
      </c>
      <c r="AH832" s="1212">
        <v>0</v>
      </c>
      <c r="AI832" s="1212">
        <v>0</v>
      </c>
      <c r="AJ832" s="1212">
        <v>1</v>
      </c>
      <c r="AK832" s="2126">
        <v>5346.5991666666669</v>
      </c>
      <c r="AL832" s="2126">
        <v>0</v>
      </c>
      <c r="AM832" s="2126">
        <v>0</v>
      </c>
      <c r="AN832" s="2126">
        <v>5346.5991666666669</v>
      </c>
      <c r="AO832" s="1743" t="s">
        <v>85</v>
      </c>
      <c r="AP832" s="1743" t="s">
        <v>90</v>
      </c>
      <c r="AQ832" s="1764">
        <v>2019</v>
      </c>
      <c r="AR832" s="1743" t="s">
        <v>87</v>
      </c>
      <c r="AS832" s="2135"/>
      <c r="AT832" s="2135"/>
      <c r="AU832" s="1212">
        <v>0.33333333333333331</v>
      </c>
      <c r="AV832" s="1212">
        <v>0.33333333333333331</v>
      </c>
      <c r="AW832" s="1212">
        <v>0.33333333333333331</v>
      </c>
      <c r="AX832" s="1212"/>
      <c r="AY832" s="1212"/>
      <c r="AZ832" s="1212"/>
      <c r="BA832" s="1212"/>
      <c r="BB832" s="1212"/>
      <c r="BC832" s="1212"/>
      <c r="BD832" s="1212"/>
      <c r="BE832" s="1212"/>
      <c r="BF832" s="2126">
        <v>0</v>
      </c>
      <c r="BG832" s="2126">
        <v>0</v>
      </c>
      <c r="BH832" s="2126">
        <v>1782.1997222222221</v>
      </c>
      <c r="BI832" s="2126">
        <v>1782.1997222222221</v>
      </c>
      <c r="BJ832" s="2126">
        <v>1782.1997222222221</v>
      </c>
      <c r="BK832" s="2126">
        <v>0</v>
      </c>
      <c r="BL832" s="2126">
        <v>0</v>
      </c>
      <c r="BM832" s="2126">
        <v>0</v>
      </c>
      <c r="BN832" s="2126">
        <v>0</v>
      </c>
      <c r="BO832" s="2126">
        <v>0</v>
      </c>
      <c r="BP832" s="2126">
        <v>0</v>
      </c>
      <c r="BQ832" s="2126">
        <v>0</v>
      </c>
      <c r="BR832" s="2126">
        <v>0</v>
      </c>
    </row>
    <row r="833" spans="1:70" s="1765" customFormat="1" ht="49.5">
      <c r="A833" s="1272">
        <v>2000</v>
      </c>
      <c r="B833" s="971" t="s">
        <v>119</v>
      </c>
      <c r="C833" s="1272">
        <v>2700</v>
      </c>
      <c r="D833" s="971" t="s">
        <v>452</v>
      </c>
      <c r="E833" s="971" t="s">
        <v>1546</v>
      </c>
      <c r="F833" s="971" t="s">
        <v>454</v>
      </c>
      <c r="G833" s="971">
        <v>4512</v>
      </c>
      <c r="H833" s="971" t="s">
        <v>456</v>
      </c>
      <c r="I833" s="1273"/>
      <c r="J833" s="971" t="s">
        <v>124</v>
      </c>
      <c r="K833" s="971" t="s">
        <v>784</v>
      </c>
      <c r="L833" s="971" t="s">
        <v>2852</v>
      </c>
      <c r="M833" s="971" t="s">
        <v>458</v>
      </c>
      <c r="N833" s="971" t="s">
        <v>127</v>
      </c>
      <c r="O833" s="971" t="s">
        <v>215</v>
      </c>
      <c r="P833" s="971"/>
      <c r="Q833" s="971" t="s">
        <v>1627</v>
      </c>
      <c r="R833" s="1266" t="s">
        <v>1628</v>
      </c>
      <c r="S833" s="2106">
        <v>100</v>
      </c>
      <c r="T833" s="1266" t="s">
        <v>136</v>
      </c>
      <c r="U833" s="1742">
        <v>0.22416666666666665</v>
      </c>
      <c r="V833" s="1742">
        <v>2.8020833333333335</v>
      </c>
      <c r="W833" s="1742">
        <v>19.758049999999997</v>
      </c>
      <c r="X833" s="1742">
        <v>30.905858333333335</v>
      </c>
      <c r="Y833" s="2106">
        <v>53.46599166666666</v>
      </c>
      <c r="Z833" s="2106">
        <v>22.416666666666664</v>
      </c>
      <c r="AA833" s="2106">
        <v>280.20833333333337</v>
      </c>
      <c r="AB833" s="2106">
        <v>1975.8049999999998</v>
      </c>
      <c r="AC833" s="2106">
        <v>3090.5858333333335</v>
      </c>
      <c r="AD833" s="1744">
        <v>5346.5991666666669</v>
      </c>
      <c r="AE833" s="2126">
        <v>1</v>
      </c>
      <c r="AF833" s="2126">
        <v>100</v>
      </c>
      <c r="AG833" s="1212">
        <v>1</v>
      </c>
      <c r="AH833" s="1212">
        <v>0</v>
      </c>
      <c r="AI833" s="1212">
        <v>0</v>
      </c>
      <c r="AJ833" s="1212">
        <v>1</v>
      </c>
      <c r="AK833" s="2126">
        <v>5346.5991666666669</v>
      </c>
      <c r="AL833" s="2126">
        <v>0</v>
      </c>
      <c r="AM833" s="2126">
        <v>0</v>
      </c>
      <c r="AN833" s="2126">
        <v>5346.5991666666669</v>
      </c>
      <c r="AO833" s="1743" t="s">
        <v>85</v>
      </c>
      <c r="AP833" s="1743" t="s">
        <v>90</v>
      </c>
      <c r="AQ833" s="1764">
        <v>2021</v>
      </c>
      <c r="AR833" s="1743" t="s">
        <v>87</v>
      </c>
      <c r="AS833" s="2135"/>
      <c r="AT833" s="2135"/>
      <c r="AU833" s="1212">
        <v>0.33333333333333331</v>
      </c>
      <c r="AV833" s="1212">
        <v>0.33333333333333331</v>
      </c>
      <c r="AW833" s="1212">
        <v>0.33333333333333331</v>
      </c>
      <c r="AX833" s="1212"/>
      <c r="AY833" s="1212"/>
      <c r="AZ833" s="1212"/>
      <c r="BA833" s="1212"/>
      <c r="BB833" s="1212"/>
      <c r="BC833" s="1212"/>
      <c r="BD833" s="1212"/>
      <c r="BE833" s="1212"/>
      <c r="BF833" s="2126">
        <v>0</v>
      </c>
      <c r="BG833" s="2126">
        <v>0</v>
      </c>
      <c r="BH833" s="2126">
        <v>1782.1997222222221</v>
      </c>
      <c r="BI833" s="2126">
        <v>1782.1997222222221</v>
      </c>
      <c r="BJ833" s="2126">
        <v>1782.1997222222221</v>
      </c>
      <c r="BK833" s="2126">
        <v>0</v>
      </c>
      <c r="BL833" s="2126">
        <v>0</v>
      </c>
      <c r="BM833" s="2126">
        <v>0</v>
      </c>
      <c r="BN833" s="2126">
        <v>0</v>
      </c>
      <c r="BO833" s="2126">
        <v>0</v>
      </c>
      <c r="BP833" s="2126">
        <v>0</v>
      </c>
      <c r="BQ833" s="2126">
        <v>0</v>
      </c>
      <c r="BR833" s="2126">
        <v>0</v>
      </c>
    </row>
    <row r="834" spans="1:70" s="1765" customFormat="1" ht="49.5">
      <c r="A834" s="1272">
        <v>4000</v>
      </c>
      <c r="B834" s="971" t="s">
        <v>1316</v>
      </c>
      <c r="C834" s="1272">
        <v>4500</v>
      </c>
      <c r="D834" s="971" t="s">
        <v>452</v>
      </c>
      <c r="E834" s="971" t="s">
        <v>1546</v>
      </c>
      <c r="F834" s="971" t="s">
        <v>454</v>
      </c>
      <c r="G834" s="971">
        <v>4512</v>
      </c>
      <c r="H834" s="971" t="s">
        <v>456</v>
      </c>
      <c r="I834" s="1273"/>
      <c r="J834" s="971" t="s">
        <v>124</v>
      </c>
      <c r="K834" s="971" t="s">
        <v>784</v>
      </c>
      <c r="L834" s="971" t="s">
        <v>2852</v>
      </c>
      <c r="M834" s="971" t="s">
        <v>458</v>
      </c>
      <c r="N834" s="971" t="s">
        <v>127</v>
      </c>
      <c r="O834" s="971" t="s">
        <v>215</v>
      </c>
      <c r="P834" s="971"/>
      <c r="Q834" s="971" t="s">
        <v>1629</v>
      </c>
      <c r="R834" s="1266" t="s">
        <v>1628</v>
      </c>
      <c r="S834" s="2106">
        <v>100</v>
      </c>
      <c r="T834" s="1266" t="s">
        <v>136</v>
      </c>
      <c r="U834" s="1742">
        <v>0.22416666666666665</v>
      </c>
      <c r="V834" s="1742">
        <v>2.8020833333333335</v>
      </c>
      <c r="W834" s="1742">
        <v>19.758049999999997</v>
      </c>
      <c r="X834" s="1742">
        <v>30.905858333333335</v>
      </c>
      <c r="Y834" s="2106">
        <v>53.46599166666666</v>
      </c>
      <c r="Z834" s="2106">
        <v>22.416666666666664</v>
      </c>
      <c r="AA834" s="2106">
        <v>280.20833333333337</v>
      </c>
      <c r="AB834" s="2106">
        <v>1975.8049999999998</v>
      </c>
      <c r="AC834" s="2106">
        <v>3090.5858333333335</v>
      </c>
      <c r="AD834" s="1744">
        <v>5346.5991666666669</v>
      </c>
      <c r="AE834" s="2126">
        <v>1</v>
      </c>
      <c r="AF834" s="2126">
        <v>100</v>
      </c>
      <c r="AG834" s="1212">
        <v>1</v>
      </c>
      <c r="AH834" s="1212">
        <v>0</v>
      </c>
      <c r="AI834" s="1212">
        <v>0</v>
      </c>
      <c r="AJ834" s="1212">
        <v>1</v>
      </c>
      <c r="AK834" s="2126">
        <v>5346.5991666666669</v>
      </c>
      <c r="AL834" s="2126">
        <v>0</v>
      </c>
      <c r="AM834" s="2126">
        <v>0</v>
      </c>
      <c r="AN834" s="2126">
        <v>5346.5991666666669</v>
      </c>
      <c r="AO834" s="1743" t="s">
        <v>85</v>
      </c>
      <c r="AP834" s="1743" t="s">
        <v>90</v>
      </c>
      <c r="AQ834" s="1764">
        <v>2021</v>
      </c>
      <c r="AR834" s="1743" t="s">
        <v>87</v>
      </c>
      <c r="AS834" s="2135"/>
      <c r="AT834" s="2135"/>
      <c r="AU834" s="1212">
        <v>0.33333333333333331</v>
      </c>
      <c r="AV834" s="1212">
        <v>0.33333333333333331</v>
      </c>
      <c r="AW834" s="1212">
        <v>0.33333333333333331</v>
      </c>
      <c r="AX834" s="1212"/>
      <c r="AY834" s="1212"/>
      <c r="AZ834" s="1212"/>
      <c r="BA834" s="1212"/>
      <c r="BB834" s="1212"/>
      <c r="BC834" s="1212"/>
      <c r="BD834" s="1212"/>
      <c r="BE834" s="1212"/>
      <c r="BF834" s="2126">
        <v>0</v>
      </c>
      <c r="BG834" s="2126">
        <v>0</v>
      </c>
      <c r="BH834" s="2126">
        <v>1782.1997222222221</v>
      </c>
      <c r="BI834" s="2126">
        <v>1782.1997222222221</v>
      </c>
      <c r="BJ834" s="2126">
        <v>1782.1997222222221</v>
      </c>
      <c r="BK834" s="2126">
        <v>0</v>
      </c>
      <c r="BL834" s="2126">
        <v>0</v>
      </c>
      <c r="BM834" s="2126">
        <v>0</v>
      </c>
      <c r="BN834" s="2126">
        <v>0</v>
      </c>
      <c r="BO834" s="2126">
        <v>0</v>
      </c>
      <c r="BP834" s="2126">
        <v>0</v>
      </c>
      <c r="BQ834" s="2126">
        <v>0</v>
      </c>
      <c r="BR834" s="2126">
        <v>0</v>
      </c>
    </row>
    <row r="835" spans="1:70" s="1765" customFormat="1" ht="49.5">
      <c r="A835" s="1272">
        <v>2000</v>
      </c>
      <c r="B835" s="971" t="s">
        <v>119</v>
      </c>
      <c r="C835" s="1272">
        <v>2700</v>
      </c>
      <c r="D835" s="971" t="s">
        <v>452</v>
      </c>
      <c r="E835" s="971" t="s">
        <v>1546</v>
      </c>
      <c r="F835" s="971" t="s">
        <v>454</v>
      </c>
      <c r="G835" s="971">
        <v>4512</v>
      </c>
      <c r="H835" s="971" t="s">
        <v>456</v>
      </c>
      <c r="I835" s="1273"/>
      <c r="J835" s="971" t="s">
        <v>124</v>
      </c>
      <c r="K835" s="971" t="s">
        <v>784</v>
      </c>
      <c r="L835" s="971" t="s">
        <v>2852</v>
      </c>
      <c r="M835" s="971" t="s">
        <v>458</v>
      </c>
      <c r="N835" s="971" t="s">
        <v>127</v>
      </c>
      <c r="O835" s="971" t="s">
        <v>215</v>
      </c>
      <c r="P835" s="971"/>
      <c r="Q835" s="971" t="s">
        <v>1627</v>
      </c>
      <c r="R835" s="1266" t="s">
        <v>1628</v>
      </c>
      <c r="S835" s="2106">
        <v>-100</v>
      </c>
      <c r="T835" s="1266" t="s">
        <v>136</v>
      </c>
      <c r="U835" s="1742">
        <v>0.22416666666666665</v>
      </c>
      <c r="V835" s="1742">
        <v>2.8020833333333335</v>
      </c>
      <c r="W835" s="1742">
        <v>19.758049999999997</v>
      </c>
      <c r="X835" s="1742">
        <v>30.905858333333335</v>
      </c>
      <c r="Y835" s="2106">
        <v>53.46599166666666</v>
      </c>
      <c r="Z835" s="2106">
        <v>-22.416666666666664</v>
      </c>
      <c r="AA835" s="2106">
        <v>-280.20833333333337</v>
      </c>
      <c r="AB835" s="2106">
        <v>-1975.8049999999998</v>
      </c>
      <c r="AC835" s="2106">
        <v>-3090.5858333333335</v>
      </c>
      <c r="AD835" s="1744">
        <v>-5346.5991666666669</v>
      </c>
      <c r="AE835" s="2126">
        <v>1</v>
      </c>
      <c r="AF835" s="2126">
        <v>-100</v>
      </c>
      <c r="AG835" s="1212">
        <v>1</v>
      </c>
      <c r="AH835" s="1212">
        <v>0</v>
      </c>
      <c r="AI835" s="1212">
        <v>0</v>
      </c>
      <c r="AJ835" s="1212">
        <v>1</v>
      </c>
      <c r="AK835" s="2126">
        <v>-5346.5991666666669</v>
      </c>
      <c r="AL835" s="2126">
        <v>0</v>
      </c>
      <c r="AM835" s="2126">
        <v>0</v>
      </c>
      <c r="AN835" s="2126">
        <v>-5346.5991666666669</v>
      </c>
      <c r="AO835" s="1743" t="s">
        <v>85</v>
      </c>
      <c r="AP835" s="1743" t="s">
        <v>96</v>
      </c>
      <c r="AQ835" s="1764" t="s">
        <v>118</v>
      </c>
      <c r="AR835" s="1743" t="s">
        <v>87</v>
      </c>
      <c r="AS835" s="2135"/>
      <c r="AT835" s="2135"/>
      <c r="AU835" s="1212">
        <v>0.33333333333333331</v>
      </c>
      <c r="AV835" s="1212">
        <v>0.33333333333333331</v>
      </c>
      <c r="AW835" s="1212">
        <v>0.33333333333333331</v>
      </c>
      <c r="AX835" s="1212"/>
      <c r="AY835" s="1212"/>
      <c r="AZ835" s="1212"/>
      <c r="BA835" s="1212"/>
      <c r="BB835" s="1212"/>
      <c r="BC835" s="1212"/>
      <c r="BD835" s="1212"/>
      <c r="BE835" s="1212"/>
      <c r="BF835" s="2126">
        <v>0</v>
      </c>
      <c r="BG835" s="2126">
        <v>0</v>
      </c>
      <c r="BH835" s="2126">
        <v>-1782.1997222222221</v>
      </c>
      <c r="BI835" s="2126">
        <v>-1782.1997222222221</v>
      </c>
      <c r="BJ835" s="2126">
        <v>-1782.1997222222221</v>
      </c>
      <c r="BK835" s="2126">
        <v>0</v>
      </c>
      <c r="BL835" s="2126">
        <v>0</v>
      </c>
      <c r="BM835" s="2126">
        <v>0</v>
      </c>
      <c r="BN835" s="2126">
        <v>0</v>
      </c>
      <c r="BO835" s="2126">
        <v>0</v>
      </c>
      <c r="BP835" s="2126">
        <v>0</v>
      </c>
      <c r="BQ835" s="2126">
        <v>0</v>
      </c>
      <c r="BR835" s="2126">
        <v>0</v>
      </c>
    </row>
    <row r="836" spans="1:70" s="1765" customFormat="1" ht="49.5">
      <c r="A836" s="1272">
        <v>4000</v>
      </c>
      <c r="B836" s="971" t="s">
        <v>1316</v>
      </c>
      <c r="C836" s="1272">
        <v>4500</v>
      </c>
      <c r="D836" s="971" t="s">
        <v>452</v>
      </c>
      <c r="E836" s="971" t="s">
        <v>1546</v>
      </c>
      <c r="F836" s="971" t="s">
        <v>454</v>
      </c>
      <c r="G836" s="971">
        <v>4512</v>
      </c>
      <c r="H836" s="971" t="s">
        <v>456</v>
      </c>
      <c r="I836" s="1273"/>
      <c r="J836" s="971" t="s">
        <v>124</v>
      </c>
      <c r="K836" s="971" t="s">
        <v>784</v>
      </c>
      <c r="L836" s="971" t="s">
        <v>2852</v>
      </c>
      <c r="M836" s="971" t="s">
        <v>458</v>
      </c>
      <c r="N836" s="971" t="s">
        <v>127</v>
      </c>
      <c r="O836" s="971" t="s">
        <v>215</v>
      </c>
      <c r="P836" s="971"/>
      <c r="Q836" s="971" t="s">
        <v>1629</v>
      </c>
      <c r="R836" s="1266" t="s">
        <v>1628</v>
      </c>
      <c r="S836" s="2106">
        <v>-100</v>
      </c>
      <c r="T836" s="1266" t="s">
        <v>136</v>
      </c>
      <c r="U836" s="1742">
        <v>0.22416666666666665</v>
      </c>
      <c r="V836" s="1742">
        <v>2.8020833333333335</v>
      </c>
      <c r="W836" s="1742">
        <v>19.758049999999997</v>
      </c>
      <c r="X836" s="1742">
        <v>30.905858333333335</v>
      </c>
      <c r="Y836" s="2106">
        <v>53.46599166666666</v>
      </c>
      <c r="Z836" s="2106">
        <v>-22.416666666666664</v>
      </c>
      <c r="AA836" s="2106">
        <v>-280.20833333333337</v>
      </c>
      <c r="AB836" s="2106">
        <v>-1975.8049999999998</v>
      </c>
      <c r="AC836" s="2106">
        <v>-3090.5858333333335</v>
      </c>
      <c r="AD836" s="1744">
        <v>-5346.5991666666669</v>
      </c>
      <c r="AE836" s="2126">
        <v>1</v>
      </c>
      <c r="AF836" s="2126">
        <v>-100</v>
      </c>
      <c r="AG836" s="1212">
        <v>1</v>
      </c>
      <c r="AH836" s="1212">
        <v>0</v>
      </c>
      <c r="AI836" s="1212">
        <v>0</v>
      </c>
      <c r="AJ836" s="1212">
        <v>1</v>
      </c>
      <c r="AK836" s="2126">
        <v>-5346.5991666666669</v>
      </c>
      <c r="AL836" s="2126">
        <v>0</v>
      </c>
      <c r="AM836" s="2126">
        <v>0</v>
      </c>
      <c r="AN836" s="2126">
        <v>-5346.5991666666669</v>
      </c>
      <c r="AO836" s="1743" t="s">
        <v>85</v>
      </c>
      <c r="AP836" s="1743" t="s">
        <v>96</v>
      </c>
      <c r="AQ836" s="1764" t="s">
        <v>118</v>
      </c>
      <c r="AR836" s="1743" t="s">
        <v>87</v>
      </c>
      <c r="AS836" s="2135"/>
      <c r="AT836" s="2135"/>
      <c r="AU836" s="1212">
        <v>0.33333333333333331</v>
      </c>
      <c r="AV836" s="1212">
        <v>0.33333333333333331</v>
      </c>
      <c r="AW836" s="1212">
        <v>0.33333333333333331</v>
      </c>
      <c r="AX836" s="1212"/>
      <c r="AY836" s="1212"/>
      <c r="AZ836" s="1212"/>
      <c r="BA836" s="1212"/>
      <c r="BB836" s="1212"/>
      <c r="BC836" s="1212"/>
      <c r="BD836" s="1212"/>
      <c r="BE836" s="1212"/>
      <c r="BF836" s="2126">
        <v>0</v>
      </c>
      <c r="BG836" s="2126">
        <v>0</v>
      </c>
      <c r="BH836" s="2126">
        <v>-1782.1997222222221</v>
      </c>
      <c r="BI836" s="2126">
        <v>-1782.1997222222221</v>
      </c>
      <c r="BJ836" s="2126">
        <v>-1782.1997222222221</v>
      </c>
      <c r="BK836" s="2126">
        <v>0</v>
      </c>
      <c r="BL836" s="2126">
        <v>0</v>
      </c>
      <c r="BM836" s="2126">
        <v>0</v>
      </c>
      <c r="BN836" s="2126">
        <v>0</v>
      </c>
      <c r="BO836" s="2126">
        <v>0</v>
      </c>
      <c r="BP836" s="2126">
        <v>0</v>
      </c>
      <c r="BQ836" s="2126">
        <v>0</v>
      </c>
      <c r="BR836" s="2126">
        <v>0</v>
      </c>
    </row>
    <row r="837" spans="1:70" s="1765" customFormat="1" ht="49.5">
      <c r="A837" s="1272">
        <v>4000</v>
      </c>
      <c r="B837" s="971" t="s">
        <v>1316</v>
      </c>
      <c r="C837" s="1272">
        <v>4500</v>
      </c>
      <c r="D837" s="971" t="s">
        <v>452</v>
      </c>
      <c r="E837" s="971" t="s">
        <v>1546</v>
      </c>
      <c r="F837" s="971" t="s">
        <v>454</v>
      </c>
      <c r="G837" s="971">
        <v>4512</v>
      </c>
      <c r="H837" s="971" t="s">
        <v>456</v>
      </c>
      <c r="I837" s="1273"/>
      <c r="J837" s="971" t="s">
        <v>124</v>
      </c>
      <c r="K837" s="971" t="s">
        <v>784</v>
      </c>
      <c r="L837" s="971" t="s">
        <v>2852</v>
      </c>
      <c r="M837" s="971" t="s">
        <v>458</v>
      </c>
      <c r="N837" s="971" t="s">
        <v>127</v>
      </c>
      <c r="O837" s="971" t="s">
        <v>215</v>
      </c>
      <c r="P837" s="971" t="s">
        <v>181</v>
      </c>
      <c r="Q837" s="971" t="s">
        <v>1630</v>
      </c>
      <c r="R837" s="1266"/>
      <c r="S837" s="2106">
        <v>36</v>
      </c>
      <c r="T837" s="1266" t="s">
        <v>136</v>
      </c>
      <c r="U837" s="1742">
        <v>0.22416666666666665</v>
      </c>
      <c r="V837" s="1742">
        <v>2.8020833333333335</v>
      </c>
      <c r="W837" s="1742">
        <v>19.758049999999997</v>
      </c>
      <c r="X837" s="1742">
        <v>30.905858333333335</v>
      </c>
      <c r="Y837" s="2106">
        <v>53.46599166666666</v>
      </c>
      <c r="Z837" s="2106">
        <v>8.07</v>
      </c>
      <c r="AA837" s="2106">
        <v>100.875</v>
      </c>
      <c r="AB837" s="2106">
        <v>711.2897999999999</v>
      </c>
      <c r="AC837" s="2106">
        <v>1112.6109000000001</v>
      </c>
      <c r="AD837" s="1744">
        <v>1924.7757000000001</v>
      </c>
      <c r="AE837" s="2126">
        <v>1</v>
      </c>
      <c r="AF837" s="2126">
        <v>36</v>
      </c>
      <c r="AG837" s="1212">
        <v>1</v>
      </c>
      <c r="AH837" s="1212">
        <v>0</v>
      </c>
      <c r="AI837" s="1212">
        <v>0</v>
      </c>
      <c r="AJ837" s="1212">
        <v>1</v>
      </c>
      <c r="AK837" s="2126">
        <v>1924.7757000000001</v>
      </c>
      <c r="AL837" s="2126">
        <v>0</v>
      </c>
      <c r="AM837" s="2126">
        <v>0</v>
      </c>
      <c r="AN837" s="2126">
        <v>1924.7757000000001</v>
      </c>
      <c r="AO837" s="1743" t="s">
        <v>85</v>
      </c>
      <c r="AP837" s="1743" t="s">
        <v>90</v>
      </c>
      <c r="AQ837" s="1764">
        <v>2019</v>
      </c>
      <c r="AR837" s="1743" t="s">
        <v>87</v>
      </c>
      <c r="AS837" s="2135"/>
      <c r="AT837" s="2135"/>
      <c r="AU837" s="1212">
        <v>0.33333333333333331</v>
      </c>
      <c r="AV837" s="1212">
        <v>0.33333333333333331</v>
      </c>
      <c r="AW837" s="1212">
        <v>0.33333333333333331</v>
      </c>
      <c r="AX837" s="1212"/>
      <c r="AY837" s="1212"/>
      <c r="AZ837" s="1212"/>
      <c r="BA837" s="1212"/>
      <c r="BB837" s="1212"/>
      <c r="BC837" s="1212"/>
      <c r="BD837" s="1212"/>
      <c r="BE837" s="1212"/>
      <c r="BF837" s="2126">
        <v>0</v>
      </c>
      <c r="BG837" s="2126">
        <v>0</v>
      </c>
      <c r="BH837" s="2126">
        <v>641.59190000000001</v>
      </c>
      <c r="BI837" s="2126">
        <v>641.59190000000001</v>
      </c>
      <c r="BJ837" s="2126">
        <v>641.59190000000001</v>
      </c>
      <c r="BK837" s="2126">
        <v>0</v>
      </c>
      <c r="BL837" s="2126">
        <v>0</v>
      </c>
      <c r="BM837" s="2126">
        <v>0</v>
      </c>
      <c r="BN837" s="2126">
        <v>0</v>
      </c>
      <c r="BO837" s="2126">
        <v>0</v>
      </c>
      <c r="BP837" s="2126">
        <v>0</v>
      </c>
      <c r="BQ837" s="2126">
        <v>0</v>
      </c>
      <c r="BR837" s="2126">
        <v>0</v>
      </c>
    </row>
    <row r="838" spans="1:70" s="1765" customFormat="1" ht="49.5">
      <c r="A838" s="1272">
        <v>4000</v>
      </c>
      <c r="B838" s="971" t="s">
        <v>1316</v>
      </c>
      <c r="C838" s="1272">
        <v>4500</v>
      </c>
      <c r="D838" s="971" t="s">
        <v>452</v>
      </c>
      <c r="E838" s="971" t="s">
        <v>1546</v>
      </c>
      <c r="F838" s="971" t="s">
        <v>454</v>
      </c>
      <c r="G838" s="971">
        <v>4512</v>
      </c>
      <c r="H838" s="971" t="s">
        <v>456</v>
      </c>
      <c r="I838" s="1273"/>
      <c r="J838" s="971" t="s">
        <v>124</v>
      </c>
      <c r="K838" s="971" t="s">
        <v>784</v>
      </c>
      <c r="L838" s="971" t="s">
        <v>2852</v>
      </c>
      <c r="M838" s="971" t="s">
        <v>458</v>
      </c>
      <c r="N838" s="971" t="s">
        <v>127</v>
      </c>
      <c r="O838" s="971" t="s">
        <v>215</v>
      </c>
      <c r="P838" s="971" t="s">
        <v>181</v>
      </c>
      <c r="Q838" s="971" t="s">
        <v>1631</v>
      </c>
      <c r="R838" s="1266"/>
      <c r="S838" s="2106">
        <v>36</v>
      </c>
      <c r="T838" s="1266" t="s">
        <v>136</v>
      </c>
      <c r="U838" s="1742">
        <v>0.22416666666666665</v>
      </c>
      <c r="V838" s="1742">
        <v>2.8020833333333335</v>
      </c>
      <c r="W838" s="1742">
        <v>19.758049999999997</v>
      </c>
      <c r="X838" s="1742">
        <v>30.905858333333335</v>
      </c>
      <c r="Y838" s="2106">
        <v>53.46599166666666</v>
      </c>
      <c r="Z838" s="2106">
        <v>8.07</v>
      </c>
      <c r="AA838" s="2106">
        <v>100.875</v>
      </c>
      <c r="AB838" s="2106">
        <v>711.2897999999999</v>
      </c>
      <c r="AC838" s="2106">
        <v>1112.6109000000001</v>
      </c>
      <c r="AD838" s="1744">
        <v>1924.7757000000001</v>
      </c>
      <c r="AE838" s="2126">
        <v>1</v>
      </c>
      <c r="AF838" s="2126">
        <v>36</v>
      </c>
      <c r="AG838" s="1212">
        <v>1</v>
      </c>
      <c r="AH838" s="1212">
        <v>0</v>
      </c>
      <c r="AI838" s="1212">
        <v>0</v>
      </c>
      <c r="AJ838" s="1212">
        <v>1</v>
      </c>
      <c r="AK838" s="2126">
        <v>1924.7757000000001</v>
      </c>
      <c r="AL838" s="2126">
        <v>0</v>
      </c>
      <c r="AM838" s="2126">
        <v>0</v>
      </c>
      <c r="AN838" s="2126">
        <v>1924.7757000000001</v>
      </c>
      <c r="AO838" s="1743" t="s">
        <v>85</v>
      </c>
      <c r="AP838" s="1743" t="s">
        <v>90</v>
      </c>
      <c r="AQ838" s="1764">
        <v>2019</v>
      </c>
      <c r="AR838" s="1743" t="s">
        <v>87</v>
      </c>
      <c r="AS838" s="2135"/>
      <c r="AT838" s="2135"/>
      <c r="AU838" s="1212">
        <v>0.33333333333333331</v>
      </c>
      <c r="AV838" s="1212">
        <v>0.33333333333333331</v>
      </c>
      <c r="AW838" s="1212">
        <v>0.33333333333333331</v>
      </c>
      <c r="AX838" s="1212"/>
      <c r="AY838" s="1212"/>
      <c r="AZ838" s="1212"/>
      <c r="BA838" s="1212"/>
      <c r="BB838" s="1212"/>
      <c r="BC838" s="1212"/>
      <c r="BD838" s="1212"/>
      <c r="BE838" s="1212"/>
      <c r="BF838" s="2126">
        <v>0</v>
      </c>
      <c r="BG838" s="2126">
        <v>0</v>
      </c>
      <c r="BH838" s="2126">
        <v>641.59190000000001</v>
      </c>
      <c r="BI838" s="2126">
        <v>641.59190000000001</v>
      </c>
      <c r="BJ838" s="2126">
        <v>641.59190000000001</v>
      </c>
      <c r="BK838" s="2126">
        <v>0</v>
      </c>
      <c r="BL838" s="2126">
        <v>0</v>
      </c>
      <c r="BM838" s="2126">
        <v>0</v>
      </c>
      <c r="BN838" s="2126">
        <v>0</v>
      </c>
      <c r="BO838" s="2126">
        <v>0</v>
      </c>
      <c r="BP838" s="2126">
        <v>0</v>
      </c>
      <c r="BQ838" s="2126">
        <v>0</v>
      </c>
      <c r="BR838" s="2126">
        <v>0</v>
      </c>
    </row>
    <row r="839" spans="1:70" s="1765" customFormat="1" ht="49.5">
      <c r="A839" s="1272">
        <v>4000</v>
      </c>
      <c r="B839" s="971" t="s">
        <v>1316</v>
      </c>
      <c r="C839" s="1272">
        <v>4500</v>
      </c>
      <c r="D839" s="971" t="s">
        <v>452</v>
      </c>
      <c r="E839" s="971" t="s">
        <v>1546</v>
      </c>
      <c r="F839" s="971" t="s">
        <v>454</v>
      </c>
      <c r="G839" s="971">
        <v>4512</v>
      </c>
      <c r="H839" s="971" t="s">
        <v>456</v>
      </c>
      <c r="I839" s="1273"/>
      <c r="J839" s="971" t="s">
        <v>124</v>
      </c>
      <c r="K839" s="971" t="s">
        <v>784</v>
      </c>
      <c r="L839" s="971" t="s">
        <v>2852</v>
      </c>
      <c r="M839" s="971" t="s">
        <v>458</v>
      </c>
      <c r="N839" s="971" t="s">
        <v>127</v>
      </c>
      <c r="O839" s="971" t="s">
        <v>215</v>
      </c>
      <c r="P839" s="971"/>
      <c r="Q839" s="971" t="s">
        <v>1632</v>
      </c>
      <c r="R839" s="1266"/>
      <c r="S839" s="2106">
        <v>400</v>
      </c>
      <c r="T839" s="1266" t="s">
        <v>136</v>
      </c>
      <c r="U839" s="1742">
        <v>0.22416666666666665</v>
      </c>
      <c r="V839" s="1742">
        <v>2.8020833333333335</v>
      </c>
      <c r="W839" s="1742">
        <v>19.758049999999997</v>
      </c>
      <c r="X839" s="1742">
        <v>30.905858333333335</v>
      </c>
      <c r="Y839" s="2106">
        <v>53.46599166666666</v>
      </c>
      <c r="Z839" s="2106">
        <v>89.666666666666657</v>
      </c>
      <c r="AA839" s="2106">
        <v>1120.8333333333335</v>
      </c>
      <c r="AB839" s="2106">
        <v>7903.2199999999993</v>
      </c>
      <c r="AC839" s="2106">
        <v>12362.343333333334</v>
      </c>
      <c r="AD839" s="1744">
        <v>21386.396666666667</v>
      </c>
      <c r="AE839" s="2126">
        <v>1</v>
      </c>
      <c r="AF839" s="2126">
        <v>400</v>
      </c>
      <c r="AG839" s="1212">
        <v>1</v>
      </c>
      <c r="AH839" s="1212">
        <v>0</v>
      </c>
      <c r="AI839" s="1212">
        <v>0</v>
      </c>
      <c r="AJ839" s="1212">
        <v>1</v>
      </c>
      <c r="AK839" s="2126">
        <v>21386.396666666667</v>
      </c>
      <c r="AL839" s="2126">
        <v>0</v>
      </c>
      <c r="AM839" s="2126">
        <v>0</v>
      </c>
      <c r="AN839" s="2126">
        <v>21386.396666666667</v>
      </c>
      <c r="AO839" s="1743" t="s">
        <v>85</v>
      </c>
      <c r="AP839" s="1743" t="s">
        <v>90</v>
      </c>
      <c r="AQ839" s="1764">
        <v>2021</v>
      </c>
      <c r="AR839" s="1743" t="s">
        <v>87</v>
      </c>
      <c r="AS839" s="2135"/>
      <c r="AT839" s="2135"/>
      <c r="AU839" s="1212">
        <v>0.33333333333333331</v>
      </c>
      <c r="AV839" s="1212">
        <v>0.33333333333333331</v>
      </c>
      <c r="AW839" s="1212">
        <v>0.33333333333333331</v>
      </c>
      <c r="AX839" s="1212"/>
      <c r="AY839" s="1212"/>
      <c r="AZ839" s="1212"/>
      <c r="BA839" s="1212"/>
      <c r="BB839" s="1212"/>
      <c r="BC839" s="1212"/>
      <c r="BD839" s="1212"/>
      <c r="BE839" s="1212"/>
      <c r="BF839" s="2126">
        <v>0</v>
      </c>
      <c r="BG839" s="2126">
        <v>0</v>
      </c>
      <c r="BH839" s="2126">
        <v>7128.7988888888885</v>
      </c>
      <c r="BI839" s="2126">
        <v>7128.7988888888885</v>
      </c>
      <c r="BJ839" s="2126">
        <v>7128.7988888888885</v>
      </c>
      <c r="BK839" s="2126">
        <v>0</v>
      </c>
      <c r="BL839" s="2126">
        <v>0</v>
      </c>
      <c r="BM839" s="2126">
        <v>0</v>
      </c>
      <c r="BN839" s="2126">
        <v>0</v>
      </c>
      <c r="BO839" s="2126">
        <v>0</v>
      </c>
      <c r="BP839" s="2126">
        <v>0</v>
      </c>
      <c r="BQ839" s="2126">
        <v>0</v>
      </c>
      <c r="BR839" s="2126">
        <v>0</v>
      </c>
    </row>
    <row r="840" spans="1:70" s="1765" customFormat="1" ht="49.5">
      <c r="A840" s="1272">
        <v>4000</v>
      </c>
      <c r="B840" s="971" t="s">
        <v>1316</v>
      </c>
      <c r="C840" s="1272">
        <v>4500</v>
      </c>
      <c r="D840" s="971" t="s">
        <v>452</v>
      </c>
      <c r="E840" s="971" t="s">
        <v>1546</v>
      </c>
      <c r="F840" s="971" t="s">
        <v>454</v>
      </c>
      <c r="G840" s="971">
        <v>4512</v>
      </c>
      <c r="H840" s="971" t="s">
        <v>456</v>
      </c>
      <c r="I840" s="1273"/>
      <c r="J840" s="971" t="s">
        <v>124</v>
      </c>
      <c r="K840" s="971" t="s">
        <v>784</v>
      </c>
      <c r="L840" s="971" t="s">
        <v>2852</v>
      </c>
      <c r="M840" s="971" t="s">
        <v>458</v>
      </c>
      <c r="N840" s="971" t="s">
        <v>127</v>
      </c>
      <c r="O840" s="971" t="s">
        <v>215</v>
      </c>
      <c r="P840" s="971" t="s">
        <v>181</v>
      </c>
      <c r="Q840" s="971" t="s">
        <v>1633</v>
      </c>
      <c r="R840" s="1266"/>
      <c r="S840" s="2106">
        <v>72</v>
      </c>
      <c r="T840" s="1266" t="s">
        <v>136</v>
      </c>
      <c r="U840" s="1742">
        <v>0.22416666666666665</v>
      </c>
      <c r="V840" s="1742">
        <v>2.8020833333333335</v>
      </c>
      <c r="W840" s="1742">
        <v>19.758049999999997</v>
      </c>
      <c r="X840" s="1742">
        <v>30.905858333333335</v>
      </c>
      <c r="Y840" s="2106">
        <v>53.46599166666666</v>
      </c>
      <c r="Z840" s="2106">
        <v>16.14</v>
      </c>
      <c r="AA840" s="2106">
        <v>201.75</v>
      </c>
      <c r="AB840" s="2106">
        <v>1422.5795999999998</v>
      </c>
      <c r="AC840" s="2106">
        <v>2225.2218000000003</v>
      </c>
      <c r="AD840" s="1744">
        <v>3849.5514000000003</v>
      </c>
      <c r="AE840" s="2126">
        <v>1</v>
      </c>
      <c r="AF840" s="2126">
        <v>72</v>
      </c>
      <c r="AG840" s="1212">
        <v>1</v>
      </c>
      <c r="AH840" s="1212">
        <v>0</v>
      </c>
      <c r="AI840" s="1212">
        <v>0</v>
      </c>
      <c r="AJ840" s="1212">
        <v>1</v>
      </c>
      <c r="AK840" s="2126">
        <v>3849.5514000000003</v>
      </c>
      <c r="AL840" s="2126">
        <v>0</v>
      </c>
      <c r="AM840" s="2126">
        <v>0</v>
      </c>
      <c r="AN840" s="2126">
        <v>3849.5514000000003</v>
      </c>
      <c r="AO840" s="1743" t="s">
        <v>85</v>
      </c>
      <c r="AP840" s="1743" t="s">
        <v>90</v>
      </c>
      <c r="AQ840" s="1764">
        <v>2019</v>
      </c>
      <c r="AR840" s="1743" t="s">
        <v>87</v>
      </c>
      <c r="AS840" s="2135"/>
      <c r="AT840" s="2135"/>
      <c r="AU840" s="1212">
        <v>0.33333333333333331</v>
      </c>
      <c r="AV840" s="1212">
        <v>0.33333333333333331</v>
      </c>
      <c r="AW840" s="1212">
        <v>0.33333333333333331</v>
      </c>
      <c r="AX840" s="1212"/>
      <c r="AY840" s="1212"/>
      <c r="AZ840" s="1212"/>
      <c r="BA840" s="1212"/>
      <c r="BB840" s="1212"/>
      <c r="BC840" s="1212"/>
      <c r="BD840" s="1212"/>
      <c r="BE840" s="1212"/>
      <c r="BF840" s="2126">
        <v>0</v>
      </c>
      <c r="BG840" s="2126">
        <v>0</v>
      </c>
      <c r="BH840" s="2126">
        <v>1283.1838</v>
      </c>
      <c r="BI840" s="2126">
        <v>1283.1838</v>
      </c>
      <c r="BJ840" s="2126">
        <v>1283.1838</v>
      </c>
      <c r="BK840" s="2126">
        <v>0</v>
      </c>
      <c r="BL840" s="2126">
        <v>0</v>
      </c>
      <c r="BM840" s="2126">
        <v>0</v>
      </c>
      <c r="BN840" s="2126">
        <v>0</v>
      </c>
      <c r="BO840" s="2126">
        <v>0</v>
      </c>
      <c r="BP840" s="2126">
        <v>0</v>
      </c>
      <c r="BQ840" s="2126">
        <v>0</v>
      </c>
      <c r="BR840" s="2126">
        <v>0</v>
      </c>
    </row>
    <row r="841" spans="1:70" s="1765" customFormat="1" ht="49.5">
      <c r="A841" s="1272">
        <v>4000</v>
      </c>
      <c r="B841" s="971" t="s">
        <v>1316</v>
      </c>
      <c r="C841" s="1272">
        <v>4500</v>
      </c>
      <c r="D841" s="971" t="s">
        <v>452</v>
      </c>
      <c r="E841" s="971" t="s">
        <v>1546</v>
      </c>
      <c r="F841" s="971" t="s">
        <v>454</v>
      </c>
      <c r="G841" s="971">
        <v>4512</v>
      </c>
      <c r="H841" s="971" t="s">
        <v>456</v>
      </c>
      <c r="I841" s="1273"/>
      <c r="J841" s="971" t="s">
        <v>124</v>
      </c>
      <c r="K841" s="971" t="s">
        <v>784</v>
      </c>
      <c r="L841" s="971" t="s">
        <v>2852</v>
      </c>
      <c r="M841" s="971" t="s">
        <v>458</v>
      </c>
      <c r="N841" s="971" t="s">
        <v>127</v>
      </c>
      <c r="O841" s="971" t="s">
        <v>215</v>
      </c>
      <c r="P841" s="971" t="s">
        <v>181</v>
      </c>
      <c r="Q841" s="971" t="s">
        <v>1634</v>
      </c>
      <c r="R841" s="1266"/>
      <c r="S841" s="2106">
        <v>334</v>
      </c>
      <c r="T841" s="1266" t="s">
        <v>136</v>
      </c>
      <c r="U841" s="1742">
        <v>0.22416666666666665</v>
      </c>
      <c r="V841" s="1742">
        <v>2.8020833333333335</v>
      </c>
      <c r="W841" s="1742">
        <v>19.758049999999997</v>
      </c>
      <c r="X841" s="1742">
        <v>30.905858333333335</v>
      </c>
      <c r="Y841" s="2106">
        <v>53.46599166666666</v>
      </c>
      <c r="Z841" s="2106">
        <v>74.871666666666655</v>
      </c>
      <c r="AA841" s="2106">
        <v>935.89583333333337</v>
      </c>
      <c r="AB841" s="2106">
        <v>6599.1886999999988</v>
      </c>
      <c r="AC841" s="2106">
        <v>10322.556683333334</v>
      </c>
      <c r="AD841" s="1744">
        <v>17857.641216666667</v>
      </c>
      <c r="AE841" s="2126">
        <v>1</v>
      </c>
      <c r="AF841" s="2126">
        <v>334</v>
      </c>
      <c r="AG841" s="1212">
        <v>1</v>
      </c>
      <c r="AH841" s="1212">
        <v>0</v>
      </c>
      <c r="AI841" s="1212">
        <v>0</v>
      </c>
      <c r="AJ841" s="1212">
        <v>1</v>
      </c>
      <c r="AK841" s="2126">
        <v>17857.641216666667</v>
      </c>
      <c r="AL841" s="2126">
        <v>0</v>
      </c>
      <c r="AM841" s="2126">
        <v>0</v>
      </c>
      <c r="AN841" s="2126">
        <v>17857.641216666667</v>
      </c>
      <c r="AO841" s="1743" t="s">
        <v>85</v>
      </c>
      <c r="AP841" s="1743" t="s">
        <v>90</v>
      </c>
      <c r="AQ841" s="1764">
        <v>2019</v>
      </c>
      <c r="AR841" s="1743" t="s">
        <v>87</v>
      </c>
      <c r="AS841" s="2135"/>
      <c r="AT841" s="2135"/>
      <c r="AU841" s="1212">
        <v>0.33333333333333331</v>
      </c>
      <c r="AV841" s="1212">
        <v>0.33333333333333331</v>
      </c>
      <c r="AW841" s="1212">
        <v>0.33333333333333331</v>
      </c>
      <c r="AX841" s="1212"/>
      <c r="AY841" s="1212"/>
      <c r="AZ841" s="1212"/>
      <c r="BA841" s="1212"/>
      <c r="BB841" s="1212"/>
      <c r="BC841" s="1212"/>
      <c r="BD841" s="1212"/>
      <c r="BE841" s="1212"/>
      <c r="BF841" s="2126">
        <v>0</v>
      </c>
      <c r="BG841" s="2126">
        <v>0</v>
      </c>
      <c r="BH841" s="2126">
        <v>5952.5470722222217</v>
      </c>
      <c r="BI841" s="2126">
        <v>5952.5470722222217</v>
      </c>
      <c r="BJ841" s="2126">
        <v>5952.5470722222217</v>
      </c>
      <c r="BK841" s="2126">
        <v>0</v>
      </c>
      <c r="BL841" s="2126">
        <v>0</v>
      </c>
      <c r="BM841" s="2126">
        <v>0</v>
      </c>
      <c r="BN841" s="2126">
        <v>0</v>
      </c>
      <c r="BO841" s="2126">
        <v>0</v>
      </c>
      <c r="BP841" s="2126">
        <v>0</v>
      </c>
      <c r="BQ841" s="2126">
        <v>0</v>
      </c>
      <c r="BR841" s="2126">
        <v>0</v>
      </c>
    </row>
    <row r="842" spans="1:70" s="1765" customFormat="1" ht="49.5">
      <c r="A842" s="1272">
        <v>4000</v>
      </c>
      <c r="B842" s="971" t="s">
        <v>1316</v>
      </c>
      <c r="C842" s="1272">
        <v>4500</v>
      </c>
      <c r="D842" s="971" t="s">
        <v>452</v>
      </c>
      <c r="E842" s="971" t="s">
        <v>1546</v>
      </c>
      <c r="F842" s="971" t="s">
        <v>454</v>
      </c>
      <c r="G842" s="971">
        <v>4512</v>
      </c>
      <c r="H842" s="971" t="s">
        <v>456</v>
      </c>
      <c r="I842" s="1273"/>
      <c r="J842" s="971" t="s">
        <v>124</v>
      </c>
      <c r="K842" s="971" t="s">
        <v>784</v>
      </c>
      <c r="L842" s="971" t="s">
        <v>2852</v>
      </c>
      <c r="M842" s="971" t="s">
        <v>458</v>
      </c>
      <c r="N842" s="971" t="s">
        <v>127</v>
      </c>
      <c r="O842" s="971" t="s">
        <v>215</v>
      </c>
      <c r="P842" s="971" t="s">
        <v>181</v>
      </c>
      <c r="Q842" s="971" t="s">
        <v>1635</v>
      </c>
      <c r="R842" s="1266"/>
      <c r="S842" s="2106">
        <v>132</v>
      </c>
      <c r="T842" s="1266" t="s">
        <v>136</v>
      </c>
      <c r="U842" s="1742">
        <v>0.22416666666666665</v>
      </c>
      <c r="V842" s="1742">
        <v>2.8020833333333335</v>
      </c>
      <c r="W842" s="1742">
        <v>19.758049999999997</v>
      </c>
      <c r="X842" s="1742">
        <v>30.905858333333335</v>
      </c>
      <c r="Y842" s="2106">
        <v>53.46599166666666</v>
      </c>
      <c r="Z842" s="2106">
        <v>29.59</v>
      </c>
      <c r="AA842" s="2106">
        <v>369.875</v>
      </c>
      <c r="AB842" s="2106">
        <v>2608.0625999999997</v>
      </c>
      <c r="AC842" s="2106">
        <v>4079.5733</v>
      </c>
      <c r="AD842" s="1744">
        <v>7057.5108999999993</v>
      </c>
      <c r="AE842" s="2126">
        <v>1</v>
      </c>
      <c r="AF842" s="2126">
        <v>132</v>
      </c>
      <c r="AG842" s="1212">
        <v>1</v>
      </c>
      <c r="AH842" s="1212">
        <v>0</v>
      </c>
      <c r="AI842" s="1212">
        <v>0</v>
      </c>
      <c r="AJ842" s="1212">
        <v>1</v>
      </c>
      <c r="AK842" s="2126">
        <v>7057.5108999999993</v>
      </c>
      <c r="AL842" s="2126">
        <v>0</v>
      </c>
      <c r="AM842" s="2126">
        <v>0</v>
      </c>
      <c r="AN842" s="2126">
        <v>7057.5108999999993</v>
      </c>
      <c r="AO842" s="1743" t="s">
        <v>85</v>
      </c>
      <c r="AP842" s="1743" t="s">
        <v>90</v>
      </c>
      <c r="AQ842" s="1764">
        <v>2019</v>
      </c>
      <c r="AR842" s="1743" t="s">
        <v>87</v>
      </c>
      <c r="AS842" s="2135"/>
      <c r="AT842" s="2135"/>
      <c r="AU842" s="1212">
        <v>0.33333333333333331</v>
      </c>
      <c r="AV842" s="1212">
        <v>0.33333333333333331</v>
      </c>
      <c r="AW842" s="1212">
        <v>0.33333333333333331</v>
      </c>
      <c r="AX842" s="1212"/>
      <c r="AY842" s="1212"/>
      <c r="AZ842" s="1212"/>
      <c r="BA842" s="1212"/>
      <c r="BB842" s="1212"/>
      <c r="BC842" s="1212"/>
      <c r="BD842" s="1212"/>
      <c r="BE842" s="1212"/>
      <c r="BF842" s="2126">
        <v>0</v>
      </c>
      <c r="BG842" s="2126">
        <v>0</v>
      </c>
      <c r="BH842" s="2126">
        <v>2352.5036333333328</v>
      </c>
      <c r="BI842" s="2126">
        <v>2352.5036333333328</v>
      </c>
      <c r="BJ842" s="2126">
        <v>2352.5036333333328</v>
      </c>
      <c r="BK842" s="2126">
        <v>0</v>
      </c>
      <c r="BL842" s="2126">
        <v>0</v>
      </c>
      <c r="BM842" s="2126">
        <v>0</v>
      </c>
      <c r="BN842" s="2126">
        <v>0</v>
      </c>
      <c r="BO842" s="2126">
        <v>0</v>
      </c>
      <c r="BP842" s="2126">
        <v>0</v>
      </c>
      <c r="BQ842" s="2126">
        <v>0</v>
      </c>
      <c r="BR842" s="2126">
        <v>0</v>
      </c>
    </row>
    <row r="843" spans="1:70" s="1765" customFormat="1" ht="49.5">
      <c r="A843" s="1272">
        <v>4000</v>
      </c>
      <c r="B843" s="971" t="s">
        <v>1316</v>
      </c>
      <c r="C843" s="1272">
        <v>4500</v>
      </c>
      <c r="D843" s="971" t="s">
        <v>452</v>
      </c>
      <c r="E843" s="971" t="s">
        <v>1546</v>
      </c>
      <c r="F843" s="971" t="s">
        <v>454</v>
      </c>
      <c r="G843" s="971">
        <v>4512</v>
      </c>
      <c r="H843" s="971" t="s">
        <v>456</v>
      </c>
      <c r="I843" s="1273"/>
      <c r="J843" s="971" t="s">
        <v>124</v>
      </c>
      <c r="K843" s="971" t="s">
        <v>784</v>
      </c>
      <c r="L843" s="971" t="s">
        <v>2852</v>
      </c>
      <c r="M843" s="971" t="s">
        <v>458</v>
      </c>
      <c r="N843" s="971" t="s">
        <v>127</v>
      </c>
      <c r="O843" s="971" t="s">
        <v>215</v>
      </c>
      <c r="P843" s="971" t="s">
        <v>181</v>
      </c>
      <c r="Q843" s="971" t="s">
        <v>1636</v>
      </c>
      <c r="R843" s="1266"/>
      <c r="S843" s="2106">
        <v>66</v>
      </c>
      <c r="T843" s="1266" t="s">
        <v>136</v>
      </c>
      <c r="U843" s="1742">
        <v>0.22416666666666665</v>
      </c>
      <c r="V843" s="1742">
        <v>2.8020833333333335</v>
      </c>
      <c r="W843" s="1742">
        <v>19.758049999999997</v>
      </c>
      <c r="X843" s="1742">
        <v>30.905858333333335</v>
      </c>
      <c r="Y843" s="2106">
        <v>53.46599166666666</v>
      </c>
      <c r="Z843" s="2106">
        <v>14.795</v>
      </c>
      <c r="AA843" s="2106">
        <v>184.9375</v>
      </c>
      <c r="AB843" s="2106">
        <v>1304.0312999999999</v>
      </c>
      <c r="AC843" s="2106">
        <v>2039.78665</v>
      </c>
      <c r="AD843" s="1744">
        <v>3528.7554499999997</v>
      </c>
      <c r="AE843" s="2126">
        <v>1</v>
      </c>
      <c r="AF843" s="2126">
        <v>66</v>
      </c>
      <c r="AG843" s="1212">
        <v>1</v>
      </c>
      <c r="AH843" s="1212">
        <v>0</v>
      </c>
      <c r="AI843" s="1212">
        <v>0</v>
      </c>
      <c r="AJ843" s="1212">
        <v>1</v>
      </c>
      <c r="AK843" s="2126">
        <v>3528.7554499999997</v>
      </c>
      <c r="AL843" s="2126">
        <v>0</v>
      </c>
      <c r="AM843" s="2126">
        <v>0</v>
      </c>
      <c r="AN843" s="2126">
        <v>3528.7554499999997</v>
      </c>
      <c r="AO843" s="1743" t="s">
        <v>85</v>
      </c>
      <c r="AP843" s="1743" t="s">
        <v>90</v>
      </c>
      <c r="AQ843" s="1764">
        <v>2019</v>
      </c>
      <c r="AR843" s="1743" t="s">
        <v>87</v>
      </c>
      <c r="AS843" s="2135"/>
      <c r="AT843" s="2135"/>
      <c r="AU843" s="1212">
        <v>0.33333333333333331</v>
      </c>
      <c r="AV843" s="1212">
        <v>0.33333333333333331</v>
      </c>
      <c r="AW843" s="1212">
        <v>0.33333333333333331</v>
      </c>
      <c r="AX843" s="1212"/>
      <c r="AY843" s="1212"/>
      <c r="AZ843" s="1212"/>
      <c r="BA843" s="1212"/>
      <c r="BB843" s="1212"/>
      <c r="BC843" s="1212"/>
      <c r="BD843" s="1212"/>
      <c r="BE843" s="1212"/>
      <c r="BF843" s="2126">
        <v>0</v>
      </c>
      <c r="BG843" s="2126">
        <v>0</v>
      </c>
      <c r="BH843" s="2126">
        <v>1176.2518166666664</v>
      </c>
      <c r="BI843" s="2126">
        <v>1176.2518166666664</v>
      </c>
      <c r="BJ843" s="2126">
        <v>1176.2518166666664</v>
      </c>
      <c r="BK843" s="2126">
        <v>0</v>
      </c>
      <c r="BL843" s="2126">
        <v>0</v>
      </c>
      <c r="BM843" s="2126">
        <v>0</v>
      </c>
      <c r="BN843" s="2126">
        <v>0</v>
      </c>
      <c r="BO843" s="2126">
        <v>0</v>
      </c>
      <c r="BP843" s="2126">
        <v>0</v>
      </c>
      <c r="BQ843" s="2126">
        <v>0</v>
      </c>
      <c r="BR843" s="2126">
        <v>0</v>
      </c>
    </row>
    <row r="844" spans="1:70" s="1765" customFormat="1" ht="49.5">
      <c r="A844" s="1272">
        <v>4000</v>
      </c>
      <c r="B844" s="971" t="s">
        <v>1316</v>
      </c>
      <c r="C844" s="1272">
        <v>4500</v>
      </c>
      <c r="D844" s="971" t="s">
        <v>452</v>
      </c>
      <c r="E844" s="971" t="s">
        <v>1546</v>
      </c>
      <c r="F844" s="971" t="s">
        <v>454</v>
      </c>
      <c r="G844" s="971">
        <v>4512</v>
      </c>
      <c r="H844" s="971" t="s">
        <v>456</v>
      </c>
      <c r="I844" s="1273"/>
      <c r="J844" s="971" t="s">
        <v>124</v>
      </c>
      <c r="K844" s="971" t="s">
        <v>784</v>
      </c>
      <c r="L844" s="971" t="s">
        <v>2852</v>
      </c>
      <c r="M844" s="971" t="s">
        <v>458</v>
      </c>
      <c r="N844" s="971" t="s">
        <v>127</v>
      </c>
      <c r="O844" s="971" t="s">
        <v>215</v>
      </c>
      <c r="P844" s="971" t="s">
        <v>181</v>
      </c>
      <c r="Q844" s="971" t="s">
        <v>1637</v>
      </c>
      <c r="R844" s="1266"/>
      <c r="S844" s="2106">
        <v>40</v>
      </c>
      <c r="T844" s="1266" t="s">
        <v>136</v>
      </c>
      <c r="U844" s="1742">
        <v>0.22416666666666665</v>
      </c>
      <c r="V844" s="1742">
        <v>2.8020833333333335</v>
      </c>
      <c r="W844" s="1742">
        <v>19.758049999999997</v>
      </c>
      <c r="X844" s="1742">
        <v>30.905858333333335</v>
      </c>
      <c r="Y844" s="2106">
        <v>53.46599166666666</v>
      </c>
      <c r="Z844" s="2106">
        <v>8.9666666666666668</v>
      </c>
      <c r="AA844" s="2106">
        <v>112.08333333333334</v>
      </c>
      <c r="AB844" s="2106">
        <v>790.32199999999989</v>
      </c>
      <c r="AC844" s="2106">
        <v>1236.2343333333333</v>
      </c>
      <c r="AD844" s="1744">
        <v>2138.6396666666665</v>
      </c>
      <c r="AE844" s="2126">
        <v>1</v>
      </c>
      <c r="AF844" s="2126">
        <v>40</v>
      </c>
      <c r="AG844" s="1212">
        <v>1</v>
      </c>
      <c r="AH844" s="1212">
        <v>0</v>
      </c>
      <c r="AI844" s="1212">
        <v>0</v>
      </c>
      <c r="AJ844" s="1212">
        <v>1</v>
      </c>
      <c r="AK844" s="2126">
        <v>2138.6396666666665</v>
      </c>
      <c r="AL844" s="2126">
        <v>0</v>
      </c>
      <c r="AM844" s="2126">
        <v>0</v>
      </c>
      <c r="AN844" s="2126">
        <v>2138.6396666666665</v>
      </c>
      <c r="AO844" s="1743" t="s">
        <v>85</v>
      </c>
      <c r="AP844" s="1743" t="s">
        <v>90</v>
      </c>
      <c r="AQ844" s="1764">
        <v>2019</v>
      </c>
      <c r="AR844" s="1743" t="s">
        <v>87</v>
      </c>
      <c r="AS844" s="2135"/>
      <c r="AT844" s="2135"/>
      <c r="AU844" s="1212">
        <v>0.33333333333333331</v>
      </c>
      <c r="AV844" s="1212">
        <v>0.33333333333333331</v>
      </c>
      <c r="AW844" s="1212">
        <v>0.33333333333333331</v>
      </c>
      <c r="AX844" s="1212"/>
      <c r="AY844" s="1212"/>
      <c r="AZ844" s="1212"/>
      <c r="BA844" s="1212"/>
      <c r="BB844" s="1212"/>
      <c r="BC844" s="1212"/>
      <c r="BD844" s="1212"/>
      <c r="BE844" s="1212"/>
      <c r="BF844" s="2126">
        <v>0</v>
      </c>
      <c r="BG844" s="2126">
        <v>0</v>
      </c>
      <c r="BH844" s="2126">
        <v>712.87988888888879</v>
      </c>
      <c r="BI844" s="2126">
        <v>712.87988888888879</v>
      </c>
      <c r="BJ844" s="2126">
        <v>712.87988888888879</v>
      </c>
      <c r="BK844" s="2126">
        <v>0</v>
      </c>
      <c r="BL844" s="2126">
        <v>0</v>
      </c>
      <c r="BM844" s="2126">
        <v>0</v>
      </c>
      <c r="BN844" s="2126">
        <v>0</v>
      </c>
      <c r="BO844" s="2126">
        <v>0</v>
      </c>
      <c r="BP844" s="2126">
        <v>0</v>
      </c>
      <c r="BQ844" s="2126">
        <v>0</v>
      </c>
      <c r="BR844" s="2126">
        <v>0</v>
      </c>
    </row>
    <row r="845" spans="1:70" s="1765" customFormat="1" ht="49.5">
      <c r="A845" s="1272">
        <v>4000</v>
      </c>
      <c r="B845" s="971" t="s">
        <v>1316</v>
      </c>
      <c r="C845" s="1272">
        <v>4500</v>
      </c>
      <c r="D845" s="971" t="s">
        <v>452</v>
      </c>
      <c r="E845" s="971" t="s">
        <v>1546</v>
      </c>
      <c r="F845" s="971" t="s">
        <v>454</v>
      </c>
      <c r="G845" s="971">
        <v>4512</v>
      </c>
      <c r="H845" s="971" t="s">
        <v>456</v>
      </c>
      <c r="I845" s="1273"/>
      <c r="J845" s="971" t="s">
        <v>124</v>
      </c>
      <c r="K845" s="971" t="s">
        <v>784</v>
      </c>
      <c r="L845" s="971" t="s">
        <v>2852</v>
      </c>
      <c r="M845" s="971" t="s">
        <v>458</v>
      </c>
      <c r="N845" s="971" t="s">
        <v>127</v>
      </c>
      <c r="O845" s="971" t="s">
        <v>215</v>
      </c>
      <c r="P845" s="971" t="s">
        <v>181</v>
      </c>
      <c r="Q845" s="971" t="s">
        <v>1638</v>
      </c>
      <c r="R845" s="1266"/>
      <c r="S845" s="2106">
        <v>72</v>
      </c>
      <c r="T845" s="1266" t="s">
        <v>136</v>
      </c>
      <c r="U845" s="1742">
        <v>0.22416666666666665</v>
      </c>
      <c r="V845" s="1742">
        <v>2.8020833333333335</v>
      </c>
      <c r="W845" s="1742">
        <v>19.758049999999997</v>
      </c>
      <c r="X845" s="1742">
        <v>30.905858333333335</v>
      </c>
      <c r="Y845" s="2106">
        <v>53.46599166666666</v>
      </c>
      <c r="Z845" s="2106">
        <v>16.14</v>
      </c>
      <c r="AA845" s="2106">
        <v>201.75</v>
      </c>
      <c r="AB845" s="2106">
        <v>1422.5795999999998</v>
      </c>
      <c r="AC845" s="2106">
        <v>2225.2218000000003</v>
      </c>
      <c r="AD845" s="1744">
        <v>3849.5514000000003</v>
      </c>
      <c r="AE845" s="2126">
        <v>1</v>
      </c>
      <c r="AF845" s="2126">
        <v>72</v>
      </c>
      <c r="AG845" s="1212">
        <v>1</v>
      </c>
      <c r="AH845" s="1212">
        <v>0</v>
      </c>
      <c r="AI845" s="1212">
        <v>0</v>
      </c>
      <c r="AJ845" s="1212">
        <v>1</v>
      </c>
      <c r="AK845" s="2126">
        <v>3849.5514000000003</v>
      </c>
      <c r="AL845" s="2126">
        <v>0</v>
      </c>
      <c r="AM845" s="2126">
        <v>0</v>
      </c>
      <c r="AN845" s="2126">
        <v>3849.5514000000003</v>
      </c>
      <c r="AO845" s="1743" t="s">
        <v>85</v>
      </c>
      <c r="AP845" s="1743" t="s">
        <v>90</v>
      </c>
      <c r="AQ845" s="1764">
        <v>2019</v>
      </c>
      <c r="AR845" s="1743" t="s">
        <v>87</v>
      </c>
      <c r="AS845" s="2135"/>
      <c r="AT845" s="2135"/>
      <c r="AU845" s="1212">
        <v>0.33333333333333331</v>
      </c>
      <c r="AV845" s="1212">
        <v>0.33333333333333331</v>
      </c>
      <c r="AW845" s="1212">
        <v>0.33333333333333331</v>
      </c>
      <c r="AX845" s="1212"/>
      <c r="AY845" s="1212"/>
      <c r="AZ845" s="1212"/>
      <c r="BA845" s="1212"/>
      <c r="BB845" s="1212"/>
      <c r="BC845" s="1212"/>
      <c r="BD845" s="1212"/>
      <c r="BE845" s="1212"/>
      <c r="BF845" s="2126">
        <v>0</v>
      </c>
      <c r="BG845" s="2126">
        <v>0</v>
      </c>
      <c r="BH845" s="2126">
        <v>1283.1838</v>
      </c>
      <c r="BI845" s="2126">
        <v>1283.1838</v>
      </c>
      <c r="BJ845" s="2126">
        <v>1283.1838</v>
      </c>
      <c r="BK845" s="2126">
        <v>0</v>
      </c>
      <c r="BL845" s="2126">
        <v>0</v>
      </c>
      <c r="BM845" s="2126">
        <v>0</v>
      </c>
      <c r="BN845" s="2126">
        <v>0</v>
      </c>
      <c r="BO845" s="2126">
        <v>0</v>
      </c>
      <c r="BP845" s="2126">
        <v>0</v>
      </c>
      <c r="BQ845" s="2126">
        <v>0</v>
      </c>
      <c r="BR845" s="2126">
        <v>0</v>
      </c>
    </row>
    <row r="846" spans="1:70" s="1765" customFormat="1" ht="49.5">
      <c r="A846" s="1272">
        <v>4000</v>
      </c>
      <c r="B846" s="971" t="s">
        <v>1316</v>
      </c>
      <c r="C846" s="1272">
        <v>4500</v>
      </c>
      <c r="D846" s="971" t="s">
        <v>452</v>
      </c>
      <c r="E846" s="971" t="s">
        <v>1546</v>
      </c>
      <c r="F846" s="971" t="s">
        <v>454</v>
      </c>
      <c r="G846" s="971">
        <v>4512</v>
      </c>
      <c r="H846" s="971" t="s">
        <v>456</v>
      </c>
      <c r="I846" s="1273"/>
      <c r="J846" s="971" t="s">
        <v>124</v>
      </c>
      <c r="K846" s="971" t="s">
        <v>784</v>
      </c>
      <c r="L846" s="971" t="s">
        <v>2852</v>
      </c>
      <c r="M846" s="971" t="s">
        <v>458</v>
      </c>
      <c r="N846" s="971" t="s">
        <v>127</v>
      </c>
      <c r="O846" s="971" t="s">
        <v>215</v>
      </c>
      <c r="P846" s="971" t="s">
        <v>181</v>
      </c>
      <c r="Q846" s="971" t="s">
        <v>1639</v>
      </c>
      <c r="R846" s="1266"/>
      <c r="S846" s="2106">
        <v>144</v>
      </c>
      <c r="T846" s="1266" t="s">
        <v>136</v>
      </c>
      <c r="U846" s="1742">
        <v>0.22416666666666665</v>
      </c>
      <c r="V846" s="1742">
        <v>2.8020833333333335</v>
      </c>
      <c r="W846" s="1742">
        <v>19.758049999999997</v>
      </c>
      <c r="X846" s="1742">
        <v>30.905858333333335</v>
      </c>
      <c r="Y846" s="2106">
        <v>53.46599166666666</v>
      </c>
      <c r="Z846" s="2106">
        <v>32.28</v>
      </c>
      <c r="AA846" s="2106">
        <v>403.5</v>
      </c>
      <c r="AB846" s="2106">
        <v>2845.1591999999996</v>
      </c>
      <c r="AC846" s="2106">
        <v>4450.4436000000005</v>
      </c>
      <c r="AD846" s="1744">
        <v>7699.1028000000006</v>
      </c>
      <c r="AE846" s="2126">
        <v>1</v>
      </c>
      <c r="AF846" s="2126">
        <v>144</v>
      </c>
      <c r="AG846" s="1212">
        <v>1</v>
      </c>
      <c r="AH846" s="1212">
        <v>0</v>
      </c>
      <c r="AI846" s="1212">
        <v>0</v>
      </c>
      <c r="AJ846" s="1212">
        <v>1</v>
      </c>
      <c r="AK846" s="2126">
        <v>7699.1028000000006</v>
      </c>
      <c r="AL846" s="2126">
        <v>0</v>
      </c>
      <c r="AM846" s="2126">
        <v>0</v>
      </c>
      <c r="AN846" s="2126">
        <v>7699.1028000000006</v>
      </c>
      <c r="AO846" s="1743" t="s">
        <v>85</v>
      </c>
      <c r="AP846" s="1743" t="s">
        <v>90</v>
      </c>
      <c r="AQ846" s="1764">
        <v>2019</v>
      </c>
      <c r="AR846" s="1743" t="s">
        <v>87</v>
      </c>
      <c r="AS846" s="2135"/>
      <c r="AT846" s="2135"/>
      <c r="AU846" s="1212">
        <v>0.33333333333333331</v>
      </c>
      <c r="AV846" s="1212">
        <v>0.33333333333333331</v>
      </c>
      <c r="AW846" s="1212">
        <v>0.33333333333333331</v>
      </c>
      <c r="AX846" s="1212"/>
      <c r="AY846" s="1212"/>
      <c r="AZ846" s="1212"/>
      <c r="BA846" s="1212"/>
      <c r="BB846" s="1212"/>
      <c r="BC846" s="1212"/>
      <c r="BD846" s="1212"/>
      <c r="BE846" s="1212"/>
      <c r="BF846" s="2126">
        <v>0</v>
      </c>
      <c r="BG846" s="2126">
        <v>0</v>
      </c>
      <c r="BH846" s="2126">
        <v>2566.3676</v>
      </c>
      <c r="BI846" s="2126">
        <v>2566.3676</v>
      </c>
      <c r="BJ846" s="2126">
        <v>2566.3676</v>
      </c>
      <c r="BK846" s="2126">
        <v>0</v>
      </c>
      <c r="BL846" s="2126">
        <v>0</v>
      </c>
      <c r="BM846" s="2126">
        <v>0</v>
      </c>
      <c r="BN846" s="2126">
        <v>0</v>
      </c>
      <c r="BO846" s="2126">
        <v>0</v>
      </c>
      <c r="BP846" s="2126">
        <v>0</v>
      </c>
      <c r="BQ846" s="2126">
        <v>0</v>
      </c>
      <c r="BR846" s="2126">
        <v>0</v>
      </c>
    </row>
    <row r="847" spans="1:70" s="1765" customFormat="1" ht="49.5">
      <c r="A847" s="1272">
        <v>4000</v>
      </c>
      <c r="B847" s="971" t="s">
        <v>1316</v>
      </c>
      <c r="C847" s="1272">
        <v>4500</v>
      </c>
      <c r="D847" s="971" t="s">
        <v>452</v>
      </c>
      <c r="E847" s="971" t="s">
        <v>1546</v>
      </c>
      <c r="F847" s="971" t="s">
        <v>454</v>
      </c>
      <c r="G847" s="971">
        <v>4512</v>
      </c>
      <c r="H847" s="971" t="s">
        <v>456</v>
      </c>
      <c r="I847" s="1273"/>
      <c r="J847" s="971" t="s">
        <v>124</v>
      </c>
      <c r="K847" s="971" t="s">
        <v>2857</v>
      </c>
      <c r="L847" s="971" t="s">
        <v>2858</v>
      </c>
      <c r="M847" s="971" t="s">
        <v>487</v>
      </c>
      <c r="N847" s="971" t="s">
        <v>488</v>
      </c>
      <c r="O847" s="971" t="s">
        <v>215</v>
      </c>
      <c r="P847" s="971"/>
      <c r="Q847" s="971" t="s">
        <v>1640</v>
      </c>
      <c r="R847" s="1266"/>
      <c r="S847" s="2106">
        <v>1218</v>
      </c>
      <c r="T847" s="1266" t="s">
        <v>136</v>
      </c>
      <c r="U847" s="1742">
        <v>0.56041666666666667</v>
      </c>
      <c r="V847" s="1742">
        <v>2.8020833333333335</v>
      </c>
      <c r="W847" s="1742">
        <v>49.395125</v>
      </c>
      <c r="X847" s="1742">
        <v>77.264645833333333</v>
      </c>
      <c r="Y847" s="2106">
        <v>129.46185416666665</v>
      </c>
      <c r="Z847" s="2106">
        <v>682.58749999999998</v>
      </c>
      <c r="AA847" s="2106">
        <v>3412.9375</v>
      </c>
      <c r="AB847" s="2106">
        <v>60163.26225</v>
      </c>
      <c r="AC847" s="2106">
        <v>94108.338625000004</v>
      </c>
      <c r="AD847" s="1744">
        <v>157684.538375</v>
      </c>
      <c r="AE847" s="2126">
        <v>1</v>
      </c>
      <c r="AF847" s="2126">
        <v>1218</v>
      </c>
      <c r="AG847" s="1212">
        <v>1</v>
      </c>
      <c r="AH847" s="1212">
        <v>0</v>
      </c>
      <c r="AI847" s="1212">
        <v>0</v>
      </c>
      <c r="AJ847" s="1212">
        <v>1</v>
      </c>
      <c r="AK847" s="2126">
        <v>157684.538375</v>
      </c>
      <c r="AL847" s="2126">
        <v>0</v>
      </c>
      <c r="AM847" s="2126">
        <v>0</v>
      </c>
      <c r="AN847" s="2126">
        <v>157684.538375</v>
      </c>
      <c r="AO847" s="1743" t="s">
        <v>131</v>
      </c>
      <c r="AP847" s="1743" t="s">
        <v>90</v>
      </c>
      <c r="AQ847" s="1764" t="s">
        <v>103</v>
      </c>
      <c r="AR847" s="1743" t="s">
        <v>87</v>
      </c>
      <c r="AS847" s="2135"/>
      <c r="AT847" s="2135"/>
      <c r="AU847" s="1212">
        <v>0.33333333333333331</v>
      </c>
      <c r="AV847" s="1212">
        <v>0.33333333333333331</v>
      </c>
      <c r="AW847" s="1212">
        <v>0.33333333333333331</v>
      </c>
      <c r="AX847" s="1212"/>
      <c r="AY847" s="1212"/>
      <c r="AZ847" s="1212"/>
      <c r="BA847" s="1212"/>
      <c r="BB847" s="1212"/>
      <c r="BC847" s="1212"/>
      <c r="BD847" s="1212"/>
      <c r="BE847" s="1212"/>
      <c r="BF847" s="2126">
        <v>0</v>
      </c>
      <c r="BG847" s="2126">
        <v>0</v>
      </c>
      <c r="BH847" s="2126">
        <v>52561.512791666668</v>
      </c>
      <c r="BI847" s="2126">
        <v>52561.512791666668</v>
      </c>
      <c r="BJ847" s="2126">
        <v>52561.512791666668</v>
      </c>
      <c r="BK847" s="2126">
        <v>0</v>
      </c>
      <c r="BL847" s="2126">
        <v>0</v>
      </c>
      <c r="BM847" s="2126">
        <v>0</v>
      </c>
      <c r="BN847" s="2126">
        <v>0</v>
      </c>
      <c r="BO847" s="2126">
        <v>0</v>
      </c>
      <c r="BP847" s="2126">
        <v>0</v>
      </c>
      <c r="BQ847" s="2126">
        <v>0</v>
      </c>
      <c r="BR847" s="2126">
        <v>0</v>
      </c>
    </row>
    <row r="848" spans="1:70" s="1765" customFormat="1" ht="49.5">
      <c r="A848" s="1272">
        <v>4000</v>
      </c>
      <c r="B848" s="971" t="s">
        <v>1316</v>
      </c>
      <c r="C848" s="1272">
        <v>4500</v>
      </c>
      <c r="D848" s="971" t="s">
        <v>452</v>
      </c>
      <c r="E848" s="971" t="s">
        <v>1546</v>
      </c>
      <c r="F848" s="971" t="s">
        <v>454</v>
      </c>
      <c r="G848" s="971">
        <v>4512</v>
      </c>
      <c r="H848" s="971" t="s">
        <v>456</v>
      </c>
      <c r="I848" s="1273"/>
      <c r="J848" s="971" t="s">
        <v>124</v>
      </c>
      <c r="K848" s="971" t="s">
        <v>784</v>
      </c>
      <c r="L848" s="971" t="s">
        <v>2852</v>
      </c>
      <c r="M848" s="971" t="s">
        <v>458</v>
      </c>
      <c r="N848" s="971" t="s">
        <v>127</v>
      </c>
      <c r="O848" s="971" t="s">
        <v>459</v>
      </c>
      <c r="P848" s="971"/>
      <c r="Q848" s="971" t="s">
        <v>509</v>
      </c>
      <c r="R848" s="1266"/>
      <c r="S848" s="2106">
        <v>216</v>
      </c>
      <c r="T848" s="1266" t="s">
        <v>136</v>
      </c>
      <c r="U848" s="1742">
        <v>0.22416666666666665</v>
      </c>
      <c r="V848" s="1742">
        <v>2.8020833333333335</v>
      </c>
      <c r="W848" s="1742">
        <v>19.758049999999997</v>
      </c>
      <c r="X848" s="1742">
        <v>30.905858333333335</v>
      </c>
      <c r="Y848" s="2106">
        <v>53.46599166666666</v>
      </c>
      <c r="Z848" s="2106">
        <v>48.419999999999995</v>
      </c>
      <c r="AA848" s="2106">
        <v>605.25</v>
      </c>
      <c r="AB848" s="2106">
        <v>4267.7387999999992</v>
      </c>
      <c r="AC848" s="2106">
        <v>6675.6653999999999</v>
      </c>
      <c r="AD848" s="1744">
        <v>11548.654199999999</v>
      </c>
      <c r="AE848" s="2126">
        <v>1</v>
      </c>
      <c r="AF848" s="2126">
        <v>216</v>
      </c>
      <c r="AG848" s="1212">
        <v>1</v>
      </c>
      <c r="AH848" s="1212">
        <v>0</v>
      </c>
      <c r="AI848" s="1212">
        <v>0</v>
      </c>
      <c r="AJ848" s="1212">
        <v>1</v>
      </c>
      <c r="AK848" s="2126">
        <v>11548.654199999999</v>
      </c>
      <c r="AL848" s="2126">
        <v>0</v>
      </c>
      <c r="AM848" s="2126">
        <v>0</v>
      </c>
      <c r="AN848" s="2126">
        <v>11548.654199999999</v>
      </c>
      <c r="AO848" s="1743" t="s">
        <v>131</v>
      </c>
      <c r="AP848" s="1743" t="s">
        <v>90</v>
      </c>
      <c r="AQ848" s="1764" t="s">
        <v>112</v>
      </c>
      <c r="AR848" s="1743" t="s">
        <v>87</v>
      </c>
      <c r="AS848" s="2135"/>
      <c r="AT848" s="2135"/>
      <c r="AU848" s="1212">
        <v>0.33333333333333331</v>
      </c>
      <c r="AV848" s="1212">
        <v>0.33333333333333331</v>
      </c>
      <c r="AW848" s="1212">
        <v>0.33333333333333331</v>
      </c>
      <c r="AX848" s="1212"/>
      <c r="AY848" s="1212"/>
      <c r="AZ848" s="1212"/>
      <c r="BA848" s="1212"/>
      <c r="BB848" s="1212"/>
      <c r="BC848" s="1212"/>
      <c r="BD848" s="1212"/>
      <c r="BE848" s="1212"/>
      <c r="BF848" s="2126">
        <v>0</v>
      </c>
      <c r="BG848" s="2126">
        <v>0</v>
      </c>
      <c r="BH848" s="2126">
        <v>3849.5513999999994</v>
      </c>
      <c r="BI848" s="2126">
        <v>3849.5513999999994</v>
      </c>
      <c r="BJ848" s="2126">
        <v>3849.5513999999994</v>
      </c>
      <c r="BK848" s="2126">
        <v>0</v>
      </c>
      <c r="BL848" s="2126">
        <v>0</v>
      </c>
      <c r="BM848" s="2126">
        <v>0</v>
      </c>
      <c r="BN848" s="2126">
        <v>0</v>
      </c>
      <c r="BO848" s="2126">
        <v>0</v>
      </c>
      <c r="BP848" s="2126">
        <v>0</v>
      </c>
      <c r="BQ848" s="2126">
        <v>0</v>
      </c>
      <c r="BR848" s="2126">
        <v>0</v>
      </c>
    </row>
    <row r="849" spans="1:70" s="1765" customFormat="1" ht="33">
      <c r="A849" s="1272">
        <v>4000</v>
      </c>
      <c r="B849" s="971" t="s">
        <v>1316</v>
      </c>
      <c r="C849" s="1272">
        <v>4500</v>
      </c>
      <c r="D849" s="971" t="s">
        <v>452</v>
      </c>
      <c r="E849" s="971" t="s">
        <v>1546</v>
      </c>
      <c r="F849" s="971" t="s">
        <v>454</v>
      </c>
      <c r="G849" s="971">
        <v>4512</v>
      </c>
      <c r="H849" s="971" t="s">
        <v>456</v>
      </c>
      <c r="I849" s="1273"/>
      <c r="J849" s="971"/>
      <c r="K849" s="971" t="s">
        <v>91</v>
      </c>
      <c r="L849" s="971" t="s">
        <v>92</v>
      </c>
      <c r="M849" s="971" t="s">
        <v>91</v>
      </c>
      <c r="N849" s="971"/>
      <c r="O849" s="971" t="s">
        <v>92</v>
      </c>
      <c r="P849" s="971"/>
      <c r="Q849" s="971" t="s">
        <v>1641</v>
      </c>
      <c r="R849" s="1266"/>
      <c r="S849" s="2106">
        <v>50</v>
      </c>
      <c r="T849" s="1266" t="s">
        <v>2922</v>
      </c>
      <c r="U849" s="1742">
        <v>0</v>
      </c>
      <c r="V849" s="1742">
        <v>700.80090909090916</v>
      </c>
      <c r="W849" s="1742">
        <v>0</v>
      </c>
      <c r="X849" s="1742">
        <v>0</v>
      </c>
      <c r="Y849" s="2106">
        <v>790.30078422782049</v>
      </c>
      <c r="Z849" s="2106">
        <v>0</v>
      </c>
      <c r="AA849" s="2106">
        <v>35040.045454545456</v>
      </c>
      <c r="AB849" s="2106">
        <v>0</v>
      </c>
      <c r="AC849" s="2106">
        <v>0</v>
      </c>
      <c r="AD849" s="1744">
        <v>35040.045454545456</v>
      </c>
      <c r="AE849" s="2126">
        <v>0</v>
      </c>
      <c r="AF849" s="2126">
        <v>0</v>
      </c>
      <c r="AG849" s="1212">
        <v>1</v>
      </c>
      <c r="AH849" s="1212">
        <v>0</v>
      </c>
      <c r="AI849" s="1212">
        <v>0</v>
      </c>
      <c r="AJ849" s="1212">
        <v>1</v>
      </c>
      <c r="AK849" s="2126">
        <v>35040.045454545456</v>
      </c>
      <c r="AL849" s="2126">
        <v>0</v>
      </c>
      <c r="AM849" s="2126">
        <v>0</v>
      </c>
      <c r="AN849" s="2126">
        <v>35040.045454545456</v>
      </c>
      <c r="AO849" s="1743" t="s">
        <v>85</v>
      </c>
      <c r="AP849" s="1743" t="s">
        <v>90</v>
      </c>
      <c r="AQ849" s="1764" t="s">
        <v>112</v>
      </c>
      <c r="AR849" s="1743" t="s">
        <v>87</v>
      </c>
      <c r="AS849" s="2135"/>
      <c r="AT849" s="2135"/>
      <c r="AU849" s="1212"/>
      <c r="AV849" s="1212"/>
      <c r="AW849" s="1212">
        <v>1</v>
      </c>
      <c r="AX849" s="1212"/>
      <c r="AY849" s="1212"/>
      <c r="AZ849" s="1212"/>
      <c r="BA849" s="1212"/>
      <c r="BB849" s="1212"/>
      <c r="BC849" s="1212"/>
      <c r="BD849" s="1212"/>
      <c r="BE849" s="1212"/>
      <c r="BF849" s="2126">
        <v>0</v>
      </c>
      <c r="BG849" s="2126">
        <v>0</v>
      </c>
      <c r="BH849" s="2126">
        <v>0</v>
      </c>
      <c r="BI849" s="2126">
        <v>0</v>
      </c>
      <c r="BJ849" s="2126">
        <v>35040.045454545456</v>
      </c>
      <c r="BK849" s="2126">
        <v>0</v>
      </c>
      <c r="BL849" s="2126">
        <v>0</v>
      </c>
      <c r="BM849" s="2126">
        <v>0</v>
      </c>
      <c r="BN849" s="2126">
        <v>0</v>
      </c>
      <c r="BO849" s="2126">
        <v>0</v>
      </c>
      <c r="BP849" s="2126">
        <v>0</v>
      </c>
      <c r="BQ849" s="2126">
        <v>0</v>
      </c>
      <c r="BR849" s="2126">
        <v>0</v>
      </c>
    </row>
    <row r="850" spans="1:70" s="1765" customFormat="1" ht="66">
      <c r="A850" s="1272">
        <v>4000</v>
      </c>
      <c r="B850" s="971" t="s">
        <v>1316</v>
      </c>
      <c r="C850" s="1272">
        <v>4500</v>
      </c>
      <c r="D850" s="971" t="s">
        <v>452</v>
      </c>
      <c r="E850" s="971" t="s">
        <v>1546</v>
      </c>
      <c r="F850" s="971" t="s">
        <v>454</v>
      </c>
      <c r="G850" s="971">
        <v>4512</v>
      </c>
      <c r="H850" s="971" t="s">
        <v>456</v>
      </c>
      <c r="I850" s="1273"/>
      <c r="J850" s="971" t="s">
        <v>124</v>
      </c>
      <c r="K850" s="971" t="s">
        <v>1642</v>
      </c>
      <c r="L850" s="971" t="s">
        <v>2866</v>
      </c>
      <c r="M850" s="971" t="s">
        <v>1642</v>
      </c>
      <c r="N850" s="971" t="s">
        <v>127</v>
      </c>
      <c r="O850" s="971" t="s">
        <v>1643</v>
      </c>
      <c r="P850" s="971"/>
      <c r="Q850" s="971" t="s">
        <v>1644</v>
      </c>
      <c r="R850" s="1266"/>
      <c r="S850" s="2106">
        <v>950</v>
      </c>
      <c r="T850" s="1266" t="s">
        <v>136</v>
      </c>
      <c r="U850" s="1742">
        <v>0.17933333333333332</v>
      </c>
      <c r="V850" s="1742">
        <v>2.2416666666666667</v>
      </c>
      <c r="W850" s="1742">
        <v>15.80644</v>
      </c>
      <c r="X850" s="1742">
        <v>24.72468666666667</v>
      </c>
      <c r="Y850" s="2106">
        <v>42.772793333333333</v>
      </c>
      <c r="Z850" s="2106">
        <v>170.36666666666665</v>
      </c>
      <c r="AA850" s="2106">
        <v>2129.5833333333335</v>
      </c>
      <c r="AB850" s="2106">
        <v>15016.118</v>
      </c>
      <c r="AC850" s="2106">
        <v>23488.452333333338</v>
      </c>
      <c r="AD850" s="1744">
        <v>40634.153666666673</v>
      </c>
      <c r="AE850" s="2126">
        <v>0.5</v>
      </c>
      <c r="AF850" s="2126">
        <v>475</v>
      </c>
      <c r="AG850" s="1212">
        <v>1</v>
      </c>
      <c r="AH850" s="1212">
        <v>0</v>
      </c>
      <c r="AI850" s="1212">
        <v>0</v>
      </c>
      <c r="AJ850" s="1212">
        <v>1</v>
      </c>
      <c r="AK850" s="2126">
        <v>40634.153666666673</v>
      </c>
      <c r="AL850" s="2126">
        <v>0</v>
      </c>
      <c r="AM850" s="2126">
        <v>0</v>
      </c>
      <c r="AN850" s="2126">
        <v>40634.153666666673</v>
      </c>
      <c r="AO850" s="1743" t="s">
        <v>85</v>
      </c>
      <c r="AP850" s="1743" t="s">
        <v>90</v>
      </c>
      <c r="AQ850" s="1764" t="s">
        <v>112</v>
      </c>
      <c r="AR850" s="1743" t="s">
        <v>87</v>
      </c>
      <c r="AS850" s="2135"/>
      <c r="AT850" s="2135"/>
      <c r="AU850" s="1212"/>
      <c r="AV850" s="1212">
        <v>1</v>
      </c>
      <c r="AW850" s="1212"/>
      <c r="AX850" s="1212"/>
      <c r="AY850" s="1212"/>
      <c r="AZ850" s="1212"/>
      <c r="BA850" s="1212"/>
      <c r="BB850" s="1212"/>
      <c r="BC850" s="1212"/>
      <c r="BD850" s="1212"/>
      <c r="BE850" s="1212"/>
      <c r="BF850" s="2126">
        <v>0</v>
      </c>
      <c r="BG850" s="2126">
        <v>0</v>
      </c>
      <c r="BH850" s="2126">
        <v>0</v>
      </c>
      <c r="BI850" s="2126">
        <v>40634.153666666673</v>
      </c>
      <c r="BJ850" s="2126">
        <v>0</v>
      </c>
      <c r="BK850" s="2126">
        <v>0</v>
      </c>
      <c r="BL850" s="2126">
        <v>0</v>
      </c>
      <c r="BM850" s="2126">
        <v>0</v>
      </c>
      <c r="BN850" s="2126">
        <v>0</v>
      </c>
      <c r="BO850" s="2126">
        <v>0</v>
      </c>
      <c r="BP850" s="2126">
        <v>0</v>
      </c>
      <c r="BQ850" s="2126">
        <v>0</v>
      </c>
      <c r="BR850" s="2126">
        <v>0</v>
      </c>
    </row>
    <row r="851" spans="1:70" s="1765" customFormat="1" ht="66">
      <c r="A851" s="1272">
        <v>4000</v>
      </c>
      <c r="B851" s="971" t="s">
        <v>1316</v>
      </c>
      <c r="C851" s="1272">
        <v>4500</v>
      </c>
      <c r="D851" s="971" t="s">
        <v>452</v>
      </c>
      <c r="E851" s="971" t="s">
        <v>1546</v>
      </c>
      <c r="F851" s="971" t="s">
        <v>454</v>
      </c>
      <c r="G851" s="971">
        <v>4512</v>
      </c>
      <c r="H851" s="971" t="s">
        <v>456</v>
      </c>
      <c r="I851" s="1273"/>
      <c r="J851" s="971" t="s">
        <v>124</v>
      </c>
      <c r="K851" s="971" t="s">
        <v>1642</v>
      </c>
      <c r="L851" s="971" t="s">
        <v>2866</v>
      </c>
      <c r="M851" s="971" t="s">
        <v>1642</v>
      </c>
      <c r="N851" s="971" t="s">
        <v>127</v>
      </c>
      <c r="O851" s="971" t="s">
        <v>1643</v>
      </c>
      <c r="P851" s="971"/>
      <c r="Q851" s="971" t="s">
        <v>1646</v>
      </c>
      <c r="R851" s="1266"/>
      <c r="S851" s="2106">
        <v>950</v>
      </c>
      <c r="T851" s="1266" t="s">
        <v>136</v>
      </c>
      <c r="U851" s="1742">
        <v>0.17933333333333332</v>
      </c>
      <c r="V851" s="1742">
        <v>2.2416666666666667</v>
      </c>
      <c r="W851" s="1742">
        <v>15.80644</v>
      </c>
      <c r="X851" s="1742">
        <v>24.72468666666667</v>
      </c>
      <c r="Y851" s="2106">
        <v>42.772793333333333</v>
      </c>
      <c r="Z851" s="2106">
        <v>170.36666666666665</v>
      </c>
      <c r="AA851" s="2106">
        <v>2129.5833333333335</v>
      </c>
      <c r="AB851" s="2106">
        <v>15016.118</v>
      </c>
      <c r="AC851" s="2106">
        <v>23488.452333333338</v>
      </c>
      <c r="AD851" s="1744">
        <v>40634.153666666673</v>
      </c>
      <c r="AE851" s="2126">
        <v>0.5</v>
      </c>
      <c r="AF851" s="2126">
        <v>475</v>
      </c>
      <c r="AG851" s="1212">
        <v>1</v>
      </c>
      <c r="AH851" s="1212">
        <v>0</v>
      </c>
      <c r="AI851" s="1212">
        <v>0</v>
      </c>
      <c r="AJ851" s="1212">
        <v>1</v>
      </c>
      <c r="AK851" s="2126">
        <v>40634.153666666673</v>
      </c>
      <c r="AL851" s="2126">
        <v>0</v>
      </c>
      <c r="AM851" s="2126">
        <v>0</v>
      </c>
      <c r="AN851" s="2126">
        <v>40634.153666666673</v>
      </c>
      <c r="AO851" s="1743" t="s">
        <v>85</v>
      </c>
      <c r="AP851" s="1743" t="s">
        <v>90</v>
      </c>
      <c r="AQ851" s="1764" t="s">
        <v>112</v>
      </c>
      <c r="AR851" s="1743" t="s">
        <v>87</v>
      </c>
      <c r="AS851" s="2135"/>
      <c r="AT851" s="2135"/>
      <c r="AU851" s="1212"/>
      <c r="AV851" s="1212">
        <v>1</v>
      </c>
      <c r="AW851" s="1212"/>
      <c r="AX851" s="1212"/>
      <c r="AY851" s="1212"/>
      <c r="AZ851" s="1212"/>
      <c r="BA851" s="1212"/>
      <c r="BB851" s="1212"/>
      <c r="BC851" s="1212"/>
      <c r="BD851" s="1212"/>
      <c r="BE851" s="1212"/>
      <c r="BF851" s="2126">
        <v>0</v>
      </c>
      <c r="BG851" s="2126">
        <v>0</v>
      </c>
      <c r="BH851" s="2126">
        <v>0</v>
      </c>
      <c r="BI851" s="2126">
        <v>40634.153666666673</v>
      </c>
      <c r="BJ851" s="2126">
        <v>0</v>
      </c>
      <c r="BK851" s="2126">
        <v>0</v>
      </c>
      <c r="BL851" s="2126">
        <v>0</v>
      </c>
      <c r="BM851" s="2126">
        <v>0</v>
      </c>
      <c r="BN851" s="2126">
        <v>0</v>
      </c>
      <c r="BO851" s="2126">
        <v>0</v>
      </c>
      <c r="BP851" s="2126">
        <v>0</v>
      </c>
      <c r="BQ851" s="2126">
        <v>0</v>
      </c>
      <c r="BR851" s="2126">
        <v>0</v>
      </c>
    </row>
    <row r="852" spans="1:70" s="1765" customFormat="1" ht="33">
      <c r="A852" s="1272">
        <v>4000</v>
      </c>
      <c r="B852" s="971" t="s">
        <v>1316</v>
      </c>
      <c r="C852" s="1272">
        <v>4500</v>
      </c>
      <c r="D852" s="971" t="s">
        <v>452</v>
      </c>
      <c r="E852" s="971" t="s">
        <v>1546</v>
      </c>
      <c r="F852" s="971" t="s">
        <v>454</v>
      </c>
      <c r="G852" s="971">
        <v>4512</v>
      </c>
      <c r="H852" s="971" t="s">
        <v>456</v>
      </c>
      <c r="I852" s="1273"/>
      <c r="J852" s="971"/>
      <c r="K852" s="971" t="s">
        <v>91</v>
      </c>
      <c r="L852" s="971" t="s">
        <v>92</v>
      </c>
      <c r="M852" s="971" t="s">
        <v>91</v>
      </c>
      <c r="N852" s="971"/>
      <c r="O852" s="971" t="s">
        <v>92</v>
      </c>
      <c r="P852" s="971"/>
      <c r="Q852" s="971" t="s">
        <v>1647</v>
      </c>
      <c r="R852" s="1266"/>
      <c r="S852" s="2106">
        <v>800</v>
      </c>
      <c r="T852" s="1266" t="s">
        <v>2922</v>
      </c>
      <c r="U852" s="1742">
        <v>0</v>
      </c>
      <c r="V852" s="1742">
        <v>700.80090909090916</v>
      </c>
      <c r="W852" s="1742">
        <v>0</v>
      </c>
      <c r="X852" s="1742">
        <v>0</v>
      </c>
      <c r="Y852" s="2106">
        <v>790.30078422782049</v>
      </c>
      <c r="Z852" s="2106">
        <v>0</v>
      </c>
      <c r="AA852" s="2106">
        <v>560640.72727272729</v>
      </c>
      <c r="AB852" s="2106">
        <v>0</v>
      </c>
      <c r="AC852" s="2106">
        <v>0</v>
      </c>
      <c r="AD852" s="1744">
        <v>560640.72727272729</v>
      </c>
      <c r="AE852" s="2126">
        <v>0</v>
      </c>
      <c r="AF852" s="2126">
        <v>0</v>
      </c>
      <c r="AG852" s="1212">
        <v>1</v>
      </c>
      <c r="AH852" s="1212">
        <v>0</v>
      </c>
      <c r="AI852" s="1212">
        <v>0</v>
      </c>
      <c r="AJ852" s="1212">
        <v>1</v>
      </c>
      <c r="AK852" s="2126">
        <v>560640.72727272729</v>
      </c>
      <c r="AL852" s="2126">
        <v>0</v>
      </c>
      <c r="AM852" s="2126">
        <v>0</v>
      </c>
      <c r="AN852" s="2126">
        <v>560640.72727272729</v>
      </c>
      <c r="AO852" s="1743" t="s">
        <v>85</v>
      </c>
      <c r="AP852" s="1743" t="s">
        <v>90</v>
      </c>
      <c r="AQ852" s="1764" t="s">
        <v>112</v>
      </c>
      <c r="AR852" s="1743" t="s">
        <v>87</v>
      </c>
      <c r="AS852" s="2135"/>
      <c r="AT852" s="2135"/>
      <c r="AU852" s="1212"/>
      <c r="AV852" s="1212"/>
      <c r="AW852" s="1212">
        <v>1</v>
      </c>
      <c r="AX852" s="1212"/>
      <c r="AY852" s="1212"/>
      <c r="AZ852" s="1212"/>
      <c r="BA852" s="1212"/>
      <c r="BB852" s="1212"/>
      <c r="BC852" s="1212"/>
      <c r="BD852" s="1212"/>
      <c r="BE852" s="1212"/>
      <c r="BF852" s="2126">
        <v>0</v>
      </c>
      <c r="BG852" s="2126">
        <v>0</v>
      </c>
      <c r="BH852" s="2126">
        <v>0</v>
      </c>
      <c r="BI852" s="2126">
        <v>0</v>
      </c>
      <c r="BJ852" s="2126">
        <v>560640.72727272729</v>
      </c>
      <c r="BK852" s="2126">
        <v>0</v>
      </c>
      <c r="BL852" s="2126">
        <v>0</v>
      </c>
      <c r="BM852" s="2126">
        <v>0</v>
      </c>
      <c r="BN852" s="2126">
        <v>0</v>
      </c>
      <c r="BO852" s="2126">
        <v>0</v>
      </c>
      <c r="BP852" s="2126">
        <v>0</v>
      </c>
      <c r="BQ852" s="2126">
        <v>0</v>
      </c>
      <c r="BR852" s="2126">
        <v>0</v>
      </c>
    </row>
    <row r="853" spans="1:70" s="1765" customFormat="1" ht="66">
      <c r="A853" s="1272">
        <v>4000</v>
      </c>
      <c r="B853" s="971" t="s">
        <v>1316</v>
      </c>
      <c r="C853" s="1272">
        <v>4500</v>
      </c>
      <c r="D853" s="971" t="s">
        <v>452</v>
      </c>
      <c r="E853" s="971" t="s">
        <v>1546</v>
      </c>
      <c r="F853" s="971" t="s">
        <v>454</v>
      </c>
      <c r="G853" s="971">
        <v>4513</v>
      </c>
      <c r="H853" s="971" t="s">
        <v>514</v>
      </c>
      <c r="I853" s="1273" t="s">
        <v>1648</v>
      </c>
      <c r="J853" s="971" t="s">
        <v>124</v>
      </c>
      <c r="K853" s="971" t="s">
        <v>516</v>
      </c>
      <c r="L853" s="971" t="s">
        <v>2860</v>
      </c>
      <c r="M853" s="971" t="s">
        <v>517</v>
      </c>
      <c r="N853" s="971" t="s">
        <v>127</v>
      </c>
      <c r="O853" s="971" t="s">
        <v>518</v>
      </c>
      <c r="P853" s="971"/>
      <c r="Q853" s="971" t="s">
        <v>520</v>
      </c>
      <c r="R853" s="1266" t="s">
        <v>1649</v>
      </c>
      <c r="S853" s="2106">
        <v>278.81040892193312</v>
      </c>
      <c r="T853" s="1266" t="s">
        <v>136</v>
      </c>
      <c r="U853" s="1742">
        <v>0.15691666666666668</v>
      </c>
      <c r="V853" s="1742">
        <v>1.9614583333333333</v>
      </c>
      <c r="W853" s="1742">
        <v>13.830634999999999</v>
      </c>
      <c r="X853" s="1742">
        <v>21.634100833333331</v>
      </c>
      <c r="Y853" s="2106">
        <v>37.426194166666662</v>
      </c>
      <c r="Z853" s="2106">
        <v>43.750000000000007</v>
      </c>
      <c r="AA853" s="2106">
        <v>546.875</v>
      </c>
      <c r="AB853" s="2106">
        <v>3856.125</v>
      </c>
      <c r="AC853" s="2106">
        <v>6031.8125</v>
      </c>
      <c r="AD853" s="1744">
        <v>10434.8125</v>
      </c>
      <c r="AE853" s="2126">
        <v>1</v>
      </c>
      <c r="AF853" s="2126">
        <v>278.81040892193312</v>
      </c>
      <c r="AG853" s="1212">
        <v>1</v>
      </c>
      <c r="AH853" s="1212">
        <v>0</v>
      </c>
      <c r="AI853" s="1212">
        <v>0</v>
      </c>
      <c r="AJ853" s="1212">
        <v>1</v>
      </c>
      <c r="AK853" s="2126">
        <v>10434.8125</v>
      </c>
      <c r="AL853" s="2126">
        <v>0</v>
      </c>
      <c r="AM853" s="2126">
        <v>0</v>
      </c>
      <c r="AN853" s="2126">
        <v>10434.8125</v>
      </c>
      <c r="AO853" s="1743" t="s">
        <v>85</v>
      </c>
      <c r="AP853" s="1743"/>
      <c r="AQ853" s="1764">
        <v>2014</v>
      </c>
      <c r="AR853" s="1743" t="s">
        <v>87</v>
      </c>
      <c r="AS853" s="2135"/>
      <c r="AT853" s="2135"/>
      <c r="AU853" s="1212">
        <v>0.33333333333333331</v>
      </c>
      <c r="AV853" s="1212">
        <v>0.33333333333333331</v>
      </c>
      <c r="AW853" s="1212">
        <v>0.33333333333333331</v>
      </c>
      <c r="AX853" s="1212"/>
      <c r="AY853" s="1212"/>
      <c r="AZ853" s="1212"/>
      <c r="BA853" s="1212"/>
      <c r="BB853" s="1212"/>
      <c r="BC853" s="1212"/>
      <c r="BD853" s="1212"/>
      <c r="BE853" s="1212"/>
      <c r="BF853" s="2126">
        <v>0</v>
      </c>
      <c r="BG853" s="2126">
        <v>0</v>
      </c>
      <c r="BH853" s="2126">
        <v>3478.270833333333</v>
      </c>
      <c r="BI853" s="2126">
        <v>3478.270833333333</v>
      </c>
      <c r="BJ853" s="2126">
        <v>3478.270833333333</v>
      </c>
      <c r="BK853" s="2126">
        <v>0</v>
      </c>
      <c r="BL853" s="2126">
        <v>0</v>
      </c>
      <c r="BM853" s="2126">
        <v>0</v>
      </c>
      <c r="BN853" s="2126">
        <v>0</v>
      </c>
      <c r="BO853" s="2126">
        <v>0</v>
      </c>
      <c r="BP853" s="2126">
        <v>0</v>
      </c>
      <c r="BQ853" s="2126">
        <v>0</v>
      </c>
      <c r="BR853" s="2126">
        <v>0</v>
      </c>
    </row>
    <row r="854" spans="1:70" s="1765" customFormat="1" ht="49.5">
      <c r="A854" s="1272">
        <v>4000</v>
      </c>
      <c r="B854" s="971" t="s">
        <v>1316</v>
      </c>
      <c r="C854" s="1272">
        <v>4500</v>
      </c>
      <c r="D854" s="971" t="s">
        <v>452</v>
      </c>
      <c r="E854" s="971" t="s">
        <v>1546</v>
      </c>
      <c r="F854" s="971" t="s">
        <v>454</v>
      </c>
      <c r="G854" s="971">
        <v>4513</v>
      </c>
      <c r="H854" s="971" t="s">
        <v>514</v>
      </c>
      <c r="I854" s="1273" t="s">
        <v>1650</v>
      </c>
      <c r="J854" s="971" t="s">
        <v>124</v>
      </c>
      <c r="K854" s="971" t="s">
        <v>523</v>
      </c>
      <c r="L854" s="971" t="s">
        <v>6607</v>
      </c>
      <c r="M854" s="971" t="s">
        <v>523</v>
      </c>
      <c r="N854" s="971" t="s">
        <v>141</v>
      </c>
      <c r="O854" s="971" t="s">
        <v>524</v>
      </c>
      <c r="P854" s="971"/>
      <c r="Q854" s="971" t="s">
        <v>525</v>
      </c>
      <c r="R854" s="1266" t="s">
        <v>1649</v>
      </c>
      <c r="S854" s="2106">
        <v>278.81040892193312</v>
      </c>
      <c r="T854" s="1266" t="s">
        <v>136</v>
      </c>
      <c r="U854" s="1742">
        <v>0.14520631503408685</v>
      </c>
      <c r="V854" s="1742">
        <v>1.8150789379260854</v>
      </c>
      <c r="W854" s="1742">
        <v>12.798484607104415</v>
      </c>
      <c r="X854" s="1742">
        <v>20.019594653749554</v>
      </c>
      <c r="Y854" s="2106">
        <v>34.633158198780052</v>
      </c>
      <c r="Z854" s="2106">
        <v>40.485032072700797</v>
      </c>
      <c r="AA854" s="2106">
        <v>506.06290090875996</v>
      </c>
      <c r="AB854" s="2106">
        <v>3568.3507268878484</v>
      </c>
      <c r="AC854" s="2106">
        <v>5581.6713718632591</v>
      </c>
      <c r="AD854" s="1744">
        <v>9656.0849996598663</v>
      </c>
      <c r="AE854" s="2126">
        <v>0.75</v>
      </c>
      <c r="AF854" s="2126">
        <v>209.10780669144984</v>
      </c>
      <c r="AG854" s="1212">
        <v>1</v>
      </c>
      <c r="AH854" s="1212">
        <v>0</v>
      </c>
      <c r="AI854" s="1212">
        <v>0</v>
      </c>
      <c r="AJ854" s="1212">
        <v>1</v>
      </c>
      <c r="AK854" s="2126">
        <v>9656.0849996598663</v>
      </c>
      <c r="AL854" s="2126">
        <v>0</v>
      </c>
      <c r="AM854" s="2126">
        <v>0</v>
      </c>
      <c r="AN854" s="2126">
        <v>9656.0849996598663</v>
      </c>
      <c r="AO854" s="1743" t="s">
        <v>85</v>
      </c>
      <c r="AP854" s="1743"/>
      <c r="AQ854" s="1764">
        <v>2014</v>
      </c>
      <c r="AR854" s="1743" t="s">
        <v>87</v>
      </c>
      <c r="AS854" s="2135"/>
      <c r="AT854" s="2135"/>
      <c r="AU854" s="1212">
        <v>0.33333333333333331</v>
      </c>
      <c r="AV854" s="1212">
        <v>0.33333333333333331</v>
      </c>
      <c r="AW854" s="1212">
        <v>0.33333333333333331</v>
      </c>
      <c r="AX854" s="1212"/>
      <c r="AY854" s="1212"/>
      <c r="AZ854" s="1212"/>
      <c r="BA854" s="1212"/>
      <c r="BB854" s="1212"/>
      <c r="BC854" s="1212"/>
      <c r="BD854" s="1212"/>
      <c r="BE854" s="1212"/>
      <c r="BF854" s="2126">
        <v>0</v>
      </c>
      <c r="BG854" s="2126">
        <v>0</v>
      </c>
      <c r="BH854" s="2126">
        <v>3218.6949998866221</v>
      </c>
      <c r="BI854" s="2126">
        <v>3218.6949998866221</v>
      </c>
      <c r="BJ854" s="2126">
        <v>3218.6949998866221</v>
      </c>
      <c r="BK854" s="2126">
        <v>0</v>
      </c>
      <c r="BL854" s="2126">
        <v>0</v>
      </c>
      <c r="BM854" s="2126">
        <v>0</v>
      </c>
      <c r="BN854" s="2126">
        <v>0</v>
      </c>
      <c r="BO854" s="2126">
        <v>0</v>
      </c>
      <c r="BP854" s="2126">
        <v>0</v>
      </c>
      <c r="BQ854" s="2126">
        <v>0</v>
      </c>
      <c r="BR854" s="2126">
        <v>0</v>
      </c>
    </row>
    <row r="855" spans="1:70" s="1765" customFormat="1" ht="49.5">
      <c r="A855" s="1272">
        <v>4000</v>
      </c>
      <c r="B855" s="971" t="s">
        <v>1316</v>
      </c>
      <c r="C855" s="1272">
        <v>4500</v>
      </c>
      <c r="D855" s="971" t="s">
        <v>452</v>
      </c>
      <c r="E855" s="971" t="s">
        <v>1546</v>
      </c>
      <c r="F855" s="971" t="s">
        <v>454</v>
      </c>
      <c r="G855" s="971">
        <v>4513</v>
      </c>
      <c r="H855" s="971" t="s">
        <v>514</v>
      </c>
      <c r="I855" s="1273" t="s">
        <v>1651</v>
      </c>
      <c r="J855" s="971" t="s">
        <v>124</v>
      </c>
      <c r="K855" s="971" t="s">
        <v>506</v>
      </c>
      <c r="L855" s="971" t="s">
        <v>6608</v>
      </c>
      <c r="M855" s="971" t="s">
        <v>506</v>
      </c>
      <c r="N855" s="971" t="s">
        <v>141</v>
      </c>
      <c r="O855" s="971" t="s">
        <v>507</v>
      </c>
      <c r="P855" s="971"/>
      <c r="Q855" s="971" t="s">
        <v>527</v>
      </c>
      <c r="R855" s="1266" t="s">
        <v>1649</v>
      </c>
      <c r="S855" s="2106">
        <v>278.81040892193312</v>
      </c>
      <c r="T855" s="1266" t="s">
        <v>136</v>
      </c>
      <c r="U855" s="1742">
        <v>0.125</v>
      </c>
      <c r="V855" s="1742">
        <v>1.875</v>
      </c>
      <c r="W855" s="1742">
        <v>11.0175</v>
      </c>
      <c r="X855" s="1742">
        <v>18.75</v>
      </c>
      <c r="Y855" s="2106">
        <v>31.642499999999998</v>
      </c>
      <c r="Z855" s="2106">
        <v>34.85130111524164</v>
      </c>
      <c r="AA855" s="2106">
        <v>522.76951672862458</v>
      </c>
      <c r="AB855" s="2106">
        <v>3071.7936802973982</v>
      </c>
      <c r="AC855" s="2106">
        <v>5227.695167286246</v>
      </c>
      <c r="AD855" s="1744">
        <v>8822.2583643122689</v>
      </c>
      <c r="AE855" s="2126">
        <v>0</v>
      </c>
      <c r="AF855" s="2126">
        <v>0</v>
      </c>
      <c r="AG855" s="1212">
        <v>1</v>
      </c>
      <c r="AH855" s="1212">
        <v>0</v>
      </c>
      <c r="AI855" s="1212">
        <v>0</v>
      </c>
      <c r="AJ855" s="1212">
        <v>1</v>
      </c>
      <c r="AK855" s="2126">
        <v>8822.2583643122689</v>
      </c>
      <c r="AL855" s="2126">
        <v>0</v>
      </c>
      <c r="AM855" s="2126">
        <v>0</v>
      </c>
      <c r="AN855" s="2126">
        <v>8822.2583643122689</v>
      </c>
      <c r="AO855" s="1743" t="s">
        <v>85</v>
      </c>
      <c r="AP855" s="1743"/>
      <c r="AQ855" s="1764">
        <v>2014</v>
      </c>
      <c r="AR855" s="1743" t="s">
        <v>87</v>
      </c>
      <c r="AS855" s="2135"/>
      <c r="AT855" s="2135"/>
      <c r="AU855" s="1212">
        <v>0.33333333333333331</v>
      </c>
      <c r="AV855" s="1212">
        <v>0.33333333333333331</v>
      </c>
      <c r="AW855" s="1212">
        <v>0.33333333333333331</v>
      </c>
      <c r="AX855" s="1212"/>
      <c r="AY855" s="1212"/>
      <c r="AZ855" s="1212"/>
      <c r="BA855" s="1212"/>
      <c r="BB855" s="1212"/>
      <c r="BC855" s="1212"/>
      <c r="BD855" s="1212"/>
      <c r="BE855" s="1212"/>
      <c r="BF855" s="2126">
        <v>0</v>
      </c>
      <c r="BG855" s="2126">
        <v>0</v>
      </c>
      <c r="BH855" s="2126">
        <v>2940.7527881040896</v>
      </c>
      <c r="BI855" s="2126">
        <v>2940.7527881040896</v>
      </c>
      <c r="BJ855" s="2126">
        <v>2940.7527881040896</v>
      </c>
      <c r="BK855" s="2126">
        <v>0</v>
      </c>
      <c r="BL855" s="2126">
        <v>0</v>
      </c>
      <c r="BM855" s="2126">
        <v>0</v>
      </c>
      <c r="BN855" s="2126">
        <v>0</v>
      </c>
      <c r="BO855" s="2126">
        <v>0</v>
      </c>
      <c r="BP855" s="2126">
        <v>0</v>
      </c>
      <c r="BQ855" s="2126">
        <v>0</v>
      </c>
      <c r="BR855" s="2126">
        <v>0</v>
      </c>
    </row>
    <row r="856" spans="1:70" s="1765" customFormat="1" ht="82.5">
      <c r="A856" s="1272">
        <v>4000</v>
      </c>
      <c r="B856" s="971" t="s">
        <v>1316</v>
      </c>
      <c r="C856" s="1272">
        <v>4500</v>
      </c>
      <c r="D856" s="971" t="s">
        <v>452</v>
      </c>
      <c r="E856" s="971" t="s">
        <v>1546</v>
      </c>
      <c r="F856" s="971" t="s">
        <v>454</v>
      </c>
      <c r="G856" s="971">
        <v>4513</v>
      </c>
      <c r="H856" s="971" t="s">
        <v>514</v>
      </c>
      <c r="I856" s="1273" t="s">
        <v>1652</v>
      </c>
      <c r="J856" s="971" t="s">
        <v>177</v>
      </c>
      <c r="K856" s="971" t="s">
        <v>530</v>
      </c>
      <c r="L856" s="971" t="s">
        <v>531</v>
      </c>
      <c r="M856" s="971" t="s">
        <v>530</v>
      </c>
      <c r="N856" s="971" t="s">
        <v>179</v>
      </c>
      <c r="O856" s="971" t="s">
        <v>531</v>
      </c>
      <c r="P856" s="971"/>
      <c r="Q856" s="971" t="s">
        <v>1653</v>
      </c>
      <c r="R856" s="1266" t="s">
        <v>1654</v>
      </c>
      <c r="S856" s="2106">
        <v>1</v>
      </c>
      <c r="T856" s="1266" t="s">
        <v>242</v>
      </c>
      <c r="U856" s="1742">
        <v>31</v>
      </c>
      <c r="V856" s="1742">
        <v>325</v>
      </c>
      <c r="W856" s="1742">
        <v>2732.34</v>
      </c>
      <c r="X856" s="1742">
        <v>3584.62</v>
      </c>
      <c r="Y856" s="2106">
        <v>6641.9599999999991</v>
      </c>
      <c r="Z856" s="2106">
        <v>31</v>
      </c>
      <c r="AA856" s="2106">
        <v>325</v>
      </c>
      <c r="AB856" s="2106">
        <v>2732.34</v>
      </c>
      <c r="AC856" s="2106">
        <v>3584.62</v>
      </c>
      <c r="AD856" s="1744">
        <v>6641.96</v>
      </c>
      <c r="AE856" s="2126">
        <v>2</v>
      </c>
      <c r="AF856" s="2126">
        <v>2</v>
      </c>
      <c r="AG856" s="1212">
        <v>1</v>
      </c>
      <c r="AH856" s="1212">
        <v>0</v>
      </c>
      <c r="AI856" s="1212">
        <v>0</v>
      </c>
      <c r="AJ856" s="1212">
        <v>1</v>
      </c>
      <c r="AK856" s="2126">
        <v>6641.96</v>
      </c>
      <c r="AL856" s="2126">
        <v>0</v>
      </c>
      <c r="AM856" s="2126">
        <v>0</v>
      </c>
      <c r="AN856" s="2126">
        <v>6641.96</v>
      </c>
      <c r="AO856" s="1743" t="s">
        <v>85</v>
      </c>
      <c r="AP856" s="1743"/>
      <c r="AQ856" s="1764">
        <v>2014</v>
      </c>
      <c r="AR856" s="1743" t="s">
        <v>87</v>
      </c>
      <c r="AS856" s="2135"/>
      <c r="AT856" s="2135"/>
      <c r="AU856" s="1212">
        <v>0.5</v>
      </c>
      <c r="AV856" s="1212">
        <v>0.5</v>
      </c>
      <c r="AW856" s="1212"/>
      <c r="AX856" s="1212"/>
      <c r="AY856" s="1212"/>
      <c r="AZ856" s="1212"/>
      <c r="BA856" s="1212"/>
      <c r="BB856" s="1212"/>
      <c r="BC856" s="1212"/>
      <c r="BD856" s="1212"/>
      <c r="BE856" s="1212"/>
      <c r="BF856" s="2126">
        <v>0</v>
      </c>
      <c r="BG856" s="2126">
        <v>0</v>
      </c>
      <c r="BH856" s="2126">
        <v>3320.98</v>
      </c>
      <c r="BI856" s="2126">
        <v>3320.98</v>
      </c>
      <c r="BJ856" s="2126">
        <v>0</v>
      </c>
      <c r="BK856" s="2126">
        <v>0</v>
      </c>
      <c r="BL856" s="2126">
        <v>0</v>
      </c>
      <c r="BM856" s="2126">
        <v>0</v>
      </c>
      <c r="BN856" s="2126">
        <v>0</v>
      </c>
      <c r="BO856" s="2126">
        <v>0</v>
      </c>
      <c r="BP856" s="2126">
        <v>0</v>
      </c>
      <c r="BQ856" s="2126">
        <v>0</v>
      </c>
      <c r="BR856" s="2126">
        <v>0</v>
      </c>
    </row>
    <row r="857" spans="1:70" s="1765" customFormat="1" ht="49.5">
      <c r="A857" s="1272">
        <v>4000</v>
      </c>
      <c r="B857" s="971" t="s">
        <v>1316</v>
      </c>
      <c r="C857" s="1272">
        <v>4500</v>
      </c>
      <c r="D857" s="971" t="s">
        <v>452</v>
      </c>
      <c r="E857" s="971" t="s">
        <v>1546</v>
      </c>
      <c r="F857" s="971" t="s">
        <v>454</v>
      </c>
      <c r="G857" s="971">
        <v>4513</v>
      </c>
      <c r="H857" s="971" t="s">
        <v>514</v>
      </c>
      <c r="I857" s="1273" t="s">
        <v>1655</v>
      </c>
      <c r="J857" s="971" t="s">
        <v>124</v>
      </c>
      <c r="K857" s="971" t="s">
        <v>784</v>
      </c>
      <c r="L857" s="971" t="s">
        <v>2852</v>
      </c>
      <c r="M857" s="971" t="s">
        <v>537</v>
      </c>
      <c r="N857" s="971" t="s">
        <v>127</v>
      </c>
      <c r="O857" s="971" t="s">
        <v>539</v>
      </c>
      <c r="P857" s="971"/>
      <c r="Q857" s="971" t="s">
        <v>547</v>
      </c>
      <c r="R857" s="1266" t="s">
        <v>1656</v>
      </c>
      <c r="S857" s="2106">
        <v>89.219330855018583</v>
      </c>
      <c r="T857" s="1266" t="s">
        <v>136</v>
      </c>
      <c r="U857" s="1742">
        <v>0.22416666666666665</v>
      </c>
      <c r="V857" s="1742">
        <v>2.8020833333333335</v>
      </c>
      <c r="W857" s="1742">
        <v>19.758049999999997</v>
      </c>
      <c r="X857" s="1742">
        <v>30.905858333333335</v>
      </c>
      <c r="Y857" s="2106">
        <v>53.46599166666666</v>
      </c>
      <c r="Z857" s="2106">
        <v>19.999999999999996</v>
      </c>
      <c r="AA857" s="2106">
        <v>250</v>
      </c>
      <c r="AB857" s="2106">
        <v>1762.7999999999997</v>
      </c>
      <c r="AC857" s="2106">
        <v>2757.4</v>
      </c>
      <c r="AD857" s="1744">
        <v>4770.2</v>
      </c>
      <c r="AE857" s="2126">
        <v>1</v>
      </c>
      <c r="AF857" s="2126">
        <v>89.219330855018583</v>
      </c>
      <c r="AG857" s="1212">
        <v>1</v>
      </c>
      <c r="AH857" s="1212">
        <v>0</v>
      </c>
      <c r="AI857" s="1212">
        <v>0</v>
      </c>
      <c r="AJ857" s="1212">
        <v>1</v>
      </c>
      <c r="AK857" s="2126">
        <v>4770.2</v>
      </c>
      <c r="AL857" s="2126">
        <v>0</v>
      </c>
      <c r="AM857" s="2126">
        <v>0</v>
      </c>
      <c r="AN857" s="2126">
        <v>4770.2</v>
      </c>
      <c r="AO857" s="1743" t="s">
        <v>85</v>
      </c>
      <c r="AP857" s="1743"/>
      <c r="AQ857" s="1764">
        <v>2014</v>
      </c>
      <c r="AR857" s="1743" t="s">
        <v>87</v>
      </c>
      <c r="AS857" s="2135"/>
      <c r="AT857" s="2135"/>
      <c r="AU857" s="1212">
        <v>0.33333333333333331</v>
      </c>
      <c r="AV857" s="1212">
        <v>0.33333333333333331</v>
      </c>
      <c r="AW857" s="1212">
        <v>0.33333333333333331</v>
      </c>
      <c r="AX857" s="1212"/>
      <c r="AY857" s="1212"/>
      <c r="AZ857" s="1212"/>
      <c r="BA857" s="1212"/>
      <c r="BB857" s="1212"/>
      <c r="BC857" s="1212"/>
      <c r="BD857" s="1212"/>
      <c r="BE857" s="1212"/>
      <c r="BF857" s="2126">
        <v>0</v>
      </c>
      <c r="BG857" s="2126">
        <v>0</v>
      </c>
      <c r="BH857" s="2126">
        <v>1590.0666666666666</v>
      </c>
      <c r="BI857" s="2126">
        <v>1590.0666666666666</v>
      </c>
      <c r="BJ857" s="2126">
        <v>1590.0666666666666</v>
      </c>
      <c r="BK857" s="2126">
        <v>0</v>
      </c>
      <c r="BL857" s="2126">
        <v>0</v>
      </c>
      <c r="BM857" s="2126">
        <v>0</v>
      </c>
      <c r="BN857" s="2126">
        <v>0</v>
      </c>
      <c r="BO857" s="2126">
        <v>0</v>
      </c>
      <c r="BP857" s="2126">
        <v>0</v>
      </c>
      <c r="BQ857" s="2126">
        <v>0</v>
      </c>
      <c r="BR857" s="2126">
        <v>0</v>
      </c>
    </row>
    <row r="858" spans="1:70" s="1765" customFormat="1" ht="49.5">
      <c r="A858" s="1272">
        <v>4000</v>
      </c>
      <c r="B858" s="971" t="s">
        <v>1316</v>
      </c>
      <c r="C858" s="1272">
        <v>4500</v>
      </c>
      <c r="D858" s="971" t="s">
        <v>452</v>
      </c>
      <c r="E858" s="971" t="s">
        <v>1546</v>
      </c>
      <c r="F858" s="971" t="s">
        <v>454</v>
      </c>
      <c r="G858" s="971">
        <v>4513</v>
      </c>
      <c r="H858" s="971" t="s">
        <v>514</v>
      </c>
      <c r="I858" s="1273" t="s">
        <v>1657</v>
      </c>
      <c r="J858" s="971" t="s">
        <v>177</v>
      </c>
      <c r="K858" s="971" t="s">
        <v>188</v>
      </c>
      <c r="L858" s="971" t="s">
        <v>2841</v>
      </c>
      <c r="M858" s="971" t="s">
        <v>188</v>
      </c>
      <c r="N858" s="971" t="s">
        <v>179</v>
      </c>
      <c r="O858" s="971" t="s">
        <v>189</v>
      </c>
      <c r="P858" s="971"/>
      <c r="Q858" s="971" t="s">
        <v>1658</v>
      </c>
      <c r="R858" s="1266" t="s">
        <v>1659</v>
      </c>
      <c r="S858" s="2106">
        <v>1</v>
      </c>
      <c r="T858" s="1266" t="s">
        <v>242</v>
      </c>
      <c r="U858" s="1742">
        <v>15.5</v>
      </c>
      <c r="V858" s="1742">
        <v>162.5</v>
      </c>
      <c r="W858" s="1742">
        <v>1366.17</v>
      </c>
      <c r="X858" s="1742">
        <v>1792.3100000000002</v>
      </c>
      <c r="Y858" s="2106">
        <v>3320.98</v>
      </c>
      <c r="Z858" s="2106">
        <v>15.5</v>
      </c>
      <c r="AA858" s="2106">
        <v>162.5</v>
      </c>
      <c r="AB858" s="2106">
        <v>1366.17</v>
      </c>
      <c r="AC858" s="2106">
        <v>1792.3100000000002</v>
      </c>
      <c r="AD858" s="1744">
        <v>3320.9800000000005</v>
      </c>
      <c r="AE858" s="2126">
        <v>20</v>
      </c>
      <c r="AF858" s="2126">
        <v>20</v>
      </c>
      <c r="AG858" s="1212">
        <v>1</v>
      </c>
      <c r="AH858" s="1212">
        <v>0</v>
      </c>
      <c r="AI858" s="1212">
        <v>0</v>
      </c>
      <c r="AJ858" s="1212">
        <v>1</v>
      </c>
      <c r="AK858" s="2126">
        <v>3320.9800000000005</v>
      </c>
      <c r="AL858" s="2126">
        <v>0</v>
      </c>
      <c r="AM858" s="2126">
        <v>0</v>
      </c>
      <c r="AN858" s="2126">
        <v>3320.9800000000005</v>
      </c>
      <c r="AO858" s="1743" t="s">
        <v>85</v>
      </c>
      <c r="AP858" s="1743"/>
      <c r="AQ858" s="1764">
        <v>2014</v>
      </c>
      <c r="AR858" s="1743" t="s">
        <v>87</v>
      </c>
      <c r="AS858" s="2135"/>
      <c r="AT858" s="2135"/>
      <c r="AU858" s="1212">
        <v>0.5</v>
      </c>
      <c r="AV858" s="1212">
        <v>0.5</v>
      </c>
      <c r="AW858" s="1212"/>
      <c r="AX858" s="1212"/>
      <c r="AY858" s="1212"/>
      <c r="AZ858" s="1212"/>
      <c r="BA858" s="1212"/>
      <c r="BB858" s="1212"/>
      <c r="BC858" s="1212"/>
      <c r="BD858" s="1212"/>
      <c r="BE858" s="1212"/>
      <c r="BF858" s="2126">
        <v>0</v>
      </c>
      <c r="BG858" s="2126">
        <v>0</v>
      </c>
      <c r="BH858" s="2126">
        <v>1660.4900000000002</v>
      </c>
      <c r="BI858" s="2126">
        <v>1660.4900000000002</v>
      </c>
      <c r="BJ858" s="2126">
        <v>0</v>
      </c>
      <c r="BK858" s="2126">
        <v>0</v>
      </c>
      <c r="BL858" s="2126">
        <v>0</v>
      </c>
      <c r="BM858" s="2126">
        <v>0</v>
      </c>
      <c r="BN858" s="2126">
        <v>0</v>
      </c>
      <c r="BO858" s="2126">
        <v>0</v>
      </c>
      <c r="BP858" s="2126">
        <v>0</v>
      </c>
      <c r="BQ858" s="2126">
        <v>0</v>
      </c>
      <c r="BR858" s="2126">
        <v>0</v>
      </c>
    </row>
    <row r="859" spans="1:70" s="1765" customFormat="1" ht="66">
      <c r="A859" s="1272">
        <v>4000</v>
      </c>
      <c r="B859" s="971" t="s">
        <v>1316</v>
      </c>
      <c r="C859" s="1272">
        <v>4500</v>
      </c>
      <c r="D859" s="971" t="s">
        <v>452</v>
      </c>
      <c r="E859" s="971" t="s">
        <v>1546</v>
      </c>
      <c r="F859" s="971" t="s">
        <v>454</v>
      </c>
      <c r="G859" s="971">
        <v>4513</v>
      </c>
      <c r="H859" s="971" t="s">
        <v>514</v>
      </c>
      <c r="I859" s="1273" t="s">
        <v>1660</v>
      </c>
      <c r="J859" s="971" t="s">
        <v>177</v>
      </c>
      <c r="K859" s="971" t="s">
        <v>196</v>
      </c>
      <c r="L859" s="971" t="s">
        <v>197</v>
      </c>
      <c r="M859" s="971" t="s">
        <v>196</v>
      </c>
      <c r="N859" s="971" t="s">
        <v>179</v>
      </c>
      <c r="O859" s="971" t="s">
        <v>197</v>
      </c>
      <c r="P859" s="971"/>
      <c r="Q859" s="971" t="s">
        <v>1661</v>
      </c>
      <c r="R859" s="1266" t="s">
        <v>1662</v>
      </c>
      <c r="S859" s="2106">
        <v>1</v>
      </c>
      <c r="T859" s="1266" t="s">
        <v>242</v>
      </c>
      <c r="U859" s="1742">
        <v>9.6666666666666661</v>
      </c>
      <c r="V859" s="1742">
        <v>89.583333333333329</v>
      </c>
      <c r="W859" s="1742">
        <v>852.02</v>
      </c>
      <c r="X859" s="1742">
        <v>988.06833333333327</v>
      </c>
      <c r="Y859" s="2106">
        <v>1929.6716666666666</v>
      </c>
      <c r="Z859" s="2106">
        <v>9.6666666666666661</v>
      </c>
      <c r="AA859" s="2106">
        <v>89.583333333333329</v>
      </c>
      <c r="AB859" s="2106">
        <v>852.02</v>
      </c>
      <c r="AC859" s="2106">
        <v>988.06833333333327</v>
      </c>
      <c r="AD859" s="1744">
        <v>1929.6716666666666</v>
      </c>
      <c r="AE859" s="2126">
        <v>1</v>
      </c>
      <c r="AF859" s="2126">
        <v>1</v>
      </c>
      <c r="AG859" s="1212">
        <v>1</v>
      </c>
      <c r="AH859" s="1212">
        <v>0</v>
      </c>
      <c r="AI859" s="1212">
        <v>0</v>
      </c>
      <c r="AJ859" s="1212">
        <v>1</v>
      </c>
      <c r="AK859" s="2126">
        <v>1929.6716666666666</v>
      </c>
      <c r="AL859" s="2126">
        <v>0</v>
      </c>
      <c r="AM859" s="2126">
        <v>0</v>
      </c>
      <c r="AN859" s="2126">
        <v>1929.6716666666666</v>
      </c>
      <c r="AO859" s="1743" t="s">
        <v>85</v>
      </c>
      <c r="AP859" s="1743"/>
      <c r="AQ859" s="1764">
        <v>2014</v>
      </c>
      <c r="AR859" s="1743" t="s">
        <v>87</v>
      </c>
      <c r="AS859" s="2135"/>
      <c r="AT859" s="2135"/>
      <c r="AU859" s="1212">
        <v>0.33333333333333331</v>
      </c>
      <c r="AV859" s="1212">
        <v>0.33333333333333331</v>
      </c>
      <c r="AW859" s="1212">
        <v>0.33333333333333331</v>
      </c>
      <c r="AX859" s="1212"/>
      <c r="AY859" s="1212"/>
      <c r="AZ859" s="1212"/>
      <c r="BA859" s="1212"/>
      <c r="BB859" s="1212"/>
      <c r="BC859" s="1212"/>
      <c r="BD859" s="1212"/>
      <c r="BE859" s="1212"/>
      <c r="BF859" s="2126">
        <v>0</v>
      </c>
      <c r="BG859" s="2126">
        <v>0</v>
      </c>
      <c r="BH859" s="2126">
        <v>643.22388888888884</v>
      </c>
      <c r="BI859" s="2126">
        <v>643.22388888888884</v>
      </c>
      <c r="BJ859" s="2126">
        <v>643.22388888888884</v>
      </c>
      <c r="BK859" s="2126">
        <v>0</v>
      </c>
      <c r="BL859" s="2126">
        <v>0</v>
      </c>
      <c r="BM859" s="2126">
        <v>0</v>
      </c>
      <c r="BN859" s="2126">
        <v>0</v>
      </c>
      <c r="BO859" s="2126">
        <v>0</v>
      </c>
      <c r="BP859" s="2126">
        <v>0</v>
      </c>
      <c r="BQ859" s="2126">
        <v>0</v>
      </c>
      <c r="BR859" s="2126">
        <v>0</v>
      </c>
    </row>
    <row r="860" spans="1:70" s="1765" customFormat="1" ht="49.5">
      <c r="A860" s="1272">
        <v>4000</v>
      </c>
      <c r="B860" s="971" t="s">
        <v>1316</v>
      </c>
      <c r="C860" s="1272">
        <v>4500</v>
      </c>
      <c r="D860" s="971" t="s">
        <v>452</v>
      </c>
      <c r="E860" s="971" t="s">
        <v>1546</v>
      </c>
      <c r="F860" s="971" t="s">
        <v>454</v>
      </c>
      <c r="G860" s="971">
        <v>4513</v>
      </c>
      <c r="H860" s="971" t="s">
        <v>514</v>
      </c>
      <c r="I860" s="1273"/>
      <c r="J860" s="971" t="s">
        <v>124</v>
      </c>
      <c r="K860" s="971" t="s">
        <v>125</v>
      </c>
      <c r="L860" s="971" t="s">
        <v>2868</v>
      </c>
      <c r="M860" s="971" t="s">
        <v>126</v>
      </c>
      <c r="N860" s="971" t="s">
        <v>127</v>
      </c>
      <c r="O860" s="971" t="s">
        <v>128</v>
      </c>
      <c r="P860" s="971"/>
      <c r="Q860" s="971" t="s">
        <v>561</v>
      </c>
      <c r="R860" s="1266" t="s">
        <v>562</v>
      </c>
      <c r="S860" s="2106">
        <v>59.457920000000001</v>
      </c>
      <c r="T860" s="1266" t="s">
        <v>136</v>
      </c>
      <c r="U860" s="1742">
        <v>0.11208333333333333</v>
      </c>
      <c r="V860" s="1742">
        <v>1.4010416666666667</v>
      </c>
      <c r="W860" s="1742">
        <v>9.8790250000000004</v>
      </c>
      <c r="X860" s="1742">
        <v>15.452929166666667</v>
      </c>
      <c r="Y860" s="2106">
        <v>26.73299583333333</v>
      </c>
      <c r="Z860" s="2106">
        <v>6.6642418666666661</v>
      </c>
      <c r="AA860" s="2106">
        <v>83.303023333333343</v>
      </c>
      <c r="AB860" s="2106">
        <v>587.38627812800007</v>
      </c>
      <c r="AC860" s="2106">
        <v>918.7990261573334</v>
      </c>
      <c r="AD860" s="1744">
        <v>1589.488327618667</v>
      </c>
      <c r="AE860" s="2126">
        <v>1</v>
      </c>
      <c r="AF860" s="2126">
        <v>59.457920000000001</v>
      </c>
      <c r="AG860" s="1212">
        <v>1</v>
      </c>
      <c r="AH860" s="1212">
        <v>0</v>
      </c>
      <c r="AI860" s="1212">
        <v>0</v>
      </c>
      <c r="AJ860" s="1212">
        <v>1</v>
      </c>
      <c r="AK860" s="2126">
        <v>1589.488327618667</v>
      </c>
      <c r="AL860" s="2126">
        <v>0</v>
      </c>
      <c r="AM860" s="2126">
        <v>0</v>
      </c>
      <c r="AN860" s="2126">
        <v>1589.488327618667</v>
      </c>
      <c r="AO860" s="1743" t="s">
        <v>131</v>
      </c>
      <c r="AP860" s="1743" t="s">
        <v>563</v>
      </c>
      <c r="AQ860" s="1764">
        <v>2022</v>
      </c>
      <c r="AR860" s="1743" t="s">
        <v>87</v>
      </c>
      <c r="AS860" s="2135"/>
      <c r="AT860" s="2135"/>
      <c r="AU860" s="1212">
        <v>0.33333333333333331</v>
      </c>
      <c r="AV860" s="1212">
        <v>0.33333333333333331</v>
      </c>
      <c r="AW860" s="1212">
        <v>0.33333333333333331</v>
      </c>
      <c r="AX860" s="1212"/>
      <c r="AY860" s="1212"/>
      <c r="AZ860" s="1212"/>
      <c r="BA860" s="1212"/>
      <c r="BB860" s="1212"/>
      <c r="BC860" s="1212"/>
      <c r="BD860" s="1212"/>
      <c r="BE860" s="1212"/>
      <c r="BF860" s="2126">
        <v>0</v>
      </c>
      <c r="BG860" s="2126">
        <v>0</v>
      </c>
      <c r="BH860" s="2126">
        <v>529.82944253955566</v>
      </c>
      <c r="BI860" s="2126">
        <v>529.82944253955566</v>
      </c>
      <c r="BJ860" s="2126">
        <v>529.82944253955566</v>
      </c>
      <c r="BK860" s="2126">
        <v>0</v>
      </c>
      <c r="BL860" s="2126">
        <v>0</v>
      </c>
      <c r="BM860" s="2126">
        <v>0</v>
      </c>
      <c r="BN860" s="2126">
        <v>0</v>
      </c>
      <c r="BO860" s="2126">
        <v>0</v>
      </c>
      <c r="BP860" s="2126">
        <v>0</v>
      </c>
      <c r="BQ860" s="2126">
        <v>0</v>
      </c>
      <c r="BR860" s="2126">
        <v>0</v>
      </c>
    </row>
    <row r="861" spans="1:70" s="1765" customFormat="1" ht="49.5">
      <c r="A861" s="1272">
        <v>4000</v>
      </c>
      <c r="B861" s="971" t="s">
        <v>1316</v>
      </c>
      <c r="C861" s="1272">
        <v>4500</v>
      </c>
      <c r="D861" s="971" t="s">
        <v>452</v>
      </c>
      <c r="E861" s="971" t="s">
        <v>1546</v>
      </c>
      <c r="F861" s="971" t="s">
        <v>454</v>
      </c>
      <c r="G861" s="971">
        <v>4513</v>
      </c>
      <c r="H861" s="971" t="s">
        <v>514</v>
      </c>
      <c r="I861" s="1273"/>
      <c r="J861" s="971" t="s">
        <v>124</v>
      </c>
      <c r="K861" s="971" t="s">
        <v>125</v>
      </c>
      <c r="L861" s="971" t="s">
        <v>2868</v>
      </c>
      <c r="M861" s="971" t="s">
        <v>126</v>
      </c>
      <c r="N861" s="971" t="s">
        <v>127</v>
      </c>
      <c r="O861" s="971" t="s">
        <v>128</v>
      </c>
      <c r="P861" s="971"/>
      <c r="Q861" s="971" t="s">
        <v>561</v>
      </c>
      <c r="R861" s="1266" t="s">
        <v>562</v>
      </c>
      <c r="S861" s="2106">
        <v>-59.457920000000001</v>
      </c>
      <c r="T861" s="1266" t="s">
        <v>136</v>
      </c>
      <c r="U861" s="1742">
        <v>0.11208333333333333</v>
      </c>
      <c r="V861" s="1742">
        <v>1.4010416666666667</v>
      </c>
      <c r="W861" s="1742">
        <v>9.8790250000000004</v>
      </c>
      <c r="X861" s="1742">
        <v>15.452929166666667</v>
      </c>
      <c r="Y861" s="2106">
        <v>26.73299583333333</v>
      </c>
      <c r="Z861" s="2106">
        <v>-6.6642418666666661</v>
      </c>
      <c r="AA861" s="2106">
        <v>-83.303023333333343</v>
      </c>
      <c r="AB861" s="2106">
        <v>-587.38627812800007</v>
      </c>
      <c r="AC861" s="2106">
        <v>-918.7990261573334</v>
      </c>
      <c r="AD861" s="1744">
        <v>-1589.488327618667</v>
      </c>
      <c r="AE861" s="2126">
        <v>1</v>
      </c>
      <c r="AF861" s="2126">
        <v>-59.457920000000001</v>
      </c>
      <c r="AG861" s="1212">
        <v>1</v>
      </c>
      <c r="AH861" s="1212">
        <v>0</v>
      </c>
      <c r="AI861" s="1212">
        <v>0</v>
      </c>
      <c r="AJ861" s="1212">
        <v>1</v>
      </c>
      <c r="AK861" s="2126">
        <v>-1589.488327618667</v>
      </c>
      <c r="AL861" s="2126">
        <v>0</v>
      </c>
      <c r="AM861" s="2126">
        <v>0</v>
      </c>
      <c r="AN861" s="2126">
        <v>-1589.488327618667</v>
      </c>
      <c r="AO861" s="1743" t="s">
        <v>131</v>
      </c>
      <c r="AP861" s="1743" t="s">
        <v>96</v>
      </c>
      <c r="AQ861" s="1764" t="s">
        <v>118</v>
      </c>
      <c r="AR861" s="1743" t="s">
        <v>87</v>
      </c>
      <c r="AS861" s="2135"/>
      <c r="AT861" s="2135"/>
      <c r="AU861" s="1212">
        <v>0.33333333333333331</v>
      </c>
      <c r="AV861" s="1212">
        <v>0.33333333333333331</v>
      </c>
      <c r="AW861" s="1212">
        <v>0.33333333333333331</v>
      </c>
      <c r="AX861" s="1212"/>
      <c r="AY861" s="1212"/>
      <c r="AZ861" s="1212"/>
      <c r="BA861" s="1212"/>
      <c r="BB861" s="1212"/>
      <c r="BC861" s="1212"/>
      <c r="BD861" s="1212"/>
      <c r="BE861" s="1212"/>
      <c r="BF861" s="2126">
        <v>0</v>
      </c>
      <c r="BG861" s="2126">
        <v>0</v>
      </c>
      <c r="BH861" s="2126">
        <v>-529.82944253955566</v>
      </c>
      <c r="BI861" s="2126">
        <v>-529.82944253955566</v>
      </c>
      <c r="BJ861" s="2126">
        <v>-529.82944253955566</v>
      </c>
      <c r="BK861" s="2126">
        <v>0</v>
      </c>
      <c r="BL861" s="2126">
        <v>0</v>
      </c>
      <c r="BM861" s="2126">
        <v>0</v>
      </c>
      <c r="BN861" s="2126">
        <v>0</v>
      </c>
      <c r="BO861" s="2126">
        <v>0</v>
      </c>
      <c r="BP861" s="2126">
        <v>0</v>
      </c>
      <c r="BQ861" s="2126">
        <v>0</v>
      </c>
      <c r="BR861" s="2126">
        <v>0</v>
      </c>
    </row>
    <row r="862" spans="1:70" s="1765" customFormat="1" ht="33">
      <c r="A862" s="1272">
        <v>4000</v>
      </c>
      <c r="B862" s="971" t="s">
        <v>1316</v>
      </c>
      <c r="C862" s="1272">
        <v>4500</v>
      </c>
      <c r="D862" s="971" t="s">
        <v>452</v>
      </c>
      <c r="E862" s="971" t="s">
        <v>1546</v>
      </c>
      <c r="F862" s="971" t="s">
        <v>454</v>
      </c>
      <c r="G862" s="971">
        <v>4513</v>
      </c>
      <c r="H862" s="971" t="s">
        <v>514</v>
      </c>
      <c r="I862" s="1273" t="s">
        <v>1663</v>
      </c>
      <c r="J862" s="971" t="s">
        <v>124</v>
      </c>
      <c r="K862" s="971" t="s">
        <v>145</v>
      </c>
      <c r="L862" s="971" t="s">
        <v>2871</v>
      </c>
      <c r="M862" s="971" t="s">
        <v>556</v>
      </c>
      <c r="N862" s="971" t="s">
        <v>141</v>
      </c>
      <c r="O862" s="971" t="s">
        <v>557</v>
      </c>
      <c r="P862" s="971"/>
      <c r="Q862" s="971" t="s">
        <v>558</v>
      </c>
      <c r="R862" s="1266" t="s">
        <v>1656</v>
      </c>
      <c r="S862" s="2106">
        <v>89.219330855018583</v>
      </c>
      <c r="T862" s="1266" t="s">
        <v>136</v>
      </c>
      <c r="U862" s="1742">
        <v>0.12329166666666667</v>
      </c>
      <c r="V862" s="1742">
        <v>0.98072916666666676</v>
      </c>
      <c r="W862" s="1742">
        <v>6.9153175000000005</v>
      </c>
      <c r="X862" s="1742">
        <v>10.817050416666667</v>
      </c>
      <c r="Y862" s="2106">
        <v>18.713097083333334</v>
      </c>
      <c r="Z862" s="2106">
        <v>11</v>
      </c>
      <c r="AA862" s="2106">
        <v>87.5</v>
      </c>
      <c r="AB862" s="2106">
        <v>616.98</v>
      </c>
      <c r="AC862" s="2106">
        <v>965.09</v>
      </c>
      <c r="AD862" s="1744">
        <v>1669.5700000000002</v>
      </c>
      <c r="AE862" s="2126">
        <v>0.3</v>
      </c>
      <c r="AF862" s="2126">
        <v>26.765799256505574</v>
      </c>
      <c r="AG862" s="1212">
        <v>1</v>
      </c>
      <c r="AH862" s="1212">
        <v>0</v>
      </c>
      <c r="AI862" s="1212">
        <v>0</v>
      </c>
      <c r="AJ862" s="1212">
        <v>1</v>
      </c>
      <c r="AK862" s="2126">
        <v>1669.5700000000002</v>
      </c>
      <c r="AL862" s="2126">
        <v>0</v>
      </c>
      <c r="AM862" s="2126">
        <v>0</v>
      </c>
      <c r="AN862" s="2126">
        <v>1669.5700000000002</v>
      </c>
      <c r="AO862" s="1743" t="s">
        <v>85</v>
      </c>
      <c r="AP862" s="1743"/>
      <c r="AQ862" s="1764">
        <v>2014</v>
      </c>
      <c r="AR862" s="1743" t="s">
        <v>87</v>
      </c>
      <c r="AS862" s="2135"/>
      <c r="AT862" s="2135"/>
      <c r="AU862" s="1212">
        <v>0.33333333333333331</v>
      </c>
      <c r="AV862" s="1212">
        <v>0.33333333333333331</v>
      </c>
      <c r="AW862" s="1212">
        <v>0.33333333333333331</v>
      </c>
      <c r="AX862" s="1212"/>
      <c r="AY862" s="1212"/>
      <c r="AZ862" s="1212"/>
      <c r="BA862" s="1212"/>
      <c r="BB862" s="1212"/>
      <c r="BC862" s="1212"/>
      <c r="BD862" s="1212"/>
      <c r="BE862" s="1212"/>
      <c r="BF862" s="2126">
        <v>0</v>
      </c>
      <c r="BG862" s="2126">
        <v>0</v>
      </c>
      <c r="BH862" s="2126">
        <v>556.52333333333331</v>
      </c>
      <c r="BI862" s="2126">
        <v>556.52333333333331</v>
      </c>
      <c r="BJ862" s="2126">
        <v>556.52333333333331</v>
      </c>
      <c r="BK862" s="2126">
        <v>0</v>
      </c>
      <c r="BL862" s="2126">
        <v>0</v>
      </c>
      <c r="BM862" s="2126">
        <v>0</v>
      </c>
      <c r="BN862" s="2126">
        <v>0</v>
      </c>
      <c r="BO862" s="2126">
        <v>0</v>
      </c>
      <c r="BP862" s="2126">
        <v>0</v>
      </c>
      <c r="BQ862" s="2126">
        <v>0</v>
      </c>
      <c r="BR862" s="2126">
        <v>0</v>
      </c>
    </row>
    <row r="863" spans="1:70" s="1765" customFormat="1" ht="33">
      <c r="A863" s="1272">
        <v>4000</v>
      </c>
      <c r="B863" s="971" t="s">
        <v>1316</v>
      </c>
      <c r="C863" s="1272">
        <v>4500</v>
      </c>
      <c r="D863" s="971" t="s">
        <v>452</v>
      </c>
      <c r="E863" s="971" t="s">
        <v>1546</v>
      </c>
      <c r="F863" s="971" t="s">
        <v>454</v>
      </c>
      <c r="G863" s="971">
        <v>4513</v>
      </c>
      <c r="H863" s="971" t="s">
        <v>514</v>
      </c>
      <c r="I863" s="1273" t="s">
        <v>1664</v>
      </c>
      <c r="J863" s="971" t="s">
        <v>124</v>
      </c>
      <c r="K863" s="971"/>
      <c r="L863" s="971" t="e">
        <v>#N/A</v>
      </c>
      <c r="M863" s="971" t="s">
        <v>145</v>
      </c>
      <c r="N863" s="971" t="s">
        <v>141</v>
      </c>
      <c r="O863" s="971" t="s">
        <v>146</v>
      </c>
      <c r="P863" s="971"/>
      <c r="Q863" s="971" t="s">
        <v>560</v>
      </c>
      <c r="R863" s="1266" t="s">
        <v>1656</v>
      </c>
      <c r="S863" s="2106">
        <v>89.219330855018583</v>
      </c>
      <c r="T863" s="1266" t="s">
        <v>136</v>
      </c>
      <c r="U863" s="1742" t="s">
        <v>6588</v>
      </c>
      <c r="V863" s="1742" t="s">
        <v>6588</v>
      </c>
      <c r="W863" s="1742" t="s">
        <v>6588</v>
      </c>
      <c r="X863" s="1742" t="s">
        <v>6588</v>
      </c>
      <c r="Y863" s="2106" t="s">
        <v>6588</v>
      </c>
      <c r="Z863" s="2106">
        <v>0</v>
      </c>
      <c r="AA863" s="2106">
        <v>0</v>
      </c>
      <c r="AB863" s="2106">
        <v>0</v>
      </c>
      <c r="AC863" s="2106">
        <v>0</v>
      </c>
      <c r="AD863" s="1744">
        <v>0</v>
      </c>
      <c r="AE863" s="2126">
        <v>0</v>
      </c>
      <c r="AF863" s="2126">
        <v>0</v>
      </c>
      <c r="AG863" s="1212">
        <v>1</v>
      </c>
      <c r="AH863" s="1212">
        <v>0</v>
      </c>
      <c r="AI863" s="1212">
        <v>0</v>
      </c>
      <c r="AJ863" s="1212">
        <v>1</v>
      </c>
      <c r="AK863" s="2126">
        <v>0</v>
      </c>
      <c r="AL863" s="2126">
        <v>0</v>
      </c>
      <c r="AM863" s="2126">
        <v>0</v>
      </c>
      <c r="AN863" s="2126">
        <v>0</v>
      </c>
      <c r="AO863" s="1743" t="s">
        <v>85</v>
      </c>
      <c r="AP863" s="1743"/>
      <c r="AQ863" s="1764">
        <v>2014</v>
      </c>
      <c r="AR863" s="1743" t="s">
        <v>87</v>
      </c>
      <c r="AS863" s="2135"/>
      <c r="AT863" s="2135"/>
      <c r="AU863" s="1212">
        <v>0.33333333333333331</v>
      </c>
      <c r="AV863" s="1212">
        <v>0.33333333333333331</v>
      </c>
      <c r="AW863" s="1212">
        <v>0.33333333333333331</v>
      </c>
      <c r="AX863" s="1212"/>
      <c r="AY863" s="1212"/>
      <c r="AZ863" s="1212"/>
      <c r="BA863" s="1212"/>
      <c r="BB863" s="1212"/>
      <c r="BC863" s="1212"/>
      <c r="BD863" s="1212"/>
      <c r="BE863" s="1212"/>
      <c r="BF863" s="2126">
        <v>0</v>
      </c>
      <c r="BG863" s="2126">
        <v>0</v>
      </c>
      <c r="BH863" s="2126">
        <v>0</v>
      </c>
      <c r="BI863" s="2126">
        <v>0</v>
      </c>
      <c r="BJ863" s="2126">
        <v>0</v>
      </c>
      <c r="BK863" s="2126">
        <v>0</v>
      </c>
      <c r="BL863" s="2126">
        <v>0</v>
      </c>
      <c r="BM863" s="2126">
        <v>0</v>
      </c>
      <c r="BN863" s="2126">
        <v>0</v>
      </c>
      <c r="BO863" s="2126">
        <v>0</v>
      </c>
      <c r="BP863" s="2126">
        <v>0</v>
      </c>
      <c r="BQ863" s="2126">
        <v>0</v>
      </c>
      <c r="BR863" s="2126">
        <v>0</v>
      </c>
    </row>
    <row r="864" spans="1:70" s="1765" customFormat="1" ht="33">
      <c r="A864" s="1272">
        <v>4000</v>
      </c>
      <c r="B864" s="971" t="s">
        <v>1316</v>
      </c>
      <c r="C864" s="1272">
        <v>4500</v>
      </c>
      <c r="D864" s="971" t="s">
        <v>452</v>
      </c>
      <c r="E864" s="971" t="s">
        <v>1546</v>
      </c>
      <c r="F864" s="971" t="s">
        <v>454</v>
      </c>
      <c r="G864" s="971">
        <v>4513</v>
      </c>
      <c r="H864" s="971" t="s">
        <v>514</v>
      </c>
      <c r="I864" s="1273"/>
      <c r="J864" s="971" t="s">
        <v>124</v>
      </c>
      <c r="K864" s="971" t="s">
        <v>125</v>
      </c>
      <c r="L864" s="971" t="s">
        <v>2868</v>
      </c>
      <c r="M864" s="971" t="s">
        <v>126</v>
      </c>
      <c r="N864" s="971" t="s">
        <v>127</v>
      </c>
      <c r="O864" s="971" t="s">
        <v>128</v>
      </c>
      <c r="P864" s="971"/>
      <c r="Q864" s="971" t="s">
        <v>1665</v>
      </c>
      <c r="R864" s="1266" t="s">
        <v>1666</v>
      </c>
      <c r="S864" s="2106">
        <v>53.512127999999997</v>
      </c>
      <c r="T864" s="1266" t="s">
        <v>136</v>
      </c>
      <c r="U864" s="1742">
        <v>0.11208333333333333</v>
      </c>
      <c r="V864" s="1742">
        <v>1.4010416666666667</v>
      </c>
      <c r="W864" s="1742">
        <v>9.8790250000000004</v>
      </c>
      <c r="X864" s="1742">
        <v>15.452929166666667</v>
      </c>
      <c r="Y864" s="2106">
        <v>26.73299583333333</v>
      </c>
      <c r="Z864" s="2106">
        <v>5.9978176799999989</v>
      </c>
      <c r="AA864" s="2106">
        <v>74.972720999999993</v>
      </c>
      <c r="AB864" s="2106">
        <v>528.64765031519994</v>
      </c>
      <c r="AC864" s="2106">
        <v>826.91912354160002</v>
      </c>
      <c r="AD864" s="1744">
        <v>1430.5394948568</v>
      </c>
      <c r="AE864" s="2126">
        <v>1</v>
      </c>
      <c r="AF864" s="2126">
        <v>53.512127999999997</v>
      </c>
      <c r="AG864" s="1212">
        <v>1</v>
      </c>
      <c r="AH864" s="1212">
        <v>0</v>
      </c>
      <c r="AI864" s="1212">
        <v>0</v>
      </c>
      <c r="AJ864" s="1212">
        <v>1</v>
      </c>
      <c r="AK864" s="2126">
        <v>1430.5394948568</v>
      </c>
      <c r="AL864" s="2126">
        <v>0</v>
      </c>
      <c r="AM864" s="2126">
        <v>0</v>
      </c>
      <c r="AN864" s="2126">
        <v>1430.5394948568</v>
      </c>
      <c r="AO864" s="1743" t="s">
        <v>85</v>
      </c>
      <c r="AP864" s="1743" t="s">
        <v>90</v>
      </c>
      <c r="AQ864" s="1764">
        <v>2022</v>
      </c>
      <c r="AR864" s="1743" t="s">
        <v>87</v>
      </c>
      <c r="AS864" s="2135"/>
      <c r="AT864" s="2135"/>
      <c r="AU864" s="1212">
        <v>0.33333333333333331</v>
      </c>
      <c r="AV864" s="1212">
        <v>0.33333333333333331</v>
      </c>
      <c r="AW864" s="1212">
        <v>0.33333333333333331</v>
      </c>
      <c r="AX864" s="1212"/>
      <c r="AY864" s="1212"/>
      <c r="AZ864" s="1212"/>
      <c r="BA864" s="1212"/>
      <c r="BB864" s="1212"/>
      <c r="BC864" s="1212"/>
      <c r="BD864" s="1212"/>
      <c r="BE864" s="1212"/>
      <c r="BF864" s="2126">
        <v>0</v>
      </c>
      <c r="BG864" s="2126">
        <v>0</v>
      </c>
      <c r="BH864" s="2126">
        <v>476.84649828559998</v>
      </c>
      <c r="BI864" s="2126">
        <v>476.84649828559998</v>
      </c>
      <c r="BJ864" s="2126">
        <v>476.84649828559998</v>
      </c>
      <c r="BK864" s="2126">
        <v>0</v>
      </c>
      <c r="BL864" s="2126">
        <v>0</v>
      </c>
      <c r="BM864" s="2126">
        <v>0</v>
      </c>
      <c r="BN864" s="2126">
        <v>0</v>
      </c>
      <c r="BO864" s="2126">
        <v>0</v>
      </c>
      <c r="BP864" s="2126">
        <v>0</v>
      </c>
      <c r="BQ864" s="2126">
        <v>0</v>
      </c>
      <c r="BR864" s="2126">
        <v>0</v>
      </c>
    </row>
    <row r="865" spans="1:70" s="1765" customFormat="1" ht="33">
      <c r="A865" s="1272">
        <v>4000</v>
      </c>
      <c r="B865" s="971" t="s">
        <v>1316</v>
      </c>
      <c r="C865" s="1272">
        <v>4500</v>
      </c>
      <c r="D865" s="971" t="s">
        <v>452</v>
      </c>
      <c r="E865" s="971" t="s">
        <v>1546</v>
      </c>
      <c r="F865" s="971" t="s">
        <v>454</v>
      </c>
      <c r="G865" s="971">
        <v>4513</v>
      </c>
      <c r="H865" s="971" t="s">
        <v>514</v>
      </c>
      <c r="I865" s="1273"/>
      <c r="J865" s="971" t="s">
        <v>124</v>
      </c>
      <c r="K865" s="971" t="s">
        <v>125</v>
      </c>
      <c r="L865" s="971" t="s">
        <v>2868</v>
      </c>
      <c r="M865" s="971" t="s">
        <v>126</v>
      </c>
      <c r="N865" s="971" t="s">
        <v>127</v>
      </c>
      <c r="O865" s="971" t="s">
        <v>128</v>
      </c>
      <c r="P865" s="971"/>
      <c r="Q865" s="971" t="s">
        <v>1665</v>
      </c>
      <c r="R865" s="1266" t="s">
        <v>1666</v>
      </c>
      <c r="S865" s="2106">
        <v>-53.512127999999997</v>
      </c>
      <c r="T865" s="1266" t="s">
        <v>136</v>
      </c>
      <c r="U865" s="1742">
        <v>0.11208333333333333</v>
      </c>
      <c r="V865" s="1742">
        <v>1.4010416666666667</v>
      </c>
      <c r="W865" s="1742">
        <v>9.8790250000000004</v>
      </c>
      <c r="X865" s="1742">
        <v>15.452929166666667</v>
      </c>
      <c r="Y865" s="2106">
        <v>26.73299583333333</v>
      </c>
      <c r="Z865" s="2106">
        <v>-5.9978176799999989</v>
      </c>
      <c r="AA865" s="2106">
        <v>-74.972720999999993</v>
      </c>
      <c r="AB865" s="2106">
        <v>-528.64765031519994</v>
      </c>
      <c r="AC865" s="2106">
        <v>-826.91912354160002</v>
      </c>
      <c r="AD865" s="1744">
        <v>-1430.5394948568</v>
      </c>
      <c r="AE865" s="2126">
        <v>1</v>
      </c>
      <c r="AF865" s="2126">
        <v>-53.512127999999997</v>
      </c>
      <c r="AG865" s="1212">
        <v>1</v>
      </c>
      <c r="AH865" s="1212">
        <v>0</v>
      </c>
      <c r="AI865" s="1212">
        <v>0</v>
      </c>
      <c r="AJ865" s="1212">
        <v>1</v>
      </c>
      <c r="AK865" s="2126">
        <v>-1430.5394948568</v>
      </c>
      <c r="AL865" s="2126">
        <v>0</v>
      </c>
      <c r="AM865" s="2126">
        <v>0</v>
      </c>
      <c r="AN865" s="2126">
        <v>-1430.5394948568</v>
      </c>
      <c r="AO865" s="1743" t="s">
        <v>85</v>
      </c>
      <c r="AP865" s="1743" t="s">
        <v>96</v>
      </c>
      <c r="AQ865" s="1764" t="s">
        <v>118</v>
      </c>
      <c r="AR865" s="1743" t="s">
        <v>87</v>
      </c>
      <c r="AS865" s="2135"/>
      <c r="AT865" s="2135"/>
      <c r="AU865" s="1212">
        <v>0.33333333333333331</v>
      </c>
      <c r="AV865" s="1212">
        <v>0.33333333333333331</v>
      </c>
      <c r="AW865" s="1212">
        <v>0.33333333333333331</v>
      </c>
      <c r="AX865" s="1212"/>
      <c r="AY865" s="1212"/>
      <c r="AZ865" s="1212"/>
      <c r="BA865" s="1212"/>
      <c r="BB865" s="1212"/>
      <c r="BC865" s="1212"/>
      <c r="BD865" s="1212"/>
      <c r="BE865" s="1212"/>
      <c r="BF865" s="2126">
        <v>0</v>
      </c>
      <c r="BG865" s="2126">
        <v>0</v>
      </c>
      <c r="BH865" s="2126">
        <v>-476.84649828559998</v>
      </c>
      <c r="BI865" s="2126">
        <v>-476.84649828559998</v>
      </c>
      <c r="BJ865" s="2126">
        <v>-476.84649828559998</v>
      </c>
      <c r="BK865" s="2126">
        <v>0</v>
      </c>
      <c r="BL865" s="2126">
        <v>0</v>
      </c>
      <c r="BM865" s="2126">
        <v>0</v>
      </c>
      <c r="BN865" s="2126">
        <v>0</v>
      </c>
      <c r="BO865" s="2126">
        <v>0</v>
      </c>
      <c r="BP865" s="2126">
        <v>0</v>
      </c>
      <c r="BQ865" s="2126">
        <v>0</v>
      </c>
      <c r="BR865" s="2126">
        <v>0</v>
      </c>
    </row>
    <row r="866" spans="1:70" s="1765" customFormat="1" ht="49.5">
      <c r="A866" s="1272">
        <v>4000</v>
      </c>
      <c r="B866" s="971" t="s">
        <v>1316</v>
      </c>
      <c r="C866" s="1272">
        <v>4500</v>
      </c>
      <c r="D866" s="971" t="s">
        <v>452</v>
      </c>
      <c r="E866" s="971" t="s">
        <v>1546</v>
      </c>
      <c r="F866" s="971" t="s">
        <v>454</v>
      </c>
      <c r="G866" s="971">
        <v>4511</v>
      </c>
      <c r="H866" s="971" t="s">
        <v>565</v>
      </c>
      <c r="I866" s="1273" t="s">
        <v>1667</v>
      </c>
      <c r="J866" s="971" t="s">
        <v>124</v>
      </c>
      <c r="K866" s="971" t="s">
        <v>784</v>
      </c>
      <c r="L866" s="971" t="s">
        <v>2852</v>
      </c>
      <c r="M866" s="971" t="s">
        <v>458</v>
      </c>
      <c r="N866" s="971" t="s">
        <v>127</v>
      </c>
      <c r="O866" s="971" t="s">
        <v>459</v>
      </c>
      <c r="P866" s="971"/>
      <c r="Q866" s="971" t="s">
        <v>567</v>
      </c>
      <c r="R866" s="1266" t="s">
        <v>1668</v>
      </c>
      <c r="S866" s="2106">
        <v>1856.8773234200744</v>
      </c>
      <c r="T866" s="1266" t="s">
        <v>136</v>
      </c>
      <c r="U866" s="1742">
        <v>0.22416666666666665</v>
      </c>
      <c r="V866" s="1742">
        <v>2.8020833333333335</v>
      </c>
      <c r="W866" s="1742">
        <v>19.758049999999997</v>
      </c>
      <c r="X866" s="1742">
        <v>30.905858333333335</v>
      </c>
      <c r="Y866" s="2106">
        <v>53.46599166666666</v>
      </c>
      <c r="Z866" s="2106">
        <v>416.25</v>
      </c>
      <c r="AA866" s="2106">
        <v>5203.125</v>
      </c>
      <c r="AB866" s="2106">
        <v>36688.274999999994</v>
      </c>
      <c r="AC866" s="2106">
        <v>57388.387500000004</v>
      </c>
      <c r="AD866" s="1744">
        <v>99279.787500000006</v>
      </c>
      <c r="AE866" s="2126">
        <v>1</v>
      </c>
      <c r="AF866" s="2126">
        <v>1856.8773234200744</v>
      </c>
      <c r="AG866" s="1212">
        <v>1</v>
      </c>
      <c r="AH866" s="1212">
        <v>0</v>
      </c>
      <c r="AI866" s="1212">
        <v>0</v>
      </c>
      <c r="AJ866" s="1212">
        <v>1</v>
      </c>
      <c r="AK866" s="2126">
        <v>99279.787500000006</v>
      </c>
      <c r="AL866" s="2126">
        <v>0</v>
      </c>
      <c r="AM866" s="2126">
        <v>0</v>
      </c>
      <c r="AN866" s="2126">
        <v>99279.787500000006</v>
      </c>
      <c r="AO866" s="1743" t="s">
        <v>85</v>
      </c>
      <c r="AP866" s="1743"/>
      <c r="AQ866" s="1764">
        <v>2014</v>
      </c>
      <c r="AR866" s="1743" t="s">
        <v>87</v>
      </c>
      <c r="AS866" s="2135"/>
      <c r="AT866" s="2135"/>
      <c r="AU866" s="1212">
        <v>0.33333333333333331</v>
      </c>
      <c r="AV866" s="1212">
        <v>0.33333333333333331</v>
      </c>
      <c r="AW866" s="1212">
        <v>0.33333333333333331</v>
      </c>
      <c r="AX866" s="1212"/>
      <c r="AY866" s="1212"/>
      <c r="AZ866" s="1212"/>
      <c r="BA866" s="1212"/>
      <c r="BB866" s="1212"/>
      <c r="BC866" s="1212"/>
      <c r="BD866" s="1212"/>
      <c r="BE866" s="1212"/>
      <c r="BF866" s="2126">
        <v>0</v>
      </c>
      <c r="BG866" s="2126">
        <v>0</v>
      </c>
      <c r="BH866" s="2126">
        <v>33093.262499999997</v>
      </c>
      <c r="BI866" s="2126">
        <v>33093.262499999997</v>
      </c>
      <c r="BJ866" s="2126">
        <v>33093.262499999997</v>
      </c>
      <c r="BK866" s="2126">
        <v>0</v>
      </c>
      <c r="BL866" s="2126">
        <v>0</v>
      </c>
      <c r="BM866" s="2126">
        <v>0</v>
      </c>
      <c r="BN866" s="2126">
        <v>0</v>
      </c>
      <c r="BO866" s="2126">
        <v>0</v>
      </c>
      <c r="BP866" s="2126">
        <v>0</v>
      </c>
      <c r="BQ866" s="2126">
        <v>0</v>
      </c>
      <c r="BR866" s="2126">
        <v>0</v>
      </c>
    </row>
    <row r="867" spans="1:70" s="1765" customFormat="1" ht="49.5">
      <c r="A867" s="1272">
        <v>4000</v>
      </c>
      <c r="B867" s="971" t="s">
        <v>1316</v>
      </c>
      <c r="C867" s="1272">
        <v>4500</v>
      </c>
      <c r="D867" s="971" t="s">
        <v>452</v>
      </c>
      <c r="E867" s="971" t="s">
        <v>1546</v>
      </c>
      <c r="F867" s="971" t="s">
        <v>454</v>
      </c>
      <c r="G867" s="971">
        <v>4511</v>
      </c>
      <c r="H867" s="971" t="s">
        <v>565</v>
      </c>
      <c r="I867" s="1273" t="s">
        <v>1669</v>
      </c>
      <c r="J867" s="971" t="s">
        <v>124</v>
      </c>
      <c r="K867" s="971" t="s">
        <v>784</v>
      </c>
      <c r="L867" s="971" t="s">
        <v>2852</v>
      </c>
      <c r="M867" s="971" t="s">
        <v>458</v>
      </c>
      <c r="N867" s="971" t="s">
        <v>127</v>
      </c>
      <c r="O867" s="971" t="s">
        <v>459</v>
      </c>
      <c r="P867" s="971"/>
      <c r="Q867" s="971" t="s">
        <v>573</v>
      </c>
      <c r="R867" s="1266" t="s">
        <v>1670</v>
      </c>
      <c r="S867" s="2106">
        <v>607.80669144981414</v>
      </c>
      <c r="T867" s="1266" t="s">
        <v>136</v>
      </c>
      <c r="U867" s="1742">
        <v>0.22416666666666665</v>
      </c>
      <c r="V867" s="1742">
        <v>2.8020833333333335</v>
      </c>
      <c r="W867" s="1742">
        <v>19.758049999999997</v>
      </c>
      <c r="X867" s="1742">
        <v>30.905858333333335</v>
      </c>
      <c r="Y867" s="2106">
        <v>53.46599166666666</v>
      </c>
      <c r="Z867" s="2106">
        <v>136.25</v>
      </c>
      <c r="AA867" s="2106">
        <v>1703.1250000000002</v>
      </c>
      <c r="AB867" s="2106">
        <v>12009.074999999999</v>
      </c>
      <c r="AC867" s="2106">
        <v>18784.787500000002</v>
      </c>
      <c r="AD867" s="1744">
        <v>32496.987500000003</v>
      </c>
      <c r="AE867" s="2126">
        <v>1</v>
      </c>
      <c r="AF867" s="2126">
        <v>607.80669144981414</v>
      </c>
      <c r="AG867" s="1212">
        <v>1</v>
      </c>
      <c r="AH867" s="1212">
        <v>0</v>
      </c>
      <c r="AI867" s="1212">
        <v>0</v>
      </c>
      <c r="AJ867" s="1212">
        <v>1</v>
      </c>
      <c r="AK867" s="2126">
        <v>32496.987500000003</v>
      </c>
      <c r="AL867" s="2126">
        <v>0</v>
      </c>
      <c r="AM867" s="2126">
        <v>0</v>
      </c>
      <c r="AN867" s="2126">
        <v>32496.987500000003</v>
      </c>
      <c r="AO867" s="1743" t="s">
        <v>85</v>
      </c>
      <c r="AP867" s="1743"/>
      <c r="AQ867" s="1764">
        <v>2014</v>
      </c>
      <c r="AR867" s="1743" t="s">
        <v>87</v>
      </c>
      <c r="AS867" s="2135"/>
      <c r="AT867" s="2135"/>
      <c r="AU867" s="1212">
        <v>0.33333333333333331</v>
      </c>
      <c r="AV867" s="1212">
        <v>0.33333333333333331</v>
      </c>
      <c r="AW867" s="1212">
        <v>0.33333333333333331</v>
      </c>
      <c r="AX867" s="1212"/>
      <c r="AY867" s="1212"/>
      <c r="AZ867" s="1212"/>
      <c r="BA867" s="1212"/>
      <c r="BB867" s="1212"/>
      <c r="BC867" s="1212"/>
      <c r="BD867" s="1212"/>
      <c r="BE867" s="1212"/>
      <c r="BF867" s="2126">
        <v>0</v>
      </c>
      <c r="BG867" s="2126">
        <v>0</v>
      </c>
      <c r="BH867" s="2126">
        <v>10832.329166666666</v>
      </c>
      <c r="BI867" s="2126">
        <v>10832.329166666666</v>
      </c>
      <c r="BJ867" s="2126">
        <v>10832.329166666666</v>
      </c>
      <c r="BK867" s="2126">
        <v>0</v>
      </c>
      <c r="BL867" s="2126">
        <v>0</v>
      </c>
      <c r="BM867" s="2126">
        <v>0</v>
      </c>
      <c r="BN867" s="2126">
        <v>0</v>
      </c>
      <c r="BO867" s="2126">
        <v>0</v>
      </c>
      <c r="BP867" s="2126">
        <v>0</v>
      </c>
      <c r="BQ867" s="2126">
        <v>0</v>
      </c>
      <c r="BR867" s="2126">
        <v>0</v>
      </c>
    </row>
    <row r="868" spans="1:70" s="1765" customFormat="1" ht="49.5">
      <c r="A868" s="1272">
        <v>4000</v>
      </c>
      <c r="B868" s="971" t="s">
        <v>1316</v>
      </c>
      <c r="C868" s="1272">
        <v>4500</v>
      </c>
      <c r="D868" s="971" t="s">
        <v>452</v>
      </c>
      <c r="E868" s="971" t="s">
        <v>1546</v>
      </c>
      <c r="F868" s="971" t="s">
        <v>454</v>
      </c>
      <c r="G868" s="971">
        <v>4511</v>
      </c>
      <c r="H868" s="971" t="s">
        <v>565</v>
      </c>
      <c r="I868" s="1273" t="s">
        <v>1671</v>
      </c>
      <c r="J868" s="971" t="s">
        <v>124</v>
      </c>
      <c r="K868" s="971" t="s">
        <v>784</v>
      </c>
      <c r="L868" s="971" t="s">
        <v>2852</v>
      </c>
      <c r="M868" s="971" t="s">
        <v>458</v>
      </c>
      <c r="N868" s="971" t="s">
        <v>127</v>
      </c>
      <c r="O868" s="971" t="s">
        <v>459</v>
      </c>
      <c r="P868" s="971"/>
      <c r="Q868" s="971" t="s">
        <v>570</v>
      </c>
      <c r="R868" s="1266" t="s">
        <v>1672</v>
      </c>
      <c r="S868" s="2106">
        <v>423.79182156133828</v>
      </c>
      <c r="T868" s="1266" t="s">
        <v>136</v>
      </c>
      <c r="U868" s="1742">
        <v>0.22416666666666665</v>
      </c>
      <c r="V868" s="1742">
        <v>2.8020833333333335</v>
      </c>
      <c r="W868" s="1742">
        <v>19.758049999999997</v>
      </c>
      <c r="X868" s="1742">
        <v>30.905858333333335</v>
      </c>
      <c r="Y868" s="2106">
        <v>53.46599166666666</v>
      </c>
      <c r="Z868" s="2106">
        <v>94.999999999999986</v>
      </c>
      <c r="AA868" s="2106">
        <v>1187.5</v>
      </c>
      <c r="AB868" s="2106">
        <v>8373.2999999999993</v>
      </c>
      <c r="AC868" s="2106">
        <v>13097.65</v>
      </c>
      <c r="AD868" s="1744">
        <v>22658.449999999997</v>
      </c>
      <c r="AE868" s="2126">
        <v>1</v>
      </c>
      <c r="AF868" s="2126">
        <v>423.79182156133828</v>
      </c>
      <c r="AG868" s="1212">
        <v>1</v>
      </c>
      <c r="AH868" s="1212">
        <v>0</v>
      </c>
      <c r="AI868" s="1212">
        <v>0</v>
      </c>
      <c r="AJ868" s="1212">
        <v>1</v>
      </c>
      <c r="AK868" s="2126">
        <v>22658.449999999997</v>
      </c>
      <c r="AL868" s="2126">
        <v>0</v>
      </c>
      <c r="AM868" s="2126">
        <v>0</v>
      </c>
      <c r="AN868" s="2126">
        <v>22658.449999999997</v>
      </c>
      <c r="AO868" s="1743" t="s">
        <v>85</v>
      </c>
      <c r="AP868" s="1743"/>
      <c r="AQ868" s="1764">
        <v>2014</v>
      </c>
      <c r="AR868" s="1743" t="s">
        <v>87</v>
      </c>
      <c r="AS868" s="2135"/>
      <c r="AT868" s="2135"/>
      <c r="AU868" s="1212">
        <v>0.33333333333333331</v>
      </c>
      <c r="AV868" s="1212">
        <v>0.33333333333333331</v>
      </c>
      <c r="AW868" s="1212">
        <v>0.33333333333333331</v>
      </c>
      <c r="AX868" s="1212"/>
      <c r="AY868" s="1212"/>
      <c r="AZ868" s="1212"/>
      <c r="BA868" s="1212"/>
      <c r="BB868" s="1212"/>
      <c r="BC868" s="1212"/>
      <c r="BD868" s="1212"/>
      <c r="BE868" s="1212"/>
      <c r="BF868" s="2126">
        <v>0</v>
      </c>
      <c r="BG868" s="2126">
        <v>0</v>
      </c>
      <c r="BH868" s="2126">
        <v>7552.8166666666657</v>
      </c>
      <c r="BI868" s="2126">
        <v>7552.8166666666657</v>
      </c>
      <c r="BJ868" s="2126">
        <v>7552.8166666666657</v>
      </c>
      <c r="BK868" s="2126">
        <v>0</v>
      </c>
      <c r="BL868" s="2126">
        <v>0</v>
      </c>
      <c r="BM868" s="2126">
        <v>0</v>
      </c>
      <c r="BN868" s="2126">
        <v>0</v>
      </c>
      <c r="BO868" s="2126">
        <v>0</v>
      </c>
      <c r="BP868" s="2126">
        <v>0</v>
      </c>
      <c r="BQ868" s="2126">
        <v>0</v>
      </c>
      <c r="BR868" s="2126">
        <v>0</v>
      </c>
    </row>
    <row r="869" spans="1:70" s="1765" customFormat="1" ht="49.5">
      <c r="A869" s="1272">
        <v>4000</v>
      </c>
      <c r="B869" s="971" t="s">
        <v>1316</v>
      </c>
      <c r="C869" s="1272">
        <v>4500</v>
      </c>
      <c r="D869" s="971" t="s">
        <v>452</v>
      </c>
      <c r="E869" s="971" t="s">
        <v>1546</v>
      </c>
      <c r="F869" s="971" t="s">
        <v>454</v>
      </c>
      <c r="G869" s="971">
        <v>4511</v>
      </c>
      <c r="H869" s="971" t="s">
        <v>565</v>
      </c>
      <c r="I869" s="1273" t="s">
        <v>1673</v>
      </c>
      <c r="J869" s="971" t="s">
        <v>124</v>
      </c>
      <c r="K869" s="971" t="s">
        <v>784</v>
      </c>
      <c r="L869" s="971" t="s">
        <v>2852</v>
      </c>
      <c r="M869" s="971" t="s">
        <v>458</v>
      </c>
      <c r="N869" s="971" t="s">
        <v>127</v>
      </c>
      <c r="O869" s="971" t="s">
        <v>459</v>
      </c>
      <c r="P869" s="971"/>
      <c r="Q869" s="971" t="s">
        <v>1674</v>
      </c>
      <c r="R869" s="1266" t="s">
        <v>1675</v>
      </c>
      <c r="S869" s="2106">
        <v>312.26765799256503</v>
      </c>
      <c r="T869" s="1266" t="s">
        <v>136</v>
      </c>
      <c r="U869" s="1742">
        <v>0.22416666666666665</v>
      </c>
      <c r="V869" s="1742">
        <v>2.8020833333333335</v>
      </c>
      <c r="W869" s="1742">
        <v>19.758049999999997</v>
      </c>
      <c r="X869" s="1742">
        <v>30.905858333333335</v>
      </c>
      <c r="Y869" s="2106">
        <v>53.46599166666666</v>
      </c>
      <c r="Z869" s="2106">
        <v>69.999999999999986</v>
      </c>
      <c r="AA869" s="2106">
        <v>875</v>
      </c>
      <c r="AB869" s="2106">
        <v>6169.7999999999984</v>
      </c>
      <c r="AC869" s="2106">
        <v>9650.9</v>
      </c>
      <c r="AD869" s="1744">
        <v>16695.699999999997</v>
      </c>
      <c r="AE869" s="2126">
        <v>1</v>
      </c>
      <c r="AF869" s="2126">
        <v>312.26765799256503</v>
      </c>
      <c r="AG869" s="1212">
        <v>1</v>
      </c>
      <c r="AH869" s="1212">
        <v>0</v>
      </c>
      <c r="AI869" s="1212">
        <v>0</v>
      </c>
      <c r="AJ869" s="1212">
        <v>1</v>
      </c>
      <c r="AK869" s="2126">
        <v>16695.699999999997</v>
      </c>
      <c r="AL869" s="2126">
        <v>0</v>
      </c>
      <c r="AM869" s="2126">
        <v>0</v>
      </c>
      <c r="AN869" s="2126">
        <v>16695.699999999997</v>
      </c>
      <c r="AO869" s="1743" t="s">
        <v>85</v>
      </c>
      <c r="AP869" s="1743"/>
      <c r="AQ869" s="1764">
        <v>2014</v>
      </c>
      <c r="AR869" s="1743" t="s">
        <v>87</v>
      </c>
      <c r="AS869" s="2135"/>
      <c r="AT869" s="2135"/>
      <c r="AU869" s="1212">
        <v>0.33333333333333331</v>
      </c>
      <c r="AV869" s="1212">
        <v>0.33333333333333331</v>
      </c>
      <c r="AW869" s="1212">
        <v>0.33333333333333331</v>
      </c>
      <c r="AX869" s="1212"/>
      <c r="AY869" s="1212"/>
      <c r="AZ869" s="1212"/>
      <c r="BA869" s="1212"/>
      <c r="BB869" s="1212"/>
      <c r="BC869" s="1212"/>
      <c r="BD869" s="1212"/>
      <c r="BE869" s="1212"/>
      <c r="BF869" s="2126">
        <v>0</v>
      </c>
      <c r="BG869" s="2126">
        <v>0</v>
      </c>
      <c r="BH869" s="2126">
        <v>5565.2333333333318</v>
      </c>
      <c r="BI869" s="2126">
        <v>5565.2333333333318</v>
      </c>
      <c r="BJ869" s="2126">
        <v>5565.2333333333318</v>
      </c>
      <c r="BK869" s="2126">
        <v>0</v>
      </c>
      <c r="BL869" s="2126">
        <v>0</v>
      </c>
      <c r="BM869" s="2126">
        <v>0</v>
      </c>
      <c r="BN869" s="2126">
        <v>0</v>
      </c>
      <c r="BO869" s="2126">
        <v>0</v>
      </c>
      <c r="BP869" s="2126">
        <v>0</v>
      </c>
      <c r="BQ869" s="2126">
        <v>0</v>
      </c>
      <c r="BR869" s="2126">
        <v>0</v>
      </c>
    </row>
    <row r="870" spans="1:70" s="1765" customFormat="1" ht="33">
      <c r="A870" s="1272">
        <v>4000</v>
      </c>
      <c r="B870" s="971" t="s">
        <v>1316</v>
      </c>
      <c r="C870" s="1272">
        <v>4500</v>
      </c>
      <c r="D870" s="971" t="s">
        <v>452</v>
      </c>
      <c r="E870" s="971" t="s">
        <v>1546</v>
      </c>
      <c r="F870" s="971" t="s">
        <v>454</v>
      </c>
      <c r="G870" s="971">
        <v>4511</v>
      </c>
      <c r="H870" s="971" t="s">
        <v>565</v>
      </c>
      <c r="I870" s="1273" t="s">
        <v>1676</v>
      </c>
      <c r="J870" s="971" t="s">
        <v>124</v>
      </c>
      <c r="K870" s="971" t="s">
        <v>140</v>
      </c>
      <c r="L870" s="971" t="s">
        <v>2909</v>
      </c>
      <c r="M870" s="971" t="s">
        <v>140</v>
      </c>
      <c r="N870" s="971" t="s">
        <v>141</v>
      </c>
      <c r="O870" s="971" t="s">
        <v>142</v>
      </c>
      <c r="P870" s="971"/>
      <c r="Q870" s="971" t="s">
        <v>1677</v>
      </c>
      <c r="R870" s="1266" t="s">
        <v>1675</v>
      </c>
      <c r="S870" s="2106">
        <v>312.26765799256503</v>
      </c>
      <c r="T870" s="1266" t="s">
        <v>136</v>
      </c>
      <c r="U870" s="1742">
        <v>0</v>
      </c>
      <c r="V870" s="1742">
        <v>0</v>
      </c>
      <c r="W870" s="1742">
        <v>0</v>
      </c>
      <c r="X870" s="1742">
        <v>0</v>
      </c>
      <c r="Y870" s="2106">
        <v>0</v>
      </c>
      <c r="Z870" s="2106">
        <v>0</v>
      </c>
      <c r="AA870" s="2106">
        <v>0</v>
      </c>
      <c r="AB870" s="2106">
        <v>0</v>
      </c>
      <c r="AC870" s="2106">
        <v>0</v>
      </c>
      <c r="AD870" s="1744">
        <v>0</v>
      </c>
      <c r="AE870" s="2126">
        <v>0</v>
      </c>
      <c r="AF870" s="2126">
        <v>0</v>
      </c>
      <c r="AG870" s="1212">
        <v>1</v>
      </c>
      <c r="AH870" s="1212">
        <v>0</v>
      </c>
      <c r="AI870" s="1212">
        <v>0</v>
      </c>
      <c r="AJ870" s="1212">
        <v>1</v>
      </c>
      <c r="AK870" s="2126">
        <v>0</v>
      </c>
      <c r="AL870" s="2126">
        <v>0</v>
      </c>
      <c r="AM870" s="2126">
        <v>0</v>
      </c>
      <c r="AN870" s="2126">
        <v>0</v>
      </c>
      <c r="AO870" s="1743" t="s">
        <v>85</v>
      </c>
      <c r="AP870" s="1743"/>
      <c r="AQ870" s="1764">
        <v>2014</v>
      </c>
      <c r="AR870" s="1743" t="s">
        <v>87</v>
      </c>
      <c r="AS870" s="2135"/>
      <c r="AT870" s="2135"/>
      <c r="AU870" s="1212">
        <v>0.33333333333333331</v>
      </c>
      <c r="AV870" s="1212">
        <v>0.33333333333333331</v>
      </c>
      <c r="AW870" s="1212">
        <v>0.33333333333333331</v>
      </c>
      <c r="AX870" s="1212"/>
      <c r="AY870" s="1212"/>
      <c r="AZ870" s="1212"/>
      <c r="BA870" s="1212"/>
      <c r="BB870" s="1212"/>
      <c r="BC870" s="1212"/>
      <c r="BD870" s="1212"/>
      <c r="BE870" s="1212"/>
      <c r="BF870" s="2126">
        <v>0</v>
      </c>
      <c r="BG870" s="2126">
        <v>0</v>
      </c>
      <c r="BH870" s="2126">
        <v>0</v>
      </c>
      <c r="BI870" s="2126">
        <v>0</v>
      </c>
      <c r="BJ870" s="2126">
        <v>0</v>
      </c>
      <c r="BK870" s="2126">
        <v>0</v>
      </c>
      <c r="BL870" s="2126">
        <v>0</v>
      </c>
      <c r="BM870" s="2126">
        <v>0</v>
      </c>
      <c r="BN870" s="2126">
        <v>0</v>
      </c>
      <c r="BO870" s="2126">
        <v>0</v>
      </c>
      <c r="BP870" s="2126">
        <v>0</v>
      </c>
      <c r="BQ870" s="2126">
        <v>0</v>
      </c>
      <c r="BR870" s="2126">
        <v>0</v>
      </c>
    </row>
    <row r="871" spans="1:70" s="1765" customFormat="1" ht="33">
      <c r="A871" s="1272">
        <v>4000</v>
      </c>
      <c r="B871" s="971" t="s">
        <v>1316</v>
      </c>
      <c r="C871" s="1272">
        <v>4500</v>
      </c>
      <c r="D871" s="971" t="s">
        <v>452</v>
      </c>
      <c r="E871" s="971" t="s">
        <v>1546</v>
      </c>
      <c r="F871" s="971" t="s">
        <v>454</v>
      </c>
      <c r="G871" s="971">
        <v>4511</v>
      </c>
      <c r="H871" s="971" t="s">
        <v>565</v>
      </c>
      <c r="I871" s="1273" t="s">
        <v>1678</v>
      </c>
      <c r="J871" s="971" t="s">
        <v>124</v>
      </c>
      <c r="K871" s="971"/>
      <c r="L871" s="971" t="e">
        <v>#N/A</v>
      </c>
      <c r="M871" s="971" t="s">
        <v>145</v>
      </c>
      <c r="N871" s="971" t="s">
        <v>141</v>
      </c>
      <c r="O871" s="971" t="s">
        <v>146</v>
      </c>
      <c r="P871" s="971"/>
      <c r="Q871" s="971" t="s">
        <v>1679</v>
      </c>
      <c r="R871" s="1266" t="s">
        <v>1675</v>
      </c>
      <c r="S871" s="2106">
        <v>312.26765799256503</v>
      </c>
      <c r="T871" s="1266" t="s">
        <v>136</v>
      </c>
      <c r="U871" s="1742" t="s">
        <v>6588</v>
      </c>
      <c r="V871" s="1742" t="s">
        <v>6588</v>
      </c>
      <c r="W871" s="1742" t="s">
        <v>6588</v>
      </c>
      <c r="X871" s="1742" t="s">
        <v>6588</v>
      </c>
      <c r="Y871" s="2106" t="s">
        <v>6588</v>
      </c>
      <c r="Z871" s="2106">
        <v>0</v>
      </c>
      <c r="AA871" s="2106">
        <v>0</v>
      </c>
      <c r="AB871" s="2106">
        <v>0</v>
      </c>
      <c r="AC871" s="2106">
        <v>0</v>
      </c>
      <c r="AD871" s="1744">
        <v>0</v>
      </c>
      <c r="AE871" s="2126">
        <v>0</v>
      </c>
      <c r="AF871" s="2126">
        <v>0</v>
      </c>
      <c r="AG871" s="1212">
        <v>1</v>
      </c>
      <c r="AH871" s="1212">
        <v>0</v>
      </c>
      <c r="AI871" s="1212">
        <v>0</v>
      </c>
      <c r="AJ871" s="1212">
        <v>1</v>
      </c>
      <c r="AK871" s="2126">
        <v>0</v>
      </c>
      <c r="AL871" s="2126">
        <v>0</v>
      </c>
      <c r="AM871" s="2126">
        <v>0</v>
      </c>
      <c r="AN871" s="2126">
        <v>0</v>
      </c>
      <c r="AO871" s="1743" t="s">
        <v>85</v>
      </c>
      <c r="AP871" s="1743"/>
      <c r="AQ871" s="1764">
        <v>2014</v>
      </c>
      <c r="AR871" s="1743" t="s">
        <v>87</v>
      </c>
      <c r="AS871" s="2135"/>
      <c r="AT871" s="2135"/>
      <c r="AU871" s="1212">
        <v>0.33333333333333331</v>
      </c>
      <c r="AV871" s="1212">
        <v>0.33333333333333331</v>
      </c>
      <c r="AW871" s="1212">
        <v>0.33333333333333331</v>
      </c>
      <c r="AX871" s="1212"/>
      <c r="AY871" s="1212"/>
      <c r="AZ871" s="1212"/>
      <c r="BA871" s="1212"/>
      <c r="BB871" s="1212"/>
      <c r="BC871" s="1212"/>
      <c r="BD871" s="1212"/>
      <c r="BE871" s="1212"/>
      <c r="BF871" s="2126">
        <v>0</v>
      </c>
      <c r="BG871" s="2126">
        <v>0</v>
      </c>
      <c r="BH871" s="2126">
        <v>0</v>
      </c>
      <c r="BI871" s="2126">
        <v>0</v>
      </c>
      <c r="BJ871" s="2126">
        <v>0</v>
      </c>
      <c r="BK871" s="2126">
        <v>0</v>
      </c>
      <c r="BL871" s="2126">
        <v>0</v>
      </c>
      <c r="BM871" s="2126">
        <v>0</v>
      </c>
      <c r="BN871" s="2126">
        <v>0</v>
      </c>
      <c r="BO871" s="2126">
        <v>0</v>
      </c>
      <c r="BP871" s="2126">
        <v>0</v>
      </c>
      <c r="BQ871" s="2126">
        <v>0</v>
      </c>
      <c r="BR871" s="2126">
        <v>0</v>
      </c>
    </row>
    <row r="872" spans="1:70" s="1765" customFormat="1" ht="33">
      <c r="A872" s="1272">
        <v>4000</v>
      </c>
      <c r="B872" s="971" t="s">
        <v>1316</v>
      </c>
      <c r="C872" s="1272">
        <v>4500</v>
      </c>
      <c r="D872" s="971" t="s">
        <v>452</v>
      </c>
      <c r="E872" s="971" t="s">
        <v>1546</v>
      </c>
      <c r="F872" s="971" t="s">
        <v>454</v>
      </c>
      <c r="G872" s="971">
        <v>4511</v>
      </c>
      <c r="H872" s="971" t="s">
        <v>565</v>
      </c>
      <c r="I872" s="1273" t="s">
        <v>1680</v>
      </c>
      <c r="J872" s="971" t="s">
        <v>124</v>
      </c>
      <c r="K872" s="971" t="s">
        <v>140</v>
      </c>
      <c r="L872" s="971" t="s">
        <v>2909</v>
      </c>
      <c r="M872" s="971" t="s">
        <v>140</v>
      </c>
      <c r="N872" s="971" t="s">
        <v>141</v>
      </c>
      <c r="O872" s="971" t="s">
        <v>142</v>
      </c>
      <c r="P872" s="971"/>
      <c r="Q872" s="971" t="s">
        <v>580</v>
      </c>
      <c r="R872" s="1266" t="s">
        <v>1672</v>
      </c>
      <c r="S872" s="2106">
        <v>423.79182156133828</v>
      </c>
      <c r="T872" s="1266" t="s">
        <v>136</v>
      </c>
      <c r="U872" s="1742">
        <v>0</v>
      </c>
      <c r="V872" s="1742">
        <v>0</v>
      </c>
      <c r="W872" s="1742">
        <v>0</v>
      </c>
      <c r="X872" s="1742">
        <v>0</v>
      </c>
      <c r="Y872" s="2106">
        <v>0</v>
      </c>
      <c r="Z872" s="2106">
        <v>0</v>
      </c>
      <c r="AA872" s="2106">
        <v>0</v>
      </c>
      <c r="AB872" s="2106">
        <v>0</v>
      </c>
      <c r="AC872" s="2106">
        <v>0</v>
      </c>
      <c r="AD872" s="1744">
        <v>0</v>
      </c>
      <c r="AE872" s="2126">
        <v>0</v>
      </c>
      <c r="AF872" s="2126">
        <v>0</v>
      </c>
      <c r="AG872" s="1212">
        <v>1</v>
      </c>
      <c r="AH872" s="1212">
        <v>0</v>
      </c>
      <c r="AI872" s="1212">
        <v>0</v>
      </c>
      <c r="AJ872" s="1212">
        <v>1</v>
      </c>
      <c r="AK872" s="2126">
        <v>0</v>
      </c>
      <c r="AL872" s="2126">
        <v>0</v>
      </c>
      <c r="AM872" s="2126">
        <v>0</v>
      </c>
      <c r="AN872" s="2126">
        <v>0</v>
      </c>
      <c r="AO872" s="1743" t="s">
        <v>85</v>
      </c>
      <c r="AP872" s="1743"/>
      <c r="AQ872" s="1764">
        <v>2014</v>
      </c>
      <c r="AR872" s="1743" t="s">
        <v>87</v>
      </c>
      <c r="AS872" s="2135"/>
      <c r="AT872" s="2135"/>
      <c r="AU872" s="1212">
        <v>0.33333333333333331</v>
      </c>
      <c r="AV872" s="1212">
        <v>0.33333333333333331</v>
      </c>
      <c r="AW872" s="1212">
        <v>0.33333333333333331</v>
      </c>
      <c r="AX872" s="1212"/>
      <c r="AY872" s="1212"/>
      <c r="AZ872" s="1212"/>
      <c r="BA872" s="1212"/>
      <c r="BB872" s="1212"/>
      <c r="BC872" s="1212"/>
      <c r="BD872" s="1212"/>
      <c r="BE872" s="1212"/>
      <c r="BF872" s="2126">
        <v>0</v>
      </c>
      <c r="BG872" s="2126">
        <v>0</v>
      </c>
      <c r="BH872" s="2126">
        <v>0</v>
      </c>
      <c r="BI872" s="2126">
        <v>0</v>
      </c>
      <c r="BJ872" s="2126">
        <v>0</v>
      </c>
      <c r="BK872" s="2126">
        <v>0</v>
      </c>
      <c r="BL872" s="2126">
        <v>0</v>
      </c>
      <c r="BM872" s="2126">
        <v>0</v>
      </c>
      <c r="BN872" s="2126">
        <v>0</v>
      </c>
      <c r="BO872" s="2126">
        <v>0</v>
      </c>
      <c r="BP872" s="2126">
        <v>0</v>
      </c>
      <c r="BQ872" s="2126">
        <v>0</v>
      </c>
      <c r="BR872" s="2126">
        <v>0</v>
      </c>
    </row>
    <row r="873" spans="1:70" s="1765" customFormat="1" ht="33">
      <c r="A873" s="1272">
        <v>4000</v>
      </c>
      <c r="B873" s="971" t="s">
        <v>1316</v>
      </c>
      <c r="C873" s="1272">
        <v>4500</v>
      </c>
      <c r="D873" s="971" t="s">
        <v>452</v>
      </c>
      <c r="E873" s="971" t="s">
        <v>1546</v>
      </c>
      <c r="F873" s="971" t="s">
        <v>454</v>
      </c>
      <c r="G873" s="971">
        <v>4511</v>
      </c>
      <c r="H873" s="971" t="s">
        <v>565</v>
      </c>
      <c r="I873" s="1273" t="s">
        <v>1681</v>
      </c>
      <c r="J873" s="971" t="s">
        <v>124</v>
      </c>
      <c r="K873" s="971"/>
      <c r="L873" s="971" t="e">
        <v>#N/A</v>
      </c>
      <c r="M873" s="971" t="s">
        <v>145</v>
      </c>
      <c r="N873" s="971" t="s">
        <v>141</v>
      </c>
      <c r="O873" s="971" t="s">
        <v>146</v>
      </c>
      <c r="P873" s="971"/>
      <c r="Q873" s="971" t="s">
        <v>582</v>
      </c>
      <c r="R873" s="1266" t="s">
        <v>1672</v>
      </c>
      <c r="S873" s="2106">
        <v>423.79182156133828</v>
      </c>
      <c r="T873" s="1266" t="s">
        <v>136</v>
      </c>
      <c r="U873" s="1742" t="s">
        <v>6588</v>
      </c>
      <c r="V873" s="1742" t="s">
        <v>6588</v>
      </c>
      <c r="W873" s="1742" t="s">
        <v>6588</v>
      </c>
      <c r="X873" s="1742" t="s">
        <v>6588</v>
      </c>
      <c r="Y873" s="2106" t="s">
        <v>6588</v>
      </c>
      <c r="Z873" s="2106">
        <v>0</v>
      </c>
      <c r="AA873" s="2106">
        <v>0</v>
      </c>
      <c r="AB873" s="2106">
        <v>0</v>
      </c>
      <c r="AC873" s="2106">
        <v>0</v>
      </c>
      <c r="AD873" s="1744">
        <v>0</v>
      </c>
      <c r="AE873" s="2126">
        <v>0</v>
      </c>
      <c r="AF873" s="2126">
        <v>0</v>
      </c>
      <c r="AG873" s="1212">
        <v>1</v>
      </c>
      <c r="AH873" s="1212">
        <v>0</v>
      </c>
      <c r="AI873" s="1212">
        <v>0</v>
      </c>
      <c r="AJ873" s="1212">
        <v>1</v>
      </c>
      <c r="AK873" s="2126">
        <v>0</v>
      </c>
      <c r="AL873" s="2126">
        <v>0</v>
      </c>
      <c r="AM873" s="2126">
        <v>0</v>
      </c>
      <c r="AN873" s="2126">
        <v>0</v>
      </c>
      <c r="AO873" s="1743" t="s">
        <v>85</v>
      </c>
      <c r="AP873" s="1743"/>
      <c r="AQ873" s="1764">
        <v>2014</v>
      </c>
      <c r="AR873" s="1743" t="s">
        <v>87</v>
      </c>
      <c r="AS873" s="2135"/>
      <c r="AT873" s="2135"/>
      <c r="AU873" s="1212">
        <v>0.33333333333333331</v>
      </c>
      <c r="AV873" s="1212">
        <v>0.33333333333333331</v>
      </c>
      <c r="AW873" s="1212">
        <v>0.33333333333333331</v>
      </c>
      <c r="AX873" s="1212"/>
      <c r="AY873" s="1212"/>
      <c r="AZ873" s="1212"/>
      <c r="BA873" s="1212"/>
      <c r="BB873" s="1212"/>
      <c r="BC873" s="1212"/>
      <c r="BD873" s="1212"/>
      <c r="BE873" s="1212"/>
      <c r="BF873" s="2126">
        <v>0</v>
      </c>
      <c r="BG873" s="2126">
        <v>0</v>
      </c>
      <c r="BH873" s="2126">
        <v>0</v>
      </c>
      <c r="BI873" s="2126">
        <v>0</v>
      </c>
      <c r="BJ873" s="2126">
        <v>0</v>
      </c>
      <c r="BK873" s="2126">
        <v>0</v>
      </c>
      <c r="BL873" s="2126">
        <v>0</v>
      </c>
      <c r="BM873" s="2126">
        <v>0</v>
      </c>
      <c r="BN873" s="2126">
        <v>0</v>
      </c>
      <c r="BO873" s="2126">
        <v>0</v>
      </c>
      <c r="BP873" s="2126">
        <v>0</v>
      </c>
      <c r="BQ873" s="2126">
        <v>0</v>
      </c>
      <c r="BR873" s="2126">
        <v>0</v>
      </c>
    </row>
    <row r="874" spans="1:70" s="1765" customFormat="1" ht="33">
      <c r="A874" s="1272">
        <v>4000</v>
      </c>
      <c r="B874" s="971" t="s">
        <v>1316</v>
      </c>
      <c r="C874" s="1272">
        <v>4500</v>
      </c>
      <c r="D874" s="971" t="s">
        <v>452</v>
      </c>
      <c r="E874" s="971" t="s">
        <v>1546</v>
      </c>
      <c r="F874" s="971" t="s">
        <v>454</v>
      </c>
      <c r="G874" s="971">
        <v>4511</v>
      </c>
      <c r="H874" s="971" t="s">
        <v>565</v>
      </c>
      <c r="I874" s="1273" t="s">
        <v>1682</v>
      </c>
      <c r="J874" s="971" t="s">
        <v>124</v>
      </c>
      <c r="K874" s="971" t="s">
        <v>140</v>
      </c>
      <c r="L874" s="971" t="s">
        <v>2909</v>
      </c>
      <c r="M874" s="971" t="s">
        <v>140</v>
      </c>
      <c r="N874" s="971" t="s">
        <v>141</v>
      </c>
      <c r="O874" s="971" t="s">
        <v>142</v>
      </c>
      <c r="P874" s="971"/>
      <c r="Q874" s="971" t="s">
        <v>576</v>
      </c>
      <c r="R874" s="1266" t="s">
        <v>1670</v>
      </c>
      <c r="S874" s="2106">
        <v>607.80669144981414</v>
      </c>
      <c r="T874" s="1266" t="s">
        <v>136</v>
      </c>
      <c r="U874" s="1742">
        <v>0</v>
      </c>
      <c r="V874" s="1742">
        <v>0</v>
      </c>
      <c r="W874" s="1742">
        <v>0</v>
      </c>
      <c r="X874" s="1742">
        <v>0</v>
      </c>
      <c r="Y874" s="2106">
        <v>0</v>
      </c>
      <c r="Z874" s="2106">
        <v>0</v>
      </c>
      <c r="AA874" s="2106">
        <v>0</v>
      </c>
      <c r="AB874" s="2106">
        <v>0</v>
      </c>
      <c r="AC874" s="2106">
        <v>0</v>
      </c>
      <c r="AD874" s="1744">
        <v>0</v>
      </c>
      <c r="AE874" s="2126">
        <v>0</v>
      </c>
      <c r="AF874" s="2126">
        <v>0</v>
      </c>
      <c r="AG874" s="1212">
        <v>1</v>
      </c>
      <c r="AH874" s="1212">
        <v>0</v>
      </c>
      <c r="AI874" s="1212">
        <v>0</v>
      </c>
      <c r="AJ874" s="1212">
        <v>1</v>
      </c>
      <c r="AK874" s="2126">
        <v>0</v>
      </c>
      <c r="AL874" s="2126">
        <v>0</v>
      </c>
      <c r="AM874" s="2126">
        <v>0</v>
      </c>
      <c r="AN874" s="2126">
        <v>0</v>
      </c>
      <c r="AO874" s="1743" t="s">
        <v>85</v>
      </c>
      <c r="AP874" s="1743"/>
      <c r="AQ874" s="1764">
        <v>2014</v>
      </c>
      <c r="AR874" s="1743" t="s">
        <v>87</v>
      </c>
      <c r="AS874" s="2135"/>
      <c r="AT874" s="2135"/>
      <c r="AU874" s="1212">
        <v>0.33333333333333331</v>
      </c>
      <c r="AV874" s="1212">
        <v>0.33333333333333331</v>
      </c>
      <c r="AW874" s="1212">
        <v>0.33333333333333331</v>
      </c>
      <c r="AX874" s="1212"/>
      <c r="AY874" s="1212"/>
      <c r="AZ874" s="1212"/>
      <c r="BA874" s="1212"/>
      <c r="BB874" s="1212"/>
      <c r="BC874" s="1212"/>
      <c r="BD874" s="1212"/>
      <c r="BE874" s="1212"/>
      <c r="BF874" s="2126">
        <v>0</v>
      </c>
      <c r="BG874" s="2126">
        <v>0</v>
      </c>
      <c r="BH874" s="2126">
        <v>0</v>
      </c>
      <c r="BI874" s="2126">
        <v>0</v>
      </c>
      <c r="BJ874" s="2126">
        <v>0</v>
      </c>
      <c r="BK874" s="2126">
        <v>0</v>
      </c>
      <c r="BL874" s="2126">
        <v>0</v>
      </c>
      <c r="BM874" s="2126">
        <v>0</v>
      </c>
      <c r="BN874" s="2126">
        <v>0</v>
      </c>
      <c r="BO874" s="2126">
        <v>0</v>
      </c>
      <c r="BP874" s="2126">
        <v>0</v>
      </c>
      <c r="BQ874" s="2126">
        <v>0</v>
      </c>
      <c r="BR874" s="2126">
        <v>0</v>
      </c>
    </row>
    <row r="875" spans="1:70" s="1765" customFormat="1" ht="33">
      <c r="A875" s="1272">
        <v>4000</v>
      </c>
      <c r="B875" s="971" t="s">
        <v>1316</v>
      </c>
      <c r="C875" s="1272">
        <v>4500</v>
      </c>
      <c r="D875" s="971" t="s">
        <v>452</v>
      </c>
      <c r="E875" s="971" t="s">
        <v>1546</v>
      </c>
      <c r="F875" s="971" t="s">
        <v>454</v>
      </c>
      <c r="G875" s="971">
        <v>4511</v>
      </c>
      <c r="H875" s="971" t="s">
        <v>565</v>
      </c>
      <c r="I875" s="1273" t="s">
        <v>1683</v>
      </c>
      <c r="J875" s="971" t="s">
        <v>124</v>
      </c>
      <c r="K875" s="971"/>
      <c r="L875" s="971" t="e">
        <v>#N/A</v>
      </c>
      <c r="M875" s="971" t="s">
        <v>145</v>
      </c>
      <c r="N875" s="971" t="s">
        <v>141</v>
      </c>
      <c r="O875" s="971" t="s">
        <v>146</v>
      </c>
      <c r="P875" s="971"/>
      <c r="Q875" s="971" t="s">
        <v>578</v>
      </c>
      <c r="R875" s="1266" t="s">
        <v>1670</v>
      </c>
      <c r="S875" s="2106">
        <v>607.80669144981414</v>
      </c>
      <c r="T875" s="1266" t="s">
        <v>136</v>
      </c>
      <c r="U875" s="1742" t="s">
        <v>6588</v>
      </c>
      <c r="V875" s="1742" t="s">
        <v>6588</v>
      </c>
      <c r="W875" s="1742" t="s">
        <v>6588</v>
      </c>
      <c r="X875" s="1742" t="s">
        <v>6588</v>
      </c>
      <c r="Y875" s="2106" t="s">
        <v>6588</v>
      </c>
      <c r="Z875" s="2106">
        <v>0</v>
      </c>
      <c r="AA875" s="2106">
        <v>0</v>
      </c>
      <c r="AB875" s="2106">
        <v>0</v>
      </c>
      <c r="AC875" s="2106">
        <v>0</v>
      </c>
      <c r="AD875" s="1744">
        <v>0</v>
      </c>
      <c r="AE875" s="2126">
        <v>0</v>
      </c>
      <c r="AF875" s="2126">
        <v>0</v>
      </c>
      <c r="AG875" s="1212">
        <v>1</v>
      </c>
      <c r="AH875" s="1212">
        <v>0</v>
      </c>
      <c r="AI875" s="1212">
        <v>0</v>
      </c>
      <c r="AJ875" s="1212">
        <v>1</v>
      </c>
      <c r="AK875" s="2126">
        <v>0</v>
      </c>
      <c r="AL875" s="2126">
        <v>0</v>
      </c>
      <c r="AM875" s="2126">
        <v>0</v>
      </c>
      <c r="AN875" s="2126">
        <v>0</v>
      </c>
      <c r="AO875" s="1743" t="s">
        <v>85</v>
      </c>
      <c r="AP875" s="1743"/>
      <c r="AQ875" s="1764">
        <v>2014</v>
      </c>
      <c r="AR875" s="1743" t="s">
        <v>87</v>
      </c>
      <c r="AS875" s="2135"/>
      <c r="AT875" s="2135"/>
      <c r="AU875" s="1212">
        <v>0.33333333333333331</v>
      </c>
      <c r="AV875" s="1212">
        <v>0.33333333333333331</v>
      </c>
      <c r="AW875" s="1212">
        <v>0.33333333333333331</v>
      </c>
      <c r="AX875" s="1212"/>
      <c r="AY875" s="1212"/>
      <c r="AZ875" s="1212"/>
      <c r="BA875" s="1212"/>
      <c r="BB875" s="1212"/>
      <c r="BC875" s="1212"/>
      <c r="BD875" s="1212"/>
      <c r="BE875" s="1212"/>
      <c r="BF875" s="2126">
        <v>0</v>
      </c>
      <c r="BG875" s="2126">
        <v>0</v>
      </c>
      <c r="BH875" s="2126">
        <v>0</v>
      </c>
      <c r="BI875" s="2126">
        <v>0</v>
      </c>
      <c r="BJ875" s="2126">
        <v>0</v>
      </c>
      <c r="BK875" s="2126">
        <v>0</v>
      </c>
      <c r="BL875" s="2126">
        <v>0</v>
      </c>
      <c r="BM875" s="2126">
        <v>0</v>
      </c>
      <c r="BN875" s="2126">
        <v>0</v>
      </c>
      <c r="BO875" s="2126">
        <v>0</v>
      </c>
      <c r="BP875" s="2126">
        <v>0</v>
      </c>
      <c r="BQ875" s="2126">
        <v>0</v>
      </c>
      <c r="BR875" s="2126">
        <v>0</v>
      </c>
    </row>
    <row r="876" spans="1:70" s="1765" customFormat="1" ht="33">
      <c r="A876" s="1272">
        <v>4000</v>
      </c>
      <c r="B876" s="971" t="s">
        <v>1316</v>
      </c>
      <c r="C876" s="1272">
        <v>4500</v>
      </c>
      <c r="D876" s="971" t="s">
        <v>452</v>
      </c>
      <c r="E876" s="971" t="s">
        <v>1546</v>
      </c>
      <c r="F876" s="971" t="s">
        <v>454</v>
      </c>
      <c r="G876" s="971">
        <v>4511</v>
      </c>
      <c r="H876" s="971" t="s">
        <v>565</v>
      </c>
      <c r="I876" s="1273" t="s">
        <v>1684</v>
      </c>
      <c r="J876" s="971" t="s">
        <v>124</v>
      </c>
      <c r="K876" s="971" t="s">
        <v>140</v>
      </c>
      <c r="L876" s="971" t="s">
        <v>2909</v>
      </c>
      <c r="M876" s="971" t="s">
        <v>140</v>
      </c>
      <c r="N876" s="971" t="s">
        <v>141</v>
      </c>
      <c r="O876" s="971" t="s">
        <v>142</v>
      </c>
      <c r="P876" s="971"/>
      <c r="Q876" s="971" t="s">
        <v>584</v>
      </c>
      <c r="R876" s="1266" t="s">
        <v>1668</v>
      </c>
      <c r="S876" s="2106">
        <v>1856.8773234200744</v>
      </c>
      <c r="T876" s="1266" t="s">
        <v>136</v>
      </c>
      <c r="U876" s="1742">
        <v>0</v>
      </c>
      <c r="V876" s="1742">
        <v>0</v>
      </c>
      <c r="W876" s="1742">
        <v>0</v>
      </c>
      <c r="X876" s="1742">
        <v>0</v>
      </c>
      <c r="Y876" s="2106">
        <v>0</v>
      </c>
      <c r="Z876" s="2106">
        <v>0</v>
      </c>
      <c r="AA876" s="2106">
        <v>0</v>
      </c>
      <c r="AB876" s="2106">
        <v>0</v>
      </c>
      <c r="AC876" s="2106">
        <v>0</v>
      </c>
      <c r="AD876" s="1744">
        <v>0</v>
      </c>
      <c r="AE876" s="2126">
        <v>0</v>
      </c>
      <c r="AF876" s="2126">
        <v>0</v>
      </c>
      <c r="AG876" s="1212">
        <v>1</v>
      </c>
      <c r="AH876" s="1212">
        <v>0</v>
      </c>
      <c r="AI876" s="1212">
        <v>0</v>
      </c>
      <c r="AJ876" s="1212">
        <v>1</v>
      </c>
      <c r="AK876" s="2126">
        <v>0</v>
      </c>
      <c r="AL876" s="2126">
        <v>0</v>
      </c>
      <c r="AM876" s="2126">
        <v>0</v>
      </c>
      <c r="AN876" s="2126">
        <v>0</v>
      </c>
      <c r="AO876" s="1743" t="s">
        <v>85</v>
      </c>
      <c r="AP876" s="1743"/>
      <c r="AQ876" s="1764">
        <v>2014</v>
      </c>
      <c r="AR876" s="1743" t="s">
        <v>87</v>
      </c>
      <c r="AS876" s="2135"/>
      <c r="AT876" s="2135"/>
      <c r="AU876" s="1212">
        <v>0.33333333333333331</v>
      </c>
      <c r="AV876" s="1212">
        <v>0.33333333333333331</v>
      </c>
      <c r="AW876" s="1212">
        <v>0.33333333333333331</v>
      </c>
      <c r="AX876" s="1212"/>
      <c r="AY876" s="1212"/>
      <c r="AZ876" s="1212"/>
      <c r="BA876" s="1212"/>
      <c r="BB876" s="1212"/>
      <c r="BC876" s="1212"/>
      <c r="BD876" s="1212"/>
      <c r="BE876" s="1212"/>
      <c r="BF876" s="2126">
        <v>0</v>
      </c>
      <c r="BG876" s="2126">
        <v>0</v>
      </c>
      <c r="BH876" s="2126">
        <v>0</v>
      </c>
      <c r="BI876" s="2126">
        <v>0</v>
      </c>
      <c r="BJ876" s="2126">
        <v>0</v>
      </c>
      <c r="BK876" s="2126">
        <v>0</v>
      </c>
      <c r="BL876" s="2126">
        <v>0</v>
      </c>
      <c r="BM876" s="2126">
        <v>0</v>
      </c>
      <c r="BN876" s="2126">
        <v>0</v>
      </c>
      <c r="BO876" s="2126">
        <v>0</v>
      </c>
      <c r="BP876" s="2126">
        <v>0</v>
      </c>
      <c r="BQ876" s="2126">
        <v>0</v>
      </c>
      <c r="BR876" s="2126">
        <v>0</v>
      </c>
    </row>
    <row r="877" spans="1:70" s="1765" customFormat="1" ht="33">
      <c r="A877" s="1272">
        <v>4000</v>
      </c>
      <c r="B877" s="971" t="s">
        <v>1316</v>
      </c>
      <c r="C877" s="1272">
        <v>4500</v>
      </c>
      <c r="D877" s="971" t="s">
        <v>452</v>
      </c>
      <c r="E877" s="971" t="s">
        <v>1546</v>
      </c>
      <c r="F877" s="971" t="s">
        <v>454</v>
      </c>
      <c r="G877" s="971">
        <v>4511</v>
      </c>
      <c r="H877" s="971" t="s">
        <v>565</v>
      </c>
      <c r="I877" s="1273" t="s">
        <v>1685</v>
      </c>
      <c r="J877" s="971" t="s">
        <v>124</v>
      </c>
      <c r="K877" s="971"/>
      <c r="L877" s="971" t="e">
        <v>#N/A</v>
      </c>
      <c r="M877" s="971" t="s">
        <v>145</v>
      </c>
      <c r="N877" s="971" t="s">
        <v>141</v>
      </c>
      <c r="O877" s="971" t="s">
        <v>146</v>
      </c>
      <c r="P877" s="971"/>
      <c r="Q877" s="971" t="s">
        <v>586</v>
      </c>
      <c r="R877" s="1266" t="s">
        <v>1668</v>
      </c>
      <c r="S877" s="2106">
        <v>1856.8773234200744</v>
      </c>
      <c r="T877" s="1266" t="s">
        <v>136</v>
      </c>
      <c r="U877" s="1742" t="s">
        <v>6588</v>
      </c>
      <c r="V877" s="1742" t="s">
        <v>6588</v>
      </c>
      <c r="W877" s="1742" t="s">
        <v>6588</v>
      </c>
      <c r="X877" s="1742" t="s">
        <v>6588</v>
      </c>
      <c r="Y877" s="2106" t="s">
        <v>6588</v>
      </c>
      <c r="Z877" s="2106">
        <v>0</v>
      </c>
      <c r="AA877" s="2106">
        <v>0</v>
      </c>
      <c r="AB877" s="2106">
        <v>0</v>
      </c>
      <c r="AC877" s="2106">
        <v>0</v>
      </c>
      <c r="AD877" s="1744">
        <v>0</v>
      </c>
      <c r="AE877" s="2126">
        <v>0</v>
      </c>
      <c r="AF877" s="2126">
        <v>0</v>
      </c>
      <c r="AG877" s="1212">
        <v>1</v>
      </c>
      <c r="AH877" s="1212">
        <v>0</v>
      </c>
      <c r="AI877" s="1212">
        <v>0</v>
      </c>
      <c r="AJ877" s="1212">
        <v>1</v>
      </c>
      <c r="AK877" s="2126">
        <v>0</v>
      </c>
      <c r="AL877" s="2126">
        <v>0</v>
      </c>
      <c r="AM877" s="2126">
        <v>0</v>
      </c>
      <c r="AN877" s="2126">
        <v>0</v>
      </c>
      <c r="AO877" s="1743" t="s">
        <v>85</v>
      </c>
      <c r="AP877" s="1743"/>
      <c r="AQ877" s="1764">
        <v>2014</v>
      </c>
      <c r="AR877" s="1743" t="s">
        <v>87</v>
      </c>
      <c r="AS877" s="2135"/>
      <c r="AT877" s="2135"/>
      <c r="AU877" s="1212">
        <v>0.33333333333333331</v>
      </c>
      <c r="AV877" s="1212">
        <v>0.33333333333333331</v>
      </c>
      <c r="AW877" s="1212">
        <v>0.33333333333333331</v>
      </c>
      <c r="AX877" s="1212"/>
      <c r="AY877" s="1212"/>
      <c r="AZ877" s="1212"/>
      <c r="BA877" s="1212"/>
      <c r="BB877" s="1212"/>
      <c r="BC877" s="1212"/>
      <c r="BD877" s="1212"/>
      <c r="BE877" s="1212"/>
      <c r="BF877" s="2126">
        <v>0</v>
      </c>
      <c r="BG877" s="2126">
        <v>0</v>
      </c>
      <c r="BH877" s="2126">
        <v>0</v>
      </c>
      <c r="BI877" s="2126">
        <v>0</v>
      </c>
      <c r="BJ877" s="2126">
        <v>0</v>
      </c>
      <c r="BK877" s="2126">
        <v>0</v>
      </c>
      <c r="BL877" s="2126">
        <v>0</v>
      </c>
      <c r="BM877" s="2126">
        <v>0</v>
      </c>
      <c r="BN877" s="2126">
        <v>0</v>
      </c>
      <c r="BO877" s="2126">
        <v>0</v>
      </c>
      <c r="BP877" s="2126">
        <v>0</v>
      </c>
      <c r="BQ877" s="2126">
        <v>0</v>
      </c>
      <c r="BR877" s="2126">
        <v>0</v>
      </c>
    </row>
    <row r="878" spans="1:70" s="1765" customFormat="1" ht="49.5">
      <c r="A878" s="1272">
        <v>4000</v>
      </c>
      <c r="B878" s="971" t="s">
        <v>1316</v>
      </c>
      <c r="C878" s="1272">
        <v>4500</v>
      </c>
      <c r="D878" s="971" t="s">
        <v>452</v>
      </c>
      <c r="E878" s="971" t="s">
        <v>1546</v>
      </c>
      <c r="F878" s="971" t="s">
        <v>454</v>
      </c>
      <c r="G878" s="971">
        <v>4511</v>
      </c>
      <c r="H878" s="971" t="s">
        <v>565</v>
      </c>
      <c r="I878" s="1273" t="s">
        <v>123</v>
      </c>
      <c r="J878" s="971" t="s">
        <v>124</v>
      </c>
      <c r="K878" s="971" t="s">
        <v>784</v>
      </c>
      <c r="L878" s="971" t="s">
        <v>2852</v>
      </c>
      <c r="M878" s="971" t="s">
        <v>458</v>
      </c>
      <c r="N878" s="971" t="s">
        <v>127</v>
      </c>
      <c r="O878" s="971" t="s">
        <v>459</v>
      </c>
      <c r="P878" s="971"/>
      <c r="Q878" s="971" t="s">
        <v>587</v>
      </c>
      <c r="R878" s="1266" t="s">
        <v>1668</v>
      </c>
      <c r="S878" s="2106">
        <v>0</v>
      </c>
      <c r="T878" s="1266" t="s">
        <v>136</v>
      </c>
      <c r="U878" s="1742">
        <v>0.22416666666666665</v>
      </c>
      <c r="V878" s="1742">
        <v>2.8020833333333335</v>
      </c>
      <c r="W878" s="1742">
        <v>19.758049999999997</v>
      </c>
      <c r="X878" s="1742">
        <v>30.905858333333335</v>
      </c>
      <c r="Y878" s="2106">
        <v>53.46599166666666</v>
      </c>
      <c r="Z878" s="2106">
        <v>0</v>
      </c>
      <c r="AA878" s="2106">
        <v>0</v>
      </c>
      <c r="AB878" s="2106">
        <v>0</v>
      </c>
      <c r="AC878" s="2106">
        <v>0</v>
      </c>
      <c r="AD878" s="1744">
        <v>0</v>
      </c>
      <c r="AE878" s="2126">
        <v>1</v>
      </c>
      <c r="AF878" s="2126">
        <v>0</v>
      </c>
      <c r="AG878" s="1212">
        <v>1</v>
      </c>
      <c r="AH878" s="1212">
        <v>0</v>
      </c>
      <c r="AI878" s="1212">
        <v>0</v>
      </c>
      <c r="AJ878" s="1212">
        <v>1</v>
      </c>
      <c r="AK878" s="2126">
        <v>0</v>
      </c>
      <c r="AL878" s="2126">
        <v>0</v>
      </c>
      <c r="AM878" s="2126">
        <v>0</v>
      </c>
      <c r="AN878" s="2126">
        <v>0</v>
      </c>
      <c r="AO878" s="1743" t="s">
        <v>85</v>
      </c>
      <c r="AP878" s="1743" t="s">
        <v>96</v>
      </c>
      <c r="AQ878" s="1764" t="s">
        <v>107</v>
      </c>
      <c r="AR878" s="1743" t="s">
        <v>87</v>
      </c>
      <c r="AS878" s="2135"/>
      <c r="AT878" s="2135"/>
      <c r="AU878" s="1212">
        <v>0.33333333333333331</v>
      </c>
      <c r="AV878" s="1212">
        <v>0.33333333333333331</v>
      </c>
      <c r="AW878" s="1212">
        <v>0.33333333333333331</v>
      </c>
      <c r="AX878" s="1212"/>
      <c r="AY878" s="1212"/>
      <c r="AZ878" s="1212"/>
      <c r="BA878" s="1212"/>
      <c r="BB878" s="1212"/>
      <c r="BC878" s="1212"/>
      <c r="BD878" s="1212"/>
      <c r="BE878" s="1212"/>
      <c r="BF878" s="2126">
        <v>0</v>
      </c>
      <c r="BG878" s="2126">
        <v>0</v>
      </c>
      <c r="BH878" s="2126">
        <v>0</v>
      </c>
      <c r="BI878" s="2126">
        <v>0</v>
      </c>
      <c r="BJ878" s="2126">
        <v>0</v>
      </c>
      <c r="BK878" s="2126">
        <v>0</v>
      </c>
      <c r="BL878" s="2126">
        <v>0</v>
      </c>
      <c r="BM878" s="2126">
        <v>0</v>
      </c>
      <c r="BN878" s="2126">
        <v>0</v>
      </c>
      <c r="BO878" s="2126">
        <v>0</v>
      </c>
      <c r="BP878" s="2126">
        <v>0</v>
      </c>
      <c r="BQ878" s="2126">
        <v>0</v>
      </c>
      <c r="BR878" s="2126">
        <v>0</v>
      </c>
    </row>
    <row r="879" spans="1:70" s="1765" customFormat="1" ht="33">
      <c r="A879" s="1272">
        <v>4000</v>
      </c>
      <c r="B879" s="971" t="s">
        <v>1316</v>
      </c>
      <c r="C879" s="1272">
        <v>4500</v>
      </c>
      <c r="D879" s="971" t="s">
        <v>452</v>
      </c>
      <c r="E879" s="971" t="s">
        <v>1546</v>
      </c>
      <c r="F879" s="971" t="s">
        <v>454</v>
      </c>
      <c r="G879" s="971">
        <v>4511</v>
      </c>
      <c r="H879" s="971" t="s">
        <v>565</v>
      </c>
      <c r="I879" s="1273" t="s">
        <v>123</v>
      </c>
      <c r="J879" s="971" t="s">
        <v>124</v>
      </c>
      <c r="K879" s="971" t="s">
        <v>140</v>
      </c>
      <c r="L879" s="971" t="s">
        <v>2909</v>
      </c>
      <c r="M879" s="971" t="s">
        <v>140</v>
      </c>
      <c r="N879" s="971" t="s">
        <v>141</v>
      </c>
      <c r="O879" s="971" t="s">
        <v>142</v>
      </c>
      <c r="P879" s="971"/>
      <c r="Q879" s="971" t="s">
        <v>588</v>
      </c>
      <c r="R879" s="1266" t="s">
        <v>1668</v>
      </c>
      <c r="S879" s="2106">
        <v>0</v>
      </c>
      <c r="T879" s="1266" t="s">
        <v>136</v>
      </c>
      <c r="U879" s="1742">
        <v>0</v>
      </c>
      <c r="V879" s="1742">
        <v>0</v>
      </c>
      <c r="W879" s="1742">
        <v>0</v>
      </c>
      <c r="X879" s="1742">
        <v>0</v>
      </c>
      <c r="Y879" s="2106">
        <v>0</v>
      </c>
      <c r="Z879" s="2106">
        <v>0</v>
      </c>
      <c r="AA879" s="2106">
        <v>0</v>
      </c>
      <c r="AB879" s="2106">
        <v>0</v>
      </c>
      <c r="AC879" s="2106">
        <v>0</v>
      </c>
      <c r="AD879" s="1744">
        <v>0</v>
      </c>
      <c r="AE879" s="2126">
        <v>0</v>
      </c>
      <c r="AF879" s="2126">
        <v>0</v>
      </c>
      <c r="AG879" s="1212">
        <v>1</v>
      </c>
      <c r="AH879" s="1212">
        <v>0</v>
      </c>
      <c r="AI879" s="1212">
        <v>0</v>
      </c>
      <c r="AJ879" s="1212">
        <v>1</v>
      </c>
      <c r="AK879" s="2126">
        <v>0</v>
      </c>
      <c r="AL879" s="2126">
        <v>0</v>
      </c>
      <c r="AM879" s="2126">
        <v>0</v>
      </c>
      <c r="AN879" s="2126">
        <v>0</v>
      </c>
      <c r="AO879" s="1743" t="s">
        <v>85</v>
      </c>
      <c r="AP879" s="1743" t="s">
        <v>96</v>
      </c>
      <c r="AQ879" s="1764" t="s">
        <v>107</v>
      </c>
      <c r="AR879" s="1743" t="s">
        <v>87</v>
      </c>
      <c r="AS879" s="2135"/>
      <c r="AT879" s="2135"/>
      <c r="AU879" s="1212">
        <v>0.33333333333333331</v>
      </c>
      <c r="AV879" s="1212">
        <v>0.33333333333333331</v>
      </c>
      <c r="AW879" s="1212">
        <v>0.33333333333333331</v>
      </c>
      <c r="AX879" s="1212"/>
      <c r="AY879" s="1212"/>
      <c r="AZ879" s="1212"/>
      <c r="BA879" s="1212"/>
      <c r="BB879" s="1212"/>
      <c r="BC879" s="1212"/>
      <c r="BD879" s="1212"/>
      <c r="BE879" s="1212"/>
      <c r="BF879" s="2126">
        <v>0</v>
      </c>
      <c r="BG879" s="2126">
        <v>0</v>
      </c>
      <c r="BH879" s="2126">
        <v>0</v>
      </c>
      <c r="BI879" s="2126">
        <v>0</v>
      </c>
      <c r="BJ879" s="2126">
        <v>0</v>
      </c>
      <c r="BK879" s="2126">
        <v>0</v>
      </c>
      <c r="BL879" s="2126">
        <v>0</v>
      </c>
      <c r="BM879" s="2126">
        <v>0</v>
      </c>
      <c r="BN879" s="2126">
        <v>0</v>
      </c>
      <c r="BO879" s="2126">
        <v>0</v>
      </c>
      <c r="BP879" s="2126">
        <v>0</v>
      </c>
      <c r="BQ879" s="2126">
        <v>0</v>
      </c>
      <c r="BR879" s="2126">
        <v>0</v>
      </c>
    </row>
    <row r="880" spans="1:70" s="1765" customFormat="1" ht="33">
      <c r="A880" s="1272">
        <v>4000</v>
      </c>
      <c r="B880" s="971" t="s">
        <v>1316</v>
      </c>
      <c r="C880" s="1272">
        <v>4500</v>
      </c>
      <c r="D880" s="971" t="s">
        <v>452</v>
      </c>
      <c r="E880" s="971" t="s">
        <v>1546</v>
      </c>
      <c r="F880" s="971" t="s">
        <v>454</v>
      </c>
      <c r="G880" s="971">
        <v>4511</v>
      </c>
      <c r="H880" s="971" t="s">
        <v>565</v>
      </c>
      <c r="I880" s="1273" t="s">
        <v>123</v>
      </c>
      <c r="J880" s="971" t="s">
        <v>124</v>
      </c>
      <c r="K880" s="971"/>
      <c r="L880" s="971" t="e">
        <v>#N/A</v>
      </c>
      <c r="M880" s="971" t="s">
        <v>145</v>
      </c>
      <c r="N880" s="971" t="s">
        <v>141</v>
      </c>
      <c r="O880" s="971" t="s">
        <v>146</v>
      </c>
      <c r="P880" s="971"/>
      <c r="Q880" s="971" t="s">
        <v>589</v>
      </c>
      <c r="R880" s="1266" t="s">
        <v>1668</v>
      </c>
      <c r="S880" s="2106">
        <v>0</v>
      </c>
      <c r="T880" s="1266" t="s">
        <v>136</v>
      </c>
      <c r="U880" s="1742" t="s">
        <v>6588</v>
      </c>
      <c r="V880" s="1742" t="s">
        <v>6588</v>
      </c>
      <c r="W880" s="1742" t="s">
        <v>6588</v>
      </c>
      <c r="X880" s="1742" t="s">
        <v>6588</v>
      </c>
      <c r="Y880" s="2106" t="s">
        <v>6588</v>
      </c>
      <c r="Z880" s="2106">
        <v>0</v>
      </c>
      <c r="AA880" s="2106">
        <v>0</v>
      </c>
      <c r="AB880" s="2106">
        <v>0</v>
      </c>
      <c r="AC880" s="2106">
        <v>0</v>
      </c>
      <c r="AD880" s="1744">
        <v>0</v>
      </c>
      <c r="AE880" s="2126">
        <v>0</v>
      </c>
      <c r="AF880" s="2126">
        <v>0</v>
      </c>
      <c r="AG880" s="1212">
        <v>1</v>
      </c>
      <c r="AH880" s="1212">
        <v>0</v>
      </c>
      <c r="AI880" s="1212">
        <v>0</v>
      </c>
      <c r="AJ880" s="1212">
        <v>1</v>
      </c>
      <c r="AK880" s="2126">
        <v>0</v>
      </c>
      <c r="AL880" s="2126">
        <v>0</v>
      </c>
      <c r="AM880" s="2126">
        <v>0</v>
      </c>
      <c r="AN880" s="2126">
        <v>0</v>
      </c>
      <c r="AO880" s="1743" t="s">
        <v>85</v>
      </c>
      <c r="AP880" s="1743" t="s">
        <v>96</v>
      </c>
      <c r="AQ880" s="1764" t="s">
        <v>107</v>
      </c>
      <c r="AR880" s="1743" t="s">
        <v>87</v>
      </c>
      <c r="AS880" s="2135"/>
      <c r="AT880" s="2135"/>
      <c r="AU880" s="1212">
        <v>0.33333333333333331</v>
      </c>
      <c r="AV880" s="1212">
        <v>0.33333333333333331</v>
      </c>
      <c r="AW880" s="1212">
        <v>0.33333333333333331</v>
      </c>
      <c r="AX880" s="1212"/>
      <c r="AY880" s="1212"/>
      <c r="AZ880" s="1212"/>
      <c r="BA880" s="1212"/>
      <c r="BB880" s="1212"/>
      <c r="BC880" s="1212"/>
      <c r="BD880" s="1212"/>
      <c r="BE880" s="1212"/>
      <c r="BF880" s="2126">
        <v>0</v>
      </c>
      <c r="BG880" s="2126">
        <v>0</v>
      </c>
      <c r="BH880" s="2126">
        <v>0</v>
      </c>
      <c r="BI880" s="2126">
        <v>0</v>
      </c>
      <c r="BJ880" s="2126">
        <v>0</v>
      </c>
      <c r="BK880" s="2126">
        <v>0</v>
      </c>
      <c r="BL880" s="2126">
        <v>0</v>
      </c>
      <c r="BM880" s="2126">
        <v>0</v>
      </c>
      <c r="BN880" s="2126">
        <v>0</v>
      </c>
      <c r="BO880" s="2126">
        <v>0</v>
      </c>
      <c r="BP880" s="2126">
        <v>0</v>
      </c>
      <c r="BQ880" s="2126">
        <v>0</v>
      </c>
      <c r="BR880" s="2126">
        <v>0</v>
      </c>
    </row>
    <row r="881" spans="1:70" s="1765" customFormat="1" ht="49.5">
      <c r="A881" s="1272">
        <v>4000</v>
      </c>
      <c r="B881" s="971" t="s">
        <v>1316</v>
      </c>
      <c r="C881" s="1272">
        <v>4500</v>
      </c>
      <c r="D881" s="971" t="s">
        <v>452</v>
      </c>
      <c r="E881" s="971" t="s">
        <v>1546</v>
      </c>
      <c r="F881" s="971" t="s">
        <v>454</v>
      </c>
      <c r="G881" s="971">
        <v>4511</v>
      </c>
      <c r="H881" s="971" t="s">
        <v>565</v>
      </c>
      <c r="I881" s="1273" t="s">
        <v>490</v>
      </c>
      <c r="J881" s="971" t="s">
        <v>124</v>
      </c>
      <c r="K881" s="971" t="s">
        <v>784</v>
      </c>
      <c r="L881" s="971" t="s">
        <v>2852</v>
      </c>
      <c r="M881" s="971" t="s">
        <v>458</v>
      </c>
      <c r="N881" s="971" t="s">
        <v>127</v>
      </c>
      <c r="O881" s="971" t="s">
        <v>459</v>
      </c>
      <c r="P881" s="971"/>
      <c r="Q881" s="971" t="s">
        <v>595</v>
      </c>
      <c r="R881" s="1266" t="s">
        <v>1686</v>
      </c>
      <c r="S881" s="2106">
        <v>0</v>
      </c>
      <c r="T881" s="1266" t="s">
        <v>136</v>
      </c>
      <c r="U881" s="1742">
        <v>0.22416666666666665</v>
      </c>
      <c r="V881" s="1742">
        <v>2.8020833333333335</v>
      </c>
      <c r="W881" s="1742">
        <v>19.758049999999997</v>
      </c>
      <c r="X881" s="1742">
        <v>30.905858333333335</v>
      </c>
      <c r="Y881" s="2106">
        <v>53.46599166666666</v>
      </c>
      <c r="Z881" s="2106">
        <v>0</v>
      </c>
      <c r="AA881" s="2106">
        <v>0</v>
      </c>
      <c r="AB881" s="2106">
        <v>0</v>
      </c>
      <c r="AC881" s="2106">
        <v>0</v>
      </c>
      <c r="AD881" s="1744">
        <v>0</v>
      </c>
      <c r="AE881" s="2126">
        <v>1</v>
      </c>
      <c r="AF881" s="2126">
        <v>0</v>
      </c>
      <c r="AG881" s="1212">
        <v>1</v>
      </c>
      <c r="AH881" s="1212">
        <v>0</v>
      </c>
      <c r="AI881" s="1212">
        <v>0</v>
      </c>
      <c r="AJ881" s="1212">
        <v>1</v>
      </c>
      <c r="AK881" s="2126">
        <v>0</v>
      </c>
      <c r="AL881" s="2126">
        <v>0</v>
      </c>
      <c r="AM881" s="2126">
        <v>0</v>
      </c>
      <c r="AN881" s="2126">
        <v>0</v>
      </c>
      <c r="AO881" s="1743" t="s">
        <v>85</v>
      </c>
      <c r="AP881" s="1743" t="s">
        <v>96</v>
      </c>
      <c r="AQ881" s="1764" t="s">
        <v>107</v>
      </c>
      <c r="AR881" s="1743" t="s">
        <v>87</v>
      </c>
      <c r="AS881" s="2135"/>
      <c r="AT881" s="2135"/>
      <c r="AU881" s="1212">
        <v>0.33333333333333331</v>
      </c>
      <c r="AV881" s="1212">
        <v>0.33333333333333331</v>
      </c>
      <c r="AW881" s="1212">
        <v>0.33333333333333331</v>
      </c>
      <c r="AX881" s="1212"/>
      <c r="AY881" s="1212"/>
      <c r="AZ881" s="1212"/>
      <c r="BA881" s="1212"/>
      <c r="BB881" s="1212"/>
      <c r="BC881" s="1212"/>
      <c r="BD881" s="1212"/>
      <c r="BE881" s="1212"/>
      <c r="BF881" s="2126">
        <v>0</v>
      </c>
      <c r="BG881" s="2126">
        <v>0</v>
      </c>
      <c r="BH881" s="2126">
        <v>0</v>
      </c>
      <c r="BI881" s="2126">
        <v>0</v>
      </c>
      <c r="BJ881" s="2126">
        <v>0</v>
      </c>
      <c r="BK881" s="2126">
        <v>0</v>
      </c>
      <c r="BL881" s="2126">
        <v>0</v>
      </c>
      <c r="BM881" s="2126">
        <v>0</v>
      </c>
      <c r="BN881" s="2126">
        <v>0</v>
      </c>
      <c r="BO881" s="2126">
        <v>0</v>
      </c>
      <c r="BP881" s="2126">
        <v>0</v>
      </c>
      <c r="BQ881" s="2126">
        <v>0</v>
      </c>
      <c r="BR881" s="2126">
        <v>0</v>
      </c>
    </row>
    <row r="882" spans="1:70" s="1765" customFormat="1" ht="33">
      <c r="A882" s="1272">
        <v>4000</v>
      </c>
      <c r="B882" s="971" t="s">
        <v>1316</v>
      </c>
      <c r="C882" s="1272">
        <v>4500</v>
      </c>
      <c r="D882" s="971" t="s">
        <v>452</v>
      </c>
      <c r="E882" s="971" t="s">
        <v>1546</v>
      </c>
      <c r="F882" s="971" t="s">
        <v>454</v>
      </c>
      <c r="G882" s="971">
        <v>4511</v>
      </c>
      <c r="H882" s="971" t="s">
        <v>565</v>
      </c>
      <c r="I882" s="1273" t="s">
        <v>490</v>
      </c>
      <c r="J882" s="971" t="s">
        <v>124</v>
      </c>
      <c r="K882" s="971" t="s">
        <v>140</v>
      </c>
      <c r="L882" s="971" t="s">
        <v>2909</v>
      </c>
      <c r="M882" s="971" t="s">
        <v>140</v>
      </c>
      <c r="N882" s="971" t="s">
        <v>141</v>
      </c>
      <c r="O882" s="971" t="s">
        <v>142</v>
      </c>
      <c r="P882" s="971"/>
      <c r="Q882" s="971" t="s">
        <v>597</v>
      </c>
      <c r="R882" s="1266" t="s">
        <v>1686</v>
      </c>
      <c r="S882" s="2106">
        <v>0</v>
      </c>
      <c r="T882" s="1266" t="s">
        <v>136</v>
      </c>
      <c r="U882" s="1742">
        <v>0</v>
      </c>
      <c r="V882" s="1742">
        <v>0</v>
      </c>
      <c r="W882" s="1742">
        <v>0</v>
      </c>
      <c r="X882" s="1742">
        <v>0</v>
      </c>
      <c r="Y882" s="2106">
        <v>0</v>
      </c>
      <c r="Z882" s="2106">
        <v>0</v>
      </c>
      <c r="AA882" s="2106">
        <v>0</v>
      </c>
      <c r="AB882" s="2106">
        <v>0</v>
      </c>
      <c r="AC882" s="2106">
        <v>0</v>
      </c>
      <c r="AD882" s="1744">
        <v>0</v>
      </c>
      <c r="AE882" s="2126">
        <v>0</v>
      </c>
      <c r="AF882" s="2126">
        <v>0</v>
      </c>
      <c r="AG882" s="1212">
        <v>1</v>
      </c>
      <c r="AH882" s="1212">
        <v>0</v>
      </c>
      <c r="AI882" s="1212">
        <v>0</v>
      </c>
      <c r="AJ882" s="1212">
        <v>1</v>
      </c>
      <c r="AK882" s="2126">
        <v>0</v>
      </c>
      <c r="AL882" s="2126">
        <v>0</v>
      </c>
      <c r="AM882" s="2126">
        <v>0</v>
      </c>
      <c r="AN882" s="2126">
        <v>0</v>
      </c>
      <c r="AO882" s="1743" t="s">
        <v>85</v>
      </c>
      <c r="AP882" s="1743" t="s">
        <v>96</v>
      </c>
      <c r="AQ882" s="1764" t="s">
        <v>107</v>
      </c>
      <c r="AR882" s="1743" t="s">
        <v>87</v>
      </c>
      <c r="AS882" s="2135"/>
      <c r="AT882" s="2135"/>
      <c r="AU882" s="1212">
        <v>0.33333333333333331</v>
      </c>
      <c r="AV882" s="1212">
        <v>0.33333333333333331</v>
      </c>
      <c r="AW882" s="1212">
        <v>0.33333333333333331</v>
      </c>
      <c r="AX882" s="1212"/>
      <c r="AY882" s="1212"/>
      <c r="AZ882" s="1212"/>
      <c r="BA882" s="1212"/>
      <c r="BB882" s="1212"/>
      <c r="BC882" s="1212"/>
      <c r="BD882" s="1212"/>
      <c r="BE882" s="1212"/>
      <c r="BF882" s="2126">
        <v>0</v>
      </c>
      <c r="BG882" s="2126">
        <v>0</v>
      </c>
      <c r="BH882" s="2126">
        <v>0</v>
      </c>
      <c r="BI882" s="2126">
        <v>0</v>
      </c>
      <c r="BJ882" s="2126">
        <v>0</v>
      </c>
      <c r="BK882" s="2126">
        <v>0</v>
      </c>
      <c r="BL882" s="2126">
        <v>0</v>
      </c>
      <c r="BM882" s="2126">
        <v>0</v>
      </c>
      <c r="BN882" s="2126">
        <v>0</v>
      </c>
      <c r="BO882" s="2126">
        <v>0</v>
      </c>
      <c r="BP882" s="2126">
        <v>0</v>
      </c>
      <c r="BQ882" s="2126">
        <v>0</v>
      </c>
      <c r="BR882" s="2126">
        <v>0</v>
      </c>
    </row>
    <row r="883" spans="1:70" s="1765" customFormat="1" ht="33">
      <c r="A883" s="1272">
        <v>4000</v>
      </c>
      <c r="B883" s="971" t="s">
        <v>1316</v>
      </c>
      <c r="C883" s="1272">
        <v>4500</v>
      </c>
      <c r="D883" s="971" t="s">
        <v>452</v>
      </c>
      <c r="E883" s="971" t="s">
        <v>1546</v>
      </c>
      <c r="F883" s="971" t="s">
        <v>454</v>
      </c>
      <c r="G883" s="971">
        <v>4511</v>
      </c>
      <c r="H883" s="971" t="s">
        <v>565</v>
      </c>
      <c r="I883" s="1273" t="s">
        <v>490</v>
      </c>
      <c r="J883" s="971" t="s">
        <v>124</v>
      </c>
      <c r="K883" s="971"/>
      <c r="L883" s="971" t="e">
        <v>#N/A</v>
      </c>
      <c r="M883" s="971" t="s">
        <v>145</v>
      </c>
      <c r="N883" s="971" t="s">
        <v>141</v>
      </c>
      <c r="O883" s="971" t="s">
        <v>146</v>
      </c>
      <c r="P883" s="971"/>
      <c r="Q883" s="971" t="s">
        <v>598</v>
      </c>
      <c r="R883" s="1266" t="s">
        <v>1686</v>
      </c>
      <c r="S883" s="2106">
        <v>0</v>
      </c>
      <c r="T883" s="1266" t="s">
        <v>136</v>
      </c>
      <c r="U883" s="1742" t="s">
        <v>6588</v>
      </c>
      <c r="V883" s="1742" t="s">
        <v>6588</v>
      </c>
      <c r="W883" s="1742" t="s">
        <v>6588</v>
      </c>
      <c r="X883" s="1742" t="s">
        <v>6588</v>
      </c>
      <c r="Y883" s="2106" t="s">
        <v>6588</v>
      </c>
      <c r="Z883" s="2106">
        <v>0</v>
      </c>
      <c r="AA883" s="2106">
        <v>0</v>
      </c>
      <c r="AB883" s="2106">
        <v>0</v>
      </c>
      <c r="AC883" s="2106">
        <v>0</v>
      </c>
      <c r="AD883" s="1744">
        <v>0</v>
      </c>
      <c r="AE883" s="2126">
        <v>0</v>
      </c>
      <c r="AF883" s="2126">
        <v>0</v>
      </c>
      <c r="AG883" s="1212">
        <v>1</v>
      </c>
      <c r="AH883" s="1212">
        <v>0</v>
      </c>
      <c r="AI883" s="1212">
        <v>0</v>
      </c>
      <c r="AJ883" s="1212">
        <v>1</v>
      </c>
      <c r="AK883" s="2126">
        <v>0</v>
      </c>
      <c r="AL883" s="2126">
        <v>0</v>
      </c>
      <c r="AM883" s="2126">
        <v>0</v>
      </c>
      <c r="AN883" s="2126">
        <v>0</v>
      </c>
      <c r="AO883" s="1743" t="s">
        <v>85</v>
      </c>
      <c r="AP883" s="1743" t="s">
        <v>96</v>
      </c>
      <c r="AQ883" s="1764" t="s">
        <v>107</v>
      </c>
      <c r="AR883" s="1743" t="s">
        <v>87</v>
      </c>
      <c r="AS883" s="2135"/>
      <c r="AT883" s="2135"/>
      <c r="AU883" s="1212">
        <v>0.33333333333333331</v>
      </c>
      <c r="AV883" s="1212">
        <v>0.33333333333333331</v>
      </c>
      <c r="AW883" s="1212">
        <v>0.33333333333333331</v>
      </c>
      <c r="AX883" s="1212"/>
      <c r="AY883" s="1212"/>
      <c r="AZ883" s="1212"/>
      <c r="BA883" s="1212"/>
      <c r="BB883" s="1212"/>
      <c r="BC883" s="1212"/>
      <c r="BD883" s="1212"/>
      <c r="BE883" s="1212"/>
      <c r="BF883" s="2126">
        <v>0</v>
      </c>
      <c r="BG883" s="2126">
        <v>0</v>
      </c>
      <c r="BH883" s="2126">
        <v>0</v>
      </c>
      <c r="BI883" s="2126">
        <v>0</v>
      </c>
      <c r="BJ883" s="2126">
        <v>0</v>
      </c>
      <c r="BK883" s="2126">
        <v>0</v>
      </c>
      <c r="BL883" s="2126">
        <v>0</v>
      </c>
      <c r="BM883" s="2126">
        <v>0</v>
      </c>
      <c r="BN883" s="2126">
        <v>0</v>
      </c>
      <c r="BO883" s="2126">
        <v>0</v>
      </c>
      <c r="BP883" s="2126">
        <v>0</v>
      </c>
      <c r="BQ883" s="2126">
        <v>0</v>
      </c>
      <c r="BR883" s="2126">
        <v>0</v>
      </c>
    </row>
    <row r="884" spans="1:70" s="1765" customFormat="1" ht="49.5">
      <c r="A884" s="1272">
        <v>4000</v>
      </c>
      <c r="B884" s="971" t="s">
        <v>1316</v>
      </c>
      <c r="C884" s="1272">
        <v>4500</v>
      </c>
      <c r="D884" s="971" t="s">
        <v>452</v>
      </c>
      <c r="E884" s="971" t="s">
        <v>1546</v>
      </c>
      <c r="F884" s="971" t="s">
        <v>454</v>
      </c>
      <c r="G884" s="971">
        <v>4511</v>
      </c>
      <c r="H884" s="971" t="s">
        <v>565</v>
      </c>
      <c r="I884" s="1273" t="s">
        <v>495</v>
      </c>
      <c r="J884" s="971" t="s">
        <v>124</v>
      </c>
      <c r="K884" s="971" t="s">
        <v>784</v>
      </c>
      <c r="L884" s="971" t="s">
        <v>2852</v>
      </c>
      <c r="M884" s="971" t="s">
        <v>458</v>
      </c>
      <c r="N884" s="971" t="s">
        <v>127</v>
      </c>
      <c r="O884" s="971" t="s">
        <v>459</v>
      </c>
      <c r="P884" s="971"/>
      <c r="Q884" s="971" t="s">
        <v>599</v>
      </c>
      <c r="R884" s="1266" t="s">
        <v>1687</v>
      </c>
      <c r="S884" s="2106">
        <v>0</v>
      </c>
      <c r="T884" s="1266" t="s">
        <v>136</v>
      </c>
      <c r="U884" s="1742">
        <v>0.22416666666666665</v>
      </c>
      <c r="V884" s="1742">
        <v>2.8020833333333335</v>
      </c>
      <c r="W884" s="1742">
        <v>19.758049999999997</v>
      </c>
      <c r="X884" s="1742">
        <v>30.905858333333335</v>
      </c>
      <c r="Y884" s="2106">
        <v>53.46599166666666</v>
      </c>
      <c r="Z884" s="2106">
        <v>0</v>
      </c>
      <c r="AA884" s="2106">
        <v>0</v>
      </c>
      <c r="AB884" s="2106">
        <v>0</v>
      </c>
      <c r="AC884" s="2106">
        <v>0</v>
      </c>
      <c r="AD884" s="1744">
        <v>0</v>
      </c>
      <c r="AE884" s="2126">
        <v>1</v>
      </c>
      <c r="AF884" s="2126">
        <v>0</v>
      </c>
      <c r="AG884" s="1212">
        <v>1</v>
      </c>
      <c r="AH884" s="1212">
        <v>0</v>
      </c>
      <c r="AI884" s="1212">
        <v>0</v>
      </c>
      <c r="AJ884" s="1212">
        <v>1</v>
      </c>
      <c r="AK884" s="2126">
        <v>0</v>
      </c>
      <c r="AL884" s="2126">
        <v>0</v>
      </c>
      <c r="AM884" s="2126">
        <v>0</v>
      </c>
      <c r="AN884" s="2126">
        <v>0</v>
      </c>
      <c r="AO884" s="1743" t="s">
        <v>85</v>
      </c>
      <c r="AP884" s="1743" t="s">
        <v>96</v>
      </c>
      <c r="AQ884" s="1764" t="s">
        <v>107</v>
      </c>
      <c r="AR884" s="1743" t="s">
        <v>87</v>
      </c>
      <c r="AS884" s="2135"/>
      <c r="AT884" s="2135"/>
      <c r="AU884" s="1212">
        <v>0.33333333333333331</v>
      </c>
      <c r="AV884" s="1212">
        <v>0.33333333333333331</v>
      </c>
      <c r="AW884" s="1212">
        <v>0.33333333333333331</v>
      </c>
      <c r="AX884" s="1212"/>
      <c r="AY884" s="1212"/>
      <c r="AZ884" s="1212"/>
      <c r="BA884" s="1212"/>
      <c r="BB884" s="1212"/>
      <c r="BC884" s="1212"/>
      <c r="BD884" s="1212"/>
      <c r="BE884" s="1212"/>
      <c r="BF884" s="2126">
        <v>0</v>
      </c>
      <c r="BG884" s="2126">
        <v>0</v>
      </c>
      <c r="BH884" s="2126">
        <v>0</v>
      </c>
      <c r="BI884" s="2126">
        <v>0</v>
      </c>
      <c r="BJ884" s="2126">
        <v>0</v>
      </c>
      <c r="BK884" s="2126">
        <v>0</v>
      </c>
      <c r="BL884" s="2126">
        <v>0</v>
      </c>
      <c r="BM884" s="2126">
        <v>0</v>
      </c>
      <c r="BN884" s="2126">
        <v>0</v>
      </c>
      <c r="BO884" s="2126">
        <v>0</v>
      </c>
      <c r="BP884" s="2126">
        <v>0</v>
      </c>
      <c r="BQ884" s="2126">
        <v>0</v>
      </c>
      <c r="BR884" s="2126">
        <v>0</v>
      </c>
    </row>
    <row r="885" spans="1:70" s="1765" customFormat="1" ht="33">
      <c r="A885" s="1272">
        <v>4000</v>
      </c>
      <c r="B885" s="971" t="s">
        <v>1316</v>
      </c>
      <c r="C885" s="1272">
        <v>4500</v>
      </c>
      <c r="D885" s="971" t="s">
        <v>452</v>
      </c>
      <c r="E885" s="971" t="s">
        <v>1546</v>
      </c>
      <c r="F885" s="971" t="s">
        <v>454</v>
      </c>
      <c r="G885" s="971">
        <v>4511</v>
      </c>
      <c r="H885" s="971" t="s">
        <v>565</v>
      </c>
      <c r="I885" s="1273" t="s">
        <v>495</v>
      </c>
      <c r="J885" s="971" t="s">
        <v>124</v>
      </c>
      <c r="K885" s="971" t="s">
        <v>140</v>
      </c>
      <c r="L885" s="971" t="s">
        <v>2909</v>
      </c>
      <c r="M885" s="971" t="s">
        <v>140</v>
      </c>
      <c r="N885" s="971" t="s">
        <v>141</v>
      </c>
      <c r="O885" s="971" t="s">
        <v>142</v>
      </c>
      <c r="P885" s="971"/>
      <c r="Q885" s="971" t="s">
        <v>601</v>
      </c>
      <c r="R885" s="1266" t="s">
        <v>1687</v>
      </c>
      <c r="S885" s="2106">
        <v>0</v>
      </c>
      <c r="T885" s="1266" t="s">
        <v>136</v>
      </c>
      <c r="U885" s="1742">
        <v>0</v>
      </c>
      <c r="V885" s="1742">
        <v>0</v>
      </c>
      <c r="W885" s="1742">
        <v>0</v>
      </c>
      <c r="X885" s="1742">
        <v>0</v>
      </c>
      <c r="Y885" s="2106">
        <v>0</v>
      </c>
      <c r="Z885" s="2106">
        <v>0</v>
      </c>
      <c r="AA885" s="2106">
        <v>0</v>
      </c>
      <c r="AB885" s="2106">
        <v>0</v>
      </c>
      <c r="AC885" s="2106">
        <v>0</v>
      </c>
      <c r="AD885" s="1744">
        <v>0</v>
      </c>
      <c r="AE885" s="2126">
        <v>0</v>
      </c>
      <c r="AF885" s="2126">
        <v>0</v>
      </c>
      <c r="AG885" s="1212">
        <v>1</v>
      </c>
      <c r="AH885" s="1212">
        <v>0</v>
      </c>
      <c r="AI885" s="1212">
        <v>0</v>
      </c>
      <c r="AJ885" s="1212">
        <v>1</v>
      </c>
      <c r="AK885" s="2126">
        <v>0</v>
      </c>
      <c r="AL885" s="2126">
        <v>0</v>
      </c>
      <c r="AM885" s="2126">
        <v>0</v>
      </c>
      <c r="AN885" s="2126">
        <v>0</v>
      </c>
      <c r="AO885" s="1743" t="s">
        <v>85</v>
      </c>
      <c r="AP885" s="1743" t="s">
        <v>96</v>
      </c>
      <c r="AQ885" s="1764" t="s">
        <v>107</v>
      </c>
      <c r="AR885" s="1743" t="s">
        <v>87</v>
      </c>
      <c r="AS885" s="2135"/>
      <c r="AT885" s="2135"/>
      <c r="AU885" s="1212">
        <v>0.33333333333333331</v>
      </c>
      <c r="AV885" s="1212">
        <v>0.33333333333333331</v>
      </c>
      <c r="AW885" s="1212">
        <v>0.33333333333333331</v>
      </c>
      <c r="AX885" s="1212"/>
      <c r="AY885" s="1212"/>
      <c r="AZ885" s="1212"/>
      <c r="BA885" s="1212"/>
      <c r="BB885" s="1212"/>
      <c r="BC885" s="1212"/>
      <c r="BD885" s="1212"/>
      <c r="BE885" s="1212"/>
      <c r="BF885" s="2126">
        <v>0</v>
      </c>
      <c r="BG885" s="2126">
        <v>0</v>
      </c>
      <c r="BH885" s="2126">
        <v>0</v>
      </c>
      <c r="BI885" s="2126">
        <v>0</v>
      </c>
      <c r="BJ885" s="2126">
        <v>0</v>
      </c>
      <c r="BK885" s="2126">
        <v>0</v>
      </c>
      <c r="BL885" s="2126">
        <v>0</v>
      </c>
      <c r="BM885" s="2126">
        <v>0</v>
      </c>
      <c r="BN885" s="2126">
        <v>0</v>
      </c>
      <c r="BO885" s="2126">
        <v>0</v>
      </c>
      <c r="BP885" s="2126">
        <v>0</v>
      </c>
      <c r="BQ885" s="2126">
        <v>0</v>
      </c>
      <c r="BR885" s="2126">
        <v>0</v>
      </c>
    </row>
    <row r="886" spans="1:70" s="1765" customFormat="1" ht="33">
      <c r="A886" s="1272">
        <v>4000</v>
      </c>
      <c r="B886" s="971" t="s">
        <v>1316</v>
      </c>
      <c r="C886" s="1272">
        <v>4500</v>
      </c>
      <c r="D886" s="971" t="s">
        <v>452</v>
      </c>
      <c r="E886" s="971" t="s">
        <v>1546</v>
      </c>
      <c r="F886" s="971" t="s">
        <v>454</v>
      </c>
      <c r="G886" s="971">
        <v>4511</v>
      </c>
      <c r="H886" s="971" t="s">
        <v>565</v>
      </c>
      <c r="I886" s="1273" t="s">
        <v>495</v>
      </c>
      <c r="J886" s="971" t="s">
        <v>124</v>
      </c>
      <c r="K886" s="971"/>
      <c r="L886" s="971" t="e">
        <v>#N/A</v>
      </c>
      <c r="M886" s="971" t="s">
        <v>145</v>
      </c>
      <c r="N886" s="971" t="s">
        <v>141</v>
      </c>
      <c r="O886" s="971" t="s">
        <v>146</v>
      </c>
      <c r="P886" s="971"/>
      <c r="Q886" s="971" t="s">
        <v>602</v>
      </c>
      <c r="R886" s="1266" t="s">
        <v>1687</v>
      </c>
      <c r="S886" s="2106">
        <v>0</v>
      </c>
      <c r="T886" s="1266" t="s">
        <v>136</v>
      </c>
      <c r="U886" s="1742" t="s">
        <v>6588</v>
      </c>
      <c r="V886" s="1742" t="s">
        <v>6588</v>
      </c>
      <c r="W886" s="1742" t="s">
        <v>6588</v>
      </c>
      <c r="X886" s="1742" t="s">
        <v>6588</v>
      </c>
      <c r="Y886" s="2106" t="s">
        <v>6588</v>
      </c>
      <c r="Z886" s="2106">
        <v>0</v>
      </c>
      <c r="AA886" s="2106">
        <v>0</v>
      </c>
      <c r="AB886" s="2106">
        <v>0</v>
      </c>
      <c r="AC886" s="2106">
        <v>0</v>
      </c>
      <c r="AD886" s="1744">
        <v>0</v>
      </c>
      <c r="AE886" s="2126">
        <v>0</v>
      </c>
      <c r="AF886" s="2126">
        <v>0</v>
      </c>
      <c r="AG886" s="1212">
        <v>1</v>
      </c>
      <c r="AH886" s="1212">
        <v>0</v>
      </c>
      <c r="AI886" s="1212">
        <v>0</v>
      </c>
      <c r="AJ886" s="1212">
        <v>1</v>
      </c>
      <c r="AK886" s="2126">
        <v>0</v>
      </c>
      <c r="AL886" s="2126">
        <v>0</v>
      </c>
      <c r="AM886" s="2126">
        <v>0</v>
      </c>
      <c r="AN886" s="2126">
        <v>0</v>
      </c>
      <c r="AO886" s="1743" t="s">
        <v>85</v>
      </c>
      <c r="AP886" s="1743" t="s">
        <v>96</v>
      </c>
      <c r="AQ886" s="1764" t="s">
        <v>107</v>
      </c>
      <c r="AR886" s="1743" t="s">
        <v>87</v>
      </c>
      <c r="AS886" s="2135"/>
      <c r="AT886" s="2135"/>
      <c r="AU886" s="1212">
        <v>0.33333333333333331</v>
      </c>
      <c r="AV886" s="1212">
        <v>0.33333333333333331</v>
      </c>
      <c r="AW886" s="1212">
        <v>0.33333333333333331</v>
      </c>
      <c r="AX886" s="1212"/>
      <c r="AY886" s="1212"/>
      <c r="AZ886" s="1212"/>
      <c r="BA886" s="1212"/>
      <c r="BB886" s="1212"/>
      <c r="BC886" s="1212"/>
      <c r="BD886" s="1212"/>
      <c r="BE886" s="1212"/>
      <c r="BF886" s="2126">
        <v>0</v>
      </c>
      <c r="BG886" s="2126">
        <v>0</v>
      </c>
      <c r="BH886" s="2126">
        <v>0</v>
      </c>
      <c r="BI886" s="2126">
        <v>0</v>
      </c>
      <c r="BJ886" s="2126">
        <v>0</v>
      </c>
      <c r="BK886" s="2126">
        <v>0</v>
      </c>
      <c r="BL886" s="2126">
        <v>0</v>
      </c>
      <c r="BM886" s="2126">
        <v>0</v>
      </c>
      <c r="BN886" s="2126">
        <v>0</v>
      </c>
      <c r="BO886" s="2126">
        <v>0</v>
      </c>
      <c r="BP886" s="2126">
        <v>0</v>
      </c>
      <c r="BQ886" s="2126">
        <v>0</v>
      </c>
      <c r="BR886" s="2126">
        <v>0</v>
      </c>
    </row>
    <row r="887" spans="1:70" s="1765" customFormat="1" ht="49.5">
      <c r="A887" s="1272">
        <v>4000</v>
      </c>
      <c r="B887" s="971" t="s">
        <v>1316</v>
      </c>
      <c r="C887" s="1272">
        <v>4500</v>
      </c>
      <c r="D887" s="971" t="s">
        <v>452</v>
      </c>
      <c r="E887" s="971" t="s">
        <v>1546</v>
      </c>
      <c r="F887" s="971" t="s">
        <v>454</v>
      </c>
      <c r="G887" s="971">
        <v>4511</v>
      </c>
      <c r="H887" s="971" t="s">
        <v>565</v>
      </c>
      <c r="I887" s="1273"/>
      <c r="J887" s="971" t="s">
        <v>124</v>
      </c>
      <c r="K887" s="971" t="s">
        <v>523</v>
      </c>
      <c r="L887" s="971" t="s">
        <v>6607</v>
      </c>
      <c r="M887" s="971" t="s">
        <v>523</v>
      </c>
      <c r="N887" s="971" t="s">
        <v>141</v>
      </c>
      <c r="O887" s="971" t="s">
        <v>524</v>
      </c>
      <c r="P887" s="971"/>
      <c r="Q887" s="971" t="s">
        <v>1688</v>
      </c>
      <c r="R887" s="1266"/>
      <c r="S887" s="2106">
        <v>4333</v>
      </c>
      <c r="T887" s="1266" t="s">
        <v>136</v>
      </c>
      <c r="U887" s="1742">
        <v>0.14520631503408685</v>
      </c>
      <c r="V887" s="1742">
        <v>1.8150789379260854</v>
      </c>
      <c r="W887" s="1742">
        <v>12.798484607104415</v>
      </c>
      <c r="X887" s="1742">
        <v>20.019594653749554</v>
      </c>
      <c r="Y887" s="2106">
        <v>34.633158198780052</v>
      </c>
      <c r="Z887" s="2106">
        <v>629.17896304269834</v>
      </c>
      <c r="AA887" s="2106">
        <v>7864.7370380337279</v>
      </c>
      <c r="AB887" s="2106">
        <v>55455.833802583431</v>
      </c>
      <c r="AC887" s="2106">
        <v>86744.903634696821</v>
      </c>
      <c r="AD887" s="1744">
        <v>150065.47447531397</v>
      </c>
      <c r="AE887" s="2126">
        <v>0.75</v>
      </c>
      <c r="AF887" s="2126">
        <v>3249.75</v>
      </c>
      <c r="AG887" s="1212">
        <v>1</v>
      </c>
      <c r="AH887" s="1212">
        <v>0</v>
      </c>
      <c r="AI887" s="1212">
        <v>0</v>
      </c>
      <c r="AJ887" s="1212">
        <v>1</v>
      </c>
      <c r="AK887" s="2126">
        <v>150065.47447531397</v>
      </c>
      <c r="AL887" s="2126">
        <v>0</v>
      </c>
      <c r="AM887" s="2126">
        <v>0</v>
      </c>
      <c r="AN887" s="2126">
        <v>150065.47447531397</v>
      </c>
      <c r="AO887" s="1743" t="s">
        <v>85</v>
      </c>
      <c r="AP887" s="1743" t="s">
        <v>90</v>
      </c>
      <c r="AQ887" s="1764" t="s">
        <v>112</v>
      </c>
      <c r="AR887" s="1743" t="s">
        <v>87</v>
      </c>
      <c r="AS887" s="2135"/>
      <c r="AT887" s="2135"/>
      <c r="AU887" s="1212">
        <v>0.33333333333333331</v>
      </c>
      <c r="AV887" s="1212">
        <v>0.33333333333333331</v>
      </c>
      <c r="AW887" s="1212">
        <v>0.33333333333333331</v>
      </c>
      <c r="AX887" s="1212"/>
      <c r="AY887" s="1212"/>
      <c r="AZ887" s="1212"/>
      <c r="BA887" s="1212"/>
      <c r="BB887" s="1212"/>
      <c r="BC887" s="1212"/>
      <c r="BD887" s="1212"/>
      <c r="BE887" s="1212"/>
      <c r="BF887" s="2126">
        <v>0</v>
      </c>
      <c r="BG887" s="2126">
        <v>0</v>
      </c>
      <c r="BH887" s="2126">
        <v>50021.824825104653</v>
      </c>
      <c r="BI887" s="2126">
        <v>50021.824825104653</v>
      </c>
      <c r="BJ887" s="2126">
        <v>50021.824825104653</v>
      </c>
      <c r="BK887" s="2126">
        <v>0</v>
      </c>
      <c r="BL887" s="2126">
        <v>0</v>
      </c>
      <c r="BM887" s="2126">
        <v>0</v>
      </c>
      <c r="BN887" s="2126">
        <v>0</v>
      </c>
      <c r="BO887" s="2126">
        <v>0</v>
      </c>
      <c r="BP887" s="2126">
        <v>0</v>
      </c>
      <c r="BQ887" s="2126">
        <v>0</v>
      </c>
      <c r="BR887" s="2126">
        <v>0</v>
      </c>
    </row>
    <row r="888" spans="1:70" s="1765" customFormat="1" ht="49.5">
      <c r="A888" s="1272">
        <v>4000</v>
      </c>
      <c r="B888" s="971" t="s">
        <v>1316</v>
      </c>
      <c r="C888" s="1272">
        <v>4500</v>
      </c>
      <c r="D888" s="971" t="s">
        <v>452</v>
      </c>
      <c r="E888" s="971" t="s">
        <v>1546</v>
      </c>
      <c r="F888" s="971" t="s">
        <v>454</v>
      </c>
      <c r="G888" s="971">
        <v>4511</v>
      </c>
      <c r="H888" s="971" t="s">
        <v>565</v>
      </c>
      <c r="I888" s="1273"/>
      <c r="J888" s="971" t="s">
        <v>124</v>
      </c>
      <c r="K888" s="971" t="s">
        <v>784</v>
      </c>
      <c r="L888" s="971" t="s">
        <v>2852</v>
      </c>
      <c r="M888" s="971" t="s">
        <v>458</v>
      </c>
      <c r="N888" s="971" t="s">
        <v>127</v>
      </c>
      <c r="O888" s="971" t="s">
        <v>459</v>
      </c>
      <c r="P888" s="971"/>
      <c r="Q888" s="971" t="s">
        <v>1689</v>
      </c>
      <c r="R888" s="1266" t="s">
        <v>1690</v>
      </c>
      <c r="S888" s="2106">
        <v>1200</v>
      </c>
      <c r="T888" s="1266" t="s">
        <v>136</v>
      </c>
      <c r="U888" s="1742">
        <v>0.22416666666666665</v>
      </c>
      <c r="V888" s="1742">
        <v>2.8020833333333335</v>
      </c>
      <c r="W888" s="1742">
        <v>19.758049999999997</v>
      </c>
      <c r="X888" s="1742">
        <v>30.905858333333335</v>
      </c>
      <c r="Y888" s="2106">
        <v>53.46599166666666</v>
      </c>
      <c r="Z888" s="2106">
        <v>269</v>
      </c>
      <c r="AA888" s="2106">
        <v>3362.5</v>
      </c>
      <c r="AB888" s="2106">
        <v>23709.659999999996</v>
      </c>
      <c r="AC888" s="2106">
        <v>37087.03</v>
      </c>
      <c r="AD888" s="1744">
        <v>64159.189999999995</v>
      </c>
      <c r="AE888" s="2126">
        <v>1</v>
      </c>
      <c r="AF888" s="2126">
        <v>1200</v>
      </c>
      <c r="AG888" s="1212">
        <v>1</v>
      </c>
      <c r="AH888" s="1212">
        <v>0</v>
      </c>
      <c r="AI888" s="1212">
        <v>0</v>
      </c>
      <c r="AJ888" s="1212">
        <v>1</v>
      </c>
      <c r="AK888" s="2126">
        <v>64159.189999999995</v>
      </c>
      <c r="AL888" s="2126">
        <v>0</v>
      </c>
      <c r="AM888" s="2126">
        <v>0</v>
      </c>
      <c r="AN888" s="2126">
        <v>64159.189999999995</v>
      </c>
      <c r="AO888" s="1743" t="s">
        <v>85</v>
      </c>
      <c r="AP888" s="1743" t="s">
        <v>90</v>
      </c>
      <c r="AQ888" s="1764">
        <v>2020</v>
      </c>
      <c r="AR888" s="1743" t="s">
        <v>87</v>
      </c>
      <c r="AS888" s="2135"/>
      <c r="AT888" s="2135"/>
      <c r="AU888" s="1212">
        <v>0.33333333333333331</v>
      </c>
      <c r="AV888" s="1212">
        <v>0.33333333333333331</v>
      </c>
      <c r="AW888" s="1212">
        <v>0.33333333333333331</v>
      </c>
      <c r="AX888" s="1212"/>
      <c r="AY888" s="1212"/>
      <c r="AZ888" s="1212"/>
      <c r="BA888" s="1212"/>
      <c r="BB888" s="1212"/>
      <c r="BC888" s="1212"/>
      <c r="BD888" s="1212"/>
      <c r="BE888" s="1212"/>
      <c r="BF888" s="2126">
        <v>0</v>
      </c>
      <c r="BG888" s="2126">
        <v>0</v>
      </c>
      <c r="BH888" s="2126">
        <v>21386.396666666664</v>
      </c>
      <c r="BI888" s="2126">
        <v>21386.396666666664</v>
      </c>
      <c r="BJ888" s="2126">
        <v>21386.396666666664</v>
      </c>
      <c r="BK888" s="2126">
        <v>0</v>
      </c>
      <c r="BL888" s="2126">
        <v>0</v>
      </c>
      <c r="BM888" s="2126">
        <v>0</v>
      </c>
      <c r="BN888" s="2126">
        <v>0</v>
      </c>
      <c r="BO888" s="2126">
        <v>0</v>
      </c>
      <c r="BP888" s="2126">
        <v>0</v>
      </c>
      <c r="BQ888" s="2126">
        <v>0</v>
      </c>
      <c r="BR888" s="2126">
        <v>0</v>
      </c>
    </row>
    <row r="889" spans="1:70" s="1765" customFormat="1" ht="49.5">
      <c r="A889" s="1272">
        <v>4000</v>
      </c>
      <c r="B889" s="971" t="s">
        <v>1316</v>
      </c>
      <c r="C889" s="1272">
        <v>4500</v>
      </c>
      <c r="D889" s="971" t="s">
        <v>452</v>
      </c>
      <c r="E889" s="971" t="s">
        <v>1546</v>
      </c>
      <c r="F889" s="971" t="s">
        <v>454</v>
      </c>
      <c r="G889" s="971">
        <v>4511</v>
      </c>
      <c r="H889" s="971" t="s">
        <v>565</v>
      </c>
      <c r="I889" s="1273"/>
      <c r="J889" s="971" t="s">
        <v>124</v>
      </c>
      <c r="K889" s="971" t="s">
        <v>784</v>
      </c>
      <c r="L889" s="971" t="s">
        <v>2852</v>
      </c>
      <c r="M889" s="971" t="s">
        <v>458</v>
      </c>
      <c r="N889" s="971" t="s">
        <v>127</v>
      </c>
      <c r="O889" s="971" t="s">
        <v>459</v>
      </c>
      <c r="P889" s="971"/>
      <c r="Q889" s="971" t="s">
        <v>1689</v>
      </c>
      <c r="R889" s="1266" t="s">
        <v>1690</v>
      </c>
      <c r="S889" s="2106">
        <v>-1200</v>
      </c>
      <c r="T889" s="1266" t="s">
        <v>136</v>
      </c>
      <c r="U889" s="1742">
        <v>0.22416666666666665</v>
      </c>
      <c r="V889" s="1742">
        <v>2.8020833333333335</v>
      </c>
      <c r="W889" s="1742">
        <v>19.758049999999997</v>
      </c>
      <c r="X889" s="1742">
        <v>30.905858333333335</v>
      </c>
      <c r="Y889" s="2106">
        <v>53.46599166666666</v>
      </c>
      <c r="Z889" s="2106">
        <v>-269</v>
      </c>
      <c r="AA889" s="2106">
        <v>-3362.5</v>
      </c>
      <c r="AB889" s="2106">
        <v>-23709.659999999996</v>
      </c>
      <c r="AC889" s="2106">
        <v>-37087.03</v>
      </c>
      <c r="AD889" s="1744">
        <v>-64159.189999999995</v>
      </c>
      <c r="AE889" s="2126">
        <v>1</v>
      </c>
      <c r="AF889" s="2126">
        <v>-1200</v>
      </c>
      <c r="AG889" s="1212">
        <v>1</v>
      </c>
      <c r="AH889" s="1212">
        <v>0</v>
      </c>
      <c r="AI889" s="1212">
        <v>0</v>
      </c>
      <c r="AJ889" s="1212">
        <v>1</v>
      </c>
      <c r="AK889" s="2126">
        <v>-64159.189999999995</v>
      </c>
      <c r="AL889" s="2126">
        <v>0</v>
      </c>
      <c r="AM889" s="2126">
        <v>0</v>
      </c>
      <c r="AN889" s="2126">
        <v>-64159.189999999995</v>
      </c>
      <c r="AO889" s="1743" t="s">
        <v>85</v>
      </c>
      <c r="AP889" s="1743" t="s">
        <v>96</v>
      </c>
      <c r="AQ889" s="1764" t="s">
        <v>118</v>
      </c>
      <c r="AR889" s="1743" t="s">
        <v>87</v>
      </c>
      <c r="AS889" s="2135"/>
      <c r="AT889" s="2135"/>
      <c r="AU889" s="1212">
        <v>0.33333333333333331</v>
      </c>
      <c r="AV889" s="1212">
        <v>0.33333333333333331</v>
      </c>
      <c r="AW889" s="1212">
        <v>0.33333333333333331</v>
      </c>
      <c r="AX889" s="1212"/>
      <c r="AY889" s="1212"/>
      <c r="AZ889" s="1212"/>
      <c r="BA889" s="1212"/>
      <c r="BB889" s="1212"/>
      <c r="BC889" s="1212"/>
      <c r="BD889" s="1212"/>
      <c r="BE889" s="1212"/>
      <c r="BF889" s="2126">
        <v>0</v>
      </c>
      <c r="BG889" s="2126">
        <v>0</v>
      </c>
      <c r="BH889" s="2126">
        <v>-21386.396666666664</v>
      </c>
      <c r="BI889" s="2126">
        <v>-21386.396666666664</v>
      </c>
      <c r="BJ889" s="2126">
        <v>-21386.396666666664</v>
      </c>
      <c r="BK889" s="2126">
        <v>0</v>
      </c>
      <c r="BL889" s="2126">
        <v>0</v>
      </c>
      <c r="BM889" s="2126">
        <v>0</v>
      </c>
      <c r="BN889" s="2126">
        <v>0</v>
      </c>
      <c r="BO889" s="2126">
        <v>0</v>
      </c>
      <c r="BP889" s="2126">
        <v>0</v>
      </c>
      <c r="BQ889" s="2126">
        <v>0</v>
      </c>
      <c r="BR889" s="2126">
        <v>0</v>
      </c>
    </row>
    <row r="890" spans="1:70" s="1765" customFormat="1" ht="49.5">
      <c r="A890" s="1272">
        <v>4000</v>
      </c>
      <c r="B890" s="971" t="s">
        <v>1316</v>
      </c>
      <c r="C890" s="1272">
        <v>4500</v>
      </c>
      <c r="D890" s="971" t="s">
        <v>452</v>
      </c>
      <c r="E890" s="971" t="s">
        <v>1546</v>
      </c>
      <c r="F890" s="971" t="s">
        <v>454</v>
      </c>
      <c r="G890" s="971">
        <v>4511</v>
      </c>
      <c r="H890" s="971" t="s">
        <v>565</v>
      </c>
      <c r="I890" s="1273"/>
      <c r="J890" s="971" t="s">
        <v>124</v>
      </c>
      <c r="K890" s="971" t="s">
        <v>784</v>
      </c>
      <c r="L890" s="971" t="s">
        <v>2852</v>
      </c>
      <c r="M890" s="971" t="s">
        <v>458</v>
      </c>
      <c r="N890" s="971" t="s">
        <v>127</v>
      </c>
      <c r="O890" s="971" t="s">
        <v>459</v>
      </c>
      <c r="P890" s="971"/>
      <c r="Q890" s="971" t="s">
        <v>1691</v>
      </c>
      <c r="R890" s="1266" t="s">
        <v>541</v>
      </c>
      <c r="S890" s="2106">
        <v>925</v>
      </c>
      <c r="T890" s="1266" t="s">
        <v>136</v>
      </c>
      <c r="U890" s="1742">
        <v>0.22416666666666665</v>
      </c>
      <c r="V890" s="1742">
        <v>2.8020833333333335</v>
      </c>
      <c r="W890" s="1742">
        <v>19.758049999999997</v>
      </c>
      <c r="X890" s="1742">
        <v>30.905858333333335</v>
      </c>
      <c r="Y890" s="2106">
        <v>53.46599166666666</v>
      </c>
      <c r="Z890" s="2106">
        <v>207.35416666666666</v>
      </c>
      <c r="AA890" s="2106">
        <v>2591.9270833333335</v>
      </c>
      <c r="AB890" s="2106">
        <v>18276.196249999997</v>
      </c>
      <c r="AC890" s="2106">
        <v>28587.918958333335</v>
      </c>
      <c r="AD890" s="1744">
        <v>49456.042291666665</v>
      </c>
      <c r="AE890" s="2126">
        <v>1</v>
      </c>
      <c r="AF890" s="2126">
        <v>925</v>
      </c>
      <c r="AG890" s="1212">
        <v>1</v>
      </c>
      <c r="AH890" s="1212">
        <v>0</v>
      </c>
      <c r="AI890" s="1212">
        <v>0</v>
      </c>
      <c r="AJ890" s="1212">
        <v>1</v>
      </c>
      <c r="AK890" s="2126">
        <v>49456.042291666665</v>
      </c>
      <c r="AL890" s="2126">
        <v>0</v>
      </c>
      <c r="AM890" s="2126">
        <v>0</v>
      </c>
      <c r="AN890" s="2126">
        <v>49456.042291666665</v>
      </c>
      <c r="AO890" s="1743" t="s">
        <v>85</v>
      </c>
      <c r="AP890" s="1743" t="s">
        <v>90</v>
      </c>
      <c r="AQ890" s="1764" t="s">
        <v>115</v>
      </c>
      <c r="AR890" s="1743" t="s">
        <v>87</v>
      </c>
      <c r="AS890" s="2135"/>
      <c r="AT890" s="2135"/>
      <c r="AU890" s="1212">
        <v>0.33333333333333331</v>
      </c>
      <c r="AV890" s="1212">
        <v>0.33333333333333331</v>
      </c>
      <c r="AW890" s="1212">
        <v>0.33333333333333331</v>
      </c>
      <c r="AX890" s="1212"/>
      <c r="AY890" s="1212"/>
      <c r="AZ890" s="1212"/>
      <c r="BA890" s="1212"/>
      <c r="BB890" s="1212"/>
      <c r="BC890" s="1212"/>
      <c r="BD890" s="1212"/>
      <c r="BE890" s="1212"/>
      <c r="BF890" s="2126">
        <v>0</v>
      </c>
      <c r="BG890" s="2126">
        <v>0</v>
      </c>
      <c r="BH890" s="2126">
        <v>16485.347430555554</v>
      </c>
      <c r="BI890" s="2126">
        <v>16485.347430555554</v>
      </c>
      <c r="BJ890" s="2126">
        <v>16485.347430555554</v>
      </c>
      <c r="BK890" s="2126">
        <v>0</v>
      </c>
      <c r="BL890" s="2126">
        <v>0</v>
      </c>
      <c r="BM890" s="2126">
        <v>0</v>
      </c>
      <c r="BN890" s="2126">
        <v>0</v>
      </c>
      <c r="BO890" s="2126">
        <v>0</v>
      </c>
      <c r="BP890" s="2126">
        <v>0</v>
      </c>
      <c r="BQ890" s="2126">
        <v>0</v>
      </c>
      <c r="BR890" s="2126">
        <v>0</v>
      </c>
    </row>
    <row r="891" spans="1:70" s="1765" customFormat="1" ht="49.5">
      <c r="A891" s="1272">
        <v>4000</v>
      </c>
      <c r="B891" s="971" t="s">
        <v>1316</v>
      </c>
      <c r="C891" s="1272">
        <v>4500</v>
      </c>
      <c r="D891" s="971" t="s">
        <v>452</v>
      </c>
      <c r="E891" s="971" t="s">
        <v>1546</v>
      </c>
      <c r="F891" s="971" t="s">
        <v>454</v>
      </c>
      <c r="G891" s="971">
        <v>4511</v>
      </c>
      <c r="H891" s="971" t="s">
        <v>565</v>
      </c>
      <c r="I891" s="1273"/>
      <c r="J891" s="971" t="s">
        <v>124</v>
      </c>
      <c r="K891" s="971" t="s">
        <v>784</v>
      </c>
      <c r="L891" s="971" t="s">
        <v>2852</v>
      </c>
      <c r="M891" s="971" t="s">
        <v>458</v>
      </c>
      <c r="N891" s="971" t="s">
        <v>127</v>
      </c>
      <c r="O891" s="971" t="s">
        <v>459</v>
      </c>
      <c r="P891" s="971"/>
      <c r="Q891" s="971" t="s">
        <v>1691</v>
      </c>
      <c r="R891" s="1266" t="s">
        <v>541</v>
      </c>
      <c r="S891" s="2106">
        <v>-925</v>
      </c>
      <c r="T891" s="1266" t="s">
        <v>136</v>
      </c>
      <c r="U891" s="1742">
        <v>0.22416666666666665</v>
      </c>
      <c r="V891" s="1742">
        <v>2.8020833333333335</v>
      </c>
      <c r="W891" s="1742">
        <v>19.758049999999997</v>
      </c>
      <c r="X891" s="1742">
        <v>30.905858333333335</v>
      </c>
      <c r="Y891" s="2106">
        <v>53.46599166666666</v>
      </c>
      <c r="Z891" s="2106">
        <v>-207.35416666666666</v>
      </c>
      <c r="AA891" s="2106">
        <v>-2591.9270833333335</v>
      </c>
      <c r="AB891" s="2106">
        <v>-18276.196249999997</v>
      </c>
      <c r="AC891" s="2106">
        <v>-28587.918958333335</v>
      </c>
      <c r="AD891" s="1744">
        <v>-49456.042291666665</v>
      </c>
      <c r="AE891" s="2126">
        <v>1</v>
      </c>
      <c r="AF891" s="2126">
        <v>-925</v>
      </c>
      <c r="AG891" s="1212">
        <v>1</v>
      </c>
      <c r="AH891" s="1212">
        <v>0</v>
      </c>
      <c r="AI891" s="1212">
        <v>0</v>
      </c>
      <c r="AJ891" s="1212">
        <v>1</v>
      </c>
      <c r="AK891" s="2126">
        <v>-49456.042291666665</v>
      </c>
      <c r="AL891" s="2126">
        <v>0</v>
      </c>
      <c r="AM891" s="2126">
        <v>0</v>
      </c>
      <c r="AN891" s="2126">
        <v>-49456.042291666665</v>
      </c>
      <c r="AO891" s="1743" t="s">
        <v>85</v>
      </c>
      <c r="AP891" s="1743" t="s">
        <v>96</v>
      </c>
      <c r="AQ891" s="1764" t="s">
        <v>118</v>
      </c>
      <c r="AR891" s="1743" t="s">
        <v>87</v>
      </c>
      <c r="AS891" s="2135"/>
      <c r="AT891" s="2135"/>
      <c r="AU891" s="1212">
        <v>0.33333333333333331</v>
      </c>
      <c r="AV891" s="1212">
        <v>0.33333333333333331</v>
      </c>
      <c r="AW891" s="1212">
        <v>0.33333333333333331</v>
      </c>
      <c r="AX891" s="1212"/>
      <c r="AY891" s="1212"/>
      <c r="AZ891" s="1212"/>
      <c r="BA891" s="1212"/>
      <c r="BB891" s="1212"/>
      <c r="BC891" s="1212"/>
      <c r="BD891" s="1212"/>
      <c r="BE891" s="1212"/>
      <c r="BF891" s="2126">
        <v>0</v>
      </c>
      <c r="BG891" s="2126">
        <v>0</v>
      </c>
      <c r="BH891" s="2126">
        <v>-16485.347430555554</v>
      </c>
      <c r="BI891" s="2126">
        <v>-16485.347430555554</v>
      </c>
      <c r="BJ891" s="2126">
        <v>-16485.347430555554</v>
      </c>
      <c r="BK891" s="2126">
        <v>0</v>
      </c>
      <c r="BL891" s="2126">
        <v>0</v>
      </c>
      <c r="BM891" s="2126">
        <v>0</v>
      </c>
      <c r="BN891" s="2126">
        <v>0</v>
      </c>
      <c r="BO891" s="2126">
        <v>0</v>
      </c>
      <c r="BP891" s="2126">
        <v>0</v>
      </c>
      <c r="BQ891" s="2126">
        <v>0</v>
      </c>
      <c r="BR891" s="2126">
        <v>0</v>
      </c>
    </row>
    <row r="892" spans="1:70" s="1765" customFormat="1" ht="49.5">
      <c r="A892" s="1272">
        <v>4000</v>
      </c>
      <c r="B892" s="971" t="s">
        <v>1316</v>
      </c>
      <c r="C892" s="1272">
        <v>4500</v>
      </c>
      <c r="D892" s="971" t="s">
        <v>452</v>
      </c>
      <c r="E892" s="971" t="s">
        <v>1546</v>
      </c>
      <c r="F892" s="971" t="s">
        <v>454</v>
      </c>
      <c r="G892" s="971">
        <v>4511</v>
      </c>
      <c r="H892" s="971" t="s">
        <v>565</v>
      </c>
      <c r="I892" s="1273"/>
      <c r="J892" s="971" t="s">
        <v>124</v>
      </c>
      <c r="K892" s="971" t="s">
        <v>784</v>
      </c>
      <c r="L892" s="971" t="s">
        <v>2852</v>
      </c>
      <c r="M892" s="971" t="s">
        <v>458</v>
      </c>
      <c r="N892" s="971" t="s">
        <v>127</v>
      </c>
      <c r="O892" s="971" t="s">
        <v>459</v>
      </c>
      <c r="P892" s="971"/>
      <c r="Q892" s="971" t="s">
        <v>1688</v>
      </c>
      <c r="R892" s="1266"/>
      <c r="S892" s="2106">
        <v>13000</v>
      </c>
      <c r="T892" s="1266" t="s">
        <v>136</v>
      </c>
      <c r="U892" s="1742">
        <v>0.22416666666666665</v>
      </c>
      <c r="V892" s="1742">
        <v>2.8020833333333335</v>
      </c>
      <c r="W892" s="1742">
        <v>19.758049999999997</v>
      </c>
      <c r="X892" s="1742">
        <v>30.905858333333335</v>
      </c>
      <c r="Y892" s="2106">
        <v>53.46599166666666</v>
      </c>
      <c r="Z892" s="2106">
        <v>2914.1666666666665</v>
      </c>
      <c r="AA892" s="2106">
        <v>36427.083333333336</v>
      </c>
      <c r="AB892" s="2106">
        <v>256854.64999999997</v>
      </c>
      <c r="AC892" s="2106">
        <v>401776.15833333333</v>
      </c>
      <c r="AD892" s="1744">
        <v>695057.8916666666</v>
      </c>
      <c r="AE892" s="2126">
        <v>1</v>
      </c>
      <c r="AF892" s="2126">
        <v>13000</v>
      </c>
      <c r="AG892" s="1212">
        <v>1</v>
      </c>
      <c r="AH892" s="1212">
        <v>0</v>
      </c>
      <c r="AI892" s="1212">
        <v>0</v>
      </c>
      <c r="AJ892" s="1212">
        <v>1</v>
      </c>
      <c r="AK892" s="2126">
        <v>695057.8916666666</v>
      </c>
      <c r="AL892" s="2126">
        <v>0</v>
      </c>
      <c r="AM892" s="2126">
        <v>0</v>
      </c>
      <c r="AN892" s="2126">
        <v>695057.8916666666</v>
      </c>
      <c r="AO892" s="1743" t="s">
        <v>85</v>
      </c>
      <c r="AP892" s="1743" t="s">
        <v>90</v>
      </c>
      <c r="AQ892" s="1764" t="s">
        <v>112</v>
      </c>
      <c r="AR892" s="1743" t="s">
        <v>87</v>
      </c>
      <c r="AS892" s="2135"/>
      <c r="AT892" s="2135"/>
      <c r="AU892" s="1212">
        <v>0.33333333333333331</v>
      </c>
      <c r="AV892" s="1212">
        <v>0.33333333333333331</v>
      </c>
      <c r="AW892" s="1212">
        <v>0.33333333333333331</v>
      </c>
      <c r="AX892" s="1212"/>
      <c r="AY892" s="1212"/>
      <c r="AZ892" s="1212"/>
      <c r="BA892" s="1212"/>
      <c r="BB892" s="1212"/>
      <c r="BC892" s="1212"/>
      <c r="BD892" s="1212"/>
      <c r="BE892" s="1212"/>
      <c r="BF892" s="2126">
        <v>0</v>
      </c>
      <c r="BG892" s="2126">
        <v>0</v>
      </c>
      <c r="BH892" s="2126">
        <v>231685.96388888886</v>
      </c>
      <c r="BI892" s="2126">
        <v>231685.96388888886</v>
      </c>
      <c r="BJ892" s="2126">
        <v>231685.96388888886</v>
      </c>
      <c r="BK892" s="2126">
        <v>0</v>
      </c>
      <c r="BL892" s="2126">
        <v>0</v>
      </c>
      <c r="BM892" s="2126">
        <v>0</v>
      </c>
      <c r="BN892" s="2126">
        <v>0</v>
      </c>
      <c r="BO892" s="2126">
        <v>0</v>
      </c>
      <c r="BP892" s="2126">
        <v>0</v>
      </c>
      <c r="BQ892" s="2126">
        <v>0</v>
      </c>
      <c r="BR892" s="2126">
        <v>0</v>
      </c>
    </row>
    <row r="893" spans="1:70" s="1765" customFormat="1" ht="49.5">
      <c r="A893" s="1272">
        <v>4000</v>
      </c>
      <c r="B893" s="971" t="s">
        <v>1316</v>
      </c>
      <c r="C893" s="1272">
        <v>4500</v>
      </c>
      <c r="D893" s="971" t="s">
        <v>452</v>
      </c>
      <c r="E893" s="971" t="s">
        <v>1692</v>
      </c>
      <c r="F893" s="971" t="s">
        <v>605</v>
      </c>
      <c r="G893" s="971">
        <v>4521</v>
      </c>
      <c r="H893" s="971" t="s">
        <v>621</v>
      </c>
      <c r="I893" s="1273" t="s">
        <v>1693</v>
      </c>
      <c r="J893" s="971" t="s">
        <v>177</v>
      </c>
      <c r="K893" s="971" t="s">
        <v>530</v>
      </c>
      <c r="L893" s="971" t="s">
        <v>531</v>
      </c>
      <c r="M893" s="971" t="s">
        <v>530</v>
      </c>
      <c r="N893" s="971" t="s">
        <v>179</v>
      </c>
      <c r="O893" s="971" t="s">
        <v>531</v>
      </c>
      <c r="P893" s="971"/>
      <c r="Q893" s="971" t="s">
        <v>1694</v>
      </c>
      <c r="R893" s="1266" t="s">
        <v>1695</v>
      </c>
      <c r="S893" s="2106">
        <v>1</v>
      </c>
      <c r="T893" s="1266" t="s">
        <v>242</v>
      </c>
      <c r="U893" s="1742">
        <v>31</v>
      </c>
      <c r="V893" s="1742">
        <v>325</v>
      </c>
      <c r="W893" s="1742">
        <v>2732.34</v>
      </c>
      <c r="X893" s="1742">
        <v>3584.62</v>
      </c>
      <c r="Y893" s="2106">
        <v>6641.9599999999991</v>
      </c>
      <c r="Z893" s="2106">
        <v>31</v>
      </c>
      <c r="AA893" s="2106">
        <v>325</v>
      </c>
      <c r="AB893" s="2106">
        <v>2732.34</v>
      </c>
      <c r="AC893" s="2106">
        <v>3584.62</v>
      </c>
      <c r="AD893" s="1744">
        <v>6641.96</v>
      </c>
      <c r="AE893" s="2126">
        <v>2</v>
      </c>
      <c r="AF893" s="2126">
        <v>2</v>
      </c>
      <c r="AG893" s="1212">
        <v>1</v>
      </c>
      <c r="AH893" s="1212">
        <v>0</v>
      </c>
      <c r="AI893" s="1212">
        <v>0</v>
      </c>
      <c r="AJ893" s="1212">
        <v>1</v>
      </c>
      <c r="AK893" s="2126">
        <v>6641.96</v>
      </c>
      <c r="AL893" s="2126">
        <v>0</v>
      </c>
      <c r="AM893" s="2126">
        <v>0</v>
      </c>
      <c r="AN893" s="2126">
        <v>6641.96</v>
      </c>
      <c r="AO893" s="1743" t="s">
        <v>85</v>
      </c>
      <c r="AP893" s="1743"/>
      <c r="AQ893" s="1764">
        <v>2014</v>
      </c>
      <c r="AR893" s="1743" t="s">
        <v>87</v>
      </c>
      <c r="AS893" s="2135"/>
      <c r="AT893" s="2135"/>
      <c r="AU893" s="1212">
        <v>0.5</v>
      </c>
      <c r="AV893" s="1212">
        <v>0.5</v>
      </c>
      <c r="AW893" s="1212"/>
      <c r="AX893" s="1212"/>
      <c r="AY893" s="1212"/>
      <c r="AZ893" s="1212"/>
      <c r="BA893" s="1212"/>
      <c r="BB893" s="1212"/>
      <c r="BC893" s="1212"/>
      <c r="BD893" s="1212"/>
      <c r="BE893" s="1212"/>
      <c r="BF893" s="2126">
        <v>0</v>
      </c>
      <c r="BG893" s="2126">
        <v>0</v>
      </c>
      <c r="BH893" s="2126">
        <v>3320.98</v>
      </c>
      <c r="BI893" s="2126">
        <v>3320.98</v>
      </c>
      <c r="BJ893" s="2126">
        <v>0</v>
      </c>
      <c r="BK893" s="2126">
        <v>0</v>
      </c>
      <c r="BL893" s="2126">
        <v>0</v>
      </c>
      <c r="BM893" s="2126">
        <v>0</v>
      </c>
      <c r="BN893" s="2126">
        <v>0</v>
      </c>
      <c r="BO893" s="2126">
        <v>0</v>
      </c>
      <c r="BP893" s="2126">
        <v>0</v>
      </c>
      <c r="BQ893" s="2126">
        <v>0</v>
      </c>
      <c r="BR893" s="2126">
        <v>0</v>
      </c>
    </row>
    <row r="894" spans="1:70" s="1765" customFormat="1" ht="49.5">
      <c r="A894" s="1272">
        <v>4000</v>
      </c>
      <c r="B894" s="971" t="s">
        <v>1316</v>
      </c>
      <c r="C894" s="1272">
        <v>4500</v>
      </c>
      <c r="D894" s="971" t="s">
        <v>452</v>
      </c>
      <c r="E894" s="971" t="s">
        <v>1692</v>
      </c>
      <c r="F894" s="971" t="s">
        <v>605</v>
      </c>
      <c r="G894" s="971">
        <v>4521</v>
      </c>
      <c r="H894" s="971" t="s">
        <v>621</v>
      </c>
      <c r="I894" s="1273" t="s">
        <v>1696</v>
      </c>
      <c r="J894" s="971" t="s">
        <v>124</v>
      </c>
      <c r="K894" s="971" t="s">
        <v>2857</v>
      </c>
      <c r="L894" s="971" t="s">
        <v>2858</v>
      </c>
      <c r="M894" s="971" t="s">
        <v>487</v>
      </c>
      <c r="N894" s="971" t="s">
        <v>488</v>
      </c>
      <c r="O894" s="971" t="s">
        <v>215</v>
      </c>
      <c r="P894" s="971"/>
      <c r="Q894" s="971" t="s">
        <v>1697</v>
      </c>
      <c r="R894" s="1266"/>
      <c r="S894" s="2106">
        <v>35.687732342007436</v>
      </c>
      <c r="T894" s="1266" t="s">
        <v>136</v>
      </c>
      <c r="U894" s="1742">
        <v>0.56041666666666667</v>
      </c>
      <c r="V894" s="1742">
        <v>2.8020833333333335</v>
      </c>
      <c r="W894" s="1742">
        <v>49.395125</v>
      </c>
      <c r="X894" s="1742">
        <v>77.264645833333333</v>
      </c>
      <c r="Y894" s="2106">
        <v>129.46185416666665</v>
      </c>
      <c r="Z894" s="2106">
        <v>20</v>
      </c>
      <c r="AA894" s="2106">
        <v>100.00000000000001</v>
      </c>
      <c r="AB894" s="2106">
        <v>1762.8</v>
      </c>
      <c r="AC894" s="2106">
        <v>2757.4</v>
      </c>
      <c r="AD894" s="1744">
        <v>4620.2</v>
      </c>
      <c r="AE894" s="2126">
        <v>1</v>
      </c>
      <c r="AF894" s="2126">
        <v>35.687732342007436</v>
      </c>
      <c r="AG894" s="1212">
        <v>1</v>
      </c>
      <c r="AH894" s="1212">
        <v>0</v>
      </c>
      <c r="AI894" s="1212">
        <v>0</v>
      </c>
      <c r="AJ894" s="1212">
        <v>1</v>
      </c>
      <c r="AK894" s="2126">
        <v>4620.2</v>
      </c>
      <c r="AL894" s="2126">
        <v>0</v>
      </c>
      <c r="AM894" s="2126">
        <v>0</v>
      </c>
      <c r="AN894" s="2126">
        <v>4620.2</v>
      </c>
      <c r="AO894" s="1743" t="s">
        <v>85</v>
      </c>
      <c r="AP894" s="1743" t="s">
        <v>90</v>
      </c>
      <c r="AQ894" s="1764">
        <v>2019</v>
      </c>
      <c r="AR894" s="1743" t="s">
        <v>87</v>
      </c>
      <c r="AS894" s="2135"/>
      <c r="AT894" s="2135"/>
      <c r="AU894" s="1212">
        <v>0.33333333333333331</v>
      </c>
      <c r="AV894" s="1212">
        <v>0.33333333333333331</v>
      </c>
      <c r="AW894" s="1212">
        <v>0.33333333333333331</v>
      </c>
      <c r="AX894" s="1212"/>
      <c r="AY894" s="1212"/>
      <c r="AZ894" s="1212"/>
      <c r="BA894" s="1212"/>
      <c r="BB894" s="1212"/>
      <c r="BC894" s="1212"/>
      <c r="BD894" s="1212"/>
      <c r="BE894" s="1212"/>
      <c r="BF894" s="2126">
        <v>0</v>
      </c>
      <c r="BG894" s="2126">
        <v>0</v>
      </c>
      <c r="BH894" s="2126">
        <v>1540.0666666666666</v>
      </c>
      <c r="BI894" s="2126">
        <v>1540.0666666666666</v>
      </c>
      <c r="BJ894" s="2126">
        <v>1540.0666666666666</v>
      </c>
      <c r="BK894" s="2126">
        <v>0</v>
      </c>
      <c r="BL894" s="2126">
        <v>0</v>
      </c>
      <c r="BM894" s="2126">
        <v>0</v>
      </c>
      <c r="BN894" s="2126">
        <v>0</v>
      </c>
      <c r="BO894" s="2126">
        <v>0</v>
      </c>
      <c r="BP894" s="2126">
        <v>0</v>
      </c>
      <c r="BQ894" s="2126">
        <v>0</v>
      </c>
      <c r="BR894" s="2126">
        <v>0</v>
      </c>
    </row>
    <row r="895" spans="1:70" s="1765" customFormat="1" ht="49.5">
      <c r="A895" s="1272">
        <v>4000</v>
      </c>
      <c r="B895" s="971" t="s">
        <v>1316</v>
      </c>
      <c r="C895" s="1272">
        <v>4500</v>
      </c>
      <c r="D895" s="971" t="s">
        <v>452</v>
      </c>
      <c r="E895" s="971" t="s">
        <v>1692</v>
      </c>
      <c r="F895" s="971" t="s">
        <v>605</v>
      </c>
      <c r="G895" s="971">
        <v>4521</v>
      </c>
      <c r="H895" s="971" t="s">
        <v>621</v>
      </c>
      <c r="I895" s="1273" t="s">
        <v>1696</v>
      </c>
      <c r="J895" s="971" t="s">
        <v>124</v>
      </c>
      <c r="K895" s="971" t="s">
        <v>2857</v>
      </c>
      <c r="L895" s="971" t="s">
        <v>2858</v>
      </c>
      <c r="M895" s="971" t="s">
        <v>487</v>
      </c>
      <c r="N895" s="971" t="s">
        <v>488</v>
      </c>
      <c r="O895" s="971" t="s">
        <v>215</v>
      </c>
      <c r="P895" s="971"/>
      <c r="Q895" s="971" t="s">
        <v>1698</v>
      </c>
      <c r="R895" s="1266"/>
      <c r="S895" s="2106">
        <v>35.687732342007436</v>
      </c>
      <c r="T895" s="1266" t="s">
        <v>136</v>
      </c>
      <c r="U895" s="1742">
        <v>0.56041666666666667</v>
      </c>
      <c r="V895" s="1742">
        <v>2.8020833333333335</v>
      </c>
      <c r="W895" s="1742">
        <v>49.395125</v>
      </c>
      <c r="X895" s="1742">
        <v>77.264645833333333</v>
      </c>
      <c r="Y895" s="2106">
        <v>129.46185416666665</v>
      </c>
      <c r="Z895" s="2106">
        <v>20</v>
      </c>
      <c r="AA895" s="2106">
        <v>100.00000000000001</v>
      </c>
      <c r="AB895" s="2106">
        <v>1762.8</v>
      </c>
      <c r="AC895" s="2106">
        <v>2757.4</v>
      </c>
      <c r="AD895" s="1744">
        <v>4620.2</v>
      </c>
      <c r="AE895" s="2126">
        <v>1</v>
      </c>
      <c r="AF895" s="2126">
        <v>35.687732342007436</v>
      </c>
      <c r="AG895" s="1212">
        <v>1</v>
      </c>
      <c r="AH895" s="1212">
        <v>0</v>
      </c>
      <c r="AI895" s="1212">
        <v>0</v>
      </c>
      <c r="AJ895" s="1212">
        <v>1</v>
      </c>
      <c r="AK895" s="2126">
        <v>4620.2</v>
      </c>
      <c r="AL895" s="2126">
        <v>0</v>
      </c>
      <c r="AM895" s="2126">
        <v>0</v>
      </c>
      <c r="AN895" s="2126">
        <v>4620.2</v>
      </c>
      <c r="AO895" s="1743" t="s">
        <v>85</v>
      </c>
      <c r="AP895" s="1743" t="s">
        <v>90</v>
      </c>
      <c r="AQ895" s="1764">
        <v>2019</v>
      </c>
      <c r="AR895" s="1743" t="s">
        <v>87</v>
      </c>
      <c r="AS895" s="2135"/>
      <c r="AT895" s="2135"/>
      <c r="AU895" s="1212">
        <v>0.33333333333333331</v>
      </c>
      <c r="AV895" s="1212">
        <v>0.33333333333333331</v>
      </c>
      <c r="AW895" s="1212">
        <v>0.33333333333333331</v>
      </c>
      <c r="AX895" s="1212"/>
      <c r="AY895" s="1212"/>
      <c r="AZ895" s="1212"/>
      <c r="BA895" s="1212"/>
      <c r="BB895" s="1212"/>
      <c r="BC895" s="1212"/>
      <c r="BD895" s="1212"/>
      <c r="BE895" s="1212"/>
      <c r="BF895" s="2126">
        <v>0</v>
      </c>
      <c r="BG895" s="2126">
        <v>0</v>
      </c>
      <c r="BH895" s="2126">
        <v>1540.0666666666666</v>
      </c>
      <c r="BI895" s="2126">
        <v>1540.0666666666666</v>
      </c>
      <c r="BJ895" s="2126">
        <v>1540.0666666666666</v>
      </c>
      <c r="BK895" s="2126">
        <v>0</v>
      </c>
      <c r="BL895" s="2126">
        <v>0</v>
      </c>
      <c r="BM895" s="2126">
        <v>0</v>
      </c>
      <c r="BN895" s="2126">
        <v>0</v>
      </c>
      <c r="BO895" s="2126">
        <v>0</v>
      </c>
      <c r="BP895" s="2126">
        <v>0</v>
      </c>
      <c r="BQ895" s="2126">
        <v>0</v>
      </c>
      <c r="BR895" s="2126">
        <v>0</v>
      </c>
    </row>
    <row r="896" spans="1:70" s="1765" customFormat="1" ht="49.5">
      <c r="A896" s="1272">
        <v>4000</v>
      </c>
      <c r="B896" s="971" t="s">
        <v>1316</v>
      </c>
      <c r="C896" s="1272">
        <v>4500</v>
      </c>
      <c r="D896" s="971" t="s">
        <v>452</v>
      </c>
      <c r="E896" s="971" t="s">
        <v>1692</v>
      </c>
      <c r="F896" s="971" t="s">
        <v>605</v>
      </c>
      <c r="G896" s="971">
        <v>4521</v>
      </c>
      <c r="H896" s="971" t="s">
        <v>621</v>
      </c>
      <c r="I896" s="1273" t="s">
        <v>1696</v>
      </c>
      <c r="J896" s="971" t="s">
        <v>124</v>
      </c>
      <c r="K896" s="971" t="s">
        <v>2857</v>
      </c>
      <c r="L896" s="971" t="s">
        <v>2858</v>
      </c>
      <c r="M896" s="971" t="s">
        <v>487</v>
      </c>
      <c r="N896" s="971" t="s">
        <v>488</v>
      </c>
      <c r="O896" s="971" t="s">
        <v>215</v>
      </c>
      <c r="P896" s="971"/>
      <c r="Q896" s="971" t="s">
        <v>1698</v>
      </c>
      <c r="R896" s="1266"/>
      <c r="S896" s="2106">
        <v>35.687732342007436</v>
      </c>
      <c r="T896" s="1266" t="s">
        <v>136</v>
      </c>
      <c r="U896" s="1742">
        <v>0.56041666666666667</v>
      </c>
      <c r="V896" s="1742">
        <v>2.8020833333333335</v>
      </c>
      <c r="W896" s="1742">
        <v>49.395125</v>
      </c>
      <c r="X896" s="1742">
        <v>77.264645833333333</v>
      </c>
      <c r="Y896" s="2106">
        <v>129.46185416666665</v>
      </c>
      <c r="Z896" s="2106">
        <v>20</v>
      </c>
      <c r="AA896" s="2106">
        <v>100.00000000000001</v>
      </c>
      <c r="AB896" s="2106">
        <v>1762.8</v>
      </c>
      <c r="AC896" s="2106">
        <v>2757.4</v>
      </c>
      <c r="AD896" s="1744">
        <v>4620.2</v>
      </c>
      <c r="AE896" s="2126">
        <v>1</v>
      </c>
      <c r="AF896" s="2126">
        <v>35.687732342007436</v>
      </c>
      <c r="AG896" s="1212">
        <v>1</v>
      </c>
      <c r="AH896" s="1212">
        <v>0</v>
      </c>
      <c r="AI896" s="1212">
        <v>0</v>
      </c>
      <c r="AJ896" s="1212">
        <v>1</v>
      </c>
      <c r="AK896" s="2126">
        <v>4620.2</v>
      </c>
      <c r="AL896" s="2126">
        <v>0</v>
      </c>
      <c r="AM896" s="2126">
        <v>0</v>
      </c>
      <c r="AN896" s="2126">
        <v>4620.2</v>
      </c>
      <c r="AO896" s="1743" t="s">
        <v>85</v>
      </c>
      <c r="AP896" s="1743" t="s">
        <v>90</v>
      </c>
      <c r="AQ896" s="1764">
        <v>2021</v>
      </c>
      <c r="AR896" s="1743" t="s">
        <v>87</v>
      </c>
      <c r="AS896" s="2135"/>
      <c r="AT896" s="2135"/>
      <c r="AU896" s="1212">
        <v>0.33333333333333331</v>
      </c>
      <c r="AV896" s="1212">
        <v>0.33333333333333331</v>
      </c>
      <c r="AW896" s="1212">
        <v>0.33333333333333331</v>
      </c>
      <c r="AX896" s="1212"/>
      <c r="AY896" s="1212"/>
      <c r="AZ896" s="1212"/>
      <c r="BA896" s="1212"/>
      <c r="BB896" s="1212"/>
      <c r="BC896" s="1212"/>
      <c r="BD896" s="1212"/>
      <c r="BE896" s="1212"/>
      <c r="BF896" s="2126">
        <v>0</v>
      </c>
      <c r="BG896" s="2126">
        <v>0</v>
      </c>
      <c r="BH896" s="2126">
        <v>1540.0666666666666</v>
      </c>
      <c r="BI896" s="2126">
        <v>1540.0666666666666</v>
      </c>
      <c r="BJ896" s="2126">
        <v>1540.0666666666666</v>
      </c>
      <c r="BK896" s="2126">
        <v>0</v>
      </c>
      <c r="BL896" s="2126">
        <v>0</v>
      </c>
      <c r="BM896" s="2126">
        <v>0</v>
      </c>
      <c r="BN896" s="2126">
        <v>0</v>
      </c>
      <c r="BO896" s="2126">
        <v>0</v>
      </c>
      <c r="BP896" s="2126">
        <v>0</v>
      </c>
      <c r="BQ896" s="2126">
        <v>0</v>
      </c>
      <c r="BR896" s="2126">
        <v>0</v>
      </c>
    </row>
    <row r="897" spans="1:70" s="1765" customFormat="1" ht="49.5">
      <c r="A897" s="1272">
        <v>4000</v>
      </c>
      <c r="B897" s="971" t="s">
        <v>1316</v>
      </c>
      <c r="C897" s="1272">
        <v>4500</v>
      </c>
      <c r="D897" s="971" t="s">
        <v>452</v>
      </c>
      <c r="E897" s="971" t="s">
        <v>1692</v>
      </c>
      <c r="F897" s="971" t="s">
        <v>605</v>
      </c>
      <c r="G897" s="971">
        <v>4521</v>
      </c>
      <c r="H897" s="971" t="s">
        <v>621</v>
      </c>
      <c r="I897" s="1273" t="s">
        <v>1696</v>
      </c>
      <c r="J897" s="971" t="s">
        <v>124</v>
      </c>
      <c r="K897" s="971" t="s">
        <v>2857</v>
      </c>
      <c r="L897" s="971" t="s">
        <v>2858</v>
      </c>
      <c r="M897" s="971" t="s">
        <v>487</v>
      </c>
      <c r="N897" s="971" t="s">
        <v>488</v>
      </c>
      <c r="O897" s="971" t="s">
        <v>215</v>
      </c>
      <c r="P897" s="971" t="s">
        <v>1699</v>
      </c>
      <c r="Q897" s="971" t="s">
        <v>1700</v>
      </c>
      <c r="R897" s="1266" t="s">
        <v>1701</v>
      </c>
      <c r="S897" s="2106">
        <v>36</v>
      </c>
      <c r="T897" s="1266" t="s">
        <v>136</v>
      </c>
      <c r="U897" s="1742">
        <v>0.56041666666666667</v>
      </c>
      <c r="V897" s="1742">
        <v>2.8020833333333335</v>
      </c>
      <c r="W897" s="1742">
        <v>49.395125</v>
      </c>
      <c r="X897" s="1742">
        <v>77.264645833333333</v>
      </c>
      <c r="Y897" s="2106">
        <v>129.46185416666665</v>
      </c>
      <c r="Z897" s="2106">
        <v>20.175000000000001</v>
      </c>
      <c r="AA897" s="2106">
        <v>100.875</v>
      </c>
      <c r="AB897" s="2106">
        <v>1778.2245</v>
      </c>
      <c r="AC897" s="2106">
        <v>2781.5272500000001</v>
      </c>
      <c r="AD897" s="1744">
        <v>4660.6267500000004</v>
      </c>
      <c r="AE897" s="2126">
        <v>1</v>
      </c>
      <c r="AF897" s="2126">
        <v>36</v>
      </c>
      <c r="AG897" s="1212">
        <v>1</v>
      </c>
      <c r="AH897" s="1212">
        <v>0</v>
      </c>
      <c r="AI897" s="1212">
        <v>0</v>
      </c>
      <c r="AJ897" s="1212">
        <v>1</v>
      </c>
      <c r="AK897" s="2126">
        <v>4660.6267500000004</v>
      </c>
      <c r="AL897" s="2126">
        <v>0</v>
      </c>
      <c r="AM897" s="2126">
        <v>0</v>
      </c>
      <c r="AN897" s="2126">
        <v>4660.6267500000004</v>
      </c>
      <c r="AO897" s="1743" t="s">
        <v>85</v>
      </c>
      <c r="AP897" s="1743" t="s">
        <v>90</v>
      </c>
      <c r="AQ897" s="1764">
        <v>2022</v>
      </c>
      <c r="AR897" s="1743" t="s">
        <v>87</v>
      </c>
      <c r="AS897" s="2135"/>
      <c r="AT897" s="2135"/>
      <c r="AU897" s="1212">
        <v>0.33333333333333331</v>
      </c>
      <c r="AV897" s="1212">
        <v>0.33333333333333331</v>
      </c>
      <c r="AW897" s="1212">
        <v>0.33333333333333331</v>
      </c>
      <c r="AX897" s="1212"/>
      <c r="AY897" s="1212"/>
      <c r="AZ897" s="1212"/>
      <c r="BA897" s="1212"/>
      <c r="BB897" s="1212"/>
      <c r="BC897" s="1212"/>
      <c r="BD897" s="1212"/>
      <c r="BE897" s="1212"/>
      <c r="BF897" s="2126">
        <v>0</v>
      </c>
      <c r="BG897" s="2126">
        <v>0</v>
      </c>
      <c r="BH897" s="2126">
        <v>1553.54225</v>
      </c>
      <c r="BI897" s="2126">
        <v>1553.54225</v>
      </c>
      <c r="BJ897" s="2126">
        <v>1553.54225</v>
      </c>
      <c r="BK897" s="2126">
        <v>0</v>
      </c>
      <c r="BL897" s="2126">
        <v>0</v>
      </c>
      <c r="BM897" s="2126">
        <v>0</v>
      </c>
      <c r="BN897" s="2126">
        <v>0</v>
      </c>
      <c r="BO897" s="2126">
        <v>0</v>
      </c>
      <c r="BP897" s="2126">
        <v>0</v>
      </c>
      <c r="BQ897" s="2126">
        <v>0</v>
      </c>
      <c r="BR897" s="2126">
        <v>0</v>
      </c>
    </row>
    <row r="898" spans="1:70" s="1765" customFormat="1" ht="49.5">
      <c r="A898" s="1272">
        <v>4000</v>
      </c>
      <c r="B898" s="971" t="s">
        <v>1316</v>
      </c>
      <c r="C898" s="1272">
        <v>4500</v>
      </c>
      <c r="D898" s="971" t="s">
        <v>452</v>
      </c>
      <c r="E898" s="971" t="s">
        <v>1692</v>
      </c>
      <c r="F898" s="971" t="s">
        <v>605</v>
      </c>
      <c r="G898" s="971">
        <v>4521</v>
      </c>
      <c r="H898" s="971" t="s">
        <v>621</v>
      </c>
      <c r="I898" s="1273" t="s">
        <v>1696</v>
      </c>
      <c r="J898" s="971" t="s">
        <v>124</v>
      </c>
      <c r="K898" s="971" t="s">
        <v>2857</v>
      </c>
      <c r="L898" s="971" t="s">
        <v>2858</v>
      </c>
      <c r="M898" s="971" t="s">
        <v>487</v>
      </c>
      <c r="N898" s="971" t="s">
        <v>488</v>
      </c>
      <c r="O898" s="971" t="s">
        <v>215</v>
      </c>
      <c r="P898" s="971"/>
      <c r="Q898" s="971" t="s">
        <v>649</v>
      </c>
      <c r="R898" s="1266" t="s">
        <v>1702</v>
      </c>
      <c r="S898" s="2106">
        <v>35.687732342007436</v>
      </c>
      <c r="T898" s="1266" t="s">
        <v>136</v>
      </c>
      <c r="U898" s="1742">
        <v>0.56041666666666667</v>
      </c>
      <c r="V898" s="1742">
        <v>2.8020833333333335</v>
      </c>
      <c r="W898" s="1742">
        <v>49.395125</v>
      </c>
      <c r="X898" s="1742">
        <v>77.264645833333333</v>
      </c>
      <c r="Y898" s="2106">
        <v>129.46185416666665</v>
      </c>
      <c r="Z898" s="2106">
        <v>20</v>
      </c>
      <c r="AA898" s="2106">
        <v>100.00000000000001</v>
      </c>
      <c r="AB898" s="2106">
        <v>1762.8</v>
      </c>
      <c r="AC898" s="2106">
        <v>2757.4</v>
      </c>
      <c r="AD898" s="1744">
        <v>4620.2</v>
      </c>
      <c r="AE898" s="2126">
        <v>1</v>
      </c>
      <c r="AF898" s="2126">
        <v>35.687732342007436</v>
      </c>
      <c r="AG898" s="1212">
        <v>1</v>
      </c>
      <c r="AH898" s="1212">
        <v>0</v>
      </c>
      <c r="AI898" s="1212">
        <v>0</v>
      </c>
      <c r="AJ898" s="1212">
        <v>1</v>
      </c>
      <c r="AK898" s="2126">
        <v>4620.2</v>
      </c>
      <c r="AL898" s="2126">
        <v>0</v>
      </c>
      <c r="AM898" s="2126">
        <v>0</v>
      </c>
      <c r="AN898" s="2126">
        <v>4620.2</v>
      </c>
      <c r="AO898" s="1743" t="s">
        <v>85</v>
      </c>
      <c r="AP898" s="1743"/>
      <c r="AQ898" s="1764">
        <v>2014</v>
      </c>
      <c r="AR898" s="1743" t="s">
        <v>87</v>
      </c>
      <c r="AS898" s="2135"/>
      <c r="AT898" s="2135"/>
      <c r="AU898" s="1212">
        <v>0.33333333333333331</v>
      </c>
      <c r="AV898" s="1212">
        <v>0.33333333333333331</v>
      </c>
      <c r="AW898" s="1212">
        <v>0.33333333333333331</v>
      </c>
      <c r="AX898" s="1212"/>
      <c r="AY898" s="1212"/>
      <c r="AZ898" s="1212"/>
      <c r="BA898" s="1212"/>
      <c r="BB898" s="1212"/>
      <c r="BC898" s="1212"/>
      <c r="BD898" s="1212"/>
      <c r="BE898" s="1212"/>
      <c r="BF898" s="2126">
        <v>0</v>
      </c>
      <c r="BG898" s="2126">
        <v>0</v>
      </c>
      <c r="BH898" s="2126">
        <v>1540.0666666666666</v>
      </c>
      <c r="BI898" s="2126">
        <v>1540.0666666666666</v>
      </c>
      <c r="BJ898" s="2126">
        <v>1540.0666666666666</v>
      </c>
      <c r="BK898" s="2126">
        <v>0</v>
      </c>
      <c r="BL898" s="2126">
        <v>0</v>
      </c>
      <c r="BM898" s="2126">
        <v>0</v>
      </c>
      <c r="BN898" s="2126">
        <v>0</v>
      </c>
      <c r="BO898" s="2126">
        <v>0</v>
      </c>
      <c r="BP898" s="2126">
        <v>0</v>
      </c>
      <c r="BQ898" s="2126">
        <v>0</v>
      </c>
      <c r="BR898" s="2126">
        <v>0</v>
      </c>
    </row>
    <row r="899" spans="1:70" s="1765" customFormat="1" ht="66">
      <c r="A899" s="1272">
        <v>4000</v>
      </c>
      <c r="B899" s="971" t="s">
        <v>1316</v>
      </c>
      <c r="C899" s="1272">
        <v>4500</v>
      </c>
      <c r="D899" s="971" t="s">
        <v>452</v>
      </c>
      <c r="E899" s="971" t="s">
        <v>1692</v>
      </c>
      <c r="F899" s="971" t="s">
        <v>605</v>
      </c>
      <c r="G899" s="971">
        <v>4521</v>
      </c>
      <c r="H899" s="971" t="s">
        <v>621</v>
      </c>
      <c r="I899" s="1273" t="s">
        <v>1703</v>
      </c>
      <c r="J899" s="971" t="s">
        <v>124</v>
      </c>
      <c r="K899" s="971" t="s">
        <v>1747</v>
      </c>
      <c r="L899" s="971" t="s">
        <v>6606</v>
      </c>
      <c r="M899" s="971" t="s">
        <v>606</v>
      </c>
      <c r="N899" s="971" t="s">
        <v>488</v>
      </c>
      <c r="O899" s="971" t="s">
        <v>518</v>
      </c>
      <c r="P899" s="971"/>
      <c r="Q899" s="971" t="s">
        <v>623</v>
      </c>
      <c r="R899" s="1266" t="s">
        <v>1704</v>
      </c>
      <c r="S899" s="2106">
        <v>2416.3568773234201</v>
      </c>
      <c r="T899" s="1266" t="s">
        <v>136</v>
      </c>
      <c r="U899" s="1742">
        <v>0.56041666666666667</v>
      </c>
      <c r="V899" s="1742">
        <v>1.9614583333333333</v>
      </c>
      <c r="W899" s="1742">
        <v>49.395125</v>
      </c>
      <c r="X899" s="1742">
        <v>77.264645833333333</v>
      </c>
      <c r="Y899" s="2106">
        <v>128.62122916666667</v>
      </c>
      <c r="Z899" s="2106">
        <v>1354.1666666666667</v>
      </c>
      <c r="AA899" s="2106">
        <v>4739.583333333333</v>
      </c>
      <c r="AB899" s="2106">
        <v>119356.25</v>
      </c>
      <c r="AC899" s="2106">
        <v>186698.95833333334</v>
      </c>
      <c r="AD899" s="1744">
        <v>310794.79166666669</v>
      </c>
      <c r="AE899" s="2126">
        <v>1</v>
      </c>
      <c r="AF899" s="2126">
        <v>2416.3568773234201</v>
      </c>
      <c r="AG899" s="1212">
        <v>1</v>
      </c>
      <c r="AH899" s="1212">
        <v>0</v>
      </c>
      <c r="AI899" s="1212">
        <v>0</v>
      </c>
      <c r="AJ899" s="1212">
        <v>1</v>
      </c>
      <c r="AK899" s="2126">
        <v>310794.79166666669</v>
      </c>
      <c r="AL899" s="2126">
        <v>0</v>
      </c>
      <c r="AM899" s="2126">
        <v>0</v>
      </c>
      <c r="AN899" s="2126">
        <v>310794.79166666669</v>
      </c>
      <c r="AO899" s="1743" t="s">
        <v>85</v>
      </c>
      <c r="AP899" s="1743"/>
      <c r="AQ899" s="1764">
        <v>2014</v>
      </c>
      <c r="AR899" s="1743" t="s">
        <v>87</v>
      </c>
      <c r="AS899" s="2135"/>
      <c r="AT899" s="2135"/>
      <c r="AU899" s="1212">
        <v>0.33333333333333331</v>
      </c>
      <c r="AV899" s="1212">
        <v>0.33333333333333331</v>
      </c>
      <c r="AW899" s="1212">
        <v>0.33333333333333331</v>
      </c>
      <c r="AX899" s="1212"/>
      <c r="AY899" s="1212"/>
      <c r="AZ899" s="1212"/>
      <c r="BA899" s="1212"/>
      <c r="BB899" s="1212"/>
      <c r="BC899" s="1212"/>
      <c r="BD899" s="1212"/>
      <c r="BE899" s="1212"/>
      <c r="BF899" s="2126">
        <v>0</v>
      </c>
      <c r="BG899" s="2126">
        <v>0</v>
      </c>
      <c r="BH899" s="2126">
        <v>103598.26388888889</v>
      </c>
      <c r="BI899" s="2126">
        <v>103598.26388888889</v>
      </c>
      <c r="BJ899" s="2126">
        <v>103598.26388888889</v>
      </c>
      <c r="BK899" s="2126">
        <v>0</v>
      </c>
      <c r="BL899" s="2126">
        <v>0</v>
      </c>
      <c r="BM899" s="2126">
        <v>0</v>
      </c>
      <c r="BN899" s="2126">
        <v>0</v>
      </c>
      <c r="BO899" s="2126">
        <v>0</v>
      </c>
      <c r="BP899" s="2126">
        <v>0</v>
      </c>
      <c r="BQ899" s="2126">
        <v>0</v>
      </c>
      <c r="BR899" s="2126">
        <v>0</v>
      </c>
    </row>
    <row r="900" spans="1:70" s="1765" customFormat="1" ht="66">
      <c r="A900" s="1272">
        <v>4000</v>
      </c>
      <c r="B900" s="971" t="s">
        <v>1316</v>
      </c>
      <c r="C900" s="1272">
        <v>4500</v>
      </c>
      <c r="D900" s="971" t="s">
        <v>452</v>
      </c>
      <c r="E900" s="971" t="s">
        <v>1692</v>
      </c>
      <c r="F900" s="971" t="s">
        <v>605</v>
      </c>
      <c r="G900" s="971">
        <v>4521</v>
      </c>
      <c r="H900" s="971" t="s">
        <v>621</v>
      </c>
      <c r="I900" s="1273" t="s">
        <v>1705</v>
      </c>
      <c r="J900" s="971" t="s">
        <v>124</v>
      </c>
      <c r="K900" s="971" t="s">
        <v>1747</v>
      </c>
      <c r="L900" s="971" t="s">
        <v>6606</v>
      </c>
      <c r="M900" s="971" t="s">
        <v>606</v>
      </c>
      <c r="N900" s="971" t="s">
        <v>488</v>
      </c>
      <c r="O900" s="971" t="s">
        <v>518</v>
      </c>
      <c r="P900" s="971"/>
      <c r="Q900" s="971" t="s">
        <v>1706</v>
      </c>
      <c r="R900" s="1266" t="s">
        <v>1707</v>
      </c>
      <c r="S900" s="2106">
        <v>892.19330855018586</v>
      </c>
      <c r="T900" s="1266" t="s">
        <v>136</v>
      </c>
      <c r="U900" s="1742">
        <v>0.56041666666666667</v>
      </c>
      <c r="V900" s="1742">
        <v>1.9614583333333333</v>
      </c>
      <c r="W900" s="1742">
        <v>49.395125</v>
      </c>
      <c r="X900" s="1742">
        <v>77.264645833333333</v>
      </c>
      <c r="Y900" s="2106">
        <v>128.62122916666667</v>
      </c>
      <c r="Z900" s="2106">
        <v>500</v>
      </c>
      <c r="AA900" s="2106">
        <v>1750</v>
      </c>
      <c r="AB900" s="2106">
        <v>44070</v>
      </c>
      <c r="AC900" s="2106">
        <v>68935</v>
      </c>
      <c r="AD900" s="1744">
        <v>114755</v>
      </c>
      <c r="AE900" s="2126">
        <v>1</v>
      </c>
      <c r="AF900" s="2126">
        <v>892.19330855018586</v>
      </c>
      <c r="AG900" s="1212">
        <v>1</v>
      </c>
      <c r="AH900" s="1212">
        <v>0</v>
      </c>
      <c r="AI900" s="1212">
        <v>0</v>
      </c>
      <c r="AJ900" s="1212">
        <v>1</v>
      </c>
      <c r="AK900" s="2126">
        <v>114755</v>
      </c>
      <c r="AL900" s="2126">
        <v>0</v>
      </c>
      <c r="AM900" s="2126">
        <v>0</v>
      </c>
      <c r="AN900" s="2126">
        <v>114755</v>
      </c>
      <c r="AO900" s="1743" t="s">
        <v>85</v>
      </c>
      <c r="AP900" s="1743"/>
      <c r="AQ900" s="1764">
        <v>2014</v>
      </c>
      <c r="AR900" s="1743" t="s">
        <v>87</v>
      </c>
      <c r="AS900" s="2135"/>
      <c r="AT900" s="2135"/>
      <c r="AU900" s="1212">
        <v>0.33333333333333331</v>
      </c>
      <c r="AV900" s="1212">
        <v>0.33333333333333331</v>
      </c>
      <c r="AW900" s="1212">
        <v>0.33333333333333331</v>
      </c>
      <c r="AX900" s="1212"/>
      <c r="AY900" s="1212"/>
      <c r="AZ900" s="1212"/>
      <c r="BA900" s="1212"/>
      <c r="BB900" s="1212"/>
      <c r="BC900" s="1212"/>
      <c r="BD900" s="1212"/>
      <c r="BE900" s="1212"/>
      <c r="BF900" s="2126">
        <v>0</v>
      </c>
      <c r="BG900" s="2126">
        <v>0</v>
      </c>
      <c r="BH900" s="2126">
        <v>38251.666666666664</v>
      </c>
      <c r="BI900" s="2126">
        <v>38251.666666666664</v>
      </c>
      <c r="BJ900" s="2126">
        <v>38251.666666666664</v>
      </c>
      <c r="BK900" s="2126">
        <v>0</v>
      </c>
      <c r="BL900" s="2126">
        <v>0</v>
      </c>
      <c r="BM900" s="2126">
        <v>0</v>
      </c>
      <c r="BN900" s="2126">
        <v>0</v>
      </c>
      <c r="BO900" s="2126">
        <v>0</v>
      </c>
      <c r="BP900" s="2126">
        <v>0</v>
      </c>
      <c r="BQ900" s="2126">
        <v>0</v>
      </c>
      <c r="BR900" s="2126">
        <v>0</v>
      </c>
    </row>
    <row r="901" spans="1:70" s="1765" customFormat="1" ht="49.5">
      <c r="A901" s="1272">
        <v>4000</v>
      </c>
      <c r="B901" s="971" t="s">
        <v>1316</v>
      </c>
      <c r="C901" s="1272">
        <v>4500</v>
      </c>
      <c r="D901" s="971" t="s">
        <v>452</v>
      </c>
      <c r="E901" s="971" t="s">
        <v>1692</v>
      </c>
      <c r="F901" s="971" t="s">
        <v>605</v>
      </c>
      <c r="G901" s="971">
        <v>4521</v>
      </c>
      <c r="H901" s="971" t="s">
        <v>621</v>
      </c>
      <c r="I901" s="1273" t="s">
        <v>1708</v>
      </c>
      <c r="J901" s="971" t="s">
        <v>124</v>
      </c>
      <c r="K901" s="971" t="s">
        <v>523</v>
      </c>
      <c r="L901" s="971" t="s">
        <v>6607</v>
      </c>
      <c r="M901" s="971" t="s">
        <v>523</v>
      </c>
      <c r="N901" s="971" t="s">
        <v>141</v>
      </c>
      <c r="O901" s="971" t="s">
        <v>524</v>
      </c>
      <c r="P901" s="971"/>
      <c r="Q901" s="971" t="s">
        <v>631</v>
      </c>
      <c r="R901" s="1266" t="s">
        <v>1704</v>
      </c>
      <c r="S901" s="2106">
        <v>2416.3568773234201</v>
      </c>
      <c r="T901" s="1266" t="s">
        <v>136</v>
      </c>
      <c r="U901" s="1742">
        <v>0.14520631503408685</v>
      </c>
      <c r="V901" s="1742">
        <v>1.8150789379260854</v>
      </c>
      <c r="W901" s="1742">
        <v>12.798484607104415</v>
      </c>
      <c r="X901" s="1742">
        <v>20.019594653749554</v>
      </c>
      <c r="Y901" s="2106">
        <v>34.633158198780052</v>
      </c>
      <c r="Z901" s="2106">
        <v>350.87027796340686</v>
      </c>
      <c r="AA901" s="2106">
        <v>4385.8784745425855</v>
      </c>
      <c r="AB901" s="2106">
        <v>30925.706299694684</v>
      </c>
      <c r="AC901" s="2106">
        <v>48374.48522281491</v>
      </c>
      <c r="AD901" s="1744">
        <v>83686.069997052182</v>
      </c>
      <c r="AE901" s="2126">
        <v>0.75</v>
      </c>
      <c r="AF901" s="2126">
        <v>1812.2676579925651</v>
      </c>
      <c r="AG901" s="1212">
        <v>1</v>
      </c>
      <c r="AH901" s="1212">
        <v>0</v>
      </c>
      <c r="AI901" s="1212">
        <v>0</v>
      </c>
      <c r="AJ901" s="1212">
        <v>1</v>
      </c>
      <c r="AK901" s="2126">
        <v>83686.069997052182</v>
      </c>
      <c r="AL901" s="2126">
        <v>0</v>
      </c>
      <c r="AM901" s="2126">
        <v>0</v>
      </c>
      <c r="AN901" s="2126">
        <v>83686.069997052182</v>
      </c>
      <c r="AO901" s="1743" t="s">
        <v>85</v>
      </c>
      <c r="AP901" s="1743"/>
      <c r="AQ901" s="1764">
        <v>2014</v>
      </c>
      <c r="AR901" s="1743" t="s">
        <v>87</v>
      </c>
      <c r="AS901" s="2135"/>
      <c r="AT901" s="2135"/>
      <c r="AU901" s="1212">
        <v>0.33333333333333331</v>
      </c>
      <c r="AV901" s="1212">
        <v>0.33333333333333331</v>
      </c>
      <c r="AW901" s="1212">
        <v>0.33333333333333331</v>
      </c>
      <c r="AX901" s="1212"/>
      <c r="AY901" s="1212"/>
      <c r="AZ901" s="1212"/>
      <c r="BA901" s="1212"/>
      <c r="BB901" s="1212"/>
      <c r="BC901" s="1212"/>
      <c r="BD901" s="1212"/>
      <c r="BE901" s="1212"/>
      <c r="BF901" s="2126">
        <v>0</v>
      </c>
      <c r="BG901" s="2126">
        <v>0</v>
      </c>
      <c r="BH901" s="2126">
        <v>27895.356665684059</v>
      </c>
      <c r="BI901" s="2126">
        <v>27895.356665684059</v>
      </c>
      <c r="BJ901" s="2126">
        <v>27895.356665684059</v>
      </c>
      <c r="BK901" s="2126">
        <v>0</v>
      </c>
      <c r="BL901" s="2126">
        <v>0</v>
      </c>
      <c r="BM901" s="2126">
        <v>0</v>
      </c>
      <c r="BN901" s="2126">
        <v>0</v>
      </c>
      <c r="BO901" s="2126">
        <v>0</v>
      </c>
      <c r="BP901" s="2126">
        <v>0</v>
      </c>
      <c r="BQ901" s="2126">
        <v>0</v>
      </c>
      <c r="BR901" s="2126">
        <v>0</v>
      </c>
    </row>
    <row r="902" spans="1:70" s="1765" customFormat="1" ht="49.5">
      <c r="A902" s="1272">
        <v>4000</v>
      </c>
      <c r="B902" s="971" t="s">
        <v>1316</v>
      </c>
      <c r="C902" s="1272">
        <v>4500</v>
      </c>
      <c r="D902" s="971" t="s">
        <v>452</v>
      </c>
      <c r="E902" s="971" t="s">
        <v>1692</v>
      </c>
      <c r="F902" s="971" t="s">
        <v>605</v>
      </c>
      <c r="G902" s="971">
        <v>4521</v>
      </c>
      <c r="H902" s="971" t="s">
        <v>621</v>
      </c>
      <c r="I902" s="1273" t="s">
        <v>1709</v>
      </c>
      <c r="J902" s="971" t="s">
        <v>124</v>
      </c>
      <c r="K902" s="971" t="s">
        <v>506</v>
      </c>
      <c r="L902" s="971" t="s">
        <v>6608</v>
      </c>
      <c r="M902" s="971" t="s">
        <v>506</v>
      </c>
      <c r="N902" s="971" t="s">
        <v>141</v>
      </c>
      <c r="O902" s="971" t="s">
        <v>507</v>
      </c>
      <c r="P902" s="971"/>
      <c r="Q902" s="971" t="s">
        <v>633</v>
      </c>
      <c r="R902" s="1266" t="s">
        <v>1704</v>
      </c>
      <c r="S902" s="2106">
        <v>2416.3568773234201</v>
      </c>
      <c r="T902" s="1266" t="s">
        <v>136</v>
      </c>
      <c r="U902" s="1742">
        <v>0.125</v>
      </c>
      <c r="V902" s="1742">
        <v>1.875</v>
      </c>
      <c r="W902" s="1742">
        <v>11.0175</v>
      </c>
      <c r="X902" s="1742">
        <v>18.75</v>
      </c>
      <c r="Y902" s="2106">
        <v>31.642499999999998</v>
      </c>
      <c r="Z902" s="2106">
        <v>302.04460966542752</v>
      </c>
      <c r="AA902" s="2106">
        <v>4530.6691449814125</v>
      </c>
      <c r="AB902" s="2106">
        <v>26622.211895910783</v>
      </c>
      <c r="AC902" s="2106">
        <v>45306.691449814127</v>
      </c>
      <c r="AD902" s="1744">
        <v>76459.572490706327</v>
      </c>
      <c r="AE902" s="2126">
        <v>0</v>
      </c>
      <c r="AF902" s="2126">
        <v>0</v>
      </c>
      <c r="AG902" s="1212">
        <v>1</v>
      </c>
      <c r="AH902" s="1212">
        <v>0</v>
      </c>
      <c r="AI902" s="1212">
        <v>0</v>
      </c>
      <c r="AJ902" s="1212">
        <v>1</v>
      </c>
      <c r="AK902" s="2126">
        <v>76459.572490706327</v>
      </c>
      <c r="AL902" s="2126">
        <v>0</v>
      </c>
      <c r="AM902" s="2126">
        <v>0</v>
      </c>
      <c r="AN902" s="2126">
        <v>76459.572490706327</v>
      </c>
      <c r="AO902" s="1743" t="s">
        <v>85</v>
      </c>
      <c r="AP902" s="1743"/>
      <c r="AQ902" s="1764">
        <v>2014</v>
      </c>
      <c r="AR902" s="1743" t="s">
        <v>87</v>
      </c>
      <c r="AS902" s="2135"/>
      <c r="AT902" s="2135"/>
      <c r="AU902" s="1212">
        <v>0.33333333333333331</v>
      </c>
      <c r="AV902" s="1212">
        <v>0.33333333333333331</v>
      </c>
      <c r="AW902" s="1212">
        <v>0.33333333333333331</v>
      </c>
      <c r="AX902" s="1212"/>
      <c r="AY902" s="1212"/>
      <c r="AZ902" s="1212"/>
      <c r="BA902" s="1212"/>
      <c r="BB902" s="1212"/>
      <c r="BC902" s="1212"/>
      <c r="BD902" s="1212"/>
      <c r="BE902" s="1212"/>
      <c r="BF902" s="2126">
        <v>0</v>
      </c>
      <c r="BG902" s="2126">
        <v>0</v>
      </c>
      <c r="BH902" s="2126">
        <v>25486.524163568774</v>
      </c>
      <c r="BI902" s="2126">
        <v>25486.524163568774</v>
      </c>
      <c r="BJ902" s="2126">
        <v>25486.524163568774</v>
      </c>
      <c r="BK902" s="2126">
        <v>0</v>
      </c>
      <c r="BL902" s="2126">
        <v>0</v>
      </c>
      <c r="BM902" s="2126">
        <v>0</v>
      </c>
      <c r="BN902" s="2126">
        <v>0</v>
      </c>
      <c r="BO902" s="2126">
        <v>0</v>
      </c>
      <c r="BP902" s="2126">
        <v>0</v>
      </c>
      <c r="BQ902" s="2126">
        <v>0</v>
      </c>
      <c r="BR902" s="2126">
        <v>0</v>
      </c>
    </row>
    <row r="903" spans="1:70" s="1765" customFormat="1" ht="66">
      <c r="A903" s="1272">
        <v>4000</v>
      </c>
      <c r="B903" s="971" t="s">
        <v>1316</v>
      </c>
      <c r="C903" s="1272">
        <v>4500</v>
      </c>
      <c r="D903" s="971" t="s">
        <v>452</v>
      </c>
      <c r="E903" s="971" t="s">
        <v>1692</v>
      </c>
      <c r="F903" s="971" t="s">
        <v>605</v>
      </c>
      <c r="G903" s="971">
        <v>4521</v>
      </c>
      <c r="H903" s="971" t="s">
        <v>621</v>
      </c>
      <c r="I903" s="1273" t="s">
        <v>1710</v>
      </c>
      <c r="J903" s="971" t="s">
        <v>124</v>
      </c>
      <c r="K903" s="971" t="s">
        <v>1747</v>
      </c>
      <c r="L903" s="971" t="s">
        <v>6606</v>
      </c>
      <c r="M903" s="971" t="s">
        <v>606</v>
      </c>
      <c r="N903" s="971" t="s">
        <v>488</v>
      </c>
      <c r="O903" s="971" t="s">
        <v>518</v>
      </c>
      <c r="P903" s="971"/>
      <c r="Q903" s="971" t="s">
        <v>635</v>
      </c>
      <c r="R903" s="1266" t="s">
        <v>1536</v>
      </c>
      <c r="S903" s="2106">
        <v>390.33457249070631</v>
      </c>
      <c r="T903" s="1266" t="s">
        <v>136</v>
      </c>
      <c r="U903" s="1742">
        <v>0.56041666666666667</v>
      </c>
      <c r="V903" s="1742">
        <v>1.9614583333333333</v>
      </c>
      <c r="W903" s="1742">
        <v>49.395125</v>
      </c>
      <c r="X903" s="1742">
        <v>77.264645833333333</v>
      </c>
      <c r="Y903" s="2106">
        <v>128.62122916666667</v>
      </c>
      <c r="Z903" s="2106">
        <v>218.75</v>
      </c>
      <c r="AA903" s="2106">
        <v>765.625</v>
      </c>
      <c r="AB903" s="2106">
        <v>19280.625</v>
      </c>
      <c r="AC903" s="2106">
        <v>30159.0625</v>
      </c>
      <c r="AD903" s="1744">
        <v>50205.3125</v>
      </c>
      <c r="AE903" s="2126">
        <v>1</v>
      </c>
      <c r="AF903" s="2126">
        <v>390.33457249070631</v>
      </c>
      <c r="AG903" s="1212">
        <v>1</v>
      </c>
      <c r="AH903" s="1212">
        <v>0</v>
      </c>
      <c r="AI903" s="1212">
        <v>0</v>
      </c>
      <c r="AJ903" s="1212">
        <v>1</v>
      </c>
      <c r="AK903" s="2126">
        <v>50205.3125</v>
      </c>
      <c r="AL903" s="2126">
        <v>0</v>
      </c>
      <c r="AM903" s="2126">
        <v>0</v>
      </c>
      <c r="AN903" s="2126">
        <v>50205.3125</v>
      </c>
      <c r="AO903" s="1743" t="s">
        <v>85</v>
      </c>
      <c r="AP903" s="1743"/>
      <c r="AQ903" s="1764">
        <v>2014</v>
      </c>
      <c r="AR903" s="1743" t="s">
        <v>87</v>
      </c>
      <c r="AS903" s="2135"/>
      <c r="AT903" s="2135"/>
      <c r="AU903" s="1212">
        <v>0.33333333333333331</v>
      </c>
      <c r="AV903" s="1212">
        <v>0.33333333333333331</v>
      </c>
      <c r="AW903" s="1212">
        <v>0.33333333333333331</v>
      </c>
      <c r="AX903" s="1212"/>
      <c r="AY903" s="1212"/>
      <c r="AZ903" s="1212"/>
      <c r="BA903" s="1212"/>
      <c r="BB903" s="1212"/>
      <c r="BC903" s="1212"/>
      <c r="BD903" s="1212"/>
      <c r="BE903" s="1212"/>
      <c r="BF903" s="2126">
        <v>0</v>
      </c>
      <c r="BG903" s="2126">
        <v>0</v>
      </c>
      <c r="BH903" s="2126">
        <v>16735.104166666664</v>
      </c>
      <c r="BI903" s="2126">
        <v>16735.104166666664</v>
      </c>
      <c r="BJ903" s="2126">
        <v>16735.104166666664</v>
      </c>
      <c r="BK903" s="2126">
        <v>0</v>
      </c>
      <c r="BL903" s="2126">
        <v>0</v>
      </c>
      <c r="BM903" s="2126">
        <v>0</v>
      </c>
      <c r="BN903" s="2126">
        <v>0</v>
      </c>
      <c r="BO903" s="2126">
        <v>0</v>
      </c>
      <c r="BP903" s="2126">
        <v>0</v>
      </c>
      <c r="BQ903" s="2126">
        <v>0</v>
      </c>
      <c r="BR903" s="2126">
        <v>0</v>
      </c>
    </row>
    <row r="904" spans="1:70" s="1765" customFormat="1" ht="49.5">
      <c r="A904" s="1272">
        <v>4000</v>
      </c>
      <c r="B904" s="971" t="s">
        <v>1316</v>
      </c>
      <c r="C904" s="1272">
        <v>4500</v>
      </c>
      <c r="D904" s="971" t="s">
        <v>452</v>
      </c>
      <c r="E904" s="971" t="s">
        <v>1692</v>
      </c>
      <c r="F904" s="971" t="s">
        <v>605</v>
      </c>
      <c r="G904" s="971">
        <v>4521</v>
      </c>
      <c r="H904" s="971" t="s">
        <v>621</v>
      </c>
      <c r="I904" s="1273"/>
      <c r="J904" s="971" t="s">
        <v>124</v>
      </c>
      <c r="K904" s="971" t="s">
        <v>784</v>
      </c>
      <c r="L904" s="971" t="s">
        <v>2852</v>
      </c>
      <c r="M904" s="971" t="s">
        <v>537</v>
      </c>
      <c r="N904" s="971" t="s">
        <v>127</v>
      </c>
      <c r="O904" s="971" t="s">
        <v>215</v>
      </c>
      <c r="P904" s="971"/>
      <c r="Q904" s="971" t="s">
        <v>1711</v>
      </c>
      <c r="R904" s="1266"/>
      <c r="S904" s="2106">
        <v>72</v>
      </c>
      <c r="T904" s="1266" t="s">
        <v>136</v>
      </c>
      <c r="U904" s="1742">
        <v>0.22416666666666665</v>
      </c>
      <c r="V904" s="1742">
        <v>2.8020833333333335</v>
      </c>
      <c r="W904" s="1742">
        <v>19.758049999999997</v>
      </c>
      <c r="X904" s="1742">
        <v>30.905858333333335</v>
      </c>
      <c r="Y904" s="2106">
        <v>53.46599166666666</v>
      </c>
      <c r="Z904" s="2106">
        <v>16.14</v>
      </c>
      <c r="AA904" s="2106">
        <v>201.75</v>
      </c>
      <c r="AB904" s="2106">
        <v>1422.5795999999998</v>
      </c>
      <c r="AC904" s="2106">
        <v>2225.2218000000003</v>
      </c>
      <c r="AD904" s="1744">
        <v>3849.5514000000003</v>
      </c>
      <c r="AE904" s="2126">
        <v>1</v>
      </c>
      <c r="AF904" s="2126">
        <v>72</v>
      </c>
      <c r="AG904" s="1212">
        <v>1</v>
      </c>
      <c r="AH904" s="1212">
        <v>0</v>
      </c>
      <c r="AI904" s="1212">
        <v>0</v>
      </c>
      <c r="AJ904" s="1212">
        <v>1</v>
      </c>
      <c r="AK904" s="2126">
        <v>3849.5514000000003</v>
      </c>
      <c r="AL904" s="2126">
        <v>0</v>
      </c>
      <c r="AM904" s="2126">
        <v>0</v>
      </c>
      <c r="AN904" s="2126">
        <v>3849.5514000000003</v>
      </c>
      <c r="AO904" s="1743" t="s">
        <v>85</v>
      </c>
      <c r="AP904" s="1743" t="s">
        <v>90</v>
      </c>
      <c r="AQ904" s="1764">
        <v>2020</v>
      </c>
      <c r="AR904" s="1743" t="s">
        <v>87</v>
      </c>
      <c r="AS904" s="2135"/>
      <c r="AT904" s="2135"/>
      <c r="AU904" s="1212">
        <v>0.33333333333333331</v>
      </c>
      <c r="AV904" s="1212">
        <v>0.33333333333333331</v>
      </c>
      <c r="AW904" s="1212">
        <v>0.33333333333333331</v>
      </c>
      <c r="AX904" s="1212"/>
      <c r="AY904" s="1212"/>
      <c r="AZ904" s="1212"/>
      <c r="BA904" s="1212"/>
      <c r="BB904" s="1212"/>
      <c r="BC904" s="1212"/>
      <c r="BD904" s="1212"/>
      <c r="BE904" s="1212"/>
      <c r="BF904" s="2126">
        <v>0</v>
      </c>
      <c r="BG904" s="2126">
        <v>0</v>
      </c>
      <c r="BH904" s="2126">
        <v>1283.1838</v>
      </c>
      <c r="BI904" s="2126">
        <v>1283.1838</v>
      </c>
      <c r="BJ904" s="2126">
        <v>1283.1838</v>
      </c>
      <c r="BK904" s="2126">
        <v>0</v>
      </c>
      <c r="BL904" s="2126">
        <v>0</v>
      </c>
      <c r="BM904" s="2126">
        <v>0</v>
      </c>
      <c r="BN904" s="2126">
        <v>0</v>
      </c>
      <c r="BO904" s="2126">
        <v>0</v>
      </c>
      <c r="BP904" s="2126">
        <v>0</v>
      </c>
      <c r="BQ904" s="2126">
        <v>0</v>
      </c>
      <c r="BR904" s="2126">
        <v>0</v>
      </c>
    </row>
    <row r="905" spans="1:70" s="1765" customFormat="1" ht="49.5">
      <c r="A905" s="1272">
        <v>4000</v>
      </c>
      <c r="B905" s="971" t="s">
        <v>1316</v>
      </c>
      <c r="C905" s="1272">
        <v>4500</v>
      </c>
      <c r="D905" s="971" t="s">
        <v>452</v>
      </c>
      <c r="E905" s="971" t="s">
        <v>1692</v>
      </c>
      <c r="F905" s="971" t="s">
        <v>605</v>
      </c>
      <c r="G905" s="971">
        <v>4521</v>
      </c>
      <c r="H905" s="971" t="s">
        <v>621</v>
      </c>
      <c r="I905" s="1273"/>
      <c r="J905" s="971" t="s">
        <v>124</v>
      </c>
      <c r="K905" s="971" t="s">
        <v>784</v>
      </c>
      <c r="L905" s="971" t="s">
        <v>2852</v>
      </c>
      <c r="M905" s="971" t="s">
        <v>537</v>
      </c>
      <c r="N905" s="971" t="s">
        <v>127</v>
      </c>
      <c r="O905" s="971" t="s">
        <v>215</v>
      </c>
      <c r="P905" s="971"/>
      <c r="Q905" s="971" t="s">
        <v>1712</v>
      </c>
      <c r="R905" s="1266"/>
      <c r="S905" s="2106">
        <v>72</v>
      </c>
      <c r="T905" s="1266" t="s">
        <v>136</v>
      </c>
      <c r="U905" s="1742">
        <v>0.22416666666666665</v>
      </c>
      <c r="V905" s="1742">
        <v>2.8020833333333335</v>
      </c>
      <c r="W905" s="1742">
        <v>19.758049999999997</v>
      </c>
      <c r="X905" s="1742">
        <v>30.905858333333335</v>
      </c>
      <c r="Y905" s="2106">
        <v>53.46599166666666</v>
      </c>
      <c r="Z905" s="2106">
        <v>16.14</v>
      </c>
      <c r="AA905" s="2106">
        <v>201.75</v>
      </c>
      <c r="AB905" s="2106">
        <v>1422.5795999999998</v>
      </c>
      <c r="AC905" s="2106">
        <v>2225.2218000000003</v>
      </c>
      <c r="AD905" s="1744">
        <v>3849.5514000000003</v>
      </c>
      <c r="AE905" s="2126">
        <v>1</v>
      </c>
      <c r="AF905" s="2126">
        <v>72</v>
      </c>
      <c r="AG905" s="1212">
        <v>1</v>
      </c>
      <c r="AH905" s="1212">
        <v>0</v>
      </c>
      <c r="AI905" s="1212">
        <v>0</v>
      </c>
      <c r="AJ905" s="1212">
        <v>1</v>
      </c>
      <c r="AK905" s="2126">
        <v>3849.5514000000003</v>
      </c>
      <c r="AL905" s="2126">
        <v>0</v>
      </c>
      <c r="AM905" s="2126">
        <v>0</v>
      </c>
      <c r="AN905" s="2126">
        <v>3849.5514000000003</v>
      </c>
      <c r="AO905" s="1743" t="s">
        <v>85</v>
      </c>
      <c r="AP905" s="1743" t="s">
        <v>90</v>
      </c>
      <c r="AQ905" s="1764">
        <v>2020</v>
      </c>
      <c r="AR905" s="1743" t="s">
        <v>87</v>
      </c>
      <c r="AS905" s="2135"/>
      <c r="AT905" s="2135"/>
      <c r="AU905" s="1212">
        <v>0.33333333333333331</v>
      </c>
      <c r="AV905" s="1212">
        <v>0.33333333333333331</v>
      </c>
      <c r="AW905" s="1212">
        <v>0.33333333333333331</v>
      </c>
      <c r="AX905" s="1212"/>
      <c r="AY905" s="1212"/>
      <c r="AZ905" s="1212"/>
      <c r="BA905" s="1212"/>
      <c r="BB905" s="1212"/>
      <c r="BC905" s="1212"/>
      <c r="BD905" s="1212"/>
      <c r="BE905" s="1212"/>
      <c r="BF905" s="2126">
        <v>0</v>
      </c>
      <c r="BG905" s="2126">
        <v>0</v>
      </c>
      <c r="BH905" s="2126">
        <v>1283.1838</v>
      </c>
      <c r="BI905" s="2126">
        <v>1283.1838</v>
      </c>
      <c r="BJ905" s="2126">
        <v>1283.1838</v>
      </c>
      <c r="BK905" s="2126">
        <v>0</v>
      </c>
      <c r="BL905" s="2126">
        <v>0</v>
      </c>
      <c r="BM905" s="2126">
        <v>0</v>
      </c>
      <c r="BN905" s="2126">
        <v>0</v>
      </c>
      <c r="BO905" s="2126">
        <v>0</v>
      </c>
      <c r="BP905" s="2126">
        <v>0</v>
      </c>
      <c r="BQ905" s="2126">
        <v>0</v>
      </c>
      <c r="BR905" s="2126">
        <v>0</v>
      </c>
    </row>
    <row r="906" spans="1:70" s="1765" customFormat="1" ht="49.5">
      <c r="A906" s="1272">
        <v>4000</v>
      </c>
      <c r="B906" s="971" t="s">
        <v>1316</v>
      </c>
      <c r="C906" s="1272">
        <v>4500</v>
      </c>
      <c r="D906" s="971" t="s">
        <v>452</v>
      </c>
      <c r="E906" s="971" t="s">
        <v>1692</v>
      </c>
      <c r="F906" s="971" t="s">
        <v>605</v>
      </c>
      <c r="G906" s="971">
        <v>4521</v>
      </c>
      <c r="H906" s="971" t="s">
        <v>621</v>
      </c>
      <c r="I906" s="1273"/>
      <c r="J906" s="971" t="s">
        <v>124</v>
      </c>
      <c r="K906" s="971" t="s">
        <v>784</v>
      </c>
      <c r="L906" s="971" t="s">
        <v>2852</v>
      </c>
      <c r="M906" s="971" t="s">
        <v>537</v>
      </c>
      <c r="N906" s="971" t="s">
        <v>127</v>
      </c>
      <c r="O906" s="971" t="s">
        <v>215</v>
      </c>
      <c r="P906" s="971"/>
      <c r="Q906" s="971" t="s">
        <v>1713</v>
      </c>
      <c r="R906" s="1266"/>
      <c r="S906" s="2106">
        <v>36</v>
      </c>
      <c r="T906" s="1266" t="s">
        <v>136</v>
      </c>
      <c r="U906" s="1742">
        <v>0.22416666666666665</v>
      </c>
      <c r="V906" s="1742">
        <v>2.8020833333333335</v>
      </c>
      <c r="W906" s="1742">
        <v>19.758049999999997</v>
      </c>
      <c r="X906" s="1742">
        <v>30.905858333333335</v>
      </c>
      <c r="Y906" s="2106">
        <v>53.46599166666666</v>
      </c>
      <c r="Z906" s="2106">
        <v>8.07</v>
      </c>
      <c r="AA906" s="2106">
        <v>100.875</v>
      </c>
      <c r="AB906" s="2106">
        <v>711.2897999999999</v>
      </c>
      <c r="AC906" s="2106">
        <v>1112.6109000000001</v>
      </c>
      <c r="AD906" s="1744">
        <v>1924.7757000000001</v>
      </c>
      <c r="AE906" s="2126">
        <v>1</v>
      </c>
      <c r="AF906" s="2126">
        <v>36</v>
      </c>
      <c r="AG906" s="1212">
        <v>1</v>
      </c>
      <c r="AH906" s="1212">
        <v>0</v>
      </c>
      <c r="AI906" s="1212">
        <v>0</v>
      </c>
      <c r="AJ906" s="1212">
        <v>1</v>
      </c>
      <c r="AK906" s="2126">
        <v>1924.7757000000001</v>
      </c>
      <c r="AL906" s="2126">
        <v>0</v>
      </c>
      <c r="AM906" s="2126">
        <v>0</v>
      </c>
      <c r="AN906" s="2126">
        <v>1924.7757000000001</v>
      </c>
      <c r="AO906" s="1743" t="s">
        <v>85</v>
      </c>
      <c r="AP906" s="1743" t="s">
        <v>90</v>
      </c>
      <c r="AQ906" s="1764">
        <v>2019</v>
      </c>
      <c r="AR906" s="1743" t="s">
        <v>87</v>
      </c>
      <c r="AS906" s="2135"/>
      <c r="AT906" s="2135"/>
      <c r="AU906" s="1212">
        <v>0.33333333333333331</v>
      </c>
      <c r="AV906" s="1212">
        <v>0.33333333333333331</v>
      </c>
      <c r="AW906" s="1212">
        <v>0.33333333333333331</v>
      </c>
      <c r="AX906" s="1212"/>
      <c r="AY906" s="1212"/>
      <c r="AZ906" s="1212"/>
      <c r="BA906" s="1212"/>
      <c r="BB906" s="1212"/>
      <c r="BC906" s="1212"/>
      <c r="BD906" s="1212"/>
      <c r="BE906" s="1212"/>
      <c r="BF906" s="2126">
        <v>0</v>
      </c>
      <c r="BG906" s="2126">
        <v>0</v>
      </c>
      <c r="BH906" s="2126">
        <v>641.59190000000001</v>
      </c>
      <c r="BI906" s="2126">
        <v>641.59190000000001</v>
      </c>
      <c r="BJ906" s="2126">
        <v>641.59190000000001</v>
      </c>
      <c r="BK906" s="2126">
        <v>0</v>
      </c>
      <c r="BL906" s="2126">
        <v>0</v>
      </c>
      <c r="BM906" s="2126">
        <v>0</v>
      </c>
      <c r="BN906" s="2126">
        <v>0</v>
      </c>
      <c r="BO906" s="2126">
        <v>0</v>
      </c>
      <c r="BP906" s="2126">
        <v>0</v>
      </c>
      <c r="BQ906" s="2126">
        <v>0</v>
      </c>
      <c r="BR906" s="2126">
        <v>0</v>
      </c>
    </row>
    <row r="907" spans="1:70" s="1765" customFormat="1" ht="49.5">
      <c r="A907" s="1272">
        <v>4000</v>
      </c>
      <c r="B907" s="971" t="s">
        <v>1316</v>
      </c>
      <c r="C907" s="1272">
        <v>4500</v>
      </c>
      <c r="D907" s="971" t="s">
        <v>452</v>
      </c>
      <c r="E907" s="971" t="s">
        <v>1692</v>
      </c>
      <c r="F907" s="971" t="s">
        <v>605</v>
      </c>
      <c r="G907" s="971">
        <v>4521</v>
      </c>
      <c r="H907" s="971" t="s">
        <v>621</v>
      </c>
      <c r="I907" s="1273" t="s">
        <v>1714</v>
      </c>
      <c r="J907" s="971" t="s">
        <v>124</v>
      </c>
      <c r="K907" s="971" t="s">
        <v>2857</v>
      </c>
      <c r="L907" s="971" t="s">
        <v>2858</v>
      </c>
      <c r="M907" s="971" t="s">
        <v>627</v>
      </c>
      <c r="N907" s="971" t="s">
        <v>488</v>
      </c>
      <c r="O907" s="971" t="s">
        <v>539</v>
      </c>
      <c r="P907" s="971"/>
      <c r="Q907" s="971" t="s">
        <v>628</v>
      </c>
      <c r="R907" s="1266" t="s">
        <v>1715</v>
      </c>
      <c r="S907" s="2106">
        <v>267.65799256505579</v>
      </c>
      <c r="T907" s="1266" t="s">
        <v>136</v>
      </c>
      <c r="U907" s="1742">
        <v>0.56041666666666667</v>
      </c>
      <c r="V907" s="1742">
        <v>2.8020833333333335</v>
      </c>
      <c r="W907" s="1742">
        <v>49.395125</v>
      </c>
      <c r="X907" s="1742">
        <v>77.264645833333333</v>
      </c>
      <c r="Y907" s="2106">
        <v>129.46185416666665</v>
      </c>
      <c r="Z907" s="2106">
        <v>150.00000000000003</v>
      </c>
      <c r="AA907" s="2106">
        <v>750.00000000000011</v>
      </c>
      <c r="AB907" s="2106">
        <v>13221.000000000002</v>
      </c>
      <c r="AC907" s="2106">
        <v>20680.500000000004</v>
      </c>
      <c r="AD907" s="1744">
        <v>34651.500000000007</v>
      </c>
      <c r="AE907" s="2126">
        <v>1</v>
      </c>
      <c r="AF907" s="2126">
        <v>267.65799256505579</v>
      </c>
      <c r="AG907" s="1212">
        <v>1</v>
      </c>
      <c r="AH907" s="1212">
        <v>0</v>
      </c>
      <c r="AI907" s="1212">
        <v>0</v>
      </c>
      <c r="AJ907" s="1212">
        <v>1</v>
      </c>
      <c r="AK907" s="2126">
        <v>34651.500000000007</v>
      </c>
      <c r="AL907" s="2126">
        <v>0</v>
      </c>
      <c r="AM907" s="2126">
        <v>0</v>
      </c>
      <c r="AN907" s="2126">
        <v>34651.500000000007</v>
      </c>
      <c r="AO907" s="1743" t="s">
        <v>85</v>
      </c>
      <c r="AP907" s="1743"/>
      <c r="AQ907" s="1764">
        <v>2014</v>
      </c>
      <c r="AR907" s="1743" t="s">
        <v>87</v>
      </c>
      <c r="AS907" s="2135"/>
      <c r="AT907" s="2135"/>
      <c r="AU907" s="1212">
        <v>0.33333333333333331</v>
      </c>
      <c r="AV907" s="1212">
        <v>0.33333333333333331</v>
      </c>
      <c r="AW907" s="1212">
        <v>0.33333333333333331</v>
      </c>
      <c r="AX907" s="1212"/>
      <c r="AY907" s="1212"/>
      <c r="AZ907" s="1212"/>
      <c r="BA907" s="1212"/>
      <c r="BB907" s="1212"/>
      <c r="BC907" s="1212"/>
      <c r="BD907" s="1212"/>
      <c r="BE907" s="1212"/>
      <c r="BF907" s="2126">
        <v>0</v>
      </c>
      <c r="BG907" s="2126">
        <v>0</v>
      </c>
      <c r="BH907" s="2126">
        <v>11550.500000000002</v>
      </c>
      <c r="BI907" s="2126">
        <v>11550.500000000002</v>
      </c>
      <c r="BJ907" s="2126">
        <v>11550.500000000002</v>
      </c>
      <c r="BK907" s="2126">
        <v>0</v>
      </c>
      <c r="BL907" s="2126">
        <v>0</v>
      </c>
      <c r="BM907" s="2126">
        <v>0</v>
      </c>
      <c r="BN907" s="2126">
        <v>0</v>
      </c>
      <c r="BO907" s="2126">
        <v>0</v>
      </c>
      <c r="BP907" s="2126">
        <v>0</v>
      </c>
      <c r="BQ907" s="2126">
        <v>0</v>
      </c>
      <c r="BR907" s="2126">
        <v>0</v>
      </c>
    </row>
    <row r="908" spans="1:70" s="1765" customFormat="1" ht="49.5">
      <c r="A908" s="1272">
        <v>4000</v>
      </c>
      <c r="B908" s="971" t="s">
        <v>1316</v>
      </c>
      <c r="C908" s="1272">
        <v>4500</v>
      </c>
      <c r="D908" s="971" t="s">
        <v>452</v>
      </c>
      <c r="E908" s="971" t="s">
        <v>1692</v>
      </c>
      <c r="F908" s="971" t="s">
        <v>605</v>
      </c>
      <c r="G908" s="971">
        <v>4521</v>
      </c>
      <c r="H908" s="971" t="s">
        <v>621</v>
      </c>
      <c r="I908" s="1273" t="s">
        <v>1716</v>
      </c>
      <c r="J908" s="971" t="s">
        <v>124</v>
      </c>
      <c r="K908" s="971" t="s">
        <v>523</v>
      </c>
      <c r="L908" s="971" t="s">
        <v>6607</v>
      </c>
      <c r="M908" s="971" t="s">
        <v>523</v>
      </c>
      <c r="N908" s="971" t="s">
        <v>141</v>
      </c>
      <c r="O908" s="971" t="s">
        <v>524</v>
      </c>
      <c r="P908" s="971"/>
      <c r="Q908" s="971" t="s">
        <v>1717</v>
      </c>
      <c r="R908" s="1266" t="s">
        <v>1707</v>
      </c>
      <c r="S908" s="2106">
        <v>892.19330855018586</v>
      </c>
      <c r="T908" s="1266" t="s">
        <v>136</v>
      </c>
      <c r="U908" s="1742">
        <v>0.14520631503408685</v>
      </c>
      <c r="V908" s="1742">
        <v>1.8150789379260854</v>
      </c>
      <c r="W908" s="1742">
        <v>12.798484607104415</v>
      </c>
      <c r="X908" s="1742">
        <v>20.019594653749554</v>
      </c>
      <c r="Y908" s="2106">
        <v>34.633158198780052</v>
      </c>
      <c r="Z908" s="2106">
        <v>129.55210263264254</v>
      </c>
      <c r="AA908" s="2106">
        <v>1619.4012829080316</v>
      </c>
      <c r="AB908" s="2106">
        <v>11418.722326041114</v>
      </c>
      <c r="AC908" s="2106">
        <v>17861.348389962426</v>
      </c>
      <c r="AD908" s="1744">
        <v>30899.471998911569</v>
      </c>
      <c r="AE908" s="2126">
        <v>0.75</v>
      </c>
      <c r="AF908" s="2126">
        <v>669.14498141263937</v>
      </c>
      <c r="AG908" s="1212">
        <v>1</v>
      </c>
      <c r="AH908" s="1212">
        <v>0</v>
      </c>
      <c r="AI908" s="1212">
        <v>0</v>
      </c>
      <c r="AJ908" s="1212">
        <v>1</v>
      </c>
      <c r="AK908" s="2126">
        <v>30899.471998911569</v>
      </c>
      <c r="AL908" s="2126">
        <v>0</v>
      </c>
      <c r="AM908" s="2126">
        <v>0</v>
      </c>
      <c r="AN908" s="2126">
        <v>30899.471998911569</v>
      </c>
      <c r="AO908" s="1743" t="s">
        <v>85</v>
      </c>
      <c r="AP908" s="1743"/>
      <c r="AQ908" s="1764">
        <v>2014</v>
      </c>
      <c r="AR908" s="1743" t="s">
        <v>87</v>
      </c>
      <c r="AS908" s="2135"/>
      <c r="AT908" s="2135"/>
      <c r="AU908" s="1212">
        <v>0.33333333333333331</v>
      </c>
      <c r="AV908" s="1212">
        <v>0.33333333333333331</v>
      </c>
      <c r="AW908" s="1212">
        <v>0.33333333333333331</v>
      </c>
      <c r="AX908" s="1212"/>
      <c r="AY908" s="1212"/>
      <c r="AZ908" s="1212"/>
      <c r="BA908" s="1212"/>
      <c r="BB908" s="1212"/>
      <c r="BC908" s="1212"/>
      <c r="BD908" s="1212"/>
      <c r="BE908" s="1212"/>
      <c r="BF908" s="2126">
        <v>0</v>
      </c>
      <c r="BG908" s="2126">
        <v>0</v>
      </c>
      <c r="BH908" s="2126">
        <v>10299.823999637189</v>
      </c>
      <c r="BI908" s="2126">
        <v>10299.823999637189</v>
      </c>
      <c r="BJ908" s="2126">
        <v>10299.823999637189</v>
      </c>
      <c r="BK908" s="2126">
        <v>0</v>
      </c>
      <c r="BL908" s="2126">
        <v>0</v>
      </c>
      <c r="BM908" s="2126">
        <v>0</v>
      </c>
      <c r="BN908" s="2126">
        <v>0</v>
      </c>
      <c r="BO908" s="2126">
        <v>0</v>
      </c>
      <c r="BP908" s="2126">
        <v>0</v>
      </c>
      <c r="BQ908" s="2126">
        <v>0</v>
      </c>
      <c r="BR908" s="2126">
        <v>0</v>
      </c>
    </row>
    <row r="909" spans="1:70" s="1765" customFormat="1" ht="49.5">
      <c r="A909" s="1272">
        <v>4000</v>
      </c>
      <c r="B909" s="971" t="s">
        <v>1316</v>
      </c>
      <c r="C909" s="1272">
        <v>4500</v>
      </c>
      <c r="D909" s="971" t="s">
        <v>452</v>
      </c>
      <c r="E909" s="971" t="s">
        <v>1692</v>
      </c>
      <c r="F909" s="971" t="s">
        <v>605</v>
      </c>
      <c r="G909" s="971">
        <v>4521</v>
      </c>
      <c r="H909" s="971" t="s">
        <v>621</v>
      </c>
      <c r="I909" s="1273" t="s">
        <v>1718</v>
      </c>
      <c r="J909" s="971" t="s">
        <v>124</v>
      </c>
      <c r="K909" s="971" t="s">
        <v>506</v>
      </c>
      <c r="L909" s="971" t="s">
        <v>6608</v>
      </c>
      <c r="M909" s="971" t="s">
        <v>506</v>
      </c>
      <c r="N909" s="971" t="s">
        <v>141</v>
      </c>
      <c r="O909" s="971" t="s">
        <v>507</v>
      </c>
      <c r="P909" s="971"/>
      <c r="Q909" s="971" t="s">
        <v>1719</v>
      </c>
      <c r="R909" s="1266" t="s">
        <v>1707</v>
      </c>
      <c r="S909" s="2106">
        <v>892.19330855018586</v>
      </c>
      <c r="T909" s="1266" t="s">
        <v>136</v>
      </c>
      <c r="U909" s="1742">
        <v>0.125</v>
      </c>
      <c r="V909" s="1742">
        <v>1.875</v>
      </c>
      <c r="W909" s="1742">
        <v>11.0175</v>
      </c>
      <c r="X909" s="1742">
        <v>18.75</v>
      </c>
      <c r="Y909" s="2106">
        <v>31.642499999999998</v>
      </c>
      <c r="Z909" s="2106">
        <v>111.52416356877323</v>
      </c>
      <c r="AA909" s="2106">
        <v>1672.8624535315985</v>
      </c>
      <c r="AB909" s="2106">
        <v>9829.739776951672</v>
      </c>
      <c r="AC909" s="2106">
        <v>16728.624535315987</v>
      </c>
      <c r="AD909" s="1744">
        <v>28231.226765799256</v>
      </c>
      <c r="AE909" s="2126">
        <v>0</v>
      </c>
      <c r="AF909" s="2126">
        <v>0</v>
      </c>
      <c r="AG909" s="1212">
        <v>1</v>
      </c>
      <c r="AH909" s="1212">
        <v>0</v>
      </c>
      <c r="AI909" s="1212">
        <v>0</v>
      </c>
      <c r="AJ909" s="1212">
        <v>1</v>
      </c>
      <c r="AK909" s="2126">
        <v>28231.226765799256</v>
      </c>
      <c r="AL909" s="2126">
        <v>0</v>
      </c>
      <c r="AM909" s="2126">
        <v>0</v>
      </c>
      <c r="AN909" s="2126">
        <v>28231.226765799256</v>
      </c>
      <c r="AO909" s="1743" t="s">
        <v>85</v>
      </c>
      <c r="AP909" s="1743"/>
      <c r="AQ909" s="1764">
        <v>2014</v>
      </c>
      <c r="AR909" s="1743" t="s">
        <v>87</v>
      </c>
      <c r="AS909" s="2135"/>
      <c r="AT909" s="2135"/>
      <c r="AU909" s="1212">
        <v>0.33333333333333331</v>
      </c>
      <c r="AV909" s="1212">
        <v>0.33333333333333331</v>
      </c>
      <c r="AW909" s="1212">
        <v>0.33333333333333331</v>
      </c>
      <c r="AX909" s="1212"/>
      <c r="AY909" s="1212"/>
      <c r="AZ909" s="1212"/>
      <c r="BA909" s="1212"/>
      <c r="BB909" s="1212"/>
      <c r="BC909" s="1212"/>
      <c r="BD909" s="1212"/>
      <c r="BE909" s="1212"/>
      <c r="BF909" s="2126">
        <v>0</v>
      </c>
      <c r="BG909" s="2126">
        <v>0</v>
      </c>
      <c r="BH909" s="2126">
        <v>9410.4089219330854</v>
      </c>
      <c r="BI909" s="2126">
        <v>9410.4089219330854</v>
      </c>
      <c r="BJ909" s="2126">
        <v>9410.4089219330854</v>
      </c>
      <c r="BK909" s="2126">
        <v>0</v>
      </c>
      <c r="BL909" s="2126">
        <v>0</v>
      </c>
      <c r="BM909" s="2126">
        <v>0</v>
      </c>
      <c r="BN909" s="2126">
        <v>0</v>
      </c>
      <c r="BO909" s="2126">
        <v>0</v>
      </c>
      <c r="BP909" s="2126">
        <v>0</v>
      </c>
      <c r="BQ909" s="2126">
        <v>0</v>
      </c>
      <c r="BR909" s="2126">
        <v>0</v>
      </c>
    </row>
    <row r="910" spans="1:70" s="1765" customFormat="1" ht="33">
      <c r="A910" s="1272">
        <v>4000</v>
      </c>
      <c r="B910" s="971" t="s">
        <v>1316</v>
      </c>
      <c r="C910" s="1272">
        <v>4500</v>
      </c>
      <c r="D910" s="971" t="s">
        <v>452</v>
      </c>
      <c r="E910" s="971" t="s">
        <v>6588</v>
      </c>
      <c r="F910" s="971" t="s">
        <v>605</v>
      </c>
      <c r="G910" s="971"/>
      <c r="H910" s="971" t="s">
        <v>1720</v>
      </c>
      <c r="I910" s="1273"/>
      <c r="J910" s="971" t="s">
        <v>638</v>
      </c>
      <c r="K910" s="971" t="s">
        <v>1971</v>
      </c>
      <c r="L910" s="971" t="s">
        <v>639</v>
      </c>
      <c r="M910" s="971" t="s">
        <v>639</v>
      </c>
      <c r="N910" s="971" t="s">
        <v>640</v>
      </c>
      <c r="O910" s="971" t="s">
        <v>639</v>
      </c>
      <c r="P910" s="971"/>
      <c r="Q910" s="971" t="s">
        <v>1721</v>
      </c>
      <c r="R910" s="1266"/>
      <c r="S910" s="2106">
        <v>3500</v>
      </c>
      <c r="T910" s="1266" t="s">
        <v>991</v>
      </c>
      <c r="U910" s="1742">
        <v>0.25</v>
      </c>
      <c r="V910" s="1742">
        <v>3.125</v>
      </c>
      <c r="W910" s="1742">
        <v>22.035</v>
      </c>
      <c r="X910" s="1742">
        <v>34.467500000000001</v>
      </c>
      <c r="Y910" s="2106">
        <v>59.627499999999998</v>
      </c>
      <c r="Z910" s="2106">
        <v>875</v>
      </c>
      <c r="AA910" s="2106">
        <v>10937.5</v>
      </c>
      <c r="AB910" s="2106">
        <v>77122.5</v>
      </c>
      <c r="AC910" s="2106">
        <v>120636.25</v>
      </c>
      <c r="AD910" s="1744">
        <v>208696.25</v>
      </c>
      <c r="AE910" s="2126">
        <v>1.0000000000000002E-2</v>
      </c>
      <c r="AF910" s="2126">
        <v>35.000000000000007</v>
      </c>
      <c r="AG910" s="1212">
        <v>1</v>
      </c>
      <c r="AH910" s="1212">
        <v>0</v>
      </c>
      <c r="AI910" s="1212">
        <v>0</v>
      </c>
      <c r="AJ910" s="1212">
        <v>1</v>
      </c>
      <c r="AK910" s="2126">
        <v>208696.25</v>
      </c>
      <c r="AL910" s="2126">
        <v>0</v>
      </c>
      <c r="AM910" s="2126">
        <v>0</v>
      </c>
      <c r="AN910" s="2126">
        <v>208696.25</v>
      </c>
      <c r="AO910" s="1743" t="s">
        <v>85</v>
      </c>
      <c r="AP910" s="1743" t="s">
        <v>1105</v>
      </c>
      <c r="AQ910" s="1764">
        <v>2020</v>
      </c>
      <c r="AR910" s="1743" t="s">
        <v>87</v>
      </c>
      <c r="AS910" s="2135"/>
      <c r="AT910" s="2135"/>
      <c r="AU910" s="1212">
        <v>0.33333333333333331</v>
      </c>
      <c r="AV910" s="1212">
        <v>0.33333333333333331</v>
      </c>
      <c r="AW910" s="1212">
        <v>0.33333333333333331</v>
      </c>
      <c r="AX910" s="1212"/>
      <c r="AY910" s="1212"/>
      <c r="AZ910" s="1212"/>
      <c r="BA910" s="1212"/>
      <c r="BB910" s="1212"/>
      <c r="BC910" s="1212"/>
      <c r="BD910" s="1212"/>
      <c r="BE910" s="1212"/>
      <c r="BF910" s="2126">
        <v>0</v>
      </c>
      <c r="BG910" s="2126">
        <v>0</v>
      </c>
      <c r="BH910" s="2126">
        <v>69565.416666666657</v>
      </c>
      <c r="BI910" s="2126">
        <v>69565.416666666657</v>
      </c>
      <c r="BJ910" s="2126">
        <v>69565.416666666657</v>
      </c>
      <c r="BK910" s="2126">
        <v>0</v>
      </c>
      <c r="BL910" s="2126">
        <v>0</v>
      </c>
      <c r="BM910" s="2126">
        <v>0</v>
      </c>
      <c r="BN910" s="2126">
        <v>0</v>
      </c>
      <c r="BO910" s="2126">
        <v>0</v>
      </c>
      <c r="BP910" s="2126">
        <v>0</v>
      </c>
      <c r="BQ910" s="2126">
        <v>0</v>
      </c>
      <c r="BR910" s="2126">
        <v>0</v>
      </c>
    </row>
    <row r="911" spans="1:70" s="1765" customFormat="1" ht="33">
      <c r="A911" s="1272">
        <v>4000</v>
      </c>
      <c r="B911" s="971" t="s">
        <v>1316</v>
      </c>
      <c r="C911" s="1272">
        <v>4500</v>
      </c>
      <c r="D911" s="971" t="s">
        <v>452</v>
      </c>
      <c r="E911" s="971" t="s">
        <v>7823</v>
      </c>
      <c r="F911" s="971" t="s">
        <v>605</v>
      </c>
      <c r="G911" s="971"/>
      <c r="H911" s="971" t="s">
        <v>1722</v>
      </c>
      <c r="I911" s="1273"/>
      <c r="J911" s="971" t="s">
        <v>638</v>
      </c>
      <c r="K911" s="971" t="s">
        <v>1971</v>
      </c>
      <c r="L911" s="971" t="s">
        <v>639</v>
      </c>
      <c r="M911" s="971" t="s">
        <v>639</v>
      </c>
      <c r="N911" s="971" t="s">
        <v>640</v>
      </c>
      <c r="O911" s="971" t="s">
        <v>639</v>
      </c>
      <c r="P911" s="971"/>
      <c r="Q911" s="971" t="s">
        <v>1723</v>
      </c>
      <c r="R911" s="1266" t="s">
        <v>1724</v>
      </c>
      <c r="S911" s="2106">
        <v>250</v>
      </c>
      <c r="T911" s="1266" t="s">
        <v>991</v>
      </c>
      <c r="U911" s="1742">
        <v>0.25</v>
      </c>
      <c r="V911" s="1742">
        <v>3.125</v>
      </c>
      <c r="W911" s="1742">
        <v>22.035</v>
      </c>
      <c r="X911" s="1742">
        <v>34.467500000000001</v>
      </c>
      <c r="Y911" s="2106">
        <v>59.627499999999998</v>
      </c>
      <c r="Z911" s="2106">
        <v>62.5</v>
      </c>
      <c r="AA911" s="2106">
        <v>781.25</v>
      </c>
      <c r="AB911" s="2106">
        <v>5508.75</v>
      </c>
      <c r="AC911" s="2106">
        <v>8616.875</v>
      </c>
      <c r="AD911" s="1744">
        <v>14906.875</v>
      </c>
      <c r="AE911" s="2126">
        <v>1.0000000000000002E-2</v>
      </c>
      <c r="AF911" s="2126">
        <v>2.5000000000000004</v>
      </c>
      <c r="AG911" s="1212">
        <v>1</v>
      </c>
      <c r="AH911" s="1212">
        <v>0</v>
      </c>
      <c r="AI911" s="1212">
        <v>0</v>
      </c>
      <c r="AJ911" s="1212">
        <v>1</v>
      </c>
      <c r="AK911" s="2126">
        <v>14906.875</v>
      </c>
      <c r="AL911" s="2126">
        <v>0</v>
      </c>
      <c r="AM911" s="2126">
        <v>0</v>
      </c>
      <c r="AN911" s="2126">
        <v>14906.875</v>
      </c>
      <c r="AO911" s="1743" t="s">
        <v>85</v>
      </c>
      <c r="AP911" s="1743" t="s">
        <v>90</v>
      </c>
      <c r="AQ911" s="1764">
        <v>2020</v>
      </c>
      <c r="AR911" s="1743" t="s">
        <v>87</v>
      </c>
      <c r="AS911" s="2135"/>
      <c r="AT911" s="2135"/>
      <c r="AU911" s="1212">
        <v>0.33333333333333331</v>
      </c>
      <c r="AV911" s="1212">
        <v>0.33333333333333331</v>
      </c>
      <c r="AW911" s="1212">
        <v>0.33333333333333331</v>
      </c>
      <c r="AX911" s="1212"/>
      <c r="AY911" s="1212"/>
      <c r="AZ911" s="1212"/>
      <c r="BA911" s="1212"/>
      <c r="BB911" s="1212"/>
      <c r="BC911" s="1212"/>
      <c r="BD911" s="1212"/>
      <c r="BE911" s="1212"/>
      <c r="BF911" s="2126">
        <v>0</v>
      </c>
      <c r="BG911" s="2126">
        <v>0</v>
      </c>
      <c r="BH911" s="2126">
        <v>4968.958333333333</v>
      </c>
      <c r="BI911" s="2126">
        <v>4968.958333333333</v>
      </c>
      <c r="BJ911" s="2126">
        <v>4968.958333333333</v>
      </c>
      <c r="BK911" s="2126">
        <v>0</v>
      </c>
      <c r="BL911" s="2126">
        <v>0</v>
      </c>
      <c r="BM911" s="2126">
        <v>0</v>
      </c>
      <c r="BN911" s="2126">
        <v>0</v>
      </c>
      <c r="BO911" s="2126">
        <v>0</v>
      </c>
      <c r="BP911" s="2126">
        <v>0</v>
      </c>
      <c r="BQ911" s="2126">
        <v>0</v>
      </c>
      <c r="BR911" s="2126">
        <v>0</v>
      </c>
    </row>
    <row r="912" spans="1:70" s="1765" customFormat="1" ht="33">
      <c r="A912" s="1272">
        <v>4000</v>
      </c>
      <c r="B912" s="971" t="s">
        <v>1316</v>
      </c>
      <c r="C912" s="1272">
        <v>4500</v>
      </c>
      <c r="D912" s="971" t="s">
        <v>452</v>
      </c>
      <c r="E912" s="971" t="s">
        <v>7823</v>
      </c>
      <c r="F912" s="971" t="s">
        <v>605</v>
      </c>
      <c r="G912" s="971"/>
      <c r="H912" s="971" t="s">
        <v>1722</v>
      </c>
      <c r="I912" s="1273"/>
      <c r="J912" s="971" t="s">
        <v>638</v>
      </c>
      <c r="K912" s="971" t="s">
        <v>1971</v>
      </c>
      <c r="L912" s="971" t="s">
        <v>639</v>
      </c>
      <c r="M912" s="971" t="s">
        <v>639</v>
      </c>
      <c r="N912" s="971" t="s">
        <v>640</v>
      </c>
      <c r="O912" s="971" t="s">
        <v>639</v>
      </c>
      <c r="P912" s="971"/>
      <c r="Q912" s="971" t="s">
        <v>1723</v>
      </c>
      <c r="R912" s="1266" t="s">
        <v>1724</v>
      </c>
      <c r="S912" s="2106">
        <v>-250</v>
      </c>
      <c r="T912" s="1266" t="s">
        <v>991</v>
      </c>
      <c r="U912" s="1742">
        <v>0.25</v>
      </c>
      <c r="V912" s="1742">
        <v>3.125</v>
      </c>
      <c r="W912" s="1742">
        <v>22.035</v>
      </c>
      <c r="X912" s="1742">
        <v>34.467500000000001</v>
      </c>
      <c r="Y912" s="2106">
        <v>59.627499999999998</v>
      </c>
      <c r="Z912" s="2106">
        <v>-62.5</v>
      </c>
      <c r="AA912" s="2106">
        <v>-781.25</v>
      </c>
      <c r="AB912" s="2106">
        <v>-5508.75</v>
      </c>
      <c r="AC912" s="2106">
        <v>-8616.875</v>
      </c>
      <c r="AD912" s="1744">
        <v>-14906.875</v>
      </c>
      <c r="AE912" s="2126">
        <v>1.0000000000000002E-2</v>
      </c>
      <c r="AF912" s="2126">
        <v>-2.5000000000000004</v>
      </c>
      <c r="AG912" s="1212">
        <v>1</v>
      </c>
      <c r="AH912" s="1212">
        <v>0</v>
      </c>
      <c r="AI912" s="1212">
        <v>0</v>
      </c>
      <c r="AJ912" s="1212">
        <v>1</v>
      </c>
      <c r="AK912" s="2126">
        <v>-14906.875</v>
      </c>
      <c r="AL912" s="2126">
        <v>0</v>
      </c>
      <c r="AM912" s="2126">
        <v>0</v>
      </c>
      <c r="AN912" s="2126">
        <v>-14906.875</v>
      </c>
      <c r="AO912" s="1743" t="s">
        <v>85</v>
      </c>
      <c r="AP912" s="1743" t="s">
        <v>96</v>
      </c>
      <c r="AQ912" s="1764" t="s">
        <v>118</v>
      </c>
      <c r="AR912" s="1743" t="s">
        <v>87</v>
      </c>
      <c r="AS912" s="2135"/>
      <c r="AT912" s="2135"/>
      <c r="AU912" s="1212">
        <v>0.33333333333333331</v>
      </c>
      <c r="AV912" s="1212">
        <v>0.33333333333333331</v>
      </c>
      <c r="AW912" s="1212">
        <v>0.33333333333333331</v>
      </c>
      <c r="AX912" s="1212"/>
      <c r="AY912" s="1212"/>
      <c r="AZ912" s="1212"/>
      <c r="BA912" s="1212"/>
      <c r="BB912" s="1212"/>
      <c r="BC912" s="1212"/>
      <c r="BD912" s="1212"/>
      <c r="BE912" s="1212"/>
      <c r="BF912" s="2126">
        <v>0</v>
      </c>
      <c r="BG912" s="2126">
        <v>0</v>
      </c>
      <c r="BH912" s="2126">
        <v>-4968.958333333333</v>
      </c>
      <c r="BI912" s="2126">
        <v>-4968.958333333333</v>
      </c>
      <c r="BJ912" s="2126">
        <v>-4968.958333333333</v>
      </c>
      <c r="BK912" s="2126">
        <v>0</v>
      </c>
      <c r="BL912" s="2126">
        <v>0</v>
      </c>
      <c r="BM912" s="2126">
        <v>0</v>
      </c>
      <c r="BN912" s="2126">
        <v>0</v>
      </c>
      <c r="BO912" s="2126">
        <v>0</v>
      </c>
      <c r="BP912" s="2126">
        <v>0</v>
      </c>
      <c r="BQ912" s="2126">
        <v>0</v>
      </c>
      <c r="BR912" s="2126">
        <v>0</v>
      </c>
    </row>
    <row r="913" spans="1:70" s="1765" customFormat="1" ht="33">
      <c r="A913" s="1272">
        <v>4000</v>
      </c>
      <c r="B913" s="971" t="s">
        <v>1316</v>
      </c>
      <c r="C913" s="1272">
        <v>4500</v>
      </c>
      <c r="D913" s="971" t="s">
        <v>452</v>
      </c>
      <c r="E913" s="971" t="s">
        <v>1692</v>
      </c>
      <c r="F913" s="971" t="s">
        <v>605</v>
      </c>
      <c r="G913" s="971">
        <v>4521</v>
      </c>
      <c r="H913" s="971" t="s">
        <v>621</v>
      </c>
      <c r="I913" s="1273" t="s">
        <v>1725</v>
      </c>
      <c r="J913" s="971" t="s">
        <v>638</v>
      </c>
      <c r="K913" s="971" t="s">
        <v>1971</v>
      </c>
      <c r="L913" s="971" t="s">
        <v>639</v>
      </c>
      <c r="M913" s="971" t="s">
        <v>639</v>
      </c>
      <c r="N913" s="971" t="s">
        <v>640</v>
      </c>
      <c r="O913" s="971" t="s">
        <v>639</v>
      </c>
      <c r="P913" s="971"/>
      <c r="Q913" s="971" t="s">
        <v>641</v>
      </c>
      <c r="R913" s="1266" t="s">
        <v>1726</v>
      </c>
      <c r="S913" s="2106">
        <v>405</v>
      </c>
      <c r="T913" s="1266" t="s">
        <v>991</v>
      </c>
      <c r="U913" s="1742">
        <v>0.25</v>
      </c>
      <c r="V913" s="1742">
        <v>3.125</v>
      </c>
      <c r="W913" s="1742">
        <v>22.035</v>
      </c>
      <c r="X913" s="1742">
        <v>34.467500000000001</v>
      </c>
      <c r="Y913" s="2106">
        <v>59.627499999999998</v>
      </c>
      <c r="Z913" s="2106">
        <v>101.25</v>
      </c>
      <c r="AA913" s="2106">
        <v>1265.625</v>
      </c>
      <c r="AB913" s="2106">
        <v>8924.1749999999993</v>
      </c>
      <c r="AC913" s="2106">
        <v>13959.3375</v>
      </c>
      <c r="AD913" s="2132">
        <v>24149.137499999997</v>
      </c>
      <c r="AE913" s="2126">
        <v>1.0000000000000002E-2</v>
      </c>
      <c r="AF913" s="2126">
        <v>4.0500000000000007</v>
      </c>
      <c r="AG913" s="1212">
        <v>1</v>
      </c>
      <c r="AH913" s="1212">
        <v>0</v>
      </c>
      <c r="AI913" s="1212">
        <v>1</v>
      </c>
      <c r="AJ913" s="1212">
        <v>0</v>
      </c>
      <c r="AK913" s="2126">
        <v>24149.137499999997</v>
      </c>
      <c r="AL913" s="2126">
        <v>0</v>
      </c>
      <c r="AM913" s="2126">
        <v>24149.137499999997</v>
      </c>
      <c r="AN913" s="2126">
        <v>0</v>
      </c>
      <c r="AO913" s="1743" t="s">
        <v>85</v>
      </c>
      <c r="AP913" s="1743"/>
      <c r="AQ913" s="1764">
        <v>2014</v>
      </c>
      <c r="AR913" s="1743" t="s">
        <v>87</v>
      </c>
      <c r="AS913" s="2135"/>
      <c r="AT913" s="2135"/>
      <c r="AU913" s="1212">
        <v>0.33333333333333331</v>
      </c>
      <c r="AV913" s="1212">
        <v>0.33333333333333331</v>
      </c>
      <c r="AW913" s="1212">
        <v>0.33333333333333331</v>
      </c>
      <c r="AX913" s="1212"/>
      <c r="AY913" s="1212"/>
      <c r="AZ913" s="1212"/>
      <c r="BA913" s="1212"/>
      <c r="BB913" s="1212"/>
      <c r="BC913" s="1212"/>
      <c r="BD913" s="1212"/>
      <c r="BE913" s="1212"/>
      <c r="BF913" s="2126">
        <v>0</v>
      </c>
      <c r="BG913" s="2126">
        <v>0</v>
      </c>
      <c r="BH913" s="2126">
        <v>8049.7124999999987</v>
      </c>
      <c r="BI913" s="2126">
        <v>8049.7124999999987</v>
      </c>
      <c r="BJ913" s="2126">
        <v>8049.7124999999987</v>
      </c>
      <c r="BK913" s="2126">
        <v>0</v>
      </c>
      <c r="BL913" s="2126">
        <v>0</v>
      </c>
      <c r="BM913" s="2126">
        <v>0</v>
      </c>
      <c r="BN913" s="2126">
        <v>0</v>
      </c>
      <c r="BO913" s="2126">
        <v>0</v>
      </c>
      <c r="BP913" s="2126">
        <v>0</v>
      </c>
      <c r="BQ913" s="2126">
        <v>0</v>
      </c>
      <c r="BR913" s="2126">
        <v>0</v>
      </c>
    </row>
    <row r="914" spans="1:70" s="1765" customFormat="1" ht="49.5">
      <c r="A914" s="1272">
        <v>4000</v>
      </c>
      <c r="B914" s="971" t="s">
        <v>1316</v>
      </c>
      <c r="C914" s="1272">
        <v>4500</v>
      </c>
      <c r="D914" s="971" t="s">
        <v>452</v>
      </c>
      <c r="E914" s="971" t="s">
        <v>1692</v>
      </c>
      <c r="F914" s="971" t="s">
        <v>605</v>
      </c>
      <c r="G914" s="971">
        <v>4521</v>
      </c>
      <c r="H914" s="971" t="s">
        <v>621</v>
      </c>
      <c r="I914" s="1273" t="s">
        <v>1727</v>
      </c>
      <c r="J914" s="971" t="s">
        <v>124</v>
      </c>
      <c r="K914" s="971" t="s">
        <v>523</v>
      </c>
      <c r="L914" s="971" t="s">
        <v>6607</v>
      </c>
      <c r="M914" s="971" t="s">
        <v>523</v>
      </c>
      <c r="N914" s="971" t="s">
        <v>141</v>
      </c>
      <c r="O914" s="971" t="s">
        <v>524</v>
      </c>
      <c r="P914" s="971"/>
      <c r="Q914" s="971" t="s">
        <v>657</v>
      </c>
      <c r="R914" s="1266" t="s">
        <v>1536</v>
      </c>
      <c r="S914" s="2106">
        <v>390.33457249070631</v>
      </c>
      <c r="T914" s="1266" t="s">
        <v>136</v>
      </c>
      <c r="U914" s="1742">
        <v>0.14520631503408685</v>
      </c>
      <c r="V914" s="1742">
        <v>1.8150789379260854</v>
      </c>
      <c r="W914" s="1742">
        <v>12.798484607104415</v>
      </c>
      <c r="X914" s="1742">
        <v>20.019594653749554</v>
      </c>
      <c r="Y914" s="2106">
        <v>34.633158198780052</v>
      </c>
      <c r="Z914" s="2106">
        <v>56.679044901781111</v>
      </c>
      <c r="AA914" s="2106">
        <v>708.48806127226385</v>
      </c>
      <c r="AB914" s="2106">
        <v>4995.6910176429874</v>
      </c>
      <c r="AC914" s="2106">
        <v>7814.3399206085614</v>
      </c>
      <c r="AD914" s="1744">
        <v>13518.518999523812</v>
      </c>
      <c r="AE914" s="2126">
        <v>0.75</v>
      </c>
      <c r="AF914" s="2126">
        <v>292.75092936802974</v>
      </c>
      <c r="AG914" s="1212">
        <v>1</v>
      </c>
      <c r="AH914" s="1212">
        <v>0</v>
      </c>
      <c r="AI914" s="1212">
        <v>0</v>
      </c>
      <c r="AJ914" s="1212">
        <v>1</v>
      </c>
      <c r="AK914" s="2126">
        <v>13518.518999523812</v>
      </c>
      <c r="AL914" s="2126">
        <v>0</v>
      </c>
      <c r="AM914" s="2126">
        <v>0</v>
      </c>
      <c r="AN914" s="2126">
        <v>13518.518999523812</v>
      </c>
      <c r="AO914" s="1743" t="s">
        <v>85</v>
      </c>
      <c r="AP914" s="1743"/>
      <c r="AQ914" s="1764">
        <v>2014</v>
      </c>
      <c r="AR914" s="1743" t="s">
        <v>87</v>
      </c>
      <c r="AS914" s="2135"/>
      <c r="AT914" s="2135"/>
      <c r="AU914" s="1212">
        <v>0.33333333333333331</v>
      </c>
      <c r="AV914" s="1212">
        <v>0.33333333333333331</v>
      </c>
      <c r="AW914" s="1212">
        <v>0.33333333333333331</v>
      </c>
      <c r="AX914" s="1212"/>
      <c r="AY914" s="1212"/>
      <c r="AZ914" s="1212"/>
      <c r="BA914" s="1212"/>
      <c r="BB914" s="1212"/>
      <c r="BC914" s="1212"/>
      <c r="BD914" s="1212"/>
      <c r="BE914" s="1212"/>
      <c r="BF914" s="2126">
        <v>0</v>
      </c>
      <c r="BG914" s="2126">
        <v>0</v>
      </c>
      <c r="BH914" s="2126">
        <v>4506.1729998412702</v>
      </c>
      <c r="BI914" s="2126">
        <v>4506.1729998412702</v>
      </c>
      <c r="BJ914" s="2126">
        <v>4506.1729998412702</v>
      </c>
      <c r="BK914" s="2126">
        <v>0</v>
      </c>
      <c r="BL914" s="2126">
        <v>0</v>
      </c>
      <c r="BM914" s="2126">
        <v>0</v>
      </c>
      <c r="BN914" s="2126">
        <v>0</v>
      </c>
      <c r="BO914" s="2126">
        <v>0</v>
      </c>
      <c r="BP914" s="2126">
        <v>0</v>
      </c>
      <c r="BQ914" s="2126">
        <v>0</v>
      </c>
      <c r="BR914" s="2126">
        <v>0</v>
      </c>
    </row>
    <row r="915" spans="1:70" s="1765" customFormat="1" ht="49.5">
      <c r="A915" s="1272">
        <v>4000</v>
      </c>
      <c r="B915" s="971" t="s">
        <v>1316</v>
      </c>
      <c r="C915" s="1272">
        <v>4500</v>
      </c>
      <c r="D915" s="971" t="s">
        <v>452</v>
      </c>
      <c r="E915" s="971" t="s">
        <v>1692</v>
      </c>
      <c r="F915" s="971" t="s">
        <v>605</v>
      </c>
      <c r="G915" s="971">
        <v>4521</v>
      </c>
      <c r="H915" s="971" t="s">
        <v>621</v>
      </c>
      <c r="I915" s="1273" t="s">
        <v>1728</v>
      </c>
      <c r="J915" s="971" t="s">
        <v>124</v>
      </c>
      <c r="K915" s="971" t="s">
        <v>506</v>
      </c>
      <c r="L915" s="971" t="s">
        <v>6608</v>
      </c>
      <c r="M915" s="971" t="s">
        <v>506</v>
      </c>
      <c r="N915" s="971" t="s">
        <v>141</v>
      </c>
      <c r="O915" s="971" t="s">
        <v>507</v>
      </c>
      <c r="P915" s="971"/>
      <c r="Q915" s="971" t="s">
        <v>1729</v>
      </c>
      <c r="R915" s="1266" t="s">
        <v>1536</v>
      </c>
      <c r="S915" s="2106">
        <v>390.33457249070631</v>
      </c>
      <c r="T915" s="1266" t="s">
        <v>136</v>
      </c>
      <c r="U915" s="1742">
        <v>0.125</v>
      </c>
      <c r="V915" s="1742">
        <v>1.875</v>
      </c>
      <c r="W915" s="1742">
        <v>11.0175</v>
      </c>
      <c r="X915" s="1742">
        <v>18.75</v>
      </c>
      <c r="Y915" s="2106">
        <v>31.642499999999998</v>
      </c>
      <c r="Z915" s="2106">
        <v>48.791821561338288</v>
      </c>
      <c r="AA915" s="2106">
        <v>731.87732342007428</v>
      </c>
      <c r="AB915" s="2106">
        <v>4300.5111524163567</v>
      </c>
      <c r="AC915" s="2106">
        <v>7318.773234200743</v>
      </c>
      <c r="AD915" s="1744">
        <v>12351.161710037173</v>
      </c>
      <c r="AE915" s="2126">
        <v>0</v>
      </c>
      <c r="AF915" s="2126">
        <v>0</v>
      </c>
      <c r="AG915" s="1212">
        <v>1</v>
      </c>
      <c r="AH915" s="1212">
        <v>0</v>
      </c>
      <c r="AI915" s="1212">
        <v>0</v>
      </c>
      <c r="AJ915" s="1212">
        <v>1</v>
      </c>
      <c r="AK915" s="2126">
        <v>12351.161710037173</v>
      </c>
      <c r="AL915" s="2126">
        <v>0</v>
      </c>
      <c r="AM915" s="2126">
        <v>0</v>
      </c>
      <c r="AN915" s="2126">
        <v>12351.161710037173</v>
      </c>
      <c r="AO915" s="1743" t="s">
        <v>85</v>
      </c>
      <c r="AP915" s="1743"/>
      <c r="AQ915" s="1764">
        <v>2014</v>
      </c>
      <c r="AR915" s="1743" t="s">
        <v>87</v>
      </c>
      <c r="AS915" s="2135"/>
      <c r="AT915" s="2135"/>
      <c r="AU915" s="1212">
        <v>0.33333333333333331</v>
      </c>
      <c r="AV915" s="1212">
        <v>0.33333333333333331</v>
      </c>
      <c r="AW915" s="1212">
        <v>0.33333333333333331</v>
      </c>
      <c r="AX915" s="1212"/>
      <c r="AY915" s="1212"/>
      <c r="AZ915" s="1212"/>
      <c r="BA915" s="1212"/>
      <c r="BB915" s="1212"/>
      <c r="BC915" s="1212"/>
      <c r="BD915" s="1212"/>
      <c r="BE915" s="1212"/>
      <c r="BF915" s="2126">
        <v>0</v>
      </c>
      <c r="BG915" s="2126">
        <v>0</v>
      </c>
      <c r="BH915" s="2126">
        <v>4117.0539033457244</v>
      </c>
      <c r="BI915" s="2126">
        <v>4117.0539033457244</v>
      </c>
      <c r="BJ915" s="2126">
        <v>4117.0539033457244</v>
      </c>
      <c r="BK915" s="2126">
        <v>0</v>
      </c>
      <c r="BL915" s="2126">
        <v>0</v>
      </c>
      <c r="BM915" s="2126">
        <v>0</v>
      </c>
      <c r="BN915" s="2126">
        <v>0</v>
      </c>
      <c r="BO915" s="2126">
        <v>0</v>
      </c>
      <c r="BP915" s="2126">
        <v>0</v>
      </c>
      <c r="BQ915" s="2126">
        <v>0</v>
      </c>
      <c r="BR915" s="2126">
        <v>0</v>
      </c>
    </row>
    <row r="916" spans="1:70" s="1765" customFormat="1" ht="49.5">
      <c r="A916" s="1272">
        <v>4000</v>
      </c>
      <c r="B916" s="971" t="s">
        <v>1316</v>
      </c>
      <c r="C916" s="1272">
        <v>4500</v>
      </c>
      <c r="D916" s="971" t="s">
        <v>452</v>
      </c>
      <c r="E916" s="971" t="s">
        <v>1692</v>
      </c>
      <c r="F916" s="971" t="s">
        <v>605</v>
      </c>
      <c r="G916" s="971">
        <v>4521</v>
      </c>
      <c r="H916" s="971" t="s">
        <v>621</v>
      </c>
      <c r="I916" s="1273" t="s">
        <v>1730</v>
      </c>
      <c r="J916" s="971" t="s">
        <v>177</v>
      </c>
      <c r="K916" s="971" t="s">
        <v>196</v>
      </c>
      <c r="L916" s="971" t="s">
        <v>197</v>
      </c>
      <c r="M916" s="971" t="s">
        <v>196</v>
      </c>
      <c r="N916" s="971" t="s">
        <v>179</v>
      </c>
      <c r="O916" s="971" t="s">
        <v>197</v>
      </c>
      <c r="P916" s="971"/>
      <c r="Q916" s="971" t="s">
        <v>1731</v>
      </c>
      <c r="R916" s="1266" t="s">
        <v>1732</v>
      </c>
      <c r="S916" s="2106">
        <v>1</v>
      </c>
      <c r="T916" s="1266" t="s">
        <v>242</v>
      </c>
      <c r="U916" s="1742">
        <v>9.6666666666666661</v>
      </c>
      <c r="V916" s="1742">
        <v>89.583333333333329</v>
      </c>
      <c r="W916" s="1742">
        <v>852.02</v>
      </c>
      <c r="X916" s="1742">
        <v>988.06833333333327</v>
      </c>
      <c r="Y916" s="2106">
        <v>1929.6716666666666</v>
      </c>
      <c r="Z916" s="2106">
        <v>9.6666666666666661</v>
      </c>
      <c r="AA916" s="2106">
        <v>89.583333333333329</v>
      </c>
      <c r="AB916" s="2106">
        <v>852.02</v>
      </c>
      <c r="AC916" s="2106">
        <v>988.06833333333327</v>
      </c>
      <c r="AD916" s="1744">
        <v>1929.6716666666666</v>
      </c>
      <c r="AE916" s="2126">
        <v>1</v>
      </c>
      <c r="AF916" s="2126">
        <v>1</v>
      </c>
      <c r="AG916" s="1212">
        <v>1</v>
      </c>
      <c r="AH916" s="1212">
        <v>0</v>
      </c>
      <c r="AI916" s="1212">
        <v>0</v>
      </c>
      <c r="AJ916" s="1212">
        <v>1</v>
      </c>
      <c r="AK916" s="2126">
        <v>1929.6716666666666</v>
      </c>
      <c r="AL916" s="2126">
        <v>0</v>
      </c>
      <c r="AM916" s="2126">
        <v>0</v>
      </c>
      <c r="AN916" s="2126">
        <v>1929.6716666666666</v>
      </c>
      <c r="AO916" s="1743" t="s">
        <v>85</v>
      </c>
      <c r="AP916" s="1743"/>
      <c r="AQ916" s="1764">
        <v>2014</v>
      </c>
      <c r="AR916" s="1743" t="s">
        <v>87</v>
      </c>
      <c r="AS916" s="2135"/>
      <c r="AT916" s="2135"/>
      <c r="AU916" s="1212">
        <v>0.33333333333333331</v>
      </c>
      <c r="AV916" s="1212">
        <v>0.33333333333333331</v>
      </c>
      <c r="AW916" s="1212">
        <v>0.33333333333333331</v>
      </c>
      <c r="AX916" s="1212"/>
      <c r="AY916" s="1212"/>
      <c r="AZ916" s="1212"/>
      <c r="BA916" s="1212"/>
      <c r="BB916" s="1212"/>
      <c r="BC916" s="1212"/>
      <c r="BD916" s="1212"/>
      <c r="BE916" s="1212"/>
      <c r="BF916" s="2126">
        <v>0</v>
      </c>
      <c r="BG916" s="2126">
        <v>0</v>
      </c>
      <c r="BH916" s="2126">
        <v>643.22388888888884</v>
      </c>
      <c r="BI916" s="2126">
        <v>643.22388888888884</v>
      </c>
      <c r="BJ916" s="2126">
        <v>643.22388888888884</v>
      </c>
      <c r="BK916" s="2126">
        <v>0</v>
      </c>
      <c r="BL916" s="2126">
        <v>0</v>
      </c>
      <c r="BM916" s="2126">
        <v>0</v>
      </c>
      <c r="BN916" s="2126">
        <v>0</v>
      </c>
      <c r="BO916" s="2126">
        <v>0</v>
      </c>
      <c r="BP916" s="2126">
        <v>0</v>
      </c>
      <c r="BQ916" s="2126">
        <v>0</v>
      </c>
      <c r="BR916" s="2126">
        <v>0</v>
      </c>
    </row>
    <row r="917" spans="1:70" s="1765" customFormat="1" ht="33">
      <c r="A917" s="1272">
        <v>4000</v>
      </c>
      <c r="B917" s="971" t="s">
        <v>1316</v>
      </c>
      <c r="C917" s="1272">
        <v>4500</v>
      </c>
      <c r="D917" s="971" t="s">
        <v>452</v>
      </c>
      <c r="E917" s="971" t="s">
        <v>1692</v>
      </c>
      <c r="F917" s="971" t="s">
        <v>605</v>
      </c>
      <c r="G917" s="971">
        <v>4521</v>
      </c>
      <c r="H917" s="971" t="s">
        <v>621</v>
      </c>
      <c r="I917" s="1273" t="s">
        <v>1733</v>
      </c>
      <c r="J917" s="971" t="s">
        <v>124</v>
      </c>
      <c r="K917" s="971" t="s">
        <v>145</v>
      </c>
      <c r="L917" s="971" t="s">
        <v>2871</v>
      </c>
      <c r="M917" s="971" t="s">
        <v>556</v>
      </c>
      <c r="N917" s="971" t="s">
        <v>141</v>
      </c>
      <c r="O917" s="971" t="s">
        <v>557</v>
      </c>
      <c r="P917" s="971"/>
      <c r="Q917" s="971" t="s">
        <v>655</v>
      </c>
      <c r="R917" s="1266" t="s">
        <v>1702</v>
      </c>
      <c r="S917" s="2106">
        <v>35.687732342007436</v>
      </c>
      <c r="T917" s="1266" t="s">
        <v>136</v>
      </c>
      <c r="U917" s="1742">
        <v>0.12329166666666667</v>
      </c>
      <c r="V917" s="1742">
        <v>0.98072916666666676</v>
      </c>
      <c r="W917" s="1742">
        <v>6.9153175000000005</v>
      </c>
      <c r="X917" s="1742">
        <v>10.817050416666667</v>
      </c>
      <c r="Y917" s="2106">
        <v>18.713097083333334</v>
      </c>
      <c r="Z917" s="2106">
        <v>4.4000000000000004</v>
      </c>
      <c r="AA917" s="2106">
        <v>35.000000000000007</v>
      </c>
      <c r="AB917" s="2106">
        <v>246.79200000000003</v>
      </c>
      <c r="AC917" s="2106">
        <v>386.03600000000006</v>
      </c>
      <c r="AD917" s="1744">
        <v>667.82800000000009</v>
      </c>
      <c r="AE917" s="2126">
        <v>0.3</v>
      </c>
      <c r="AF917" s="2126">
        <v>10.706319702602231</v>
      </c>
      <c r="AG917" s="1212">
        <v>1</v>
      </c>
      <c r="AH917" s="1212">
        <v>0</v>
      </c>
      <c r="AI917" s="1212">
        <v>0</v>
      </c>
      <c r="AJ917" s="1212">
        <v>1</v>
      </c>
      <c r="AK917" s="2126">
        <v>667.82800000000009</v>
      </c>
      <c r="AL917" s="2126">
        <v>0</v>
      </c>
      <c r="AM917" s="2126">
        <v>0</v>
      </c>
      <c r="AN917" s="2126">
        <v>667.82800000000009</v>
      </c>
      <c r="AO917" s="1743" t="s">
        <v>85</v>
      </c>
      <c r="AP917" s="1743"/>
      <c r="AQ917" s="1764">
        <v>2014</v>
      </c>
      <c r="AR917" s="1743" t="s">
        <v>87</v>
      </c>
      <c r="AS917" s="2135"/>
      <c r="AT917" s="2135"/>
      <c r="AU917" s="1212">
        <v>0.33333333333333331</v>
      </c>
      <c r="AV917" s="1212">
        <v>0.33333333333333331</v>
      </c>
      <c r="AW917" s="1212">
        <v>0.33333333333333331</v>
      </c>
      <c r="AX917" s="1212"/>
      <c r="AY917" s="1212"/>
      <c r="AZ917" s="1212"/>
      <c r="BA917" s="1212"/>
      <c r="BB917" s="1212"/>
      <c r="BC917" s="1212"/>
      <c r="BD917" s="1212"/>
      <c r="BE917" s="1212"/>
      <c r="BF917" s="2126">
        <v>0</v>
      </c>
      <c r="BG917" s="2126">
        <v>0</v>
      </c>
      <c r="BH917" s="2126">
        <v>222.60933333333335</v>
      </c>
      <c r="BI917" s="2126">
        <v>222.60933333333335</v>
      </c>
      <c r="BJ917" s="2126">
        <v>222.60933333333335</v>
      </c>
      <c r="BK917" s="2126">
        <v>0</v>
      </c>
      <c r="BL917" s="2126">
        <v>0</v>
      </c>
      <c r="BM917" s="2126">
        <v>0</v>
      </c>
      <c r="BN917" s="2126">
        <v>0</v>
      </c>
      <c r="BO917" s="2126">
        <v>0</v>
      </c>
      <c r="BP917" s="2126">
        <v>0</v>
      </c>
      <c r="BQ917" s="2126">
        <v>0</v>
      </c>
      <c r="BR917" s="2126">
        <v>0</v>
      </c>
    </row>
    <row r="918" spans="1:70" s="1765" customFormat="1" ht="33">
      <c r="A918" s="1272">
        <v>4000</v>
      </c>
      <c r="B918" s="971" t="s">
        <v>1316</v>
      </c>
      <c r="C918" s="1272">
        <v>4500</v>
      </c>
      <c r="D918" s="971" t="s">
        <v>452</v>
      </c>
      <c r="E918" s="971" t="s">
        <v>1692</v>
      </c>
      <c r="F918" s="971" t="s">
        <v>605</v>
      </c>
      <c r="G918" s="971">
        <v>4521</v>
      </c>
      <c r="H918" s="971" t="s">
        <v>621</v>
      </c>
      <c r="I918" s="1273" t="s">
        <v>1734</v>
      </c>
      <c r="J918" s="971" t="s">
        <v>124</v>
      </c>
      <c r="K918" s="971" t="s">
        <v>145</v>
      </c>
      <c r="L918" s="971" t="s">
        <v>2871</v>
      </c>
      <c r="M918" s="971" t="s">
        <v>556</v>
      </c>
      <c r="N918" s="971" t="s">
        <v>141</v>
      </c>
      <c r="O918" s="971" t="s">
        <v>557</v>
      </c>
      <c r="P918" s="971"/>
      <c r="Q918" s="971" t="s">
        <v>659</v>
      </c>
      <c r="R918" s="1266" t="s">
        <v>1715</v>
      </c>
      <c r="S918" s="2106">
        <v>267.65799256505579</v>
      </c>
      <c r="T918" s="1266" t="s">
        <v>136</v>
      </c>
      <c r="U918" s="1742">
        <v>0.12329166666666667</v>
      </c>
      <c r="V918" s="1742">
        <v>0.98072916666666676</v>
      </c>
      <c r="W918" s="1742">
        <v>6.9153175000000005</v>
      </c>
      <c r="X918" s="1742">
        <v>10.817050416666667</v>
      </c>
      <c r="Y918" s="2106">
        <v>18.713097083333334</v>
      </c>
      <c r="Z918" s="2106">
        <v>33.000000000000007</v>
      </c>
      <c r="AA918" s="2106">
        <v>262.50000000000006</v>
      </c>
      <c r="AB918" s="2106">
        <v>1850.9400000000003</v>
      </c>
      <c r="AC918" s="2106">
        <v>2895.2700000000004</v>
      </c>
      <c r="AD918" s="1744">
        <v>5008.7100000000009</v>
      </c>
      <c r="AE918" s="2126">
        <v>0.3</v>
      </c>
      <c r="AF918" s="2126">
        <v>80.297397769516735</v>
      </c>
      <c r="AG918" s="1212">
        <v>1</v>
      </c>
      <c r="AH918" s="1212">
        <v>0</v>
      </c>
      <c r="AI918" s="1212">
        <v>0</v>
      </c>
      <c r="AJ918" s="1212">
        <v>1</v>
      </c>
      <c r="AK918" s="2126">
        <v>5008.7100000000009</v>
      </c>
      <c r="AL918" s="2126">
        <v>0</v>
      </c>
      <c r="AM918" s="2126">
        <v>0</v>
      </c>
      <c r="AN918" s="2126">
        <v>5008.7100000000009</v>
      </c>
      <c r="AO918" s="1743" t="s">
        <v>85</v>
      </c>
      <c r="AP918" s="1743"/>
      <c r="AQ918" s="1764">
        <v>2014</v>
      </c>
      <c r="AR918" s="1743" t="s">
        <v>87</v>
      </c>
      <c r="AS918" s="2135"/>
      <c r="AT918" s="2135"/>
      <c r="AU918" s="1212">
        <v>0.33333333333333331</v>
      </c>
      <c r="AV918" s="1212">
        <v>0.33333333333333331</v>
      </c>
      <c r="AW918" s="1212">
        <v>0.33333333333333331</v>
      </c>
      <c r="AX918" s="1212"/>
      <c r="AY918" s="1212"/>
      <c r="AZ918" s="1212"/>
      <c r="BA918" s="1212"/>
      <c r="BB918" s="1212"/>
      <c r="BC918" s="1212"/>
      <c r="BD918" s="1212"/>
      <c r="BE918" s="1212"/>
      <c r="BF918" s="2126">
        <v>0</v>
      </c>
      <c r="BG918" s="2126">
        <v>0</v>
      </c>
      <c r="BH918" s="2126">
        <v>1669.5700000000002</v>
      </c>
      <c r="BI918" s="2126">
        <v>1669.5700000000002</v>
      </c>
      <c r="BJ918" s="2126">
        <v>1669.5700000000002</v>
      </c>
      <c r="BK918" s="2126">
        <v>0</v>
      </c>
      <c r="BL918" s="2126">
        <v>0</v>
      </c>
      <c r="BM918" s="2126">
        <v>0</v>
      </c>
      <c r="BN918" s="2126">
        <v>0</v>
      </c>
      <c r="BO918" s="2126">
        <v>0</v>
      </c>
      <c r="BP918" s="2126">
        <v>0</v>
      </c>
      <c r="BQ918" s="2126">
        <v>0</v>
      </c>
      <c r="BR918" s="2126">
        <v>0</v>
      </c>
    </row>
    <row r="919" spans="1:70" s="1765" customFormat="1" ht="49.5">
      <c r="A919" s="1272">
        <v>4000</v>
      </c>
      <c r="B919" s="971" t="s">
        <v>1316</v>
      </c>
      <c r="C919" s="1272">
        <v>4500</v>
      </c>
      <c r="D919" s="971" t="s">
        <v>452</v>
      </c>
      <c r="E919" s="971" t="s">
        <v>1692</v>
      </c>
      <c r="F919" s="971" t="s">
        <v>605</v>
      </c>
      <c r="G919" s="971">
        <v>4521</v>
      </c>
      <c r="H919" s="971" t="s">
        <v>621</v>
      </c>
      <c r="I919" s="1273" t="s">
        <v>1735</v>
      </c>
      <c r="J919" s="971" t="s">
        <v>177</v>
      </c>
      <c r="K919" s="971" t="s">
        <v>188</v>
      </c>
      <c r="L919" s="971" t="s">
        <v>2841</v>
      </c>
      <c r="M919" s="971" t="s">
        <v>188</v>
      </c>
      <c r="N919" s="971" t="s">
        <v>179</v>
      </c>
      <c r="O919" s="971" t="s">
        <v>189</v>
      </c>
      <c r="P919" s="971"/>
      <c r="Q919" s="971" t="s">
        <v>1736</v>
      </c>
      <c r="R919" s="1266" t="s">
        <v>1737</v>
      </c>
      <c r="S919" s="2106">
        <v>1</v>
      </c>
      <c r="T919" s="1266" t="s">
        <v>242</v>
      </c>
      <c r="U919" s="1742">
        <v>15.5</v>
      </c>
      <c r="V919" s="1742">
        <v>162.5</v>
      </c>
      <c r="W919" s="1742">
        <v>1366.17</v>
      </c>
      <c r="X919" s="1742">
        <v>1792.3100000000002</v>
      </c>
      <c r="Y919" s="2106">
        <v>3320.98</v>
      </c>
      <c r="Z919" s="2106">
        <v>15.5</v>
      </c>
      <c r="AA919" s="2106">
        <v>162.5</v>
      </c>
      <c r="AB919" s="2106">
        <v>1366.17</v>
      </c>
      <c r="AC919" s="2106">
        <v>1792.3100000000002</v>
      </c>
      <c r="AD919" s="1744">
        <v>3320.9800000000005</v>
      </c>
      <c r="AE919" s="2126">
        <v>20</v>
      </c>
      <c r="AF919" s="2126">
        <v>20</v>
      </c>
      <c r="AG919" s="1212">
        <v>1</v>
      </c>
      <c r="AH919" s="1212">
        <v>0</v>
      </c>
      <c r="AI919" s="1212">
        <v>0</v>
      </c>
      <c r="AJ919" s="1212">
        <v>1</v>
      </c>
      <c r="AK919" s="2126">
        <v>3320.9800000000005</v>
      </c>
      <c r="AL919" s="2126">
        <v>0</v>
      </c>
      <c r="AM919" s="2126">
        <v>0</v>
      </c>
      <c r="AN919" s="2126">
        <v>3320.9800000000005</v>
      </c>
      <c r="AO919" s="1743" t="s">
        <v>85</v>
      </c>
      <c r="AP919" s="1743"/>
      <c r="AQ919" s="1764">
        <v>2014</v>
      </c>
      <c r="AR919" s="1743" t="s">
        <v>87</v>
      </c>
      <c r="AS919" s="2135"/>
      <c r="AT919" s="2135"/>
      <c r="AU919" s="1212">
        <v>0.5</v>
      </c>
      <c r="AV919" s="1212">
        <v>0.5</v>
      </c>
      <c r="AW919" s="1212"/>
      <c r="AX919" s="1212"/>
      <c r="AY919" s="1212"/>
      <c r="AZ919" s="1212"/>
      <c r="BA919" s="1212"/>
      <c r="BB919" s="1212"/>
      <c r="BC919" s="1212"/>
      <c r="BD919" s="1212"/>
      <c r="BE919" s="1212"/>
      <c r="BF919" s="2126">
        <v>0</v>
      </c>
      <c r="BG919" s="2126">
        <v>0</v>
      </c>
      <c r="BH919" s="2126">
        <v>1660.4900000000002</v>
      </c>
      <c r="BI919" s="2126">
        <v>1660.4900000000002</v>
      </c>
      <c r="BJ919" s="2126">
        <v>0</v>
      </c>
      <c r="BK919" s="2126">
        <v>0</v>
      </c>
      <c r="BL919" s="2126">
        <v>0</v>
      </c>
      <c r="BM919" s="2126">
        <v>0</v>
      </c>
      <c r="BN919" s="2126">
        <v>0</v>
      </c>
      <c r="BO919" s="2126">
        <v>0</v>
      </c>
      <c r="BP919" s="2126">
        <v>0</v>
      </c>
      <c r="BQ919" s="2126">
        <v>0</v>
      </c>
      <c r="BR919" s="2126">
        <v>0</v>
      </c>
    </row>
    <row r="920" spans="1:70" s="1765" customFormat="1" ht="49.5">
      <c r="A920" s="1272">
        <v>4000</v>
      </c>
      <c r="B920" s="971" t="s">
        <v>1316</v>
      </c>
      <c r="C920" s="1272">
        <v>4500</v>
      </c>
      <c r="D920" s="971" t="s">
        <v>452</v>
      </c>
      <c r="E920" s="971" t="s">
        <v>1692</v>
      </c>
      <c r="F920" s="971" t="s">
        <v>605</v>
      </c>
      <c r="G920" s="971">
        <v>4521</v>
      </c>
      <c r="H920" s="971" t="s">
        <v>621</v>
      </c>
      <c r="I920" s="1273" t="s">
        <v>1738</v>
      </c>
      <c r="J920" s="971" t="s">
        <v>177</v>
      </c>
      <c r="K920" s="971" t="s">
        <v>188</v>
      </c>
      <c r="L920" s="971" t="s">
        <v>2841</v>
      </c>
      <c r="M920" s="971" t="s">
        <v>188</v>
      </c>
      <c r="N920" s="971" t="s">
        <v>179</v>
      </c>
      <c r="O920" s="971" t="s">
        <v>189</v>
      </c>
      <c r="P920" s="971"/>
      <c r="Q920" s="971" t="s">
        <v>1739</v>
      </c>
      <c r="R920" s="1266" t="s">
        <v>1740</v>
      </c>
      <c r="S920" s="2106">
        <v>1</v>
      </c>
      <c r="T920" s="1266" t="s">
        <v>242</v>
      </c>
      <c r="U920" s="1742">
        <v>15.5</v>
      </c>
      <c r="V920" s="1742">
        <v>162.5</v>
      </c>
      <c r="W920" s="1742">
        <v>1366.17</v>
      </c>
      <c r="X920" s="1742">
        <v>1792.3100000000002</v>
      </c>
      <c r="Y920" s="2106">
        <v>3320.98</v>
      </c>
      <c r="Z920" s="2106">
        <v>15.5</v>
      </c>
      <c r="AA920" s="2106">
        <v>162.5</v>
      </c>
      <c r="AB920" s="2106">
        <v>1366.17</v>
      </c>
      <c r="AC920" s="2106">
        <v>1792.3100000000002</v>
      </c>
      <c r="AD920" s="1744">
        <v>3320.9800000000005</v>
      </c>
      <c r="AE920" s="2126">
        <v>20</v>
      </c>
      <c r="AF920" s="2126">
        <v>20</v>
      </c>
      <c r="AG920" s="1212">
        <v>1</v>
      </c>
      <c r="AH920" s="1212">
        <v>0</v>
      </c>
      <c r="AI920" s="1212">
        <v>0</v>
      </c>
      <c r="AJ920" s="1212">
        <v>1</v>
      </c>
      <c r="AK920" s="2126">
        <v>3320.9800000000005</v>
      </c>
      <c r="AL920" s="2126">
        <v>0</v>
      </c>
      <c r="AM920" s="2126">
        <v>0</v>
      </c>
      <c r="AN920" s="2126">
        <v>3320.9800000000005</v>
      </c>
      <c r="AO920" s="1743" t="s">
        <v>85</v>
      </c>
      <c r="AP920" s="1743"/>
      <c r="AQ920" s="1764">
        <v>2014</v>
      </c>
      <c r="AR920" s="1743" t="s">
        <v>87</v>
      </c>
      <c r="AS920" s="2135"/>
      <c r="AT920" s="2135"/>
      <c r="AU920" s="1212">
        <v>0.5</v>
      </c>
      <c r="AV920" s="1212">
        <v>0.5</v>
      </c>
      <c r="AW920" s="1212"/>
      <c r="AX920" s="1212"/>
      <c r="AY920" s="1212"/>
      <c r="AZ920" s="1212"/>
      <c r="BA920" s="1212"/>
      <c r="BB920" s="1212"/>
      <c r="BC920" s="1212"/>
      <c r="BD920" s="1212"/>
      <c r="BE920" s="1212"/>
      <c r="BF920" s="2126">
        <v>0</v>
      </c>
      <c r="BG920" s="2126">
        <v>0</v>
      </c>
      <c r="BH920" s="2126">
        <v>1660.4900000000002</v>
      </c>
      <c r="BI920" s="2126">
        <v>1660.4900000000002</v>
      </c>
      <c r="BJ920" s="2126">
        <v>0</v>
      </c>
      <c r="BK920" s="2126">
        <v>0</v>
      </c>
      <c r="BL920" s="2126">
        <v>0</v>
      </c>
      <c r="BM920" s="2126">
        <v>0</v>
      </c>
      <c r="BN920" s="2126">
        <v>0</v>
      </c>
      <c r="BO920" s="2126">
        <v>0</v>
      </c>
      <c r="BP920" s="2126">
        <v>0</v>
      </c>
      <c r="BQ920" s="2126">
        <v>0</v>
      </c>
      <c r="BR920" s="2126">
        <v>0</v>
      </c>
    </row>
    <row r="921" spans="1:70" s="1765" customFormat="1" ht="49.5">
      <c r="A921" s="1272">
        <v>4000</v>
      </c>
      <c r="B921" s="971" t="s">
        <v>1316</v>
      </c>
      <c r="C921" s="1272">
        <v>4500</v>
      </c>
      <c r="D921" s="971" t="s">
        <v>452</v>
      </c>
      <c r="E921" s="971" t="s">
        <v>1692</v>
      </c>
      <c r="F921" s="971" t="s">
        <v>605</v>
      </c>
      <c r="G921" s="971">
        <v>4521</v>
      </c>
      <c r="H921" s="971" t="s">
        <v>621</v>
      </c>
      <c r="I921" s="1273" t="s">
        <v>1741</v>
      </c>
      <c r="J921" s="971" t="s">
        <v>177</v>
      </c>
      <c r="K921" s="971" t="s">
        <v>188</v>
      </c>
      <c r="L921" s="971" t="s">
        <v>2841</v>
      </c>
      <c r="M921" s="971" t="s">
        <v>188</v>
      </c>
      <c r="N921" s="971" t="s">
        <v>179</v>
      </c>
      <c r="O921" s="971" t="s">
        <v>189</v>
      </c>
      <c r="P921" s="971"/>
      <c r="Q921" s="971" t="s">
        <v>1742</v>
      </c>
      <c r="R921" s="1266" t="s">
        <v>1743</v>
      </c>
      <c r="S921" s="2106">
        <v>1</v>
      </c>
      <c r="T921" s="1266" t="s">
        <v>242</v>
      </c>
      <c r="U921" s="1742">
        <v>15.5</v>
      </c>
      <c r="V921" s="1742">
        <v>162.5</v>
      </c>
      <c r="W921" s="1742">
        <v>1366.17</v>
      </c>
      <c r="X921" s="1742">
        <v>1792.3100000000002</v>
      </c>
      <c r="Y921" s="2106">
        <v>3320.98</v>
      </c>
      <c r="Z921" s="2106">
        <v>15.5</v>
      </c>
      <c r="AA921" s="2106">
        <v>162.5</v>
      </c>
      <c r="AB921" s="2106">
        <v>1366.17</v>
      </c>
      <c r="AC921" s="2106">
        <v>1792.3100000000002</v>
      </c>
      <c r="AD921" s="1744">
        <v>3320.9800000000005</v>
      </c>
      <c r="AE921" s="2126">
        <v>20</v>
      </c>
      <c r="AF921" s="2126">
        <v>20</v>
      </c>
      <c r="AG921" s="1212">
        <v>1</v>
      </c>
      <c r="AH921" s="1212">
        <v>0</v>
      </c>
      <c r="AI921" s="1212">
        <v>0</v>
      </c>
      <c r="AJ921" s="1212">
        <v>1</v>
      </c>
      <c r="AK921" s="2126">
        <v>3320.9800000000005</v>
      </c>
      <c r="AL921" s="2126">
        <v>0</v>
      </c>
      <c r="AM921" s="2126">
        <v>0</v>
      </c>
      <c r="AN921" s="2126">
        <v>3320.9800000000005</v>
      </c>
      <c r="AO921" s="1743" t="s">
        <v>85</v>
      </c>
      <c r="AP921" s="1743"/>
      <c r="AQ921" s="1764">
        <v>2014</v>
      </c>
      <c r="AR921" s="1743" t="s">
        <v>87</v>
      </c>
      <c r="AS921" s="2135"/>
      <c r="AT921" s="2135"/>
      <c r="AU921" s="1212">
        <v>0.5</v>
      </c>
      <c r="AV921" s="1212">
        <v>0.5</v>
      </c>
      <c r="AW921" s="1212"/>
      <c r="AX921" s="1212"/>
      <c r="AY921" s="1212"/>
      <c r="AZ921" s="1212"/>
      <c r="BA921" s="1212"/>
      <c r="BB921" s="1212"/>
      <c r="BC921" s="1212"/>
      <c r="BD921" s="1212"/>
      <c r="BE921" s="1212"/>
      <c r="BF921" s="2126">
        <v>0</v>
      </c>
      <c r="BG921" s="2126">
        <v>0</v>
      </c>
      <c r="BH921" s="2126">
        <v>1660.4900000000002</v>
      </c>
      <c r="BI921" s="2126">
        <v>1660.4900000000002</v>
      </c>
      <c r="BJ921" s="2126">
        <v>0</v>
      </c>
      <c r="BK921" s="2126">
        <v>0</v>
      </c>
      <c r="BL921" s="2126">
        <v>0</v>
      </c>
      <c r="BM921" s="2126">
        <v>0</v>
      </c>
      <c r="BN921" s="2126">
        <v>0</v>
      </c>
      <c r="BO921" s="2126">
        <v>0</v>
      </c>
      <c r="BP921" s="2126">
        <v>0</v>
      </c>
      <c r="BQ921" s="2126">
        <v>0</v>
      </c>
      <c r="BR921" s="2126">
        <v>0</v>
      </c>
    </row>
    <row r="922" spans="1:70" s="1765" customFormat="1" ht="33">
      <c r="A922" s="1272">
        <v>4000</v>
      </c>
      <c r="B922" s="971" t="s">
        <v>1316</v>
      </c>
      <c r="C922" s="1272">
        <v>4500</v>
      </c>
      <c r="D922" s="971" t="s">
        <v>452</v>
      </c>
      <c r="E922" s="971" t="s">
        <v>1692</v>
      </c>
      <c r="F922" s="971" t="s">
        <v>605</v>
      </c>
      <c r="G922" s="971">
        <v>4521</v>
      </c>
      <c r="H922" s="971" t="s">
        <v>621</v>
      </c>
      <c r="I922" s="1273" t="s">
        <v>1744</v>
      </c>
      <c r="J922" s="971" t="s">
        <v>124</v>
      </c>
      <c r="K922" s="971"/>
      <c r="L922" s="971" t="e">
        <v>#N/A</v>
      </c>
      <c r="M922" s="971" t="s">
        <v>145</v>
      </c>
      <c r="N922" s="971" t="s">
        <v>141</v>
      </c>
      <c r="O922" s="971" t="s">
        <v>146</v>
      </c>
      <c r="P922" s="971"/>
      <c r="Q922" s="971" t="s">
        <v>669</v>
      </c>
      <c r="R922" s="1266" t="s">
        <v>1702</v>
      </c>
      <c r="S922" s="2106">
        <v>35.687732342007436</v>
      </c>
      <c r="T922" s="1266" t="s">
        <v>136</v>
      </c>
      <c r="U922" s="1742" t="s">
        <v>6588</v>
      </c>
      <c r="V922" s="1742" t="s">
        <v>6588</v>
      </c>
      <c r="W922" s="1742" t="s">
        <v>6588</v>
      </c>
      <c r="X922" s="1742" t="s">
        <v>6588</v>
      </c>
      <c r="Y922" s="2106" t="s">
        <v>6588</v>
      </c>
      <c r="Z922" s="2106">
        <v>0</v>
      </c>
      <c r="AA922" s="2106">
        <v>0</v>
      </c>
      <c r="AB922" s="2106">
        <v>0</v>
      </c>
      <c r="AC922" s="2106">
        <v>0</v>
      </c>
      <c r="AD922" s="1744">
        <v>0</v>
      </c>
      <c r="AE922" s="2126">
        <v>0</v>
      </c>
      <c r="AF922" s="2126">
        <v>0</v>
      </c>
      <c r="AG922" s="1212">
        <v>1</v>
      </c>
      <c r="AH922" s="1212">
        <v>0</v>
      </c>
      <c r="AI922" s="1212">
        <v>0</v>
      </c>
      <c r="AJ922" s="1212">
        <v>1</v>
      </c>
      <c r="AK922" s="2126">
        <v>0</v>
      </c>
      <c r="AL922" s="2126">
        <v>0</v>
      </c>
      <c r="AM922" s="2126">
        <v>0</v>
      </c>
      <c r="AN922" s="2126">
        <v>0</v>
      </c>
      <c r="AO922" s="1743" t="s">
        <v>85</v>
      </c>
      <c r="AP922" s="1743"/>
      <c r="AQ922" s="1764">
        <v>2014</v>
      </c>
      <c r="AR922" s="1743" t="s">
        <v>87</v>
      </c>
      <c r="AS922" s="2135"/>
      <c r="AT922" s="2135"/>
      <c r="AU922" s="1212">
        <v>0.33333333333333331</v>
      </c>
      <c r="AV922" s="1212">
        <v>0.33333333333333331</v>
      </c>
      <c r="AW922" s="1212">
        <v>0.33333333333333331</v>
      </c>
      <c r="AX922" s="1212"/>
      <c r="AY922" s="1212"/>
      <c r="AZ922" s="1212"/>
      <c r="BA922" s="1212"/>
      <c r="BB922" s="1212"/>
      <c r="BC922" s="1212"/>
      <c r="BD922" s="1212"/>
      <c r="BE922" s="1212"/>
      <c r="BF922" s="2126">
        <v>0</v>
      </c>
      <c r="BG922" s="2126">
        <v>0</v>
      </c>
      <c r="BH922" s="2126">
        <v>0</v>
      </c>
      <c r="BI922" s="2126">
        <v>0</v>
      </c>
      <c r="BJ922" s="2126">
        <v>0</v>
      </c>
      <c r="BK922" s="2126">
        <v>0</v>
      </c>
      <c r="BL922" s="2126">
        <v>0</v>
      </c>
      <c r="BM922" s="2126">
        <v>0</v>
      </c>
      <c r="BN922" s="2126">
        <v>0</v>
      </c>
      <c r="BO922" s="2126">
        <v>0</v>
      </c>
      <c r="BP922" s="2126">
        <v>0</v>
      </c>
      <c r="BQ922" s="2126">
        <v>0</v>
      </c>
      <c r="BR922" s="2126">
        <v>0</v>
      </c>
    </row>
    <row r="923" spans="1:70" s="1765" customFormat="1" ht="33">
      <c r="A923" s="1272">
        <v>4000</v>
      </c>
      <c r="B923" s="971" t="s">
        <v>1316</v>
      </c>
      <c r="C923" s="1272">
        <v>4500</v>
      </c>
      <c r="D923" s="971" t="s">
        <v>452</v>
      </c>
      <c r="E923" s="971" t="s">
        <v>1692</v>
      </c>
      <c r="F923" s="971" t="s">
        <v>605</v>
      </c>
      <c r="G923" s="971">
        <v>4521</v>
      </c>
      <c r="H923" s="971" t="s">
        <v>621</v>
      </c>
      <c r="I923" s="1273" t="s">
        <v>1746</v>
      </c>
      <c r="J923" s="971" t="s">
        <v>124</v>
      </c>
      <c r="K923" s="971"/>
      <c r="L923" s="971" t="e">
        <v>#N/A</v>
      </c>
      <c r="M923" s="971" t="s">
        <v>145</v>
      </c>
      <c r="N923" s="971" t="s">
        <v>141</v>
      </c>
      <c r="O923" s="971" t="s">
        <v>146</v>
      </c>
      <c r="P923" s="971"/>
      <c r="Q923" s="971" t="s">
        <v>671</v>
      </c>
      <c r="R923" s="1266" t="s">
        <v>1715</v>
      </c>
      <c r="S923" s="2106">
        <v>267.65799256505579</v>
      </c>
      <c r="T923" s="1266" t="s">
        <v>136</v>
      </c>
      <c r="U923" s="1742" t="s">
        <v>6588</v>
      </c>
      <c r="V923" s="1742" t="s">
        <v>6588</v>
      </c>
      <c r="W923" s="1742" t="s">
        <v>6588</v>
      </c>
      <c r="X923" s="1742" t="s">
        <v>6588</v>
      </c>
      <c r="Y923" s="2106" t="s">
        <v>6588</v>
      </c>
      <c r="Z923" s="2106">
        <v>0</v>
      </c>
      <c r="AA923" s="2106">
        <v>0</v>
      </c>
      <c r="AB923" s="2106">
        <v>0</v>
      </c>
      <c r="AC923" s="2106">
        <v>0</v>
      </c>
      <c r="AD923" s="1744">
        <v>0</v>
      </c>
      <c r="AE923" s="2126">
        <v>0</v>
      </c>
      <c r="AF923" s="2126">
        <v>0</v>
      </c>
      <c r="AG923" s="1212">
        <v>1</v>
      </c>
      <c r="AH923" s="1212">
        <v>0</v>
      </c>
      <c r="AI923" s="1212">
        <v>0</v>
      </c>
      <c r="AJ923" s="1212">
        <v>1</v>
      </c>
      <c r="AK923" s="2126">
        <v>0</v>
      </c>
      <c r="AL923" s="2126">
        <v>0</v>
      </c>
      <c r="AM923" s="2126">
        <v>0</v>
      </c>
      <c r="AN923" s="2126">
        <v>0</v>
      </c>
      <c r="AO923" s="1743" t="s">
        <v>85</v>
      </c>
      <c r="AP923" s="1743"/>
      <c r="AQ923" s="1764">
        <v>2014</v>
      </c>
      <c r="AR923" s="1743" t="s">
        <v>87</v>
      </c>
      <c r="AS923" s="2135"/>
      <c r="AT923" s="2135"/>
      <c r="AU923" s="1212">
        <v>0.33333333333333331</v>
      </c>
      <c r="AV923" s="1212">
        <v>0.33333333333333331</v>
      </c>
      <c r="AW923" s="1212">
        <v>0.33333333333333331</v>
      </c>
      <c r="AX923" s="1212"/>
      <c r="AY923" s="1212"/>
      <c r="AZ923" s="1212"/>
      <c r="BA923" s="1212"/>
      <c r="BB923" s="1212"/>
      <c r="BC923" s="1212"/>
      <c r="BD923" s="1212"/>
      <c r="BE923" s="1212"/>
      <c r="BF923" s="2126">
        <v>0</v>
      </c>
      <c r="BG923" s="2126">
        <v>0</v>
      </c>
      <c r="BH923" s="2126">
        <v>0</v>
      </c>
      <c r="BI923" s="2126">
        <v>0</v>
      </c>
      <c r="BJ923" s="2126">
        <v>0</v>
      </c>
      <c r="BK923" s="2126">
        <v>0</v>
      </c>
      <c r="BL923" s="2126">
        <v>0</v>
      </c>
      <c r="BM923" s="2126">
        <v>0</v>
      </c>
      <c r="BN923" s="2126">
        <v>0</v>
      </c>
      <c r="BO923" s="2126">
        <v>0</v>
      </c>
      <c r="BP923" s="2126">
        <v>0</v>
      </c>
      <c r="BQ923" s="2126">
        <v>0</v>
      </c>
      <c r="BR923" s="2126">
        <v>0</v>
      </c>
    </row>
    <row r="924" spans="1:70" s="1765" customFormat="1" ht="66">
      <c r="A924" s="1272">
        <v>4000</v>
      </c>
      <c r="B924" s="971" t="s">
        <v>1316</v>
      </c>
      <c r="C924" s="1272">
        <v>4500</v>
      </c>
      <c r="D924" s="971" t="s">
        <v>452</v>
      </c>
      <c r="E924" s="971" t="s">
        <v>1692</v>
      </c>
      <c r="F924" s="971" t="s">
        <v>605</v>
      </c>
      <c r="G924" s="971">
        <v>4521</v>
      </c>
      <c r="H924" s="971" t="s">
        <v>621</v>
      </c>
      <c r="I924" s="1273" t="s">
        <v>1714</v>
      </c>
      <c r="J924" s="971" t="s">
        <v>124</v>
      </c>
      <c r="K924" s="971" t="s">
        <v>1747</v>
      </c>
      <c r="L924" s="971" t="s">
        <v>6606</v>
      </c>
      <c r="M924" s="971" t="s">
        <v>606</v>
      </c>
      <c r="N924" s="971" t="s">
        <v>488</v>
      </c>
      <c r="O924" s="971" t="s">
        <v>518</v>
      </c>
      <c r="P924" s="971"/>
      <c r="Q924" s="971" t="s">
        <v>1748</v>
      </c>
      <c r="R924" s="1266"/>
      <c r="S924" s="2106">
        <v>780</v>
      </c>
      <c r="T924" s="1266" t="s">
        <v>136</v>
      </c>
      <c r="U924" s="1742">
        <v>0.56041666666666667</v>
      </c>
      <c r="V924" s="1742">
        <v>1.9614583333333333</v>
      </c>
      <c r="W924" s="1742">
        <v>49.395125</v>
      </c>
      <c r="X924" s="1742">
        <v>77.264645833333333</v>
      </c>
      <c r="Y924" s="2106">
        <v>128.62122916666667</v>
      </c>
      <c r="Z924" s="2106">
        <v>437.125</v>
      </c>
      <c r="AA924" s="2106">
        <v>1529.9375</v>
      </c>
      <c r="AB924" s="2106">
        <v>38528.197500000002</v>
      </c>
      <c r="AC924" s="2106">
        <v>60266.423750000002</v>
      </c>
      <c r="AD924" s="1744">
        <v>100324.55875</v>
      </c>
      <c r="AE924" s="2126">
        <v>1</v>
      </c>
      <c r="AF924" s="2126">
        <v>780</v>
      </c>
      <c r="AG924" s="1212">
        <v>1</v>
      </c>
      <c r="AH924" s="1212">
        <v>0</v>
      </c>
      <c r="AI924" s="1212">
        <v>0</v>
      </c>
      <c r="AJ924" s="1212">
        <v>1</v>
      </c>
      <c r="AK924" s="2126">
        <v>100324.55875</v>
      </c>
      <c r="AL924" s="2126">
        <v>0</v>
      </c>
      <c r="AM924" s="2126">
        <v>0</v>
      </c>
      <c r="AN924" s="2126">
        <v>100324.55875</v>
      </c>
      <c r="AO924" s="1743" t="s">
        <v>85</v>
      </c>
      <c r="AP924" s="1743" t="s">
        <v>90</v>
      </c>
      <c r="AQ924" s="1764" t="s">
        <v>164</v>
      </c>
      <c r="AR924" s="1743" t="s">
        <v>87</v>
      </c>
      <c r="AS924" s="2135"/>
      <c r="AT924" s="2135"/>
      <c r="AU924" s="1212">
        <v>0.33333333333333331</v>
      </c>
      <c r="AV924" s="1212">
        <v>0.33333333333333331</v>
      </c>
      <c r="AW924" s="1212">
        <v>0.33333333333333331</v>
      </c>
      <c r="AX924" s="1212"/>
      <c r="AY924" s="1212"/>
      <c r="AZ924" s="1212"/>
      <c r="BA924" s="1212"/>
      <c r="BB924" s="1212"/>
      <c r="BC924" s="1212"/>
      <c r="BD924" s="1212"/>
      <c r="BE924" s="1212"/>
      <c r="BF924" s="2126">
        <v>0</v>
      </c>
      <c r="BG924" s="2126">
        <v>0</v>
      </c>
      <c r="BH924" s="2126">
        <v>33441.519583333327</v>
      </c>
      <c r="BI924" s="2126">
        <v>33441.519583333327</v>
      </c>
      <c r="BJ924" s="2126">
        <v>33441.519583333327</v>
      </c>
      <c r="BK924" s="2126">
        <v>0</v>
      </c>
      <c r="BL924" s="2126">
        <v>0</v>
      </c>
      <c r="BM924" s="2126">
        <v>0</v>
      </c>
      <c r="BN924" s="2126">
        <v>0</v>
      </c>
      <c r="BO924" s="2126">
        <v>0</v>
      </c>
      <c r="BP924" s="2126">
        <v>0</v>
      </c>
      <c r="BQ924" s="2126">
        <v>0</v>
      </c>
      <c r="BR924" s="2126">
        <v>0</v>
      </c>
    </row>
    <row r="925" spans="1:70" s="1765" customFormat="1" ht="66">
      <c r="A925" s="1272">
        <v>4000</v>
      </c>
      <c r="B925" s="971" t="s">
        <v>1316</v>
      </c>
      <c r="C925" s="1272">
        <v>4500</v>
      </c>
      <c r="D925" s="971" t="s">
        <v>452</v>
      </c>
      <c r="E925" s="971" t="s">
        <v>1692</v>
      </c>
      <c r="F925" s="971" t="s">
        <v>605</v>
      </c>
      <c r="G925" s="971">
        <v>4521</v>
      </c>
      <c r="H925" s="971" t="s">
        <v>621</v>
      </c>
      <c r="I925" s="1273" t="s">
        <v>1714</v>
      </c>
      <c r="J925" s="971" t="s">
        <v>124</v>
      </c>
      <c r="K925" s="971" t="s">
        <v>1747</v>
      </c>
      <c r="L925" s="971" t="s">
        <v>6606</v>
      </c>
      <c r="M925" s="971" t="s">
        <v>606</v>
      </c>
      <c r="N925" s="971" t="s">
        <v>488</v>
      </c>
      <c r="O925" s="971" t="s">
        <v>518</v>
      </c>
      <c r="P925" s="971"/>
      <c r="Q925" s="971" t="s">
        <v>1749</v>
      </c>
      <c r="R925" s="1266"/>
      <c r="S925" s="2106">
        <v>2050</v>
      </c>
      <c r="T925" s="1266" t="s">
        <v>136</v>
      </c>
      <c r="U925" s="1742">
        <v>0.56041666666666667</v>
      </c>
      <c r="V925" s="1742">
        <v>1.9614583333333333</v>
      </c>
      <c r="W925" s="1742">
        <v>49.395125</v>
      </c>
      <c r="X925" s="1742">
        <v>77.264645833333333</v>
      </c>
      <c r="Y925" s="2106">
        <v>128.62122916666667</v>
      </c>
      <c r="Z925" s="2106">
        <v>1148.8541666666667</v>
      </c>
      <c r="AA925" s="2106">
        <v>4020.9895833333335</v>
      </c>
      <c r="AB925" s="2106">
        <v>101260.00625000001</v>
      </c>
      <c r="AC925" s="2106">
        <v>158392.52395833333</v>
      </c>
      <c r="AD925" s="1744">
        <v>263673.51979166665</v>
      </c>
      <c r="AE925" s="2126">
        <v>1</v>
      </c>
      <c r="AF925" s="2126">
        <v>2050</v>
      </c>
      <c r="AG925" s="1212">
        <v>1</v>
      </c>
      <c r="AH925" s="1212">
        <v>0</v>
      </c>
      <c r="AI925" s="1212">
        <v>0</v>
      </c>
      <c r="AJ925" s="1212">
        <v>1</v>
      </c>
      <c r="AK925" s="2126">
        <v>263673.51979166665</v>
      </c>
      <c r="AL925" s="2126">
        <v>0</v>
      </c>
      <c r="AM925" s="2126">
        <v>0</v>
      </c>
      <c r="AN925" s="2126">
        <v>263673.51979166665</v>
      </c>
      <c r="AO925" s="1743" t="s">
        <v>85</v>
      </c>
      <c r="AP925" s="1743" t="s">
        <v>90</v>
      </c>
      <c r="AQ925" s="1764" t="s">
        <v>103</v>
      </c>
      <c r="AR925" s="1743" t="s">
        <v>87</v>
      </c>
      <c r="AS925" s="2135"/>
      <c r="AT925" s="2135"/>
      <c r="AU925" s="1212">
        <v>0.33333333333333331</v>
      </c>
      <c r="AV925" s="1212">
        <v>0.33333333333333331</v>
      </c>
      <c r="AW925" s="1212">
        <v>0.33333333333333331</v>
      </c>
      <c r="AX925" s="1212"/>
      <c r="AY925" s="1212"/>
      <c r="AZ925" s="1212"/>
      <c r="BA925" s="1212"/>
      <c r="BB925" s="1212"/>
      <c r="BC925" s="1212"/>
      <c r="BD925" s="1212"/>
      <c r="BE925" s="1212"/>
      <c r="BF925" s="2126">
        <v>0</v>
      </c>
      <c r="BG925" s="2126">
        <v>0</v>
      </c>
      <c r="BH925" s="2126">
        <v>87891.173263888879</v>
      </c>
      <c r="BI925" s="2126">
        <v>87891.173263888879</v>
      </c>
      <c r="BJ925" s="2126">
        <v>87891.173263888879</v>
      </c>
      <c r="BK925" s="2126">
        <v>0</v>
      </c>
      <c r="BL925" s="2126">
        <v>0</v>
      </c>
      <c r="BM925" s="2126">
        <v>0</v>
      </c>
      <c r="BN925" s="2126">
        <v>0</v>
      </c>
      <c r="BO925" s="2126">
        <v>0</v>
      </c>
      <c r="BP925" s="2126">
        <v>0</v>
      </c>
      <c r="BQ925" s="2126">
        <v>0</v>
      </c>
      <c r="BR925" s="2126">
        <v>0</v>
      </c>
    </row>
    <row r="926" spans="1:70" s="1765" customFormat="1" ht="66">
      <c r="A926" s="1272">
        <v>4000</v>
      </c>
      <c r="B926" s="971" t="s">
        <v>1316</v>
      </c>
      <c r="C926" s="1272">
        <v>4500</v>
      </c>
      <c r="D926" s="971" t="s">
        <v>452</v>
      </c>
      <c r="E926" s="971" t="s">
        <v>1692</v>
      </c>
      <c r="F926" s="971" t="s">
        <v>605</v>
      </c>
      <c r="G926" s="971">
        <v>4521</v>
      </c>
      <c r="H926" s="971" t="s">
        <v>621</v>
      </c>
      <c r="I926" s="1273" t="s">
        <v>1714</v>
      </c>
      <c r="J926" s="971" t="s">
        <v>124</v>
      </c>
      <c r="K926" s="971" t="s">
        <v>1747</v>
      </c>
      <c r="L926" s="971" t="s">
        <v>6606</v>
      </c>
      <c r="M926" s="971" t="s">
        <v>606</v>
      </c>
      <c r="N926" s="971" t="s">
        <v>488</v>
      </c>
      <c r="O926" s="971" t="s">
        <v>518</v>
      </c>
      <c r="P926" s="971"/>
      <c r="Q926" s="971" t="s">
        <v>1750</v>
      </c>
      <c r="R926" s="1266"/>
      <c r="S926" s="2106">
        <v>2050</v>
      </c>
      <c r="T926" s="1266" t="s">
        <v>136</v>
      </c>
      <c r="U926" s="1742">
        <v>0.56041666666666667</v>
      </c>
      <c r="V926" s="1742">
        <v>1.9614583333333333</v>
      </c>
      <c r="W926" s="1742">
        <v>49.395125</v>
      </c>
      <c r="X926" s="1742">
        <v>77.264645833333333</v>
      </c>
      <c r="Y926" s="2106">
        <v>128.62122916666667</v>
      </c>
      <c r="Z926" s="2106">
        <v>1148.8541666666667</v>
      </c>
      <c r="AA926" s="2106">
        <v>4020.9895833333335</v>
      </c>
      <c r="AB926" s="2106">
        <v>101260.00625000001</v>
      </c>
      <c r="AC926" s="2106">
        <v>158392.52395833333</v>
      </c>
      <c r="AD926" s="1744">
        <v>263673.51979166665</v>
      </c>
      <c r="AE926" s="2126">
        <v>1</v>
      </c>
      <c r="AF926" s="2126">
        <v>2050</v>
      </c>
      <c r="AG926" s="1212">
        <v>1</v>
      </c>
      <c r="AH926" s="1212">
        <v>0</v>
      </c>
      <c r="AI926" s="1212">
        <v>0</v>
      </c>
      <c r="AJ926" s="1212">
        <v>1</v>
      </c>
      <c r="AK926" s="2126">
        <v>263673.51979166665</v>
      </c>
      <c r="AL926" s="2126">
        <v>0</v>
      </c>
      <c r="AM926" s="2126">
        <v>0</v>
      </c>
      <c r="AN926" s="2126">
        <v>263673.51979166665</v>
      </c>
      <c r="AO926" s="1743" t="s">
        <v>85</v>
      </c>
      <c r="AP926" s="1743" t="s">
        <v>90</v>
      </c>
      <c r="AQ926" s="1764" t="s">
        <v>103</v>
      </c>
      <c r="AR926" s="1743" t="s">
        <v>87</v>
      </c>
      <c r="AS926" s="2135"/>
      <c r="AT926" s="2135"/>
      <c r="AU926" s="1212">
        <v>0.33333333333333331</v>
      </c>
      <c r="AV926" s="1212">
        <v>0.33333333333333331</v>
      </c>
      <c r="AW926" s="1212">
        <v>0.33333333333333331</v>
      </c>
      <c r="AX926" s="1212"/>
      <c r="AY926" s="1212"/>
      <c r="AZ926" s="1212"/>
      <c r="BA926" s="1212"/>
      <c r="BB926" s="1212"/>
      <c r="BC926" s="1212"/>
      <c r="BD926" s="1212"/>
      <c r="BE926" s="1212"/>
      <c r="BF926" s="2126">
        <v>0</v>
      </c>
      <c r="BG926" s="2126">
        <v>0</v>
      </c>
      <c r="BH926" s="2126">
        <v>87891.173263888879</v>
      </c>
      <c r="BI926" s="2126">
        <v>87891.173263888879</v>
      </c>
      <c r="BJ926" s="2126">
        <v>87891.173263888879</v>
      </c>
      <c r="BK926" s="2126">
        <v>0</v>
      </c>
      <c r="BL926" s="2126">
        <v>0</v>
      </c>
      <c r="BM926" s="2126">
        <v>0</v>
      </c>
      <c r="BN926" s="2126">
        <v>0</v>
      </c>
      <c r="BO926" s="2126">
        <v>0</v>
      </c>
      <c r="BP926" s="2126">
        <v>0</v>
      </c>
      <c r="BQ926" s="2126">
        <v>0</v>
      </c>
      <c r="BR926" s="2126">
        <v>0</v>
      </c>
    </row>
    <row r="927" spans="1:70" s="1765" customFormat="1" ht="66">
      <c r="A927" s="1272">
        <v>4000</v>
      </c>
      <c r="B927" s="971" t="s">
        <v>1316</v>
      </c>
      <c r="C927" s="1272">
        <v>4500</v>
      </c>
      <c r="D927" s="971" t="s">
        <v>452</v>
      </c>
      <c r="E927" s="971" t="s">
        <v>1692</v>
      </c>
      <c r="F927" s="971" t="s">
        <v>605</v>
      </c>
      <c r="G927" s="971">
        <v>4521</v>
      </c>
      <c r="H927" s="971" t="s">
        <v>621</v>
      </c>
      <c r="I927" s="1273" t="s">
        <v>500</v>
      </c>
      <c r="J927" s="971" t="s">
        <v>124</v>
      </c>
      <c r="K927" s="971" t="s">
        <v>1747</v>
      </c>
      <c r="L927" s="971" t="s">
        <v>6606</v>
      </c>
      <c r="M927" s="971" t="s">
        <v>606</v>
      </c>
      <c r="N927" s="971" t="s">
        <v>488</v>
      </c>
      <c r="O927" s="971" t="s">
        <v>518</v>
      </c>
      <c r="P927" s="971"/>
      <c r="Q927" s="971" t="s">
        <v>1751</v>
      </c>
      <c r="R927" s="1266" t="s">
        <v>1752</v>
      </c>
      <c r="S927" s="2106">
        <v>0</v>
      </c>
      <c r="T927" s="1266" t="s">
        <v>136</v>
      </c>
      <c r="U927" s="1742">
        <v>0.56041666666666667</v>
      </c>
      <c r="V927" s="1742">
        <v>1.9614583333333333</v>
      </c>
      <c r="W927" s="1742">
        <v>49.395125</v>
      </c>
      <c r="X927" s="1742">
        <v>77.264645833333333</v>
      </c>
      <c r="Y927" s="2106">
        <v>128.62122916666667</v>
      </c>
      <c r="Z927" s="2106">
        <v>0</v>
      </c>
      <c r="AA927" s="2106">
        <v>0</v>
      </c>
      <c r="AB927" s="2106">
        <v>0</v>
      </c>
      <c r="AC927" s="2106">
        <v>0</v>
      </c>
      <c r="AD927" s="1744">
        <v>0</v>
      </c>
      <c r="AE927" s="2126">
        <v>1</v>
      </c>
      <c r="AF927" s="2126">
        <v>0</v>
      </c>
      <c r="AG927" s="1212">
        <v>1</v>
      </c>
      <c r="AH927" s="1212">
        <v>0</v>
      </c>
      <c r="AI927" s="1212">
        <v>0</v>
      </c>
      <c r="AJ927" s="1212">
        <v>1</v>
      </c>
      <c r="AK927" s="2126">
        <v>0</v>
      </c>
      <c r="AL927" s="2126">
        <v>0</v>
      </c>
      <c r="AM927" s="2126">
        <v>0</v>
      </c>
      <c r="AN927" s="2126">
        <v>0</v>
      </c>
      <c r="AO927" s="1743" t="s">
        <v>85</v>
      </c>
      <c r="AP927" s="1743" t="s">
        <v>96</v>
      </c>
      <c r="AQ927" s="1764" t="s">
        <v>107</v>
      </c>
      <c r="AR927" s="1743" t="s">
        <v>87</v>
      </c>
      <c r="AS927" s="2135"/>
      <c r="AT927" s="2135"/>
      <c r="AU927" s="1212">
        <v>0.33333333333333331</v>
      </c>
      <c r="AV927" s="1212">
        <v>0.33333333333333331</v>
      </c>
      <c r="AW927" s="1212">
        <v>0.33333333333333331</v>
      </c>
      <c r="AX927" s="1212"/>
      <c r="AY927" s="1212"/>
      <c r="AZ927" s="1212"/>
      <c r="BA927" s="1212"/>
      <c r="BB927" s="1212"/>
      <c r="BC927" s="1212"/>
      <c r="BD927" s="1212"/>
      <c r="BE927" s="1212"/>
      <c r="BF927" s="2126">
        <v>0</v>
      </c>
      <c r="BG927" s="2126">
        <v>0</v>
      </c>
      <c r="BH927" s="2126">
        <v>0</v>
      </c>
      <c r="BI927" s="2126">
        <v>0</v>
      </c>
      <c r="BJ927" s="2126">
        <v>0</v>
      </c>
      <c r="BK927" s="2126">
        <v>0</v>
      </c>
      <c r="BL927" s="2126">
        <v>0</v>
      </c>
      <c r="BM927" s="2126">
        <v>0</v>
      </c>
      <c r="BN927" s="2126">
        <v>0</v>
      </c>
      <c r="BO927" s="2126">
        <v>0</v>
      </c>
      <c r="BP927" s="2126">
        <v>0</v>
      </c>
      <c r="BQ927" s="2126">
        <v>0</v>
      </c>
      <c r="BR927" s="2126">
        <v>0</v>
      </c>
    </row>
    <row r="928" spans="1:70" s="1765" customFormat="1" ht="49.5">
      <c r="A928" s="1272">
        <v>4000</v>
      </c>
      <c r="B928" s="971" t="s">
        <v>1316</v>
      </c>
      <c r="C928" s="1272">
        <v>4500</v>
      </c>
      <c r="D928" s="971" t="s">
        <v>452</v>
      </c>
      <c r="E928" s="971" t="s">
        <v>1692</v>
      </c>
      <c r="F928" s="971" t="s">
        <v>605</v>
      </c>
      <c r="G928" s="971">
        <v>4521</v>
      </c>
      <c r="H928" s="971" t="s">
        <v>621</v>
      </c>
      <c r="I928" s="1273" t="s">
        <v>500</v>
      </c>
      <c r="J928" s="971" t="s">
        <v>124</v>
      </c>
      <c r="K928" s="971" t="s">
        <v>523</v>
      </c>
      <c r="L928" s="971" t="s">
        <v>6607</v>
      </c>
      <c r="M928" s="971" t="s">
        <v>523</v>
      </c>
      <c r="N928" s="971" t="s">
        <v>141</v>
      </c>
      <c r="O928" s="971" t="s">
        <v>524</v>
      </c>
      <c r="P928" s="971"/>
      <c r="Q928" s="971" t="s">
        <v>1753</v>
      </c>
      <c r="R928" s="1266" t="s">
        <v>1752</v>
      </c>
      <c r="S928" s="2106">
        <v>0</v>
      </c>
      <c r="T928" s="1266" t="s">
        <v>136</v>
      </c>
      <c r="U928" s="1742">
        <v>0.14520631503408685</v>
      </c>
      <c r="V928" s="1742">
        <v>1.8150789379260854</v>
      </c>
      <c r="W928" s="1742">
        <v>12.798484607104415</v>
      </c>
      <c r="X928" s="1742">
        <v>20.019594653749554</v>
      </c>
      <c r="Y928" s="2106">
        <v>34.633158198780052</v>
      </c>
      <c r="Z928" s="2106">
        <v>0</v>
      </c>
      <c r="AA928" s="2106">
        <v>0</v>
      </c>
      <c r="AB928" s="2106">
        <v>0</v>
      </c>
      <c r="AC928" s="2106">
        <v>0</v>
      </c>
      <c r="AD928" s="1744">
        <v>0</v>
      </c>
      <c r="AE928" s="2126">
        <v>0.75</v>
      </c>
      <c r="AF928" s="2126">
        <v>0</v>
      </c>
      <c r="AG928" s="1212">
        <v>1</v>
      </c>
      <c r="AH928" s="1212">
        <v>0</v>
      </c>
      <c r="AI928" s="1212">
        <v>0</v>
      </c>
      <c r="AJ928" s="1212">
        <v>1</v>
      </c>
      <c r="AK928" s="2126">
        <v>0</v>
      </c>
      <c r="AL928" s="2126">
        <v>0</v>
      </c>
      <c r="AM928" s="2126">
        <v>0</v>
      </c>
      <c r="AN928" s="2126">
        <v>0</v>
      </c>
      <c r="AO928" s="1743" t="s">
        <v>85</v>
      </c>
      <c r="AP928" s="1743" t="s">
        <v>96</v>
      </c>
      <c r="AQ928" s="1764" t="s">
        <v>107</v>
      </c>
      <c r="AR928" s="1743" t="s">
        <v>87</v>
      </c>
      <c r="AS928" s="2135"/>
      <c r="AT928" s="2135"/>
      <c r="AU928" s="1212">
        <v>0.33333333333333331</v>
      </c>
      <c r="AV928" s="1212">
        <v>0.33333333333333331</v>
      </c>
      <c r="AW928" s="1212">
        <v>0.33333333333333331</v>
      </c>
      <c r="AX928" s="1212"/>
      <c r="AY928" s="1212"/>
      <c r="AZ928" s="1212"/>
      <c r="BA928" s="1212"/>
      <c r="BB928" s="1212"/>
      <c r="BC928" s="1212"/>
      <c r="BD928" s="1212"/>
      <c r="BE928" s="1212"/>
      <c r="BF928" s="2126">
        <v>0</v>
      </c>
      <c r="BG928" s="2126">
        <v>0</v>
      </c>
      <c r="BH928" s="2126">
        <v>0</v>
      </c>
      <c r="BI928" s="2126">
        <v>0</v>
      </c>
      <c r="BJ928" s="2126">
        <v>0</v>
      </c>
      <c r="BK928" s="2126">
        <v>0</v>
      </c>
      <c r="BL928" s="2126">
        <v>0</v>
      </c>
      <c r="BM928" s="2126">
        <v>0</v>
      </c>
      <c r="BN928" s="2126">
        <v>0</v>
      </c>
      <c r="BO928" s="2126">
        <v>0</v>
      </c>
      <c r="BP928" s="2126">
        <v>0</v>
      </c>
      <c r="BQ928" s="2126">
        <v>0</v>
      </c>
      <c r="BR928" s="2126">
        <v>0</v>
      </c>
    </row>
    <row r="929" spans="1:70" s="1765" customFormat="1" ht="49.5">
      <c r="A929" s="1272">
        <v>4000</v>
      </c>
      <c r="B929" s="971" t="s">
        <v>1316</v>
      </c>
      <c r="C929" s="1272">
        <v>4500</v>
      </c>
      <c r="D929" s="971" t="s">
        <v>452</v>
      </c>
      <c r="E929" s="971" t="s">
        <v>1692</v>
      </c>
      <c r="F929" s="971" t="s">
        <v>605</v>
      </c>
      <c r="G929" s="971">
        <v>4521</v>
      </c>
      <c r="H929" s="971" t="s">
        <v>621</v>
      </c>
      <c r="I929" s="1273" t="s">
        <v>500</v>
      </c>
      <c r="J929" s="971" t="s">
        <v>124</v>
      </c>
      <c r="K929" s="971" t="s">
        <v>506</v>
      </c>
      <c r="L929" s="971" t="s">
        <v>6608</v>
      </c>
      <c r="M929" s="971" t="s">
        <v>506</v>
      </c>
      <c r="N929" s="971" t="s">
        <v>141</v>
      </c>
      <c r="O929" s="971" t="s">
        <v>507</v>
      </c>
      <c r="P929" s="971"/>
      <c r="Q929" s="971" t="s">
        <v>1754</v>
      </c>
      <c r="R929" s="1266" t="s">
        <v>1752</v>
      </c>
      <c r="S929" s="2106">
        <v>0</v>
      </c>
      <c r="T929" s="1266" t="s">
        <v>136</v>
      </c>
      <c r="U929" s="1742">
        <v>0.125</v>
      </c>
      <c r="V929" s="1742">
        <v>1.875</v>
      </c>
      <c r="W929" s="1742">
        <v>11.0175</v>
      </c>
      <c r="X929" s="1742">
        <v>18.75</v>
      </c>
      <c r="Y929" s="2106">
        <v>31.642499999999998</v>
      </c>
      <c r="Z929" s="2106">
        <v>0</v>
      </c>
      <c r="AA929" s="2106">
        <v>0</v>
      </c>
      <c r="AB929" s="2106">
        <v>0</v>
      </c>
      <c r="AC929" s="2106">
        <v>0</v>
      </c>
      <c r="AD929" s="1744">
        <v>0</v>
      </c>
      <c r="AE929" s="2126">
        <v>0</v>
      </c>
      <c r="AF929" s="2126">
        <v>0</v>
      </c>
      <c r="AG929" s="1212">
        <v>1</v>
      </c>
      <c r="AH929" s="1212">
        <v>0</v>
      </c>
      <c r="AI929" s="1212">
        <v>0</v>
      </c>
      <c r="AJ929" s="1212">
        <v>1</v>
      </c>
      <c r="AK929" s="2126">
        <v>0</v>
      </c>
      <c r="AL929" s="2126">
        <v>0</v>
      </c>
      <c r="AM929" s="2126">
        <v>0</v>
      </c>
      <c r="AN929" s="2126">
        <v>0</v>
      </c>
      <c r="AO929" s="1743" t="s">
        <v>85</v>
      </c>
      <c r="AP929" s="1743" t="s">
        <v>96</v>
      </c>
      <c r="AQ929" s="1764" t="s">
        <v>107</v>
      </c>
      <c r="AR929" s="1743" t="s">
        <v>87</v>
      </c>
      <c r="AS929" s="2135"/>
      <c r="AT929" s="2135"/>
      <c r="AU929" s="1212">
        <v>0.33333333333333331</v>
      </c>
      <c r="AV929" s="1212">
        <v>0.33333333333333331</v>
      </c>
      <c r="AW929" s="1212">
        <v>0.33333333333333331</v>
      </c>
      <c r="AX929" s="1212"/>
      <c r="AY929" s="1212"/>
      <c r="AZ929" s="1212"/>
      <c r="BA929" s="1212"/>
      <c r="BB929" s="1212"/>
      <c r="BC929" s="1212"/>
      <c r="BD929" s="1212"/>
      <c r="BE929" s="1212"/>
      <c r="BF929" s="2126">
        <v>0</v>
      </c>
      <c r="BG929" s="2126">
        <v>0</v>
      </c>
      <c r="BH929" s="2126">
        <v>0</v>
      </c>
      <c r="BI929" s="2126">
        <v>0</v>
      </c>
      <c r="BJ929" s="2126">
        <v>0</v>
      </c>
      <c r="BK929" s="2126">
        <v>0</v>
      </c>
      <c r="BL929" s="2126">
        <v>0</v>
      </c>
      <c r="BM929" s="2126">
        <v>0</v>
      </c>
      <c r="BN929" s="2126">
        <v>0</v>
      </c>
      <c r="BO929" s="2126">
        <v>0</v>
      </c>
      <c r="BP929" s="2126">
        <v>0</v>
      </c>
      <c r="BQ929" s="2126">
        <v>0</v>
      </c>
      <c r="BR929" s="2126">
        <v>0</v>
      </c>
    </row>
    <row r="930" spans="1:70" s="1765" customFormat="1" ht="49.5">
      <c r="A930" s="1272">
        <v>4000</v>
      </c>
      <c r="B930" s="971" t="s">
        <v>1316</v>
      </c>
      <c r="C930" s="1272">
        <v>4500</v>
      </c>
      <c r="D930" s="971" t="s">
        <v>452</v>
      </c>
      <c r="E930" s="971" t="s">
        <v>1692</v>
      </c>
      <c r="F930" s="971" t="s">
        <v>605</v>
      </c>
      <c r="G930" s="971">
        <v>4521</v>
      </c>
      <c r="H930" s="971" t="s">
        <v>621</v>
      </c>
      <c r="I930" s="1273" t="s">
        <v>503</v>
      </c>
      <c r="J930" s="971" t="s">
        <v>124</v>
      </c>
      <c r="K930" s="971" t="s">
        <v>2857</v>
      </c>
      <c r="L930" s="971" t="s">
        <v>2858</v>
      </c>
      <c r="M930" s="971" t="s">
        <v>627</v>
      </c>
      <c r="N930" s="971" t="s">
        <v>488</v>
      </c>
      <c r="O930" s="971" t="s">
        <v>539</v>
      </c>
      <c r="P930" s="971"/>
      <c r="Q930" s="971" t="s">
        <v>1755</v>
      </c>
      <c r="R930" s="1266" t="s">
        <v>1756</v>
      </c>
      <c r="S930" s="2106">
        <v>0</v>
      </c>
      <c r="T930" s="1266" t="s">
        <v>136</v>
      </c>
      <c r="U930" s="1742">
        <v>0.56041666666666667</v>
      </c>
      <c r="V930" s="1742">
        <v>2.8020833333333335</v>
      </c>
      <c r="W930" s="1742">
        <v>49.395125</v>
      </c>
      <c r="X930" s="1742">
        <v>77.264645833333333</v>
      </c>
      <c r="Y930" s="2106">
        <v>129.46185416666665</v>
      </c>
      <c r="Z930" s="2106">
        <v>0</v>
      </c>
      <c r="AA930" s="2106">
        <v>0</v>
      </c>
      <c r="AB930" s="2106">
        <v>0</v>
      </c>
      <c r="AC930" s="2106">
        <v>0</v>
      </c>
      <c r="AD930" s="1744">
        <v>0</v>
      </c>
      <c r="AE930" s="2126">
        <v>1</v>
      </c>
      <c r="AF930" s="2126">
        <v>0</v>
      </c>
      <c r="AG930" s="1212">
        <v>1</v>
      </c>
      <c r="AH930" s="1212">
        <v>0</v>
      </c>
      <c r="AI930" s="1212">
        <v>0</v>
      </c>
      <c r="AJ930" s="1212">
        <v>1</v>
      </c>
      <c r="AK930" s="2126">
        <v>0</v>
      </c>
      <c r="AL930" s="2126">
        <v>0</v>
      </c>
      <c r="AM930" s="2126">
        <v>0</v>
      </c>
      <c r="AN930" s="2126">
        <v>0</v>
      </c>
      <c r="AO930" s="1743" t="s">
        <v>85</v>
      </c>
      <c r="AP930" s="1743" t="s">
        <v>96</v>
      </c>
      <c r="AQ930" s="1764" t="s">
        <v>107</v>
      </c>
      <c r="AR930" s="1743" t="s">
        <v>87</v>
      </c>
      <c r="AS930" s="2135"/>
      <c r="AT930" s="2135"/>
      <c r="AU930" s="1212">
        <v>0.33333333333333331</v>
      </c>
      <c r="AV930" s="1212">
        <v>0.33333333333333331</v>
      </c>
      <c r="AW930" s="1212">
        <v>0.33333333333333331</v>
      </c>
      <c r="AX930" s="1212"/>
      <c r="AY930" s="1212"/>
      <c r="AZ930" s="1212"/>
      <c r="BA930" s="1212"/>
      <c r="BB930" s="1212"/>
      <c r="BC930" s="1212"/>
      <c r="BD930" s="1212"/>
      <c r="BE930" s="1212"/>
      <c r="BF930" s="2126">
        <v>0</v>
      </c>
      <c r="BG930" s="2126">
        <v>0</v>
      </c>
      <c r="BH930" s="2126">
        <v>0</v>
      </c>
      <c r="BI930" s="2126">
        <v>0</v>
      </c>
      <c r="BJ930" s="2126">
        <v>0</v>
      </c>
      <c r="BK930" s="2126">
        <v>0</v>
      </c>
      <c r="BL930" s="2126">
        <v>0</v>
      </c>
      <c r="BM930" s="2126">
        <v>0</v>
      </c>
      <c r="BN930" s="2126">
        <v>0</v>
      </c>
      <c r="BO930" s="2126">
        <v>0</v>
      </c>
      <c r="BP930" s="2126">
        <v>0</v>
      </c>
      <c r="BQ930" s="2126">
        <v>0</v>
      </c>
      <c r="BR930" s="2126">
        <v>0</v>
      </c>
    </row>
    <row r="931" spans="1:70" s="1765" customFormat="1" ht="33">
      <c r="A931" s="1272">
        <v>4000</v>
      </c>
      <c r="B931" s="971" t="s">
        <v>1316</v>
      </c>
      <c r="C931" s="1272">
        <v>4500</v>
      </c>
      <c r="D931" s="971" t="s">
        <v>452</v>
      </c>
      <c r="E931" s="971" t="s">
        <v>1692</v>
      </c>
      <c r="F931" s="971" t="s">
        <v>605</v>
      </c>
      <c r="G931" s="971">
        <v>4521</v>
      </c>
      <c r="H931" s="971" t="s">
        <v>621</v>
      </c>
      <c r="I931" s="1273" t="s">
        <v>503</v>
      </c>
      <c r="J931" s="971" t="s">
        <v>124</v>
      </c>
      <c r="K931" s="971" t="s">
        <v>145</v>
      </c>
      <c r="L931" s="971" t="s">
        <v>2871</v>
      </c>
      <c r="M931" s="971" t="s">
        <v>556</v>
      </c>
      <c r="N931" s="971" t="s">
        <v>141</v>
      </c>
      <c r="O931" s="971" t="s">
        <v>557</v>
      </c>
      <c r="P931" s="971"/>
      <c r="Q931" s="971" t="s">
        <v>1757</v>
      </c>
      <c r="R931" s="1266" t="s">
        <v>1756</v>
      </c>
      <c r="S931" s="2106">
        <v>0</v>
      </c>
      <c r="T931" s="1266" t="s">
        <v>136</v>
      </c>
      <c r="U931" s="1742">
        <v>0.12329166666666667</v>
      </c>
      <c r="V931" s="1742">
        <v>0.98072916666666676</v>
      </c>
      <c r="W931" s="1742">
        <v>6.9153175000000005</v>
      </c>
      <c r="X931" s="1742">
        <v>10.817050416666667</v>
      </c>
      <c r="Y931" s="2106">
        <v>18.713097083333334</v>
      </c>
      <c r="Z931" s="2106">
        <v>0</v>
      </c>
      <c r="AA931" s="2106">
        <v>0</v>
      </c>
      <c r="AB931" s="2106">
        <v>0</v>
      </c>
      <c r="AC931" s="2106">
        <v>0</v>
      </c>
      <c r="AD931" s="1744">
        <v>0</v>
      </c>
      <c r="AE931" s="2126">
        <v>0.3</v>
      </c>
      <c r="AF931" s="2126">
        <v>0</v>
      </c>
      <c r="AG931" s="1212">
        <v>1</v>
      </c>
      <c r="AH931" s="1212">
        <v>0</v>
      </c>
      <c r="AI931" s="1212">
        <v>0</v>
      </c>
      <c r="AJ931" s="1212">
        <v>1</v>
      </c>
      <c r="AK931" s="2126">
        <v>0</v>
      </c>
      <c r="AL931" s="2126">
        <v>0</v>
      </c>
      <c r="AM931" s="2126">
        <v>0</v>
      </c>
      <c r="AN931" s="2126">
        <v>0</v>
      </c>
      <c r="AO931" s="1743" t="s">
        <v>85</v>
      </c>
      <c r="AP931" s="1743" t="s">
        <v>96</v>
      </c>
      <c r="AQ931" s="1764" t="s">
        <v>107</v>
      </c>
      <c r="AR931" s="1743" t="s">
        <v>87</v>
      </c>
      <c r="AS931" s="2135"/>
      <c r="AT931" s="2135"/>
      <c r="AU931" s="1212">
        <v>0.33333333333333331</v>
      </c>
      <c r="AV931" s="1212">
        <v>0.33333333333333331</v>
      </c>
      <c r="AW931" s="1212">
        <v>0.33333333333333331</v>
      </c>
      <c r="AX931" s="1212"/>
      <c r="AY931" s="1212"/>
      <c r="AZ931" s="1212"/>
      <c r="BA931" s="1212"/>
      <c r="BB931" s="1212"/>
      <c r="BC931" s="1212"/>
      <c r="BD931" s="1212"/>
      <c r="BE931" s="1212"/>
      <c r="BF931" s="2126">
        <v>0</v>
      </c>
      <c r="BG931" s="2126">
        <v>0</v>
      </c>
      <c r="BH931" s="2126">
        <v>0</v>
      </c>
      <c r="BI931" s="2126">
        <v>0</v>
      </c>
      <c r="BJ931" s="2126">
        <v>0</v>
      </c>
      <c r="BK931" s="2126">
        <v>0</v>
      </c>
      <c r="BL931" s="2126">
        <v>0</v>
      </c>
      <c r="BM931" s="2126">
        <v>0</v>
      </c>
      <c r="BN931" s="2126">
        <v>0</v>
      </c>
      <c r="BO931" s="2126">
        <v>0</v>
      </c>
      <c r="BP931" s="2126">
        <v>0</v>
      </c>
      <c r="BQ931" s="2126">
        <v>0</v>
      </c>
      <c r="BR931" s="2126">
        <v>0</v>
      </c>
    </row>
    <row r="932" spans="1:70" s="1765" customFormat="1" ht="33">
      <c r="A932" s="1272">
        <v>4000</v>
      </c>
      <c r="B932" s="971" t="s">
        <v>1316</v>
      </c>
      <c r="C932" s="1272">
        <v>4500</v>
      </c>
      <c r="D932" s="971" t="s">
        <v>452</v>
      </c>
      <c r="E932" s="971" t="s">
        <v>1692</v>
      </c>
      <c r="F932" s="971" t="s">
        <v>605</v>
      </c>
      <c r="G932" s="971">
        <v>4521</v>
      </c>
      <c r="H932" s="971" t="s">
        <v>621</v>
      </c>
      <c r="I932" s="1273" t="s">
        <v>503</v>
      </c>
      <c r="J932" s="971" t="s">
        <v>124</v>
      </c>
      <c r="K932" s="971"/>
      <c r="L932" s="971" t="e">
        <v>#N/A</v>
      </c>
      <c r="M932" s="971" t="s">
        <v>145</v>
      </c>
      <c r="N932" s="971" t="s">
        <v>141</v>
      </c>
      <c r="O932" s="971" t="s">
        <v>146</v>
      </c>
      <c r="P932" s="971"/>
      <c r="Q932" s="971" t="s">
        <v>1758</v>
      </c>
      <c r="R932" s="1266" t="s">
        <v>1756</v>
      </c>
      <c r="S932" s="2106">
        <v>0</v>
      </c>
      <c r="T932" s="1266" t="s">
        <v>136</v>
      </c>
      <c r="U932" s="1742" t="s">
        <v>6588</v>
      </c>
      <c r="V932" s="1742" t="s">
        <v>6588</v>
      </c>
      <c r="W932" s="1742" t="s">
        <v>6588</v>
      </c>
      <c r="X932" s="1742" t="s">
        <v>6588</v>
      </c>
      <c r="Y932" s="2106" t="s">
        <v>6588</v>
      </c>
      <c r="Z932" s="2106">
        <v>0</v>
      </c>
      <c r="AA932" s="2106">
        <v>0</v>
      </c>
      <c r="AB932" s="2106">
        <v>0</v>
      </c>
      <c r="AC932" s="2106">
        <v>0</v>
      </c>
      <c r="AD932" s="1744">
        <v>0</v>
      </c>
      <c r="AE932" s="2126">
        <v>0</v>
      </c>
      <c r="AF932" s="2126">
        <v>0</v>
      </c>
      <c r="AG932" s="1212">
        <v>1</v>
      </c>
      <c r="AH932" s="1212">
        <v>0</v>
      </c>
      <c r="AI932" s="1212">
        <v>0</v>
      </c>
      <c r="AJ932" s="1212">
        <v>1</v>
      </c>
      <c r="AK932" s="2126">
        <v>0</v>
      </c>
      <c r="AL932" s="2126">
        <v>0</v>
      </c>
      <c r="AM932" s="2126">
        <v>0</v>
      </c>
      <c r="AN932" s="2126">
        <v>0</v>
      </c>
      <c r="AO932" s="1743" t="s">
        <v>85</v>
      </c>
      <c r="AP932" s="1743" t="s">
        <v>96</v>
      </c>
      <c r="AQ932" s="1764" t="s">
        <v>107</v>
      </c>
      <c r="AR932" s="1743" t="s">
        <v>87</v>
      </c>
      <c r="AS932" s="2135"/>
      <c r="AT932" s="2135"/>
      <c r="AU932" s="1212">
        <v>0.33333333333333331</v>
      </c>
      <c r="AV932" s="1212">
        <v>0.33333333333333331</v>
      </c>
      <c r="AW932" s="1212">
        <v>0.33333333333333331</v>
      </c>
      <c r="AX932" s="1212"/>
      <c r="AY932" s="1212"/>
      <c r="AZ932" s="1212"/>
      <c r="BA932" s="1212"/>
      <c r="BB932" s="1212"/>
      <c r="BC932" s="1212"/>
      <c r="BD932" s="1212"/>
      <c r="BE932" s="1212"/>
      <c r="BF932" s="2126">
        <v>0</v>
      </c>
      <c r="BG932" s="2126">
        <v>0</v>
      </c>
      <c r="BH932" s="2126">
        <v>0</v>
      </c>
      <c r="BI932" s="2126">
        <v>0</v>
      </c>
      <c r="BJ932" s="2126">
        <v>0</v>
      </c>
      <c r="BK932" s="2126">
        <v>0</v>
      </c>
      <c r="BL932" s="2126">
        <v>0</v>
      </c>
      <c r="BM932" s="2126">
        <v>0</v>
      </c>
      <c r="BN932" s="2126">
        <v>0</v>
      </c>
      <c r="BO932" s="2126">
        <v>0</v>
      </c>
      <c r="BP932" s="2126">
        <v>0</v>
      </c>
      <c r="BQ932" s="2126">
        <v>0</v>
      </c>
      <c r="BR932" s="2126">
        <v>0</v>
      </c>
    </row>
    <row r="933" spans="1:70" s="1765" customFormat="1" ht="49.5">
      <c r="A933" s="1272">
        <v>4000</v>
      </c>
      <c r="B933" s="971" t="s">
        <v>1316</v>
      </c>
      <c r="C933" s="1272">
        <v>4500</v>
      </c>
      <c r="D933" s="971" t="s">
        <v>452</v>
      </c>
      <c r="E933" s="971" t="s">
        <v>1692</v>
      </c>
      <c r="F933" s="971" t="s">
        <v>605</v>
      </c>
      <c r="G933" s="971">
        <v>4521</v>
      </c>
      <c r="H933" s="971" t="s">
        <v>621</v>
      </c>
      <c r="I933" s="1273" t="s">
        <v>495</v>
      </c>
      <c r="J933" s="971" t="s">
        <v>124</v>
      </c>
      <c r="K933" s="971" t="s">
        <v>2857</v>
      </c>
      <c r="L933" s="971" t="s">
        <v>2858</v>
      </c>
      <c r="M933" s="971" t="s">
        <v>627</v>
      </c>
      <c r="N933" s="971" t="s">
        <v>488</v>
      </c>
      <c r="O933" s="971" t="s">
        <v>539</v>
      </c>
      <c r="P933" s="971"/>
      <c r="Q933" s="971" t="s">
        <v>1759</v>
      </c>
      <c r="R933" s="1266" t="s">
        <v>1760</v>
      </c>
      <c r="S933" s="2106">
        <v>0</v>
      </c>
      <c r="T933" s="1266" t="s">
        <v>136</v>
      </c>
      <c r="U933" s="1742">
        <v>0.56041666666666667</v>
      </c>
      <c r="V933" s="1742">
        <v>2.8020833333333335</v>
      </c>
      <c r="W933" s="1742">
        <v>49.395125</v>
      </c>
      <c r="X933" s="1742">
        <v>77.264645833333333</v>
      </c>
      <c r="Y933" s="2106">
        <v>129.46185416666665</v>
      </c>
      <c r="Z933" s="2106">
        <v>0</v>
      </c>
      <c r="AA933" s="2106">
        <v>0</v>
      </c>
      <c r="AB933" s="2106">
        <v>0</v>
      </c>
      <c r="AC933" s="2106">
        <v>0</v>
      </c>
      <c r="AD933" s="1744">
        <v>0</v>
      </c>
      <c r="AE933" s="2126">
        <v>1</v>
      </c>
      <c r="AF933" s="2126">
        <v>0</v>
      </c>
      <c r="AG933" s="1212">
        <v>1</v>
      </c>
      <c r="AH933" s="1212">
        <v>0</v>
      </c>
      <c r="AI933" s="1212">
        <v>0</v>
      </c>
      <c r="AJ933" s="1212">
        <v>1</v>
      </c>
      <c r="AK933" s="2126">
        <v>0</v>
      </c>
      <c r="AL933" s="2126">
        <v>0</v>
      </c>
      <c r="AM933" s="2126">
        <v>0</v>
      </c>
      <c r="AN933" s="2126">
        <v>0</v>
      </c>
      <c r="AO933" s="1743" t="s">
        <v>85</v>
      </c>
      <c r="AP933" s="1743" t="s">
        <v>96</v>
      </c>
      <c r="AQ933" s="1764" t="s">
        <v>107</v>
      </c>
      <c r="AR933" s="1743" t="s">
        <v>87</v>
      </c>
      <c r="AS933" s="2135"/>
      <c r="AT933" s="2135"/>
      <c r="AU933" s="1212">
        <v>0.33333333333333331</v>
      </c>
      <c r="AV933" s="1212">
        <v>0.33333333333333331</v>
      </c>
      <c r="AW933" s="1212">
        <v>0.33333333333333331</v>
      </c>
      <c r="AX933" s="1212"/>
      <c r="AY933" s="1212"/>
      <c r="AZ933" s="1212"/>
      <c r="BA933" s="1212"/>
      <c r="BB933" s="1212"/>
      <c r="BC933" s="1212"/>
      <c r="BD933" s="1212"/>
      <c r="BE933" s="1212"/>
      <c r="BF933" s="2126">
        <v>0</v>
      </c>
      <c r="BG933" s="2126">
        <v>0</v>
      </c>
      <c r="BH933" s="2126">
        <v>0</v>
      </c>
      <c r="BI933" s="2126">
        <v>0</v>
      </c>
      <c r="BJ933" s="2126">
        <v>0</v>
      </c>
      <c r="BK933" s="2126">
        <v>0</v>
      </c>
      <c r="BL933" s="2126">
        <v>0</v>
      </c>
      <c r="BM933" s="2126">
        <v>0</v>
      </c>
      <c r="BN933" s="2126">
        <v>0</v>
      </c>
      <c r="BO933" s="2126">
        <v>0</v>
      </c>
      <c r="BP933" s="2126">
        <v>0</v>
      </c>
      <c r="BQ933" s="2126">
        <v>0</v>
      </c>
      <c r="BR933" s="2126">
        <v>0</v>
      </c>
    </row>
    <row r="934" spans="1:70" s="1765" customFormat="1" ht="33">
      <c r="A934" s="1272">
        <v>4000</v>
      </c>
      <c r="B934" s="971" t="s">
        <v>1316</v>
      </c>
      <c r="C934" s="1272">
        <v>4500</v>
      </c>
      <c r="D934" s="971" t="s">
        <v>452</v>
      </c>
      <c r="E934" s="971" t="s">
        <v>1692</v>
      </c>
      <c r="F934" s="971" t="s">
        <v>605</v>
      </c>
      <c r="G934" s="971">
        <v>4521</v>
      </c>
      <c r="H934" s="971" t="s">
        <v>621</v>
      </c>
      <c r="I934" s="1273" t="s">
        <v>495</v>
      </c>
      <c r="J934" s="971" t="s">
        <v>124</v>
      </c>
      <c r="K934" s="971" t="s">
        <v>145</v>
      </c>
      <c r="L934" s="971" t="s">
        <v>2871</v>
      </c>
      <c r="M934" s="971" t="s">
        <v>556</v>
      </c>
      <c r="N934" s="971" t="s">
        <v>141</v>
      </c>
      <c r="O934" s="971" t="s">
        <v>557</v>
      </c>
      <c r="P934" s="971"/>
      <c r="Q934" s="971" t="s">
        <v>1761</v>
      </c>
      <c r="R934" s="1266" t="s">
        <v>1760</v>
      </c>
      <c r="S934" s="2106">
        <v>0</v>
      </c>
      <c r="T934" s="1266" t="s">
        <v>136</v>
      </c>
      <c r="U934" s="1742">
        <v>0.12329166666666667</v>
      </c>
      <c r="V934" s="1742">
        <v>0.98072916666666676</v>
      </c>
      <c r="W934" s="1742">
        <v>6.9153175000000005</v>
      </c>
      <c r="X934" s="1742">
        <v>10.817050416666667</v>
      </c>
      <c r="Y934" s="2106">
        <v>18.713097083333334</v>
      </c>
      <c r="Z934" s="2106">
        <v>0</v>
      </c>
      <c r="AA934" s="2106">
        <v>0</v>
      </c>
      <c r="AB934" s="2106">
        <v>0</v>
      </c>
      <c r="AC934" s="2106">
        <v>0</v>
      </c>
      <c r="AD934" s="1744">
        <v>0</v>
      </c>
      <c r="AE934" s="2126">
        <v>0.3</v>
      </c>
      <c r="AF934" s="2126">
        <v>0</v>
      </c>
      <c r="AG934" s="1212">
        <v>1</v>
      </c>
      <c r="AH934" s="1212">
        <v>0</v>
      </c>
      <c r="AI934" s="1212">
        <v>0</v>
      </c>
      <c r="AJ934" s="1212">
        <v>1</v>
      </c>
      <c r="AK934" s="2126">
        <v>0</v>
      </c>
      <c r="AL934" s="2126">
        <v>0</v>
      </c>
      <c r="AM934" s="2126">
        <v>0</v>
      </c>
      <c r="AN934" s="2126">
        <v>0</v>
      </c>
      <c r="AO934" s="1743" t="s">
        <v>85</v>
      </c>
      <c r="AP934" s="1743" t="s">
        <v>96</v>
      </c>
      <c r="AQ934" s="1764" t="s">
        <v>107</v>
      </c>
      <c r="AR934" s="1743" t="s">
        <v>87</v>
      </c>
      <c r="AS934" s="2135"/>
      <c r="AT934" s="2135"/>
      <c r="AU934" s="1212">
        <v>0.33333333333333331</v>
      </c>
      <c r="AV934" s="1212">
        <v>0.33333333333333331</v>
      </c>
      <c r="AW934" s="1212">
        <v>0.33333333333333331</v>
      </c>
      <c r="AX934" s="1212"/>
      <c r="AY934" s="1212"/>
      <c r="AZ934" s="1212"/>
      <c r="BA934" s="1212"/>
      <c r="BB934" s="1212"/>
      <c r="BC934" s="1212"/>
      <c r="BD934" s="1212"/>
      <c r="BE934" s="1212"/>
      <c r="BF934" s="2126">
        <v>0</v>
      </c>
      <c r="BG934" s="2126">
        <v>0</v>
      </c>
      <c r="BH934" s="2126">
        <v>0</v>
      </c>
      <c r="BI934" s="2126">
        <v>0</v>
      </c>
      <c r="BJ934" s="2126">
        <v>0</v>
      </c>
      <c r="BK934" s="2126">
        <v>0</v>
      </c>
      <c r="BL934" s="2126">
        <v>0</v>
      </c>
      <c r="BM934" s="2126">
        <v>0</v>
      </c>
      <c r="BN934" s="2126">
        <v>0</v>
      </c>
      <c r="BO934" s="2126">
        <v>0</v>
      </c>
      <c r="BP934" s="2126">
        <v>0</v>
      </c>
      <c r="BQ934" s="2126">
        <v>0</v>
      </c>
      <c r="BR934" s="2126">
        <v>0</v>
      </c>
    </row>
    <row r="935" spans="1:70" s="1765" customFormat="1" ht="33">
      <c r="A935" s="1272">
        <v>4000</v>
      </c>
      <c r="B935" s="971" t="s">
        <v>1316</v>
      </c>
      <c r="C935" s="1272">
        <v>4500</v>
      </c>
      <c r="D935" s="971" t="s">
        <v>452</v>
      </c>
      <c r="E935" s="971" t="s">
        <v>1692</v>
      </c>
      <c r="F935" s="971" t="s">
        <v>605</v>
      </c>
      <c r="G935" s="971">
        <v>4521</v>
      </c>
      <c r="H935" s="971" t="s">
        <v>621</v>
      </c>
      <c r="I935" s="1273" t="s">
        <v>495</v>
      </c>
      <c r="J935" s="971" t="s">
        <v>124</v>
      </c>
      <c r="K935" s="971"/>
      <c r="L935" s="971" t="e">
        <v>#N/A</v>
      </c>
      <c r="M935" s="971" t="s">
        <v>145</v>
      </c>
      <c r="N935" s="971" t="s">
        <v>141</v>
      </c>
      <c r="O935" s="971" t="s">
        <v>146</v>
      </c>
      <c r="P935" s="971"/>
      <c r="Q935" s="971" t="s">
        <v>1762</v>
      </c>
      <c r="R935" s="1266" t="s">
        <v>1760</v>
      </c>
      <c r="S935" s="2106">
        <v>0</v>
      </c>
      <c r="T935" s="1266" t="s">
        <v>136</v>
      </c>
      <c r="U935" s="1742" t="s">
        <v>6588</v>
      </c>
      <c r="V935" s="1742" t="s">
        <v>6588</v>
      </c>
      <c r="W935" s="1742" t="s">
        <v>6588</v>
      </c>
      <c r="X935" s="1742" t="s">
        <v>6588</v>
      </c>
      <c r="Y935" s="2106" t="s">
        <v>6588</v>
      </c>
      <c r="Z935" s="2106">
        <v>0</v>
      </c>
      <c r="AA935" s="2106">
        <v>0</v>
      </c>
      <c r="AB935" s="2106">
        <v>0</v>
      </c>
      <c r="AC935" s="2106">
        <v>0</v>
      </c>
      <c r="AD935" s="1744">
        <v>0</v>
      </c>
      <c r="AE935" s="2126">
        <v>0</v>
      </c>
      <c r="AF935" s="2126">
        <v>0</v>
      </c>
      <c r="AG935" s="1212">
        <v>1</v>
      </c>
      <c r="AH935" s="1212">
        <v>0</v>
      </c>
      <c r="AI935" s="1212">
        <v>0</v>
      </c>
      <c r="AJ935" s="1212">
        <v>1</v>
      </c>
      <c r="AK935" s="2126">
        <v>0</v>
      </c>
      <c r="AL935" s="2126">
        <v>0</v>
      </c>
      <c r="AM935" s="2126">
        <v>0</v>
      </c>
      <c r="AN935" s="2126">
        <v>0</v>
      </c>
      <c r="AO935" s="1743" t="s">
        <v>85</v>
      </c>
      <c r="AP935" s="1743" t="s">
        <v>96</v>
      </c>
      <c r="AQ935" s="1764" t="s">
        <v>107</v>
      </c>
      <c r="AR935" s="1743" t="s">
        <v>87</v>
      </c>
      <c r="AS935" s="2135"/>
      <c r="AT935" s="2135"/>
      <c r="AU935" s="1212">
        <v>0.33333333333333331</v>
      </c>
      <c r="AV935" s="1212">
        <v>0.33333333333333331</v>
      </c>
      <c r="AW935" s="1212">
        <v>0.33333333333333331</v>
      </c>
      <c r="AX935" s="1212"/>
      <c r="AY935" s="1212"/>
      <c r="AZ935" s="1212"/>
      <c r="BA935" s="1212"/>
      <c r="BB935" s="1212"/>
      <c r="BC935" s="1212"/>
      <c r="BD935" s="1212"/>
      <c r="BE935" s="1212"/>
      <c r="BF935" s="2126">
        <v>0</v>
      </c>
      <c r="BG935" s="2126">
        <v>0</v>
      </c>
      <c r="BH935" s="2126">
        <v>0</v>
      </c>
      <c r="BI935" s="2126">
        <v>0</v>
      </c>
      <c r="BJ935" s="2126">
        <v>0</v>
      </c>
      <c r="BK935" s="2126">
        <v>0</v>
      </c>
      <c r="BL935" s="2126">
        <v>0</v>
      </c>
      <c r="BM935" s="2126">
        <v>0</v>
      </c>
      <c r="BN935" s="2126">
        <v>0</v>
      </c>
      <c r="BO935" s="2126">
        <v>0</v>
      </c>
      <c r="BP935" s="2126">
        <v>0</v>
      </c>
      <c r="BQ935" s="2126">
        <v>0</v>
      </c>
      <c r="BR935" s="2126">
        <v>0</v>
      </c>
    </row>
    <row r="936" spans="1:70" s="1765" customFormat="1" ht="49.5">
      <c r="A936" s="1272">
        <v>4000</v>
      </c>
      <c r="B936" s="971" t="s">
        <v>1316</v>
      </c>
      <c r="C936" s="1272">
        <v>4500</v>
      </c>
      <c r="D936" s="971" t="s">
        <v>452</v>
      </c>
      <c r="E936" s="971">
        <v>4520</v>
      </c>
      <c r="F936" s="971" t="s">
        <v>605</v>
      </c>
      <c r="G936" s="971">
        <v>4521</v>
      </c>
      <c r="H936" s="971" t="s">
        <v>621</v>
      </c>
      <c r="I936" s="1273" t="s">
        <v>1067</v>
      </c>
      <c r="J936" s="971" t="s">
        <v>124</v>
      </c>
      <c r="K936" s="971" t="s">
        <v>2857</v>
      </c>
      <c r="L936" s="971" t="s">
        <v>2858</v>
      </c>
      <c r="M936" s="971" t="s">
        <v>487</v>
      </c>
      <c r="N936" s="971" t="s">
        <v>488</v>
      </c>
      <c r="O936" s="971" t="s">
        <v>215</v>
      </c>
      <c r="P936" s="971"/>
      <c r="Q936" s="971" t="s">
        <v>649</v>
      </c>
      <c r="R936" s="1266" t="s">
        <v>1763</v>
      </c>
      <c r="S936" s="2106">
        <v>0</v>
      </c>
      <c r="T936" s="1266" t="s">
        <v>136</v>
      </c>
      <c r="U936" s="1742">
        <v>0.56041666666666667</v>
      </c>
      <c r="V936" s="1742">
        <v>2.8020833333333335</v>
      </c>
      <c r="W936" s="1742">
        <v>49.395125</v>
      </c>
      <c r="X936" s="1742">
        <v>77.264645833333333</v>
      </c>
      <c r="Y936" s="2106">
        <v>129.46185416666665</v>
      </c>
      <c r="Z936" s="2106">
        <v>0</v>
      </c>
      <c r="AA936" s="2106">
        <v>0</v>
      </c>
      <c r="AB936" s="2106">
        <v>0</v>
      </c>
      <c r="AC936" s="2106">
        <v>0</v>
      </c>
      <c r="AD936" s="1744">
        <v>0</v>
      </c>
      <c r="AE936" s="2126">
        <v>1</v>
      </c>
      <c r="AF936" s="2126">
        <v>0</v>
      </c>
      <c r="AG936" s="1212">
        <v>1</v>
      </c>
      <c r="AH936" s="1212">
        <v>0</v>
      </c>
      <c r="AI936" s="1212">
        <v>0</v>
      </c>
      <c r="AJ936" s="1212">
        <v>1</v>
      </c>
      <c r="AK936" s="2126">
        <v>0</v>
      </c>
      <c r="AL936" s="2126">
        <v>0</v>
      </c>
      <c r="AM936" s="2126">
        <v>0</v>
      </c>
      <c r="AN936" s="2126">
        <v>0</v>
      </c>
      <c r="AO936" s="1743" t="s">
        <v>85</v>
      </c>
      <c r="AP936" s="1743" t="s">
        <v>96</v>
      </c>
      <c r="AQ936" s="1764" t="s">
        <v>107</v>
      </c>
      <c r="AR936" s="1743" t="s">
        <v>87</v>
      </c>
      <c r="AS936" s="2135"/>
      <c r="AT936" s="2135"/>
      <c r="AU936" s="1212">
        <v>0.33333333333333331</v>
      </c>
      <c r="AV936" s="1212">
        <v>0.33333333333333331</v>
      </c>
      <c r="AW936" s="1212">
        <v>0.33333333333333331</v>
      </c>
      <c r="AX936" s="1212"/>
      <c r="AY936" s="1212"/>
      <c r="AZ936" s="1212"/>
      <c r="BA936" s="1212"/>
      <c r="BB936" s="1212"/>
      <c r="BC936" s="1212"/>
      <c r="BD936" s="1212"/>
      <c r="BE936" s="1212"/>
      <c r="BF936" s="2126">
        <v>0</v>
      </c>
      <c r="BG936" s="2126">
        <v>0</v>
      </c>
      <c r="BH936" s="2126">
        <v>0</v>
      </c>
      <c r="BI936" s="2126">
        <v>0</v>
      </c>
      <c r="BJ936" s="2126">
        <v>0</v>
      </c>
      <c r="BK936" s="2126">
        <v>0</v>
      </c>
      <c r="BL936" s="2126">
        <v>0</v>
      </c>
      <c r="BM936" s="2126">
        <v>0</v>
      </c>
      <c r="BN936" s="2126">
        <v>0</v>
      </c>
      <c r="BO936" s="2126">
        <v>0</v>
      </c>
      <c r="BP936" s="2126">
        <v>0</v>
      </c>
      <c r="BQ936" s="2126">
        <v>0</v>
      </c>
      <c r="BR936" s="2126">
        <v>0</v>
      </c>
    </row>
    <row r="937" spans="1:70" s="1765" customFormat="1" ht="33">
      <c r="A937" s="1272">
        <v>4000</v>
      </c>
      <c r="B937" s="971" t="s">
        <v>1316</v>
      </c>
      <c r="C937" s="1272">
        <v>4500</v>
      </c>
      <c r="D937" s="971" t="s">
        <v>452</v>
      </c>
      <c r="E937" s="971">
        <v>4520</v>
      </c>
      <c r="F937" s="971" t="s">
        <v>605</v>
      </c>
      <c r="G937" s="971">
        <v>4521</v>
      </c>
      <c r="H937" s="971" t="s">
        <v>621</v>
      </c>
      <c r="I937" s="1273" t="s">
        <v>1067</v>
      </c>
      <c r="J937" s="971" t="s">
        <v>124</v>
      </c>
      <c r="K937" s="971" t="s">
        <v>145</v>
      </c>
      <c r="L937" s="971" t="s">
        <v>2871</v>
      </c>
      <c r="M937" s="971" t="s">
        <v>556</v>
      </c>
      <c r="N937" s="971" t="s">
        <v>141</v>
      </c>
      <c r="O937" s="971" t="s">
        <v>557</v>
      </c>
      <c r="P937" s="971"/>
      <c r="Q937" s="971" t="s">
        <v>655</v>
      </c>
      <c r="R937" s="1266" t="s">
        <v>1763</v>
      </c>
      <c r="S937" s="2106">
        <v>0</v>
      </c>
      <c r="T937" s="1266" t="s">
        <v>136</v>
      </c>
      <c r="U937" s="1742">
        <v>0.12329166666666667</v>
      </c>
      <c r="V937" s="1742">
        <v>0.98072916666666676</v>
      </c>
      <c r="W937" s="1742">
        <v>6.9153175000000005</v>
      </c>
      <c r="X937" s="1742">
        <v>10.817050416666667</v>
      </c>
      <c r="Y937" s="2106">
        <v>18.713097083333334</v>
      </c>
      <c r="Z937" s="2106">
        <v>0</v>
      </c>
      <c r="AA937" s="2106">
        <v>0</v>
      </c>
      <c r="AB937" s="2106">
        <v>0</v>
      </c>
      <c r="AC937" s="2106">
        <v>0</v>
      </c>
      <c r="AD937" s="1744">
        <v>0</v>
      </c>
      <c r="AE937" s="2126">
        <v>0.3</v>
      </c>
      <c r="AF937" s="2126">
        <v>0</v>
      </c>
      <c r="AG937" s="1212">
        <v>1</v>
      </c>
      <c r="AH937" s="1212">
        <v>0</v>
      </c>
      <c r="AI937" s="1212">
        <v>0</v>
      </c>
      <c r="AJ937" s="1212">
        <v>1</v>
      </c>
      <c r="AK937" s="2126">
        <v>0</v>
      </c>
      <c r="AL937" s="2126">
        <v>0</v>
      </c>
      <c r="AM937" s="2126">
        <v>0</v>
      </c>
      <c r="AN937" s="2126">
        <v>0</v>
      </c>
      <c r="AO937" s="1743" t="s">
        <v>85</v>
      </c>
      <c r="AP937" s="1743" t="s">
        <v>96</v>
      </c>
      <c r="AQ937" s="1764" t="s">
        <v>107</v>
      </c>
      <c r="AR937" s="1743" t="s">
        <v>87</v>
      </c>
      <c r="AS937" s="2135"/>
      <c r="AT937" s="2135"/>
      <c r="AU937" s="1212">
        <v>0.33333333333333331</v>
      </c>
      <c r="AV937" s="1212">
        <v>0.33333333333333331</v>
      </c>
      <c r="AW937" s="1212">
        <v>0.33333333333333331</v>
      </c>
      <c r="AX937" s="1212"/>
      <c r="AY937" s="1212"/>
      <c r="AZ937" s="1212"/>
      <c r="BA937" s="1212"/>
      <c r="BB937" s="1212"/>
      <c r="BC937" s="1212"/>
      <c r="BD937" s="1212"/>
      <c r="BE937" s="1212"/>
      <c r="BF937" s="2126">
        <v>0</v>
      </c>
      <c r="BG937" s="2126">
        <v>0</v>
      </c>
      <c r="BH937" s="2126">
        <v>0</v>
      </c>
      <c r="BI937" s="2126">
        <v>0</v>
      </c>
      <c r="BJ937" s="2126">
        <v>0</v>
      </c>
      <c r="BK937" s="2126">
        <v>0</v>
      </c>
      <c r="BL937" s="2126">
        <v>0</v>
      </c>
      <c r="BM937" s="2126">
        <v>0</v>
      </c>
      <c r="BN937" s="2126">
        <v>0</v>
      </c>
      <c r="BO937" s="2126">
        <v>0</v>
      </c>
      <c r="BP937" s="2126">
        <v>0</v>
      </c>
      <c r="BQ937" s="2126">
        <v>0</v>
      </c>
      <c r="BR937" s="2126">
        <v>0</v>
      </c>
    </row>
    <row r="938" spans="1:70" s="1765" customFormat="1" ht="33">
      <c r="A938" s="1272">
        <v>4000</v>
      </c>
      <c r="B938" s="971" t="s">
        <v>1316</v>
      </c>
      <c r="C938" s="1272">
        <v>4500</v>
      </c>
      <c r="D938" s="971" t="s">
        <v>452</v>
      </c>
      <c r="E938" s="971">
        <v>4520</v>
      </c>
      <c r="F938" s="971" t="s">
        <v>605</v>
      </c>
      <c r="G938" s="971">
        <v>4521</v>
      </c>
      <c r="H938" s="971" t="s">
        <v>621</v>
      </c>
      <c r="I938" s="1273" t="s">
        <v>1067</v>
      </c>
      <c r="J938" s="971" t="s">
        <v>124</v>
      </c>
      <c r="K938" s="971"/>
      <c r="L938" s="971" t="e">
        <v>#N/A</v>
      </c>
      <c r="M938" s="971" t="s">
        <v>145</v>
      </c>
      <c r="N938" s="971" t="s">
        <v>141</v>
      </c>
      <c r="O938" s="971" t="s">
        <v>146</v>
      </c>
      <c r="P938" s="971"/>
      <c r="Q938" s="971" t="s">
        <v>669</v>
      </c>
      <c r="R938" s="1266" t="s">
        <v>1763</v>
      </c>
      <c r="S938" s="2106">
        <v>0</v>
      </c>
      <c r="T938" s="1266" t="s">
        <v>136</v>
      </c>
      <c r="U938" s="1742" t="s">
        <v>6588</v>
      </c>
      <c r="V938" s="1742" t="s">
        <v>6588</v>
      </c>
      <c r="W938" s="1742" t="s">
        <v>6588</v>
      </c>
      <c r="X938" s="1742" t="s">
        <v>6588</v>
      </c>
      <c r="Y938" s="2106" t="s">
        <v>6588</v>
      </c>
      <c r="Z938" s="2106">
        <v>0</v>
      </c>
      <c r="AA938" s="2106">
        <v>0</v>
      </c>
      <c r="AB938" s="2106">
        <v>0</v>
      </c>
      <c r="AC938" s="2106">
        <v>0</v>
      </c>
      <c r="AD938" s="1744">
        <v>0</v>
      </c>
      <c r="AE938" s="2126">
        <v>0</v>
      </c>
      <c r="AF938" s="2126">
        <v>0</v>
      </c>
      <c r="AG938" s="1212">
        <v>1</v>
      </c>
      <c r="AH938" s="1212">
        <v>0</v>
      </c>
      <c r="AI938" s="1212">
        <v>0</v>
      </c>
      <c r="AJ938" s="1212">
        <v>1</v>
      </c>
      <c r="AK938" s="2126">
        <v>0</v>
      </c>
      <c r="AL938" s="2126">
        <v>0</v>
      </c>
      <c r="AM938" s="2126">
        <v>0</v>
      </c>
      <c r="AN938" s="2126">
        <v>0</v>
      </c>
      <c r="AO938" s="1743" t="s">
        <v>85</v>
      </c>
      <c r="AP938" s="1743" t="s">
        <v>96</v>
      </c>
      <c r="AQ938" s="1764" t="s">
        <v>107</v>
      </c>
      <c r="AR938" s="1743" t="s">
        <v>87</v>
      </c>
      <c r="AS938" s="2135"/>
      <c r="AT938" s="2135"/>
      <c r="AU938" s="1212">
        <v>0.33333333333333331</v>
      </c>
      <c r="AV938" s="1212">
        <v>0.33333333333333331</v>
      </c>
      <c r="AW938" s="1212">
        <v>0.33333333333333331</v>
      </c>
      <c r="AX938" s="1212"/>
      <c r="AY938" s="1212"/>
      <c r="AZ938" s="1212"/>
      <c r="BA938" s="1212"/>
      <c r="BB938" s="1212"/>
      <c r="BC938" s="1212"/>
      <c r="BD938" s="1212"/>
      <c r="BE938" s="1212"/>
      <c r="BF938" s="2126">
        <v>0</v>
      </c>
      <c r="BG938" s="2126">
        <v>0</v>
      </c>
      <c r="BH938" s="2126">
        <v>0</v>
      </c>
      <c r="BI938" s="2126">
        <v>0</v>
      </c>
      <c r="BJ938" s="2126">
        <v>0</v>
      </c>
      <c r="BK938" s="2126">
        <v>0</v>
      </c>
      <c r="BL938" s="2126">
        <v>0</v>
      </c>
      <c r="BM938" s="2126">
        <v>0</v>
      </c>
      <c r="BN938" s="2126">
        <v>0</v>
      </c>
      <c r="BO938" s="2126">
        <v>0</v>
      </c>
      <c r="BP938" s="2126">
        <v>0</v>
      </c>
      <c r="BQ938" s="2126">
        <v>0</v>
      </c>
      <c r="BR938" s="2126">
        <v>0</v>
      </c>
    </row>
    <row r="939" spans="1:70" s="1765" customFormat="1" ht="66">
      <c r="A939" s="1272">
        <v>4000</v>
      </c>
      <c r="B939" s="971" t="s">
        <v>1316</v>
      </c>
      <c r="C939" s="1272">
        <v>4500</v>
      </c>
      <c r="D939" s="971" t="s">
        <v>452</v>
      </c>
      <c r="E939" s="971" t="s">
        <v>1692</v>
      </c>
      <c r="F939" s="971" t="s">
        <v>605</v>
      </c>
      <c r="G939" s="971">
        <v>4521</v>
      </c>
      <c r="H939" s="971" t="s">
        <v>621</v>
      </c>
      <c r="I939" s="1273"/>
      <c r="J939" s="971" t="s">
        <v>177</v>
      </c>
      <c r="K939" s="971" t="s">
        <v>196</v>
      </c>
      <c r="L939" s="971" t="s">
        <v>197</v>
      </c>
      <c r="M939" s="971" t="s">
        <v>196</v>
      </c>
      <c r="N939" s="971" t="s">
        <v>179</v>
      </c>
      <c r="O939" s="971" t="s">
        <v>197</v>
      </c>
      <c r="P939" s="971"/>
      <c r="Q939" s="971" t="s">
        <v>1764</v>
      </c>
      <c r="R939" s="1266"/>
      <c r="S939" s="2106">
        <v>0</v>
      </c>
      <c r="T939" s="1266" t="s">
        <v>242</v>
      </c>
      <c r="U939" s="1742">
        <v>9.6666666666666661</v>
      </c>
      <c r="V939" s="1742">
        <v>89.583333333333329</v>
      </c>
      <c r="W939" s="1742">
        <v>852.02</v>
      </c>
      <c r="X939" s="1742">
        <v>988.06833333333327</v>
      </c>
      <c r="Y939" s="2106">
        <v>1929.6716666666666</v>
      </c>
      <c r="Z939" s="2106">
        <v>0</v>
      </c>
      <c r="AA939" s="2106">
        <v>0</v>
      </c>
      <c r="AB939" s="2106">
        <v>0</v>
      </c>
      <c r="AC939" s="2106">
        <v>0</v>
      </c>
      <c r="AD939" s="1744">
        <v>0</v>
      </c>
      <c r="AE939" s="2126">
        <v>1</v>
      </c>
      <c r="AF939" s="2126">
        <v>0</v>
      </c>
      <c r="AG939" s="1212">
        <v>1</v>
      </c>
      <c r="AH939" s="1212">
        <v>0</v>
      </c>
      <c r="AI939" s="1212">
        <v>0</v>
      </c>
      <c r="AJ939" s="1212">
        <v>1</v>
      </c>
      <c r="AK939" s="2126">
        <v>0</v>
      </c>
      <c r="AL939" s="2126">
        <v>0</v>
      </c>
      <c r="AM939" s="2126">
        <v>0</v>
      </c>
      <c r="AN939" s="2126">
        <v>0</v>
      </c>
      <c r="AO939" s="1743" t="s">
        <v>85</v>
      </c>
      <c r="AP939" s="1743" t="s">
        <v>96</v>
      </c>
      <c r="AQ939" s="1764" t="s">
        <v>107</v>
      </c>
      <c r="AR939" s="1743" t="s">
        <v>87</v>
      </c>
      <c r="AS939" s="2135"/>
      <c r="AT939" s="2135"/>
      <c r="AU939" s="1212">
        <v>0.33333333333333331</v>
      </c>
      <c r="AV939" s="1212">
        <v>0.33333333333333331</v>
      </c>
      <c r="AW939" s="1212">
        <v>0.33333333333333331</v>
      </c>
      <c r="AX939" s="1212"/>
      <c r="AY939" s="1212"/>
      <c r="AZ939" s="1212"/>
      <c r="BA939" s="1212"/>
      <c r="BB939" s="1212"/>
      <c r="BC939" s="1212"/>
      <c r="BD939" s="1212"/>
      <c r="BE939" s="1212"/>
      <c r="BF939" s="2126">
        <v>0</v>
      </c>
      <c r="BG939" s="2126">
        <v>0</v>
      </c>
      <c r="BH939" s="2126">
        <v>0</v>
      </c>
      <c r="BI939" s="2126">
        <v>0</v>
      </c>
      <c r="BJ939" s="2126">
        <v>0</v>
      </c>
      <c r="BK939" s="2126">
        <v>0</v>
      </c>
      <c r="BL939" s="2126">
        <v>0</v>
      </c>
      <c r="BM939" s="2126">
        <v>0</v>
      </c>
      <c r="BN939" s="2126">
        <v>0</v>
      </c>
      <c r="BO939" s="2126">
        <v>0</v>
      </c>
      <c r="BP939" s="2126">
        <v>0</v>
      </c>
      <c r="BQ939" s="2126">
        <v>0</v>
      </c>
      <c r="BR939" s="2126">
        <v>0</v>
      </c>
    </row>
    <row r="940" spans="1:70" s="1765" customFormat="1" ht="33">
      <c r="A940" s="1272">
        <v>4000</v>
      </c>
      <c r="B940" s="971" t="s">
        <v>1316</v>
      </c>
      <c r="C940" s="1272">
        <v>4500</v>
      </c>
      <c r="D940" s="971" t="s">
        <v>452</v>
      </c>
      <c r="E940" s="971" t="s">
        <v>1692</v>
      </c>
      <c r="F940" s="971" t="s">
        <v>605</v>
      </c>
      <c r="G940" s="971">
        <v>4521</v>
      </c>
      <c r="H940" s="971" t="s">
        <v>621</v>
      </c>
      <c r="I940" s="1273"/>
      <c r="J940" s="971" t="s">
        <v>177</v>
      </c>
      <c r="K940" s="971" t="s">
        <v>196</v>
      </c>
      <c r="L940" s="971" t="s">
        <v>197</v>
      </c>
      <c r="M940" s="971" t="s">
        <v>196</v>
      </c>
      <c r="N940" s="971" t="s">
        <v>179</v>
      </c>
      <c r="O940" s="971" t="s">
        <v>197</v>
      </c>
      <c r="P940" s="971"/>
      <c r="Q940" s="971" t="s">
        <v>1765</v>
      </c>
      <c r="R940" s="1266"/>
      <c r="S940" s="2106">
        <v>0</v>
      </c>
      <c r="T940" s="1266" t="s">
        <v>242</v>
      </c>
      <c r="U940" s="1742">
        <v>9.6666666666666661</v>
      </c>
      <c r="V940" s="1742">
        <v>89.583333333333329</v>
      </c>
      <c r="W940" s="1742">
        <v>852.02</v>
      </c>
      <c r="X940" s="1742">
        <v>988.06833333333327</v>
      </c>
      <c r="Y940" s="2106">
        <v>1929.6716666666666</v>
      </c>
      <c r="Z940" s="2106">
        <v>0</v>
      </c>
      <c r="AA940" s="2106">
        <v>0</v>
      </c>
      <c r="AB940" s="2106">
        <v>0</v>
      </c>
      <c r="AC940" s="2106">
        <v>0</v>
      </c>
      <c r="AD940" s="1744">
        <v>0</v>
      </c>
      <c r="AE940" s="2126">
        <v>1</v>
      </c>
      <c r="AF940" s="2126">
        <v>0</v>
      </c>
      <c r="AG940" s="1212">
        <v>1</v>
      </c>
      <c r="AH940" s="1212">
        <v>0</v>
      </c>
      <c r="AI940" s="1212">
        <v>0</v>
      </c>
      <c r="AJ940" s="1212">
        <v>1</v>
      </c>
      <c r="AK940" s="2126">
        <v>0</v>
      </c>
      <c r="AL940" s="2126">
        <v>0</v>
      </c>
      <c r="AM940" s="2126">
        <v>0</v>
      </c>
      <c r="AN940" s="2126">
        <v>0</v>
      </c>
      <c r="AO940" s="1743" t="s">
        <v>85</v>
      </c>
      <c r="AP940" s="1743" t="s">
        <v>96</v>
      </c>
      <c r="AQ940" s="1764" t="s">
        <v>107</v>
      </c>
      <c r="AR940" s="1743" t="s">
        <v>87</v>
      </c>
      <c r="AS940" s="2135"/>
      <c r="AT940" s="2135"/>
      <c r="AU940" s="1212">
        <v>0.5</v>
      </c>
      <c r="AV940" s="1212">
        <v>0.5</v>
      </c>
      <c r="AW940" s="1212"/>
      <c r="AX940" s="1212"/>
      <c r="AY940" s="1212"/>
      <c r="AZ940" s="1212"/>
      <c r="BA940" s="1212"/>
      <c r="BB940" s="1212"/>
      <c r="BC940" s="1212"/>
      <c r="BD940" s="1212"/>
      <c r="BE940" s="1212"/>
      <c r="BF940" s="2126">
        <v>0</v>
      </c>
      <c r="BG940" s="2126">
        <v>0</v>
      </c>
      <c r="BH940" s="2126">
        <v>0</v>
      </c>
      <c r="BI940" s="2126">
        <v>0</v>
      </c>
      <c r="BJ940" s="2126">
        <v>0</v>
      </c>
      <c r="BK940" s="2126">
        <v>0</v>
      </c>
      <c r="BL940" s="2126">
        <v>0</v>
      </c>
      <c r="BM940" s="2126">
        <v>0</v>
      </c>
      <c r="BN940" s="2126">
        <v>0</v>
      </c>
      <c r="BO940" s="2126">
        <v>0</v>
      </c>
      <c r="BP940" s="2126">
        <v>0</v>
      </c>
      <c r="BQ940" s="2126">
        <v>0</v>
      </c>
      <c r="BR940" s="2126">
        <v>0</v>
      </c>
    </row>
    <row r="941" spans="1:70" s="1765" customFormat="1" ht="49.5">
      <c r="A941" s="1272">
        <v>4000</v>
      </c>
      <c r="B941" s="971" t="s">
        <v>1316</v>
      </c>
      <c r="C941" s="1272">
        <v>4500</v>
      </c>
      <c r="D941" s="971" t="s">
        <v>452</v>
      </c>
      <c r="E941" s="971" t="s">
        <v>1692</v>
      </c>
      <c r="F941" s="971" t="s">
        <v>605</v>
      </c>
      <c r="G941" s="971">
        <v>4521</v>
      </c>
      <c r="H941" s="971" t="s">
        <v>621</v>
      </c>
      <c r="I941" s="1273"/>
      <c r="J941" s="971" t="s">
        <v>121</v>
      </c>
      <c r="K941" s="971" t="s">
        <v>255</v>
      </c>
      <c r="L941" s="971" t="s">
        <v>2802</v>
      </c>
      <c r="M941" s="971" t="s">
        <v>255</v>
      </c>
      <c r="N941" s="971" t="s">
        <v>83</v>
      </c>
      <c r="O941" s="971" t="s">
        <v>256</v>
      </c>
      <c r="P941" s="971"/>
      <c r="Q941" s="971" t="s">
        <v>680</v>
      </c>
      <c r="R941" s="1266"/>
      <c r="S941" s="2106">
        <v>2046</v>
      </c>
      <c r="T941" s="1266" t="s">
        <v>136</v>
      </c>
      <c r="U941" s="1742">
        <v>4.4491883296460179E-2</v>
      </c>
      <c r="V941" s="1742">
        <v>0.1701</v>
      </c>
      <c r="W941" s="1742">
        <v>3.92151459375</v>
      </c>
      <c r="X941" s="1742">
        <v>0.68180304577546291</v>
      </c>
      <c r="Y941" s="2106">
        <v>4.7480795457754628</v>
      </c>
      <c r="Z941" s="2106">
        <v>91.030393224557528</v>
      </c>
      <c r="AA941" s="2106">
        <v>348.02460000000002</v>
      </c>
      <c r="AB941" s="2106">
        <v>8023.4188588124998</v>
      </c>
      <c r="AC941" s="2106">
        <v>1394.9690316565971</v>
      </c>
      <c r="AD941" s="1744">
        <v>9766.412490469098</v>
      </c>
      <c r="AE941" s="2126">
        <v>0</v>
      </c>
      <c r="AF941" s="2126">
        <v>0</v>
      </c>
      <c r="AG941" s="1212">
        <v>1</v>
      </c>
      <c r="AH941" s="1212">
        <v>0</v>
      </c>
      <c r="AI941" s="1212">
        <v>0</v>
      </c>
      <c r="AJ941" s="1212">
        <v>1</v>
      </c>
      <c r="AK941" s="2126">
        <v>9766.412490469098</v>
      </c>
      <c r="AL941" s="2126">
        <v>0</v>
      </c>
      <c r="AM941" s="2126">
        <v>0</v>
      </c>
      <c r="AN941" s="2126">
        <v>9766.412490469098</v>
      </c>
      <c r="AO941" s="1743" t="s">
        <v>85</v>
      </c>
      <c r="AP941" s="1743" t="s">
        <v>90</v>
      </c>
      <c r="AQ941" s="1764" t="s">
        <v>112</v>
      </c>
      <c r="AR941" s="1743" t="s">
        <v>87</v>
      </c>
      <c r="AS941" s="2135"/>
      <c r="AT941" s="2135"/>
      <c r="AU941" s="1212">
        <v>0.33333333333333331</v>
      </c>
      <c r="AV941" s="1212">
        <v>0.33333333333333331</v>
      </c>
      <c r="AW941" s="1212">
        <v>0.33333333333333331</v>
      </c>
      <c r="AX941" s="1212"/>
      <c r="AY941" s="1212"/>
      <c r="AZ941" s="1212"/>
      <c r="BA941" s="1212"/>
      <c r="BB941" s="1212"/>
      <c r="BC941" s="1212"/>
      <c r="BD941" s="1212"/>
      <c r="BE941" s="1212"/>
      <c r="BF941" s="2126">
        <v>0</v>
      </c>
      <c r="BG941" s="2126">
        <v>0</v>
      </c>
      <c r="BH941" s="2126">
        <v>3255.470830156366</v>
      </c>
      <c r="BI941" s="2126">
        <v>3255.470830156366</v>
      </c>
      <c r="BJ941" s="2126">
        <v>3255.470830156366</v>
      </c>
      <c r="BK941" s="2126">
        <v>0</v>
      </c>
      <c r="BL941" s="2126">
        <v>0</v>
      </c>
      <c r="BM941" s="2126">
        <v>0</v>
      </c>
      <c r="BN941" s="2126">
        <v>0</v>
      </c>
      <c r="BO941" s="2126">
        <v>0</v>
      </c>
      <c r="BP941" s="2126">
        <v>0</v>
      </c>
      <c r="BQ941" s="2126">
        <v>0</v>
      </c>
      <c r="BR941" s="2126">
        <v>0</v>
      </c>
    </row>
    <row r="942" spans="1:70" s="1765" customFormat="1" ht="33">
      <c r="A942" s="1272">
        <v>4000</v>
      </c>
      <c r="B942" s="971" t="s">
        <v>1316</v>
      </c>
      <c r="C942" s="1272">
        <v>4500</v>
      </c>
      <c r="D942" s="971" t="s">
        <v>452</v>
      </c>
      <c r="E942" s="971" t="s">
        <v>1692</v>
      </c>
      <c r="F942" s="971" t="s">
        <v>605</v>
      </c>
      <c r="G942" s="971">
        <v>4521</v>
      </c>
      <c r="H942" s="971" t="s">
        <v>621</v>
      </c>
      <c r="I942" s="1273"/>
      <c r="J942" s="971" t="s">
        <v>124</v>
      </c>
      <c r="K942" s="971" t="s">
        <v>125</v>
      </c>
      <c r="L942" s="971" t="s">
        <v>2868</v>
      </c>
      <c r="M942" s="971" t="s">
        <v>126</v>
      </c>
      <c r="N942" s="971" t="s">
        <v>127</v>
      </c>
      <c r="O942" s="971" t="s">
        <v>128</v>
      </c>
      <c r="P942" s="971"/>
      <c r="Q942" s="971" t="s">
        <v>1766</v>
      </c>
      <c r="R942" s="1266" t="s">
        <v>1767</v>
      </c>
      <c r="S942" s="2106">
        <v>29.728960000000001</v>
      </c>
      <c r="T942" s="1266" t="s">
        <v>136</v>
      </c>
      <c r="U942" s="1742">
        <v>0.11208333333333333</v>
      </c>
      <c r="V942" s="1742">
        <v>1.4010416666666667</v>
      </c>
      <c r="W942" s="1742">
        <v>9.8790250000000004</v>
      </c>
      <c r="X942" s="1742">
        <v>15.452929166666667</v>
      </c>
      <c r="Y942" s="2106">
        <v>26.73299583333333</v>
      </c>
      <c r="Z942" s="2106">
        <v>3.332120933333333</v>
      </c>
      <c r="AA942" s="2106">
        <v>41.651511666666671</v>
      </c>
      <c r="AB942" s="2106">
        <v>293.69313906400004</v>
      </c>
      <c r="AC942" s="2106">
        <v>459.3995130786667</v>
      </c>
      <c r="AD942" s="1744">
        <v>794.74416380933349</v>
      </c>
      <c r="AE942" s="2126">
        <v>1</v>
      </c>
      <c r="AF942" s="2126">
        <v>29.728960000000001</v>
      </c>
      <c r="AG942" s="1212">
        <v>1</v>
      </c>
      <c r="AH942" s="1212">
        <v>0</v>
      </c>
      <c r="AI942" s="1212">
        <v>0</v>
      </c>
      <c r="AJ942" s="1212">
        <v>1</v>
      </c>
      <c r="AK942" s="2126">
        <v>794.74416380933349</v>
      </c>
      <c r="AL942" s="2126">
        <v>0</v>
      </c>
      <c r="AM942" s="2126">
        <v>0</v>
      </c>
      <c r="AN942" s="2126">
        <v>794.74416380933349</v>
      </c>
      <c r="AO942" s="1743" t="s">
        <v>85</v>
      </c>
      <c r="AP942" s="1743" t="s">
        <v>90</v>
      </c>
      <c r="AQ942" s="1764">
        <v>2022</v>
      </c>
      <c r="AR942" s="1743" t="s">
        <v>87</v>
      </c>
      <c r="AS942" s="2135"/>
      <c r="AT942" s="2135"/>
      <c r="AU942" s="1212">
        <v>0.33333333333333331</v>
      </c>
      <c r="AV942" s="1212">
        <v>0.33333333333333331</v>
      </c>
      <c r="AW942" s="1212">
        <v>0.33333333333333331</v>
      </c>
      <c r="AX942" s="1212"/>
      <c r="AY942" s="1212"/>
      <c r="AZ942" s="1212"/>
      <c r="BA942" s="1212"/>
      <c r="BB942" s="1212"/>
      <c r="BC942" s="1212"/>
      <c r="BD942" s="1212"/>
      <c r="BE942" s="1212"/>
      <c r="BF942" s="2126">
        <v>0</v>
      </c>
      <c r="BG942" s="2126">
        <v>0</v>
      </c>
      <c r="BH942" s="2126">
        <v>264.91472126977783</v>
      </c>
      <c r="BI942" s="2126">
        <v>264.91472126977783</v>
      </c>
      <c r="BJ942" s="2126">
        <v>264.91472126977783</v>
      </c>
      <c r="BK942" s="2126">
        <v>0</v>
      </c>
      <c r="BL942" s="2126">
        <v>0</v>
      </c>
      <c r="BM942" s="2126">
        <v>0</v>
      </c>
      <c r="BN942" s="2126">
        <v>0</v>
      </c>
      <c r="BO942" s="2126">
        <v>0</v>
      </c>
      <c r="BP942" s="2126">
        <v>0</v>
      </c>
      <c r="BQ942" s="2126">
        <v>0</v>
      </c>
      <c r="BR942" s="2126">
        <v>0</v>
      </c>
    </row>
    <row r="943" spans="1:70" s="1765" customFormat="1" ht="33">
      <c r="A943" s="1272">
        <v>4000</v>
      </c>
      <c r="B943" s="971" t="s">
        <v>1316</v>
      </c>
      <c r="C943" s="1272">
        <v>4500</v>
      </c>
      <c r="D943" s="971" t="s">
        <v>452</v>
      </c>
      <c r="E943" s="971" t="s">
        <v>1692</v>
      </c>
      <c r="F943" s="971" t="s">
        <v>605</v>
      </c>
      <c r="G943" s="971">
        <v>4521</v>
      </c>
      <c r="H943" s="971" t="s">
        <v>621</v>
      </c>
      <c r="I943" s="1273"/>
      <c r="J943" s="971" t="s">
        <v>124</v>
      </c>
      <c r="K943" s="971" t="s">
        <v>125</v>
      </c>
      <c r="L943" s="971" t="s">
        <v>2868</v>
      </c>
      <c r="M943" s="971" t="s">
        <v>126</v>
      </c>
      <c r="N943" s="971" t="s">
        <v>127</v>
      </c>
      <c r="O943" s="971" t="s">
        <v>128</v>
      </c>
      <c r="P943" s="971"/>
      <c r="Q943" s="971" t="s">
        <v>681</v>
      </c>
      <c r="R943" s="1266" t="s">
        <v>682</v>
      </c>
      <c r="S943" s="2106">
        <v>55.741799999999998</v>
      </c>
      <c r="T943" s="1266" t="s">
        <v>136</v>
      </c>
      <c r="U943" s="1742">
        <v>0.11208333333333333</v>
      </c>
      <c r="V943" s="1742">
        <v>1.4010416666666667</v>
      </c>
      <c r="W943" s="1742">
        <v>9.8790250000000004</v>
      </c>
      <c r="X943" s="1742">
        <v>15.452929166666667</v>
      </c>
      <c r="Y943" s="2106">
        <v>26.73299583333333</v>
      </c>
      <c r="Z943" s="2106">
        <v>6.2477267499999991</v>
      </c>
      <c r="AA943" s="2106">
        <v>78.096584375000006</v>
      </c>
      <c r="AB943" s="2106">
        <v>550.67463574500005</v>
      </c>
      <c r="AC943" s="2106">
        <v>861.37408702250002</v>
      </c>
      <c r="AD943" s="1744">
        <v>1490.1453071425001</v>
      </c>
      <c r="AE943" s="2126">
        <v>1</v>
      </c>
      <c r="AF943" s="2126">
        <v>55.741799999999998</v>
      </c>
      <c r="AG943" s="1212">
        <v>1</v>
      </c>
      <c r="AH943" s="1212">
        <v>0</v>
      </c>
      <c r="AI943" s="1212">
        <v>0</v>
      </c>
      <c r="AJ943" s="1212">
        <v>1</v>
      </c>
      <c r="AK943" s="2126">
        <v>1490.1453071425001</v>
      </c>
      <c r="AL943" s="2126">
        <v>0</v>
      </c>
      <c r="AM943" s="2126">
        <v>0</v>
      </c>
      <c r="AN943" s="2126">
        <v>1490.1453071425001</v>
      </c>
      <c r="AO943" s="1743" t="s">
        <v>85</v>
      </c>
      <c r="AP943" s="1743" t="s">
        <v>90</v>
      </c>
      <c r="AQ943" s="1764">
        <v>2022</v>
      </c>
      <c r="AR943" s="1743" t="s">
        <v>87</v>
      </c>
      <c r="AS943" s="2135"/>
      <c r="AT943" s="2135"/>
      <c r="AU943" s="1212">
        <v>0.33333333333333331</v>
      </c>
      <c r="AV943" s="1212">
        <v>0.33333333333333331</v>
      </c>
      <c r="AW943" s="1212">
        <v>0.33333333333333331</v>
      </c>
      <c r="AX943" s="1212"/>
      <c r="AY943" s="1212"/>
      <c r="AZ943" s="1212"/>
      <c r="BA943" s="1212"/>
      <c r="BB943" s="1212"/>
      <c r="BC943" s="1212"/>
      <c r="BD943" s="1212"/>
      <c r="BE943" s="1212"/>
      <c r="BF943" s="2126">
        <v>0</v>
      </c>
      <c r="BG943" s="2126">
        <v>0</v>
      </c>
      <c r="BH943" s="2126">
        <v>496.71510238083334</v>
      </c>
      <c r="BI943" s="2126">
        <v>496.71510238083334</v>
      </c>
      <c r="BJ943" s="2126">
        <v>496.71510238083334</v>
      </c>
      <c r="BK943" s="2126">
        <v>0</v>
      </c>
      <c r="BL943" s="2126">
        <v>0</v>
      </c>
      <c r="BM943" s="2126">
        <v>0</v>
      </c>
      <c r="BN943" s="2126">
        <v>0</v>
      </c>
      <c r="BO943" s="2126">
        <v>0</v>
      </c>
      <c r="BP943" s="2126">
        <v>0</v>
      </c>
      <c r="BQ943" s="2126">
        <v>0</v>
      </c>
      <c r="BR943" s="2126">
        <v>0</v>
      </c>
    </row>
    <row r="944" spans="1:70" s="1765" customFormat="1" ht="33">
      <c r="A944" s="1272">
        <v>4000</v>
      </c>
      <c r="B944" s="971" t="s">
        <v>1316</v>
      </c>
      <c r="C944" s="1272">
        <v>4500</v>
      </c>
      <c r="D944" s="971" t="s">
        <v>452</v>
      </c>
      <c r="E944" s="971" t="s">
        <v>1692</v>
      </c>
      <c r="F944" s="971" t="s">
        <v>605</v>
      </c>
      <c r="G944" s="971">
        <v>4521</v>
      </c>
      <c r="H944" s="971" t="s">
        <v>621</v>
      </c>
      <c r="I944" s="1273"/>
      <c r="J944" s="971" t="s">
        <v>124</v>
      </c>
      <c r="K944" s="971" t="s">
        <v>125</v>
      </c>
      <c r="L944" s="971" t="s">
        <v>2868</v>
      </c>
      <c r="M944" s="971" t="s">
        <v>126</v>
      </c>
      <c r="N944" s="971" t="s">
        <v>127</v>
      </c>
      <c r="O944" s="971" t="s">
        <v>128</v>
      </c>
      <c r="P944" s="971"/>
      <c r="Q944" s="971" t="s">
        <v>681</v>
      </c>
      <c r="R944" s="1266" t="s">
        <v>682</v>
      </c>
      <c r="S944" s="2106">
        <v>-55.741799999999998</v>
      </c>
      <c r="T944" s="1266" t="s">
        <v>136</v>
      </c>
      <c r="U944" s="1742">
        <v>0.11208333333333333</v>
      </c>
      <c r="V944" s="1742">
        <v>1.4010416666666667</v>
      </c>
      <c r="W944" s="1742">
        <v>9.8790250000000004</v>
      </c>
      <c r="X944" s="1742">
        <v>15.452929166666667</v>
      </c>
      <c r="Y944" s="2106">
        <v>26.73299583333333</v>
      </c>
      <c r="Z944" s="2106">
        <v>-6.2477267499999991</v>
      </c>
      <c r="AA944" s="2106">
        <v>-78.096584375000006</v>
      </c>
      <c r="AB944" s="2106">
        <v>-550.67463574500005</v>
      </c>
      <c r="AC944" s="2106">
        <v>-861.37408702250002</v>
      </c>
      <c r="AD944" s="1744">
        <v>-1490.1453071425001</v>
      </c>
      <c r="AE944" s="2126">
        <v>1</v>
      </c>
      <c r="AF944" s="2126">
        <v>-55.741799999999998</v>
      </c>
      <c r="AG944" s="1212">
        <v>1</v>
      </c>
      <c r="AH944" s="1212">
        <v>0</v>
      </c>
      <c r="AI944" s="1212">
        <v>0</v>
      </c>
      <c r="AJ944" s="1212">
        <v>1</v>
      </c>
      <c r="AK944" s="2126">
        <v>-1490.1453071425001</v>
      </c>
      <c r="AL944" s="2126">
        <v>0</v>
      </c>
      <c r="AM944" s="2126">
        <v>0</v>
      </c>
      <c r="AN944" s="2126">
        <v>-1490.1453071425001</v>
      </c>
      <c r="AO944" s="1743" t="s">
        <v>85</v>
      </c>
      <c r="AP944" s="1743" t="s">
        <v>96</v>
      </c>
      <c r="AQ944" s="1764" t="s">
        <v>118</v>
      </c>
      <c r="AR944" s="1743" t="s">
        <v>87</v>
      </c>
      <c r="AS944" s="2135"/>
      <c r="AT944" s="2135"/>
      <c r="AU944" s="1212">
        <v>0.33333333333333331</v>
      </c>
      <c r="AV944" s="1212">
        <v>0.33333333333333331</v>
      </c>
      <c r="AW944" s="1212">
        <v>0.33333333333333331</v>
      </c>
      <c r="AX944" s="1212"/>
      <c r="AY944" s="1212"/>
      <c r="AZ944" s="1212"/>
      <c r="BA944" s="1212"/>
      <c r="BB944" s="1212"/>
      <c r="BC944" s="1212"/>
      <c r="BD944" s="1212"/>
      <c r="BE944" s="1212"/>
      <c r="BF944" s="2126">
        <v>0</v>
      </c>
      <c r="BG944" s="2126">
        <v>0</v>
      </c>
      <c r="BH944" s="2126">
        <v>-496.71510238083334</v>
      </c>
      <c r="BI944" s="2126">
        <v>-496.71510238083334</v>
      </c>
      <c r="BJ944" s="2126">
        <v>-496.71510238083334</v>
      </c>
      <c r="BK944" s="2126">
        <v>0</v>
      </c>
      <c r="BL944" s="2126">
        <v>0</v>
      </c>
      <c r="BM944" s="2126">
        <v>0</v>
      </c>
      <c r="BN944" s="2126">
        <v>0</v>
      </c>
      <c r="BO944" s="2126">
        <v>0</v>
      </c>
      <c r="BP944" s="2126">
        <v>0</v>
      </c>
      <c r="BQ944" s="2126">
        <v>0</v>
      </c>
      <c r="BR944" s="2126">
        <v>0</v>
      </c>
    </row>
    <row r="945" spans="1:70" s="1765" customFormat="1" ht="33">
      <c r="A945" s="1272">
        <v>4000</v>
      </c>
      <c r="B945" s="971" t="s">
        <v>1316</v>
      </c>
      <c r="C945" s="1272">
        <v>4500</v>
      </c>
      <c r="D945" s="971" t="s">
        <v>452</v>
      </c>
      <c r="E945" s="971" t="s">
        <v>1692</v>
      </c>
      <c r="F945" s="971" t="s">
        <v>605</v>
      </c>
      <c r="G945" s="971">
        <v>4521</v>
      </c>
      <c r="H945" s="971" t="s">
        <v>621</v>
      </c>
      <c r="I945" s="1273"/>
      <c r="J945" s="971"/>
      <c r="K945" s="971" t="s">
        <v>1768</v>
      </c>
      <c r="L945" s="971" t="s">
        <v>1769</v>
      </c>
      <c r="M945" s="971" t="s">
        <v>1768</v>
      </c>
      <c r="N945" s="971" t="s">
        <v>179</v>
      </c>
      <c r="O945" s="971" t="s">
        <v>1769</v>
      </c>
      <c r="P945" s="971"/>
      <c r="Q945" s="971" t="s">
        <v>1770</v>
      </c>
      <c r="R945" s="1266" t="s">
        <v>1771</v>
      </c>
      <c r="S945" s="2106">
        <v>1</v>
      </c>
      <c r="T945" s="1266" t="s">
        <v>242</v>
      </c>
      <c r="U945" s="1742">
        <v>8.1</v>
      </c>
      <c r="V945" s="1742">
        <v>88.75</v>
      </c>
      <c r="W945" s="1742">
        <v>713.93399999999997</v>
      </c>
      <c r="X945" s="1742">
        <v>978.87700000000007</v>
      </c>
      <c r="Y945" s="2106">
        <v>1781.5610000000001</v>
      </c>
      <c r="Z945" s="2106">
        <v>8.1</v>
      </c>
      <c r="AA945" s="2106">
        <v>88.75</v>
      </c>
      <c r="AB945" s="2106">
        <v>713.93399999999997</v>
      </c>
      <c r="AC945" s="2106">
        <v>978.87700000000007</v>
      </c>
      <c r="AD945" s="1744">
        <v>1781.5610000000001</v>
      </c>
      <c r="AE945" s="2126">
        <v>0.5</v>
      </c>
      <c r="AF945" s="2126">
        <v>0.5</v>
      </c>
      <c r="AG945" s="1212">
        <v>1</v>
      </c>
      <c r="AH945" s="1212">
        <v>0</v>
      </c>
      <c r="AI945" s="1212">
        <v>0</v>
      </c>
      <c r="AJ945" s="1212">
        <v>1</v>
      </c>
      <c r="AK945" s="2126">
        <v>1781.5610000000001</v>
      </c>
      <c r="AL945" s="2126">
        <v>0</v>
      </c>
      <c r="AM945" s="2126">
        <v>0</v>
      </c>
      <c r="AN945" s="2126">
        <v>1781.5610000000001</v>
      </c>
      <c r="AO945" s="1743" t="s">
        <v>85</v>
      </c>
      <c r="AP945" s="1743" t="s">
        <v>90</v>
      </c>
      <c r="AQ945" s="1764">
        <v>2022</v>
      </c>
      <c r="AR945" s="1743" t="s">
        <v>87</v>
      </c>
      <c r="AS945" s="2135"/>
      <c r="AT945" s="2135"/>
      <c r="AU945" s="1212">
        <v>0.33333333333333331</v>
      </c>
      <c r="AV945" s="1212">
        <v>0.33333333333333331</v>
      </c>
      <c r="AW945" s="1212">
        <v>0.33333333333333331</v>
      </c>
      <c r="AX945" s="1212"/>
      <c r="AY945" s="1212"/>
      <c r="AZ945" s="1212"/>
      <c r="BA945" s="1212"/>
      <c r="BB945" s="1212"/>
      <c r="BC945" s="1212"/>
      <c r="BD945" s="1212"/>
      <c r="BE945" s="1212"/>
      <c r="BF945" s="2126">
        <v>0</v>
      </c>
      <c r="BG945" s="2126">
        <v>0</v>
      </c>
      <c r="BH945" s="2126">
        <v>593.85366666666664</v>
      </c>
      <c r="BI945" s="2126">
        <v>593.85366666666664</v>
      </c>
      <c r="BJ945" s="2126">
        <v>593.85366666666664</v>
      </c>
      <c r="BK945" s="2126">
        <v>0</v>
      </c>
      <c r="BL945" s="2126">
        <v>0</v>
      </c>
      <c r="BM945" s="2126">
        <v>0</v>
      </c>
      <c r="BN945" s="2126">
        <v>0</v>
      </c>
      <c r="BO945" s="2126">
        <v>0</v>
      </c>
      <c r="BP945" s="2126">
        <v>0</v>
      </c>
      <c r="BQ945" s="2126">
        <v>0</v>
      </c>
      <c r="BR945" s="2126">
        <v>0</v>
      </c>
    </row>
    <row r="946" spans="1:70" s="1765" customFormat="1" ht="49.5">
      <c r="A946" s="1272">
        <v>4000</v>
      </c>
      <c r="B946" s="971" t="s">
        <v>1316</v>
      </c>
      <c r="C946" s="1272">
        <v>4500</v>
      </c>
      <c r="D946" s="971" t="s">
        <v>452</v>
      </c>
      <c r="E946" s="971" t="s">
        <v>1692</v>
      </c>
      <c r="F946" s="971" t="s">
        <v>605</v>
      </c>
      <c r="G946" s="971">
        <v>4522</v>
      </c>
      <c r="H946" s="971" t="s">
        <v>684</v>
      </c>
      <c r="I946" s="1273" t="s">
        <v>1772</v>
      </c>
      <c r="J946" s="971" t="s">
        <v>686</v>
      </c>
      <c r="K946" s="971" t="s">
        <v>687</v>
      </c>
      <c r="L946" s="971" t="s">
        <v>2915</v>
      </c>
      <c r="M946" s="971" t="s">
        <v>811</v>
      </c>
      <c r="N946" s="971" t="s">
        <v>179</v>
      </c>
      <c r="O946" s="971" t="s">
        <v>688</v>
      </c>
      <c r="P946" s="971"/>
      <c r="Q946" s="971" t="s">
        <v>1773</v>
      </c>
      <c r="R946" s="1266" t="s">
        <v>1774</v>
      </c>
      <c r="S946" s="2106">
        <v>0</v>
      </c>
      <c r="T946" s="1266" t="s">
        <v>242</v>
      </c>
      <c r="U946" s="1742">
        <v>2</v>
      </c>
      <c r="V946" s="1742">
        <v>25</v>
      </c>
      <c r="W946" s="1742">
        <v>176.28</v>
      </c>
      <c r="X946" s="1742">
        <v>275.74</v>
      </c>
      <c r="Y946" s="2106">
        <v>477.02</v>
      </c>
      <c r="Z946" s="2106">
        <v>0</v>
      </c>
      <c r="AA946" s="2106">
        <v>0</v>
      </c>
      <c r="AB946" s="2106">
        <v>0</v>
      </c>
      <c r="AC946" s="2106">
        <v>0</v>
      </c>
      <c r="AD946" s="1744">
        <v>0</v>
      </c>
      <c r="AE946" s="2126">
        <v>0.5</v>
      </c>
      <c r="AF946" s="2126">
        <v>0</v>
      </c>
      <c r="AG946" s="1212">
        <v>1</v>
      </c>
      <c r="AH946" s="1212">
        <v>0</v>
      </c>
      <c r="AI946" s="1212">
        <v>0</v>
      </c>
      <c r="AJ946" s="1212">
        <v>1</v>
      </c>
      <c r="AK946" s="2126">
        <v>0</v>
      </c>
      <c r="AL946" s="2126">
        <v>0</v>
      </c>
      <c r="AM946" s="2126">
        <v>0</v>
      </c>
      <c r="AN946" s="2126">
        <v>0</v>
      </c>
      <c r="AO946" s="1743" t="s">
        <v>85</v>
      </c>
      <c r="AP946" s="1743" t="s">
        <v>96</v>
      </c>
      <c r="AQ946" s="1764">
        <v>2014</v>
      </c>
      <c r="AR946" s="1743" t="s">
        <v>87</v>
      </c>
      <c r="AS946" s="2135"/>
      <c r="AT946" s="2135"/>
      <c r="AU946" s="1212">
        <v>0.33333333333333331</v>
      </c>
      <c r="AV946" s="1212">
        <v>0.33333333333333331</v>
      </c>
      <c r="AW946" s="1212">
        <v>0.33333333333333331</v>
      </c>
      <c r="AX946" s="1212"/>
      <c r="AY946" s="1212"/>
      <c r="AZ946" s="1212"/>
      <c r="BA946" s="1212"/>
      <c r="BB946" s="1212"/>
      <c r="BC946" s="1212"/>
      <c r="BD946" s="1212"/>
      <c r="BE946" s="1212"/>
      <c r="BF946" s="2126">
        <v>0</v>
      </c>
      <c r="BG946" s="2126">
        <v>0</v>
      </c>
      <c r="BH946" s="2126">
        <v>0</v>
      </c>
      <c r="BI946" s="2126">
        <v>0</v>
      </c>
      <c r="BJ946" s="2126">
        <v>0</v>
      </c>
      <c r="BK946" s="2126">
        <v>0</v>
      </c>
      <c r="BL946" s="2126">
        <v>0</v>
      </c>
      <c r="BM946" s="2126">
        <v>0</v>
      </c>
      <c r="BN946" s="2126">
        <v>0</v>
      </c>
      <c r="BO946" s="2126">
        <v>0</v>
      </c>
      <c r="BP946" s="2126">
        <v>0</v>
      </c>
      <c r="BQ946" s="2126">
        <v>0</v>
      </c>
      <c r="BR946" s="2126">
        <v>0</v>
      </c>
    </row>
    <row r="947" spans="1:70" s="1765" customFormat="1" ht="33">
      <c r="A947" s="1272">
        <v>4000</v>
      </c>
      <c r="B947" s="971" t="s">
        <v>1316</v>
      </c>
      <c r="C947" s="1272">
        <v>4500</v>
      </c>
      <c r="D947" s="971" t="s">
        <v>452</v>
      </c>
      <c r="E947" s="971" t="s">
        <v>1692</v>
      </c>
      <c r="F947" s="971" t="s">
        <v>605</v>
      </c>
      <c r="G947" s="971">
        <v>4522</v>
      </c>
      <c r="H947" s="971" t="s">
        <v>684</v>
      </c>
      <c r="I947" s="1273" t="s">
        <v>1775</v>
      </c>
      <c r="J947" s="971" t="s">
        <v>239</v>
      </c>
      <c r="K947" s="971" t="s">
        <v>687</v>
      </c>
      <c r="L947" s="971" t="s">
        <v>2915</v>
      </c>
      <c r="M947" s="971" t="s">
        <v>811</v>
      </c>
      <c r="N947" s="971" t="s">
        <v>179</v>
      </c>
      <c r="O947" s="971" t="s">
        <v>688</v>
      </c>
      <c r="P947" s="971"/>
      <c r="Q947" s="971" t="s">
        <v>1776</v>
      </c>
      <c r="R947" s="1266" t="s">
        <v>1777</v>
      </c>
      <c r="S947" s="2106">
        <v>0</v>
      </c>
      <c r="T947" s="1266" t="s">
        <v>242</v>
      </c>
      <c r="U947" s="1742">
        <v>2</v>
      </c>
      <c r="V947" s="1742">
        <v>25</v>
      </c>
      <c r="W947" s="1742">
        <v>176.28</v>
      </c>
      <c r="X947" s="1742">
        <v>275.74</v>
      </c>
      <c r="Y947" s="2106">
        <v>477.02</v>
      </c>
      <c r="Z947" s="2106">
        <v>0</v>
      </c>
      <c r="AA947" s="2106">
        <v>0</v>
      </c>
      <c r="AB947" s="2106">
        <v>0</v>
      </c>
      <c r="AC947" s="2106">
        <v>0</v>
      </c>
      <c r="AD947" s="1744">
        <v>0</v>
      </c>
      <c r="AE947" s="2126">
        <v>0.5</v>
      </c>
      <c r="AF947" s="2126">
        <v>0</v>
      </c>
      <c r="AG947" s="1212">
        <v>1</v>
      </c>
      <c r="AH947" s="1212">
        <v>0</v>
      </c>
      <c r="AI947" s="1212">
        <v>0</v>
      </c>
      <c r="AJ947" s="1212">
        <v>1</v>
      </c>
      <c r="AK947" s="2126">
        <v>0</v>
      </c>
      <c r="AL947" s="2126">
        <v>0</v>
      </c>
      <c r="AM947" s="2126">
        <v>0</v>
      </c>
      <c r="AN947" s="2126">
        <v>0</v>
      </c>
      <c r="AO947" s="1743" t="s">
        <v>85</v>
      </c>
      <c r="AP947" s="1743" t="s">
        <v>96</v>
      </c>
      <c r="AQ947" s="1764">
        <v>2014</v>
      </c>
      <c r="AR947" s="1743" t="s">
        <v>87</v>
      </c>
      <c r="AS947" s="2135"/>
      <c r="AT947" s="2135"/>
      <c r="AU947" s="1212">
        <v>0.33333333333333331</v>
      </c>
      <c r="AV947" s="1212">
        <v>0.33333333333333331</v>
      </c>
      <c r="AW947" s="1212">
        <v>0.33333333333333331</v>
      </c>
      <c r="AX947" s="1212"/>
      <c r="AY947" s="1212"/>
      <c r="AZ947" s="1212"/>
      <c r="BA947" s="1212"/>
      <c r="BB947" s="1212"/>
      <c r="BC947" s="1212"/>
      <c r="BD947" s="1212"/>
      <c r="BE947" s="1212"/>
      <c r="BF947" s="2126">
        <v>0</v>
      </c>
      <c r="BG947" s="2126">
        <v>0</v>
      </c>
      <c r="BH947" s="2126">
        <v>0</v>
      </c>
      <c r="BI947" s="2126">
        <v>0</v>
      </c>
      <c r="BJ947" s="2126">
        <v>0</v>
      </c>
      <c r="BK947" s="2126">
        <v>0</v>
      </c>
      <c r="BL947" s="2126">
        <v>0</v>
      </c>
      <c r="BM947" s="2126">
        <v>0</v>
      </c>
      <c r="BN947" s="2126">
        <v>0</v>
      </c>
      <c r="BO947" s="2126">
        <v>0</v>
      </c>
      <c r="BP947" s="2126">
        <v>0</v>
      </c>
      <c r="BQ947" s="2126">
        <v>0</v>
      </c>
      <c r="BR947" s="2126">
        <v>0</v>
      </c>
    </row>
    <row r="948" spans="1:70" s="1765" customFormat="1" ht="33">
      <c r="A948" s="1272">
        <v>4000</v>
      </c>
      <c r="B948" s="971" t="s">
        <v>1316</v>
      </c>
      <c r="C948" s="1272">
        <v>4500</v>
      </c>
      <c r="D948" s="971" t="s">
        <v>452</v>
      </c>
      <c r="E948" s="971" t="s">
        <v>1692</v>
      </c>
      <c r="F948" s="971" t="s">
        <v>605</v>
      </c>
      <c r="G948" s="971">
        <v>4522</v>
      </c>
      <c r="H948" s="971" t="s">
        <v>684</v>
      </c>
      <c r="I948" s="1273" t="s">
        <v>1778</v>
      </c>
      <c r="J948" s="971" t="s">
        <v>686</v>
      </c>
      <c r="K948" s="971" t="s">
        <v>687</v>
      </c>
      <c r="L948" s="971" t="s">
        <v>2915</v>
      </c>
      <c r="M948" s="971" t="s">
        <v>811</v>
      </c>
      <c r="N948" s="971" t="s">
        <v>179</v>
      </c>
      <c r="O948" s="971" t="s">
        <v>688</v>
      </c>
      <c r="P948" s="971"/>
      <c r="Q948" s="971" t="s">
        <v>1779</v>
      </c>
      <c r="R948" s="1266" t="s">
        <v>1780</v>
      </c>
      <c r="S948" s="2106">
        <v>0</v>
      </c>
      <c r="T948" s="1266" t="s">
        <v>242</v>
      </c>
      <c r="U948" s="1742">
        <v>2</v>
      </c>
      <c r="V948" s="1742">
        <v>25</v>
      </c>
      <c r="W948" s="1742">
        <v>176.28</v>
      </c>
      <c r="X948" s="1742">
        <v>275.74</v>
      </c>
      <c r="Y948" s="2106">
        <v>477.02</v>
      </c>
      <c r="Z948" s="2106">
        <v>0</v>
      </c>
      <c r="AA948" s="2106">
        <v>0</v>
      </c>
      <c r="AB948" s="2106">
        <v>0</v>
      </c>
      <c r="AC948" s="2106">
        <v>0</v>
      </c>
      <c r="AD948" s="1744">
        <v>0</v>
      </c>
      <c r="AE948" s="2126">
        <v>0.5</v>
      </c>
      <c r="AF948" s="2126">
        <v>0</v>
      </c>
      <c r="AG948" s="1212">
        <v>1</v>
      </c>
      <c r="AH948" s="1212">
        <v>0</v>
      </c>
      <c r="AI948" s="1212">
        <v>0</v>
      </c>
      <c r="AJ948" s="1212">
        <v>1</v>
      </c>
      <c r="AK948" s="2126">
        <v>0</v>
      </c>
      <c r="AL948" s="2126">
        <v>0</v>
      </c>
      <c r="AM948" s="2126">
        <v>0</v>
      </c>
      <c r="AN948" s="2126">
        <v>0</v>
      </c>
      <c r="AO948" s="1743" t="s">
        <v>85</v>
      </c>
      <c r="AP948" s="1743" t="s">
        <v>96</v>
      </c>
      <c r="AQ948" s="1764">
        <v>2014</v>
      </c>
      <c r="AR948" s="1743" t="s">
        <v>87</v>
      </c>
      <c r="AS948" s="2135"/>
      <c r="AT948" s="2135"/>
      <c r="AU948" s="1212">
        <v>0.33333333333333331</v>
      </c>
      <c r="AV948" s="1212">
        <v>0.33333333333333331</v>
      </c>
      <c r="AW948" s="1212">
        <v>0.33333333333333331</v>
      </c>
      <c r="AX948" s="1212"/>
      <c r="AY948" s="1212"/>
      <c r="AZ948" s="1212"/>
      <c r="BA948" s="1212"/>
      <c r="BB948" s="1212"/>
      <c r="BC948" s="1212"/>
      <c r="BD948" s="1212"/>
      <c r="BE948" s="1212"/>
      <c r="BF948" s="2126">
        <v>0</v>
      </c>
      <c r="BG948" s="2126">
        <v>0</v>
      </c>
      <c r="BH948" s="2126">
        <v>0</v>
      </c>
      <c r="BI948" s="2126">
        <v>0</v>
      </c>
      <c r="BJ948" s="2126">
        <v>0</v>
      </c>
      <c r="BK948" s="2126">
        <v>0</v>
      </c>
      <c r="BL948" s="2126">
        <v>0</v>
      </c>
      <c r="BM948" s="2126">
        <v>0</v>
      </c>
      <c r="BN948" s="2126">
        <v>0</v>
      </c>
      <c r="BO948" s="2126">
        <v>0</v>
      </c>
      <c r="BP948" s="2126">
        <v>0</v>
      </c>
      <c r="BQ948" s="2126">
        <v>0</v>
      </c>
      <c r="BR948" s="2126">
        <v>0</v>
      </c>
    </row>
    <row r="949" spans="1:70" s="1765" customFormat="1" ht="33">
      <c r="A949" s="1272">
        <v>4000</v>
      </c>
      <c r="B949" s="971" t="s">
        <v>1316</v>
      </c>
      <c r="C949" s="1272">
        <v>4500</v>
      </c>
      <c r="D949" s="971" t="s">
        <v>452</v>
      </c>
      <c r="E949" s="971" t="s">
        <v>1692</v>
      </c>
      <c r="F949" s="971" t="s">
        <v>605</v>
      </c>
      <c r="G949" s="971">
        <v>4522</v>
      </c>
      <c r="H949" s="971" t="s">
        <v>684</v>
      </c>
      <c r="I949" s="1273" t="s">
        <v>1781</v>
      </c>
      <c r="J949" s="971" t="s">
        <v>686</v>
      </c>
      <c r="K949" s="971" t="s">
        <v>687</v>
      </c>
      <c r="L949" s="971" t="s">
        <v>2915</v>
      </c>
      <c r="M949" s="971" t="s">
        <v>811</v>
      </c>
      <c r="N949" s="971" t="s">
        <v>179</v>
      </c>
      <c r="O949" s="971" t="s">
        <v>688</v>
      </c>
      <c r="P949" s="971"/>
      <c r="Q949" s="971" t="s">
        <v>1782</v>
      </c>
      <c r="R949" s="1266" t="s">
        <v>1783</v>
      </c>
      <c r="S949" s="2106">
        <v>0</v>
      </c>
      <c r="T949" s="1266" t="s">
        <v>242</v>
      </c>
      <c r="U949" s="1742">
        <v>2</v>
      </c>
      <c r="V949" s="1742">
        <v>25</v>
      </c>
      <c r="W949" s="1742">
        <v>176.28</v>
      </c>
      <c r="X949" s="1742">
        <v>275.74</v>
      </c>
      <c r="Y949" s="2106">
        <v>477.02</v>
      </c>
      <c r="Z949" s="2106">
        <v>0</v>
      </c>
      <c r="AA949" s="2106">
        <v>0</v>
      </c>
      <c r="AB949" s="2106">
        <v>0</v>
      </c>
      <c r="AC949" s="2106">
        <v>0</v>
      </c>
      <c r="AD949" s="1744">
        <v>0</v>
      </c>
      <c r="AE949" s="2126">
        <v>0.5</v>
      </c>
      <c r="AF949" s="2126">
        <v>0</v>
      </c>
      <c r="AG949" s="1212">
        <v>1</v>
      </c>
      <c r="AH949" s="1212">
        <v>0</v>
      </c>
      <c r="AI949" s="1212">
        <v>0</v>
      </c>
      <c r="AJ949" s="1212">
        <v>1</v>
      </c>
      <c r="AK949" s="2126">
        <v>0</v>
      </c>
      <c r="AL949" s="2126">
        <v>0</v>
      </c>
      <c r="AM949" s="2126">
        <v>0</v>
      </c>
      <c r="AN949" s="2126">
        <v>0</v>
      </c>
      <c r="AO949" s="1743" t="s">
        <v>85</v>
      </c>
      <c r="AP949" s="1743" t="s">
        <v>96</v>
      </c>
      <c r="AQ949" s="1764">
        <v>2014</v>
      </c>
      <c r="AR949" s="1743" t="s">
        <v>87</v>
      </c>
      <c r="AS949" s="2135"/>
      <c r="AT949" s="2135"/>
      <c r="AU949" s="1212">
        <v>0.33333333333333331</v>
      </c>
      <c r="AV949" s="1212">
        <v>0.33333333333333331</v>
      </c>
      <c r="AW949" s="1212">
        <v>0.33333333333333331</v>
      </c>
      <c r="AX949" s="1212"/>
      <c r="AY949" s="1212"/>
      <c r="AZ949" s="1212"/>
      <c r="BA949" s="1212"/>
      <c r="BB949" s="1212"/>
      <c r="BC949" s="1212"/>
      <c r="BD949" s="1212"/>
      <c r="BE949" s="1212"/>
      <c r="BF949" s="2126">
        <v>0</v>
      </c>
      <c r="BG949" s="2126">
        <v>0</v>
      </c>
      <c r="BH949" s="2126">
        <v>0</v>
      </c>
      <c r="BI949" s="2126">
        <v>0</v>
      </c>
      <c r="BJ949" s="2126">
        <v>0</v>
      </c>
      <c r="BK949" s="2126">
        <v>0</v>
      </c>
      <c r="BL949" s="2126">
        <v>0</v>
      </c>
      <c r="BM949" s="2126">
        <v>0</v>
      </c>
      <c r="BN949" s="2126">
        <v>0</v>
      </c>
      <c r="BO949" s="2126">
        <v>0</v>
      </c>
      <c r="BP949" s="2126">
        <v>0</v>
      </c>
      <c r="BQ949" s="2126">
        <v>0</v>
      </c>
      <c r="BR949" s="2126">
        <v>0</v>
      </c>
    </row>
    <row r="950" spans="1:70" s="1765" customFormat="1" ht="33">
      <c r="A950" s="1272">
        <v>4000</v>
      </c>
      <c r="B950" s="971" t="s">
        <v>1316</v>
      </c>
      <c r="C950" s="1272">
        <v>4500</v>
      </c>
      <c r="D950" s="971" t="s">
        <v>452</v>
      </c>
      <c r="E950" s="971" t="s">
        <v>1692</v>
      </c>
      <c r="F950" s="971" t="s">
        <v>605</v>
      </c>
      <c r="G950" s="971">
        <v>4522</v>
      </c>
      <c r="H950" s="971" t="s">
        <v>684</v>
      </c>
      <c r="I950" s="1273" t="s">
        <v>1784</v>
      </c>
      <c r="J950" s="971" t="s">
        <v>686</v>
      </c>
      <c r="K950" s="971" t="s">
        <v>687</v>
      </c>
      <c r="L950" s="971" t="s">
        <v>2915</v>
      </c>
      <c r="M950" s="971" t="s">
        <v>811</v>
      </c>
      <c r="N950" s="971" t="s">
        <v>179</v>
      </c>
      <c r="O950" s="971" t="s">
        <v>688</v>
      </c>
      <c r="P950" s="971"/>
      <c r="Q950" s="971" t="s">
        <v>1782</v>
      </c>
      <c r="R950" s="1266" t="s">
        <v>1785</v>
      </c>
      <c r="S950" s="2106">
        <v>0</v>
      </c>
      <c r="T950" s="1266" t="s">
        <v>242</v>
      </c>
      <c r="U950" s="1742">
        <v>2</v>
      </c>
      <c r="V950" s="1742">
        <v>25</v>
      </c>
      <c r="W950" s="1742">
        <v>176.28</v>
      </c>
      <c r="X950" s="1742">
        <v>275.74</v>
      </c>
      <c r="Y950" s="2106">
        <v>477.02</v>
      </c>
      <c r="Z950" s="2106">
        <v>0</v>
      </c>
      <c r="AA950" s="2106">
        <v>0</v>
      </c>
      <c r="AB950" s="2106">
        <v>0</v>
      </c>
      <c r="AC950" s="2106">
        <v>0</v>
      </c>
      <c r="AD950" s="1744">
        <v>0</v>
      </c>
      <c r="AE950" s="2126">
        <v>0.5</v>
      </c>
      <c r="AF950" s="2126">
        <v>0</v>
      </c>
      <c r="AG950" s="1212">
        <v>1</v>
      </c>
      <c r="AH950" s="1212">
        <v>0</v>
      </c>
      <c r="AI950" s="1212">
        <v>0</v>
      </c>
      <c r="AJ950" s="1212">
        <v>1</v>
      </c>
      <c r="AK950" s="2126">
        <v>0</v>
      </c>
      <c r="AL950" s="2126">
        <v>0</v>
      </c>
      <c r="AM950" s="2126">
        <v>0</v>
      </c>
      <c r="AN950" s="2126">
        <v>0</v>
      </c>
      <c r="AO950" s="1743" t="s">
        <v>85</v>
      </c>
      <c r="AP950" s="1743" t="s">
        <v>96</v>
      </c>
      <c r="AQ950" s="1764">
        <v>2014</v>
      </c>
      <c r="AR950" s="1743" t="s">
        <v>87</v>
      </c>
      <c r="AS950" s="2135"/>
      <c r="AT950" s="2135"/>
      <c r="AU950" s="1212">
        <v>0.33333333333333331</v>
      </c>
      <c r="AV950" s="1212">
        <v>0.33333333333333331</v>
      </c>
      <c r="AW950" s="1212">
        <v>0.33333333333333331</v>
      </c>
      <c r="AX950" s="1212"/>
      <c r="AY950" s="1212"/>
      <c r="AZ950" s="1212"/>
      <c r="BA950" s="1212"/>
      <c r="BB950" s="1212"/>
      <c r="BC950" s="1212"/>
      <c r="BD950" s="1212"/>
      <c r="BE950" s="1212"/>
      <c r="BF950" s="2126">
        <v>0</v>
      </c>
      <c r="BG950" s="2126">
        <v>0</v>
      </c>
      <c r="BH950" s="2126">
        <v>0</v>
      </c>
      <c r="BI950" s="2126">
        <v>0</v>
      </c>
      <c r="BJ950" s="2126">
        <v>0</v>
      </c>
      <c r="BK950" s="2126">
        <v>0</v>
      </c>
      <c r="BL950" s="2126">
        <v>0</v>
      </c>
      <c r="BM950" s="2126">
        <v>0</v>
      </c>
      <c r="BN950" s="2126">
        <v>0</v>
      </c>
      <c r="BO950" s="2126">
        <v>0</v>
      </c>
      <c r="BP950" s="2126">
        <v>0</v>
      </c>
      <c r="BQ950" s="2126">
        <v>0</v>
      </c>
      <c r="BR950" s="2126">
        <v>0</v>
      </c>
    </row>
    <row r="951" spans="1:70" s="1765" customFormat="1" ht="49.5">
      <c r="A951" s="1272">
        <v>4000</v>
      </c>
      <c r="B951" s="971" t="s">
        <v>1316</v>
      </c>
      <c r="C951" s="1272">
        <v>4500</v>
      </c>
      <c r="D951" s="971" t="s">
        <v>452</v>
      </c>
      <c r="E951" s="971" t="s">
        <v>1692</v>
      </c>
      <c r="F951" s="971" t="s">
        <v>605</v>
      </c>
      <c r="G951" s="971">
        <v>4522</v>
      </c>
      <c r="H951" s="971" t="s">
        <v>684</v>
      </c>
      <c r="I951" s="1273"/>
      <c r="J951" s="971" t="s">
        <v>124</v>
      </c>
      <c r="K951" s="971" t="s">
        <v>2857</v>
      </c>
      <c r="L951" s="971" t="s">
        <v>2858</v>
      </c>
      <c r="M951" s="971" t="s">
        <v>734</v>
      </c>
      <c r="N951" s="971" t="s">
        <v>488</v>
      </c>
      <c r="O951" s="971" t="s">
        <v>128</v>
      </c>
      <c r="P951" s="971"/>
      <c r="Q951" s="971" t="s">
        <v>1786</v>
      </c>
      <c r="R951" s="1266"/>
      <c r="S951" s="2106">
        <v>500</v>
      </c>
      <c r="T951" s="1266" t="s">
        <v>136</v>
      </c>
      <c r="U951" s="1742">
        <v>0.56041666666666667</v>
      </c>
      <c r="V951" s="1742">
        <v>2.8020833333333335</v>
      </c>
      <c r="W951" s="1742">
        <v>49.395125</v>
      </c>
      <c r="X951" s="1742">
        <v>77.264645833333333</v>
      </c>
      <c r="Y951" s="2106">
        <v>129.46185416666665</v>
      </c>
      <c r="Z951" s="2106">
        <v>280.20833333333331</v>
      </c>
      <c r="AA951" s="2106">
        <v>1401.0416666666667</v>
      </c>
      <c r="AB951" s="2106">
        <v>24697.5625</v>
      </c>
      <c r="AC951" s="2106">
        <v>38632.322916666664</v>
      </c>
      <c r="AD951" s="1744">
        <v>64730.927083333328</v>
      </c>
      <c r="AE951" s="2126">
        <v>1</v>
      </c>
      <c r="AF951" s="2126">
        <v>500</v>
      </c>
      <c r="AG951" s="1212">
        <v>1</v>
      </c>
      <c r="AH951" s="1212">
        <v>0</v>
      </c>
      <c r="AI951" s="1212">
        <v>0</v>
      </c>
      <c r="AJ951" s="1212">
        <v>1</v>
      </c>
      <c r="AK951" s="2126">
        <v>64730.927083333328</v>
      </c>
      <c r="AL951" s="2126">
        <v>0</v>
      </c>
      <c r="AM951" s="2126">
        <v>0</v>
      </c>
      <c r="AN951" s="2126">
        <v>64730.927083333328</v>
      </c>
      <c r="AO951" s="1743" t="s">
        <v>85</v>
      </c>
      <c r="AP951" s="1743" t="s">
        <v>90</v>
      </c>
      <c r="AQ951" s="1764">
        <v>2017</v>
      </c>
      <c r="AR951" s="1743" t="s">
        <v>87</v>
      </c>
      <c r="AS951" s="2135"/>
      <c r="AT951" s="2135"/>
      <c r="AU951" s="1212">
        <v>0.5</v>
      </c>
      <c r="AV951" s="1212">
        <v>0.5</v>
      </c>
      <c r="AW951" s="1212"/>
      <c r="AX951" s="1212"/>
      <c r="AY951" s="1212"/>
      <c r="AZ951" s="1212"/>
      <c r="BA951" s="1212"/>
      <c r="BB951" s="1212"/>
      <c r="BC951" s="1212"/>
      <c r="BD951" s="1212"/>
      <c r="BE951" s="1212"/>
      <c r="BF951" s="2126">
        <v>0</v>
      </c>
      <c r="BG951" s="2126">
        <v>0</v>
      </c>
      <c r="BH951" s="2126">
        <v>32365.463541666664</v>
      </c>
      <c r="BI951" s="2126">
        <v>32365.463541666664</v>
      </c>
      <c r="BJ951" s="2126">
        <v>0</v>
      </c>
      <c r="BK951" s="2126">
        <v>0</v>
      </c>
      <c r="BL951" s="2126">
        <v>0</v>
      </c>
      <c r="BM951" s="2126">
        <v>0</v>
      </c>
      <c r="BN951" s="2126">
        <v>0</v>
      </c>
      <c r="BO951" s="2126">
        <v>0</v>
      </c>
      <c r="BP951" s="2126">
        <v>0</v>
      </c>
      <c r="BQ951" s="2126">
        <v>0</v>
      </c>
      <c r="BR951" s="2126">
        <v>0</v>
      </c>
    </row>
    <row r="952" spans="1:70" s="1765" customFormat="1" ht="49.5">
      <c r="A952" s="1272">
        <v>4000</v>
      </c>
      <c r="B952" s="971" t="s">
        <v>1316</v>
      </c>
      <c r="C952" s="1272">
        <v>4500</v>
      </c>
      <c r="D952" s="971" t="s">
        <v>452</v>
      </c>
      <c r="E952" s="971" t="s">
        <v>1692</v>
      </c>
      <c r="F952" s="971" t="s">
        <v>605</v>
      </c>
      <c r="G952" s="971">
        <v>4522</v>
      </c>
      <c r="H952" s="971" t="s">
        <v>684</v>
      </c>
      <c r="I952" s="1273"/>
      <c r="J952" s="971" t="s">
        <v>124</v>
      </c>
      <c r="K952" s="971" t="s">
        <v>2857</v>
      </c>
      <c r="L952" s="971" t="s">
        <v>2858</v>
      </c>
      <c r="M952" s="971" t="s">
        <v>734</v>
      </c>
      <c r="N952" s="971" t="s">
        <v>488</v>
      </c>
      <c r="O952" s="971" t="s">
        <v>128</v>
      </c>
      <c r="P952" s="971"/>
      <c r="Q952" s="971" t="s">
        <v>1787</v>
      </c>
      <c r="R952" s="1266"/>
      <c r="S952" s="2106">
        <v>1127</v>
      </c>
      <c r="T952" s="1266" t="s">
        <v>136</v>
      </c>
      <c r="U952" s="1742">
        <v>0.56041666666666667</v>
      </c>
      <c r="V952" s="1742">
        <v>2.8020833333333335</v>
      </c>
      <c r="W952" s="1742">
        <v>49.395125</v>
      </c>
      <c r="X952" s="1742">
        <v>77.264645833333333</v>
      </c>
      <c r="Y952" s="2106">
        <v>129.46185416666665</v>
      </c>
      <c r="Z952" s="2106">
        <v>631.58958333333339</v>
      </c>
      <c r="AA952" s="2106">
        <v>3157.947916666667</v>
      </c>
      <c r="AB952" s="2106">
        <v>55668.305874999998</v>
      </c>
      <c r="AC952" s="2106">
        <v>87077.255854166666</v>
      </c>
      <c r="AD952" s="1744">
        <v>145903.50964583334</v>
      </c>
      <c r="AE952" s="2126">
        <v>1</v>
      </c>
      <c r="AF952" s="2126">
        <v>1127</v>
      </c>
      <c r="AG952" s="1212">
        <v>1</v>
      </c>
      <c r="AH952" s="1212">
        <v>0</v>
      </c>
      <c r="AI952" s="1212">
        <v>0</v>
      </c>
      <c r="AJ952" s="1212">
        <v>1</v>
      </c>
      <c r="AK952" s="2126">
        <v>145903.50964583334</v>
      </c>
      <c r="AL952" s="2126">
        <v>0</v>
      </c>
      <c r="AM952" s="2126">
        <v>0</v>
      </c>
      <c r="AN952" s="2126">
        <v>145903.50964583334</v>
      </c>
      <c r="AO952" s="1743" t="s">
        <v>85</v>
      </c>
      <c r="AP952" s="1743" t="s">
        <v>90</v>
      </c>
      <c r="AQ952" s="1764">
        <v>2021</v>
      </c>
      <c r="AR952" s="1743" t="s">
        <v>87</v>
      </c>
      <c r="AS952" s="2135"/>
      <c r="AT952" s="2135"/>
      <c r="AU952" s="1212">
        <v>0.5</v>
      </c>
      <c r="AV952" s="1212">
        <v>0.5</v>
      </c>
      <c r="AW952" s="1212"/>
      <c r="AX952" s="1212"/>
      <c r="AY952" s="1212"/>
      <c r="AZ952" s="1212"/>
      <c r="BA952" s="1212"/>
      <c r="BB952" s="1212"/>
      <c r="BC952" s="1212"/>
      <c r="BD952" s="1212"/>
      <c r="BE952" s="1212"/>
      <c r="BF952" s="2126">
        <v>0</v>
      </c>
      <c r="BG952" s="2126">
        <v>0</v>
      </c>
      <c r="BH952" s="2126">
        <v>72951.754822916671</v>
      </c>
      <c r="BI952" s="2126">
        <v>72951.754822916671</v>
      </c>
      <c r="BJ952" s="2126">
        <v>0</v>
      </c>
      <c r="BK952" s="2126">
        <v>0</v>
      </c>
      <c r="BL952" s="2126">
        <v>0</v>
      </c>
      <c r="BM952" s="2126">
        <v>0</v>
      </c>
      <c r="BN952" s="2126">
        <v>0</v>
      </c>
      <c r="BO952" s="2126">
        <v>0</v>
      </c>
      <c r="BP952" s="2126">
        <v>0</v>
      </c>
      <c r="BQ952" s="2126">
        <v>0</v>
      </c>
      <c r="BR952" s="2126">
        <v>0</v>
      </c>
    </row>
    <row r="953" spans="1:70" s="1765" customFormat="1" ht="49.5">
      <c r="A953" s="1272">
        <v>2000</v>
      </c>
      <c r="B953" s="971" t="s">
        <v>119</v>
      </c>
      <c r="C953" s="1272">
        <v>2100</v>
      </c>
      <c r="D953" s="971" t="s">
        <v>452</v>
      </c>
      <c r="E953" s="971" t="s">
        <v>1692</v>
      </c>
      <c r="F953" s="971" t="s">
        <v>605</v>
      </c>
      <c r="G953" s="971">
        <v>4522</v>
      </c>
      <c r="H953" s="971" t="s">
        <v>684</v>
      </c>
      <c r="I953" s="1273"/>
      <c r="J953" s="971" t="s">
        <v>124</v>
      </c>
      <c r="K953" s="971" t="s">
        <v>2857</v>
      </c>
      <c r="L953" s="971" t="s">
        <v>2858</v>
      </c>
      <c r="M953" s="971" t="s">
        <v>734</v>
      </c>
      <c r="N953" s="971" t="s">
        <v>488</v>
      </c>
      <c r="O953" s="971" t="s">
        <v>128</v>
      </c>
      <c r="P953" s="971"/>
      <c r="Q953" s="971" t="s">
        <v>1788</v>
      </c>
      <c r="R953" s="1266" t="s">
        <v>1789</v>
      </c>
      <c r="S953" s="2106">
        <v>1127</v>
      </c>
      <c r="T953" s="1266" t="s">
        <v>136</v>
      </c>
      <c r="U953" s="1742">
        <v>0.56041666666666667</v>
      </c>
      <c r="V953" s="1742">
        <v>2.8020833333333335</v>
      </c>
      <c r="W953" s="1742">
        <v>49.395125</v>
      </c>
      <c r="X953" s="1742">
        <v>77.264645833333333</v>
      </c>
      <c r="Y953" s="2106">
        <v>129.46185416666665</v>
      </c>
      <c r="Z953" s="2106">
        <v>631.58958333333339</v>
      </c>
      <c r="AA953" s="2106">
        <v>3157.947916666667</v>
      </c>
      <c r="AB953" s="2106">
        <v>55668.305874999998</v>
      </c>
      <c r="AC953" s="2106">
        <v>87077.255854166666</v>
      </c>
      <c r="AD953" s="1744">
        <v>145903.50964583334</v>
      </c>
      <c r="AE953" s="2126">
        <v>1</v>
      </c>
      <c r="AF953" s="2126">
        <v>1127</v>
      </c>
      <c r="AG953" s="1212">
        <v>1</v>
      </c>
      <c r="AH953" s="1212">
        <v>0</v>
      </c>
      <c r="AI953" s="1212">
        <v>0</v>
      </c>
      <c r="AJ953" s="1212">
        <v>1</v>
      </c>
      <c r="AK953" s="2126">
        <v>145903.50964583334</v>
      </c>
      <c r="AL953" s="2126">
        <v>0</v>
      </c>
      <c r="AM953" s="2126">
        <v>0</v>
      </c>
      <c r="AN953" s="2126">
        <v>145903.50964583334</v>
      </c>
      <c r="AO953" s="1743" t="s">
        <v>85</v>
      </c>
      <c r="AP953" s="1743" t="s">
        <v>90</v>
      </c>
      <c r="AQ953" s="1764">
        <v>2021</v>
      </c>
      <c r="AR953" s="1743" t="s">
        <v>87</v>
      </c>
      <c r="AS953" s="2135"/>
      <c r="AT953" s="2135"/>
      <c r="AU953" s="1212">
        <v>0.5</v>
      </c>
      <c r="AV953" s="1212">
        <v>0.5</v>
      </c>
      <c r="AW953" s="1212"/>
      <c r="AX953" s="1212"/>
      <c r="AY953" s="1212"/>
      <c r="AZ953" s="1212"/>
      <c r="BA953" s="1212"/>
      <c r="BB953" s="1212"/>
      <c r="BC953" s="1212"/>
      <c r="BD953" s="1212"/>
      <c r="BE953" s="1212"/>
      <c r="BF953" s="2126">
        <v>0</v>
      </c>
      <c r="BG953" s="2126">
        <v>0</v>
      </c>
      <c r="BH953" s="2126">
        <v>72951.754822916671</v>
      </c>
      <c r="BI953" s="2126">
        <v>72951.754822916671</v>
      </c>
      <c r="BJ953" s="2126">
        <v>0</v>
      </c>
      <c r="BK953" s="2126">
        <v>0</v>
      </c>
      <c r="BL953" s="2126">
        <v>0</v>
      </c>
      <c r="BM953" s="2126">
        <v>0</v>
      </c>
      <c r="BN953" s="2126">
        <v>0</v>
      </c>
      <c r="BO953" s="2126">
        <v>0</v>
      </c>
      <c r="BP953" s="2126">
        <v>0</v>
      </c>
      <c r="BQ953" s="2126">
        <v>0</v>
      </c>
      <c r="BR953" s="2126">
        <v>0</v>
      </c>
    </row>
    <row r="954" spans="1:70" s="1765" customFormat="1" ht="49.5">
      <c r="A954" s="1272">
        <v>2000</v>
      </c>
      <c r="B954" s="971" t="s">
        <v>119</v>
      </c>
      <c r="C954" s="1272">
        <v>2100</v>
      </c>
      <c r="D954" s="971" t="s">
        <v>452</v>
      </c>
      <c r="E954" s="971" t="s">
        <v>1692</v>
      </c>
      <c r="F954" s="971" t="s">
        <v>605</v>
      </c>
      <c r="G954" s="971">
        <v>4522</v>
      </c>
      <c r="H954" s="971" t="s">
        <v>684</v>
      </c>
      <c r="I954" s="1273"/>
      <c r="J954" s="971" t="s">
        <v>124</v>
      </c>
      <c r="K954" s="971" t="s">
        <v>2857</v>
      </c>
      <c r="L954" s="971" t="s">
        <v>2858</v>
      </c>
      <c r="M954" s="971" t="s">
        <v>734</v>
      </c>
      <c r="N954" s="971" t="s">
        <v>488</v>
      </c>
      <c r="O954" s="971" t="s">
        <v>128</v>
      </c>
      <c r="P954" s="971"/>
      <c r="Q954" s="971" t="s">
        <v>1788</v>
      </c>
      <c r="R954" s="1266" t="s">
        <v>1789</v>
      </c>
      <c r="S954" s="2106">
        <v>-1127</v>
      </c>
      <c r="T954" s="1266" t="s">
        <v>136</v>
      </c>
      <c r="U954" s="1742">
        <v>0.56041666666666667</v>
      </c>
      <c r="V954" s="1742">
        <v>2.8020833333333335</v>
      </c>
      <c r="W954" s="1742">
        <v>49.395125</v>
      </c>
      <c r="X954" s="1742">
        <v>77.264645833333333</v>
      </c>
      <c r="Y954" s="2106">
        <v>129.46185416666665</v>
      </c>
      <c r="Z954" s="2106">
        <v>-631.58958333333339</v>
      </c>
      <c r="AA954" s="2106">
        <v>-3157.947916666667</v>
      </c>
      <c r="AB954" s="2106">
        <v>-55668.305874999998</v>
      </c>
      <c r="AC954" s="2106">
        <v>-87077.255854166666</v>
      </c>
      <c r="AD954" s="1744">
        <v>-145903.50964583334</v>
      </c>
      <c r="AE954" s="2126">
        <v>1</v>
      </c>
      <c r="AF954" s="2126">
        <v>-1127</v>
      </c>
      <c r="AG954" s="1212">
        <v>1</v>
      </c>
      <c r="AH954" s="1212">
        <v>0</v>
      </c>
      <c r="AI954" s="1212">
        <v>0</v>
      </c>
      <c r="AJ954" s="1212">
        <v>1</v>
      </c>
      <c r="AK954" s="2126">
        <v>-145903.50964583334</v>
      </c>
      <c r="AL954" s="2126">
        <v>0</v>
      </c>
      <c r="AM954" s="2126">
        <v>0</v>
      </c>
      <c r="AN954" s="2126">
        <v>-145903.50964583334</v>
      </c>
      <c r="AO954" s="1743" t="s">
        <v>85</v>
      </c>
      <c r="AP954" s="1743" t="s">
        <v>96</v>
      </c>
      <c r="AQ954" s="1764" t="s">
        <v>118</v>
      </c>
      <c r="AR954" s="1743" t="s">
        <v>87</v>
      </c>
      <c r="AS954" s="2135"/>
      <c r="AT954" s="2135"/>
      <c r="AU954" s="1212">
        <v>0.5</v>
      </c>
      <c r="AV954" s="1212">
        <v>0.5</v>
      </c>
      <c r="AW954" s="1212"/>
      <c r="AX954" s="1212"/>
      <c r="AY954" s="1212"/>
      <c r="AZ954" s="1212"/>
      <c r="BA954" s="1212"/>
      <c r="BB954" s="1212"/>
      <c r="BC954" s="1212"/>
      <c r="BD954" s="1212"/>
      <c r="BE954" s="1212"/>
      <c r="BF954" s="2126">
        <v>0</v>
      </c>
      <c r="BG954" s="2126">
        <v>0</v>
      </c>
      <c r="BH954" s="2126">
        <v>-72951.754822916671</v>
      </c>
      <c r="BI954" s="2126">
        <v>-72951.754822916671</v>
      </c>
      <c r="BJ954" s="2126">
        <v>0</v>
      </c>
      <c r="BK954" s="2126">
        <v>0</v>
      </c>
      <c r="BL954" s="2126">
        <v>0</v>
      </c>
      <c r="BM954" s="2126">
        <v>0</v>
      </c>
      <c r="BN954" s="2126">
        <v>0</v>
      </c>
      <c r="BO954" s="2126">
        <v>0</v>
      </c>
      <c r="BP954" s="2126">
        <v>0</v>
      </c>
      <c r="BQ954" s="2126">
        <v>0</v>
      </c>
      <c r="BR954" s="2126">
        <v>0</v>
      </c>
    </row>
    <row r="955" spans="1:70" s="1765" customFormat="1" ht="49.5">
      <c r="A955" s="1272">
        <v>2000</v>
      </c>
      <c r="B955" s="971" t="s">
        <v>119</v>
      </c>
      <c r="C955" s="1272">
        <v>2100</v>
      </c>
      <c r="D955" s="971" t="s">
        <v>452</v>
      </c>
      <c r="E955" s="971" t="s">
        <v>1692</v>
      </c>
      <c r="F955" s="971" t="s">
        <v>605</v>
      </c>
      <c r="G955" s="971">
        <v>4522</v>
      </c>
      <c r="H955" s="971" t="s">
        <v>684</v>
      </c>
      <c r="I955" s="1273"/>
      <c r="J955" s="971" t="s">
        <v>124</v>
      </c>
      <c r="K955" s="971" t="s">
        <v>2857</v>
      </c>
      <c r="L955" s="971" t="s">
        <v>2858</v>
      </c>
      <c r="M955" s="971" t="s">
        <v>734</v>
      </c>
      <c r="N955" s="971" t="s">
        <v>488</v>
      </c>
      <c r="O955" s="971" t="s">
        <v>128</v>
      </c>
      <c r="P955" s="971"/>
      <c r="Q955" s="971" t="s">
        <v>1790</v>
      </c>
      <c r="R955" s="1266"/>
      <c r="S955" s="2106">
        <v>540</v>
      </c>
      <c r="T955" s="1266" t="s">
        <v>136</v>
      </c>
      <c r="U955" s="1742">
        <v>0.56041666666666667</v>
      </c>
      <c r="V955" s="1742">
        <v>2.8020833333333335</v>
      </c>
      <c r="W955" s="1742">
        <v>49.395125</v>
      </c>
      <c r="X955" s="1742">
        <v>77.264645833333333</v>
      </c>
      <c r="Y955" s="2106">
        <v>129.46185416666665</v>
      </c>
      <c r="Z955" s="2106">
        <v>302.625</v>
      </c>
      <c r="AA955" s="2106">
        <v>1513.125</v>
      </c>
      <c r="AB955" s="2106">
        <v>26673.3675</v>
      </c>
      <c r="AC955" s="2106">
        <v>41722.908750000002</v>
      </c>
      <c r="AD955" s="1744">
        <v>69909.401249999995</v>
      </c>
      <c r="AE955" s="2126">
        <v>1</v>
      </c>
      <c r="AF955" s="2126">
        <v>540</v>
      </c>
      <c r="AG955" s="1212">
        <v>1</v>
      </c>
      <c r="AH955" s="1212">
        <v>0</v>
      </c>
      <c r="AI955" s="1212">
        <v>0</v>
      </c>
      <c r="AJ955" s="1212">
        <v>1</v>
      </c>
      <c r="AK955" s="2126">
        <v>69909.401249999995</v>
      </c>
      <c r="AL955" s="2126">
        <v>0</v>
      </c>
      <c r="AM955" s="2126">
        <v>0</v>
      </c>
      <c r="AN955" s="2126">
        <v>69909.401249999995</v>
      </c>
      <c r="AO955" s="1743" t="s">
        <v>85</v>
      </c>
      <c r="AP955" s="1743" t="s">
        <v>90</v>
      </c>
      <c r="AQ955" s="1764">
        <v>2021</v>
      </c>
      <c r="AR955" s="1743" t="s">
        <v>87</v>
      </c>
      <c r="AS955" s="2135"/>
      <c r="AT955" s="2135"/>
      <c r="AU955" s="1212">
        <v>0.5</v>
      </c>
      <c r="AV955" s="1212">
        <v>0.5</v>
      </c>
      <c r="AW955" s="1212"/>
      <c r="AX955" s="1212"/>
      <c r="AY955" s="1212"/>
      <c r="AZ955" s="1212"/>
      <c r="BA955" s="1212"/>
      <c r="BB955" s="1212"/>
      <c r="BC955" s="1212"/>
      <c r="BD955" s="1212"/>
      <c r="BE955" s="1212"/>
      <c r="BF955" s="2126">
        <v>0</v>
      </c>
      <c r="BG955" s="2126">
        <v>0</v>
      </c>
      <c r="BH955" s="2126">
        <v>34954.700624999998</v>
      </c>
      <c r="BI955" s="2126">
        <v>34954.700624999998</v>
      </c>
      <c r="BJ955" s="2126">
        <v>0</v>
      </c>
      <c r="BK955" s="2126">
        <v>0</v>
      </c>
      <c r="BL955" s="2126">
        <v>0</v>
      </c>
      <c r="BM955" s="2126">
        <v>0</v>
      </c>
      <c r="BN955" s="2126">
        <v>0</v>
      </c>
      <c r="BO955" s="2126">
        <v>0</v>
      </c>
      <c r="BP955" s="2126">
        <v>0</v>
      </c>
      <c r="BQ955" s="2126">
        <v>0</v>
      </c>
      <c r="BR955" s="2126">
        <v>0</v>
      </c>
    </row>
    <row r="956" spans="1:70" s="1765" customFormat="1" ht="49.5">
      <c r="A956" s="1272">
        <v>2000</v>
      </c>
      <c r="B956" s="971" t="s">
        <v>119</v>
      </c>
      <c r="C956" s="1272">
        <v>2100</v>
      </c>
      <c r="D956" s="971" t="s">
        <v>452</v>
      </c>
      <c r="E956" s="971" t="s">
        <v>1692</v>
      </c>
      <c r="F956" s="971" t="s">
        <v>605</v>
      </c>
      <c r="G956" s="971">
        <v>4522</v>
      </c>
      <c r="H956" s="971" t="s">
        <v>684</v>
      </c>
      <c r="I956" s="1273"/>
      <c r="J956" s="971" t="s">
        <v>124</v>
      </c>
      <c r="K956" s="971" t="s">
        <v>2857</v>
      </c>
      <c r="L956" s="971" t="s">
        <v>2858</v>
      </c>
      <c r="M956" s="971" t="s">
        <v>734</v>
      </c>
      <c r="N956" s="971" t="s">
        <v>488</v>
      </c>
      <c r="O956" s="971" t="s">
        <v>128</v>
      </c>
      <c r="P956" s="971"/>
      <c r="Q956" s="971" t="s">
        <v>1791</v>
      </c>
      <c r="R956" s="1266" t="s">
        <v>1792</v>
      </c>
      <c r="S956" s="2106">
        <v>208</v>
      </c>
      <c r="T956" s="1266" t="s">
        <v>136</v>
      </c>
      <c r="U956" s="1742">
        <v>0.56041666666666667</v>
      </c>
      <c r="V956" s="1742">
        <v>2.8020833333333335</v>
      </c>
      <c r="W956" s="1742">
        <v>49.395125</v>
      </c>
      <c r="X956" s="1742">
        <v>77.264645833333333</v>
      </c>
      <c r="Y956" s="2106">
        <v>129.46185416666665</v>
      </c>
      <c r="Z956" s="2106">
        <v>116.56666666666666</v>
      </c>
      <c r="AA956" s="2106">
        <v>582.83333333333337</v>
      </c>
      <c r="AB956" s="2106">
        <v>10274.186</v>
      </c>
      <c r="AC956" s="2106">
        <v>16071.046333333334</v>
      </c>
      <c r="AD956" s="1744">
        <v>26928.065666666669</v>
      </c>
      <c r="AE956" s="2126">
        <v>1</v>
      </c>
      <c r="AF956" s="2126">
        <v>208</v>
      </c>
      <c r="AG956" s="1212">
        <v>1</v>
      </c>
      <c r="AH956" s="1212">
        <v>0</v>
      </c>
      <c r="AI956" s="1212">
        <v>0</v>
      </c>
      <c r="AJ956" s="1212">
        <v>1</v>
      </c>
      <c r="AK956" s="2126">
        <v>26928.065666666669</v>
      </c>
      <c r="AL956" s="2126">
        <v>0</v>
      </c>
      <c r="AM956" s="2126">
        <v>0</v>
      </c>
      <c r="AN956" s="2126">
        <v>26928.065666666669</v>
      </c>
      <c r="AO956" s="1743" t="s">
        <v>85</v>
      </c>
      <c r="AP956" s="1743" t="s">
        <v>90</v>
      </c>
      <c r="AQ956" s="1764">
        <v>2021</v>
      </c>
      <c r="AR956" s="1743" t="s">
        <v>87</v>
      </c>
      <c r="AS956" s="2135"/>
      <c r="AT956" s="2135"/>
      <c r="AU956" s="1212">
        <v>0.5</v>
      </c>
      <c r="AV956" s="1212">
        <v>0.5</v>
      </c>
      <c r="AW956" s="1212"/>
      <c r="AX956" s="1212"/>
      <c r="AY956" s="1212"/>
      <c r="AZ956" s="1212"/>
      <c r="BA956" s="1212"/>
      <c r="BB956" s="1212"/>
      <c r="BC956" s="1212"/>
      <c r="BD956" s="1212"/>
      <c r="BE956" s="1212"/>
      <c r="BF956" s="2126">
        <v>0</v>
      </c>
      <c r="BG956" s="2126">
        <v>0</v>
      </c>
      <c r="BH956" s="2126">
        <v>13464.032833333335</v>
      </c>
      <c r="BI956" s="2126">
        <v>13464.032833333335</v>
      </c>
      <c r="BJ956" s="2126">
        <v>0</v>
      </c>
      <c r="BK956" s="2126">
        <v>0</v>
      </c>
      <c r="BL956" s="2126">
        <v>0</v>
      </c>
      <c r="BM956" s="2126">
        <v>0</v>
      </c>
      <c r="BN956" s="2126">
        <v>0</v>
      </c>
      <c r="BO956" s="2126">
        <v>0</v>
      </c>
      <c r="BP956" s="2126">
        <v>0</v>
      </c>
      <c r="BQ956" s="2126">
        <v>0</v>
      </c>
      <c r="BR956" s="2126">
        <v>0</v>
      </c>
    </row>
    <row r="957" spans="1:70" s="1765" customFormat="1" ht="49.5">
      <c r="A957" s="1272">
        <v>2000</v>
      </c>
      <c r="B957" s="971" t="s">
        <v>119</v>
      </c>
      <c r="C957" s="1272">
        <v>2100</v>
      </c>
      <c r="D957" s="971" t="s">
        <v>452</v>
      </c>
      <c r="E957" s="971" t="s">
        <v>1692</v>
      </c>
      <c r="F957" s="971" t="s">
        <v>605</v>
      </c>
      <c r="G957" s="971">
        <v>4522</v>
      </c>
      <c r="H957" s="971" t="s">
        <v>684</v>
      </c>
      <c r="I957" s="1273"/>
      <c r="J957" s="971" t="s">
        <v>124</v>
      </c>
      <c r="K957" s="971" t="s">
        <v>2857</v>
      </c>
      <c r="L957" s="971" t="s">
        <v>2858</v>
      </c>
      <c r="M957" s="971" t="s">
        <v>734</v>
      </c>
      <c r="N957" s="971" t="s">
        <v>488</v>
      </c>
      <c r="O957" s="971" t="s">
        <v>128</v>
      </c>
      <c r="P957" s="971"/>
      <c r="Q957" s="971" t="s">
        <v>1791</v>
      </c>
      <c r="R957" s="1266" t="s">
        <v>1792</v>
      </c>
      <c r="S957" s="2106">
        <v>-208</v>
      </c>
      <c r="T957" s="1266" t="s">
        <v>136</v>
      </c>
      <c r="U957" s="1742">
        <v>0.56041666666666667</v>
      </c>
      <c r="V957" s="1742">
        <v>2.8020833333333335</v>
      </c>
      <c r="W957" s="1742">
        <v>49.395125</v>
      </c>
      <c r="X957" s="1742">
        <v>77.264645833333333</v>
      </c>
      <c r="Y957" s="2106">
        <v>129.46185416666665</v>
      </c>
      <c r="Z957" s="2106">
        <v>-116.56666666666666</v>
      </c>
      <c r="AA957" s="2106">
        <v>-582.83333333333337</v>
      </c>
      <c r="AB957" s="2106">
        <v>-10274.186</v>
      </c>
      <c r="AC957" s="2106">
        <v>-16071.046333333334</v>
      </c>
      <c r="AD957" s="1744">
        <v>-26928.065666666669</v>
      </c>
      <c r="AE957" s="2126">
        <v>1</v>
      </c>
      <c r="AF957" s="2126">
        <v>-208</v>
      </c>
      <c r="AG957" s="1212">
        <v>1</v>
      </c>
      <c r="AH957" s="1212">
        <v>0</v>
      </c>
      <c r="AI957" s="1212">
        <v>0</v>
      </c>
      <c r="AJ957" s="1212">
        <v>1</v>
      </c>
      <c r="AK957" s="2126">
        <v>-26928.065666666669</v>
      </c>
      <c r="AL957" s="2126">
        <v>0</v>
      </c>
      <c r="AM957" s="2126">
        <v>0</v>
      </c>
      <c r="AN957" s="2126">
        <v>-26928.065666666669</v>
      </c>
      <c r="AO957" s="1743" t="s">
        <v>85</v>
      </c>
      <c r="AP957" s="1743" t="s">
        <v>96</v>
      </c>
      <c r="AQ957" s="1764" t="s">
        <v>118</v>
      </c>
      <c r="AR957" s="1743" t="s">
        <v>87</v>
      </c>
      <c r="AS957" s="2135"/>
      <c r="AT957" s="2135"/>
      <c r="AU957" s="1212">
        <v>0.5</v>
      </c>
      <c r="AV957" s="1212">
        <v>0.5</v>
      </c>
      <c r="AW957" s="1212"/>
      <c r="AX957" s="1212"/>
      <c r="AY957" s="1212"/>
      <c r="AZ957" s="1212"/>
      <c r="BA957" s="1212"/>
      <c r="BB957" s="1212"/>
      <c r="BC957" s="1212"/>
      <c r="BD957" s="1212"/>
      <c r="BE957" s="1212"/>
      <c r="BF957" s="2126">
        <v>0</v>
      </c>
      <c r="BG957" s="2126">
        <v>0</v>
      </c>
      <c r="BH957" s="2126">
        <v>-13464.032833333335</v>
      </c>
      <c r="BI957" s="2126">
        <v>-13464.032833333335</v>
      </c>
      <c r="BJ957" s="2126">
        <v>0</v>
      </c>
      <c r="BK957" s="2126">
        <v>0</v>
      </c>
      <c r="BL957" s="2126">
        <v>0</v>
      </c>
      <c r="BM957" s="2126">
        <v>0</v>
      </c>
      <c r="BN957" s="2126">
        <v>0</v>
      </c>
      <c r="BO957" s="2126">
        <v>0</v>
      </c>
      <c r="BP957" s="2126">
        <v>0</v>
      </c>
      <c r="BQ957" s="2126">
        <v>0</v>
      </c>
      <c r="BR957" s="2126">
        <v>0</v>
      </c>
    </row>
    <row r="958" spans="1:70" s="1765" customFormat="1" ht="66">
      <c r="A958" s="1272">
        <v>4000</v>
      </c>
      <c r="B958" s="971" t="s">
        <v>1316</v>
      </c>
      <c r="C958" s="1272">
        <v>4500</v>
      </c>
      <c r="D958" s="971" t="s">
        <v>452</v>
      </c>
      <c r="E958" s="971" t="s">
        <v>1692</v>
      </c>
      <c r="F958" s="971" t="s">
        <v>605</v>
      </c>
      <c r="G958" s="971">
        <v>4523</v>
      </c>
      <c r="H958" s="971" t="s">
        <v>1793</v>
      </c>
      <c r="I958" s="1273" t="s">
        <v>1794</v>
      </c>
      <c r="J958" s="971" t="s">
        <v>124</v>
      </c>
      <c r="K958" s="971" t="s">
        <v>1747</v>
      </c>
      <c r="L958" s="971" t="s">
        <v>6606</v>
      </c>
      <c r="M958" s="971" t="s">
        <v>606</v>
      </c>
      <c r="N958" s="971" t="s">
        <v>488</v>
      </c>
      <c r="O958" s="971" t="s">
        <v>518</v>
      </c>
      <c r="P958" s="971"/>
      <c r="Q958" s="971" t="s">
        <v>1795</v>
      </c>
      <c r="R958" s="1266" t="s">
        <v>1796</v>
      </c>
      <c r="S958" s="2106">
        <v>1003.7174721189591</v>
      </c>
      <c r="T958" s="1266" t="s">
        <v>136</v>
      </c>
      <c r="U958" s="1742">
        <v>0.56041666666666667</v>
      </c>
      <c r="V958" s="1742">
        <v>1.9614583333333333</v>
      </c>
      <c r="W958" s="1742">
        <v>49.395125</v>
      </c>
      <c r="X958" s="1742">
        <v>77.264645833333333</v>
      </c>
      <c r="Y958" s="2106">
        <v>128.62122916666667</v>
      </c>
      <c r="Z958" s="2106">
        <v>562.5</v>
      </c>
      <c r="AA958" s="2106">
        <v>1968.75</v>
      </c>
      <c r="AB958" s="2106">
        <v>49578.75</v>
      </c>
      <c r="AC958" s="2106">
        <v>77551.875</v>
      </c>
      <c r="AD958" s="1744">
        <v>129099.375</v>
      </c>
      <c r="AE958" s="2126">
        <v>1</v>
      </c>
      <c r="AF958" s="2126">
        <v>1003.7174721189591</v>
      </c>
      <c r="AG958" s="1212">
        <v>1</v>
      </c>
      <c r="AH958" s="1212">
        <v>0</v>
      </c>
      <c r="AI958" s="1212">
        <v>0</v>
      </c>
      <c r="AJ958" s="1212">
        <v>1</v>
      </c>
      <c r="AK958" s="2126">
        <v>129099.375</v>
      </c>
      <c r="AL958" s="2126">
        <v>0</v>
      </c>
      <c r="AM958" s="2126">
        <v>0</v>
      </c>
      <c r="AN958" s="2126">
        <v>129099.375</v>
      </c>
      <c r="AO958" s="1743" t="s">
        <v>85</v>
      </c>
      <c r="AP958" s="1743"/>
      <c r="AQ958" s="1764">
        <v>2014</v>
      </c>
      <c r="AR958" s="1743" t="s">
        <v>87</v>
      </c>
      <c r="AS958" s="2135"/>
      <c r="AT958" s="2135"/>
      <c r="AU958" s="1212">
        <v>0.33333333333333331</v>
      </c>
      <c r="AV958" s="1212">
        <v>0.33333333333333331</v>
      </c>
      <c r="AW958" s="1212">
        <v>0.33333333333333331</v>
      </c>
      <c r="AX958" s="1212"/>
      <c r="AY958" s="1212"/>
      <c r="AZ958" s="1212"/>
      <c r="BA958" s="1212"/>
      <c r="BB958" s="1212"/>
      <c r="BC958" s="1212"/>
      <c r="BD958" s="1212"/>
      <c r="BE958" s="1212"/>
      <c r="BF958" s="2126">
        <v>0</v>
      </c>
      <c r="BG958" s="2126">
        <v>0</v>
      </c>
      <c r="BH958" s="2126">
        <v>43033.125</v>
      </c>
      <c r="BI958" s="2126">
        <v>43033.125</v>
      </c>
      <c r="BJ958" s="2126">
        <v>43033.125</v>
      </c>
      <c r="BK958" s="2126">
        <v>0</v>
      </c>
      <c r="BL958" s="2126">
        <v>0</v>
      </c>
      <c r="BM958" s="2126">
        <v>0</v>
      </c>
      <c r="BN958" s="2126">
        <v>0</v>
      </c>
      <c r="BO958" s="2126">
        <v>0</v>
      </c>
      <c r="BP958" s="2126">
        <v>0</v>
      </c>
      <c r="BQ958" s="2126">
        <v>0</v>
      </c>
      <c r="BR958" s="2126">
        <v>0</v>
      </c>
    </row>
    <row r="959" spans="1:70" s="1765" customFormat="1" ht="49.5">
      <c r="A959" s="1272">
        <v>4000</v>
      </c>
      <c r="B959" s="971" t="s">
        <v>1316</v>
      </c>
      <c r="C959" s="1272">
        <v>4500</v>
      </c>
      <c r="D959" s="971" t="s">
        <v>452</v>
      </c>
      <c r="E959" s="971" t="s">
        <v>1692</v>
      </c>
      <c r="F959" s="971" t="s">
        <v>605</v>
      </c>
      <c r="G959" s="971">
        <v>4523</v>
      </c>
      <c r="H959" s="971" t="s">
        <v>1793</v>
      </c>
      <c r="I959" s="1273" t="s">
        <v>1797</v>
      </c>
      <c r="J959" s="971" t="s">
        <v>124</v>
      </c>
      <c r="K959" s="971" t="s">
        <v>523</v>
      </c>
      <c r="L959" s="971" t="s">
        <v>6607</v>
      </c>
      <c r="M959" s="971" t="s">
        <v>523</v>
      </c>
      <c r="N959" s="971" t="s">
        <v>141</v>
      </c>
      <c r="O959" s="971" t="s">
        <v>524</v>
      </c>
      <c r="P959" s="971"/>
      <c r="Q959" s="971" t="s">
        <v>1798</v>
      </c>
      <c r="R959" s="1266" t="s">
        <v>1796</v>
      </c>
      <c r="S959" s="2106">
        <v>1003.7174721189591</v>
      </c>
      <c r="T959" s="1266" t="s">
        <v>136</v>
      </c>
      <c r="U959" s="1742">
        <v>0.14520631503408685</v>
      </c>
      <c r="V959" s="1742">
        <v>1.8150789379260854</v>
      </c>
      <c r="W959" s="1742">
        <v>12.798484607104415</v>
      </c>
      <c r="X959" s="1742">
        <v>20.019594653749554</v>
      </c>
      <c r="Y959" s="2106">
        <v>34.633158198780052</v>
      </c>
      <c r="Z959" s="2106">
        <v>145.74611546172287</v>
      </c>
      <c r="AA959" s="2106">
        <v>1821.8264432715355</v>
      </c>
      <c r="AB959" s="2106">
        <v>12846.062616796253</v>
      </c>
      <c r="AC959" s="2106">
        <v>20094.016938707729</v>
      </c>
      <c r="AD959" s="1744">
        <v>34761.905998775517</v>
      </c>
      <c r="AE959" s="2126">
        <v>0.75</v>
      </c>
      <c r="AF959" s="2126">
        <v>752.78810408921936</v>
      </c>
      <c r="AG959" s="1212">
        <v>1</v>
      </c>
      <c r="AH959" s="1212">
        <v>0</v>
      </c>
      <c r="AI959" s="1212">
        <v>0</v>
      </c>
      <c r="AJ959" s="1212">
        <v>1</v>
      </c>
      <c r="AK959" s="2126">
        <v>34761.905998775517</v>
      </c>
      <c r="AL959" s="2126">
        <v>0</v>
      </c>
      <c r="AM959" s="2126">
        <v>0</v>
      </c>
      <c r="AN959" s="2126">
        <v>34761.905998775517</v>
      </c>
      <c r="AO959" s="1743" t="s">
        <v>85</v>
      </c>
      <c r="AP959" s="1743"/>
      <c r="AQ959" s="1764">
        <v>2014</v>
      </c>
      <c r="AR959" s="1743" t="s">
        <v>87</v>
      </c>
      <c r="AS959" s="2135"/>
      <c r="AT959" s="2135"/>
      <c r="AU959" s="1212">
        <v>0.33333333333333331</v>
      </c>
      <c r="AV959" s="1212">
        <v>0.33333333333333331</v>
      </c>
      <c r="AW959" s="1212">
        <v>0.33333333333333331</v>
      </c>
      <c r="AX959" s="1212"/>
      <c r="AY959" s="1212"/>
      <c r="AZ959" s="1212"/>
      <c r="BA959" s="1212"/>
      <c r="BB959" s="1212"/>
      <c r="BC959" s="1212"/>
      <c r="BD959" s="1212"/>
      <c r="BE959" s="1212"/>
      <c r="BF959" s="2126">
        <v>0</v>
      </c>
      <c r="BG959" s="2126">
        <v>0</v>
      </c>
      <c r="BH959" s="2126">
        <v>11587.301999591838</v>
      </c>
      <c r="BI959" s="2126">
        <v>11587.301999591838</v>
      </c>
      <c r="BJ959" s="2126">
        <v>11587.301999591838</v>
      </c>
      <c r="BK959" s="2126">
        <v>0</v>
      </c>
      <c r="BL959" s="2126">
        <v>0</v>
      </c>
      <c r="BM959" s="2126">
        <v>0</v>
      </c>
      <c r="BN959" s="2126">
        <v>0</v>
      </c>
      <c r="BO959" s="2126">
        <v>0</v>
      </c>
      <c r="BP959" s="2126">
        <v>0</v>
      </c>
      <c r="BQ959" s="2126">
        <v>0</v>
      </c>
      <c r="BR959" s="2126">
        <v>0</v>
      </c>
    </row>
    <row r="960" spans="1:70" s="1765" customFormat="1" ht="33">
      <c r="A960" s="1272">
        <v>4000</v>
      </c>
      <c r="B960" s="971" t="s">
        <v>1316</v>
      </c>
      <c r="C960" s="1272">
        <v>4500</v>
      </c>
      <c r="D960" s="971" t="s">
        <v>452</v>
      </c>
      <c r="E960" s="971" t="s">
        <v>1692</v>
      </c>
      <c r="F960" s="971" t="s">
        <v>605</v>
      </c>
      <c r="G960" s="971">
        <v>4523</v>
      </c>
      <c r="H960" s="971" t="s">
        <v>1793</v>
      </c>
      <c r="I960" s="1273" t="s">
        <v>1799</v>
      </c>
      <c r="J960" s="971" t="s">
        <v>124</v>
      </c>
      <c r="K960" s="971" t="s">
        <v>140</v>
      </c>
      <c r="L960" s="971" t="s">
        <v>2909</v>
      </c>
      <c r="M960" s="971" t="s">
        <v>140</v>
      </c>
      <c r="N960" s="971" t="s">
        <v>141</v>
      </c>
      <c r="O960" s="971" t="s">
        <v>142</v>
      </c>
      <c r="P960" s="971"/>
      <c r="Q960" s="971" t="s">
        <v>1800</v>
      </c>
      <c r="R960" s="1266" t="s">
        <v>1796</v>
      </c>
      <c r="S960" s="2106">
        <v>1003.7174721189591</v>
      </c>
      <c r="T960" s="1266" t="s">
        <v>136</v>
      </c>
      <c r="U960" s="1742">
        <v>0</v>
      </c>
      <c r="V960" s="1742">
        <v>0</v>
      </c>
      <c r="W960" s="1742">
        <v>0</v>
      </c>
      <c r="X960" s="1742">
        <v>0</v>
      </c>
      <c r="Y960" s="2106">
        <v>0</v>
      </c>
      <c r="Z960" s="2106">
        <v>0</v>
      </c>
      <c r="AA960" s="2106">
        <v>0</v>
      </c>
      <c r="AB960" s="2106">
        <v>0</v>
      </c>
      <c r="AC960" s="2106">
        <v>0</v>
      </c>
      <c r="AD960" s="1744">
        <v>0</v>
      </c>
      <c r="AE960" s="2126">
        <v>0</v>
      </c>
      <c r="AF960" s="2126">
        <v>0</v>
      </c>
      <c r="AG960" s="1212">
        <v>1</v>
      </c>
      <c r="AH960" s="1212">
        <v>0</v>
      </c>
      <c r="AI960" s="1212">
        <v>0</v>
      </c>
      <c r="AJ960" s="1212">
        <v>1</v>
      </c>
      <c r="AK960" s="2126">
        <v>0</v>
      </c>
      <c r="AL960" s="2126">
        <v>0</v>
      </c>
      <c r="AM960" s="2126">
        <v>0</v>
      </c>
      <c r="AN960" s="2126">
        <v>0</v>
      </c>
      <c r="AO960" s="1743" t="s">
        <v>85</v>
      </c>
      <c r="AP960" s="1743"/>
      <c r="AQ960" s="1764">
        <v>2014</v>
      </c>
      <c r="AR960" s="1743" t="s">
        <v>87</v>
      </c>
      <c r="AS960" s="2135"/>
      <c r="AT960" s="2135"/>
      <c r="AU960" s="1212">
        <v>0.33333333333333331</v>
      </c>
      <c r="AV960" s="1212">
        <v>0.33333333333333331</v>
      </c>
      <c r="AW960" s="1212">
        <v>0.33333333333333331</v>
      </c>
      <c r="AX960" s="1212"/>
      <c r="AY960" s="1212"/>
      <c r="AZ960" s="1212"/>
      <c r="BA960" s="1212"/>
      <c r="BB960" s="1212"/>
      <c r="BC960" s="1212"/>
      <c r="BD960" s="1212"/>
      <c r="BE960" s="1212"/>
      <c r="BF960" s="2126">
        <v>0</v>
      </c>
      <c r="BG960" s="2126">
        <v>0</v>
      </c>
      <c r="BH960" s="2126">
        <v>0</v>
      </c>
      <c r="BI960" s="2126">
        <v>0</v>
      </c>
      <c r="BJ960" s="2126">
        <v>0</v>
      </c>
      <c r="BK960" s="2126">
        <v>0</v>
      </c>
      <c r="BL960" s="2126">
        <v>0</v>
      </c>
      <c r="BM960" s="2126">
        <v>0</v>
      </c>
      <c r="BN960" s="2126">
        <v>0</v>
      </c>
      <c r="BO960" s="2126">
        <v>0</v>
      </c>
      <c r="BP960" s="2126">
        <v>0</v>
      </c>
      <c r="BQ960" s="2126">
        <v>0</v>
      </c>
      <c r="BR960" s="2126">
        <v>0</v>
      </c>
    </row>
    <row r="961" spans="1:70" s="1765" customFormat="1" ht="66">
      <c r="A961" s="1272">
        <v>4000</v>
      </c>
      <c r="B961" s="971" t="s">
        <v>1316</v>
      </c>
      <c r="C961" s="1272">
        <v>4500</v>
      </c>
      <c r="D961" s="971" t="s">
        <v>452</v>
      </c>
      <c r="E961" s="971" t="s">
        <v>1692</v>
      </c>
      <c r="F961" s="971" t="s">
        <v>605</v>
      </c>
      <c r="G961" s="971">
        <v>4523</v>
      </c>
      <c r="H961" s="971" t="s">
        <v>1793</v>
      </c>
      <c r="I961" s="1273" t="s">
        <v>1794</v>
      </c>
      <c r="J961" s="971" t="s">
        <v>124</v>
      </c>
      <c r="K961" s="971" t="s">
        <v>1747</v>
      </c>
      <c r="L961" s="971" t="s">
        <v>6606</v>
      </c>
      <c r="M961" s="971" t="s">
        <v>606</v>
      </c>
      <c r="N961" s="971" t="s">
        <v>488</v>
      </c>
      <c r="O961" s="971" t="s">
        <v>518</v>
      </c>
      <c r="P961" s="971"/>
      <c r="Q961" s="971" t="s">
        <v>1801</v>
      </c>
      <c r="R961" s="1266"/>
      <c r="S961" s="2106">
        <v>1500</v>
      </c>
      <c r="T961" s="1266" t="s">
        <v>136</v>
      </c>
      <c r="U961" s="1742">
        <v>0.56041666666666667</v>
      </c>
      <c r="V961" s="1742">
        <v>1.9614583333333333</v>
      </c>
      <c r="W961" s="1742">
        <v>49.395125</v>
      </c>
      <c r="X961" s="1742">
        <v>77.264645833333333</v>
      </c>
      <c r="Y961" s="2106">
        <v>128.62122916666667</v>
      </c>
      <c r="Z961" s="2106">
        <v>840.625</v>
      </c>
      <c r="AA961" s="2106">
        <v>2942.1875</v>
      </c>
      <c r="AB961" s="2106">
        <v>74092.6875</v>
      </c>
      <c r="AC961" s="2106">
        <v>115896.96875</v>
      </c>
      <c r="AD961" s="1744">
        <v>192931.84375</v>
      </c>
      <c r="AE961" s="2126">
        <v>1</v>
      </c>
      <c r="AF961" s="2126">
        <v>1500</v>
      </c>
      <c r="AG961" s="1212">
        <v>1</v>
      </c>
      <c r="AH961" s="1212">
        <v>0</v>
      </c>
      <c r="AI961" s="1212">
        <v>0</v>
      </c>
      <c r="AJ961" s="1212">
        <v>1</v>
      </c>
      <c r="AK961" s="2126">
        <v>192931.84375</v>
      </c>
      <c r="AL961" s="2126">
        <v>0</v>
      </c>
      <c r="AM961" s="2126">
        <v>0</v>
      </c>
      <c r="AN961" s="2126">
        <v>192931.84375</v>
      </c>
      <c r="AO961" s="1743" t="s">
        <v>85</v>
      </c>
      <c r="AP961" s="1743" t="s">
        <v>90</v>
      </c>
      <c r="AQ961" s="1764">
        <v>2017</v>
      </c>
      <c r="AR961" s="1743" t="s">
        <v>87</v>
      </c>
      <c r="AS961" s="2135"/>
      <c r="AT961" s="2135"/>
      <c r="AU961" s="1212">
        <v>0.33333333333333331</v>
      </c>
      <c r="AV961" s="1212">
        <v>0.33333333333333331</v>
      </c>
      <c r="AW961" s="1212">
        <v>0.33333333333333331</v>
      </c>
      <c r="AX961" s="1212"/>
      <c r="AY961" s="1212"/>
      <c r="AZ961" s="1212"/>
      <c r="BA961" s="1212"/>
      <c r="BB961" s="1212"/>
      <c r="BC961" s="1212"/>
      <c r="BD961" s="1212"/>
      <c r="BE961" s="1212"/>
      <c r="BF961" s="2126">
        <v>0</v>
      </c>
      <c r="BG961" s="2126">
        <v>0</v>
      </c>
      <c r="BH961" s="2126">
        <v>64310.614583333328</v>
      </c>
      <c r="BI961" s="2126">
        <v>64310.614583333328</v>
      </c>
      <c r="BJ961" s="2126">
        <v>64310.614583333328</v>
      </c>
      <c r="BK961" s="2126">
        <v>0</v>
      </c>
      <c r="BL961" s="2126">
        <v>0</v>
      </c>
      <c r="BM961" s="2126">
        <v>0</v>
      </c>
      <c r="BN961" s="2126">
        <v>0</v>
      </c>
      <c r="BO961" s="2126">
        <v>0</v>
      </c>
      <c r="BP961" s="2126">
        <v>0</v>
      </c>
      <c r="BQ961" s="2126">
        <v>0</v>
      </c>
      <c r="BR961" s="2126">
        <v>0</v>
      </c>
    </row>
    <row r="962" spans="1:70" s="1765" customFormat="1" ht="66">
      <c r="A962" s="1272">
        <v>2000</v>
      </c>
      <c r="B962" s="971" t="s">
        <v>119</v>
      </c>
      <c r="C962" s="1272">
        <v>2100</v>
      </c>
      <c r="D962" s="971" t="s">
        <v>452</v>
      </c>
      <c r="E962" s="971" t="s">
        <v>1692</v>
      </c>
      <c r="F962" s="971" t="s">
        <v>605</v>
      </c>
      <c r="G962" s="971">
        <v>4523</v>
      </c>
      <c r="H962" s="971" t="s">
        <v>1793</v>
      </c>
      <c r="I962" s="1273" t="s">
        <v>1794</v>
      </c>
      <c r="J962" s="971" t="s">
        <v>124</v>
      </c>
      <c r="K962" s="971" t="s">
        <v>1747</v>
      </c>
      <c r="L962" s="971" t="s">
        <v>6606</v>
      </c>
      <c r="M962" s="971" t="s">
        <v>606</v>
      </c>
      <c r="N962" s="971" t="s">
        <v>488</v>
      </c>
      <c r="O962" s="971" t="s">
        <v>518</v>
      </c>
      <c r="P962" s="971"/>
      <c r="Q962" s="971" t="s">
        <v>1802</v>
      </c>
      <c r="R962" s="1266" t="s">
        <v>1803</v>
      </c>
      <c r="S962" s="2106">
        <v>1250</v>
      </c>
      <c r="T962" s="1266" t="s">
        <v>136</v>
      </c>
      <c r="U962" s="1742">
        <v>0.56041666666666667</v>
      </c>
      <c r="V962" s="1742">
        <v>1.9614583333333333</v>
      </c>
      <c r="W962" s="1742">
        <v>49.395125</v>
      </c>
      <c r="X962" s="1742">
        <v>77.264645833333333</v>
      </c>
      <c r="Y962" s="2106">
        <v>128.62122916666667</v>
      </c>
      <c r="Z962" s="2106">
        <v>700.52083333333337</v>
      </c>
      <c r="AA962" s="2106">
        <v>2451.8229166666665</v>
      </c>
      <c r="AB962" s="2106">
        <v>61743.90625</v>
      </c>
      <c r="AC962" s="2106">
        <v>96580.807291666672</v>
      </c>
      <c r="AD962" s="1744">
        <v>160776.53645833334</v>
      </c>
      <c r="AE962" s="2126">
        <v>1</v>
      </c>
      <c r="AF962" s="2126">
        <v>1250</v>
      </c>
      <c r="AG962" s="1212">
        <v>1</v>
      </c>
      <c r="AH962" s="1212">
        <v>0</v>
      </c>
      <c r="AI962" s="1212">
        <v>0</v>
      </c>
      <c r="AJ962" s="1212">
        <v>1</v>
      </c>
      <c r="AK962" s="2126">
        <v>160776.53645833334</v>
      </c>
      <c r="AL962" s="2126">
        <v>0</v>
      </c>
      <c r="AM962" s="2126">
        <v>0</v>
      </c>
      <c r="AN962" s="2126">
        <v>160776.53645833334</v>
      </c>
      <c r="AO962" s="1743" t="s">
        <v>85</v>
      </c>
      <c r="AP962" s="1743" t="s">
        <v>90</v>
      </c>
      <c r="AQ962" s="1764">
        <v>2021</v>
      </c>
      <c r="AR962" s="1743" t="s">
        <v>87</v>
      </c>
      <c r="AS962" s="2135"/>
      <c r="AT962" s="2135"/>
      <c r="AU962" s="1212">
        <v>0.33333333333333331</v>
      </c>
      <c r="AV962" s="1212">
        <v>0.33333333333333331</v>
      </c>
      <c r="AW962" s="1212">
        <v>0.33333333333333331</v>
      </c>
      <c r="AX962" s="1212"/>
      <c r="AY962" s="1212"/>
      <c r="AZ962" s="1212"/>
      <c r="BA962" s="1212"/>
      <c r="BB962" s="1212"/>
      <c r="BC962" s="1212"/>
      <c r="BD962" s="1212"/>
      <c r="BE962" s="1212"/>
      <c r="BF962" s="2126">
        <v>0</v>
      </c>
      <c r="BG962" s="2126">
        <v>0</v>
      </c>
      <c r="BH962" s="2126">
        <v>53592.178819444445</v>
      </c>
      <c r="BI962" s="2126">
        <v>53592.178819444445</v>
      </c>
      <c r="BJ962" s="2126">
        <v>53592.178819444445</v>
      </c>
      <c r="BK962" s="2126">
        <v>0</v>
      </c>
      <c r="BL962" s="2126">
        <v>0</v>
      </c>
      <c r="BM962" s="2126">
        <v>0</v>
      </c>
      <c r="BN962" s="2126">
        <v>0</v>
      </c>
      <c r="BO962" s="2126">
        <v>0</v>
      </c>
      <c r="BP962" s="2126">
        <v>0</v>
      </c>
      <c r="BQ962" s="2126">
        <v>0</v>
      </c>
      <c r="BR962" s="2126">
        <v>0</v>
      </c>
    </row>
    <row r="963" spans="1:70" s="1765" customFormat="1" ht="49.5">
      <c r="A963" s="1272">
        <v>4000</v>
      </c>
      <c r="B963" s="971" t="s">
        <v>1316</v>
      </c>
      <c r="C963" s="1272">
        <v>4500</v>
      </c>
      <c r="D963" s="971" t="s">
        <v>452</v>
      </c>
      <c r="E963" s="971" t="s">
        <v>1692</v>
      </c>
      <c r="F963" s="971" t="s">
        <v>605</v>
      </c>
      <c r="G963" s="971">
        <v>4523</v>
      </c>
      <c r="H963" s="971" t="s">
        <v>1793</v>
      </c>
      <c r="I963" s="1273" t="s">
        <v>1797</v>
      </c>
      <c r="J963" s="971" t="s">
        <v>124</v>
      </c>
      <c r="K963" s="971" t="s">
        <v>523</v>
      </c>
      <c r="L963" s="971" t="s">
        <v>6607</v>
      </c>
      <c r="M963" s="971" t="s">
        <v>523</v>
      </c>
      <c r="N963" s="971" t="s">
        <v>141</v>
      </c>
      <c r="O963" s="971" t="s">
        <v>524</v>
      </c>
      <c r="P963" s="971"/>
      <c r="Q963" s="971" t="s">
        <v>1804</v>
      </c>
      <c r="R963" s="1266"/>
      <c r="S963" s="2106">
        <v>1500</v>
      </c>
      <c r="T963" s="1266" t="s">
        <v>136</v>
      </c>
      <c r="U963" s="1742">
        <v>0.14520631503408685</v>
      </c>
      <c r="V963" s="1742">
        <v>1.8150789379260854</v>
      </c>
      <c r="W963" s="1742">
        <v>12.798484607104415</v>
      </c>
      <c r="X963" s="1742">
        <v>20.019594653749554</v>
      </c>
      <c r="Y963" s="2106">
        <v>34.633158198780052</v>
      </c>
      <c r="Z963" s="2106">
        <v>217.80947255113028</v>
      </c>
      <c r="AA963" s="2106">
        <v>2722.618406889128</v>
      </c>
      <c r="AB963" s="2106">
        <v>19197.726910656624</v>
      </c>
      <c r="AC963" s="2106">
        <v>30029.391980624332</v>
      </c>
      <c r="AD963" s="1744">
        <v>51949.737298170083</v>
      </c>
      <c r="AE963" s="2126">
        <v>0.75</v>
      </c>
      <c r="AF963" s="2126">
        <v>1125</v>
      </c>
      <c r="AG963" s="1212">
        <v>1</v>
      </c>
      <c r="AH963" s="1212">
        <v>0</v>
      </c>
      <c r="AI963" s="1212">
        <v>0</v>
      </c>
      <c r="AJ963" s="1212">
        <v>1</v>
      </c>
      <c r="AK963" s="2126">
        <v>51949.737298170083</v>
      </c>
      <c r="AL963" s="2126">
        <v>0</v>
      </c>
      <c r="AM963" s="2126">
        <v>0</v>
      </c>
      <c r="AN963" s="2126">
        <v>51949.737298170083</v>
      </c>
      <c r="AO963" s="1743" t="s">
        <v>85</v>
      </c>
      <c r="AP963" s="1743" t="s">
        <v>90</v>
      </c>
      <c r="AQ963" s="1764">
        <v>2017</v>
      </c>
      <c r="AR963" s="1743" t="s">
        <v>87</v>
      </c>
      <c r="AS963" s="2135"/>
      <c r="AT963" s="2135"/>
      <c r="AU963" s="1212">
        <v>0.33333333333333331</v>
      </c>
      <c r="AV963" s="1212">
        <v>0.33333333333333331</v>
      </c>
      <c r="AW963" s="1212">
        <v>0.33333333333333331</v>
      </c>
      <c r="AX963" s="1212"/>
      <c r="AY963" s="1212"/>
      <c r="AZ963" s="1212"/>
      <c r="BA963" s="1212"/>
      <c r="BB963" s="1212"/>
      <c r="BC963" s="1212"/>
      <c r="BD963" s="1212"/>
      <c r="BE963" s="1212"/>
      <c r="BF963" s="2126">
        <v>0</v>
      </c>
      <c r="BG963" s="2126">
        <v>0</v>
      </c>
      <c r="BH963" s="2126">
        <v>17316.579099390026</v>
      </c>
      <c r="BI963" s="2126">
        <v>17316.579099390026</v>
      </c>
      <c r="BJ963" s="2126">
        <v>17316.579099390026</v>
      </c>
      <c r="BK963" s="2126">
        <v>0</v>
      </c>
      <c r="BL963" s="2126">
        <v>0</v>
      </c>
      <c r="BM963" s="2126">
        <v>0</v>
      </c>
      <c r="BN963" s="2126">
        <v>0</v>
      </c>
      <c r="BO963" s="2126">
        <v>0</v>
      </c>
      <c r="BP963" s="2126">
        <v>0</v>
      </c>
      <c r="BQ963" s="2126">
        <v>0</v>
      </c>
      <c r="BR963" s="2126">
        <v>0</v>
      </c>
    </row>
    <row r="964" spans="1:70" s="1765" customFormat="1" ht="66">
      <c r="A964" s="1272">
        <v>4000</v>
      </c>
      <c r="B964" s="971" t="s">
        <v>1316</v>
      </c>
      <c r="C964" s="1272">
        <v>4500</v>
      </c>
      <c r="D964" s="971" t="s">
        <v>452</v>
      </c>
      <c r="E964" s="971" t="s">
        <v>1692</v>
      </c>
      <c r="F964" s="971" t="s">
        <v>605</v>
      </c>
      <c r="G964" s="971">
        <v>4523</v>
      </c>
      <c r="H964" s="971" t="s">
        <v>1793</v>
      </c>
      <c r="I964" s="1273" t="s">
        <v>139</v>
      </c>
      <c r="J964" s="971" t="s">
        <v>124</v>
      </c>
      <c r="K964" s="971" t="s">
        <v>1747</v>
      </c>
      <c r="L964" s="971" t="s">
        <v>6606</v>
      </c>
      <c r="M964" s="971" t="s">
        <v>606</v>
      </c>
      <c r="N964" s="971" t="s">
        <v>488</v>
      </c>
      <c r="O964" s="971" t="s">
        <v>518</v>
      </c>
      <c r="P964" s="971"/>
      <c r="Q964" s="971" t="s">
        <v>1805</v>
      </c>
      <c r="R964" s="1266" t="s">
        <v>1806</v>
      </c>
      <c r="S964" s="2106">
        <v>0</v>
      </c>
      <c r="T964" s="1266" t="s">
        <v>136</v>
      </c>
      <c r="U964" s="1742">
        <v>0.56041666666666667</v>
      </c>
      <c r="V964" s="1742">
        <v>1.9614583333333333</v>
      </c>
      <c r="W964" s="1742">
        <v>49.395125</v>
      </c>
      <c r="X964" s="1742">
        <v>77.264645833333333</v>
      </c>
      <c r="Y964" s="2106">
        <v>128.62122916666667</v>
      </c>
      <c r="Z964" s="2106">
        <v>0</v>
      </c>
      <c r="AA964" s="2106">
        <v>0</v>
      </c>
      <c r="AB964" s="2106">
        <v>0</v>
      </c>
      <c r="AC964" s="2106">
        <v>0</v>
      </c>
      <c r="AD964" s="1744">
        <v>0</v>
      </c>
      <c r="AE964" s="2126">
        <v>1</v>
      </c>
      <c r="AF964" s="2126">
        <v>0</v>
      </c>
      <c r="AG964" s="1212">
        <v>1</v>
      </c>
      <c r="AH964" s="1212">
        <v>0</v>
      </c>
      <c r="AI964" s="1212">
        <v>0</v>
      </c>
      <c r="AJ964" s="1212">
        <v>1</v>
      </c>
      <c r="AK964" s="2126">
        <v>0</v>
      </c>
      <c r="AL964" s="2126">
        <v>0</v>
      </c>
      <c r="AM964" s="2126">
        <v>0</v>
      </c>
      <c r="AN964" s="2126">
        <v>0</v>
      </c>
      <c r="AO964" s="1743" t="s">
        <v>85</v>
      </c>
      <c r="AP964" s="1743" t="s">
        <v>96</v>
      </c>
      <c r="AQ964" s="1764" t="s">
        <v>107</v>
      </c>
      <c r="AR964" s="1743" t="s">
        <v>87</v>
      </c>
      <c r="AS964" s="2135"/>
      <c r="AT964" s="2135"/>
      <c r="AU964" s="1212">
        <v>0.33333333333333331</v>
      </c>
      <c r="AV964" s="1212">
        <v>0.33333333333333331</v>
      </c>
      <c r="AW964" s="1212">
        <v>0.33333333333333331</v>
      </c>
      <c r="AX964" s="1212"/>
      <c r="AY964" s="1212"/>
      <c r="AZ964" s="1212"/>
      <c r="BA964" s="1212"/>
      <c r="BB964" s="1212"/>
      <c r="BC964" s="1212"/>
      <c r="BD964" s="1212"/>
      <c r="BE964" s="1212"/>
      <c r="BF964" s="2126">
        <v>0</v>
      </c>
      <c r="BG964" s="2126">
        <v>0</v>
      </c>
      <c r="BH964" s="2126">
        <v>0</v>
      </c>
      <c r="BI964" s="2126">
        <v>0</v>
      </c>
      <c r="BJ964" s="2126">
        <v>0</v>
      </c>
      <c r="BK964" s="2126">
        <v>0</v>
      </c>
      <c r="BL964" s="2126">
        <v>0</v>
      </c>
      <c r="BM964" s="2126">
        <v>0</v>
      </c>
      <c r="BN964" s="2126">
        <v>0</v>
      </c>
      <c r="BO964" s="2126">
        <v>0</v>
      </c>
      <c r="BP964" s="2126">
        <v>0</v>
      </c>
      <c r="BQ964" s="2126">
        <v>0</v>
      </c>
      <c r="BR964" s="2126">
        <v>0</v>
      </c>
    </row>
    <row r="965" spans="1:70" s="1765" customFormat="1" ht="49.5">
      <c r="A965" s="1272">
        <v>4000</v>
      </c>
      <c r="B965" s="971" t="s">
        <v>1316</v>
      </c>
      <c r="C965" s="1272">
        <v>4500</v>
      </c>
      <c r="D965" s="971" t="s">
        <v>452</v>
      </c>
      <c r="E965" s="971" t="s">
        <v>1692</v>
      </c>
      <c r="F965" s="971" t="s">
        <v>605</v>
      </c>
      <c r="G965" s="971">
        <v>4523</v>
      </c>
      <c r="H965" s="971" t="s">
        <v>1793</v>
      </c>
      <c r="I965" s="1273" t="s">
        <v>139</v>
      </c>
      <c r="J965" s="971" t="s">
        <v>124</v>
      </c>
      <c r="K965" s="971" t="s">
        <v>523</v>
      </c>
      <c r="L965" s="971" t="s">
        <v>6607</v>
      </c>
      <c r="M965" s="971" t="s">
        <v>523</v>
      </c>
      <c r="N965" s="971" t="s">
        <v>141</v>
      </c>
      <c r="O965" s="971" t="s">
        <v>524</v>
      </c>
      <c r="P965" s="971"/>
      <c r="Q965" s="971" t="s">
        <v>1807</v>
      </c>
      <c r="R965" s="1266" t="s">
        <v>1806</v>
      </c>
      <c r="S965" s="2106">
        <v>0</v>
      </c>
      <c r="T965" s="1266" t="s">
        <v>136</v>
      </c>
      <c r="U965" s="1742">
        <v>0.14520631503408685</v>
      </c>
      <c r="V965" s="1742">
        <v>1.8150789379260854</v>
      </c>
      <c r="W965" s="1742">
        <v>12.798484607104415</v>
      </c>
      <c r="X965" s="1742">
        <v>20.019594653749554</v>
      </c>
      <c r="Y965" s="2106">
        <v>34.633158198780052</v>
      </c>
      <c r="Z965" s="2106">
        <v>0</v>
      </c>
      <c r="AA965" s="2106">
        <v>0</v>
      </c>
      <c r="AB965" s="2106">
        <v>0</v>
      </c>
      <c r="AC965" s="2106">
        <v>0</v>
      </c>
      <c r="AD965" s="1744">
        <v>0</v>
      </c>
      <c r="AE965" s="2126">
        <v>0.75</v>
      </c>
      <c r="AF965" s="2126">
        <v>0</v>
      </c>
      <c r="AG965" s="1212">
        <v>1</v>
      </c>
      <c r="AH965" s="1212">
        <v>0</v>
      </c>
      <c r="AI965" s="1212">
        <v>0</v>
      </c>
      <c r="AJ965" s="1212">
        <v>1</v>
      </c>
      <c r="AK965" s="2126">
        <v>0</v>
      </c>
      <c r="AL965" s="2126">
        <v>0</v>
      </c>
      <c r="AM965" s="2126">
        <v>0</v>
      </c>
      <c r="AN965" s="2126">
        <v>0</v>
      </c>
      <c r="AO965" s="1743" t="s">
        <v>85</v>
      </c>
      <c r="AP965" s="1743" t="s">
        <v>96</v>
      </c>
      <c r="AQ965" s="1764" t="s">
        <v>107</v>
      </c>
      <c r="AR965" s="1743" t="s">
        <v>87</v>
      </c>
      <c r="AS965" s="2135"/>
      <c r="AT965" s="2135"/>
      <c r="AU965" s="1212">
        <v>0.33333333333333331</v>
      </c>
      <c r="AV965" s="1212">
        <v>0.33333333333333331</v>
      </c>
      <c r="AW965" s="1212">
        <v>0.33333333333333331</v>
      </c>
      <c r="AX965" s="1212"/>
      <c r="AY965" s="1212"/>
      <c r="AZ965" s="1212"/>
      <c r="BA965" s="1212"/>
      <c r="BB965" s="1212"/>
      <c r="BC965" s="1212"/>
      <c r="BD965" s="1212"/>
      <c r="BE965" s="1212"/>
      <c r="BF965" s="2126">
        <v>0</v>
      </c>
      <c r="BG965" s="2126">
        <v>0</v>
      </c>
      <c r="BH965" s="2126">
        <v>0</v>
      </c>
      <c r="BI965" s="2126">
        <v>0</v>
      </c>
      <c r="BJ965" s="2126">
        <v>0</v>
      </c>
      <c r="BK965" s="2126">
        <v>0</v>
      </c>
      <c r="BL965" s="2126">
        <v>0</v>
      </c>
      <c r="BM965" s="2126">
        <v>0</v>
      </c>
      <c r="BN965" s="2126">
        <v>0</v>
      </c>
      <c r="BO965" s="2126">
        <v>0</v>
      </c>
      <c r="BP965" s="2126">
        <v>0</v>
      </c>
      <c r="BQ965" s="2126">
        <v>0</v>
      </c>
      <c r="BR965" s="2126">
        <v>0</v>
      </c>
    </row>
    <row r="966" spans="1:70" s="1765" customFormat="1" ht="33">
      <c r="A966" s="1272">
        <v>4000</v>
      </c>
      <c r="B966" s="971" t="s">
        <v>1316</v>
      </c>
      <c r="C966" s="1272">
        <v>4500</v>
      </c>
      <c r="D966" s="971" t="s">
        <v>452</v>
      </c>
      <c r="E966" s="971" t="s">
        <v>1692</v>
      </c>
      <c r="F966" s="971" t="s">
        <v>605</v>
      </c>
      <c r="G966" s="971">
        <v>4523</v>
      </c>
      <c r="H966" s="971" t="s">
        <v>1793</v>
      </c>
      <c r="I966" s="1273" t="s">
        <v>139</v>
      </c>
      <c r="J966" s="971" t="s">
        <v>124</v>
      </c>
      <c r="K966" s="971" t="s">
        <v>140</v>
      </c>
      <c r="L966" s="971" t="s">
        <v>2909</v>
      </c>
      <c r="M966" s="971" t="s">
        <v>140</v>
      </c>
      <c r="N966" s="971" t="s">
        <v>141</v>
      </c>
      <c r="O966" s="971" t="s">
        <v>142</v>
      </c>
      <c r="P966" s="971"/>
      <c r="Q966" s="971" t="s">
        <v>1808</v>
      </c>
      <c r="R966" s="1266" t="s">
        <v>1806</v>
      </c>
      <c r="S966" s="2106">
        <v>0</v>
      </c>
      <c r="T966" s="1266" t="s">
        <v>136</v>
      </c>
      <c r="U966" s="1742">
        <v>0</v>
      </c>
      <c r="V966" s="1742">
        <v>0</v>
      </c>
      <c r="W966" s="1742">
        <v>0</v>
      </c>
      <c r="X966" s="1742">
        <v>0</v>
      </c>
      <c r="Y966" s="2106">
        <v>0</v>
      </c>
      <c r="Z966" s="2106">
        <v>0</v>
      </c>
      <c r="AA966" s="2106">
        <v>0</v>
      </c>
      <c r="AB966" s="2106">
        <v>0</v>
      </c>
      <c r="AC966" s="2106">
        <v>0</v>
      </c>
      <c r="AD966" s="1744">
        <v>0</v>
      </c>
      <c r="AE966" s="2126">
        <v>0</v>
      </c>
      <c r="AF966" s="2126">
        <v>0</v>
      </c>
      <c r="AG966" s="1212">
        <v>1</v>
      </c>
      <c r="AH966" s="1212">
        <v>0</v>
      </c>
      <c r="AI966" s="1212">
        <v>0</v>
      </c>
      <c r="AJ966" s="1212">
        <v>1</v>
      </c>
      <c r="AK966" s="2126">
        <v>0</v>
      </c>
      <c r="AL966" s="2126">
        <v>0</v>
      </c>
      <c r="AM966" s="2126">
        <v>0</v>
      </c>
      <c r="AN966" s="2126">
        <v>0</v>
      </c>
      <c r="AO966" s="1743" t="s">
        <v>85</v>
      </c>
      <c r="AP966" s="1743" t="s">
        <v>96</v>
      </c>
      <c r="AQ966" s="1764" t="s">
        <v>107</v>
      </c>
      <c r="AR966" s="1743" t="s">
        <v>87</v>
      </c>
      <c r="AS966" s="2135"/>
      <c r="AT966" s="2135"/>
      <c r="AU966" s="1212">
        <v>0.33333333333333331</v>
      </c>
      <c r="AV966" s="1212">
        <v>0.33333333333333331</v>
      </c>
      <c r="AW966" s="1212">
        <v>0.33333333333333331</v>
      </c>
      <c r="AX966" s="1212"/>
      <c r="AY966" s="1212"/>
      <c r="AZ966" s="1212"/>
      <c r="BA966" s="1212"/>
      <c r="BB966" s="1212"/>
      <c r="BC966" s="1212"/>
      <c r="BD966" s="1212"/>
      <c r="BE966" s="1212"/>
      <c r="BF966" s="2126">
        <v>0</v>
      </c>
      <c r="BG966" s="2126">
        <v>0</v>
      </c>
      <c r="BH966" s="2126">
        <v>0</v>
      </c>
      <c r="BI966" s="2126">
        <v>0</v>
      </c>
      <c r="BJ966" s="2126">
        <v>0</v>
      </c>
      <c r="BK966" s="2126">
        <v>0</v>
      </c>
      <c r="BL966" s="2126">
        <v>0</v>
      </c>
      <c r="BM966" s="2126">
        <v>0</v>
      </c>
      <c r="BN966" s="2126">
        <v>0</v>
      </c>
      <c r="BO966" s="2126">
        <v>0</v>
      </c>
      <c r="BP966" s="2126">
        <v>0</v>
      </c>
      <c r="BQ966" s="2126">
        <v>0</v>
      </c>
      <c r="BR966" s="2126">
        <v>0</v>
      </c>
    </row>
    <row r="967" spans="1:70" s="1765" customFormat="1" ht="49.5">
      <c r="A967" s="1272">
        <v>4000</v>
      </c>
      <c r="B967" s="971" t="s">
        <v>1316</v>
      </c>
      <c r="C967" s="1272">
        <v>4500</v>
      </c>
      <c r="D967" s="971" t="s">
        <v>452</v>
      </c>
      <c r="E967" s="971" t="s">
        <v>1809</v>
      </c>
      <c r="F967" s="971" t="s">
        <v>605</v>
      </c>
      <c r="G967" s="971">
        <v>4530</v>
      </c>
      <c r="H967" s="971" t="s">
        <v>605</v>
      </c>
      <c r="I967" s="1273"/>
      <c r="J967" s="971" t="s">
        <v>124</v>
      </c>
      <c r="K967" s="971" t="s">
        <v>784</v>
      </c>
      <c r="L967" s="971" t="s">
        <v>2852</v>
      </c>
      <c r="M967" s="971" t="s">
        <v>214</v>
      </c>
      <c r="N967" s="971" t="s">
        <v>127</v>
      </c>
      <c r="O967" s="971" t="s">
        <v>215</v>
      </c>
      <c r="P967" s="971"/>
      <c r="Q967" s="971" t="s">
        <v>1810</v>
      </c>
      <c r="R967" s="1266" t="s">
        <v>1811</v>
      </c>
      <c r="S967" s="2106">
        <v>20</v>
      </c>
      <c r="T967" s="1266" t="s">
        <v>136</v>
      </c>
      <c r="U967" s="1742">
        <v>0.22416666666666665</v>
      </c>
      <c r="V967" s="1742">
        <v>2.8020833333333335</v>
      </c>
      <c r="W967" s="1742">
        <v>19.758049999999997</v>
      </c>
      <c r="X967" s="1742">
        <v>30.905858333333335</v>
      </c>
      <c r="Y967" s="2106">
        <v>53.46599166666666</v>
      </c>
      <c r="Z967" s="2106">
        <v>4.4833333333333334</v>
      </c>
      <c r="AA967" s="2106">
        <v>56.041666666666671</v>
      </c>
      <c r="AB967" s="2106">
        <v>395.16099999999994</v>
      </c>
      <c r="AC967" s="2106">
        <v>618.11716666666666</v>
      </c>
      <c r="AD967" s="1744">
        <v>1069.3198333333332</v>
      </c>
      <c r="AE967" s="2126">
        <v>1</v>
      </c>
      <c r="AF967" s="2126">
        <v>20</v>
      </c>
      <c r="AG967" s="1212">
        <v>1</v>
      </c>
      <c r="AH967" s="1212">
        <v>0</v>
      </c>
      <c r="AI967" s="1212">
        <v>0</v>
      </c>
      <c r="AJ967" s="1212">
        <v>1</v>
      </c>
      <c r="AK967" s="2126">
        <v>1069.3198333333332</v>
      </c>
      <c r="AL967" s="2126">
        <v>0</v>
      </c>
      <c r="AM967" s="2126">
        <v>0</v>
      </c>
      <c r="AN967" s="2126">
        <v>1069.3198333333332</v>
      </c>
      <c r="AO967" s="1743" t="s">
        <v>85</v>
      </c>
      <c r="AP967" s="1743" t="s">
        <v>90</v>
      </c>
      <c r="AQ967" s="1764" t="s">
        <v>108</v>
      </c>
      <c r="AR967" s="1743" t="s">
        <v>87</v>
      </c>
      <c r="AS967" s="2135"/>
      <c r="AT967" s="2135"/>
      <c r="AU967" s="1212">
        <v>0.33333333333333331</v>
      </c>
      <c r="AV967" s="1212">
        <v>0.33333333333333331</v>
      </c>
      <c r="AW967" s="1212">
        <v>0.33333333333333331</v>
      </c>
      <c r="AX967" s="1212"/>
      <c r="AY967" s="1212"/>
      <c r="AZ967" s="1212"/>
      <c r="BA967" s="1212"/>
      <c r="BB967" s="1212"/>
      <c r="BC967" s="1212"/>
      <c r="BD967" s="1212"/>
      <c r="BE967" s="1212"/>
      <c r="BF967" s="2126">
        <v>0</v>
      </c>
      <c r="BG967" s="2126">
        <v>0</v>
      </c>
      <c r="BH967" s="2126">
        <v>356.43994444444439</v>
      </c>
      <c r="BI967" s="2126">
        <v>356.43994444444439</v>
      </c>
      <c r="BJ967" s="2126">
        <v>356.43994444444439</v>
      </c>
      <c r="BK967" s="2126">
        <v>0</v>
      </c>
      <c r="BL967" s="2126">
        <v>0</v>
      </c>
      <c r="BM967" s="2126">
        <v>0</v>
      </c>
      <c r="BN967" s="2126">
        <v>0</v>
      </c>
      <c r="BO967" s="2126">
        <v>0</v>
      </c>
      <c r="BP967" s="2126">
        <v>0</v>
      </c>
      <c r="BQ967" s="2126">
        <v>0</v>
      </c>
      <c r="BR967" s="2126">
        <v>0</v>
      </c>
    </row>
    <row r="968" spans="1:70" s="1765" customFormat="1" ht="49.5">
      <c r="A968" s="1272">
        <v>4000</v>
      </c>
      <c r="B968" s="971" t="s">
        <v>1316</v>
      </c>
      <c r="C968" s="1272">
        <v>4500</v>
      </c>
      <c r="D968" s="971" t="s">
        <v>452</v>
      </c>
      <c r="E968" s="971" t="s">
        <v>1809</v>
      </c>
      <c r="F968" s="971" t="s">
        <v>605</v>
      </c>
      <c r="G968" s="971">
        <v>4530</v>
      </c>
      <c r="H968" s="971" t="s">
        <v>605</v>
      </c>
      <c r="I968" s="1273"/>
      <c r="J968" s="971" t="s">
        <v>124</v>
      </c>
      <c r="K968" s="971" t="s">
        <v>506</v>
      </c>
      <c r="L968" s="971" t="s">
        <v>6608</v>
      </c>
      <c r="M968" s="971" t="s">
        <v>506</v>
      </c>
      <c r="N968" s="971" t="s">
        <v>141</v>
      </c>
      <c r="O968" s="971" t="s">
        <v>507</v>
      </c>
      <c r="P968" s="971"/>
      <c r="Q968" s="971" t="s">
        <v>1812</v>
      </c>
      <c r="R968" s="1266"/>
      <c r="S968" s="2106">
        <v>60</v>
      </c>
      <c r="T968" s="1266" t="s">
        <v>136</v>
      </c>
      <c r="U968" s="1742">
        <v>0.125</v>
      </c>
      <c r="V968" s="1742">
        <v>1.875</v>
      </c>
      <c r="W968" s="1742">
        <v>11.0175</v>
      </c>
      <c r="X968" s="1742">
        <v>18.75</v>
      </c>
      <c r="Y968" s="2106">
        <v>31.642499999999998</v>
      </c>
      <c r="Z968" s="2106">
        <v>7.5</v>
      </c>
      <c r="AA968" s="2106">
        <v>112.5</v>
      </c>
      <c r="AB968" s="2106">
        <v>661.05</v>
      </c>
      <c r="AC968" s="2106">
        <v>1125</v>
      </c>
      <c r="AD968" s="1744">
        <v>1898.55</v>
      </c>
      <c r="AE968" s="2126">
        <v>0</v>
      </c>
      <c r="AF968" s="2126">
        <v>0</v>
      </c>
      <c r="AG968" s="1212">
        <v>1</v>
      </c>
      <c r="AH968" s="1212">
        <v>0</v>
      </c>
      <c r="AI968" s="1212">
        <v>0</v>
      </c>
      <c r="AJ968" s="1212">
        <v>1</v>
      </c>
      <c r="AK968" s="2126">
        <v>1898.55</v>
      </c>
      <c r="AL968" s="2126">
        <v>0</v>
      </c>
      <c r="AM968" s="2126">
        <v>0</v>
      </c>
      <c r="AN968" s="2126">
        <v>1898.55</v>
      </c>
      <c r="AO968" s="1743" t="s">
        <v>85</v>
      </c>
      <c r="AP968" s="1743"/>
      <c r="AQ968" s="1764">
        <v>2020</v>
      </c>
      <c r="AR968" s="1743" t="s">
        <v>87</v>
      </c>
      <c r="AS968" s="2135"/>
      <c r="AT968" s="2135"/>
      <c r="AU968" s="1212">
        <v>0.33333333333333331</v>
      </c>
      <c r="AV968" s="1212">
        <v>0.33333333333333331</v>
      </c>
      <c r="AW968" s="1212">
        <v>0.33333333333333331</v>
      </c>
      <c r="AX968" s="1212"/>
      <c r="AY968" s="1212"/>
      <c r="AZ968" s="1212"/>
      <c r="BA968" s="1212"/>
      <c r="BB968" s="1212"/>
      <c r="BC968" s="1212"/>
      <c r="BD968" s="1212"/>
      <c r="BE968" s="1212"/>
      <c r="BF968" s="2126">
        <v>0</v>
      </c>
      <c r="BG968" s="2126">
        <v>0</v>
      </c>
      <c r="BH968" s="2126">
        <v>632.84999999999991</v>
      </c>
      <c r="BI968" s="2126">
        <v>632.84999999999991</v>
      </c>
      <c r="BJ968" s="2126">
        <v>632.84999999999991</v>
      </c>
      <c r="BK968" s="2126">
        <v>0</v>
      </c>
      <c r="BL968" s="2126">
        <v>0</v>
      </c>
      <c r="BM968" s="2126">
        <v>0</v>
      </c>
      <c r="BN968" s="2126">
        <v>0</v>
      </c>
      <c r="BO968" s="2126">
        <v>0</v>
      </c>
      <c r="BP968" s="2126">
        <v>0</v>
      </c>
      <c r="BQ968" s="2126">
        <v>0</v>
      </c>
      <c r="BR968" s="2126">
        <v>0</v>
      </c>
    </row>
    <row r="969" spans="1:70" s="1765" customFormat="1" ht="49.5">
      <c r="A969" s="1272">
        <v>4000</v>
      </c>
      <c r="B969" s="971" t="s">
        <v>1316</v>
      </c>
      <c r="C969" s="1272">
        <v>4500</v>
      </c>
      <c r="D969" s="971" t="s">
        <v>452</v>
      </c>
      <c r="E969" s="971" t="s">
        <v>1809</v>
      </c>
      <c r="F969" s="971" t="s">
        <v>605</v>
      </c>
      <c r="G969" s="971">
        <v>4530</v>
      </c>
      <c r="H969" s="971" t="s">
        <v>605</v>
      </c>
      <c r="I969" s="1273"/>
      <c r="J969" s="971" t="s">
        <v>124</v>
      </c>
      <c r="K969" s="971" t="s">
        <v>506</v>
      </c>
      <c r="L969" s="971" t="s">
        <v>6608</v>
      </c>
      <c r="M969" s="971" t="s">
        <v>506</v>
      </c>
      <c r="N969" s="971" t="s">
        <v>141</v>
      </c>
      <c r="O969" s="971" t="s">
        <v>507</v>
      </c>
      <c r="P969" s="971"/>
      <c r="Q969" s="971" t="s">
        <v>1813</v>
      </c>
      <c r="R969" s="1266"/>
      <c r="S969" s="2106">
        <v>1020</v>
      </c>
      <c r="T969" s="1266" t="s">
        <v>136</v>
      </c>
      <c r="U969" s="1742">
        <v>0.125</v>
      </c>
      <c r="V969" s="1742">
        <v>1.875</v>
      </c>
      <c r="W969" s="1742">
        <v>11.0175</v>
      </c>
      <c r="X969" s="1742">
        <v>18.75</v>
      </c>
      <c r="Y969" s="2106">
        <v>31.642499999999998</v>
      </c>
      <c r="Z969" s="2106">
        <v>127.5</v>
      </c>
      <c r="AA969" s="2106">
        <v>1912.5</v>
      </c>
      <c r="AB969" s="2106">
        <v>11237.85</v>
      </c>
      <c r="AC969" s="2106">
        <v>19125</v>
      </c>
      <c r="AD969" s="1744">
        <v>32275.35</v>
      </c>
      <c r="AE969" s="2126">
        <v>0</v>
      </c>
      <c r="AF969" s="2126">
        <v>0</v>
      </c>
      <c r="AG969" s="1212">
        <v>1</v>
      </c>
      <c r="AH969" s="1212">
        <v>0</v>
      </c>
      <c r="AI969" s="1212">
        <v>0</v>
      </c>
      <c r="AJ969" s="1212">
        <v>1</v>
      </c>
      <c r="AK969" s="2126">
        <v>32275.35</v>
      </c>
      <c r="AL969" s="2126">
        <v>0</v>
      </c>
      <c r="AM969" s="2126">
        <v>0</v>
      </c>
      <c r="AN969" s="2126">
        <v>32275.35</v>
      </c>
      <c r="AO969" s="1743" t="s">
        <v>85</v>
      </c>
      <c r="AP969" s="1743" t="s">
        <v>90</v>
      </c>
      <c r="AQ969" s="1764">
        <v>2021</v>
      </c>
      <c r="AR969" s="1743" t="s">
        <v>87</v>
      </c>
      <c r="AS969" s="2135"/>
      <c r="AT969" s="2135"/>
      <c r="AU969" s="1212">
        <v>0.33333333333333331</v>
      </c>
      <c r="AV969" s="1212">
        <v>0.33333333333333331</v>
      </c>
      <c r="AW969" s="1212">
        <v>0.33333333333333331</v>
      </c>
      <c r="AX969" s="1212"/>
      <c r="AY969" s="1212"/>
      <c r="AZ969" s="1212"/>
      <c r="BA969" s="1212"/>
      <c r="BB969" s="1212"/>
      <c r="BC969" s="1212"/>
      <c r="BD969" s="1212"/>
      <c r="BE969" s="1212"/>
      <c r="BF969" s="2126">
        <v>0</v>
      </c>
      <c r="BG969" s="2126">
        <v>0</v>
      </c>
      <c r="BH969" s="2126">
        <v>10758.449999999999</v>
      </c>
      <c r="BI969" s="2126">
        <v>10758.449999999999</v>
      </c>
      <c r="BJ969" s="2126">
        <v>10758.449999999999</v>
      </c>
      <c r="BK969" s="2126">
        <v>0</v>
      </c>
      <c r="BL969" s="2126">
        <v>0</v>
      </c>
      <c r="BM969" s="2126">
        <v>0</v>
      </c>
      <c r="BN969" s="2126">
        <v>0</v>
      </c>
      <c r="BO969" s="2126">
        <v>0</v>
      </c>
      <c r="BP969" s="2126">
        <v>0</v>
      </c>
      <c r="BQ969" s="2126">
        <v>0</v>
      </c>
      <c r="BR969" s="2126">
        <v>0</v>
      </c>
    </row>
    <row r="970" spans="1:70" s="1765" customFormat="1" ht="49.5">
      <c r="A970" s="1272">
        <v>4000</v>
      </c>
      <c r="B970" s="971" t="s">
        <v>1316</v>
      </c>
      <c r="C970" s="1272">
        <v>4500</v>
      </c>
      <c r="D970" s="971" t="s">
        <v>452</v>
      </c>
      <c r="E970" s="971" t="s">
        <v>1809</v>
      </c>
      <c r="F970" s="971" t="s">
        <v>605</v>
      </c>
      <c r="G970" s="971">
        <v>4530</v>
      </c>
      <c r="H970" s="971" t="s">
        <v>605</v>
      </c>
      <c r="I970" s="1273"/>
      <c r="J970" s="971" t="s">
        <v>124</v>
      </c>
      <c r="K970" s="971" t="s">
        <v>506</v>
      </c>
      <c r="L970" s="971" t="s">
        <v>6608</v>
      </c>
      <c r="M970" s="971" t="s">
        <v>506</v>
      </c>
      <c r="N970" s="971" t="s">
        <v>141</v>
      </c>
      <c r="O970" s="971" t="s">
        <v>507</v>
      </c>
      <c r="P970" s="971"/>
      <c r="Q970" s="971" t="s">
        <v>1814</v>
      </c>
      <c r="R970" s="1266"/>
      <c r="S970" s="2106">
        <v>600</v>
      </c>
      <c r="T970" s="1266" t="s">
        <v>136</v>
      </c>
      <c r="U970" s="1742">
        <v>0.125</v>
      </c>
      <c r="V970" s="1742">
        <v>1.875</v>
      </c>
      <c r="W970" s="1742">
        <v>11.0175</v>
      </c>
      <c r="X970" s="1742">
        <v>18.75</v>
      </c>
      <c r="Y970" s="2106">
        <v>31.642499999999998</v>
      </c>
      <c r="Z970" s="2106">
        <v>75</v>
      </c>
      <c r="AA970" s="2106">
        <v>1125</v>
      </c>
      <c r="AB970" s="2106">
        <v>6610.5</v>
      </c>
      <c r="AC970" s="2106">
        <v>11250</v>
      </c>
      <c r="AD970" s="1744">
        <v>18985.5</v>
      </c>
      <c r="AE970" s="2126">
        <v>0</v>
      </c>
      <c r="AF970" s="2126">
        <v>0</v>
      </c>
      <c r="AG970" s="1212">
        <v>1</v>
      </c>
      <c r="AH970" s="1212">
        <v>0</v>
      </c>
      <c r="AI970" s="1212">
        <v>0</v>
      </c>
      <c r="AJ970" s="1212">
        <v>1</v>
      </c>
      <c r="AK970" s="2126">
        <v>18985.5</v>
      </c>
      <c r="AL970" s="2126">
        <v>0</v>
      </c>
      <c r="AM970" s="2126">
        <v>0</v>
      </c>
      <c r="AN970" s="2126">
        <v>18985.5</v>
      </c>
      <c r="AO970" s="1743" t="s">
        <v>85</v>
      </c>
      <c r="AP970" s="1743" t="s">
        <v>90</v>
      </c>
      <c r="AQ970" s="1764">
        <v>2021</v>
      </c>
      <c r="AR970" s="1743" t="s">
        <v>87</v>
      </c>
      <c r="AS970" s="2135"/>
      <c r="AT970" s="2135"/>
      <c r="AU970" s="1212">
        <v>0.33333333333333331</v>
      </c>
      <c r="AV970" s="1212">
        <v>0.33333333333333331</v>
      </c>
      <c r="AW970" s="1212">
        <v>0.33333333333333331</v>
      </c>
      <c r="AX970" s="1212"/>
      <c r="AY970" s="1212"/>
      <c r="AZ970" s="1212"/>
      <c r="BA970" s="1212"/>
      <c r="BB970" s="1212"/>
      <c r="BC970" s="1212"/>
      <c r="BD970" s="1212"/>
      <c r="BE970" s="1212"/>
      <c r="BF970" s="2126">
        <v>0</v>
      </c>
      <c r="BG970" s="2126">
        <v>0</v>
      </c>
      <c r="BH970" s="2126">
        <v>6328.5</v>
      </c>
      <c r="BI970" s="2126">
        <v>6328.5</v>
      </c>
      <c r="BJ970" s="2126">
        <v>6328.5</v>
      </c>
      <c r="BK970" s="2126">
        <v>0</v>
      </c>
      <c r="BL970" s="2126">
        <v>0</v>
      </c>
      <c r="BM970" s="2126">
        <v>0</v>
      </c>
      <c r="BN970" s="2126">
        <v>0</v>
      </c>
      <c r="BO970" s="2126">
        <v>0</v>
      </c>
      <c r="BP970" s="2126">
        <v>0</v>
      </c>
      <c r="BQ970" s="2126">
        <v>0</v>
      </c>
      <c r="BR970" s="2126">
        <v>0</v>
      </c>
    </row>
    <row r="971" spans="1:70" s="1765" customFormat="1" ht="49.5">
      <c r="A971" s="1272">
        <v>4000</v>
      </c>
      <c r="B971" s="971" t="s">
        <v>1316</v>
      </c>
      <c r="C971" s="1272">
        <v>4500</v>
      </c>
      <c r="D971" s="971" t="s">
        <v>452</v>
      </c>
      <c r="E971" s="971" t="s">
        <v>1809</v>
      </c>
      <c r="F971" s="971" t="s">
        <v>605</v>
      </c>
      <c r="G971" s="971">
        <v>4530</v>
      </c>
      <c r="H971" s="971" t="s">
        <v>605</v>
      </c>
      <c r="I971" s="1273"/>
      <c r="J971" s="971" t="s">
        <v>124</v>
      </c>
      <c r="K971" s="971" t="s">
        <v>506</v>
      </c>
      <c r="L971" s="971" t="s">
        <v>6608</v>
      </c>
      <c r="M971" s="971" t="s">
        <v>506</v>
      </c>
      <c r="N971" s="971" t="s">
        <v>141</v>
      </c>
      <c r="O971" s="971" t="s">
        <v>507</v>
      </c>
      <c r="P971" s="971"/>
      <c r="Q971" s="971" t="s">
        <v>1815</v>
      </c>
      <c r="R971" s="1266"/>
      <c r="S971" s="2106">
        <v>180</v>
      </c>
      <c r="T971" s="1266" t="s">
        <v>136</v>
      </c>
      <c r="U971" s="1742">
        <v>0.125</v>
      </c>
      <c r="V971" s="1742">
        <v>1.875</v>
      </c>
      <c r="W971" s="1742">
        <v>11.0175</v>
      </c>
      <c r="X971" s="1742">
        <v>18.75</v>
      </c>
      <c r="Y971" s="2106">
        <v>31.642499999999998</v>
      </c>
      <c r="Z971" s="2106">
        <v>22.5</v>
      </c>
      <c r="AA971" s="2106">
        <v>337.5</v>
      </c>
      <c r="AB971" s="2106">
        <v>1983.15</v>
      </c>
      <c r="AC971" s="2106">
        <v>3375</v>
      </c>
      <c r="AD971" s="1744">
        <v>5695.65</v>
      </c>
      <c r="AE971" s="2126">
        <v>0</v>
      </c>
      <c r="AF971" s="2126">
        <v>0</v>
      </c>
      <c r="AG971" s="1212">
        <v>1</v>
      </c>
      <c r="AH971" s="1212">
        <v>0</v>
      </c>
      <c r="AI971" s="1212">
        <v>0</v>
      </c>
      <c r="AJ971" s="1212">
        <v>1</v>
      </c>
      <c r="AK971" s="2126">
        <v>5695.65</v>
      </c>
      <c r="AL971" s="2126">
        <v>0</v>
      </c>
      <c r="AM971" s="2126">
        <v>0</v>
      </c>
      <c r="AN971" s="2126">
        <v>5695.65</v>
      </c>
      <c r="AO971" s="1743" t="s">
        <v>85</v>
      </c>
      <c r="AP971" s="1743"/>
      <c r="AQ971" s="1764">
        <v>2014</v>
      </c>
      <c r="AR971" s="1743" t="s">
        <v>87</v>
      </c>
      <c r="AS971" s="2135"/>
      <c r="AT971" s="2135"/>
      <c r="AU971" s="1212">
        <v>0.33333333333333331</v>
      </c>
      <c r="AV971" s="1212">
        <v>0.33333333333333331</v>
      </c>
      <c r="AW971" s="1212">
        <v>0.33333333333333331</v>
      </c>
      <c r="AX971" s="1212"/>
      <c r="AY971" s="1212"/>
      <c r="AZ971" s="1212"/>
      <c r="BA971" s="1212"/>
      <c r="BB971" s="1212"/>
      <c r="BC971" s="1212"/>
      <c r="BD971" s="1212"/>
      <c r="BE971" s="1212"/>
      <c r="BF971" s="2126">
        <v>0</v>
      </c>
      <c r="BG971" s="2126">
        <v>0</v>
      </c>
      <c r="BH971" s="2126">
        <v>1898.5499999999997</v>
      </c>
      <c r="BI971" s="2126">
        <v>1898.5499999999997</v>
      </c>
      <c r="BJ971" s="2126">
        <v>1898.5499999999997</v>
      </c>
      <c r="BK971" s="2126">
        <v>0</v>
      </c>
      <c r="BL971" s="2126">
        <v>0</v>
      </c>
      <c r="BM971" s="2126">
        <v>0</v>
      </c>
      <c r="BN971" s="2126">
        <v>0</v>
      </c>
      <c r="BO971" s="2126">
        <v>0</v>
      </c>
      <c r="BP971" s="2126">
        <v>0</v>
      </c>
      <c r="BQ971" s="2126">
        <v>0</v>
      </c>
      <c r="BR971" s="2126">
        <v>0</v>
      </c>
    </row>
    <row r="972" spans="1:70" s="1765" customFormat="1" ht="49.5">
      <c r="A972" s="1272">
        <v>4000</v>
      </c>
      <c r="B972" s="971" t="s">
        <v>1316</v>
      </c>
      <c r="C972" s="1272">
        <v>4500</v>
      </c>
      <c r="D972" s="971" t="s">
        <v>452</v>
      </c>
      <c r="E972" s="971" t="s">
        <v>1809</v>
      </c>
      <c r="F972" s="971" t="s">
        <v>701</v>
      </c>
      <c r="G972" s="971">
        <v>4530</v>
      </c>
      <c r="H972" s="971" t="s">
        <v>701</v>
      </c>
      <c r="I972" s="1273" t="s">
        <v>1816</v>
      </c>
      <c r="J972" s="971" t="s">
        <v>124</v>
      </c>
      <c r="K972" s="971" t="s">
        <v>2857</v>
      </c>
      <c r="L972" s="971" t="s">
        <v>2858</v>
      </c>
      <c r="M972" s="971" t="s">
        <v>703</v>
      </c>
      <c r="N972" s="971" t="s">
        <v>488</v>
      </c>
      <c r="O972" s="971" t="s">
        <v>459</v>
      </c>
      <c r="P972" s="971"/>
      <c r="Q972" s="971" t="s">
        <v>704</v>
      </c>
      <c r="R972" s="1266" t="s">
        <v>1817</v>
      </c>
      <c r="S972" s="2106">
        <v>66.914498141263948</v>
      </c>
      <c r="T972" s="1266" t="s">
        <v>136</v>
      </c>
      <c r="U972" s="1742">
        <v>0.56041666666666667</v>
      </c>
      <c r="V972" s="1742">
        <v>2.8020833333333335</v>
      </c>
      <c r="W972" s="1742">
        <v>49.395125</v>
      </c>
      <c r="X972" s="1742">
        <v>77.264645833333333</v>
      </c>
      <c r="Y972" s="2106">
        <v>129.46185416666665</v>
      </c>
      <c r="Z972" s="2106">
        <v>37.500000000000007</v>
      </c>
      <c r="AA972" s="2106">
        <v>187.50000000000003</v>
      </c>
      <c r="AB972" s="2106">
        <v>3305.2500000000005</v>
      </c>
      <c r="AC972" s="2106">
        <v>5170.1250000000009</v>
      </c>
      <c r="AD972" s="1744">
        <v>8662.8750000000018</v>
      </c>
      <c r="AE972" s="2126">
        <v>1</v>
      </c>
      <c r="AF972" s="2126">
        <v>66.914498141263948</v>
      </c>
      <c r="AG972" s="1212">
        <v>1</v>
      </c>
      <c r="AH972" s="1212">
        <v>0</v>
      </c>
      <c r="AI972" s="1212">
        <v>0</v>
      </c>
      <c r="AJ972" s="1212">
        <v>1</v>
      </c>
      <c r="AK972" s="2126">
        <v>8662.8750000000018</v>
      </c>
      <c r="AL972" s="2126">
        <v>0</v>
      </c>
      <c r="AM972" s="2126">
        <v>0</v>
      </c>
      <c r="AN972" s="2126">
        <v>8662.8750000000018</v>
      </c>
      <c r="AO972" s="1743" t="s">
        <v>85</v>
      </c>
      <c r="AP972" s="1743"/>
      <c r="AQ972" s="1764">
        <v>2014</v>
      </c>
      <c r="AR972" s="1743" t="s">
        <v>87</v>
      </c>
      <c r="AS972" s="2135"/>
      <c r="AT972" s="2135"/>
      <c r="AU972" s="1212">
        <v>0.33333333333333331</v>
      </c>
      <c r="AV972" s="1212">
        <v>0.33333333333333331</v>
      </c>
      <c r="AW972" s="1212">
        <v>0.33333333333333331</v>
      </c>
      <c r="AX972" s="1212"/>
      <c r="AY972" s="1212"/>
      <c r="AZ972" s="1212"/>
      <c r="BA972" s="1212"/>
      <c r="BB972" s="1212"/>
      <c r="BC972" s="1212"/>
      <c r="BD972" s="1212"/>
      <c r="BE972" s="1212"/>
      <c r="BF972" s="2126">
        <v>0</v>
      </c>
      <c r="BG972" s="2126">
        <v>0</v>
      </c>
      <c r="BH972" s="2126">
        <v>2887.6250000000005</v>
      </c>
      <c r="BI972" s="2126">
        <v>2887.6250000000005</v>
      </c>
      <c r="BJ972" s="2126">
        <v>2887.6250000000005</v>
      </c>
      <c r="BK972" s="2126">
        <v>0</v>
      </c>
      <c r="BL972" s="2126">
        <v>0</v>
      </c>
      <c r="BM972" s="2126">
        <v>0</v>
      </c>
      <c r="BN972" s="2126">
        <v>0</v>
      </c>
      <c r="BO972" s="2126">
        <v>0</v>
      </c>
      <c r="BP972" s="2126">
        <v>0</v>
      </c>
      <c r="BQ972" s="2126">
        <v>0</v>
      </c>
      <c r="BR972" s="2126">
        <v>0</v>
      </c>
    </row>
    <row r="973" spans="1:70" s="1765" customFormat="1" ht="49.5">
      <c r="A973" s="1272">
        <v>4000</v>
      </c>
      <c r="B973" s="971" t="s">
        <v>1316</v>
      </c>
      <c r="C973" s="1272">
        <v>4500</v>
      </c>
      <c r="D973" s="971" t="s">
        <v>452</v>
      </c>
      <c r="E973" s="971" t="s">
        <v>1809</v>
      </c>
      <c r="F973" s="971" t="s">
        <v>701</v>
      </c>
      <c r="G973" s="971">
        <v>4530</v>
      </c>
      <c r="H973" s="971" t="s">
        <v>701</v>
      </c>
      <c r="I973" s="1273" t="s">
        <v>1818</v>
      </c>
      <c r="J973" s="971" t="s">
        <v>124</v>
      </c>
      <c r="K973" s="971" t="s">
        <v>2857</v>
      </c>
      <c r="L973" s="971" t="s">
        <v>2858</v>
      </c>
      <c r="M973" s="971" t="s">
        <v>703</v>
      </c>
      <c r="N973" s="971" t="s">
        <v>488</v>
      </c>
      <c r="O973" s="971" t="s">
        <v>459</v>
      </c>
      <c r="P973" s="971"/>
      <c r="Q973" s="971" t="s">
        <v>707</v>
      </c>
      <c r="R973" s="1266" t="s">
        <v>1819</v>
      </c>
      <c r="S973" s="2106">
        <v>66.914498141263948</v>
      </c>
      <c r="T973" s="1266" t="s">
        <v>136</v>
      </c>
      <c r="U973" s="1742">
        <v>0.56041666666666667</v>
      </c>
      <c r="V973" s="1742">
        <v>2.8020833333333335</v>
      </c>
      <c r="W973" s="1742">
        <v>49.395125</v>
      </c>
      <c r="X973" s="1742">
        <v>77.264645833333333</v>
      </c>
      <c r="Y973" s="2106">
        <v>129.46185416666665</v>
      </c>
      <c r="Z973" s="2106">
        <v>37.500000000000007</v>
      </c>
      <c r="AA973" s="2106">
        <v>187.50000000000003</v>
      </c>
      <c r="AB973" s="2106">
        <v>3305.2500000000005</v>
      </c>
      <c r="AC973" s="2106">
        <v>5170.1250000000009</v>
      </c>
      <c r="AD973" s="1744">
        <v>8662.8750000000018</v>
      </c>
      <c r="AE973" s="2126">
        <v>1</v>
      </c>
      <c r="AF973" s="2126">
        <v>66.914498141263948</v>
      </c>
      <c r="AG973" s="1212">
        <v>1</v>
      </c>
      <c r="AH973" s="1212">
        <v>0</v>
      </c>
      <c r="AI973" s="1212">
        <v>0</v>
      </c>
      <c r="AJ973" s="1212">
        <v>1</v>
      </c>
      <c r="AK973" s="2126">
        <v>8662.8750000000018</v>
      </c>
      <c r="AL973" s="2126">
        <v>0</v>
      </c>
      <c r="AM973" s="2126">
        <v>0</v>
      </c>
      <c r="AN973" s="2126">
        <v>8662.8750000000018</v>
      </c>
      <c r="AO973" s="1743" t="s">
        <v>85</v>
      </c>
      <c r="AP973" s="1743"/>
      <c r="AQ973" s="1764">
        <v>2014</v>
      </c>
      <c r="AR973" s="1743" t="s">
        <v>87</v>
      </c>
      <c r="AS973" s="2135"/>
      <c r="AT973" s="2135"/>
      <c r="AU973" s="1212">
        <v>0.33333333333333331</v>
      </c>
      <c r="AV973" s="1212">
        <v>0.33333333333333331</v>
      </c>
      <c r="AW973" s="1212">
        <v>0.33333333333333331</v>
      </c>
      <c r="AX973" s="1212"/>
      <c r="AY973" s="1212"/>
      <c r="AZ973" s="1212"/>
      <c r="BA973" s="1212"/>
      <c r="BB973" s="1212"/>
      <c r="BC973" s="1212"/>
      <c r="BD973" s="1212"/>
      <c r="BE973" s="1212"/>
      <c r="BF973" s="2126">
        <v>0</v>
      </c>
      <c r="BG973" s="2126">
        <v>0</v>
      </c>
      <c r="BH973" s="2126">
        <v>2887.6250000000005</v>
      </c>
      <c r="BI973" s="2126">
        <v>2887.6250000000005</v>
      </c>
      <c r="BJ973" s="2126">
        <v>2887.6250000000005</v>
      </c>
      <c r="BK973" s="2126">
        <v>0</v>
      </c>
      <c r="BL973" s="2126">
        <v>0</v>
      </c>
      <c r="BM973" s="2126">
        <v>0</v>
      </c>
      <c r="BN973" s="2126">
        <v>0</v>
      </c>
      <c r="BO973" s="2126">
        <v>0</v>
      </c>
      <c r="BP973" s="2126">
        <v>0</v>
      </c>
      <c r="BQ973" s="2126">
        <v>0</v>
      </c>
      <c r="BR973" s="2126">
        <v>0</v>
      </c>
    </row>
    <row r="974" spans="1:70" s="1765" customFormat="1" ht="49.5">
      <c r="A974" s="1272">
        <v>4000</v>
      </c>
      <c r="B974" s="971" t="s">
        <v>1316</v>
      </c>
      <c r="C974" s="1272">
        <v>4500</v>
      </c>
      <c r="D974" s="971" t="s">
        <v>452</v>
      </c>
      <c r="E974" s="971" t="s">
        <v>1809</v>
      </c>
      <c r="F974" s="971" t="s">
        <v>701</v>
      </c>
      <c r="G974" s="971">
        <v>4530</v>
      </c>
      <c r="H974" s="971" t="s">
        <v>701</v>
      </c>
      <c r="I974" s="1273" t="s">
        <v>1820</v>
      </c>
      <c r="J974" s="971" t="s">
        <v>124</v>
      </c>
      <c r="K974" s="971" t="s">
        <v>2857</v>
      </c>
      <c r="L974" s="971" t="s">
        <v>2858</v>
      </c>
      <c r="M974" s="971" t="s">
        <v>703</v>
      </c>
      <c r="N974" s="971" t="s">
        <v>488</v>
      </c>
      <c r="O974" s="971" t="s">
        <v>459</v>
      </c>
      <c r="P974" s="971"/>
      <c r="Q974" s="971" t="s">
        <v>710</v>
      </c>
      <c r="R974" s="1266" t="s">
        <v>1821</v>
      </c>
      <c r="S974" s="2106">
        <v>51.951672862453535</v>
      </c>
      <c r="T974" s="1266" t="s">
        <v>136</v>
      </c>
      <c r="U974" s="1742">
        <v>0.56041666666666667</v>
      </c>
      <c r="V974" s="1742">
        <v>2.8020833333333335</v>
      </c>
      <c r="W974" s="1742">
        <v>49.395125</v>
      </c>
      <c r="X974" s="1742">
        <v>77.264645833333333</v>
      </c>
      <c r="Y974" s="2106">
        <v>129.46185416666665</v>
      </c>
      <c r="Z974" s="2106">
        <v>29.114583333333336</v>
      </c>
      <c r="AA974" s="2106">
        <v>145.57291666666669</v>
      </c>
      <c r="AB974" s="2106">
        <v>2566.1593750000002</v>
      </c>
      <c r="AC974" s="2106">
        <v>4014.0276041666671</v>
      </c>
      <c r="AD974" s="1744">
        <v>6725.7598958333338</v>
      </c>
      <c r="AE974" s="2126">
        <v>1</v>
      </c>
      <c r="AF974" s="2126">
        <v>51.951672862453535</v>
      </c>
      <c r="AG974" s="1212">
        <v>1</v>
      </c>
      <c r="AH974" s="1212">
        <v>0</v>
      </c>
      <c r="AI974" s="1212">
        <v>0</v>
      </c>
      <c r="AJ974" s="1212">
        <v>1</v>
      </c>
      <c r="AK974" s="2126">
        <v>6725.7598958333338</v>
      </c>
      <c r="AL974" s="2126">
        <v>0</v>
      </c>
      <c r="AM974" s="2126">
        <v>0</v>
      </c>
      <c r="AN974" s="2126">
        <v>6725.7598958333338</v>
      </c>
      <c r="AO974" s="1743" t="s">
        <v>85</v>
      </c>
      <c r="AP974" s="1743"/>
      <c r="AQ974" s="1764">
        <v>2014</v>
      </c>
      <c r="AR974" s="1743" t="s">
        <v>87</v>
      </c>
      <c r="AS974" s="2135"/>
      <c r="AT974" s="2135"/>
      <c r="AU974" s="1212">
        <v>0.33333333333333331</v>
      </c>
      <c r="AV974" s="1212">
        <v>0.33333333333333331</v>
      </c>
      <c r="AW974" s="1212">
        <v>0.33333333333333331</v>
      </c>
      <c r="AX974" s="1212"/>
      <c r="AY974" s="1212"/>
      <c r="AZ974" s="1212"/>
      <c r="BA974" s="1212"/>
      <c r="BB974" s="1212"/>
      <c r="BC974" s="1212"/>
      <c r="BD974" s="1212"/>
      <c r="BE974" s="1212"/>
      <c r="BF974" s="2126">
        <v>0</v>
      </c>
      <c r="BG974" s="2126">
        <v>0</v>
      </c>
      <c r="BH974" s="2126">
        <v>2241.9199652777779</v>
      </c>
      <c r="BI974" s="2126">
        <v>2241.9199652777779</v>
      </c>
      <c r="BJ974" s="2126">
        <v>2241.9199652777779</v>
      </c>
      <c r="BK974" s="2126">
        <v>0</v>
      </c>
      <c r="BL974" s="2126">
        <v>0</v>
      </c>
      <c r="BM974" s="2126">
        <v>0</v>
      </c>
      <c r="BN974" s="2126">
        <v>0</v>
      </c>
      <c r="BO974" s="2126">
        <v>0</v>
      </c>
      <c r="BP974" s="2126">
        <v>0</v>
      </c>
      <c r="BQ974" s="2126">
        <v>0</v>
      </c>
      <c r="BR974" s="2126">
        <v>0</v>
      </c>
    </row>
    <row r="975" spans="1:70" s="1765" customFormat="1" ht="49.5">
      <c r="A975" s="1272">
        <v>4000</v>
      </c>
      <c r="B975" s="971" t="s">
        <v>1316</v>
      </c>
      <c r="C975" s="1272">
        <v>4500</v>
      </c>
      <c r="D975" s="971" t="s">
        <v>452</v>
      </c>
      <c r="E975" s="971" t="s">
        <v>1809</v>
      </c>
      <c r="F975" s="971" t="s">
        <v>701</v>
      </c>
      <c r="G975" s="971">
        <v>4530</v>
      </c>
      <c r="H975" s="971" t="s">
        <v>701</v>
      </c>
      <c r="I975" s="1273" t="s">
        <v>1822</v>
      </c>
      <c r="J975" s="971" t="s">
        <v>124</v>
      </c>
      <c r="K975" s="971" t="s">
        <v>2857</v>
      </c>
      <c r="L975" s="971" t="s">
        <v>2858</v>
      </c>
      <c r="M975" s="971" t="s">
        <v>703</v>
      </c>
      <c r="N975" s="971" t="s">
        <v>488</v>
      </c>
      <c r="O975" s="971" t="s">
        <v>459</v>
      </c>
      <c r="P975" s="971"/>
      <c r="Q975" s="971" t="s">
        <v>713</v>
      </c>
      <c r="R975" s="1266" t="s">
        <v>1823</v>
      </c>
      <c r="S975" s="2106">
        <v>51.951672862453535</v>
      </c>
      <c r="T975" s="1266" t="s">
        <v>136</v>
      </c>
      <c r="U975" s="1742">
        <v>0.56041666666666667</v>
      </c>
      <c r="V975" s="1742">
        <v>2.8020833333333335</v>
      </c>
      <c r="W975" s="1742">
        <v>49.395125</v>
      </c>
      <c r="X975" s="1742">
        <v>77.264645833333333</v>
      </c>
      <c r="Y975" s="2106">
        <v>129.46185416666665</v>
      </c>
      <c r="Z975" s="2106">
        <v>29.114583333333336</v>
      </c>
      <c r="AA975" s="2106">
        <v>145.57291666666669</v>
      </c>
      <c r="AB975" s="2106">
        <v>2566.1593750000002</v>
      </c>
      <c r="AC975" s="2106">
        <v>4014.0276041666671</v>
      </c>
      <c r="AD975" s="1744">
        <v>6725.7598958333338</v>
      </c>
      <c r="AE975" s="2126">
        <v>1</v>
      </c>
      <c r="AF975" s="2126">
        <v>51.951672862453535</v>
      </c>
      <c r="AG975" s="1212">
        <v>1</v>
      </c>
      <c r="AH975" s="1212">
        <v>0</v>
      </c>
      <c r="AI975" s="1212">
        <v>0</v>
      </c>
      <c r="AJ975" s="1212">
        <v>1</v>
      </c>
      <c r="AK975" s="2126">
        <v>6725.7598958333338</v>
      </c>
      <c r="AL975" s="2126">
        <v>0</v>
      </c>
      <c r="AM975" s="2126">
        <v>0</v>
      </c>
      <c r="AN975" s="2126">
        <v>6725.7598958333338</v>
      </c>
      <c r="AO975" s="1743" t="s">
        <v>85</v>
      </c>
      <c r="AP975" s="1743"/>
      <c r="AQ975" s="1764">
        <v>2014</v>
      </c>
      <c r="AR975" s="1743" t="s">
        <v>87</v>
      </c>
      <c r="AS975" s="2135"/>
      <c r="AT975" s="2135"/>
      <c r="AU975" s="1212">
        <v>0.33333333333333331</v>
      </c>
      <c r="AV975" s="1212">
        <v>0.33333333333333331</v>
      </c>
      <c r="AW975" s="1212">
        <v>0.33333333333333331</v>
      </c>
      <c r="AX975" s="1212"/>
      <c r="AY975" s="1212"/>
      <c r="AZ975" s="1212"/>
      <c r="BA975" s="1212"/>
      <c r="BB975" s="1212"/>
      <c r="BC975" s="1212"/>
      <c r="BD975" s="1212"/>
      <c r="BE975" s="1212"/>
      <c r="BF975" s="2126">
        <v>0</v>
      </c>
      <c r="BG975" s="2126">
        <v>0</v>
      </c>
      <c r="BH975" s="2126">
        <v>2241.9199652777779</v>
      </c>
      <c r="BI975" s="2126">
        <v>2241.9199652777779</v>
      </c>
      <c r="BJ975" s="2126">
        <v>2241.9199652777779</v>
      </c>
      <c r="BK975" s="2126">
        <v>0</v>
      </c>
      <c r="BL975" s="2126">
        <v>0</v>
      </c>
      <c r="BM975" s="2126">
        <v>0</v>
      </c>
      <c r="BN975" s="2126">
        <v>0</v>
      </c>
      <c r="BO975" s="2126">
        <v>0</v>
      </c>
      <c r="BP975" s="2126">
        <v>0</v>
      </c>
      <c r="BQ975" s="2126">
        <v>0</v>
      </c>
      <c r="BR975" s="2126">
        <v>0</v>
      </c>
    </row>
    <row r="976" spans="1:70" s="1765" customFormat="1" ht="49.5">
      <c r="A976" s="1272">
        <v>4000</v>
      </c>
      <c r="B976" s="971" t="s">
        <v>1316</v>
      </c>
      <c r="C976" s="1272">
        <v>4500</v>
      </c>
      <c r="D976" s="971" t="s">
        <v>452</v>
      </c>
      <c r="E976" s="971" t="s">
        <v>1809</v>
      </c>
      <c r="F976" s="971" t="s">
        <v>701</v>
      </c>
      <c r="G976" s="971">
        <v>4530</v>
      </c>
      <c r="H976" s="971" t="s">
        <v>701</v>
      </c>
      <c r="I976" s="1273" t="s">
        <v>1824</v>
      </c>
      <c r="J976" s="971" t="s">
        <v>124</v>
      </c>
      <c r="K976" s="971" t="s">
        <v>2857</v>
      </c>
      <c r="L976" s="971" t="s">
        <v>2858</v>
      </c>
      <c r="M976" s="971" t="s">
        <v>703</v>
      </c>
      <c r="N976" s="971" t="s">
        <v>488</v>
      </c>
      <c r="O976" s="971" t="s">
        <v>459</v>
      </c>
      <c r="P976" s="971"/>
      <c r="Q976" s="971" t="s">
        <v>716</v>
      </c>
      <c r="R976" s="1266" t="s">
        <v>1825</v>
      </c>
      <c r="S976" s="2106">
        <v>51.951672862453535</v>
      </c>
      <c r="T976" s="1266" t="s">
        <v>136</v>
      </c>
      <c r="U976" s="1742">
        <v>0.56041666666666667</v>
      </c>
      <c r="V976" s="1742">
        <v>2.8020833333333335</v>
      </c>
      <c r="W976" s="1742">
        <v>49.395125</v>
      </c>
      <c r="X976" s="1742">
        <v>77.264645833333333</v>
      </c>
      <c r="Y976" s="2106">
        <v>129.46185416666665</v>
      </c>
      <c r="Z976" s="2106">
        <v>29.114583333333336</v>
      </c>
      <c r="AA976" s="2106">
        <v>145.57291666666669</v>
      </c>
      <c r="AB976" s="2106">
        <v>2566.1593750000002</v>
      </c>
      <c r="AC976" s="2106">
        <v>4014.0276041666671</v>
      </c>
      <c r="AD976" s="1744">
        <v>6725.7598958333338</v>
      </c>
      <c r="AE976" s="2126">
        <v>1</v>
      </c>
      <c r="AF976" s="2126">
        <v>51.951672862453535</v>
      </c>
      <c r="AG976" s="1212">
        <v>1</v>
      </c>
      <c r="AH976" s="1212">
        <v>0</v>
      </c>
      <c r="AI976" s="1212">
        <v>0</v>
      </c>
      <c r="AJ976" s="1212">
        <v>1</v>
      </c>
      <c r="AK976" s="2126">
        <v>6725.7598958333338</v>
      </c>
      <c r="AL976" s="2126">
        <v>0</v>
      </c>
      <c r="AM976" s="2126">
        <v>0</v>
      </c>
      <c r="AN976" s="2126">
        <v>6725.7598958333338</v>
      </c>
      <c r="AO976" s="1743" t="s">
        <v>85</v>
      </c>
      <c r="AP976" s="1743"/>
      <c r="AQ976" s="1764">
        <v>2014</v>
      </c>
      <c r="AR976" s="1743" t="s">
        <v>87</v>
      </c>
      <c r="AS976" s="2135"/>
      <c r="AT976" s="2135"/>
      <c r="AU976" s="1212">
        <v>0.33333333333333331</v>
      </c>
      <c r="AV976" s="1212">
        <v>0.33333333333333331</v>
      </c>
      <c r="AW976" s="1212">
        <v>0.33333333333333331</v>
      </c>
      <c r="AX976" s="1212"/>
      <c r="AY976" s="1212"/>
      <c r="AZ976" s="1212"/>
      <c r="BA976" s="1212"/>
      <c r="BB976" s="1212"/>
      <c r="BC976" s="1212"/>
      <c r="BD976" s="1212"/>
      <c r="BE976" s="1212"/>
      <c r="BF976" s="2126">
        <v>0</v>
      </c>
      <c r="BG976" s="2126">
        <v>0</v>
      </c>
      <c r="BH976" s="2126">
        <v>2241.9199652777779</v>
      </c>
      <c r="BI976" s="2126">
        <v>2241.9199652777779</v>
      </c>
      <c r="BJ976" s="2126">
        <v>2241.9199652777779</v>
      </c>
      <c r="BK976" s="2126">
        <v>0</v>
      </c>
      <c r="BL976" s="2126">
        <v>0</v>
      </c>
      <c r="BM976" s="2126">
        <v>0</v>
      </c>
      <c r="BN976" s="2126">
        <v>0</v>
      </c>
      <c r="BO976" s="2126">
        <v>0</v>
      </c>
      <c r="BP976" s="2126">
        <v>0</v>
      </c>
      <c r="BQ976" s="2126">
        <v>0</v>
      </c>
      <c r="BR976" s="2126">
        <v>0</v>
      </c>
    </row>
    <row r="977" spans="1:70" s="1765" customFormat="1" ht="49.5">
      <c r="A977" s="1272">
        <v>4000</v>
      </c>
      <c r="B977" s="971" t="s">
        <v>1316</v>
      </c>
      <c r="C977" s="1272">
        <v>4500</v>
      </c>
      <c r="D977" s="971" t="s">
        <v>452</v>
      </c>
      <c r="E977" s="971" t="s">
        <v>1809</v>
      </c>
      <c r="F977" s="971" t="s">
        <v>701</v>
      </c>
      <c r="G977" s="971">
        <v>4530</v>
      </c>
      <c r="H977" s="971" t="s">
        <v>701</v>
      </c>
      <c r="I977" s="1273" t="s">
        <v>1826</v>
      </c>
      <c r="J977" s="971" t="s">
        <v>124</v>
      </c>
      <c r="K977" s="971" t="s">
        <v>2857</v>
      </c>
      <c r="L977" s="971" t="s">
        <v>2858</v>
      </c>
      <c r="M977" s="971" t="s">
        <v>703</v>
      </c>
      <c r="N977" s="971" t="s">
        <v>488</v>
      </c>
      <c r="O977" s="971" t="s">
        <v>459</v>
      </c>
      <c r="P977" s="971"/>
      <c r="Q977" s="971" t="s">
        <v>719</v>
      </c>
      <c r="R977" s="1266" t="s">
        <v>1827</v>
      </c>
      <c r="S977" s="2106">
        <v>51.951672862453535</v>
      </c>
      <c r="T977" s="1266" t="s">
        <v>136</v>
      </c>
      <c r="U977" s="1742">
        <v>0.56041666666666667</v>
      </c>
      <c r="V977" s="1742">
        <v>2.8020833333333335</v>
      </c>
      <c r="W977" s="1742">
        <v>49.395125</v>
      </c>
      <c r="X977" s="1742">
        <v>77.264645833333333</v>
      </c>
      <c r="Y977" s="2106">
        <v>129.46185416666665</v>
      </c>
      <c r="Z977" s="2106">
        <v>29.114583333333336</v>
      </c>
      <c r="AA977" s="2106">
        <v>145.57291666666669</v>
      </c>
      <c r="AB977" s="2106">
        <v>2566.1593750000002</v>
      </c>
      <c r="AC977" s="2106">
        <v>4014.0276041666671</v>
      </c>
      <c r="AD977" s="1744">
        <v>6725.7598958333338</v>
      </c>
      <c r="AE977" s="2126">
        <v>1</v>
      </c>
      <c r="AF977" s="2126">
        <v>51.951672862453535</v>
      </c>
      <c r="AG977" s="1212">
        <v>1</v>
      </c>
      <c r="AH977" s="1212">
        <v>0</v>
      </c>
      <c r="AI977" s="1212">
        <v>0</v>
      </c>
      <c r="AJ977" s="1212">
        <v>1</v>
      </c>
      <c r="AK977" s="2126">
        <v>6725.7598958333338</v>
      </c>
      <c r="AL977" s="2126">
        <v>0</v>
      </c>
      <c r="AM977" s="2126">
        <v>0</v>
      </c>
      <c r="AN977" s="2126">
        <v>6725.7598958333338</v>
      </c>
      <c r="AO977" s="1743" t="s">
        <v>85</v>
      </c>
      <c r="AP977" s="1743"/>
      <c r="AQ977" s="1764">
        <v>2014</v>
      </c>
      <c r="AR977" s="1743" t="s">
        <v>87</v>
      </c>
      <c r="AS977" s="2135"/>
      <c r="AT977" s="2135"/>
      <c r="AU977" s="1212">
        <v>0.33333333333333331</v>
      </c>
      <c r="AV977" s="1212">
        <v>0.33333333333333331</v>
      </c>
      <c r="AW977" s="1212">
        <v>0.33333333333333331</v>
      </c>
      <c r="AX977" s="1212"/>
      <c r="AY977" s="1212"/>
      <c r="AZ977" s="1212"/>
      <c r="BA977" s="1212"/>
      <c r="BB977" s="1212"/>
      <c r="BC977" s="1212"/>
      <c r="BD977" s="1212"/>
      <c r="BE977" s="1212"/>
      <c r="BF977" s="2126">
        <v>0</v>
      </c>
      <c r="BG977" s="2126">
        <v>0</v>
      </c>
      <c r="BH977" s="2126">
        <v>2241.9199652777779</v>
      </c>
      <c r="BI977" s="2126">
        <v>2241.9199652777779</v>
      </c>
      <c r="BJ977" s="2126">
        <v>2241.9199652777779</v>
      </c>
      <c r="BK977" s="2126">
        <v>0</v>
      </c>
      <c r="BL977" s="2126">
        <v>0</v>
      </c>
      <c r="BM977" s="2126">
        <v>0</v>
      </c>
      <c r="BN977" s="2126">
        <v>0</v>
      </c>
      <c r="BO977" s="2126">
        <v>0</v>
      </c>
      <c r="BP977" s="2126">
        <v>0</v>
      </c>
      <c r="BQ977" s="2126">
        <v>0</v>
      </c>
      <c r="BR977" s="2126">
        <v>0</v>
      </c>
    </row>
    <row r="978" spans="1:70" s="1765" customFormat="1" ht="49.5">
      <c r="A978" s="1272">
        <v>4000</v>
      </c>
      <c r="B978" s="971" t="s">
        <v>1316</v>
      </c>
      <c r="C978" s="1272">
        <v>4500</v>
      </c>
      <c r="D978" s="971" t="s">
        <v>452</v>
      </c>
      <c r="E978" s="971" t="s">
        <v>1809</v>
      </c>
      <c r="F978" s="971" t="s">
        <v>701</v>
      </c>
      <c r="G978" s="971">
        <v>4530</v>
      </c>
      <c r="H978" s="971" t="s">
        <v>701</v>
      </c>
      <c r="I978" s="1273" t="s">
        <v>1828</v>
      </c>
      <c r="J978" s="971" t="s">
        <v>124</v>
      </c>
      <c r="K978" s="971" t="s">
        <v>2857</v>
      </c>
      <c r="L978" s="971" t="s">
        <v>2858</v>
      </c>
      <c r="M978" s="971" t="s">
        <v>703</v>
      </c>
      <c r="N978" s="971" t="s">
        <v>488</v>
      </c>
      <c r="O978" s="971" t="s">
        <v>459</v>
      </c>
      <c r="P978" s="971"/>
      <c r="Q978" s="971" t="s">
        <v>722</v>
      </c>
      <c r="R978" s="1266" t="s">
        <v>1829</v>
      </c>
      <c r="S978" s="2106">
        <v>51.951672862453535</v>
      </c>
      <c r="T978" s="1266" t="s">
        <v>136</v>
      </c>
      <c r="U978" s="1742">
        <v>0.56041666666666667</v>
      </c>
      <c r="V978" s="1742">
        <v>2.8020833333333335</v>
      </c>
      <c r="W978" s="1742">
        <v>49.395125</v>
      </c>
      <c r="X978" s="1742">
        <v>77.264645833333333</v>
      </c>
      <c r="Y978" s="2106">
        <v>129.46185416666665</v>
      </c>
      <c r="Z978" s="2106">
        <v>29.114583333333336</v>
      </c>
      <c r="AA978" s="2106">
        <v>145.57291666666669</v>
      </c>
      <c r="AB978" s="2106">
        <v>2566.1593750000002</v>
      </c>
      <c r="AC978" s="2106">
        <v>4014.0276041666671</v>
      </c>
      <c r="AD978" s="1744">
        <v>6725.7598958333338</v>
      </c>
      <c r="AE978" s="2126">
        <v>1</v>
      </c>
      <c r="AF978" s="2126">
        <v>51.951672862453535</v>
      </c>
      <c r="AG978" s="1212">
        <v>1</v>
      </c>
      <c r="AH978" s="1212">
        <v>0</v>
      </c>
      <c r="AI978" s="1212">
        <v>0</v>
      </c>
      <c r="AJ978" s="1212">
        <v>1</v>
      </c>
      <c r="AK978" s="2126">
        <v>6725.7598958333338</v>
      </c>
      <c r="AL978" s="2126">
        <v>0</v>
      </c>
      <c r="AM978" s="2126">
        <v>0</v>
      </c>
      <c r="AN978" s="2126">
        <v>6725.7598958333338</v>
      </c>
      <c r="AO978" s="1743" t="s">
        <v>85</v>
      </c>
      <c r="AP978" s="1743"/>
      <c r="AQ978" s="1764">
        <v>2014</v>
      </c>
      <c r="AR978" s="1743" t="s">
        <v>87</v>
      </c>
      <c r="AS978" s="2135"/>
      <c r="AT978" s="2135"/>
      <c r="AU978" s="1212">
        <v>0.33333333333333331</v>
      </c>
      <c r="AV978" s="1212">
        <v>0.33333333333333331</v>
      </c>
      <c r="AW978" s="1212">
        <v>0.33333333333333331</v>
      </c>
      <c r="AX978" s="1212"/>
      <c r="AY978" s="1212"/>
      <c r="AZ978" s="1212"/>
      <c r="BA978" s="1212"/>
      <c r="BB978" s="1212"/>
      <c r="BC978" s="1212"/>
      <c r="BD978" s="1212"/>
      <c r="BE978" s="1212"/>
      <c r="BF978" s="2126">
        <v>0</v>
      </c>
      <c r="BG978" s="2126">
        <v>0</v>
      </c>
      <c r="BH978" s="2126">
        <v>2241.9199652777779</v>
      </c>
      <c r="BI978" s="2126">
        <v>2241.9199652777779</v>
      </c>
      <c r="BJ978" s="2126">
        <v>2241.9199652777779</v>
      </c>
      <c r="BK978" s="2126">
        <v>0</v>
      </c>
      <c r="BL978" s="2126">
        <v>0</v>
      </c>
      <c r="BM978" s="2126">
        <v>0</v>
      </c>
      <c r="BN978" s="2126">
        <v>0</v>
      </c>
      <c r="BO978" s="2126">
        <v>0</v>
      </c>
      <c r="BP978" s="2126">
        <v>0</v>
      </c>
      <c r="BQ978" s="2126">
        <v>0</v>
      </c>
      <c r="BR978" s="2126">
        <v>0</v>
      </c>
    </row>
    <row r="979" spans="1:70" s="1765" customFormat="1" ht="49.5">
      <c r="A979" s="1272">
        <v>4000</v>
      </c>
      <c r="B979" s="971" t="s">
        <v>1316</v>
      </c>
      <c r="C979" s="1272">
        <v>4500</v>
      </c>
      <c r="D979" s="971" t="s">
        <v>452</v>
      </c>
      <c r="E979" s="971" t="s">
        <v>1809</v>
      </c>
      <c r="F979" s="971" t="s">
        <v>701</v>
      </c>
      <c r="G979" s="971">
        <v>4530</v>
      </c>
      <c r="H979" s="971" t="s">
        <v>701</v>
      </c>
      <c r="I979" s="1273" t="s">
        <v>1830</v>
      </c>
      <c r="J979" s="971" t="s">
        <v>124</v>
      </c>
      <c r="K979" s="971" t="s">
        <v>2857</v>
      </c>
      <c r="L979" s="971" t="s">
        <v>2858</v>
      </c>
      <c r="M979" s="971" t="s">
        <v>703</v>
      </c>
      <c r="N979" s="971" t="s">
        <v>488</v>
      </c>
      <c r="O979" s="971" t="s">
        <v>459</v>
      </c>
      <c r="P979" s="971"/>
      <c r="Q979" s="971" t="s">
        <v>725</v>
      </c>
      <c r="R979" s="1266" t="s">
        <v>1831</v>
      </c>
      <c r="S979" s="2106">
        <v>51.951672862453535</v>
      </c>
      <c r="T979" s="1266" t="s">
        <v>136</v>
      </c>
      <c r="U979" s="1742">
        <v>0.56041666666666667</v>
      </c>
      <c r="V979" s="1742">
        <v>2.8020833333333335</v>
      </c>
      <c r="W979" s="1742">
        <v>49.395125</v>
      </c>
      <c r="X979" s="1742">
        <v>77.264645833333333</v>
      </c>
      <c r="Y979" s="2106">
        <v>129.46185416666665</v>
      </c>
      <c r="Z979" s="2106">
        <v>29.114583333333336</v>
      </c>
      <c r="AA979" s="2106">
        <v>145.57291666666669</v>
      </c>
      <c r="AB979" s="2106">
        <v>2566.1593750000002</v>
      </c>
      <c r="AC979" s="2106">
        <v>4014.0276041666671</v>
      </c>
      <c r="AD979" s="1744">
        <v>6725.7598958333338</v>
      </c>
      <c r="AE979" s="2126">
        <v>1</v>
      </c>
      <c r="AF979" s="2126">
        <v>51.951672862453535</v>
      </c>
      <c r="AG979" s="1212">
        <v>1</v>
      </c>
      <c r="AH979" s="1212">
        <v>0</v>
      </c>
      <c r="AI979" s="1212">
        <v>0</v>
      </c>
      <c r="AJ979" s="1212">
        <v>1</v>
      </c>
      <c r="AK979" s="2126">
        <v>6725.7598958333338</v>
      </c>
      <c r="AL979" s="2126">
        <v>0</v>
      </c>
      <c r="AM979" s="2126">
        <v>0</v>
      </c>
      <c r="AN979" s="2126">
        <v>6725.7598958333338</v>
      </c>
      <c r="AO979" s="1743" t="s">
        <v>85</v>
      </c>
      <c r="AP979" s="1743"/>
      <c r="AQ979" s="1764">
        <v>2014</v>
      </c>
      <c r="AR979" s="1743" t="s">
        <v>87</v>
      </c>
      <c r="AS979" s="2135"/>
      <c r="AT979" s="2135"/>
      <c r="AU979" s="1212">
        <v>0.33333333333333331</v>
      </c>
      <c r="AV979" s="1212">
        <v>0.33333333333333331</v>
      </c>
      <c r="AW979" s="1212">
        <v>0.33333333333333331</v>
      </c>
      <c r="AX979" s="1212"/>
      <c r="AY979" s="1212"/>
      <c r="AZ979" s="1212"/>
      <c r="BA979" s="1212"/>
      <c r="BB979" s="1212"/>
      <c r="BC979" s="1212"/>
      <c r="BD979" s="1212"/>
      <c r="BE979" s="1212"/>
      <c r="BF979" s="2126">
        <v>0</v>
      </c>
      <c r="BG979" s="2126">
        <v>0</v>
      </c>
      <c r="BH979" s="2126">
        <v>2241.9199652777779</v>
      </c>
      <c r="BI979" s="2126">
        <v>2241.9199652777779</v>
      </c>
      <c r="BJ979" s="2126">
        <v>2241.9199652777779</v>
      </c>
      <c r="BK979" s="2126">
        <v>0</v>
      </c>
      <c r="BL979" s="2126">
        <v>0</v>
      </c>
      <c r="BM979" s="2126">
        <v>0</v>
      </c>
      <c r="BN979" s="2126">
        <v>0</v>
      </c>
      <c r="BO979" s="2126">
        <v>0</v>
      </c>
      <c r="BP979" s="2126">
        <v>0</v>
      </c>
      <c r="BQ979" s="2126">
        <v>0</v>
      </c>
      <c r="BR979" s="2126">
        <v>0</v>
      </c>
    </row>
    <row r="980" spans="1:70" s="1765" customFormat="1" ht="49.5">
      <c r="A980" s="1272">
        <v>4000</v>
      </c>
      <c r="B980" s="971" t="s">
        <v>1316</v>
      </c>
      <c r="C980" s="1272">
        <v>4500</v>
      </c>
      <c r="D980" s="971" t="s">
        <v>452</v>
      </c>
      <c r="E980" s="971" t="s">
        <v>1809</v>
      </c>
      <c r="F980" s="971" t="s">
        <v>701</v>
      </c>
      <c r="G980" s="971">
        <v>4530</v>
      </c>
      <c r="H980" s="971" t="s">
        <v>701</v>
      </c>
      <c r="I980" s="1273" t="s">
        <v>1832</v>
      </c>
      <c r="J980" s="971" t="s">
        <v>124</v>
      </c>
      <c r="K980" s="971" t="s">
        <v>2857</v>
      </c>
      <c r="L980" s="971" t="s">
        <v>2858</v>
      </c>
      <c r="M980" s="971" t="s">
        <v>734</v>
      </c>
      <c r="N980" s="971" t="s">
        <v>488</v>
      </c>
      <c r="O980" s="971" t="s">
        <v>128</v>
      </c>
      <c r="P980" s="971"/>
      <c r="Q980" s="971" t="s">
        <v>735</v>
      </c>
      <c r="R980" s="1266" t="s">
        <v>1833</v>
      </c>
      <c r="S980" s="2106">
        <v>29.739776951672862</v>
      </c>
      <c r="T980" s="1266" t="s">
        <v>136</v>
      </c>
      <c r="U980" s="1742">
        <v>0.56041666666666667</v>
      </c>
      <c r="V980" s="1742">
        <v>2.8020833333333335</v>
      </c>
      <c r="W980" s="1742">
        <v>49.395125</v>
      </c>
      <c r="X980" s="1742">
        <v>77.264645833333333</v>
      </c>
      <c r="Y980" s="2106">
        <v>129.46185416666665</v>
      </c>
      <c r="Z980" s="2106">
        <v>16.666666666666668</v>
      </c>
      <c r="AA980" s="2106">
        <v>83.333333333333343</v>
      </c>
      <c r="AB980" s="2106">
        <v>1469</v>
      </c>
      <c r="AC980" s="2106">
        <v>2297.8333333333335</v>
      </c>
      <c r="AD980" s="1744">
        <v>3850.166666666667</v>
      </c>
      <c r="AE980" s="2126">
        <v>1</v>
      </c>
      <c r="AF980" s="2126">
        <v>29.739776951672862</v>
      </c>
      <c r="AG980" s="1212">
        <v>1</v>
      </c>
      <c r="AH980" s="1212">
        <v>0</v>
      </c>
      <c r="AI980" s="1212">
        <v>0</v>
      </c>
      <c r="AJ980" s="1212">
        <v>1</v>
      </c>
      <c r="AK980" s="2126">
        <v>3850.166666666667</v>
      </c>
      <c r="AL980" s="2126">
        <v>0</v>
      </c>
      <c r="AM980" s="2126">
        <v>0</v>
      </c>
      <c r="AN980" s="2126">
        <v>3850.166666666667</v>
      </c>
      <c r="AO980" s="1743" t="s">
        <v>85</v>
      </c>
      <c r="AP980" s="1743"/>
      <c r="AQ980" s="1764">
        <v>2014</v>
      </c>
      <c r="AR980" s="1743" t="s">
        <v>87</v>
      </c>
      <c r="AS980" s="2135"/>
      <c r="AT980" s="2135"/>
      <c r="AU980" s="1212">
        <v>0.33333333333333331</v>
      </c>
      <c r="AV980" s="1212">
        <v>0.33333333333333331</v>
      </c>
      <c r="AW980" s="1212">
        <v>0.33333333333333331</v>
      </c>
      <c r="AX980" s="1212"/>
      <c r="AY980" s="1212"/>
      <c r="AZ980" s="1212"/>
      <c r="BA980" s="1212"/>
      <c r="BB980" s="1212"/>
      <c r="BC980" s="1212"/>
      <c r="BD980" s="1212"/>
      <c r="BE980" s="1212"/>
      <c r="BF980" s="2126">
        <v>0</v>
      </c>
      <c r="BG980" s="2126">
        <v>0</v>
      </c>
      <c r="BH980" s="2126">
        <v>1283.3888888888889</v>
      </c>
      <c r="BI980" s="2126">
        <v>1283.3888888888889</v>
      </c>
      <c r="BJ980" s="2126">
        <v>1283.3888888888889</v>
      </c>
      <c r="BK980" s="2126">
        <v>0</v>
      </c>
      <c r="BL980" s="2126">
        <v>0</v>
      </c>
      <c r="BM980" s="2126">
        <v>0</v>
      </c>
      <c r="BN980" s="2126">
        <v>0</v>
      </c>
      <c r="BO980" s="2126">
        <v>0</v>
      </c>
      <c r="BP980" s="2126">
        <v>0</v>
      </c>
      <c r="BQ980" s="2126">
        <v>0</v>
      </c>
      <c r="BR980" s="2126">
        <v>0</v>
      </c>
    </row>
    <row r="981" spans="1:70" s="1765" customFormat="1" ht="33">
      <c r="A981" s="1272">
        <v>4000</v>
      </c>
      <c r="B981" s="971" t="s">
        <v>1316</v>
      </c>
      <c r="C981" s="1272">
        <v>4500</v>
      </c>
      <c r="D981" s="971" t="s">
        <v>452</v>
      </c>
      <c r="E981" s="971" t="s">
        <v>1809</v>
      </c>
      <c r="F981" s="971" t="s">
        <v>701</v>
      </c>
      <c r="G981" s="971">
        <v>4530</v>
      </c>
      <c r="H981" s="971" t="s">
        <v>701</v>
      </c>
      <c r="I981" s="1273" t="s">
        <v>1834</v>
      </c>
      <c r="J981" s="971" t="s">
        <v>124</v>
      </c>
      <c r="K981" s="971" t="s">
        <v>140</v>
      </c>
      <c r="L981" s="971" t="s">
        <v>2909</v>
      </c>
      <c r="M981" s="971" t="s">
        <v>140</v>
      </c>
      <c r="N981" s="971" t="s">
        <v>141</v>
      </c>
      <c r="O981" s="971" t="s">
        <v>142</v>
      </c>
      <c r="P981" s="971"/>
      <c r="Q981" s="971" t="s">
        <v>738</v>
      </c>
      <c r="R981" s="1266" t="s">
        <v>1833</v>
      </c>
      <c r="S981" s="2106">
        <v>29.739776951672862</v>
      </c>
      <c r="T981" s="1266" t="s">
        <v>136</v>
      </c>
      <c r="U981" s="1742">
        <v>0</v>
      </c>
      <c r="V981" s="1742">
        <v>0</v>
      </c>
      <c r="W981" s="1742">
        <v>0</v>
      </c>
      <c r="X981" s="1742">
        <v>0</v>
      </c>
      <c r="Y981" s="2106">
        <v>0</v>
      </c>
      <c r="Z981" s="2106">
        <v>0</v>
      </c>
      <c r="AA981" s="2106">
        <v>0</v>
      </c>
      <c r="AB981" s="2106">
        <v>0</v>
      </c>
      <c r="AC981" s="2106">
        <v>0</v>
      </c>
      <c r="AD981" s="1744">
        <v>0</v>
      </c>
      <c r="AE981" s="2126">
        <v>0</v>
      </c>
      <c r="AF981" s="2126">
        <v>0</v>
      </c>
      <c r="AG981" s="1212">
        <v>1</v>
      </c>
      <c r="AH981" s="1212">
        <v>0</v>
      </c>
      <c r="AI981" s="1212">
        <v>0</v>
      </c>
      <c r="AJ981" s="1212">
        <v>1</v>
      </c>
      <c r="AK981" s="2126">
        <v>0</v>
      </c>
      <c r="AL981" s="2126">
        <v>0</v>
      </c>
      <c r="AM981" s="2126">
        <v>0</v>
      </c>
      <c r="AN981" s="2126">
        <v>0</v>
      </c>
      <c r="AO981" s="1743" t="s">
        <v>85</v>
      </c>
      <c r="AP981" s="1743"/>
      <c r="AQ981" s="1764">
        <v>2014</v>
      </c>
      <c r="AR981" s="1743" t="s">
        <v>87</v>
      </c>
      <c r="AS981" s="2135"/>
      <c r="AT981" s="2135"/>
      <c r="AU981" s="1212">
        <v>0.33333333333333331</v>
      </c>
      <c r="AV981" s="1212">
        <v>0.33333333333333331</v>
      </c>
      <c r="AW981" s="1212">
        <v>0.33333333333333331</v>
      </c>
      <c r="AX981" s="1212"/>
      <c r="AY981" s="1212"/>
      <c r="AZ981" s="1212"/>
      <c r="BA981" s="1212"/>
      <c r="BB981" s="1212"/>
      <c r="BC981" s="1212"/>
      <c r="BD981" s="1212"/>
      <c r="BE981" s="1212"/>
      <c r="BF981" s="2126">
        <v>0</v>
      </c>
      <c r="BG981" s="2126">
        <v>0</v>
      </c>
      <c r="BH981" s="2126">
        <v>0</v>
      </c>
      <c r="BI981" s="2126">
        <v>0</v>
      </c>
      <c r="BJ981" s="2126">
        <v>0</v>
      </c>
      <c r="BK981" s="2126">
        <v>0</v>
      </c>
      <c r="BL981" s="2126">
        <v>0</v>
      </c>
      <c r="BM981" s="2126">
        <v>0</v>
      </c>
      <c r="BN981" s="2126">
        <v>0</v>
      </c>
      <c r="BO981" s="2126">
        <v>0</v>
      </c>
      <c r="BP981" s="2126">
        <v>0</v>
      </c>
      <c r="BQ981" s="2126">
        <v>0</v>
      </c>
      <c r="BR981" s="2126">
        <v>0</v>
      </c>
    </row>
    <row r="982" spans="1:70" s="1765" customFormat="1" ht="33">
      <c r="A982" s="1272">
        <v>4000</v>
      </c>
      <c r="B982" s="971" t="s">
        <v>1316</v>
      </c>
      <c r="C982" s="1272">
        <v>4500</v>
      </c>
      <c r="D982" s="971" t="s">
        <v>452</v>
      </c>
      <c r="E982" s="971" t="s">
        <v>1809</v>
      </c>
      <c r="F982" s="971" t="s">
        <v>701</v>
      </c>
      <c r="G982" s="971">
        <v>4530</v>
      </c>
      <c r="H982" s="971" t="s">
        <v>701</v>
      </c>
      <c r="I982" s="1273" t="s">
        <v>1835</v>
      </c>
      <c r="J982" s="971" t="s">
        <v>124</v>
      </c>
      <c r="K982" s="971"/>
      <c r="L982" s="971" t="e">
        <v>#N/A</v>
      </c>
      <c r="M982" s="971" t="s">
        <v>145</v>
      </c>
      <c r="N982" s="971" t="s">
        <v>141</v>
      </c>
      <c r="O982" s="971" t="s">
        <v>146</v>
      </c>
      <c r="P982" s="971"/>
      <c r="Q982" s="971" t="s">
        <v>740</v>
      </c>
      <c r="R982" s="1266" t="s">
        <v>1833</v>
      </c>
      <c r="S982" s="2106">
        <v>29.739776951672862</v>
      </c>
      <c r="T982" s="1266" t="s">
        <v>136</v>
      </c>
      <c r="U982" s="1742" t="s">
        <v>6588</v>
      </c>
      <c r="V982" s="1742" t="s">
        <v>6588</v>
      </c>
      <c r="W982" s="1742" t="s">
        <v>6588</v>
      </c>
      <c r="X982" s="1742" t="s">
        <v>6588</v>
      </c>
      <c r="Y982" s="2106" t="s">
        <v>6588</v>
      </c>
      <c r="Z982" s="2106">
        <v>0</v>
      </c>
      <c r="AA982" s="2106">
        <v>0</v>
      </c>
      <c r="AB982" s="2106">
        <v>0</v>
      </c>
      <c r="AC982" s="2106">
        <v>0</v>
      </c>
      <c r="AD982" s="1744">
        <v>0</v>
      </c>
      <c r="AE982" s="2126">
        <v>0</v>
      </c>
      <c r="AF982" s="2126">
        <v>0</v>
      </c>
      <c r="AG982" s="1212">
        <v>1</v>
      </c>
      <c r="AH982" s="1212">
        <v>0</v>
      </c>
      <c r="AI982" s="1212">
        <v>0</v>
      </c>
      <c r="AJ982" s="1212">
        <v>1</v>
      </c>
      <c r="AK982" s="2126">
        <v>0</v>
      </c>
      <c r="AL982" s="2126">
        <v>0</v>
      </c>
      <c r="AM982" s="2126">
        <v>0</v>
      </c>
      <c r="AN982" s="2126">
        <v>0</v>
      </c>
      <c r="AO982" s="1743" t="s">
        <v>85</v>
      </c>
      <c r="AP982" s="1743"/>
      <c r="AQ982" s="1764">
        <v>2014</v>
      </c>
      <c r="AR982" s="1743" t="s">
        <v>87</v>
      </c>
      <c r="AS982" s="2135"/>
      <c r="AT982" s="2135"/>
      <c r="AU982" s="1212">
        <v>0.33333333333333331</v>
      </c>
      <c r="AV982" s="1212">
        <v>0.33333333333333331</v>
      </c>
      <c r="AW982" s="1212">
        <v>0.33333333333333331</v>
      </c>
      <c r="AX982" s="1212"/>
      <c r="AY982" s="1212"/>
      <c r="AZ982" s="1212"/>
      <c r="BA982" s="1212"/>
      <c r="BB982" s="1212"/>
      <c r="BC982" s="1212"/>
      <c r="BD982" s="1212"/>
      <c r="BE982" s="1212"/>
      <c r="BF982" s="2126">
        <v>0</v>
      </c>
      <c r="BG982" s="2126">
        <v>0</v>
      </c>
      <c r="BH982" s="2126">
        <v>0</v>
      </c>
      <c r="BI982" s="2126">
        <v>0</v>
      </c>
      <c r="BJ982" s="2126">
        <v>0</v>
      </c>
      <c r="BK982" s="2126">
        <v>0</v>
      </c>
      <c r="BL982" s="2126">
        <v>0</v>
      </c>
      <c r="BM982" s="2126">
        <v>0</v>
      </c>
      <c r="BN982" s="2126">
        <v>0</v>
      </c>
      <c r="BO982" s="2126">
        <v>0</v>
      </c>
      <c r="BP982" s="2126">
        <v>0</v>
      </c>
      <c r="BQ982" s="2126">
        <v>0</v>
      </c>
      <c r="BR982" s="2126">
        <v>0</v>
      </c>
    </row>
    <row r="983" spans="1:70" s="1765" customFormat="1" ht="33">
      <c r="A983" s="1272">
        <v>4000</v>
      </c>
      <c r="B983" s="971" t="s">
        <v>1316</v>
      </c>
      <c r="C983" s="1272">
        <v>4500</v>
      </c>
      <c r="D983" s="971" t="s">
        <v>452</v>
      </c>
      <c r="E983" s="971" t="s">
        <v>1809</v>
      </c>
      <c r="F983" s="971" t="s">
        <v>701</v>
      </c>
      <c r="G983" s="971">
        <v>4530</v>
      </c>
      <c r="H983" s="971" t="s">
        <v>701</v>
      </c>
      <c r="I983" s="1273" t="s">
        <v>1836</v>
      </c>
      <c r="J983" s="971" t="s">
        <v>124</v>
      </c>
      <c r="K983" s="971" t="s">
        <v>140</v>
      </c>
      <c r="L983" s="971" t="s">
        <v>2909</v>
      </c>
      <c r="M983" s="971" t="s">
        <v>140</v>
      </c>
      <c r="N983" s="971" t="s">
        <v>141</v>
      </c>
      <c r="O983" s="971" t="s">
        <v>142</v>
      </c>
      <c r="P983" s="971"/>
      <c r="Q983" s="971" t="s">
        <v>742</v>
      </c>
      <c r="R983" s="1266" t="s">
        <v>1821</v>
      </c>
      <c r="S983" s="2106">
        <v>51.951672862453535</v>
      </c>
      <c r="T983" s="1266" t="s">
        <v>136</v>
      </c>
      <c r="U983" s="1742">
        <v>0</v>
      </c>
      <c r="V983" s="1742">
        <v>0</v>
      </c>
      <c r="W983" s="1742">
        <v>0</v>
      </c>
      <c r="X983" s="1742">
        <v>0</v>
      </c>
      <c r="Y983" s="2106">
        <v>0</v>
      </c>
      <c r="Z983" s="2106">
        <v>0</v>
      </c>
      <c r="AA983" s="2106">
        <v>0</v>
      </c>
      <c r="AB983" s="2106">
        <v>0</v>
      </c>
      <c r="AC983" s="2106">
        <v>0</v>
      </c>
      <c r="AD983" s="1744">
        <v>0</v>
      </c>
      <c r="AE983" s="2126">
        <v>0</v>
      </c>
      <c r="AF983" s="2126">
        <v>0</v>
      </c>
      <c r="AG983" s="1212">
        <v>1</v>
      </c>
      <c r="AH983" s="1212">
        <v>0</v>
      </c>
      <c r="AI983" s="1212">
        <v>0</v>
      </c>
      <c r="AJ983" s="1212">
        <v>1</v>
      </c>
      <c r="AK983" s="2126">
        <v>0</v>
      </c>
      <c r="AL983" s="2126">
        <v>0</v>
      </c>
      <c r="AM983" s="2126">
        <v>0</v>
      </c>
      <c r="AN983" s="2126">
        <v>0</v>
      </c>
      <c r="AO983" s="1743" t="s">
        <v>85</v>
      </c>
      <c r="AP983" s="1743"/>
      <c r="AQ983" s="1764">
        <v>2014</v>
      </c>
      <c r="AR983" s="1743" t="s">
        <v>87</v>
      </c>
      <c r="AS983" s="2135"/>
      <c r="AT983" s="2135"/>
      <c r="AU983" s="1212">
        <v>0.33333333333333331</v>
      </c>
      <c r="AV983" s="1212">
        <v>0.33333333333333331</v>
      </c>
      <c r="AW983" s="1212">
        <v>0.33333333333333331</v>
      </c>
      <c r="AX983" s="1212"/>
      <c r="AY983" s="1212"/>
      <c r="AZ983" s="1212"/>
      <c r="BA983" s="1212"/>
      <c r="BB983" s="1212"/>
      <c r="BC983" s="1212"/>
      <c r="BD983" s="1212"/>
      <c r="BE983" s="1212"/>
      <c r="BF983" s="2126">
        <v>0</v>
      </c>
      <c r="BG983" s="2126">
        <v>0</v>
      </c>
      <c r="BH983" s="2126">
        <v>0</v>
      </c>
      <c r="BI983" s="2126">
        <v>0</v>
      </c>
      <c r="BJ983" s="2126">
        <v>0</v>
      </c>
      <c r="BK983" s="2126">
        <v>0</v>
      </c>
      <c r="BL983" s="2126">
        <v>0</v>
      </c>
      <c r="BM983" s="2126">
        <v>0</v>
      </c>
      <c r="BN983" s="2126">
        <v>0</v>
      </c>
      <c r="BO983" s="2126">
        <v>0</v>
      </c>
      <c r="BP983" s="2126">
        <v>0</v>
      </c>
      <c r="BQ983" s="2126">
        <v>0</v>
      </c>
      <c r="BR983" s="2126">
        <v>0</v>
      </c>
    </row>
    <row r="984" spans="1:70" s="1765" customFormat="1" ht="33">
      <c r="A984" s="1272">
        <v>4000</v>
      </c>
      <c r="B984" s="971" t="s">
        <v>1316</v>
      </c>
      <c r="C984" s="1272">
        <v>4500</v>
      </c>
      <c r="D984" s="971" t="s">
        <v>452</v>
      </c>
      <c r="E984" s="971" t="s">
        <v>1809</v>
      </c>
      <c r="F984" s="971" t="s">
        <v>701</v>
      </c>
      <c r="G984" s="971">
        <v>4530</v>
      </c>
      <c r="H984" s="971" t="s">
        <v>701</v>
      </c>
      <c r="I984" s="1273" t="s">
        <v>1837</v>
      </c>
      <c r="J984" s="971" t="s">
        <v>124</v>
      </c>
      <c r="K984" s="971"/>
      <c r="L984" s="971" t="e">
        <v>#N/A</v>
      </c>
      <c r="M984" s="971" t="s">
        <v>145</v>
      </c>
      <c r="N984" s="971" t="s">
        <v>141</v>
      </c>
      <c r="O984" s="971" t="s">
        <v>146</v>
      </c>
      <c r="P984" s="971"/>
      <c r="Q984" s="971" t="s">
        <v>744</v>
      </c>
      <c r="R984" s="1266" t="s">
        <v>1821</v>
      </c>
      <c r="S984" s="2106">
        <v>51.951672862453535</v>
      </c>
      <c r="T984" s="1266" t="s">
        <v>136</v>
      </c>
      <c r="U984" s="1742" t="s">
        <v>6588</v>
      </c>
      <c r="V984" s="1742" t="s">
        <v>6588</v>
      </c>
      <c r="W984" s="1742" t="s">
        <v>6588</v>
      </c>
      <c r="X984" s="1742" t="s">
        <v>6588</v>
      </c>
      <c r="Y984" s="2106" t="s">
        <v>6588</v>
      </c>
      <c r="Z984" s="2106">
        <v>0</v>
      </c>
      <c r="AA984" s="2106">
        <v>0</v>
      </c>
      <c r="AB984" s="2106">
        <v>0</v>
      </c>
      <c r="AC984" s="2106">
        <v>0</v>
      </c>
      <c r="AD984" s="1744">
        <v>0</v>
      </c>
      <c r="AE984" s="2126">
        <v>0</v>
      </c>
      <c r="AF984" s="2126">
        <v>0</v>
      </c>
      <c r="AG984" s="1212">
        <v>1</v>
      </c>
      <c r="AH984" s="1212">
        <v>0</v>
      </c>
      <c r="AI984" s="1212">
        <v>0</v>
      </c>
      <c r="AJ984" s="1212">
        <v>1</v>
      </c>
      <c r="AK984" s="2126">
        <v>0</v>
      </c>
      <c r="AL984" s="2126">
        <v>0</v>
      </c>
      <c r="AM984" s="2126">
        <v>0</v>
      </c>
      <c r="AN984" s="2126">
        <v>0</v>
      </c>
      <c r="AO984" s="1743" t="s">
        <v>85</v>
      </c>
      <c r="AP984" s="1743"/>
      <c r="AQ984" s="1764">
        <v>2014</v>
      </c>
      <c r="AR984" s="1743" t="s">
        <v>87</v>
      </c>
      <c r="AS984" s="2135"/>
      <c r="AT984" s="2135"/>
      <c r="AU984" s="1212">
        <v>0.33333333333333331</v>
      </c>
      <c r="AV984" s="1212">
        <v>0.33333333333333331</v>
      </c>
      <c r="AW984" s="1212">
        <v>0.33333333333333331</v>
      </c>
      <c r="AX984" s="1212"/>
      <c r="AY984" s="1212"/>
      <c r="AZ984" s="1212"/>
      <c r="BA984" s="1212"/>
      <c r="BB984" s="1212"/>
      <c r="BC984" s="1212"/>
      <c r="BD984" s="1212"/>
      <c r="BE984" s="1212"/>
      <c r="BF984" s="2126">
        <v>0</v>
      </c>
      <c r="BG984" s="2126">
        <v>0</v>
      </c>
      <c r="BH984" s="2126">
        <v>0</v>
      </c>
      <c r="BI984" s="2126">
        <v>0</v>
      </c>
      <c r="BJ984" s="2126">
        <v>0</v>
      </c>
      <c r="BK984" s="2126">
        <v>0</v>
      </c>
      <c r="BL984" s="2126">
        <v>0</v>
      </c>
      <c r="BM984" s="2126">
        <v>0</v>
      </c>
      <c r="BN984" s="2126">
        <v>0</v>
      </c>
      <c r="BO984" s="2126">
        <v>0</v>
      </c>
      <c r="BP984" s="2126">
        <v>0</v>
      </c>
      <c r="BQ984" s="2126">
        <v>0</v>
      </c>
      <c r="BR984" s="2126">
        <v>0</v>
      </c>
    </row>
    <row r="985" spans="1:70" s="1765" customFormat="1" ht="33">
      <c r="A985" s="1272">
        <v>4000</v>
      </c>
      <c r="B985" s="971" t="s">
        <v>1316</v>
      </c>
      <c r="C985" s="1272">
        <v>4500</v>
      </c>
      <c r="D985" s="971" t="s">
        <v>452</v>
      </c>
      <c r="E985" s="971" t="s">
        <v>1809</v>
      </c>
      <c r="F985" s="971" t="s">
        <v>701</v>
      </c>
      <c r="G985" s="971">
        <v>4530</v>
      </c>
      <c r="H985" s="971" t="s">
        <v>701</v>
      </c>
      <c r="I985" s="1273" t="s">
        <v>1838</v>
      </c>
      <c r="J985" s="971" t="s">
        <v>124</v>
      </c>
      <c r="K985" s="971" t="s">
        <v>140</v>
      </c>
      <c r="L985" s="971" t="s">
        <v>2909</v>
      </c>
      <c r="M985" s="971" t="s">
        <v>140</v>
      </c>
      <c r="N985" s="971" t="s">
        <v>141</v>
      </c>
      <c r="O985" s="971" t="s">
        <v>142</v>
      </c>
      <c r="P985" s="971"/>
      <c r="Q985" s="971" t="s">
        <v>746</v>
      </c>
      <c r="R985" s="1266" t="s">
        <v>1823</v>
      </c>
      <c r="S985" s="2106">
        <v>51.951672862453535</v>
      </c>
      <c r="T985" s="1266" t="s">
        <v>136</v>
      </c>
      <c r="U985" s="1742">
        <v>0</v>
      </c>
      <c r="V985" s="1742">
        <v>0</v>
      </c>
      <c r="W985" s="1742">
        <v>0</v>
      </c>
      <c r="X985" s="1742">
        <v>0</v>
      </c>
      <c r="Y985" s="2106">
        <v>0</v>
      </c>
      <c r="Z985" s="2106">
        <v>0</v>
      </c>
      <c r="AA985" s="2106">
        <v>0</v>
      </c>
      <c r="AB985" s="2106">
        <v>0</v>
      </c>
      <c r="AC985" s="2106">
        <v>0</v>
      </c>
      <c r="AD985" s="1744">
        <v>0</v>
      </c>
      <c r="AE985" s="2126">
        <v>0</v>
      </c>
      <c r="AF985" s="2126">
        <v>0</v>
      </c>
      <c r="AG985" s="1212">
        <v>1</v>
      </c>
      <c r="AH985" s="1212">
        <v>0</v>
      </c>
      <c r="AI985" s="1212">
        <v>0</v>
      </c>
      <c r="AJ985" s="1212">
        <v>1</v>
      </c>
      <c r="AK985" s="2126">
        <v>0</v>
      </c>
      <c r="AL985" s="2126">
        <v>0</v>
      </c>
      <c r="AM985" s="2126">
        <v>0</v>
      </c>
      <c r="AN985" s="2126">
        <v>0</v>
      </c>
      <c r="AO985" s="1743" t="s">
        <v>85</v>
      </c>
      <c r="AP985" s="1743"/>
      <c r="AQ985" s="1764">
        <v>2014</v>
      </c>
      <c r="AR985" s="1743" t="s">
        <v>87</v>
      </c>
      <c r="AS985" s="2135"/>
      <c r="AT985" s="2135"/>
      <c r="AU985" s="1212">
        <v>0.33333333333333331</v>
      </c>
      <c r="AV985" s="1212">
        <v>0.33333333333333331</v>
      </c>
      <c r="AW985" s="1212">
        <v>0.33333333333333331</v>
      </c>
      <c r="AX985" s="1212"/>
      <c r="AY985" s="1212"/>
      <c r="AZ985" s="1212"/>
      <c r="BA985" s="1212"/>
      <c r="BB985" s="1212"/>
      <c r="BC985" s="1212"/>
      <c r="BD985" s="1212"/>
      <c r="BE985" s="1212"/>
      <c r="BF985" s="2126">
        <v>0</v>
      </c>
      <c r="BG985" s="2126">
        <v>0</v>
      </c>
      <c r="BH985" s="2126">
        <v>0</v>
      </c>
      <c r="BI985" s="2126">
        <v>0</v>
      </c>
      <c r="BJ985" s="2126">
        <v>0</v>
      </c>
      <c r="BK985" s="2126">
        <v>0</v>
      </c>
      <c r="BL985" s="2126">
        <v>0</v>
      </c>
      <c r="BM985" s="2126">
        <v>0</v>
      </c>
      <c r="BN985" s="2126">
        <v>0</v>
      </c>
      <c r="BO985" s="2126">
        <v>0</v>
      </c>
      <c r="BP985" s="2126">
        <v>0</v>
      </c>
      <c r="BQ985" s="2126">
        <v>0</v>
      </c>
      <c r="BR985" s="2126">
        <v>0</v>
      </c>
    </row>
    <row r="986" spans="1:70" s="1765" customFormat="1" ht="33">
      <c r="A986" s="1272">
        <v>4000</v>
      </c>
      <c r="B986" s="971" t="s">
        <v>1316</v>
      </c>
      <c r="C986" s="1272">
        <v>4500</v>
      </c>
      <c r="D986" s="971" t="s">
        <v>452</v>
      </c>
      <c r="E986" s="971" t="s">
        <v>1809</v>
      </c>
      <c r="F986" s="971" t="s">
        <v>701</v>
      </c>
      <c r="G986" s="971">
        <v>4530</v>
      </c>
      <c r="H986" s="971" t="s">
        <v>701</v>
      </c>
      <c r="I986" s="1273" t="s">
        <v>1839</v>
      </c>
      <c r="J986" s="971" t="s">
        <v>124</v>
      </c>
      <c r="K986" s="971"/>
      <c r="L986" s="971" t="e">
        <v>#N/A</v>
      </c>
      <c r="M986" s="971" t="s">
        <v>145</v>
      </c>
      <c r="N986" s="971" t="s">
        <v>141</v>
      </c>
      <c r="O986" s="971" t="s">
        <v>146</v>
      </c>
      <c r="P986" s="971"/>
      <c r="Q986" s="971" t="s">
        <v>748</v>
      </c>
      <c r="R986" s="1266" t="s">
        <v>1823</v>
      </c>
      <c r="S986" s="2106">
        <v>51.951672862453535</v>
      </c>
      <c r="T986" s="1266" t="s">
        <v>136</v>
      </c>
      <c r="U986" s="1742" t="s">
        <v>6588</v>
      </c>
      <c r="V986" s="1742" t="s">
        <v>6588</v>
      </c>
      <c r="W986" s="1742" t="s">
        <v>6588</v>
      </c>
      <c r="X986" s="1742" t="s">
        <v>6588</v>
      </c>
      <c r="Y986" s="2106" t="s">
        <v>6588</v>
      </c>
      <c r="Z986" s="2106">
        <v>0</v>
      </c>
      <c r="AA986" s="2106">
        <v>0</v>
      </c>
      <c r="AB986" s="2106">
        <v>0</v>
      </c>
      <c r="AC986" s="2106">
        <v>0</v>
      </c>
      <c r="AD986" s="1744">
        <v>0</v>
      </c>
      <c r="AE986" s="2126">
        <v>0</v>
      </c>
      <c r="AF986" s="2126">
        <v>0</v>
      </c>
      <c r="AG986" s="1212">
        <v>1</v>
      </c>
      <c r="AH986" s="1212">
        <v>0</v>
      </c>
      <c r="AI986" s="1212">
        <v>0</v>
      </c>
      <c r="AJ986" s="1212">
        <v>1</v>
      </c>
      <c r="AK986" s="2126">
        <v>0</v>
      </c>
      <c r="AL986" s="2126">
        <v>0</v>
      </c>
      <c r="AM986" s="2126">
        <v>0</v>
      </c>
      <c r="AN986" s="2126">
        <v>0</v>
      </c>
      <c r="AO986" s="1743" t="s">
        <v>85</v>
      </c>
      <c r="AP986" s="1743"/>
      <c r="AQ986" s="1764">
        <v>2014</v>
      </c>
      <c r="AR986" s="1743" t="s">
        <v>87</v>
      </c>
      <c r="AS986" s="2135"/>
      <c r="AT986" s="2135"/>
      <c r="AU986" s="1212">
        <v>0.33333333333333331</v>
      </c>
      <c r="AV986" s="1212">
        <v>0.33333333333333331</v>
      </c>
      <c r="AW986" s="1212">
        <v>0.33333333333333331</v>
      </c>
      <c r="AX986" s="1212"/>
      <c r="AY986" s="1212"/>
      <c r="AZ986" s="1212"/>
      <c r="BA986" s="1212"/>
      <c r="BB986" s="1212"/>
      <c r="BC986" s="1212"/>
      <c r="BD986" s="1212"/>
      <c r="BE986" s="1212"/>
      <c r="BF986" s="2126">
        <v>0</v>
      </c>
      <c r="BG986" s="2126">
        <v>0</v>
      </c>
      <c r="BH986" s="2126">
        <v>0</v>
      </c>
      <c r="BI986" s="2126">
        <v>0</v>
      </c>
      <c r="BJ986" s="2126">
        <v>0</v>
      </c>
      <c r="BK986" s="2126">
        <v>0</v>
      </c>
      <c r="BL986" s="2126">
        <v>0</v>
      </c>
      <c r="BM986" s="2126">
        <v>0</v>
      </c>
      <c r="BN986" s="2126">
        <v>0</v>
      </c>
      <c r="BO986" s="2126">
        <v>0</v>
      </c>
      <c r="BP986" s="2126">
        <v>0</v>
      </c>
      <c r="BQ986" s="2126">
        <v>0</v>
      </c>
      <c r="BR986" s="2126">
        <v>0</v>
      </c>
    </row>
    <row r="987" spans="1:70" s="1765" customFormat="1" ht="33">
      <c r="A987" s="1272">
        <v>4000</v>
      </c>
      <c r="B987" s="971" t="s">
        <v>1316</v>
      </c>
      <c r="C987" s="1272">
        <v>4500</v>
      </c>
      <c r="D987" s="971" t="s">
        <v>452</v>
      </c>
      <c r="E987" s="971" t="s">
        <v>1809</v>
      </c>
      <c r="F987" s="971" t="s">
        <v>701</v>
      </c>
      <c r="G987" s="971">
        <v>4530</v>
      </c>
      <c r="H987" s="971" t="s">
        <v>701</v>
      </c>
      <c r="I987" s="1273" t="s">
        <v>1840</v>
      </c>
      <c r="J987" s="971" t="s">
        <v>124</v>
      </c>
      <c r="K987" s="971" t="s">
        <v>140</v>
      </c>
      <c r="L987" s="971" t="s">
        <v>2909</v>
      </c>
      <c r="M987" s="971" t="s">
        <v>140</v>
      </c>
      <c r="N987" s="971" t="s">
        <v>141</v>
      </c>
      <c r="O987" s="971" t="s">
        <v>142</v>
      </c>
      <c r="P987" s="971"/>
      <c r="Q987" s="971" t="s">
        <v>750</v>
      </c>
      <c r="R987" s="1266" t="s">
        <v>1825</v>
      </c>
      <c r="S987" s="2106">
        <v>51.951672862453535</v>
      </c>
      <c r="T987" s="1266" t="s">
        <v>136</v>
      </c>
      <c r="U987" s="1742">
        <v>0</v>
      </c>
      <c r="V987" s="1742">
        <v>0</v>
      </c>
      <c r="W987" s="1742">
        <v>0</v>
      </c>
      <c r="X987" s="1742">
        <v>0</v>
      </c>
      <c r="Y987" s="2106">
        <v>0</v>
      </c>
      <c r="Z987" s="2106">
        <v>0</v>
      </c>
      <c r="AA987" s="2106">
        <v>0</v>
      </c>
      <c r="AB987" s="2106">
        <v>0</v>
      </c>
      <c r="AC987" s="2106">
        <v>0</v>
      </c>
      <c r="AD987" s="1744">
        <v>0</v>
      </c>
      <c r="AE987" s="2126">
        <v>0</v>
      </c>
      <c r="AF987" s="2126">
        <v>0</v>
      </c>
      <c r="AG987" s="1212">
        <v>1</v>
      </c>
      <c r="AH987" s="1212">
        <v>0</v>
      </c>
      <c r="AI987" s="1212">
        <v>0</v>
      </c>
      <c r="AJ987" s="1212">
        <v>1</v>
      </c>
      <c r="AK987" s="2126">
        <v>0</v>
      </c>
      <c r="AL987" s="2126">
        <v>0</v>
      </c>
      <c r="AM987" s="2126">
        <v>0</v>
      </c>
      <c r="AN987" s="2126">
        <v>0</v>
      </c>
      <c r="AO987" s="1743" t="s">
        <v>85</v>
      </c>
      <c r="AP987" s="1743"/>
      <c r="AQ987" s="1764">
        <v>2014</v>
      </c>
      <c r="AR987" s="1743" t="s">
        <v>87</v>
      </c>
      <c r="AS987" s="2135"/>
      <c r="AT987" s="2135"/>
      <c r="AU987" s="1212">
        <v>0.33333333333333331</v>
      </c>
      <c r="AV987" s="1212">
        <v>0.33333333333333331</v>
      </c>
      <c r="AW987" s="1212">
        <v>0.33333333333333331</v>
      </c>
      <c r="AX987" s="1212"/>
      <c r="AY987" s="1212"/>
      <c r="AZ987" s="1212"/>
      <c r="BA987" s="1212"/>
      <c r="BB987" s="1212"/>
      <c r="BC987" s="1212"/>
      <c r="BD987" s="1212"/>
      <c r="BE987" s="1212"/>
      <c r="BF987" s="2126">
        <v>0</v>
      </c>
      <c r="BG987" s="2126">
        <v>0</v>
      </c>
      <c r="BH987" s="2126">
        <v>0</v>
      </c>
      <c r="BI987" s="2126">
        <v>0</v>
      </c>
      <c r="BJ987" s="2126">
        <v>0</v>
      </c>
      <c r="BK987" s="2126">
        <v>0</v>
      </c>
      <c r="BL987" s="2126">
        <v>0</v>
      </c>
      <c r="BM987" s="2126">
        <v>0</v>
      </c>
      <c r="BN987" s="2126">
        <v>0</v>
      </c>
      <c r="BO987" s="2126">
        <v>0</v>
      </c>
      <c r="BP987" s="2126">
        <v>0</v>
      </c>
      <c r="BQ987" s="2126">
        <v>0</v>
      </c>
      <c r="BR987" s="2126">
        <v>0</v>
      </c>
    </row>
    <row r="988" spans="1:70" s="1765" customFormat="1" ht="33">
      <c r="A988" s="1272">
        <v>4000</v>
      </c>
      <c r="B988" s="971" t="s">
        <v>1316</v>
      </c>
      <c r="C988" s="1272">
        <v>4500</v>
      </c>
      <c r="D988" s="971" t="s">
        <v>452</v>
      </c>
      <c r="E988" s="971" t="s">
        <v>1809</v>
      </c>
      <c r="F988" s="971" t="s">
        <v>701</v>
      </c>
      <c r="G988" s="971">
        <v>4530</v>
      </c>
      <c r="H988" s="971" t="s">
        <v>701</v>
      </c>
      <c r="I988" s="1273" t="s">
        <v>1841</v>
      </c>
      <c r="J988" s="971" t="s">
        <v>124</v>
      </c>
      <c r="K988" s="971"/>
      <c r="L988" s="971" t="e">
        <v>#N/A</v>
      </c>
      <c r="M988" s="971" t="s">
        <v>145</v>
      </c>
      <c r="N988" s="971" t="s">
        <v>141</v>
      </c>
      <c r="O988" s="971" t="s">
        <v>146</v>
      </c>
      <c r="P988" s="971"/>
      <c r="Q988" s="971" t="s">
        <v>752</v>
      </c>
      <c r="R988" s="1266" t="s">
        <v>1825</v>
      </c>
      <c r="S988" s="2106">
        <v>51.951672862453535</v>
      </c>
      <c r="T988" s="1266" t="s">
        <v>136</v>
      </c>
      <c r="U988" s="1742" t="s">
        <v>6588</v>
      </c>
      <c r="V988" s="1742" t="s">
        <v>6588</v>
      </c>
      <c r="W988" s="1742" t="s">
        <v>6588</v>
      </c>
      <c r="X988" s="1742" t="s">
        <v>6588</v>
      </c>
      <c r="Y988" s="2106" t="s">
        <v>6588</v>
      </c>
      <c r="Z988" s="2106">
        <v>0</v>
      </c>
      <c r="AA988" s="2106">
        <v>0</v>
      </c>
      <c r="AB988" s="2106">
        <v>0</v>
      </c>
      <c r="AC988" s="2106">
        <v>0</v>
      </c>
      <c r="AD988" s="1744">
        <v>0</v>
      </c>
      <c r="AE988" s="2126">
        <v>0</v>
      </c>
      <c r="AF988" s="2126">
        <v>0</v>
      </c>
      <c r="AG988" s="1212">
        <v>1</v>
      </c>
      <c r="AH988" s="1212">
        <v>0</v>
      </c>
      <c r="AI988" s="1212">
        <v>0</v>
      </c>
      <c r="AJ988" s="1212">
        <v>1</v>
      </c>
      <c r="AK988" s="2126">
        <v>0</v>
      </c>
      <c r="AL988" s="2126">
        <v>0</v>
      </c>
      <c r="AM988" s="2126">
        <v>0</v>
      </c>
      <c r="AN988" s="2126">
        <v>0</v>
      </c>
      <c r="AO988" s="1743" t="s">
        <v>85</v>
      </c>
      <c r="AP988" s="1743"/>
      <c r="AQ988" s="1764">
        <v>2014</v>
      </c>
      <c r="AR988" s="1743" t="s">
        <v>87</v>
      </c>
      <c r="AS988" s="2135"/>
      <c r="AT988" s="2135"/>
      <c r="AU988" s="1212">
        <v>0.33333333333333331</v>
      </c>
      <c r="AV988" s="1212">
        <v>0.33333333333333331</v>
      </c>
      <c r="AW988" s="1212">
        <v>0.33333333333333331</v>
      </c>
      <c r="AX988" s="1212"/>
      <c r="AY988" s="1212"/>
      <c r="AZ988" s="1212"/>
      <c r="BA988" s="1212"/>
      <c r="BB988" s="1212"/>
      <c r="BC988" s="1212"/>
      <c r="BD988" s="1212"/>
      <c r="BE988" s="1212"/>
      <c r="BF988" s="2126">
        <v>0</v>
      </c>
      <c r="BG988" s="2126">
        <v>0</v>
      </c>
      <c r="BH988" s="2126">
        <v>0</v>
      </c>
      <c r="BI988" s="2126">
        <v>0</v>
      </c>
      <c r="BJ988" s="2126">
        <v>0</v>
      </c>
      <c r="BK988" s="2126">
        <v>0</v>
      </c>
      <c r="BL988" s="2126">
        <v>0</v>
      </c>
      <c r="BM988" s="2126">
        <v>0</v>
      </c>
      <c r="BN988" s="2126">
        <v>0</v>
      </c>
      <c r="BO988" s="2126">
        <v>0</v>
      </c>
      <c r="BP988" s="2126">
        <v>0</v>
      </c>
      <c r="BQ988" s="2126">
        <v>0</v>
      </c>
      <c r="BR988" s="2126">
        <v>0</v>
      </c>
    </row>
    <row r="989" spans="1:70" s="1765" customFormat="1" ht="33">
      <c r="A989" s="1272">
        <v>4000</v>
      </c>
      <c r="B989" s="971" t="s">
        <v>1316</v>
      </c>
      <c r="C989" s="1272">
        <v>4500</v>
      </c>
      <c r="D989" s="971" t="s">
        <v>452</v>
      </c>
      <c r="E989" s="971" t="s">
        <v>1809</v>
      </c>
      <c r="F989" s="971" t="s">
        <v>701</v>
      </c>
      <c r="G989" s="971">
        <v>4530</v>
      </c>
      <c r="H989" s="971" t="s">
        <v>701</v>
      </c>
      <c r="I989" s="1273" t="s">
        <v>1842</v>
      </c>
      <c r="J989" s="971" t="s">
        <v>124</v>
      </c>
      <c r="K989" s="971" t="s">
        <v>140</v>
      </c>
      <c r="L989" s="971" t="s">
        <v>2909</v>
      </c>
      <c r="M989" s="971" t="s">
        <v>140</v>
      </c>
      <c r="N989" s="971" t="s">
        <v>141</v>
      </c>
      <c r="O989" s="971" t="s">
        <v>142</v>
      </c>
      <c r="P989" s="971"/>
      <c r="Q989" s="971" t="s">
        <v>754</v>
      </c>
      <c r="R989" s="1266" t="s">
        <v>1827</v>
      </c>
      <c r="S989" s="2106">
        <v>51.951672862453535</v>
      </c>
      <c r="T989" s="1266" t="s">
        <v>136</v>
      </c>
      <c r="U989" s="1742">
        <v>0</v>
      </c>
      <c r="V989" s="1742">
        <v>0</v>
      </c>
      <c r="W989" s="1742">
        <v>0</v>
      </c>
      <c r="X989" s="1742">
        <v>0</v>
      </c>
      <c r="Y989" s="2106">
        <v>0</v>
      </c>
      <c r="Z989" s="2106">
        <v>0</v>
      </c>
      <c r="AA989" s="2106">
        <v>0</v>
      </c>
      <c r="AB989" s="2106">
        <v>0</v>
      </c>
      <c r="AC989" s="2106">
        <v>0</v>
      </c>
      <c r="AD989" s="1744">
        <v>0</v>
      </c>
      <c r="AE989" s="2126">
        <v>0</v>
      </c>
      <c r="AF989" s="2126">
        <v>0</v>
      </c>
      <c r="AG989" s="1212">
        <v>1</v>
      </c>
      <c r="AH989" s="1212">
        <v>0</v>
      </c>
      <c r="AI989" s="1212">
        <v>0</v>
      </c>
      <c r="AJ989" s="1212">
        <v>1</v>
      </c>
      <c r="AK989" s="2126">
        <v>0</v>
      </c>
      <c r="AL989" s="2126">
        <v>0</v>
      </c>
      <c r="AM989" s="2126">
        <v>0</v>
      </c>
      <c r="AN989" s="2126">
        <v>0</v>
      </c>
      <c r="AO989" s="1743" t="s">
        <v>85</v>
      </c>
      <c r="AP989" s="1743"/>
      <c r="AQ989" s="1764">
        <v>2014</v>
      </c>
      <c r="AR989" s="1743" t="s">
        <v>87</v>
      </c>
      <c r="AS989" s="2135"/>
      <c r="AT989" s="2135"/>
      <c r="AU989" s="1212">
        <v>0.33333333333333331</v>
      </c>
      <c r="AV989" s="1212">
        <v>0.33333333333333331</v>
      </c>
      <c r="AW989" s="1212">
        <v>0.33333333333333331</v>
      </c>
      <c r="AX989" s="1212"/>
      <c r="AY989" s="1212"/>
      <c r="AZ989" s="1212"/>
      <c r="BA989" s="1212"/>
      <c r="BB989" s="1212"/>
      <c r="BC989" s="1212"/>
      <c r="BD989" s="1212"/>
      <c r="BE989" s="1212"/>
      <c r="BF989" s="2126">
        <v>0</v>
      </c>
      <c r="BG989" s="2126">
        <v>0</v>
      </c>
      <c r="BH989" s="2126">
        <v>0</v>
      </c>
      <c r="BI989" s="2126">
        <v>0</v>
      </c>
      <c r="BJ989" s="2126">
        <v>0</v>
      </c>
      <c r="BK989" s="2126">
        <v>0</v>
      </c>
      <c r="BL989" s="2126">
        <v>0</v>
      </c>
      <c r="BM989" s="2126">
        <v>0</v>
      </c>
      <c r="BN989" s="2126">
        <v>0</v>
      </c>
      <c r="BO989" s="2126">
        <v>0</v>
      </c>
      <c r="BP989" s="2126">
        <v>0</v>
      </c>
      <c r="BQ989" s="2126">
        <v>0</v>
      </c>
      <c r="BR989" s="2126">
        <v>0</v>
      </c>
    </row>
    <row r="990" spans="1:70" s="1765" customFormat="1" ht="33">
      <c r="A990" s="1272">
        <v>4000</v>
      </c>
      <c r="B990" s="971" t="s">
        <v>1316</v>
      </c>
      <c r="C990" s="1272">
        <v>4500</v>
      </c>
      <c r="D990" s="971" t="s">
        <v>452</v>
      </c>
      <c r="E990" s="971" t="s">
        <v>1809</v>
      </c>
      <c r="F990" s="971" t="s">
        <v>701</v>
      </c>
      <c r="G990" s="971">
        <v>4530</v>
      </c>
      <c r="H990" s="971" t="s">
        <v>701</v>
      </c>
      <c r="I990" s="1273" t="s">
        <v>1843</v>
      </c>
      <c r="J990" s="971" t="s">
        <v>124</v>
      </c>
      <c r="K990" s="971"/>
      <c r="L990" s="971" t="e">
        <v>#N/A</v>
      </c>
      <c r="M990" s="971" t="s">
        <v>145</v>
      </c>
      <c r="N990" s="971" t="s">
        <v>141</v>
      </c>
      <c r="O990" s="971" t="s">
        <v>146</v>
      </c>
      <c r="P990" s="971"/>
      <c r="Q990" s="971" t="s">
        <v>756</v>
      </c>
      <c r="R990" s="1266" t="s">
        <v>1827</v>
      </c>
      <c r="S990" s="2106">
        <v>51.951672862453535</v>
      </c>
      <c r="T990" s="1266" t="s">
        <v>136</v>
      </c>
      <c r="U990" s="1742" t="s">
        <v>6588</v>
      </c>
      <c r="V990" s="1742" t="s">
        <v>6588</v>
      </c>
      <c r="W990" s="1742" t="s">
        <v>6588</v>
      </c>
      <c r="X990" s="1742" t="s">
        <v>6588</v>
      </c>
      <c r="Y990" s="2106" t="s">
        <v>6588</v>
      </c>
      <c r="Z990" s="2106">
        <v>0</v>
      </c>
      <c r="AA990" s="2106">
        <v>0</v>
      </c>
      <c r="AB990" s="2106">
        <v>0</v>
      </c>
      <c r="AC990" s="2106">
        <v>0</v>
      </c>
      <c r="AD990" s="1744">
        <v>0</v>
      </c>
      <c r="AE990" s="2126">
        <v>0</v>
      </c>
      <c r="AF990" s="2126">
        <v>0</v>
      </c>
      <c r="AG990" s="1212">
        <v>1</v>
      </c>
      <c r="AH990" s="1212">
        <v>0</v>
      </c>
      <c r="AI990" s="1212">
        <v>0</v>
      </c>
      <c r="AJ990" s="1212">
        <v>1</v>
      </c>
      <c r="AK990" s="2126">
        <v>0</v>
      </c>
      <c r="AL990" s="2126">
        <v>0</v>
      </c>
      <c r="AM990" s="2126">
        <v>0</v>
      </c>
      <c r="AN990" s="2126">
        <v>0</v>
      </c>
      <c r="AO990" s="1743" t="s">
        <v>85</v>
      </c>
      <c r="AP990" s="1743"/>
      <c r="AQ990" s="1764">
        <v>2014</v>
      </c>
      <c r="AR990" s="1743" t="s">
        <v>87</v>
      </c>
      <c r="AS990" s="2135"/>
      <c r="AT990" s="2135"/>
      <c r="AU990" s="1212">
        <v>0.33333333333333331</v>
      </c>
      <c r="AV990" s="1212">
        <v>0.33333333333333331</v>
      </c>
      <c r="AW990" s="1212">
        <v>0.33333333333333331</v>
      </c>
      <c r="AX990" s="1212"/>
      <c r="AY990" s="1212"/>
      <c r="AZ990" s="1212"/>
      <c r="BA990" s="1212"/>
      <c r="BB990" s="1212"/>
      <c r="BC990" s="1212"/>
      <c r="BD990" s="1212"/>
      <c r="BE990" s="1212"/>
      <c r="BF990" s="2126">
        <v>0</v>
      </c>
      <c r="BG990" s="2126">
        <v>0</v>
      </c>
      <c r="BH990" s="2126">
        <v>0</v>
      </c>
      <c r="BI990" s="2126">
        <v>0</v>
      </c>
      <c r="BJ990" s="2126">
        <v>0</v>
      </c>
      <c r="BK990" s="2126">
        <v>0</v>
      </c>
      <c r="BL990" s="2126">
        <v>0</v>
      </c>
      <c r="BM990" s="2126">
        <v>0</v>
      </c>
      <c r="BN990" s="2126">
        <v>0</v>
      </c>
      <c r="BO990" s="2126">
        <v>0</v>
      </c>
      <c r="BP990" s="2126">
        <v>0</v>
      </c>
      <c r="BQ990" s="2126">
        <v>0</v>
      </c>
      <c r="BR990" s="2126">
        <v>0</v>
      </c>
    </row>
    <row r="991" spans="1:70" s="1765" customFormat="1" ht="33">
      <c r="A991" s="1272">
        <v>4000</v>
      </c>
      <c r="B991" s="971" t="s">
        <v>1316</v>
      </c>
      <c r="C991" s="1272">
        <v>4500</v>
      </c>
      <c r="D991" s="971" t="s">
        <v>452</v>
      </c>
      <c r="E991" s="971" t="s">
        <v>1809</v>
      </c>
      <c r="F991" s="971" t="s">
        <v>701</v>
      </c>
      <c r="G991" s="971">
        <v>4530</v>
      </c>
      <c r="H991" s="971" t="s">
        <v>701</v>
      </c>
      <c r="I991" s="1273" t="s">
        <v>1844</v>
      </c>
      <c r="J991" s="971" t="s">
        <v>124</v>
      </c>
      <c r="K991" s="971" t="s">
        <v>140</v>
      </c>
      <c r="L991" s="971" t="s">
        <v>2909</v>
      </c>
      <c r="M991" s="971" t="s">
        <v>140</v>
      </c>
      <c r="N991" s="971" t="s">
        <v>141</v>
      </c>
      <c r="O991" s="971" t="s">
        <v>142</v>
      </c>
      <c r="P991" s="971"/>
      <c r="Q991" s="971" t="s">
        <v>758</v>
      </c>
      <c r="R991" s="1266" t="s">
        <v>1829</v>
      </c>
      <c r="S991" s="2106">
        <v>51.951672862453535</v>
      </c>
      <c r="T991" s="1266" t="s">
        <v>136</v>
      </c>
      <c r="U991" s="1742">
        <v>0</v>
      </c>
      <c r="V991" s="1742">
        <v>0</v>
      </c>
      <c r="W991" s="1742">
        <v>0</v>
      </c>
      <c r="X991" s="1742">
        <v>0</v>
      </c>
      <c r="Y991" s="2106">
        <v>0</v>
      </c>
      <c r="Z991" s="2106">
        <v>0</v>
      </c>
      <c r="AA991" s="2106">
        <v>0</v>
      </c>
      <c r="AB991" s="2106">
        <v>0</v>
      </c>
      <c r="AC991" s="2106">
        <v>0</v>
      </c>
      <c r="AD991" s="1744">
        <v>0</v>
      </c>
      <c r="AE991" s="2126">
        <v>0</v>
      </c>
      <c r="AF991" s="2126">
        <v>0</v>
      </c>
      <c r="AG991" s="1212">
        <v>1</v>
      </c>
      <c r="AH991" s="1212">
        <v>0</v>
      </c>
      <c r="AI991" s="1212">
        <v>0</v>
      </c>
      <c r="AJ991" s="1212">
        <v>1</v>
      </c>
      <c r="AK991" s="2126">
        <v>0</v>
      </c>
      <c r="AL991" s="2126">
        <v>0</v>
      </c>
      <c r="AM991" s="2126">
        <v>0</v>
      </c>
      <c r="AN991" s="2126">
        <v>0</v>
      </c>
      <c r="AO991" s="1743" t="s">
        <v>85</v>
      </c>
      <c r="AP991" s="1743"/>
      <c r="AQ991" s="1764">
        <v>2014</v>
      </c>
      <c r="AR991" s="1743" t="s">
        <v>87</v>
      </c>
      <c r="AS991" s="2135"/>
      <c r="AT991" s="2135"/>
      <c r="AU991" s="1212">
        <v>0.33333333333333331</v>
      </c>
      <c r="AV991" s="1212">
        <v>0.33333333333333331</v>
      </c>
      <c r="AW991" s="1212">
        <v>0.33333333333333331</v>
      </c>
      <c r="AX991" s="1212"/>
      <c r="AY991" s="1212"/>
      <c r="AZ991" s="1212"/>
      <c r="BA991" s="1212"/>
      <c r="BB991" s="1212"/>
      <c r="BC991" s="1212"/>
      <c r="BD991" s="1212"/>
      <c r="BE991" s="1212"/>
      <c r="BF991" s="2126">
        <v>0</v>
      </c>
      <c r="BG991" s="2126">
        <v>0</v>
      </c>
      <c r="BH991" s="2126">
        <v>0</v>
      </c>
      <c r="BI991" s="2126">
        <v>0</v>
      </c>
      <c r="BJ991" s="2126">
        <v>0</v>
      </c>
      <c r="BK991" s="2126">
        <v>0</v>
      </c>
      <c r="BL991" s="2126">
        <v>0</v>
      </c>
      <c r="BM991" s="2126">
        <v>0</v>
      </c>
      <c r="BN991" s="2126">
        <v>0</v>
      </c>
      <c r="BO991" s="2126">
        <v>0</v>
      </c>
      <c r="BP991" s="2126">
        <v>0</v>
      </c>
      <c r="BQ991" s="2126">
        <v>0</v>
      </c>
      <c r="BR991" s="2126">
        <v>0</v>
      </c>
    </row>
    <row r="992" spans="1:70" s="1765" customFormat="1" ht="33">
      <c r="A992" s="1272">
        <v>4000</v>
      </c>
      <c r="B992" s="971" t="s">
        <v>1316</v>
      </c>
      <c r="C992" s="1272">
        <v>4500</v>
      </c>
      <c r="D992" s="971" t="s">
        <v>452</v>
      </c>
      <c r="E992" s="971" t="s">
        <v>1809</v>
      </c>
      <c r="F992" s="971" t="s">
        <v>701</v>
      </c>
      <c r="G992" s="971">
        <v>4530</v>
      </c>
      <c r="H992" s="971" t="s">
        <v>701</v>
      </c>
      <c r="I992" s="1273" t="s">
        <v>1845</v>
      </c>
      <c r="J992" s="971" t="s">
        <v>124</v>
      </c>
      <c r="K992" s="971"/>
      <c r="L992" s="971" t="e">
        <v>#N/A</v>
      </c>
      <c r="M992" s="971" t="s">
        <v>145</v>
      </c>
      <c r="N992" s="971" t="s">
        <v>141</v>
      </c>
      <c r="O992" s="971" t="s">
        <v>146</v>
      </c>
      <c r="P992" s="971"/>
      <c r="Q992" s="971" t="s">
        <v>760</v>
      </c>
      <c r="R992" s="1266" t="s">
        <v>1829</v>
      </c>
      <c r="S992" s="2106">
        <v>51.951672862453535</v>
      </c>
      <c r="T992" s="1266" t="s">
        <v>136</v>
      </c>
      <c r="U992" s="1742" t="s">
        <v>6588</v>
      </c>
      <c r="V992" s="1742" t="s">
        <v>6588</v>
      </c>
      <c r="W992" s="1742" t="s">
        <v>6588</v>
      </c>
      <c r="X992" s="1742" t="s">
        <v>6588</v>
      </c>
      <c r="Y992" s="2106" t="s">
        <v>6588</v>
      </c>
      <c r="Z992" s="2106">
        <v>0</v>
      </c>
      <c r="AA992" s="2106">
        <v>0</v>
      </c>
      <c r="AB992" s="2106">
        <v>0</v>
      </c>
      <c r="AC992" s="2106">
        <v>0</v>
      </c>
      <c r="AD992" s="1744">
        <v>0</v>
      </c>
      <c r="AE992" s="2126">
        <v>0</v>
      </c>
      <c r="AF992" s="2126">
        <v>0</v>
      </c>
      <c r="AG992" s="1212">
        <v>1</v>
      </c>
      <c r="AH992" s="1212">
        <v>0</v>
      </c>
      <c r="AI992" s="1212">
        <v>0</v>
      </c>
      <c r="AJ992" s="1212">
        <v>1</v>
      </c>
      <c r="AK992" s="2126">
        <v>0</v>
      </c>
      <c r="AL992" s="2126">
        <v>0</v>
      </c>
      <c r="AM992" s="2126">
        <v>0</v>
      </c>
      <c r="AN992" s="2126">
        <v>0</v>
      </c>
      <c r="AO992" s="1743" t="s">
        <v>85</v>
      </c>
      <c r="AP992" s="1743"/>
      <c r="AQ992" s="1764">
        <v>2014</v>
      </c>
      <c r="AR992" s="1743" t="s">
        <v>87</v>
      </c>
      <c r="AS992" s="2135"/>
      <c r="AT992" s="2135"/>
      <c r="AU992" s="1212">
        <v>0.33333333333333331</v>
      </c>
      <c r="AV992" s="1212">
        <v>0.33333333333333331</v>
      </c>
      <c r="AW992" s="1212">
        <v>0.33333333333333331</v>
      </c>
      <c r="AX992" s="1212"/>
      <c r="AY992" s="1212"/>
      <c r="AZ992" s="1212"/>
      <c r="BA992" s="1212"/>
      <c r="BB992" s="1212"/>
      <c r="BC992" s="1212"/>
      <c r="BD992" s="1212"/>
      <c r="BE992" s="1212"/>
      <c r="BF992" s="2126">
        <v>0</v>
      </c>
      <c r="BG992" s="2126">
        <v>0</v>
      </c>
      <c r="BH992" s="2126">
        <v>0</v>
      </c>
      <c r="BI992" s="2126">
        <v>0</v>
      </c>
      <c r="BJ992" s="2126">
        <v>0</v>
      </c>
      <c r="BK992" s="2126">
        <v>0</v>
      </c>
      <c r="BL992" s="2126">
        <v>0</v>
      </c>
      <c r="BM992" s="2126">
        <v>0</v>
      </c>
      <c r="BN992" s="2126">
        <v>0</v>
      </c>
      <c r="BO992" s="2126">
        <v>0</v>
      </c>
      <c r="BP992" s="2126">
        <v>0</v>
      </c>
      <c r="BQ992" s="2126">
        <v>0</v>
      </c>
      <c r="BR992" s="2126">
        <v>0</v>
      </c>
    </row>
    <row r="993" spans="1:70" s="1765" customFormat="1" ht="33">
      <c r="A993" s="1272">
        <v>4000</v>
      </c>
      <c r="B993" s="971" t="s">
        <v>1316</v>
      </c>
      <c r="C993" s="1272">
        <v>4500</v>
      </c>
      <c r="D993" s="971" t="s">
        <v>452</v>
      </c>
      <c r="E993" s="971" t="s">
        <v>1809</v>
      </c>
      <c r="F993" s="971" t="s">
        <v>701</v>
      </c>
      <c r="G993" s="971">
        <v>4530</v>
      </c>
      <c r="H993" s="971" t="s">
        <v>701</v>
      </c>
      <c r="I993" s="1273" t="s">
        <v>1846</v>
      </c>
      <c r="J993" s="971" t="s">
        <v>124</v>
      </c>
      <c r="K993" s="971" t="s">
        <v>140</v>
      </c>
      <c r="L993" s="971" t="s">
        <v>2909</v>
      </c>
      <c r="M993" s="971" t="s">
        <v>140</v>
      </c>
      <c r="N993" s="971" t="s">
        <v>141</v>
      </c>
      <c r="O993" s="971" t="s">
        <v>142</v>
      </c>
      <c r="P993" s="971"/>
      <c r="Q993" s="971" t="s">
        <v>762</v>
      </c>
      <c r="R993" s="1266" t="s">
        <v>1831</v>
      </c>
      <c r="S993" s="2106">
        <v>51.951672862453535</v>
      </c>
      <c r="T993" s="1266" t="s">
        <v>136</v>
      </c>
      <c r="U993" s="1742">
        <v>0</v>
      </c>
      <c r="V993" s="1742">
        <v>0</v>
      </c>
      <c r="W993" s="1742">
        <v>0</v>
      </c>
      <c r="X993" s="1742">
        <v>0</v>
      </c>
      <c r="Y993" s="2106">
        <v>0</v>
      </c>
      <c r="Z993" s="2106">
        <v>0</v>
      </c>
      <c r="AA993" s="2106">
        <v>0</v>
      </c>
      <c r="AB993" s="2106">
        <v>0</v>
      </c>
      <c r="AC993" s="2106">
        <v>0</v>
      </c>
      <c r="AD993" s="1744">
        <v>0</v>
      </c>
      <c r="AE993" s="2126">
        <v>0</v>
      </c>
      <c r="AF993" s="2126">
        <v>0</v>
      </c>
      <c r="AG993" s="1212">
        <v>1</v>
      </c>
      <c r="AH993" s="1212">
        <v>0</v>
      </c>
      <c r="AI993" s="1212">
        <v>0</v>
      </c>
      <c r="AJ993" s="1212">
        <v>1</v>
      </c>
      <c r="AK993" s="2126">
        <v>0</v>
      </c>
      <c r="AL993" s="2126">
        <v>0</v>
      </c>
      <c r="AM993" s="2126">
        <v>0</v>
      </c>
      <c r="AN993" s="2126">
        <v>0</v>
      </c>
      <c r="AO993" s="1743" t="s">
        <v>85</v>
      </c>
      <c r="AP993" s="1743"/>
      <c r="AQ993" s="1764">
        <v>2014</v>
      </c>
      <c r="AR993" s="1743" t="s">
        <v>87</v>
      </c>
      <c r="AS993" s="2135"/>
      <c r="AT993" s="2135"/>
      <c r="AU993" s="1212">
        <v>0.33333333333333331</v>
      </c>
      <c r="AV993" s="1212">
        <v>0.33333333333333331</v>
      </c>
      <c r="AW993" s="1212">
        <v>0.33333333333333331</v>
      </c>
      <c r="AX993" s="1212"/>
      <c r="AY993" s="1212"/>
      <c r="AZ993" s="1212"/>
      <c r="BA993" s="1212"/>
      <c r="BB993" s="1212"/>
      <c r="BC993" s="1212"/>
      <c r="BD993" s="1212"/>
      <c r="BE993" s="1212"/>
      <c r="BF993" s="2126">
        <v>0</v>
      </c>
      <c r="BG993" s="2126">
        <v>0</v>
      </c>
      <c r="BH993" s="2126">
        <v>0</v>
      </c>
      <c r="BI993" s="2126">
        <v>0</v>
      </c>
      <c r="BJ993" s="2126">
        <v>0</v>
      </c>
      <c r="BK993" s="2126">
        <v>0</v>
      </c>
      <c r="BL993" s="2126">
        <v>0</v>
      </c>
      <c r="BM993" s="2126">
        <v>0</v>
      </c>
      <c r="BN993" s="2126">
        <v>0</v>
      </c>
      <c r="BO993" s="2126">
        <v>0</v>
      </c>
      <c r="BP993" s="2126">
        <v>0</v>
      </c>
      <c r="BQ993" s="2126">
        <v>0</v>
      </c>
      <c r="BR993" s="2126">
        <v>0</v>
      </c>
    </row>
    <row r="994" spans="1:70" s="1765" customFormat="1" ht="33">
      <c r="A994" s="1272">
        <v>4000</v>
      </c>
      <c r="B994" s="971" t="s">
        <v>1316</v>
      </c>
      <c r="C994" s="1272">
        <v>4500</v>
      </c>
      <c r="D994" s="971" t="s">
        <v>452</v>
      </c>
      <c r="E994" s="971" t="s">
        <v>1809</v>
      </c>
      <c r="F994" s="971" t="s">
        <v>701</v>
      </c>
      <c r="G994" s="971">
        <v>4530</v>
      </c>
      <c r="H994" s="971" t="s">
        <v>701</v>
      </c>
      <c r="I994" s="1273" t="s">
        <v>1847</v>
      </c>
      <c r="J994" s="971" t="s">
        <v>124</v>
      </c>
      <c r="K994" s="971"/>
      <c r="L994" s="971" t="e">
        <v>#N/A</v>
      </c>
      <c r="M994" s="971" t="s">
        <v>145</v>
      </c>
      <c r="N994" s="971" t="s">
        <v>141</v>
      </c>
      <c r="O994" s="971" t="s">
        <v>146</v>
      </c>
      <c r="P994" s="971"/>
      <c r="Q994" s="971" t="s">
        <v>764</v>
      </c>
      <c r="R994" s="1266" t="s">
        <v>1831</v>
      </c>
      <c r="S994" s="2106">
        <v>51.951672862453535</v>
      </c>
      <c r="T994" s="1266" t="s">
        <v>136</v>
      </c>
      <c r="U994" s="1742" t="s">
        <v>6588</v>
      </c>
      <c r="V994" s="1742" t="s">
        <v>6588</v>
      </c>
      <c r="W994" s="1742" t="s">
        <v>6588</v>
      </c>
      <c r="X994" s="1742" t="s">
        <v>6588</v>
      </c>
      <c r="Y994" s="2106" t="s">
        <v>6588</v>
      </c>
      <c r="Z994" s="2106">
        <v>0</v>
      </c>
      <c r="AA994" s="2106">
        <v>0</v>
      </c>
      <c r="AB994" s="2106">
        <v>0</v>
      </c>
      <c r="AC994" s="2106">
        <v>0</v>
      </c>
      <c r="AD994" s="1744">
        <v>0</v>
      </c>
      <c r="AE994" s="2126">
        <v>0</v>
      </c>
      <c r="AF994" s="2126">
        <v>0</v>
      </c>
      <c r="AG994" s="1212">
        <v>1</v>
      </c>
      <c r="AH994" s="1212">
        <v>0</v>
      </c>
      <c r="AI994" s="1212">
        <v>0</v>
      </c>
      <c r="AJ994" s="1212">
        <v>1</v>
      </c>
      <c r="AK994" s="2126">
        <v>0</v>
      </c>
      <c r="AL994" s="2126">
        <v>0</v>
      </c>
      <c r="AM994" s="2126">
        <v>0</v>
      </c>
      <c r="AN994" s="2126">
        <v>0</v>
      </c>
      <c r="AO994" s="1743" t="s">
        <v>85</v>
      </c>
      <c r="AP994" s="1743"/>
      <c r="AQ994" s="1764">
        <v>2014</v>
      </c>
      <c r="AR994" s="1743" t="s">
        <v>87</v>
      </c>
      <c r="AS994" s="2135"/>
      <c r="AT994" s="2135"/>
      <c r="AU994" s="1212">
        <v>0.33333333333333331</v>
      </c>
      <c r="AV994" s="1212">
        <v>0.33333333333333331</v>
      </c>
      <c r="AW994" s="1212">
        <v>0.33333333333333331</v>
      </c>
      <c r="AX994" s="1212"/>
      <c r="AY994" s="1212"/>
      <c r="AZ994" s="1212"/>
      <c r="BA994" s="1212"/>
      <c r="BB994" s="1212"/>
      <c r="BC994" s="1212"/>
      <c r="BD994" s="1212"/>
      <c r="BE994" s="1212"/>
      <c r="BF994" s="2126">
        <v>0</v>
      </c>
      <c r="BG994" s="2126">
        <v>0</v>
      </c>
      <c r="BH994" s="2126">
        <v>0</v>
      </c>
      <c r="BI994" s="2126">
        <v>0</v>
      </c>
      <c r="BJ994" s="2126">
        <v>0</v>
      </c>
      <c r="BK994" s="2126">
        <v>0</v>
      </c>
      <c r="BL994" s="2126">
        <v>0</v>
      </c>
      <c r="BM994" s="2126">
        <v>0</v>
      </c>
      <c r="BN994" s="2126">
        <v>0</v>
      </c>
      <c r="BO994" s="2126">
        <v>0</v>
      </c>
      <c r="BP994" s="2126">
        <v>0</v>
      </c>
      <c r="BQ994" s="2126">
        <v>0</v>
      </c>
      <c r="BR994" s="2126">
        <v>0</v>
      </c>
    </row>
    <row r="995" spans="1:70" s="1765" customFormat="1" ht="33">
      <c r="A995" s="1272">
        <v>4000</v>
      </c>
      <c r="B995" s="971" t="s">
        <v>1316</v>
      </c>
      <c r="C995" s="1272">
        <v>4500</v>
      </c>
      <c r="D995" s="971" t="s">
        <v>452</v>
      </c>
      <c r="E995" s="971" t="s">
        <v>1809</v>
      </c>
      <c r="F995" s="971" t="s">
        <v>701</v>
      </c>
      <c r="G995" s="971">
        <v>4530</v>
      </c>
      <c r="H995" s="971" t="s">
        <v>701</v>
      </c>
      <c r="I995" s="1273" t="s">
        <v>1848</v>
      </c>
      <c r="J995" s="971" t="s">
        <v>124</v>
      </c>
      <c r="K995" s="971" t="s">
        <v>140</v>
      </c>
      <c r="L995" s="971" t="s">
        <v>2909</v>
      </c>
      <c r="M995" s="971" t="s">
        <v>140</v>
      </c>
      <c r="N995" s="971" t="s">
        <v>141</v>
      </c>
      <c r="O995" s="971" t="s">
        <v>142</v>
      </c>
      <c r="P995" s="971"/>
      <c r="Q995" s="971" t="s">
        <v>774</v>
      </c>
      <c r="R995" s="1266" t="s">
        <v>1817</v>
      </c>
      <c r="S995" s="2106">
        <v>66.914498141263948</v>
      </c>
      <c r="T995" s="1266" t="s">
        <v>136</v>
      </c>
      <c r="U995" s="1742">
        <v>0</v>
      </c>
      <c r="V995" s="1742">
        <v>0</v>
      </c>
      <c r="W995" s="1742">
        <v>0</v>
      </c>
      <c r="X995" s="1742">
        <v>0</v>
      </c>
      <c r="Y995" s="2106">
        <v>0</v>
      </c>
      <c r="Z995" s="2106">
        <v>0</v>
      </c>
      <c r="AA995" s="2106">
        <v>0</v>
      </c>
      <c r="AB995" s="2106">
        <v>0</v>
      </c>
      <c r="AC995" s="2106">
        <v>0</v>
      </c>
      <c r="AD995" s="1744">
        <v>0</v>
      </c>
      <c r="AE995" s="2126">
        <v>0</v>
      </c>
      <c r="AF995" s="2126">
        <v>0</v>
      </c>
      <c r="AG995" s="1212">
        <v>1</v>
      </c>
      <c r="AH995" s="1212">
        <v>0</v>
      </c>
      <c r="AI995" s="1212">
        <v>0</v>
      </c>
      <c r="AJ995" s="1212">
        <v>1</v>
      </c>
      <c r="AK995" s="2126">
        <v>0</v>
      </c>
      <c r="AL995" s="2126">
        <v>0</v>
      </c>
      <c r="AM995" s="2126">
        <v>0</v>
      </c>
      <c r="AN995" s="2126">
        <v>0</v>
      </c>
      <c r="AO995" s="1743" t="s">
        <v>85</v>
      </c>
      <c r="AP995" s="1743"/>
      <c r="AQ995" s="1764">
        <v>2014</v>
      </c>
      <c r="AR995" s="1743" t="s">
        <v>87</v>
      </c>
      <c r="AS995" s="2135"/>
      <c r="AT995" s="2135"/>
      <c r="AU995" s="1212">
        <v>0.33333333333333331</v>
      </c>
      <c r="AV995" s="1212">
        <v>0.33333333333333331</v>
      </c>
      <c r="AW995" s="1212">
        <v>0.33333333333333331</v>
      </c>
      <c r="AX995" s="1212"/>
      <c r="AY995" s="1212"/>
      <c r="AZ995" s="1212"/>
      <c r="BA995" s="1212"/>
      <c r="BB995" s="1212"/>
      <c r="BC995" s="1212"/>
      <c r="BD995" s="1212"/>
      <c r="BE995" s="1212"/>
      <c r="BF995" s="2126">
        <v>0</v>
      </c>
      <c r="BG995" s="2126">
        <v>0</v>
      </c>
      <c r="BH995" s="2126">
        <v>0</v>
      </c>
      <c r="BI995" s="2126">
        <v>0</v>
      </c>
      <c r="BJ995" s="2126">
        <v>0</v>
      </c>
      <c r="BK995" s="2126">
        <v>0</v>
      </c>
      <c r="BL995" s="2126">
        <v>0</v>
      </c>
      <c r="BM995" s="2126">
        <v>0</v>
      </c>
      <c r="BN995" s="2126">
        <v>0</v>
      </c>
      <c r="BO995" s="2126">
        <v>0</v>
      </c>
      <c r="BP995" s="2126">
        <v>0</v>
      </c>
      <c r="BQ995" s="2126">
        <v>0</v>
      </c>
      <c r="BR995" s="2126">
        <v>0</v>
      </c>
    </row>
    <row r="996" spans="1:70" s="1765" customFormat="1" ht="33">
      <c r="A996" s="1272">
        <v>4000</v>
      </c>
      <c r="B996" s="971" t="s">
        <v>1316</v>
      </c>
      <c r="C996" s="1272">
        <v>4500</v>
      </c>
      <c r="D996" s="971" t="s">
        <v>452</v>
      </c>
      <c r="E996" s="971" t="s">
        <v>1809</v>
      </c>
      <c r="F996" s="971" t="s">
        <v>701</v>
      </c>
      <c r="G996" s="971">
        <v>4530</v>
      </c>
      <c r="H996" s="971" t="s">
        <v>701</v>
      </c>
      <c r="I996" s="1273" t="s">
        <v>1849</v>
      </c>
      <c r="J996" s="971" t="s">
        <v>124</v>
      </c>
      <c r="K996" s="971"/>
      <c r="L996" s="971" t="e">
        <v>#N/A</v>
      </c>
      <c r="M996" s="971" t="s">
        <v>145</v>
      </c>
      <c r="N996" s="971" t="s">
        <v>141</v>
      </c>
      <c r="O996" s="971" t="s">
        <v>146</v>
      </c>
      <c r="P996" s="971"/>
      <c r="Q996" s="971" t="s">
        <v>776</v>
      </c>
      <c r="R996" s="1266" t="s">
        <v>1817</v>
      </c>
      <c r="S996" s="2106">
        <v>66.914498141263948</v>
      </c>
      <c r="T996" s="1266" t="s">
        <v>136</v>
      </c>
      <c r="U996" s="1742" t="s">
        <v>6588</v>
      </c>
      <c r="V996" s="1742" t="s">
        <v>6588</v>
      </c>
      <c r="W996" s="1742" t="s">
        <v>6588</v>
      </c>
      <c r="X996" s="1742" t="s">
        <v>6588</v>
      </c>
      <c r="Y996" s="2106" t="s">
        <v>6588</v>
      </c>
      <c r="Z996" s="2106">
        <v>0</v>
      </c>
      <c r="AA996" s="2106">
        <v>0</v>
      </c>
      <c r="AB996" s="2106">
        <v>0</v>
      </c>
      <c r="AC996" s="2106">
        <v>0</v>
      </c>
      <c r="AD996" s="1744">
        <v>0</v>
      </c>
      <c r="AE996" s="2126">
        <v>0</v>
      </c>
      <c r="AF996" s="2126">
        <v>0</v>
      </c>
      <c r="AG996" s="1212">
        <v>1</v>
      </c>
      <c r="AH996" s="1212">
        <v>0</v>
      </c>
      <c r="AI996" s="1212">
        <v>0</v>
      </c>
      <c r="AJ996" s="1212">
        <v>1</v>
      </c>
      <c r="AK996" s="2126">
        <v>0</v>
      </c>
      <c r="AL996" s="2126">
        <v>0</v>
      </c>
      <c r="AM996" s="2126">
        <v>0</v>
      </c>
      <c r="AN996" s="2126">
        <v>0</v>
      </c>
      <c r="AO996" s="1743" t="s">
        <v>85</v>
      </c>
      <c r="AP996" s="1743"/>
      <c r="AQ996" s="1764">
        <v>2014</v>
      </c>
      <c r="AR996" s="1743" t="s">
        <v>87</v>
      </c>
      <c r="AS996" s="2135"/>
      <c r="AT996" s="2135"/>
      <c r="AU996" s="1212">
        <v>0.33333333333333331</v>
      </c>
      <c r="AV996" s="1212">
        <v>0.33333333333333331</v>
      </c>
      <c r="AW996" s="1212">
        <v>0.33333333333333331</v>
      </c>
      <c r="AX996" s="1212"/>
      <c r="AY996" s="1212"/>
      <c r="AZ996" s="1212"/>
      <c r="BA996" s="1212"/>
      <c r="BB996" s="1212"/>
      <c r="BC996" s="1212"/>
      <c r="BD996" s="1212"/>
      <c r="BE996" s="1212"/>
      <c r="BF996" s="2126">
        <v>0</v>
      </c>
      <c r="BG996" s="2126">
        <v>0</v>
      </c>
      <c r="BH996" s="2126">
        <v>0</v>
      </c>
      <c r="BI996" s="2126">
        <v>0</v>
      </c>
      <c r="BJ996" s="2126">
        <v>0</v>
      </c>
      <c r="BK996" s="2126">
        <v>0</v>
      </c>
      <c r="BL996" s="2126">
        <v>0</v>
      </c>
      <c r="BM996" s="2126">
        <v>0</v>
      </c>
      <c r="BN996" s="2126">
        <v>0</v>
      </c>
      <c r="BO996" s="2126">
        <v>0</v>
      </c>
      <c r="BP996" s="2126">
        <v>0</v>
      </c>
      <c r="BQ996" s="2126">
        <v>0</v>
      </c>
      <c r="BR996" s="2126">
        <v>0</v>
      </c>
    </row>
    <row r="997" spans="1:70" s="1765" customFormat="1" ht="33">
      <c r="A997" s="1272">
        <v>4000</v>
      </c>
      <c r="B997" s="971" t="s">
        <v>1316</v>
      </c>
      <c r="C997" s="1272">
        <v>4500</v>
      </c>
      <c r="D997" s="971" t="s">
        <v>452</v>
      </c>
      <c r="E997" s="971" t="s">
        <v>1809</v>
      </c>
      <c r="F997" s="971" t="s">
        <v>701</v>
      </c>
      <c r="G997" s="971">
        <v>4530</v>
      </c>
      <c r="H997" s="971" t="s">
        <v>701</v>
      </c>
      <c r="I997" s="1273" t="s">
        <v>1850</v>
      </c>
      <c r="J997" s="971" t="s">
        <v>124</v>
      </c>
      <c r="K997" s="971" t="s">
        <v>140</v>
      </c>
      <c r="L997" s="971" t="s">
        <v>2909</v>
      </c>
      <c r="M997" s="971" t="s">
        <v>140</v>
      </c>
      <c r="N997" s="971" t="s">
        <v>141</v>
      </c>
      <c r="O997" s="971" t="s">
        <v>142</v>
      </c>
      <c r="P997" s="971"/>
      <c r="Q997" s="971" t="s">
        <v>778</v>
      </c>
      <c r="R997" s="1266" t="s">
        <v>1819</v>
      </c>
      <c r="S997" s="2106">
        <v>66.914498141263948</v>
      </c>
      <c r="T997" s="1266" t="s">
        <v>136</v>
      </c>
      <c r="U997" s="1742">
        <v>0</v>
      </c>
      <c r="V997" s="1742">
        <v>0</v>
      </c>
      <c r="W997" s="1742">
        <v>0</v>
      </c>
      <c r="X997" s="1742">
        <v>0</v>
      </c>
      <c r="Y997" s="2106">
        <v>0</v>
      </c>
      <c r="Z997" s="2106">
        <v>0</v>
      </c>
      <c r="AA997" s="2106">
        <v>0</v>
      </c>
      <c r="AB997" s="2106">
        <v>0</v>
      </c>
      <c r="AC997" s="2106">
        <v>0</v>
      </c>
      <c r="AD997" s="1744">
        <v>0</v>
      </c>
      <c r="AE997" s="2126">
        <v>0</v>
      </c>
      <c r="AF997" s="2126">
        <v>0</v>
      </c>
      <c r="AG997" s="1212">
        <v>1</v>
      </c>
      <c r="AH997" s="1212">
        <v>0</v>
      </c>
      <c r="AI997" s="1212">
        <v>0</v>
      </c>
      <c r="AJ997" s="1212">
        <v>1</v>
      </c>
      <c r="AK997" s="2126">
        <v>0</v>
      </c>
      <c r="AL997" s="2126">
        <v>0</v>
      </c>
      <c r="AM997" s="2126">
        <v>0</v>
      </c>
      <c r="AN997" s="2126">
        <v>0</v>
      </c>
      <c r="AO997" s="1743" t="s">
        <v>85</v>
      </c>
      <c r="AP997" s="1743"/>
      <c r="AQ997" s="1764">
        <v>2014</v>
      </c>
      <c r="AR997" s="1743" t="s">
        <v>87</v>
      </c>
      <c r="AS997" s="2135"/>
      <c r="AT997" s="2135"/>
      <c r="AU997" s="1212">
        <v>0.33333333333333331</v>
      </c>
      <c r="AV997" s="1212">
        <v>0.33333333333333331</v>
      </c>
      <c r="AW997" s="1212">
        <v>0.33333333333333331</v>
      </c>
      <c r="AX997" s="1212"/>
      <c r="AY997" s="1212"/>
      <c r="AZ997" s="1212"/>
      <c r="BA997" s="1212"/>
      <c r="BB997" s="1212"/>
      <c r="BC997" s="1212"/>
      <c r="BD997" s="1212"/>
      <c r="BE997" s="1212"/>
      <c r="BF997" s="2126">
        <v>0</v>
      </c>
      <c r="BG997" s="2126">
        <v>0</v>
      </c>
      <c r="BH997" s="2126">
        <v>0</v>
      </c>
      <c r="BI997" s="2126">
        <v>0</v>
      </c>
      <c r="BJ997" s="2126">
        <v>0</v>
      </c>
      <c r="BK997" s="2126">
        <v>0</v>
      </c>
      <c r="BL997" s="2126">
        <v>0</v>
      </c>
      <c r="BM997" s="2126">
        <v>0</v>
      </c>
      <c r="BN997" s="2126">
        <v>0</v>
      </c>
      <c r="BO997" s="2126">
        <v>0</v>
      </c>
      <c r="BP997" s="2126">
        <v>0</v>
      </c>
      <c r="BQ997" s="2126">
        <v>0</v>
      </c>
      <c r="BR997" s="2126">
        <v>0</v>
      </c>
    </row>
    <row r="998" spans="1:70" s="1765" customFormat="1" ht="33">
      <c r="A998" s="1272">
        <v>4000</v>
      </c>
      <c r="B998" s="971" t="s">
        <v>1316</v>
      </c>
      <c r="C998" s="1272">
        <v>4500</v>
      </c>
      <c r="D998" s="971" t="s">
        <v>452</v>
      </c>
      <c r="E998" s="971" t="s">
        <v>1809</v>
      </c>
      <c r="F998" s="971" t="s">
        <v>701</v>
      </c>
      <c r="G998" s="971">
        <v>4530</v>
      </c>
      <c r="H998" s="971" t="s">
        <v>701</v>
      </c>
      <c r="I998" s="1273" t="s">
        <v>1851</v>
      </c>
      <c r="J998" s="971" t="s">
        <v>124</v>
      </c>
      <c r="K998" s="971"/>
      <c r="L998" s="971" t="e">
        <v>#N/A</v>
      </c>
      <c r="M998" s="971" t="s">
        <v>145</v>
      </c>
      <c r="N998" s="971" t="s">
        <v>141</v>
      </c>
      <c r="O998" s="971" t="s">
        <v>146</v>
      </c>
      <c r="P998" s="971"/>
      <c r="Q998" s="971" t="s">
        <v>780</v>
      </c>
      <c r="R998" s="1266" t="s">
        <v>1819</v>
      </c>
      <c r="S998" s="2106">
        <v>66.914498141263948</v>
      </c>
      <c r="T998" s="1266" t="s">
        <v>136</v>
      </c>
      <c r="U998" s="1742" t="s">
        <v>6588</v>
      </c>
      <c r="V998" s="1742" t="s">
        <v>6588</v>
      </c>
      <c r="W998" s="1742" t="s">
        <v>6588</v>
      </c>
      <c r="X998" s="1742" t="s">
        <v>6588</v>
      </c>
      <c r="Y998" s="2106" t="s">
        <v>6588</v>
      </c>
      <c r="Z998" s="2106">
        <v>0</v>
      </c>
      <c r="AA998" s="2106">
        <v>0</v>
      </c>
      <c r="AB998" s="2106">
        <v>0</v>
      </c>
      <c r="AC998" s="2106">
        <v>0</v>
      </c>
      <c r="AD998" s="1744">
        <v>0</v>
      </c>
      <c r="AE998" s="2126">
        <v>0</v>
      </c>
      <c r="AF998" s="2126">
        <v>0</v>
      </c>
      <c r="AG998" s="1212">
        <v>1</v>
      </c>
      <c r="AH998" s="1212">
        <v>0</v>
      </c>
      <c r="AI998" s="1212">
        <v>0</v>
      </c>
      <c r="AJ998" s="1212">
        <v>1</v>
      </c>
      <c r="AK998" s="2126">
        <v>0</v>
      </c>
      <c r="AL998" s="2126">
        <v>0</v>
      </c>
      <c r="AM998" s="2126">
        <v>0</v>
      </c>
      <c r="AN998" s="2126">
        <v>0</v>
      </c>
      <c r="AO998" s="1743" t="s">
        <v>85</v>
      </c>
      <c r="AP998" s="1743"/>
      <c r="AQ998" s="1764">
        <v>2014</v>
      </c>
      <c r="AR998" s="1743" t="s">
        <v>87</v>
      </c>
      <c r="AS998" s="2135"/>
      <c r="AT998" s="2135"/>
      <c r="AU998" s="1212">
        <v>0.33333333333333331</v>
      </c>
      <c r="AV998" s="1212">
        <v>0.33333333333333331</v>
      </c>
      <c r="AW998" s="1212">
        <v>0.33333333333333331</v>
      </c>
      <c r="AX998" s="1212"/>
      <c r="AY998" s="1212"/>
      <c r="AZ998" s="1212"/>
      <c r="BA998" s="1212"/>
      <c r="BB998" s="1212"/>
      <c r="BC998" s="1212"/>
      <c r="BD998" s="1212"/>
      <c r="BE998" s="1212"/>
      <c r="BF998" s="2126">
        <v>0</v>
      </c>
      <c r="BG998" s="2126">
        <v>0</v>
      </c>
      <c r="BH998" s="2126">
        <v>0</v>
      </c>
      <c r="BI998" s="2126">
        <v>0</v>
      </c>
      <c r="BJ998" s="2126">
        <v>0</v>
      </c>
      <c r="BK998" s="2126">
        <v>0</v>
      </c>
      <c r="BL998" s="2126">
        <v>0</v>
      </c>
      <c r="BM998" s="2126">
        <v>0</v>
      </c>
      <c r="BN998" s="2126">
        <v>0</v>
      </c>
      <c r="BO998" s="2126">
        <v>0</v>
      </c>
      <c r="BP998" s="2126">
        <v>0</v>
      </c>
      <c r="BQ998" s="2126">
        <v>0</v>
      </c>
      <c r="BR998" s="2126">
        <v>0</v>
      </c>
    </row>
    <row r="999" spans="1:70" s="1765" customFormat="1" ht="33">
      <c r="A999" s="1272">
        <v>4000</v>
      </c>
      <c r="B999" s="971" t="s">
        <v>1316</v>
      </c>
      <c r="C999" s="1272">
        <v>4500</v>
      </c>
      <c r="D999" s="971" t="s">
        <v>452</v>
      </c>
      <c r="E999" s="971" t="s">
        <v>1809</v>
      </c>
      <c r="F999" s="971" t="s">
        <v>701</v>
      </c>
      <c r="G999" s="971">
        <v>4530</v>
      </c>
      <c r="H999" s="971" t="s">
        <v>701</v>
      </c>
      <c r="I999" s="1273"/>
      <c r="J999" s="971" t="s">
        <v>124</v>
      </c>
      <c r="K999" s="971" t="s">
        <v>140</v>
      </c>
      <c r="L999" s="971" t="s">
        <v>2909</v>
      </c>
      <c r="M999" s="971" t="s">
        <v>140</v>
      </c>
      <c r="N999" s="971" t="s">
        <v>141</v>
      </c>
      <c r="O999" s="971" t="s">
        <v>142</v>
      </c>
      <c r="P999" s="971"/>
      <c r="Q999" s="971" t="s">
        <v>783</v>
      </c>
      <c r="R999" s="1266" t="s">
        <v>1811</v>
      </c>
      <c r="S999" s="2106">
        <v>20</v>
      </c>
      <c r="T999" s="1266" t="s">
        <v>136</v>
      </c>
      <c r="U999" s="1742">
        <v>0</v>
      </c>
      <c r="V999" s="1742">
        <v>0</v>
      </c>
      <c r="W999" s="1742">
        <v>0</v>
      </c>
      <c r="X999" s="1742">
        <v>0</v>
      </c>
      <c r="Y999" s="2106">
        <v>0</v>
      </c>
      <c r="Z999" s="2106">
        <v>0</v>
      </c>
      <c r="AA999" s="2106">
        <v>0</v>
      </c>
      <c r="AB999" s="2106">
        <v>0</v>
      </c>
      <c r="AC999" s="2106">
        <v>0</v>
      </c>
      <c r="AD999" s="1744">
        <v>0</v>
      </c>
      <c r="AE999" s="2126">
        <v>0</v>
      </c>
      <c r="AF999" s="2126">
        <v>0</v>
      </c>
      <c r="AG999" s="1212">
        <v>1</v>
      </c>
      <c r="AH999" s="1212">
        <v>0</v>
      </c>
      <c r="AI999" s="1212">
        <v>0</v>
      </c>
      <c r="AJ999" s="1212">
        <v>1</v>
      </c>
      <c r="AK999" s="2126">
        <v>0</v>
      </c>
      <c r="AL999" s="2126">
        <v>0</v>
      </c>
      <c r="AM999" s="2126">
        <v>0</v>
      </c>
      <c r="AN999" s="2126">
        <v>0</v>
      </c>
      <c r="AO999" s="1743" t="s">
        <v>85</v>
      </c>
      <c r="AP999" s="1743" t="s">
        <v>90</v>
      </c>
      <c r="AQ999" s="1764" t="s">
        <v>108</v>
      </c>
      <c r="AR999" s="1743" t="s">
        <v>87</v>
      </c>
      <c r="AS999" s="2135"/>
      <c r="AT999" s="2135"/>
      <c r="AU999" s="1212">
        <v>0.33333333333333331</v>
      </c>
      <c r="AV999" s="1212">
        <v>0.33333333333333331</v>
      </c>
      <c r="AW999" s="1212">
        <v>0.33333333333333331</v>
      </c>
      <c r="AX999" s="1212"/>
      <c r="AY999" s="1212"/>
      <c r="AZ999" s="1212"/>
      <c r="BA999" s="1212"/>
      <c r="BB999" s="1212"/>
      <c r="BC999" s="1212"/>
      <c r="BD999" s="1212"/>
      <c r="BE999" s="1212"/>
      <c r="BF999" s="2126">
        <v>0</v>
      </c>
      <c r="BG999" s="2126">
        <v>0</v>
      </c>
      <c r="BH999" s="2126">
        <v>0</v>
      </c>
      <c r="BI999" s="2126">
        <v>0</v>
      </c>
      <c r="BJ999" s="2126">
        <v>0</v>
      </c>
      <c r="BK999" s="2126">
        <v>0</v>
      </c>
      <c r="BL999" s="2126">
        <v>0</v>
      </c>
      <c r="BM999" s="2126">
        <v>0</v>
      </c>
      <c r="BN999" s="2126">
        <v>0</v>
      </c>
      <c r="BO999" s="2126">
        <v>0</v>
      </c>
      <c r="BP999" s="2126">
        <v>0</v>
      </c>
      <c r="BQ999" s="2126">
        <v>0</v>
      </c>
      <c r="BR999" s="2126">
        <v>0</v>
      </c>
    </row>
    <row r="1000" spans="1:70" s="1765" customFormat="1" ht="33">
      <c r="A1000" s="1272">
        <v>4000</v>
      </c>
      <c r="B1000" s="971" t="s">
        <v>1316</v>
      </c>
      <c r="C1000" s="1272">
        <v>4500</v>
      </c>
      <c r="D1000" s="971" t="s">
        <v>452</v>
      </c>
      <c r="E1000" s="971" t="s">
        <v>1809</v>
      </c>
      <c r="F1000" s="971" t="s">
        <v>701</v>
      </c>
      <c r="G1000" s="971">
        <v>4530</v>
      </c>
      <c r="H1000" s="971" t="s">
        <v>701</v>
      </c>
      <c r="I1000" s="1273"/>
      <c r="J1000" s="971" t="s">
        <v>124</v>
      </c>
      <c r="K1000" s="971"/>
      <c r="L1000" s="971" t="e">
        <v>#N/A</v>
      </c>
      <c r="M1000" s="971" t="s">
        <v>145</v>
      </c>
      <c r="N1000" s="971" t="s">
        <v>141</v>
      </c>
      <c r="O1000" s="971" t="s">
        <v>146</v>
      </c>
      <c r="P1000" s="971"/>
      <c r="Q1000" s="971" t="s">
        <v>789</v>
      </c>
      <c r="R1000" s="1266" t="s">
        <v>1811</v>
      </c>
      <c r="S1000" s="2106">
        <v>20</v>
      </c>
      <c r="T1000" s="1266" t="s">
        <v>136</v>
      </c>
      <c r="U1000" s="1742" t="s">
        <v>6588</v>
      </c>
      <c r="V1000" s="1742" t="s">
        <v>6588</v>
      </c>
      <c r="W1000" s="1742" t="s">
        <v>6588</v>
      </c>
      <c r="X1000" s="1742" t="s">
        <v>6588</v>
      </c>
      <c r="Y1000" s="2106" t="s">
        <v>6588</v>
      </c>
      <c r="Z1000" s="2106">
        <v>0</v>
      </c>
      <c r="AA1000" s="2106">
        <v>0</v>
      </c>
      <c r="AB1000" s="2106">
        <v>0</v>
      </c>
      <c r="AC1000" s="2106">
        <v>0</v>
      </c>
      <c r="AD1000" s="1744">
        <v>0</v>
      </c>
      <c r="AE1000" s="2126">
        <v>0</v>
      </c>
      <c r="AF1000" s="2126">
        <v>0</v>
      </c>
      <c r="AG1000" s="1212">
        <v>1</v>
      </c>
      <c r="AH1000" s="1212">
        <v>0</v>
      </c>
      <c r="AI1000" s="1212">
        <v>0</v>
      </c>
      <c r="AJ1000" s="1212">
        <v>1</v>
      </c>
      <c r="AK1000" s="2126">
        <v>0</v>
      </c>
      <c r="AL1000" s="2126">
        <v>0</v>
      </c>
      <c r="AM1000" s="2126">
        <v>0</v>
      </c>
      <c r="AN1000" s="2126">
        <v>0</v>
      </c>
      <c r="AO1000" s="1743" t="s">
        <v>85</v>
      </c>
      <c r="AP1000" s="1743" t="s">
        <v>90</v>
      </c>
      <c r="AQ1000" s="1764" t="s">
        <v>108</v>
      </c>
      <c r="AR1000" s="1743" t="s">
        <v>87</v>
      </c>
      <c r="AS1000" s="2135"/>
      <c r="AT1000" s="2135"/>
      <c r="AU1000" s="1212">
        <v>0.33333333333333331</v>
      </c>
      <c r="AV1000" s="1212">
        <v>0.33333333333333331</v>
      </c>
      <c r="AW1000" s="1212">
        <v>0.33333333333333331</v>
      </c>
      <c r="AX1000" s="1212"/>
      <c r="AY1000" s="1212"/>
      <c r="AZ1000" s="1212"/>
      <c r="BA1000" s="1212"/>
      <c r="BB1000" s="1212"/>
      <c r="BC1000" s="1212"/>
      <c r="BD1000" s="1212"/>
      <c r="BE1000" s="1212"/>
      <c r="BF1000" s="2126">
        <v>0</v>
      </c>
      <c r="BG1000" s="2126">
        <v>0</v>
      </c>
      <c r="BH1000" s="2126">
        <v>0</v>
      </c>
      <c r="BI1000" s="2126">
        <v>0</v>
      </c>
      <c r="BJ1000" s="2126">
        <v>0</v>
      </c>
      <c r="BK1000" s="2126">
        <v>0</v>
      </c>
      <c r="BL1000" s="2126">
        <v>0</v>
      </c>
      <c r="BM1000" s="2126">
        <v>0</v>
      </c>
      <c r="BN1000" s="2126">
        <v>0</v>
      </c>
      <c r="BO1000" s="2126">
        <v>0</v>
      </c>
      <c r="BP1000" s="2126">
        <v>0</v>
      </c>
      <c r="BQ1000" s="2126">
        <v>0</v>
      </c>
      <c r="BR1000" s="2126">
        <v>0</v>
      </c>
    </row>
    <row r="1001" spans="1:70" s="1765" customFormat="1" ht="33">
      <c r="A1001" s="1272">
        <v>4000</v>
      </c>
      <c r="B1001" s="971" t="s">
        <v>1316</v>
      </c>
      <c r="C1001" s="1272">
        <v>4500</v>
      </c>
      <c r="D1001" s="971" t="s">
        <v>452</v>
      </c>
      <c r="E1001" s="971" t="s">
        <v>1809</v>
      </c>
      <c r="F1001" s="971" t="s">
        <v>701</v>
      </c>
      <c r="G1001" s="971">
        <v>4530</v>
      </c>
      <c r="H1001" s="971" t="s">
        <v>701</v>
      </c>
      <c r="I1001" s="1273"/>
      <c r="J1001" s="971" t="s">
        <v>124</v>
      </c>
      <c r="K1001" s="971" t="s">
        <v>140</v>
      </c>
      <c r="L1001" s="971" t="s">
        <v>2909</v>
      </c>
      <c r="M1001" s="971" t="s">
        <v>140</v>
      </c>
      <c r="N1001" s="971" t="s">
        <v>141</v>
      </c>
      <c r="O1001" s="971" t="s">
        <v>142</v>
      </c>
      <c r="P1001" s="971"/>
      <c r="Q1001" s="971" t="s">
        <v>789</v>
      </c>
      <c r="R1001" s="1266" t="s">
        <v>1852</v>
      </c>
      <c r="S1001" s="2106">
        <v>20</v>
      </c>
      <c r="T1001" s="1266" t="s">
        <v>136</v>
      </c>
      <c r="U1001" s="1742">
        <v>0</v>
      </c>
      <c r="V1001" s="1742">
        <v>0</v>
      </c>
      <c r="W1001" s="1742">
        <v>0</v>
      </c>
      <c r="X1001" s="1742">
        <v>0</v>
      </c>
      <c r="Y1001" s="2106">
        <v>0</v>
      </c>
      <c r="Z1001" s="2106">
        <v>0</v>
      </c>
      <c r="AA1001" s="2106">
        <v>0</v>
      </c>
      <c r="AB1001" s="2106">
        <v>0</v>
      </c>
      <c r="AC1001" s="2106">
        <v>0</v>
      </c>
      <c r="AD1001" s="1744">
        <v>0</v>
      </c>
      <c r="AE1001" s="2126">
        <v>0</v>
      </c>
      <c r="AF1001" s="2126">
        <v>0</v>
      </c>
      <c r="AG1001" s="1212">
        <v>1</v>
      </c>
      <c r="AH1001" s="1212">
        <v>0</v>
      </c>
      <c r="AI1001" s="1212">
        <v>0</v>
      </c>
      <c r="AJ1001" s="1212">
        <v>1</v>
      </c>
      <c r="AK1001" s="2126">
        <v>0</v>
      </c>
      <c r="AL1001" s="2126">
        <v>0</v>
      </c>
      <c r="AM1001" s="2126">
        <v>0</v>
      </c>
      <c r="AN1001" s="2126">
        <v>0</v>
      </c>
      <c r="AO1001" s="1743" t="s">
        <v>85</v>
      </c>
      <c r="AP1001" s="1743" t="s">
        <v>90</v>
      </c>
      <c r="AQ1001" s="1764" t="s">
        <v>108</v>
      </c>
      <c r="AR1001" s="1743" t="s">
        <v>87</v>
      </c>
      <c r="AS1001" s="2135"/>
      <c r="AT1001" s="2135"/>
      <c r="AU1001" s="1212">
        <v>0.33333333333333331</v>
      </c>
      <c r="AV1001" s="1212">
        <v>0.33333333333333331</v>
      </c>
      <c r="AW1001" s="1212">
        <v>0.33333333333333331</v>
      </c>
      <c r="AX1001" s="1212"/>
      <c r="AY1001" s="1212"/>
      <c r="AZ1001" s="1212"/>
      <c r="BA1001" s="1212"/>
      <c r="BB1001" s="1212"/>
      <c r="BC1001" s="1212"/>
      <c r="BD1001" s="1212"/>
      <c r="BE1001" s="1212"/>
      <c r="BF1001" s="2126">
        <v>0</v>
      </c>
      <c r="BG1001" s="2126">
        <v>0</v>
      </c>
      <c r="BH1001" s="2126">
        <v>0</v>
      </c>
      <c r="BI1001" s="2126">
        <v>0</v>
      </c>
      <c r="BJ1001" s="2126">
        <v>0</v>
      </c>
      <c r="BK1001" s="2126">
        <v>0</v>
      </c>
      <c r="BL1001" s="2126">
        <v>0</v>
      </c>
      <c r="BM1001" s="2126">
        <v>0</v>
      </c>
      <c r="BN1001" s="2126">
        <v>0</v>
      </c>
      <c r="BO1001" s="2126">
        <v>0</v>
      </c>
      <c r="BP1001" s="2126">
        <v>0</v>
      </c>
      <c r="BQ1001" s="2126">
        <v>0</v>
      </c>
      <c r="BR1001" s="2126">
        <v>0</v>
      </c>
    </row>
    <row r="1002" spans="1:70" s="1765" customFormat="1" ht="49.5">
      <c r="A1002" s="1272">
        <v>4000</v>
      </c>
      <c r="B1002" s="971" t="s">
        <v>1316</v>
      </c>
      <c r="C1002" s="1272">
        <v>4500</v>
      </c>
      <c r="D1002" s="971" t="s">
        <v>452</v>
      </c>
      <c r="E1002" s="971" t="s">
        <v>1809</v>
      </c>
      <c r="F1002" s="971" t="s">
        <v>701</v>
      </c>
      <c r="G1002" s="971">
        <v>4530</v>
      </c>
      <c r="H1002" s="971" t="s">
        <v>701</v>
      </c>
      <c r="I1002" s="1273" t="s">
        <v>1853</v>
      </c>
      <c r="J1002" s="971" t="s">
        <v>124</v>
      </c>
      <c r="K1002" s="971" t="s">
        <v>2857</v>
      </c>
      <c r="L1002" s="971" t="s">
        <v>2858</v>
      </c>
      <c r="M1002" s="971" t="s">
        <v>703</v>
      </c>
      <c r="N1002" s="971" t="s">
        <v>488</v>
      </c>
      <c r="O1002" s="971" t="s">
        <v>459</v>
      </c>
      <c r="P1002" s="971"/>
      <c r="Q1002" s="971" t="s">
        <v>728</v>
      </c>
      <c r="R1002" s="1266" t="s">
        <v>1854</v>
      </c>
      <c r="S1002" s="2106">
        <v>0</v>
      </c>
      <c r="T1002" s="1266" t="s">
        <v>136</v>
      </c>
      <c r="U1002" s="1742">
        <v>0.56041666666666667</v>
      </c>
      <c r="V1002" s="1742">
        <v>2.8020833333333335</v>
      </c>
      <c r="W1002" s="1742">
        <v>49.395125</v>
      </c>
      <c r="X1002" s="1742">
        <v>77.264645833333333</v>
      </c>
      <c r="Y1002" s="2106">
        <v>129.46185416666665</v>
      </c>
      <c r="Z1002" s="2106">
        <v>0</v>
      </c>
      <c r="AA1002" s="2106">
        <v>0</v>
      </c>
      <c r="AB1002" s="2106">
        <v>0</v>
      </c>
      <c r="AC1002" s="2106">
        <v>0</v>
      </c>
      <c r="AD1002" s="1744">
        <v>0</v>
      </c>
      <c r="AE1002" s="2126">
        <v>1</v>
      </c>
      <c r="AF1002" s="2126">
        <v>0</v>
      </c>
      <c r="AG1002" s="1212">
        <v>1</v>
      </c>
      <c r="AH1002" s="1212">
        <v>0</v>
      </c>
      <c r="AI1002" s="1212">
        <v>0</v>
      </c>
      <c r="AJ1002" s="1212">
        <v>1</v>
      </c>
      <c r="AK1002" s="2126">
        <v>0</v>
      </c>
      <c r="AL1002" s="2126">
        <v>0</v>
      </c>
      <c r="AM1002" s="2126">
        <v>0</v>
      </c>
      <c r="AN1002" s="2126">
        <v>0</v>
      </c>
      <c r="AO1002" s="1743" t="s">
        <v>85</v>
      </c>
      <c r="AP1002" s="1743" t="s">
        <v>96</v>
      </c>
      <c r="AQ1002" s="1764" t="s">
        <v>107</v>
      </c>
      <c r="AR1002" s="1743" t="s">
        <v>87</v>
      </c>
      <c r="AS1002" s="2135"/>
      <c r="AT1002" s="2135"/>
      <c r="AU1002" s="1212">
        <v>0.33333333333333331</v>
      </c>
      <c r="AV1002" s="1212">
        <v>0.33333333333333331</v>
      </c>
      <c r="AW1002" s="1212">
        <v>0.33333333333333331</v>
      </c>
      <c r="AX1002" s="1212"/>
      <c r="AY1002" s="1212"/>
      <c r="AZ1002" s="1212"/>
      <c r="BA1002" s="1212"/>
      <c r="BB1002" s="1212"/>
      <c r="BC1002" s="1212"/>
      <c r="BD1002" s="1212"/>
      <c r="BE1002" s="1212"/>
      <c r="BF1002" s="2126">
        <v>0</v>
      </c>
      <c r="BG1002" s="2126">
        <v>0</v>
      </c>
      <c r="BH1002" s="2126">
        <v>0</v>
      </c>
      <c r="BI1002" s="2126">
        <v>0</v>
      </c>
      <c r="BJ1002" s="2126">
        <v>0</v>
      </c>
      <c r="BK1002" s="2126">
        <v>0</v>
      </c>
      <c r="BL1002" s="2126">
        <v>0</v>
      </c>
      <c r="BM1002" s="2126">
        <v>0</v>
      </c>
      <c r="BN1002" s="2126">
        <v>0</v>
      </c>
      <c r="BO1002" s="2126">
        <v>0</v>
      </c>
      <c r="BP1002" s="2126">
        <v>0</v>
      </c>
      <c r="BQ1002" s="2126">
        <v>0</v>
      </c>
      <c r="BR1002" s="2126">
        <v>0</v>
      </c>
    </row>
    <row r="1003" spans="1:70" s="1765" customFormat="1" ht="33">
      <c r="A1003" s="1272">
        <v>4000</v>
      </c>
      <c r="B1003" s="971" t="s">
        <v>1316</v>
      </c>
      <c r="C1003" s="1272">
        <v>4500</v>
      </c>
      <c r="D1003" s="971" t="s">
        <v>452</v>
      </c>
      <c r="E1003" s="971" t="s">
        <v>1809</v>
      </c>
      <c r="F1003" s="971" t="s">
        <v>701</v>
      </c>
      <c r="G1003" s="971">
        <v>4530</v>
      </c>
      <c r="H1003" s="971" t="s">
        <v>701</v>
      </c>
      <c r="I1003" s="1273" t="s">
        <v>1853</v>
      </c>
      <c r="J1003" s="971" t="s">
        <v>124</v>
      </c>
      <c r="K1003" s="971" t="s">
        <v>140</v>
      </c>
      <c r="L1003" s="971" t="s">
        <v>2909</v>
      </c>
      <c r="M1003" s="971" t="s">
        <v>140</v>
      </c>
      <c r="N1003" s="971" t="s">
        <v>141</v>
      </c>
      <c r="O1003" s="971" t="s">
        <v>142</v>
      </c>
      <c r="P1003" s="971"/>
      <c r="Q1003" s="971" t="s">
        <v>766</v>
      </c>
      <c r="R1003" s="1266" t="s">
        <v>1854</v>
      </c>
      <c r="S1003" s="2106">
        <v>0</v>
      </c>
      <c r="T1003" s="1266" t="s">
        <v>136</v>
      </c>
      <c r="U1003" s="1742">
        <v>0</v>
      </c>
      <c r="V1003" s="1742">
        <v>0</v>
      </c>
      <c r="W1003" s="1742">
        <v>0</v>
      </c>
      <c r="X1003" s="1742">
        <v>0</v>
      </c>
      <c r="Y1003" s="2106">
        <v>0</v>
      </c>
      <c r="Z1003" s="2106">
        <v>0</v>
      </c>
      <c r="AA1003" s="2106">
        <v>0</v>
      </c>
      <c r="AB1003" s="2106">
        <v>0</v>
      </c>
      <c r="AC1003" s="2106">
        <v>0</v>
      </c>
      <c r="AD1003" s="1744">
        <v>0</v>
      </c>
      <c r="AE1003" s="2126">
        <v>0</v>
      </c>
      <c r="AF1003" s="2126">
        <v>0</v>
      </c>
      <c r="AG1003" s="1212">
        <v>1</v>
      </c>
      <c r="AH1003" s="1212">
        <v>0</v>
      </c>
      <c r="AI1003" s="1212">
        <v>0</v>
      </c>
      <c r="AJ1003" s="1212">
        <v>1</v>
      </c>
      <c r="AK1003" s="2126">
        <v>0</v>
      </c>
      <c r="AL1003" s="2126">
        <v>0</v>
      </c>
      <c r="AM1003" s="2126">
        <v>0</v>
      </c>
      <c r="AN1003" s="2126">
        <v>0</v>
      </c>
      <c r="AO1003" s="1743" t="s">
        <v>85</v>
      </c>
      <c r="AP1003" s="1743" t="s">
        <v>96</v>
      </c>
      <c r="AQ1003" s="1764" t="s">
        <v>107</v>
      </c>
      <c r="AR1003" s="1743" t="s">
        <v>87</v>
      </c>
      <c r="AS1003" s="2135"/>
      <c r="AT1003" s="2135"/>
      <c r="AU1003" s="1212">
        <v>0.33333333333333331</v>
      </c>
      <c r="AV1003" s="1212">
        <v>0.33333333333333331</v>
      </c>
      <c r="AW1003" s="1212">
        <v>0.33333333333333331</v>
      </c>
      <c r="AX1003" s="1212"/>
      <c r="AY1003" s="1212"/>
      <c r="AZ1003" s="1212"/>
      <c r="BA1003" s="1212"/>
      <c r="BB1003" s="1212"/>
      <c r="BC1003" s="1212"/>
      <c r="BD1003" s="1212"/>
      <c r="BE1003" s="1212"/>
      <c r="BF1003" s="2126">
        <v>0</v>
      </c>
      <c r="BG1003" s="2126">
        <v>0</v>
      </c>
      <c r="BH1003" s="2126">
        <v>0</v>
      </c>
      <c r="BI1003" s="2126">
        <v>0</v>
      </c>
      <c r="BJ1003" s="2126">
        <v>0</v>
      </c>
      <c r="BK1003" s="2126">
        <v>0</v>
      </c>
      <c r="BL1003" s="2126">
        <v>0</v>
      </c>
      <c r="BM1003" s="2126">
        <v>0</v>
      </c>
      <c r="BN1003" s="2126">
        <v>0</v>
      </c>
      <c r="BO1003" s="2126">
        <v>0</v>
      </c>
      <c r="BP1003" s="2126">
        <v>0</v>
      </c>
      <c r="BQ1003" s="2126">
        <v>0</v>
      </c>
      <c r="BR1003" s="2126">
        <v>0</v>
      </c>
    </row>
    <row r="1004" spans="1:70" s="1765" customFormat="1" ht="33">
      <c r="A1004" s="1272">
        <v>4000</v>
      </c>
      <c r="B1004" s="971" t="s">
        <v>1316</v>
      </c>
      <c r="C1004" s="1272">
        <v>4500</v>
      </c>
      <c r="D1004" s="971" t="s">
        <v>452</v>
      </c>
      <c r="E1004" s="971" t="s">
        <v>1809</v>
      </c>
      <c r="F1004" s="971" t="s">
        <v>701</v>
      </c>
      <c r="G1004" s="971">
        <v>4530</v>
      </c>
      <c r="H1004" s="971" t="s">
        <v>701</v>
      </c>
      <c r="I1004" s="1273" t="s">
        <v>1853</v>
      </c>
      <c r="J1004" s="971" t="s">
        <v>124</v>
      </c>
      <c r="K1004" s="971"/>
      <c r="L1004" s="971" t="e">
        <v>#N/A</v>
      </c>
      <c r="M1004" s="971" t="s">
        <v>145</v>
      </c>
      <c r="N1004" s="971" t="s">
        <v>141</v>
      </c>
      <c r="O1004" s="971" t="s">
        <v>146</v>
      </c>
      <c r="P1004" s="971"/>
      <c r="Q1004" s="971" t="s">
        <v>768</v>
      </c>
      <c r="R1004" s="1266" t="s">
        <v>1854</v>
      </c>
      <c r="S1004" s="2106">
        <v>0</v>
      </c>
      <c r="T1004" s="1266" t="s">
        <v>136</v>
      </c>
      <c r="U1004" s="1742" t="s">
        <v>6588</v>
      </c>
      <c r="V1004" s="1742" t="s">
        <v>6588</v>
      </c>
      <c r="W1004" s="1742" t="s">
        <v>6588</v>
      </c>
      <c r="X1004" s="1742" t="s">
        <v>6588</v>
      </c>
      <c r="Y1004" s="2106" t="s">
        <v>6588</v>
      </c>
      <c r="Z1004" s="2106">
        <v>0</v>
      </c>
      <c r="AA1004" s="2106">
        <v>0</v>
      </c>
      <c r="AB1004" s="2106">
        <v>0</v>
      </c>
      <c r="AC1004" s="2106">
        <v>0</v>
      </c>
      <c r="AD1004" s="1744">
        <v>0</v>
      </c>
      <c r="AE1004" s="2126">
        <v>0</v>
      </c>
      <c r="AF1004" s="2126">
        <v>0</v>
      </c>
      <c r="AG1004" s="1212">
        <v>1</v>
      </c>
      <c r="AH1004" s="1212">
        <v>0</v>
      </c>
      <c r="AI1004" s="1212">
        <v>0</v>
      </c>
      <c r="AJ1004" s="1212">
        <v>1</v>
      </c>
      <c r="AK1004" s="2126">
        <v>0</v>
      </c>
      <c r="AL1004" s="2126">
        <v>0</v>
      </c>
      <c r="AM1004" s="2126">
        <v>0</v>
      </c>
      <c r="AN1004" s="2126">
        <v>0</v>
      </c>
      <c r="AO1004" s="1743" t="s">
        <v>85</v>
      </c>
      <c r="AP1004" s="1743" t="s">
        <v>96</v>
      </c>
      <c r="AQ1004" s="1764" t="s">
        <v>107</v>
      </c>
      <c r="AR1004" s="1743" t="s">
        <v>87</v>
      </c>
      <c r="AS1004" s="2135"/>
      <c r="AT1004" s="2135"/>
      <c r="AU1004" s="1212">
        <v>0.33333333333333331</v>
      </c>
      <c r="AV1004" s="1212">
        <v>0.33333333333333331</v>
      </c>
      <c r="AW1004" s="1212">
        <v>0.33333333333333331</v>
      </c>
      <c r="AX1004" s="1212"/>
      <c r="AY1004" s="1212"/>
      <c r="AZ1004" s="1212"/>
      <c r="BA1004" s="1212"/>
      <c r="BB1004" s="1212"/>
      <c r="BC1004" s="1212"/>
      <c r="BD1004" s="1212"/>
      <c r="BE1004" s="1212"/>
      <c r="BF1004" s="2126">
        <v>0</v>
      </c>
      <c r="BG1004" s="2126">
        <v>0</v>
      </c>
      <c r="BH1004" s="2126">
        <v>0</v>
      </c>
      <c r="BI1004" s="2126">
        <v>0</v>
      </c>
      <c r="BJ1004" s="2126">
        <v>0</v>
      </c>
      <c r="BK1004" s="2126">
        <v>0</v>
      </c>
      <c r="BL1004" s="2126">
        <v>0</v>
      </c>
      <c r="BM1004" s="2126">
        <v>0</v>
      </c>
      <c r="BN1004" s="2126">
        <v>0</v>
      </c>
      <c r="BO1004" s="2126">
        <v>0</v>
      </c>
      <c r="BP1004" s="2126">
        <v>0</v>
      </c>
      <c r="BQ1004" s="2126">
        <v>0</v>
      </c>
      <c r="BR1004" s="2126">
        <v>0</v>
      </c>
    </row>
    <row r="1005" spans="1:70" s="1765" customFormat="1" ht="49.5">
      <c r="A1005" s="1272">
        <v>4000</v>
      </c>
      <c r="B1005" s="971" t="s">
        <v>1316</v>
      </c>
      <c r="C1005" s="1272">
        <v>4500</v>
      </c>
      <c r="D1005" s="971" t="s">
        <v>452</v>
      </c>
      <c r="E1005" s="971" t="s">
        <v>1809</v>
      </c>
      <c r="F1005" s="971" t="s">
        <v>701</v>
      </c>
      <c r="G1005" s="971">
        <v>4530</v>
      </c>
      <c r="H1005" s="971" t="s">
        <v>701</v>
      </c>
      <c r="I1005" s="1273" t="s">
        <v>1855</v>
      </c>
      <c r="J1005" s="971" t="s">
        <v>124</v>
      </c>
      <c r="K1005" s="971" t="s">
        <v>2857</v>
      </c>
      <c r="L1005" s="971" t="s">
        <v>2858</v>
      </c>
      <c r="M1005" s="971" t="s">
        <v>703</v>
      </c>
      <c r="N1005" s="971" t="s">
        <v>488</v>
      </c>
      <c r="O1005" s="971" t="s">
        <v>459</v>
      </c>
      <c r="P1005" s="971"/>
      <c r="Q1005" s="971" t="s">
        <v>731</v>
      </c>
      <c r="R1005" s="1266" t="s">
        <v>1856</v>
      </c>
      <c r="S1005" s="2106">
        <v>0</v>
      </c>
      <c r="T1005" s="1266" t="s">
        <v>136</v>
      </c>
      <c r="U1005" s="1742">
        <v>0.56041666666666667</v>
      </c>
      <c r="V1005" s="1742">
        <v>2.8020833333333335</v>
      </c>
      <c r="W1005" s="1742">
        <v>49.395125</v>
      </c>
      <c r="X1005" s="1742">
        <v>77.264645833333333</v>
      </c>
      <c r="Y1005" s="2106">
        <v>129.46185416666665</v>
      </c>
      <c r="Z1005" s="2106">
        <v>0</v>
      </c>
      <c r="AA1005" s="2106">
        <v>0</v>
      </c>
      <c r="AB1005" s="2106">
        <v>0</v>
      </c>
      <c r="AC1005" s="2106">
        <v>0</v>
      </c>
      <c r="AD1005" s="1744">
        <v>0</v>
      </c>
      <c r="AE1005" s="2126">
        <v>1</v>
      </c>
      <c r="AF1005" s="2126">
        <v>0</v>
      </c>
      <c r="AG1005" s="1212">
        <v>1</v>
      </c>
      <c r="AH1005" s="1212">
        <v>0</v>
      </c>
      <c r="AI1005" s="1212">
        <v>0</v>
      </c>
      <c r="AJ1005" s="1212">
        <v>1</v>
      </c>
      <c r="AK1005" s="2126">
        <v>0</v>
      </c>
      <c r="AL1005" s="2126">
        <v>0</v>
      </c>
      <c r="AM1005" s="2126">
        <v>0</v>
      </c>
      <c r="AN1005" s="2126">
        <v>0</v>
      </c>
      <c r="AO1005" s="1743" t="s">
        <v>85</v>
      </c>
      <c r="AP1005" s="1743" t="s">
        <v>96</v>
      </c>
      <c r="AQ1005" s="1764" t="s">
        <v>107</v>
      </c>
      <c r="AR1005" s="1743" t="s">
        <v>87</v>
      </c>
      <c r="AS1005" s="2135"/>
      <c r="AT1005" s="2135"/>
      <c r="AU1005" s="1212">
        <v>0.33333333333333331</v>
      </c>
      <c r="AV1005" s="1212">
        <v>0.33333333333333331</v>
      </c>
      <c r="AW1005" s="1212">
        <v>0.33333333333333331</v>
      </c>
      <c r="AX1005" s="1212"/>
      <c r="AY1005" s="1212"/>
      <c r="AZ1005" s="1212"/>
      <c r="BA1005" s="1212"/>
      <c r="BB1005" s="1212"/>
      <c r="BC1005" s="1212"/>
      <c r="BD1005" s="1212"/>
      <c r="BE1005" s="1212"/>
      <c r="BF1005" s="2126">
        <v>0</v>
      </c>
      <c r="BG1005" s="2126">
        <v>0</v>
      </c>
      <c r="BH1005" s="2126">
        <v>0</v>
      </c>
      <c r="BI1005" s="2126">
        <v>0</v>
      </c>
      <c r="BJ1005" s="2126">
        <v>0</v>
      </c>
      <c r="BK1005" s="2126">
        <v>0</v>
      </c>
      <c r="BL1005" s="2126">
        <v>0</v>
      </c>
      <c r="BM1005" s="2126">
        <v>0</v>
      </c>
      <c r="BN1005" s="2126">
        <v>0</v>
      </c>
      <c r="BO1005" s="2126">
        <v>0</v>
      </c>
      <c r="BP1005" s="2126">
        <v>0</v>
      </c>
      <c r="BQ1005" s="2126">
        <v>0</v>
      </c>
      <c r="BR1005" s="2126">
        <v>0</v>
      </c>
    </row>
    <row r="1006" spans="1:70" s="1765" customFormat="1" ht="33">
      <c r="A1006" s="1272">
        <v>4000</v>
      </c>
      <c r="B1006" s="971" t="s">
        <v>1316</v>
      </c>
      <c r="C1006" s="1272">
        <v>4500</v>
      </c>
      <c r="D1006" s="971" t="s">
        <v>452</v>
      </c>
      <c r="E1006" s="971" t="s">
        <v>1809</v>
      </c>
      <c r="F1006" s="971" t="s">
        <v>701</v>
      </c>
      <c r="G1006" s="971">
        <v>4530</v>
      </c>
      <c r="H1006" s="971" t="s">
        <v>701</v>
      </c>
      <c r="I1006" s="1273" t="s">
        <v>1855</v>
      </c>
      <c r="J1006" s="971" t="s">
        <v>124</v>
      </c>
      <c r="K1006" s="971" t="s">
        <v>140</v>
      </c>
      <c r="L1006" s="971" t="s">
        <v>2909</v>
      </c>
      <c r="M1006" s="971" t="s">
        <v>140</v>
      </c>
      <c r="N1006" s="971" t="s">
        <v>141</v>
      </c>
      <c r="O1006" s="971" t="s">
        <v>142</v>
      </c>
      <c r="P1006" s="971"/>
      <c r="Q1006" s="971" t="s">
        <v>770</v>
      </c>
      <c r="R1006" s="1266" t="s">
        <v>1856</v>
      </c>
      <c r="S1006" s="2106">
        <v>0</v>
      </c>
      <c r="T1006" s="1266" t="s">
        <v>136</v>
      </c>
      <c r="U1006" s="1742">
        <v>0</v>
      </c>
      <c r="V1006" s="1742">
        <v>0</v>
      </c>
      <c r="W1006" s="1742">
        <v>0</v>
      </c>
      <c r="X1006" s="1742">
        <v>0</v>
      </c>
      <c r="Y1006" s="2106">
        <v>0</v>
      </c>
      <c r="Z1006" s="2106">
        <v>0</v>
      </c>
      <c r="AA1006" s="2106">
        <v>0</v>
      </c>
      <c r="AB1006" s="2106">
        <v>0</v>
      </c>
      <c r="AC1006" s="2106">
        <v>0</v>
      </c>
      <c r="AD1006" s="1744">
        <v>0</v>
      </c>
      <c r="AE1006" s="2126">
        <v>0</v>
      </c>
      <c r="AF1006" s="2126">
        <v>0</v>
      </c>
      <c r="AG1006" s="1212">
        <v>1</v>
      </c>
      <c r="AH1006" s="1212">
        <v>0</v>
      </c>
      <c r="AI1006" s="1212">
        <v>0</v>
      </c>
      <c r="AJ1006" s="1212">
        <v>1</v>
      </c>
      <c r="AK1006" s="2126">
        <v>0</v>
      </c>
      <c r="AL1006" s="2126">
        <v>0</v>
      </c>
      <c r="AM1006" s="2126">
        <v>0</v>
      </c>
      <c r="AN1006" s="2126">
        <v>0</v>
      </c>
      <c r="AO1006" s="1743" t="s">
        <v>85</v>
      </c>
      <c r="AP1006" s="1743" t="s">
        <v>96</v>
      </c>
      <c r="AQ1006" s="1764" t="s">
        <v>107</v>
      </c>
      <c r="AR1006" s="1743" t="s">
        <v>87</v>
      </c>
      <c r="AS1006" s="2135"/>
      <c r="AT1006" s="2135"/>
      <c r="AU1006" s="1212">
        <v>0.33333333333333331</v>
      </c>
      <c r="AV1006" s="1212">
        <v>0.33333333333333331</v>
      </c>
      <c r="AW1006" s="1212">
        <v>0.33333333333333331</v>
      </c>
      <c r="AX1006" s="1212"/>
      <c r="AY1006" s="1212"/>
      <c r="AZ1006" s="1212"/>
      <c r="BA1006" s="1212"/>
      <c r="BB1006" s="1212"/>
      <c r="BC1006" s="1212"/>
      <c r="BD1006" s="1212"/>
      <c r="BE1006" s="1212"/>
      <c r="BF1006" s="2126">
        <v>0</v>
      </c>
      <c r="BG1006" s="2126">
        <v>0</v>
      </c>
      <c r="BH1006" s="2126">
        <v>0</v>
      </c>
      <c r="BI1006" s="2126">
        <v>0</v>
      </c>
      <c r="BJ1006" s="2126">
        <v>0</v>
      </c>
      <c r="BK1006" s="2126">
        <v>0</v>
      </c>
      <c r="BL1006" s="2126">
        <v>0</v>
      </c>
      <c r="BM1006" s="2126">
        <v>0</v>
      </c>
      <c r="BN1006" s="2126">
        <v>0</v>
      </c>
      <c r="BO1006" s="2126">
        <v>0</v>
      </c>
      <c r="BP1006" s="2126">
        <v>0</v>
      </c>
      <c r="BQ1006" s="2126">
        <v>0</v>
      </c>
      <c r="BR1006" s="2126">
        <v>0</v>
      </c>
    </row>
    <row r="1007" spans="1:70" s="1765" customFormat="1" ht="33">
      <c r="A1007" s="1272">
        <v>4000</v>
      </c>
      <c r="B1007" s="971" t="s">
        <v>1316</v>
      </c>
      <c r="C1007" s="1272">
        <v>4500</v>
      </c>
      <c r="D1007" s="971" t="s">
        <v>452</v>
      </c>
      <c r="E1007" s="971" t="s">
        <v>1809</v>
      </c>
      <c r="F1007" s="971" t="s">
        <v>701</v>
      </c>
      <c r="G1007" s="971">
        <v>4530</v>
      </c>
      <c r="H1007" s="971" t="s">
        <v>701</v>
      </c>
      <c r="I1007" s="1273" t="s">
        <v>1855</v>
      </c>
      <c r="J1007" s="971" t="s">
        <v>124</v>
      </c>
      <c r="K1007" s="971"/>
      <c r="L1007" s="971" t="e">
        <v>#N/A</v>
      </c>
      <c r="M1007" s="971" t="s">
        <v>145</v>
      </c>
      <c r="N1007" s="971" t="s">
        <v>141</v>
      </c>
      <c r="O1007" s="971" t="s">
        <v>146</v>
      </c>
      <c r="P1007" s="971"/>
      <c r="Q1007" s="971" t="s">
        <v>772</v>
      </c>
      <c r="R1007" s="1266" t="s">
        <v>1856</v>
      </c>
      <c r="S1007" s="2106">
        <v>0</v>
      </c>
      <c r="T1007" s="1266" t="s">
        <v>136</v>
      </c>
      <c r="U1007" s="1742" t="s">
        <v>6588</v>
      </c>
      <c r="V1007" s="1742" t="s">
        <v>6588</v>
      </c>
      <c r="W1007" s="1742" t="s">
        <v>6588</v>
      </c>
      <c r="X1007" s="1742" t="s">
        <v>6588</v>
      </c>
      <c r="Y1007" s="2106" t="s">
        <v>6588</v>
      </c>
      <c r="Z1007" s="2106">
        <v>0</v>
      </c>
      <c r="AA1007" s="2106">
        <v>0</v>
      </c>
      <c r="AB1007" s="2106">
        <v>0</v>
      </c>
      <c r="AC1007" s="2106">
        <v>0</v>
      </c>
      <c r="AD1007" s="1744">
        <v>0</v>
      </c>
      <c r="AE1007" s="2126">
        <v>0</v>
      </c>
      <c r="AF1007" s="2126">
        <v>0</v>
      </c>
      <c r="AG1007" s="1212">
        <v>1</v>
      </c>
      <c r="AH1007" s="1212">
        <v>0</v>
      </c>
      <c r="AI1007" s="1212">
        <v>0</v>
      </c>
      <c r="AJ1007" s="1212">
        <v>1</v>
      </c>
      <c r="AK1007" s="2126">
        <v>0</v>
      </c>
      <c r="AL1007" s="2126">
        <v>0</v>
      </c>
      <c r="AM1007" s="2126">
        <v>0</v>
      </c>
      <c r="AN1007" s="2126">
        <v>0</v>
      </c>
      <c r="AO1007" s="1743" t="s">
        <v>85</v>
      </c>
      <c r="AP1007" s="1743" t="s">
        <v>96</v>
      </c>
      <c r="AQ1007" s="1764" t="s">
        <v>107</v>
      </c>
      <c r="AR1007" s="1743" t="s">
        <v>87</v>
      </c>
      <c r="AS1007" s="2135"/>
      <c r="AT1007" s="2135"/>
      <c r="AU1007" s="1212">
        <v>0.33333333333333331</v>
      </c>
      <c r="AV1007" s="1212">
        <v>0.33333333333333331</v>
      </c>
      <c r="AW1007" s="1212">
        <v>0.33333333333333331</v>
      </c>
      <c r="AX1007" s="1212"/>
      <c r="AY1007" s="1212"/>
      <c r="AZ1007" s="1212"/>
      <c r="BA1007" s="1212"/>
      <c r="BB1007" s="1212"/>
      <c r="BC1007" s="1212"/>
      <c r="BD1007" s="1212"/>
      <c r="BE1007" s="1212"/>
      <c r="BF1007" s="2126">
        <v>0</v>
      </c>
      <c r="BG1007" s="2126">
        <v>0</v>
      </c>
      <c r="BH1007" s="2126">
        <v>0</v>
      </c>
      <c r="BI1007" s="2126">
        <v>0</v>
      </c>
      <c r="BJ1007" s="2126">
        <v>0</v>
      </c>
      <c r="BK1007" s="2126">
        <v>0</v>
      </c>
      <c r="BL1007" s="2126">
        <v>0</v>
      </c>
      <c r="BM1007" s="2126">
        <v>0</v>
      </c>
      <c r="BN1007" s="2126">
        <v>0</v>
      </c>
      <c r="BO1007" s="2126">
        <v>0</v>
      </c>
      <c r="BP1007" s="2126">
        <v>0</v>
      </c>
      <c r="BQ1007" s="2126">
        <v>0</v>
      </c>
      <c r="BR1007" s="2126">
        <v>0</v>
      </c>
    </row>
    <row r="1008" spans="1:70" s="1765" customFormat="1" ht="49.5">
      <c r="A1008" s="1272">
        <v>4000</v>
      </c>
      <c r="B1008" s="971" t="s">
        <v>1316</v>
      </c>
      <c r="C1008" s="1272">
        <v>4500</v>
      </c>
      <c r="D1008" s="971" t="s">
        <v>452</v>
      </c>
      <c r="E1008" s="971" t="s">
        <v>1809</v>
      </c>
      <c r="F1008" s="971" t="s">
        <v>701</v>
      </c>
      <c r="G1008" s="971">
        <v>4530</v>
      </c>
      <c r="H1008" s="971" t="s">
        <v>701</v>
      </c>
      <c r="I1008" s="1273" t="s">
        <v>1857</v>
      </c>
      <c r="J1008" s="971" t="s">
        <v>124</v>
      </c>
      <c r="K1008" s="971" t="s">
        <v>2857</v>
      </c>
      <c r="L1008" s="971" t="s">
        <v>2858</v>
      </c>
      <c r="M1008" s="971" t="s">
        <v>703</v>
      </c>
      <c r="N1008" s="971" t="s">
        <v>488</v>
      </c>
      <c r="O1008" s="971" t="s">
        <v>459</v>
      </c>
      <c r="P1008" s="971"/>
      <c r="Q1008" s="971" t="s">
        <v>1858</v>
      </c>
      <c r="R1008" s="1266" t="s">
        <v>1859</v>
      </c>
      <c r="S1008" s="2106">
        <v>0</v>
      </c>
      <c r="T1008" s="1266" t="s">
        <v>136</v>
      </c>
      <c r="U1008" s="1742">
        <v>0.56041666666666667</v>
      </c>
      <c r="V1008" s="1742">
        <v>2.8020833333333335</v>
      </c>
      <c r="W1008" s="1742">
        <v>49.395125</v>
      </c>
      <c r="X1008" s="1742">
        <v>77.264645833333333</v>
      </c>
      <c r="Y1008" s="2106">
        <v>129.46185416666665</v>
      </c>
      <c r="Z1008" s="2106">
        <v>0</v>
      </c>
      <c r="AA1008" s="2106">
        <v>0</v>
      </c>
      <c r="AB1008" s="2106">
        <v>0</v>
      </c>
      <c r="AC1008" s="2106">
        <v>0</v>
      </c>
      <c r="AD1008" s="1744">
        <v>0</v>
      </c>
      <c r="AE1008" s="2126">
        <v>1</v>
      </c>
      <c r="AF1008" s="2126">
        <v>0</v>
      </c>
      <c r="AG1008" s="1212">
        <v>1</v>
      </c>
      <c r="AH1008" s="1212">
        <v>0</v>
      </c>
      <c r="AI1008" s="1212">
        <v>0</v>
      </c>
      <c r="AJ1008" s="1212">
        <v>1</v>
      </c>
      <c r="AK1008" s="2126">
        <v>0</v>
      </c>
      <c r="AL1008" s="2126">
        <v>0</v>
      </c>
      <c r="AM1008" s="2126">
        <v>0</v>
      </c>
      <c r="AN1008" s="2126">
        <v>0</v>
      </c>
      <c r="AO1008" s="1743" t="s">
        <v>85</v>
      </c>
      <c r="AP1008" s="1743" t="s">
        <v>96</v>
      </c>
      <c r="AQ1008" s="1764" t="s">
        <v>107</v>
      </c>
      <c r="AR1008" s="1743" t="s">
        <v>87</v>
      </c>
      <c r="AS1008" s="2135"/>
      <c r="AT1008" s="2135"/>
      <c r="AU1008" s="1212">
        <v>0.33333333333333331</v>
      </c>
      <c r="AV1008" s="1212">
        <v>0.33333333333333331</v>
      </c>
      <c r="AW1008" s="1212">
        <v>0.33333333333333331</v>
      </c>
      <c r="AX1008" s="1212"/>
      <c r="AY1008" s="1212"/>
      <c r="AZ1008" s="1212"/>
      <c r="BA1008" s="1212"/>
      <c r="BB1008" s="1212"/>
      <c r="BC1008" s="1212"/>
      <c r="BD1008" s="1212"/>
      <c r="BE1008" s="1212"/>
      <c r="BF1008" s="2126">
        <v>0</v>
      </c>
      <c r="BG1008" s="2126">
        <v>0</v>
      </c>
      <c r="BH1008" s="2126">
        <v>0</v>
      </c>
      <c r="BI1008" s="2126">
        <v>0</v>
      </c>
      <c r="BJ1008" s="2126">
        <v>0</v>
      </c>
      <c r="BK1008" s="2126">
        <v>0</v>
      </c>
      <c r="BL1008" s="2126">
        <v>0</v>
      </c>
      <c r="BM1008" s="2126">
        <v>0</v>
      </c>
      <c r="BN1008" s="2126">
        <v>0</v>
      </c>
      <c r="BO1008" s="2126">
        <v>0</v>
      </c>
      <c r="BP1008" s="2126">
        <v>0</v>
      </c>
      <c r="BQ1008" s="2126">
        <v>0</v>
      </c>
      <c r="BR1008" s="2126">
        <v>0</v>
      </c>
    </row>
    <row r="1009" spans="1:70" s="1765" customFormat="1" ht="33">
      <c r="A1009" s="1272">
        <v>4000</v>
      </c>
      <c r="B1009" s="971" t="s">
        <v>1316</v>
      </c>
      <c r="C1009" s="1272">
        <v>4500</v>
      </c>
      <c r="D1009" s="971" t="s">
        <v>452</v>
      </c>
      <c r="E1009" s="971" t="s">
        <v>1809</v>
      </c>
      <c r="F1009" s="971" t="s">
        <v>701</v>
      </c>
      <c r="G1009" s="971">
        <v>4530</v>
      </c>
      <c r="H1009" s="971" t="s">
        <v>701</v>
      </c>
      <c r="I1009" s="1273" t="s">
        <v>1857</v>
      </c>
      <c r="J1009" s="971" t="s">
        <v>124</v>
      </c>
      <c r="K1009" s="971" t="s">
        <v>140</v>
      </c>
      <c r="L1009" s="971" t="s">
        <v>2909</v>
      </c>
      <c r="M1009" s="971" t="s">
        <v>140</v>
      </c>
      <c r="N1009" s="971" t="s">
        <v>141</v>
      </c>
      <c r="O1009" s="971" t="s">
        <v>142</v>
      </c>
      <c r="P1009" s="971"/>
      <c r="Q1009" s="971" t="s">
        <v>1860</v>
      </c>
      <c r="R1009" s="1266" t="s">
        <v>1859</v>
      </c>
      <c r="S1009" s="2106">
        <v>0</v>
      </c>
      <c r="T1009" s="1266" t="s">
        <v>136</v>
      </c>
      <c r="U1009" s="1742">
        <v>0</v>
      </c>
      <c r="V1009" s="1742">
        <v>0</v>
      </c>
      <c r="W1009" s="1742">
        <v>0</v>
      </c>
      <c r="X1009" s="1742">
        <v>0</v>
      </c>
      <c r="Y1009" s="2106">
        <v>0</v>
      </c>
      <c r="Z1009" s="2106">
        <v>0</v>
      </c>
      <c r="AA1009" s="2106">
        <v>0</v>
      </c>
      <c r="AB1009" s="2106">
        <v>0</v>
      </c>
      <c r="AC1009" s="2106">
        <v>0</v>
      </c>
      <c r="AD1009" s="1744">
        <v>0</v>
      </c>
      <c r="AE1009" s="2126">
        <v>0</v>
      </c>
      <c r="AF1009" s="2126">
        <v>0</v>
      </c>
      <c r="AG1009" s="1212">
        <v>1</v>
      </c>
      <c r="AH1009" s="1212">
        <v>0</v>
      </c>
      <c r="AI1009" s="1212">
        <v>0</v>
      </c>
      <c r="AJ1009" s="1212">
        <v>1</v>
      </c>
      <c r="AK1009" s="2126">
        <v>0</v>
      </c>
      <c r="AL1009" s="2126">
        <v>0</v>
      </c>
      <c r="AM1009" s="2126">
        <v>0</v>
      </c>
      <c r="AN1009" s="2126">
        <v>0</v>
      </c>
      <c r="AO1009" s="1743" t="s">
        <v>85</v>
      </c>
      <c r="AP1009" s="1743" t="s">
        <v>96</v>
      </c>
      <c r="AQ1009" s="1764" t="s">
        <v>107</v>
      </c>
      <c r="AR1009" s="1743" t="s">
        <v>87</v>
      </c>
      <c r="AS1009" s="2135"/>
      <c r="AT1009" s="2135"/>
      <c r="AU1009" s="1212">
        <v>0.33333333333333331</v>
      </c>
      <c r="AV1009" s="1212">
        <v>0.33333333333333331</v>
      </c>
      <c r="AW1009" s="1212">
        <v>0.33333333333333331</v>
      </c>
      <c r="AX1009" s="1212"/>
      <c r="AY1009" s="1212"/>
      <c r="AZ1009" s="1212"/>
      <c r="BA1009" s="1212"/>
      <c r="BB1009" s="1212"/>
      <c r="BC1009" s="1212"/>
      <c r="BD1009" s="1212"/>
      <c r="BE1009" s="1212"/>
      <c r="BF1009" s="2126">
        <v>0</v>
      </c>
      <c r="BG1009" s="2126">
        <v>0</v>
      </c>
      <c r="BH1009" s="2126">
        <v>0</v>
      </c>
      <c r="BI1009" s="2126">
        <v>0</v>
      </c>
      <c r="BJ1009" s="2126">
        <v>0</v>
      </c>
      <c r="BK1009" s="2126">
        <v>0</v>
      </c>
      <c r="BL1009" s="2126">
        <v>0</v>
      </c>
      <c r="BM1009" s="2126">
        <v>0</v>
      </c>
      <c r="BN1009" s="2126">
        <v>0</v>
      </c>
      <c r="BO1009" s="2126">
        <v>0</v>
      </c>
      <c r="BP1009" s="2126">
        <v>0</v>
      </c>
      <c r="BQ1009" s="2126">
        <v>0</v>
      </c>
      <c r="BR1009" s="2126">
        <v>0</v>
      </c>
    </row>
    <row r="1010" spans="1:70" s="1765" customFormat="1" ht="33">
      <c r="A1010" s="1272">
        <v>4000</v>
      </c>
      <c r="B1010" s="971" t="s">
        <v>1316</v>
      </c>
      <c r="C1010" s="1272">
        <v>4500</v>
      </c>
      <c r="D1010" s="971" t="s">
        <v>452</v>
      </c>
      <c r="E1010" s="971" t="s">
        <v>1809</v>
      </c>
      <c r="F1010" s="971" t="s">
        <v>701</v>
      </c>
      <c r="G1010" s="971">
        <v>4530</v>
      </c>
      <c r="H1010" s="971" t="s">
        <v>701</v>
      </c>
      <c r="I1010" s="1273" t="s">
        <v>1857</v>
      </c>
      <c r="J1010" s="971" t="s">
        <v>124</v>
      </c>
      <c r="K1010" s="971"/>
      <c r="L1010" s="971" t="e">
        <v>#N/A</v>
      </c>
      <c r="M1010" s="971" t="s">
        <v>145</v>
      </c>
      <c r="N1010" s="971" t="s">
        <v>141</v>
      </c>
      <c r="O1010" s="971" t="s">
        <v>146</v>
      </c>
      <c r="P1010" s="971"/>
      <c r="Q1010" s="971" t="s">
        <v>1861</v>
      </c>
      <c r="R1010" s="1266" t="s">
        <v>1859</v>
      </c>
      <c r="S1010" s="2106">
        <v>0</v>
      </c>
      <c r="T1010" s="1266" t="s">
        <v>136</v>
      </c>
      <c r="U1010" s="1742" t="s">
        <v>6588</v>
      </c>
      <c r="V1010" s="1742" t="s">
        <v>6588</v>
      </c>
      <c r="W1010" s="1742" t="s">
        <v>6588</v>
      </c>
      <c r="X1010" s="1742" t="s">
        <v>6588</v>
      </c>
      <c r="Y1010" s="2106" t="s">
        <v>6588</v>
      </c>
      <c r="Z1010" s="2106">
        <v>0</v>
      </c>
      <c r="AA1010" s="2106">
        <v>0</v>
      </c>
      <c r="AB1010" s="2106">
        <v>0</v>
      </c>
      <c r="AC1010" s="2106">
        <v>0</v>
      </c>
      <c r="AD1010" s="1744">
        <v>0</v>
      </c>
      <c r="AE1010" s="2126">
        <v>0</v>
      </c>
      <c r="AF1010" s="2126">
        <v>0</v>
      </c>
      <c r="AG1010" s="1212">
        <v>1</v>
      </c>
      <c r="AH1010" s="1212">
        <v>0</v>
      </c>
      <c r="AI1010" s="1212">
        <v>0</v>
      </c>
      <c r="AJ1010" s="1212">
        <v>1</v>
      </c>
      <c r="AK1010" s="2126">
        <v>0</v>
      </c>
      <c r="AL1010" s="2126">
        <v>0</v>
      </c>
      <c r="AM1010" s="2126">
        <v>0</v>
      </c>
      <c r="AN1010" s="2126">
        <v>0</v>
      </c>
      <c r="AO1010" s="1743" t="s">
        <v>85</v>
      </c>
      <c r="AP1010" s="1743" t="s">
        <v>96</v>
      </c>
      <c r="AQ1010" s="1764" t="s">
        <v>107</v>
      </c>
      <c r="AR1010" s="1743" t="s">
        <v>87</v>
      </c>
      <c r="AS1010" s="2135"/>
      <c r="AT1010" s="2135"/>
      <c r="AU1010" s="1212">
        <v>0.33333333333333331</v>
      </c>
      <c r="AV1010" s="1212">
        <v>0.33333333333333331</v>
      </c>
      <c r="AW1010" s="1212">
        <v>0.33333333333333331</v>
      </c>
      <c r="AX1010" s="1212"/>
      <c r="AY1010" s="1212"/>
      <c r="AZ1010" s="1212"/>
      <c r="BA1010" s="1212"/>
      <c r="BB1010" s="1212"/>
      <c r="BC1010" s="1212"/>
      <c r="BD1010" s="1212"/>
      <c r="BE1010" s="1212"/>
      <c r="BF1010" s="2126">
        <v>0</v>
      </c>
      <c r="BG1010" s="2126">
        <v>0</v>
      </c>
      <c r="BH1010" s="2126">
        <v>0</v>
      </c>
      <c r="BI1010" s="2126">
        <v>0</v>
      </c>
      <c r="BJ1010" s="2126">
        <v>0</v>
      </c>
      <c r="BK1010" s="2126">
        <v>0</v>
      </c>
      <c r="BL1010" s="2126">
        <v>0</v>
      </c>
      <c r="BM1010" s="2126">
        <v>0</v>
      </c>
      <c r="BN1010" s="2126">
        <v>0</v>
      </c>
      <c r="BO1010" s="2126">
        <v>0</v>
      </c>
      <c r="BP1010" s="2126">
        <v>0</v>
      </c>
      <c r="BQ1010" s="2126">
        <v>0</v>
      </c>
      <c r="BR1010" s="2126">
        <v>0</v>
      </c>
    </row>
    <row r="1011" spans="1:70" s="1765" customFormat="1" ht="49.5">
      <c r="A1011" s="1272">
        <v>4000</v>
      </c>
      <c r="B1011" s="971" t="s">
        <v>1316</v>
      </c>
      <c r="C1011" s="1272">
        <v>4500</v>
      </c>
      <c r="D1011" s="971" t="s">
        <v>452</v>
      </c>
      <c r="E1011" s="971" t="s">
        <v>1809</v>
      </c>
      <c r="F1011" s="971" t="s">
        <v>701</v>
      </c>
      <c r="G1011" s="971">
        <v>4530</v>
      </c>
      <c r="H1011" s="971" t="s">
        <v>701</v>
      </c>
      <c r="I1011" s="1273" t="s">
        <v>1862</v>
      </c>
      <c r="J1011" s="971" t="s">
        <v>124</v>
      </c>
      <c r="K1011" s="971" t="s">
        <v>2857</v>
      </c>
      <c r="L1011" s="971" t="s">
        <v>2858</v>
      </c>
      <c r="M1011" s="971" t="s">
        <v>703</v>
      </c>
      <c r="N1011" s="971" t="s">
        <v>488</v>
      </c>
      <c r="O1011" s="971" t="s">
        <v>459</v>
      </c>
      <c r="P1011" s="971"/>
      <c r="Q1011" s="971" t="s">
        <v>1863</v>
      </c>
      <c r="R1011" s="1266" t="s">
        <v>1864</v>
      </c>
      <c r="S1011" s="2106">
        <v>0</v>
      </c>
      <c r="T1011" s="1266" t="s">
        <v>136</v>
      </c>
      <c r="U1011" s="1742">
        <v>0.56041666666666667</v>
      </c>
      <c r="V1011" s="1742">
        <v>2.8020833333333335</v>
      </c>
      <c r="W1011" s="1742">
        <v>49.395125</v>
      </c>
      <c r="X1011" s="1742">
        <v>77.264645833333333</v>
      </c>
      <c r="Y1011" s="2106">
        <v>129.46185416666665</v>
      </c>
      <c r="Z1011" s="2106">
        <v>0</v>
      </c>
      <c r="AA1011" s="2106">
        <v>0</v>
      </c>
      <c r="AB1011" s="2106">
        <v>0</v>
      </c>
      <c r="AC1011" s="2106">
        <v>0</v>
      </c>
      <c r="AD1011" s="1744">
        <v>0</v>
      </c>
      <c r="AE1011" s="2126">
        <v>1</v>
      </c>
      <c r="AF1011" s="2126">
        <v>0</v>
      </c>
      <c r="AG1011" s="1212">
        <v>1</v>
      </c>
      <c r="AH1011" s="1212">
        <v>0</v>
      </c>
      <c r="AI1011" s="1212">
        <v>0</v>
      </c>
      <c r="AJ1011" s="1212">
        <v>1</v>
      </c>
      <c r="AK1011" s="2126">
        <v>0</v>
      </c>
      <c r="AL1011" s="2126">
        <v>0</v>
      </c>
      <c r="AM1011" s="2126">
        <v>0</v>
      </c>
      <c r="AN1011" s="2126">
        <v>0</v>
      </c>
      <c r="AO1011" s="1743" t="s">
        <v>85</v>
      </c>
      <c r="AP1011" s="1743" t="s">
        <v>96</v>
      </c>
      <c r="AQ1011" s="1764" t="s">
        <v>107</v>
      </c>
      <c r="AR1011" s="1743" t="s">
        <v>87</v>
      </c>
      <c r="AS1011" s="2135"/>
      <c r="AT1011" s="2135"/>
      <c r="AU1011" s="1212">
        <v>0.33333333333333331</v>
      </c>
      <c r="AV1011" s="1212">
        <v>0.33333333333333331</v>
      </c>
      <c r="AW1011" s="1212">
        <v>0.33333333333333331</v>
      </c>
      <c r="AX1011" s="1212"/>
      <c r="AY1011" s="1212"/>
      <c r="AZ1011" s="1212"/>
      <c r="BA1011" s="1212"/>
      <c r="BB1011" s="1212"/>
      <c r="BC1011" s="1212"/>
      <c r="BD1011" s="1212"/>
      <c r="BE1011" s="1212"/>
      <c r="BF1011" s="2126">
        <v>0</v>
      </c>
      <c r="BG1011" s="2126">
        <v>0</v>
      </c>
      <c r="BH1011" s="2126">
        <v>0</v>
      </c>
      <c r="BI1011" s="2126">
        <v>0</v>
      </c>
      <c r="BJ1011" s="2126">
        <v>0</v>
      </c>
      <c r="BK1011" s="2126">
        <v>0</v>
      </c>
      <c r="BL1011" s="2126">
        <v>0</v>
      </c>
      <c r="BM1011" s="2126">
        <v>0</v>
      </c>
      <c r="BN1011" s="2126">
        <v>0</v>
      </c>
      <c r="BO1011" s="2126">
        <v>0</v>
      </c>
      <c r="BP1011" s="2126">
        <v>0</v>
      </c>
      <c r="BQ1011" s="2126">
        <v>0</v>
      </c>
      <c r="BR1011" s="2126">
        <v>0</v>
      </c>
    </row>
    <row r="1012" spans="1:70" s="1765" customFormat="1" ht="33">
      <c r="A1012" s="1272">
        <v>4000</v>
      </c>
      <c r="B1012" s="971" t="s">
        <v>1316</v>
      </c>
      <c r="C1012" s="1272">
        <v>4500</v>
      </c>
      <c r="D1012" s="971" t="s">
        <v>452</v>
      </c>
      <c r="E1012" s="971" t="s">
        <v>1809</v>
      </c>
      <c r="F1012" s="971" t="s">
        <v>701</v>
      </c>
      <c r="G1012" s="971">
        <v>4530</v>
      </c>
      <c r="H1012" s="971" t="s">
        <v>701</v>
      </c>
      <c r="I1012" s="1273" t="s">
        <v>1862</v>
      </c>
      <c r="J1012" s="971" t="s">
        <v>124</v>
      </c>
      <c r="K1012" s="971" t="s">
        <v>140</v>
      </c>
      <c r="L1012" s="971" t="s">
        <v>2909</v>
      </c>
      <c r="M1012" s="971" t="s">
        <v>140</v>
      </c>
      <c r="N1012" s="971" t="s">
        <v>141</v>
      </c>
      <c r="O1012" s="971" t="s">
        <v>142</v>
      </c>
      <c r="P1012" s="971"/>
      <c r="Q1012" s="971" t="s">
        <v>1865</v>
      </c>
      <c r="R1012" s="1266" t="s">
        <v>1864</v>
      </c>
      <c r="S1012" s="2106">
        <v>0</v>
      </c>
      <c r="T1012" s="1266" t="s">
        <v>136</v>
      </c>
      <c r="U1012" s="1742">
        <v>0</v>
      </c>
      <c r="V1012" s="1742">
        <v>0</v>
      </c>
      <c r="W1012" s="1742">
        <v>0</v>
      </c>
      <c r="X1012" s="1742">
        <v>0</v>
      </c>
      <c r="Y1012" s="2106">
        <v>0</v>
      </c>
      <c r="Z1012" s="2106">
        <v>0</v>
      </c>
      <c r="AA1012" s="2106">
        <v>0</v>
      </c>
      <c r="AB1012" s="2106">
        <v>0</v>
      </c>
      <c r="AC1012" s="2106">
        <v>0</v>
      </c>
      <c r="AD1012" s="1744">
        <v>0</v>
      </c>
      <c r="AE1012" s="2126">
        <v>0</v>
      </c>
      <c r="AF1012" s="2126">
        <v>0</v>
      </c>
      <c r="AG1012" s="1212">
        <v>1</v>
      </c>
      <c r="AH1012" s="1212">
        <v>0</v>
      </c>
      <c r="AI1012" s="1212">
        <v>0</v>
      </c>
      <c r="AJ1012" s="1212">
        <v>1</v>
      </c>
      <c r="AK1012" s="2126">
        <v>0</v>
      </c>
      <c r="AL1012" s="2126">
        <v>0</v>
      </c>
      <c r="AM1012" s="2126">
        <v>0</v>
      </c>
      <c r="AN1012" s="2126">
        <v>0</v>
      </c>
      <c r="AO1012" s="1743" t="s">
        <v>85</v>
      </c>
      <c r="AP1012" s="1743" t="s">
        <v>96</v>
      </c>
      <c r="AQ1012" s="1764" t="s">
        <v>107</v>
      </c>
      <c r="AR1012" s="1743" t="s">
        <v>87</v>
      </c>
      <c r="AS1012" s="2135"/>
      <c r="AT1012" s="2135"/>
      <c r="AU1012" s="1212">
        <v>0.33333333333333331</v>
      </c>
      <c r="AV1012" s="1212">
        <v>0.33333333333333331</v>
      </c>
      <c r="AW1012" s="1212">
        <v>0.33333333333333331</v>
      </c>
      <c r="AX1012" s="1212"/>
      <c r="AY1012" s="1212"/>
      <c r="AZ1012" s="1212"/>
      <c r="BA1012" s="1212"/>
      <c r="BB1012" s="1212"/>
      <c r="BC1012" s="1212"/>
      <c r="BD1012" s="1212"/>
      <c r="BE1012" s="1212"/>
      <c r="BF1012" s="2126">
        <v>0</v>
      </c>
      <c r="BG1012" s="2126">
        <v>0</v>
      </c>
      <c r="BH1012" s="2126">
        <v>0</v>
      </c>
      <c r="BI1012" s="2126">
        <v>0</v>
      </c>
      <c r="BJ1012" s="2126">
        <v>0</v>
      </c>
      <c r="BK1012" s="2126">
        <v>0</v>
      </c>
      <c r="BL1012" s="2126">
        <v>0</v>
      </c>
      <c r="BM1012" s="2126">
        <v>0</v>
      </c>
      <c r="BN1012" s="2126">
        <v>0</v>
      </c>
      <c r="BO1012" s="2126">
        <v>0</v>
      </c>
      <c r="BP1012" s="2126">
        <v>0</v>
      </c>
      <c r="BQ1012" s="2126">
        <v>0</v>
      </c>
      <c r="BR1012" s="2126">
        <v>0</v>
      </c>
    </row>
    <row r="1013" spans="1:70" s="1765" customFormat="1" ht="33">
      <c r="A1013" s="1272">
        <v>4000</v>
      </c>
      <c r="B1013" s="971" t="s">
        <v>1316</v>
      </c>
      <c r="C1013" s="1272">
        <v>4500</v>
      </c>
      <c r="D1013" s="971" t="s">
        <v>452</v>
      </c>
      <c r="E1013" s="971" t="s">
        <v>1809</v>
      </c>
      <c r="F1013" s="971" t="s">
        <v>701</v>
      </c>
      <c r="G1013" s="971">
        <v>4530</v>
      </c>
      <c r="H1013" s="971" t="s">
        <v>701</v>
      </c>
      <c r="I1013" s="1273" t="s">
        <v>1862</v>
      </c>
      <c r="J1013" s="971" t="s">
        <v>124</v>
      </c>
      <c r="K1013" s="971"/>
      <c r="L1013" s="971" t="e">
        <v>#N/A</v>
      </c>
      <c r="M1013" s="971" t="s">
        <v>145</v>
      </c>
      <c r="N1013" s="971" t="s">
        <v>141</v>
      </c>
      <c r="O1013" s="971" t="s">
        <v>146</v>
      </c>
      <c r="P1013" s="971"/>
      <c r="Q1013" s="971" t="s">
        <v>1866</v>
      </c>
      <c r="R1013" s="1266" t="s">
        <v>1864</v>
      </c>
      <c r="S1013" s="2106">
        <v>0</v>
      </c>
      <c r="T1013" s="1266" t="s">
        <v>136</v>
      </c>
      <c r="U1013" s="1742" t="s">
        <v>6588</v>
      </c>
      <c r="V1013" s="1742" t="s">
        <v>6588</v>
      </c>
      <c r="W1013" s="1742" t="s">
        <v>6588</v>
      </c>
      <c r="X1013" s="1742" t="s">
        <v>6588</v>
      </c>
      <c r="Y1013" s="2106" t="s">
        <v>6588</v>
      </c>
      <c r="Z1013" s="2106">
        <v>0</v>
      </c>
      <c r="AA1013" s="2106">
        <v>0</v>
      </c>
      <c r="AB1013" s="2106">
        <v>0</v>
      </c>
      <c r="AC1013" s="2106">
        <v>0</v>
      </c>
      <c r="AD1013" s="1744">
        <v>0</v>
      </c>
      <c r="AE1013" s="2126">
        <v>0</v>
      </c>
      <c r="AF1013" s="2126">
        <v>0</v>
      </c>
      <c r="AG1013" s="1212">
        <v>1</v>
      </c>
      <c r="AH1013" s="1212">
        <v>0</v>
      </c>
      <c r="AI1013" s="1212">
        <v>0</v>
      </c>
      <c r="AJ1013" s="1212">
        <v>1</v>
      </c>
      <c r="AK1013" s="2126">
        <v>0</v>
      </c>
      <c r="AL1013" s="2126">
        <v>0</v>
      </c>
      <c r="AM1013" s="2126">
        <v>0</v>
      </c>
      <c r="AN1013" s="2126">
        <v>0</v>
      </c>
      <c r="AO1013" s="1743" t="s">
        <v>85</v>
      </c>
      <c r="AP1013" s="1743" t="s">
        <v>96</v>
      </c>
      <c r="AQ1013" s="1764" t="s">
        <v>107</v>
      </c>
      <c r="AR1013" s="1743" t="s">
        <v>87</v>
      </c>
      <c r="AS1013" s="2135"/>
      <c r="AT1013" s="2135"/>
      <c r="AU1013" s="1212">
        <v>0.33333333333333331</v>
      </c>
      <c r="AV1013" s="1212">
        <v>0.33333333333333331</v>
      </c>
      <c r="AW1013" s="1212">
        <v>0.33333333333333331</v>
      </c>
      <c r="AX1013" s="1212"/>
      <c r="AY1013" s="1212"/>
      <c r="AZ1013" s="1212"/>
      <c r="BA1013" s="1212"/>
      <c r="BB1013" s="1212"/>
      <c r="BC1013" s="1212"/>
      <c r="BD1013" s="1212"/>
      <c r="BE1013" s="1212"/>
      <c r="BF1013" s="2126">
        <v>0</v>
      </c>
      <c r="BG1013" s="2126">
        <v>0</v>
      </c>
      <c r="BH1013" s="2126">
        <v>0</v>
      </c>
      <c r="BI1013" s="2126">
        <v>0</v>
      </c>
      <c r="BJ1013" s="2126">
        <v>0</v>
      </c>
      <c r="BK1013" s="2126">
        <v>0</v>
      </c>
      <c r="BL1013" s="2126">
        <v>0</v>
      </c>
      <c r="BM1013" s="2126">
        <v>0</v>
      </c>
      <c r="BN1013" s="2126">
        <v>0</v>
      </c>
      <c r="BO1013" s="2126">
        <v>0</v>
      </c>
      <c r="BP1013" s="2126">
        <v>0</v>
      </c>
      <c r="BQ1013" s="2126">
        <v>0</v>
      </c>
      <c r="BR1013" s="2126">
        <v>0</v>
      </c>
    </row>
    <row r="1014" spans="1:70" s="1765" customFormat="1" ht="49.5">
      <c r="A1014" s="1272">
        <v>4000</v>
      </c>
      <c r="B1014" s="971" t="s">
        <v>1316</v>
      </c>
      <c r="C1014" s="1272">
        <v>4500</v>
      </c>
      <c r="D1014" s="971" t="s">
        <v>452</v>
      </c>
      <c r="E1014" s="971" t="s">
        <v>1809</v>
      </c>
      <c r="F1014" s="971" t="s">
        <v>701</v>
      </c>
      <c r="G1014" s="971">
        <v>4530</v>
      </c>
      <c r="H1014" s="971" t="s">
        <v>701</v>
      </c>
      <c r="I1014" s="1273" t="s">
        <v>1867</v>
      </c>
      <c r="J1014" s="971" t="s">
        <v>124</v>
      </c>
      <c r="K1014" s="971" t="s">
        <v>2857</v>
      </c>
      <c r="L1014" s="971" t="s">
        <v>2858</v>
      </c>
      <c r="M1014" s="971" t="s">
        <v>703</v>
      </c>
      <c r="N1014" s="971" t="s">
        <v>488</v>
      </c>
      <c r="O1014" s="971" t="s">
        <v>459</v>
      </c>
      <c r="P1014" s="971"/>
      <c r="Q1014" s="971" t="s">
        <v>1868</v>
      </c>
      <c r="R1014" s="1266" t="s">
        <v>1869</v>
      </c>
      <c r="S1014" s="2106">
        <v>0</v>
      </c>
      <c r="T1014" s="1266" t="s">
        <v>136</v>
      </c>
      <c r="U1014" s="1742">
        <v>0.56041666666666667</v>
      </c>
      <c r="V1014" s="1742">
        <v>2.8020833333333335</v>
      </c>
      <c r="W1014" s="1742">
        <v>49.395125</v>
      </c>
      <c r="X1014" s="1742">
        <v>77.264645833333333</v>
      </c>
      <c r="Y1014" s="2106">
        <v>129.46185416666665</v>
      </c>
      <c r="Z1014" s="2106">
        <v>0</v>
      </c>
      <c r="AA1014" s="2106">
        <v>0</v>
      </c>
      <c r="AB1014" s="2106">
        <v>0</v>
      </c>
      <c r="AC1014" s="2106">
        <v>0</v>
      </c>
      <c r="AD1014" s="1744">
        <v>0</v>
      </c>
      <c r="AE1014" s="2126">
        <v>1</v>
      </c>
      <c r="AF1014" s="2126">
        <v>0</v>
      </c>
      <c r="AG1014" s="1212">
        <v>1</v>
      </c>
      <c r="AH1014" s="1212">
        <v>0</v>
      </c>
      <c r="AI1014" s="1212">
        <v>0</v>
      </c>
      <c r="AJ1014" s="1212">
        <v>1</v>
      </c>
      <c r="AK1014" s="2126">
        <v>0</v>
      </c>
      <c r="AL1014" s="2126">
        <v>0</v>
      </c>
      <c r="AM1014" s="2126">
        <v>0</v>
      </c>
      <c r="AN1014" s="2126">
        <v>0</v>
      </c>
      <c r="AO1014" s="1743" t="s">
        <v>85</v>
      </c>
      <c r="AP1014" s="1743" t="s">
        <v>96</v>
      </c>
      <c r="AQ1014" s="1764" t="s">
        <v>107</v>
      </c>
      <c r="AR1014" s="1743" t="s">
        <v>87</v>
      </c>
      <c r="AS1014" s="2135"/>
      <c r="AT1014" s="2135"/>
      <c r="AU1014" s="1212">
        <v>0.33333333333333331</v>
      </c>
      <c r="AV1014" s="1212">
        <v>0.33333333333333331</v>
      </c>
      <c r="AW1014" s="1212">
        <v>0.33333333333333331</v>
      </c>
      <c r="AX1014" s="1212"/>
      <c r="AY1014" s="1212"/>
      <c r="AZ1014" s="1212"/>
      <c r="BA1014" s="1212"/>
      <c r="BB1014" s="1212"/>
      <c r="BC1014" s="1212"/>
      <c r="BD1014" s="1212"/>
      <c r="BE1014" s="1212"/>
      <c r="BF1014" s="2126">
        <v>0</v>
      </c>
      <c r="BG1014" s="2126">
        <v>0</v>
      </c>
      <c r="BH1014" s="2126">
        <v>0</v>
      </c>
      <c r="BI1014" s="2126">
        <v>0</v>
      </c>
      <c r="BJ1014" s="2126">
        <v>0</v>
      </c>
      <c r="BK1014" s="2126">
        <v>0</v>
      </c>
      <c r="BL1014" s="2126">
        <v>0</v>
      </c>
      <c r="BM1014" s="2126">
        <v>0</v>
      </c>
      <c r="BN1014" s="2126">
        <v>0</v>
      </c>
      <c r="BO1014" s="2126">
        <v>0</v>
      </c>
      <c r="BP1014" s="2126">
        <v>0</v>
      </c>
      <c r="BQ1014" s="2126">
        <v>0</v>
      </c>
      <c r="BR1014" s="2126">
        <v>0</v>
      </c>
    </row>
    <row r="1015" spans="1:70" s="1765" customFormat="1" ht="33">
      <c r="A1015" s="1272">
        <v>4000</v>
      </c>
      <c r="B1015" s="971" t="s">
        <v>1316</v>
      </c>
      <c r="C1015" s="1272">
        <v>4500</v>
      </c>
      <c r="D1015" s="971" t="s">
        <v>452</v>
      </c>
      <c r="E1015" s="971" t="s">
        <v>1809</v>
      </c>
      <c r="F1015" s="971" t="s">
        <v>701</v>
      </c>
      <c r="G1015" s="971">
        <v>4530</v>
      </c>
      <c r="H1015" s="971" t="s">
        <v>701</v>
      </c>
      <c r="I1015" s="1273" t="s">
        <v>1867</v>
      </c>
      <c r="J1015" s="971" t="s">
        <v>124</v>
      </c>
      <c r="K1015" s="971" t="s">
        <v>140</v>
      </c>
      <c r="L1015" s="971" t="s">
        <v>2909</v>
      </c>
      <c r="M1015" s="971" t="s">
        <v>140</v>
      </c>
      <c r="N1015" s="971" t="s">
        <v>141</v>
      </c>
      <c r="O1015" s="971" t="s">
        <v>142</v>
      </c>
      <c r="P1015" s="971"/>
      <c r="Q1015" s="971" t="s">
        <v>1870</v>
      </c>
      <c r="R1015" s="1266" t="s">
        <v>1869</v>
      </c>
      <c r="S1015" s="2106">
        <v>0</v>
      </c>
      <c r="T1015" s="1266" t="s">
        <v>136</v>
      </c>
      <c r="U1015" s="1742">
        <v>0</v>
      </c>
      <c r="V1015" s="1742">
        <v>0</v>
      </c>
      <c r="W1015" s="1742">
        <v>0</v>
      </c>
      <c r="X1015" s="1742">
        <v>0</v>
      </c>
      <c r="Y1015" s="2106">
        <v>0</v>
      </c>
      <c r="Z1015" s="2106">
        <v>0</v>
      </c>
      <c r="AA1015" s="2106">
        <v>0</v>
      </c>
      <c r="AB1015" s="2106">
        <v>0</v>
      </c>
      <c r="AC1015" s="2106">
        <v>0</v>
      </c>
      <c r="AD1015" s="1744">
        <v>0</v>
      </c>
      <c r="AE1015" s="2126">
        <v>0</v>
      </c>
      <c r="AF1015" s="2126">
        <v>0</v>
      </c>
      <c r="AG1015" s="1212">
        <v>1</v>
      </c>
      <c r="AH1015" s="1212">
        <v>0</v>
      </c>
      <c r="AI1015" s="1212">
        <v>0</v>
      </c>
      <c r="AJ1015" s="1212">
        <v>1</v>
      </c>
      <c r="AK1015" s="2126">
        <v>0</v>
      </c>
      <c r="AL1015" s="2126">
        <v>0</v>
      </c>
      <c r="AM1015" s="2126">
        <v>0</v>
      </c>
      <c r="AN1015" s="2126">
        <v>0</v>
      </c>
      <c r="AO1015" s="1743" t="s">
        <v>85</v>
      </c>
      <c r="AP1015" s="1743" t="s">
        <v>96</v>
      </c>
      <c r="AQ1015" s="1764" t="s">
        <v>107</v>
      </c>
      <c r="AR1015" s="1743" t="s">
        <v>87</v>
      </c>
      <c r="AS1015" s="2135"/>
      <c r="AT1015" s="2135"/>
      <c r="AU1015" s="1212">
        <v>0.33333333333333331</v>
      </c>
      <c r="AV1015" s="1212">
        <v>0.33333333333333331</v>
      </c>
      <c r="AW1015" s="1212">
        <v>0.33333333333333331</v>
      </c>
      <c r="AX1015" s="1212"/>
      <c r="AY1015" s="1212"/>
      <c r="AZ1015" s="1212"/>
      <c r="BA1015" s="1212"/>
      <c r="BB1015" s="1212"/>
      <c r="BC1015" s="1212"/>
      <c r="BD1015" s="1212"/>
      <c r="BE1015" s="1212"/>
      <c r="BF1015" s="2126">
        <v>0</v>
      </c>
      <c r="BG1015" s="2126">
        <v>0</v>
      </c>
      <c r="BH1015" s="2126">
        <v>0</v>
      </c>
      <c r="BI1015" s="2126">
        <v>0</v>
      </c>
      <c r="BJ1015" s="2126">
        <v>0</v>
      </c>
      <c r="BK1015" s="2126">
        <v>0</v>
      </c>
      <c r="BL1015" s="2126">
        <v>0</v>
      </c>
      <c r="BM1015" s="2126">
        <v>0</v>
      </c>
      <c r="BN1015" s="2126">
        <v>0</v>
      </c>
      <c r="BO1015" s="2126">
        <v>0</v>
      </c>
      <c r="BP1015" s="2126">
        <v>0</v>
      </c>
      <c r="BQ1015" s="2126">
        <v>0</v>
      </c>
      <c r="BR1015" s="2126">
        <v>0</v>
      </c>
    </row>
    <row r="1016" spans="1:70" s="1765" customFormat="1" ht="33">
      <c r="A1016" s="1272">
        <v>4000</v>
      </c>
      <c r="B1016" s="971" t="s">
        <v>1316</v>
      </c>
      <c r="C1016" s="1272">
        <v>4500</v>
      </c>
      <c r="D1016" s="971" t="s">
        <v>452</v>
      </c>
      <c r="E1016" s="971" t="s">
        <v>1809</v>
      </c>
      <c r="F1016" s="971" t="s">
        <v>701</v>
      </c>
      <c r="G1016" s="971">
        <v>4530</v>
      </c>
      <c r="H1016" s="971" t="s">
        <v>701</v>
      </c>
      <c r="I1016" s="1273" t="s">
        <v>1867</v>
      </c>
      <c r="J1016" s="971" t="s">
        <v>124</v>
      </c>
      <c r="K1016" s="971"/>
      <c r="L1016" s="971" t="e">
        <v>#N/A</v>
      </c>
      <c r="M1016" s="971" t="s">
        <v>145</v>
      </c>
      <c r="N1016" s="971" t="s">
        <v>141</v>
      </c>
      <c r="O1016" s="971" t="s">
        <v>146</v>
      </c>
      <c r="P1016" s="971"/>
      <c r="Q1016" s="971" t="s">
        <v>1871</v>
      </c>
      <c r="R1016" s="1266" t="s">
        <v>1869</v>
      </c>
      <c r="S1016" s="2106">
        <v>0</v>
      </c>
      <c r="T1016" s="1266" t="s">
        <v>136</v>
      </c>
      <c r="U1016" s="1742" t="s">
        <v>6588</v>
      </c>
      <c r="V1016" s="1742" t="s">
        <v>6588</v>
      </c>
      <c r="W1016" s="1742" t="s">
        <v>6588</v>
      </c>
      <c r="X1016" s="1742" t="s">
        <v>6588</v>
      </c>
      <c r="Y1016" s="2106" t="s">
        <v>6588</v>
      </c>
      <c r="Z1016" s="2106">
        <v>0</v>
      </c>
      <c r="AA1016" s="2106">
        <v>0</v>
      </c>
      <c r="AB1016" s="2106">
        <v>0</v>
      </c>
      <c r="AC1016" s="2106">
        <v>0</v>
      </c>
      <c r="AD1016" s="1744">
        <v>0</v>
      </c>
      <c r="AE1016" s="2126">
        <v>0</v>
      </c>
      <c r="AF1016" s="2126">
        <v>0</v>
      </c>
      <c r="AG1016" s="1212">
        <v>1</v>
      </c>
      <c r="AH1016" s="1212">
        <v>0</v>
      </c>
      <c r="AI1016" s="1212">
        <v>0</v>
      </c>
      <c r="AJ1016" s="1212">
        <v>1</v>
      </c>
      <c r="AK1016" s="2126">
        <v>0</v>
      </c>
      <c r="AL1016" s="2126">
        <v>0</v>
      </c>
      <c r="AM1016" s="2126">
        <v>0</v>
      </c>
      <c r="AN1016" s="2126">
        <v>0</v>
      </c>
      <c r="AO1016" s="1743" t="s">
        <v>85</v>
      </c>
      <c r="AP1016" s="1743" t="s">
        <v>96</v>
      </c>
      <c r="AQ1016" s="1764" t="s">
        <v>107</v>
      </c>
      <c r="AR1016" s="1743" t="s">
        <v>87</v>
      </c>
      <c r="AS1016" s="2135"/>
      <c r="AT1016" s="2135"/>
      <c r="AU1016" s="1212">
        <v>0.33333333333333331</v>
      </c>
      <c r="AV1016" s="1212">
        <v>0.33333333333333331</v>
      </c>
      <c r="AW1016" s="1212">
        <v>0.33333333333333331</v>
      </c>
      <c r="AX1016" s="1212"/>
      <c r="AY1016" s="1212"/>
      <c r="AZ1016" s="1212"/>
      <c r="BA1016" s="1212"/>
      <c r="BB1016" s="1212"/>
      <c r="BC1016" s="1212"/>
      <c r="BD1016" s="1212"/>
      <c r="BE1016" s="1212"/>
      <c r="BF1016" s="2126">
        <v>0</v>
      </c>
      <c r="BG1016" s="2126">
        <v>0</v>
      </c>
      <c r="BH1016" s="2126">
        <v>0</v>
      </c>
      <c r="BI1016" s="2126">
        <v>0</v>
      </c>
      <c r="BJ1016" s="2126">
        <v>0</v>
      </c>
      <c r="BK1016" s="2126">
        <v>0</v>
      </c>
      <c r="BL1016" s="2126">
        <v>0</v>
      </c>
      <c r="BM1016" s="2126">
        <v>0</v>
      </c>
      <c r="BN1016" s="2126">
        <v>0</v>
      </c>
      <c r="BO1016" s="2126">
        <v>0</v>
      </c>
      <c r="BP1016" s="2126">
        <v>0</v>
      </c>
      <c r="BQ1016" s="2126">
        <v>0</v>
      </c>
      <c r="BR1016" s="2126">
        <v>0</v>
      </c>
    </row>
    <row r="1017" spans="1:70" s="1765" customFormat="1" ht="49.5">
      <c r="A1017" s="1272">
        <v>4000</v>
      </c>
      <c r="B1017" s="971" t="s">
        <v>1316</v>
      </c>
      <c r="C1017" s="1272">
        <v>4500</v>
      </c>
      <c r="D1017" s="971" t="s">
        <v>452</v>
      </c>
      <c r="E1017" s="971" t="s">
        <v>1809</v>
      </c>
      <c r="F1017" s="971" t="s">
        <v>701</v>
      </c>
      <c r="G1017" s="971">
        <v>4530</v>
      </c>
      <c r="H1017" s="971" t="s">
        <v>701</v>
      </c>
      <c r="I1017" s="1273" t="s">
        <v>1872</v>
      </c>
      <c r="J1017" s="971" t="s">
        <v>124</v>
      </c>
      <c r="K1017" s="971" t="s">
        <v>2857</v>
      </c>
      <c r="L1017" s="971" t="s">
        <v>2858</v>
      </c>
      <c r="M1017" s="971" t="s">
        <v>703</v>
      </c>
      <c r="N1017" s="971" t="s">
        <v>488</v>
      </c>
      <c r="O1017" s="971" t="s">
        <v>459</v>
      </c>
      <c r="P1017" s="971"/>
      <c r="Q1017" s="971" t="s">
        <v>1873</v>
      </c>
      <c r="R1017" s="1266" t="s">
        <v>1874</v>
      </c>
      <c r="S1017" s="2106">
        <v>0</v>
      </c>
      <c r="T1017" s="1266" t="s">
        <v>136</v>
      </c>
      <c r="U1017" s="1742">
        <v>0.56041666666666667</v>
      </c>
      <c r="V1017" s="1742">
        <v>2.8020833333333335</v>
      </c>
      <c r="W1017" s="1742">
        <v>49.395125</v>
      </c>
      <c r="X1017" s="1742">
        <v>77.264645833333333</v>
      </c>
      <c r="Y1017" s="2106">
        <v>129.46185416666665</v>
      </c>
      <c r="Z1017" s="2106">
        <v>0</v>
      </c>
      <c r="AA1017" s="2106">
        <v>0</v>
      </c>
      <c r="AB1017" s="2106">
        <v>0</v>
      </c>
      <c r="AC1017" s="2106">
        <v>0</v>
      </c>
      <c r="AD1017" s="1744">
        <v>0</v>
      </c>
      <c r="AE1017" s="2126">
        <v>1</v>
      </c>
      <c r="AF1017" s="2126">
        <v>0</v>
      </c>
      <c r="AG1017" s="1212">
        <v>1</v>
      </c>
      <c r="AH1017" s="1212">
        <v>0</v>
      </c>
      <c r="AI1017" s="1212">
        <v>0</v>
      </c>
      <c r="AJ1017" s="1212">
        <v>1</v>
      </c>
      <c r="AK1017" s="2126">
        <v>0</v>
      </c>
      <c r="AL1017" s="2126">
        <v>0</v>
      </c>
      <c r="AM1017" s="2126">
        <v>0</v>
      </c>
      <c r="AN1017" s="2126">
        <v>0</v>
      </c>
      <c r="AO1017" s="1743" t="s">
        <v>85</v>
      </c>
      <c r="AP1017" s="1743" t="s">
        <v>96</v>
      </c>
      <c r="AQ1017" s="1764" t="s">
        <v>107</v>
      </c>
      <c r="AR1017" s="1743" t="s">
        <v>87</v>
      </c>
      <c r="AS1017" s="2135"/>
      <c r="AT1017" s="2135"/>
      <c r="AU1017" s="1212">
        <v>0.33333333333333331</v>
      </c>
      <c r="AV1017" s="1212">
        <v>0.33333333333333331</v>
      </c>
      <c r="AW1017" s="1212">
        <v>0.33333333333333331</v>
      </c>
      <c r="AX1017" s="1212"/>
      <c r="AY1017" s="1212"/>
      <c r="AZ1017" s="1212"/>
      <c r="BA1017" s="1212"/>
      <c r="BB1017" s="1212"/>
      <c r="BC1017" s="1212"/>
      <c r="BD1017" s="1212"/>
      <c r="BE1017" s="1212"/>
      <c r="BF1017" s="2126">
        <v>0</v>
      </c>
      <c r="BG1017" s="2126">
        <v>0</v>
      </c>
      <c r="BH1017" s="2126">
        <v>0</v>
      </c>
      <c r="BI1017" s="2126">
        <v>0</v>
      </c>
      <c r="BJ1017" s="2126">
        <v>0</v>
      </c>
      <c r="BK1017" s="2126">
        <v>0</v>
      </c>
      <c r="BL1017" s="2126">
        <v>0</v>
      </c>
      <c r="BM1017" s="2126">
        <v>0</v>
      </c>
      <c r="BN1017" s="2126">
        <v>0</v>
      </c>
      <c r="BO1017" s="2126">
        <v>0</v>
      </c>
      <c r="BP1017" s="2126">
        <v>0</v>
      </c>
      <c r="BQ1017" s="2126">
        <v>0</v>
      </c>
      <c r="BR1017" s="2126">
        <v>0</v>
      </c>
    </row>
    <row r="1018" spans="1:70" s="1765" customFormat="1" ht="33">
      <c r="A1018" s="1272">
        <v>4000</v>
      </c>
      <c r="B1018" s="971" t="s">
        <v>1316</v>
      </c>
      <c r="C1018" s="1272">
        <v>4500</v>
      </c>
      <c r="D1018" s="971" t="s">
        <v>452</v>
      </c>
      <c r="E1018" s="971" t="s">
        <v>1809</v>
      </c>
      <c r="F1018" s="971" t="s">
        <v>701</v>
      </c>
      <c r="G1018" s="971">
        <v>4530</v>
      </c>
      <c r="H1018" s="971" t="s">
        <v>701</v>
      </c>
      <c r="I1018" s="1273" t="s">
        <v>1872</v>
      </c>
      <c r="J1018" s="971" t="s">
        <v>124</v>
      </c>
      <c r="K1018" s="971" t="s">
        <v>140</v>
      </c>
      <c r="L1018" s="971" t="s">
        <v>2909</v>
      </c>
      <c r="M1018" s="971" t="s">
        <v>140</v>
      </c>
      <c r="N1018" s="971" t="s">
        <v>141</v>
      </c>
      <c r="O1018" s="971" t="s">
        <v>142</v>
      </c>
      <c r="P1018" s="971"/>
      <c r="Q1018" s="971" t="s">
        <v>1875</v>
      </c>
      <c r="R1018" s="1266" t="s">
        <v>1874</v>
      </c>
      <c r="S1018" s="2106">
        <v>0</v>
      </c>
      <c r="T1018" s="1266" t="s">
        <v>136</v>
      </c>
      <c r="U1018" s="1742">
        <v>0</v>
      </c>
      <c r="V1018" s="1742">
        <v>0</v>
      </c>
      <c r="W1018" s="1742">
        <v>0</v>
      </c>
      <c r="X1018" s="1742">
        <v>0</v>
      </c>
      <c r="Y1018" s="2106">
        <v>0</v>
      </c>
      <c r="Z1018" s="2106">
        <v>0</v>
      </c>
      <c r="AA1018" s="2106">
        <v>0</v>
      </c>
      <c r="AB1018" s="2106">
        <v>0</v>
      </c>
      <c r="AC1018" s="2106">
        <v>0</v>
      </c>
      <c r="AD1018" s="1744">
        <v>0</v>
      </c>
      <c r="AE1018" s="2126">
        <v>0</v>
      </c>
      <c r="AF1018" s="2126">
        <v>0</v>
      </c>
      <c r="AG1018" s="1212">
        <v>1</v>
      </c>
      <c r="AH1018" s="1212">
        <v>0</v>
      </c>
      <c r="AI1018" s="1212">
        <v>0</v>
      </c>
      <c r="AJ1018" s="1212">
        <v>1</v>
      </c>
      <c r="AK1018" s="2126">
        <v>0</v>
      </c>
      <c r="AL1018" s="2126">
        <v>0</v>
      </c>
      <c r="AM1018" s="2126">
        <v>0</v>
      </c>
      <c r="AN1018" s="2126">
        <v>0</v>
      </c>
      <c r="AO1018" s="1743" t="s">
        <v>85</v>
      </c>
      <c r="AP1018" s="1743" t="s">
        <v>96</v>
      </c>
      <c r="AQ1018" s="1764" t="s">
        <v>107</v>
      </c>
      <c r="AR1018" s="1743" t="s">
        <v>87</v>
      </c>
      <c r="AS1018" s="2135"/>
      <c r="AT1018" s="2135"/>
      <c r="AU1018" s="1212">
        <v>0.33333333333333331</v>
      </c>
      <c r="AV1018" s="1212">
        <v>0.33333333333333331</v>
      </c>
      <c r="AW1018" s="1212">
        <v>0.33333333333333331</v>
      </c>
      <c r="AX1018" s="1212"/>
      <c r="AY1018" s="1212"/>
      <c r="AZ1018" s="1212"/>
      <c r="BA1018" s="1212"/>
      <c r="BB1018" s="1212"/>
      <c r="BC1018" s="1212"/>
      <c r="BD1018" s="1212"/>
      <c r="BE1018" s="1212"/>
      <c r="BF1018" s="2126">
        <v>0</v>
      </c>
      <c r="BG1018" s="2126">
        <v>0</v>
      </c>
      <c r="BH1018" s="2126">
        <v>0</v>
      </c>
      <c r="BI1018" s="2126">
        <v>0</v>
      </c>
      <c r="BJ1018" s="2126">
        <v>0</v>
      </c>
      <c r="BK1018" s="2126">
        <v>0</v>
      </c>
      <c r="BL1018" s="2126">
        <v>0</v>
      </c>
      <c r="BM1018" s="2126">
        <v>0</v>
      </c>
      <c r="BN1018" s="2126">
        <v>0</v>
      </c>
      <c r="BO1018" s="2126">
        <v>0</v>
      </c>
      <c r="BP1018" s="2126">
        <v>0</v>
      </c>
      <c r="BQ1018" s="2126">
        <v>0</v>
      </c>
      <c r="BR1018" s="2126">
        <v>0</v>
      </c>
    </row>
    <row r="1019" spans="1:70" s="1765" customFormat="1" ht="33">
      <c r="A1019" s="1272">
        <v>4000</v>
      </c>
      <c r="B1019" s="971" t="s">
        <v>1316</v>
      </c>
      <c r="C1019" s="1272">
        <v>4500</v>
      </c>
      <c r="D1019" s="971" t="s">
        <v>452</v>
      </c>
      <c r="E1019" s="971" t="s">
        <v>1809</v>
      </c>
      <c r="F1019" s="971" t="s">
        <v>701</v>
      </c>
      <c r="G1019" s="971">
        <v>4530</v>
      </c>
      <c r="H1019" s="971" t="s">
        <v>701</v>
      </c>
      <c r="I1019" s="1273" t="s">
        <v>1872</v>
      </c>
      <c r="J1019" s="971" t="s">
        <v>124</v>
      </c>
      <c r="K1019" s="971"/>
      <c r="L1019" s="971" t="e">
        <v>#N/A</v>
      </c>
      <c r="M1019" s="971" t="s">
        <v>145</v>
      </c>
      <c r="N1019" s="971" t="s">
        <v>141</v>
      </c>
      <c r="O1019" s="971" t="s">
        <v>146</v>
      </c>
      <c r="P1019" s="971"/>
      <c r="Q1019" s="971" t="s">
        <v>1876</v>
      </c>
      <c r="R1019" s="1266" t="s">
        <v>1874</v>
      </c>
      <c r="S1019" s="2106">
        <v>0</v>
      </c>
      <c r="T1019" s="1266" t="s">
        <v>136</v>
      </c>
      <c r="U1019" s="1742" t="s">
        <v>6588</v>
      </c>
      <c r="V1019" s="1742" t="s">
        <v>6588</v>
      </c>
      <c r="W1019" s="1742" t="s">
        <v>6588</v>
      </c>
      <c r="X1019" s="1742" t="s">
        <v>6588</v>
      </c>
      <c r="Y1019" s="2106" t="s">
        <v>6588</v>
      </c>
      <c r="Z1019" s="2106">
        <v>0</v>
      </c>
      <c r="AA1019" s="2106">
        <v>0</v>
      </c>
      <c r="AB1019" s="2106">
        <v>0</v>
      </c>
      <c r="AC1019" s="2106">
        <v>0</v>
      </c>
      <c r="AD1019" s="1744">
        <v>0</v>
      </c>
      <c r="AE1019" s="2126">
        <v>0</v>
      </c>
      <c r="AF1019" s="2126">
        <v>0</v>
      </c>
      <c r="AG1019" s="1212">
        <v>1</v>
      </c>
      <c r="AH1019" s="1212">
        <v>0</v>
      </c>
      <c r="AI1019" s="1212">
        <v>0</v>
      </c>
      <c r="AJ1019" s="1212">
        <v>1</v>
      </c>
      <c r="AK1019" s="2126">
        <v>0</v>
      </c>
      <c r="AL1019" s="2126">
        <v>0</v>
      </c>
      <c r="AM1019" s="2126">
        <v>0</v>
      </c>
      <c r="AN1019" s="2126">
        <v>0</v>
      </c>
      <c r="AO1019" s="1743" t="s">
        <v>85</v>
      </c>
      <c r="AP1019" s="1743" t="s">
        <v>96</v>
      </c>
      <c r="AQ1019" s="1764" t="s">
        <v>107</v>
      </c>
      <c r="AR1019" s="1743" t="s">
        <v>87</v>
      </c>
      <c r="AS1019" s="2135"/>
      <c r="AT1019" s="2135"/>
      <c r="AU1019" s="1212">
        <v>0.33333333333333331</v>
      </c>
      <c r="AV1019" s="1212">
        <v>0.33333333333333331</v>
      </c>
      <c r="AW1019" s="1212">
        <v>0.33333333333333331</v>
      </c>
      <c r="AX1019" s="1212"/>
      <c r="AY1019" s="1212"/>
      <c r="AZ1019" s="1212"/>
      <c r="BA1019" s="1212"/>
      <c r="BB1019" s="1212"/>
      <c r="BC1019" s="1212"/>
      <c r="BD1019" s="1212"/>
      <c r="BE1019" s="1212"/>
      <c r="BF1019" s="2126">
        <v>0</v>
      </c>
      <c r="BG1019" s="2126">
        <v>0</v>
      </c>
      <c r="BH1019" s="2126">
        <v>0</v>
      </c>
      <c r="BI1019" s="2126">
        <v>0</v>
      </c>
      <c r="BJ1019" s="2126">
        <v>0</v>
      </c>
      <c r="BK1019" s="2126">
        <v>0</v>
      </c>
      <c r="BL1019" s="2126">
        <v>0</v>
      </c>
      <c r="BM1019" s="2126">
        <v>0</v>
      </c>
      <c r="BN1019" s="2126">
        <v>0</v>
      </c>
      <c r="BO1019" s="2126">
        <v>0</v>
      </c>
      <c r="BP1019" s="2126">
        <v>0</v>
      </c>
      <c r="BQ1019" s="2126">
        <v>0</v>
      </c>
      <c r="BR1019" s="2126">
        <v>0</v>
      </c>
    </row>
    <row r="1020" spans="1:70" s="1765" customFormat="1" ht="49.5">
      <c r="A1020" s="1272">
        <v>4000</v>
      </c>
      <c r="B1020" s="971" t="s">
        <v>1316</v>
      </c>
      <c r="C1020" s="1272">
        <v>4500</v>
      </c>
      <c r="D1020" s="971" t="s">
        <v>452</v>
      </c>
      <c r="E1020" s="971" t="s">
        <v>1809</v>
      </c>
      <c r="F1020" s="971" t="s">
        <v>701</v>
      </c>
      <c r="G1020" s="971">
        <v>4530</v>
      </c>
      <c r="H1020" s="971" t="s">
        <v>701</v>
      </c>
      <c r="I1020" s="1273" t="s">
        <v>1877</v>
      </c>
      <c r="J1020" s="971" t="s">
        <v>124</v>
      </c>
      <c r="K1020" s="971" t="s">
        <v>2857</v>
      </c>
      <c r="L1020" s="971" t="s">
        <v>2858</v>
      </c>
      <c r="M1020" s="971" t="s">
        <v>734</v>
      </c>
      <c r="N1020" s="971" t="s">
        <v>488</v>
      </c>
      <c r="O1020" s="971" t="s">
        <v>128</v>
      </c>
      <c r="P1020" s="971"/>
      <c r="Q1020" s="971" t="s">
        <v>1878</v>
      </c>
      <c r="R1020" s="1266" t="s">
        <v>1879</v>
      </c>
      <c r="S1020" s="2106">
        <v>0</v>
      </c>
      <c r="T1020" s="1266" t="s">
        <v>136</v>
      </c>
      <c r="U1020" s="1742">
        <v>0.56041666666666667</v>
      </c>
      <c r="V1020" s="1742">
        <v>2.8020833333333335</v>
      </c>
      <c r="W1020" s="1742">
        <v>49.395125</v>
      </c>
      <c r="X1020" s="1742">
        <v>77.264645833333333</v>
      </c>
      <c r="Y1020" s="2106">
        <v>129.46185416666665</v>
      </c>
      <c r="Z1020" s="2106">
        <v>0</v>
      </c>
      <c r="AA1020" s="2106">
        <v>0</v>
      </c>
      <c r="AB1020" s="2106">
        <v>0</v>
      </c>
      <c r="AC1020" s="2106">
        <v>0</v>
      </c>
      <c r="AD1020" s="1744">
        <v>0</v>
      </c>
      <c r="AE1020" s="2126">
        <v>1</v>
      </c>
      <c r="AF1020" s="2126">
        <v>0</v>
      </c>
      <c r="AG1020" s="1212">
        <v>1</v>
      </c>
      <c r="AH1020" s="1212">
        <v>0</v>
      </c>
      <c r="AI1020" s="1212">
        <v>0</v>
      </c>
      <c r="AJ1020" s="1212">
        <v>1</v>
      </c>
      <c r="AK1020" s="2126">
        <v>0</v>
      </c>
      <c r="AL1020" s="2126">
        <v>0</v>
      </c>
      <c r="AM1020" s="2126">
        <v>0</v>
      </c>
      <c r="AN1020" s="2126">
        <v>0</v>
      </c>
      <c r="AO1020" s="1743" t="s">
        <v>85</v>
      </c>
      <c r="AP1020" s="1743" t="s">
        <v>96</v>
      </c>
      <c r="AQ1020" s="1764" t="s">
        <v>107</v>
      </c>
      <c r="AR1020" s="1743" t="s">
        <v>87</v>
      </c>
      <c r="AS1020" s="2135"/>
      <c r="AT1020" s="2135"/>
      <c r="AU1020" s="1212">
        <v>0.33333333333333331</v>
      </c>
      <c r="AV1020" s="1212">
        <v>0.33333333333333331</v>
      </c>
      <c r="AW1020" s="1212">
        <v>0.33333333333333331</v>
      </c>
      <c r="AX1020" s="1212"/>
      <c r="AY1020" s="1212"/>
      <c r="AZ1020" s="1212"/>
      <c r="BA1020" s="1212"/>
      <c r="BB1020" s="1212"/>
      <c r="BC1020" s="1212"/>
      <c r="BD1020" s="1212"/>
      <c r="BE1020" s="1212"/>
      <c r="BF1020" s="2126">
        <v>0</v>
      </c>
      <c r="BG1020" s="2126">
        <v>0</v>
      </c>
      <c r="BH1020" s="2126">
        <v>0</v>
      </c>
      <c r="BI1020" s="2126">
        <v>0</v>
      </c>
      <c r="BJ1020" s="2126">
        <v>0</v>
      </c>
      <c r="BK1020" s="2126">
        <v>0</v>
      </c>
      <c r="BL1020" s="2126">
        <v>0</v>
      </c>
      <c r="BM1020" s="2126">
        <v>0</v>
      </c>
      <c r="BN1020" s="2126">
        <v>0</v>
      </c>
      <c r="BO1020" s="2126">
        <v>0</v>
      </c>
      <c r="BP1020" s="2126">
        <v>0</v>
      </c>
      <c r="BQ1020" s="2126">
        <v>0</v>
      </c>
      <c r="BR1020" s="2126">
        <v>0</v>
      </c>
    </row>
    <row r="1021" spans="1:70" s="1765" customFormat="1" ht="33">
      <c r="A1021" s="1272">
        <v>4000</v>
      </c>
      <c r="B1021" s="971" t="s">
        <v>1316</v>
      </c>
      <c r="C1021" s="1272">
        <v>4500</v>
      </c>
      <c r="D1021" s="971" t="s">
        <v>452</v>
      </c>
      <c r="E1021" s="971" t="s">
        <v>1809</v>
      </c>
      <c r="F1021" s="971" t="s">
        <v>701</v>
      </c>
      <c r="G1021" s="971">
        <v>4530</v>
      </c>
      <c r="H1021" s="971" t="s">
        <v>701</v>
      </c>
      <c r="I1021" s="1273" t="s">
        <v>1877</v>
      </c>
      <c r="J1021" s="971" t="s">
        <v>124</v>
      </c>
      <c r="K1021" s="971" t="s">
        <v>140</v>
      </c>
      <c r="L1021" s="971" t="s">
        <v>2909</v>
      </c>
      <c r="M1021" s="971" t="s">
        <v>140</v>
      </c>
      <c r="N1021" s="971" t="s">
        <v>141</v>
      </c>
      <c r="O1021" s="971" t="s">
        <v>142</v>
      </c>
      <c r="P1021" s="971"/>
      <c r="Q1021" s="971" t="s">
        <v>1880</v>
      </c>
      <c r="R1021" s="1266" t="s">
        <v>1879</v>
      </c>
      <c r="S1021" s="2106">
        <v>0</v>
      </c>
      <c r="T1021" s="1266" t="s">
        <v>136</v>
      </c>
      <c r="U1021" s="1742">
        <v>0</v>
      </c>
      <c r="V1021" s="1742">
        <v>0</v>
      </c>
      <c r="W1021" s="1742">
        <v>0</v>
      </c>
      <c r="X1021" s="1742">
        <v>0</v>
      </c>
      <c r="Y1021" s="2106">
        <v>0</v>
      </c>
      <c r="Z1021" s="2106">
        <v>0</v>
      </c>
      <c r="AA1021" s="2106">
        <v>0</v>
      </c>
      <c r="AB1021" s="2106">
        <v>0</v>
      </c>
      <c r="AC1021" s="2106">
        <v>0</v>
      </c>
      <c r="AD1021" s="1744">
        <v>0</v>
      </c>
      <c r="AE1021" s="2126">
        <v>0</v>
      </c>
      <c r="AF1021" s="2126">
        <v>0</v>
      </c>
      <c r="AG1021" s="1212">
        <v>1</v>
      </c>
      <c r="AH1021" s="1212">
        <v>0</v>
      </c>
      <c r="AI1021" s="1212">
        <v>0</v>
      </c>
      <c r="AJ1021" s="1212">
        <v>1</v>
      </c>
      <c r="AK1021" s="2126">
        <v>0</v>
      </c>
      <c r="AL1021" s="2126">
        <v>0</v>
      </c>
      <c r="AM1021" s="2126">
        <v>0</v>
      </c>
      <c r="AN1021" s="2126">
        <v>0</v>
      </c>
      <c r="AO1021" s="1743" t="s">
        <v>85</v>
      </c>
      <c r="AP1021" s="1743" t="s">
        <v>96</v>
      </c>
      <c r="AQ1021" s="1764" t="s">
        <v>107</v>
      </c>
      <c r="AR1021" s="1743" t="s">
        <v>87</v>
      </c>
      <c r="AS1021" s="2135"/>
      <c r="AT1021" s="2135"/>
      <c r="AU1021" s="1212">
        <v>0.33333333333333331</v>
      </c>
      <c r="AV1021" s="1212">
        <v>0.33333333333333331</v>
      </c>
      <c r="AW1021" s="1212">
        <v>0.33333333333333331</v>
      </c>
      <c r="AX1021" s="1212"/>
      <c r="AY1021" s="1212"/>
      <c r="AZ1021" s="1212"/>
      <c r="BA1021" s="1212"/>
      <c r="BB1021" s="1212"/>
      <c r="BC1021" s="1212"/>
      <c r="BD1021" s="1212"/>
      <c r="BE1021" s="1212"/>
      <c r="BF1021" s="2126">
        <v>0</v>
      </c>
      <c r="BG1021" s="2126">
        <v>0</v>
      </c>
      <c r="BH1021" s="2126">
        <v>0</v>
      </c>
      <c r="BI1021" s="2126">
        <v>0</v>
      </c>
      <c r="BJ1021" s="2126">
        <v>0</v>
      </c>
      <c r="BK1021" s="2126">
        <v>0</v>
      </c>
      <c r="BL1021" s="2126">
        <v>0</v>
      </c>
      <c r="BM1021" s="2126">
        <v>0</v>
      </c>
      <c r="BN1021" s="2126">
        <v>0</v>
      </c>
      <c r="BO1021" s="2126">
        <v>0</v>
      </c>
      <c r="BP1021" s="2126">
        <v>0</v>
      </c>
      <c r="BQ1021" s="2126">
        <v>0</v>
      </c>
      <c r="BR1021" s="2126">
        <v>0</v>
      </c>
    </row>
    <row r="1022" spans="1:70" s="1765" customFormat="1" ht="33">
      <c r="A1022" s="1272">
        <v>4000</v>
      </c>
      <c r="B1022" s="971" t="s">
        <v>1316</v>
      </c>
      <c r="C1022" s="1272">
        <v>4500</v>
      </c>
      <c r="D1022" s="971" t="s">
        <v>452</v>
      </c>
      <c r="E1022" s="971" t="s">
        <v>1809</v>
      </c>
      <c r="F1022" s="971" t="s">
        <v>701</v>
      </c>
      <c r="G1022" s="971">
        <v>4530</v>
      </c>
      <c r="H1022" s="971" t="s">
        <v>701</v>
      </c>
      <c r="I1022" s="1273" t="s">
        <v>1877</v>
      </c>
      <c r="J1022" s="971" t="s">
        <v>124</v>
      </c>
      <c r="K1022" s="971"/>
      <c r="L1022" s="971" t="e">
        <v>#N/A</v>
      </c>
      <c r="M1022" s="971" t="s">
        <v>145</v>
      </c>
      <c r="N1022" s="971" t="s">
        <v>141</v>
      </c>
      <c r="O1022" s="971" t="s">
        <v>146</v>
      </c>
      <c r="P1022" s="971"/>
      <c r="Q1022" s="971" t="s">
        <v>1881</v>
      </c>
      <c r="R1022" s="1266" t="s">
        <v>1879</v>
      </c>
      <c r="S1022" s="2106">
        <v>0</v>
      </c>
      <c r="T1022" s="1266" t="s">
        <v>136</v>
      </c>
      <c r="U1022" s="1742" t="s">
        <v>6588</v>
      </c>
      <c r="V1022" s="1742" t="s">
        <v>6588</v>
      </c>
      <c r="W1022" s="1742" t="s">
        <v>6588</v>
      </c>
      <c r="X1022" s="1742" t="s">
        <v>6588</v>
      </c>
      <c r="Y1022" s="2106" t="s">
        <v>6588</v>
      </c>
      <c r="Z1022" s="2106">
        <v>0</v>
      </c>
      <c r="AA1022" s="2106">
        <v>0</v>
      </c>
      <c r="AB1022" s="2106">
        <v>0</v>
      </c>
      <c r="AC1022" s="2106">
        <v>0</v>
      </c>
      <c r="AD1022" s="1744">
        <v>0</v>
      </c>
      <c r="AE1022" s="2126">
        <v>0</v>
      </c>
      <c r="AF1022" s="2126">
        <v>0</v>
      </c>
      <c r="AG1022" s="1212">
        <v>1</v>
      </c>
      <c r="AH1022" s="1212">
        <v>0</v>
      </c>
      <c r="AI1022" s="1212">
        <v>0</v>
      </c>
      <c r="AJ1022" s="1212">
        <v>1</v>
      </c>
      <c r="AK1022" s="2126">
        <v>0</v>
      </c>
      <c r="AL1022" s="2126">
        <v>0</v>
      </c>
      <c r="AM1022" s="2126">
        <v>0</v>
      </c>
      <c r="AN1022" s="2126">
        <v>0</v>
      </c>
      <c r="AO1022" s="1743" t="s">
        <v>85</v>
      </c>
      <c r="AP1022" s="1743" t="s">
        <v>96</v>
      </c>
      <c r="AQ1022" s="1764" t="s">
        <v>107</v>
      </c>
      <c r="AR1022" s="1743" t="s">
        <v>87</v>
      </c>
      <c r="AS1022" s="2135"/>
      <c r="AT1022" s="2135"/>
      <c r="AU1022" s="1212">
        <v>0.33333333333333331</v>
      </c>
      <c r="AV1022" s="1212">
        <v>0.33333333333333331</v>
      </c>
      <c r="AW1022" s="1212">
        <v>0.33333333333333331</v>
      </c>
      <c r="AX1022" s="1212"/>
      <c r="AY1022" s="1212"/>
      <c r="AZ1022" s="1212"/>
      <c r="BA1022" s="1212"/>
      <c r="BB1022" s="1212"/>
      <c r="BC1022" s="1212"/>
      <c r="BD1022" s="1212"/>
      <c r="BE1022" s="1212"/>
      <c r="BF1022" s="2126">
        <v>0</v>
      </c>
      <c r="BG1022" s="2126">
        <v>0</v>
      </c>
      <c r="BH1022" s="2126">
        <v>0</v>
      </c>
      <c r="BI1022" s="2126">
        <v>0</v>
      </c>
      <c r="BJ1022" s="2126">
        <v>0</v>
      </c>
      <c r="BK1022" s="2126">
        <v>0</v>
      </c>
      <c r="BL1022" s="2126">
        <v>0</v>
      </c>
      <c r="BM1022" s="2126">
        <v>0</v>
      </c>
      <c r="BN1022" s="2126">
        <v>0</v>
      </c>
      <c r="BO1022" s="2126">
        <v>0</v>
      </c>
      <c r="BP1022" s="2126">
        <v>0</v>
      </c>
      <c r="BQ1022" s="2126">
        <v>0</v>
      </c>
      <c r="BR1022" s="2126">
        <v>0</v>
      </c>
    </row>
    <row r="1023" spans="1:70" s="1765" customFormat="1" ht="66">
      <c r="A1023" s="1272">
        <v>4000</v>
      </c>
      <c r="B1023" s="971" t="s">
        <v>1316</v>
      </c>
      <c r="C1023" s="1272">
        <v>4500</v>
      </c>
      <c r="D1023" s="971" t="s">
        <v>452</v>
      </c>
      <c r="E1023" s="971" t="s">
        <v>1809</v>
      </c>
      <c r="F1023" s="971" t="s">
        <v>701</v>
      </c>
      <c r="G1023" s="971">
        <v>4530</v>
      </c>
      <c r="H1023" s="971" t="s">
        <v>701</v>
      </c>
      <c r="I1023" s="1273"/>
      <c r="J1023" s="971" t="s">
        <v>124</v>
      </c>
      <c r="K1023" s="971" t="s">
        <v>516</v>
      </c>
      <c r="L1023" s="971" t="s">
        <v>2860</v>
      </c>
      <c r="M1023" s="971" t="s">
        <v>517</v>
      </c>
      <c r="N1023" s="971" t="s">
        <v>127</v>
      </c>
      <c r="O1023" s="971" t="s">
        <v>518</v>
      </c>
      <c r="P1023" s="971"/>
      <c r="Q1023" s="971" t="s">
        <v>781</v>
      </c>
      <c r="R1023" s="1266" t="s">
        <v>1852</v>
      </c>
      <c r="S1023" s="2106">
        <v>20</v>
      </c>
      <c r="T1023" s="1266" t="s">
        <v>136</v>
      </c>
      <c r="U1023" s="1742">
        <v>0.15691666666666668</v>
      </c>
      <c r="V1023" s="1742">
        <v>1.9614583333333333</v>
      </c>
      <c r="W1023" s="1742">
        <v>13.830634999999999</v>
      </c>
      <c r="X1023" s="1742">
        <v>21.634100833333331</v>
      </c>
      <c r="Y1023" s="2106">
        <v>37.426194166666662</v>
      </c>
      <c r="Z1023" s="2106">
        <v>3.1383333333333336</v>
      </c>
      <c r="AA1023" s="2106">
        <v>39.229166666666664</v>
      </c>
      <c r="AB1023" s="2106">
        <v>276.61269999999996</v>
      </c>
      <c r="AC1023" s="2106">
        <v>432.68201666666664</v>
      </c>
      <c r="AD1023" s="1744">
        <v>748.52388333333329</v>
      </c>
      <c r="AE1023" s="2126">
        <v>1</v>
      </c>
      <c r="AF1023" s="2126">
        <v>20</v>
      </c>
      <c r="AG1023" s="1212">
        <v>1</v>
      </c>
      <c r="AH1023" s="1212">
        <v>0</v>
      </c>
      <c r="AI1023" s="1212">
        <v>0</v>
      </c>
      <c r="AJ1023" s="1212">
        <v>1</v>
      </c>
      <c r="AK1023" s="2126">
        <v>748.52388333333329</v>
      </c>
      <c r="AL1023" s="2126">
        <v>0</v>
      </c>
      <c r="AM1023" s="2126">
        <v>0</v>
      </c>
      <c r="AN1023" s="2126">
        <v>748.52388333333329</v>
      </c>
      <c r="AO1023" s="1743" t="s">
        <v>85</v>
      </c>
      <c r="AP1023" s="1743" t="s">
        <v>90</v>
      </c>
      <c r="AQ1023" s="1764" t="s">
        <v>108</v>
      </c>
      <c r="AR1023" s="1743" t="s">
        <v>87</v>
      </c>
      <c r="AS1023" s="2135"/>
      <c r="AT1023" s="2135"/>
      <c r="AU1023" s="1212">
        <v>0.33333333333333331</v>
      </c>
      <c r="AV1023" s="1212">
        <v>0.33333333333333331</v>
      </c>
      <c r="AW1023" s="1212">
        <v>0.33333333333333331</v>
      </c>
      <c r="AX1023" s="1212"/>
      <c r="AY1023" s="1212"/>
      <c r="AZ1023" s="1212"/>
      <c r="BA1023" s="1212"/>
      <c r="BB1023" s="1212"/>
      <c r="BC1023" s="1212"/>
      <c r="BD1023" s="1212"/>
      <c r="BE1023" s="1212"/>
      <c r="BF1023" s="2126">
        <v>0</v>
      </c>
      <c r="BG1023" s="2126">
        <v>0</v>
      </c>
      <c r="BH1023" s="2126">
        <v>249.50796111111109</v>
      </c>
      <c r="BI1023" s="2126">
        <v>249.50796111111109</v>
      </c>
      <c r="BJ1023" s="2126">
        <v>249.50796111111109</v>
      </c>
      <c r="BK1023" s="2126">
        <v>0</v>
      </c>
      <c r="BL1023" s="2126">
        <v>0</v>
      </c>
      <c r="BM1023" s="2126">
        <v>0</v>
      </c>
      <c r="BN1023" s="2126">
        <v>0</v>
      </c>
      <c r="BO1023" s="2126">
        <v>0</v>
      </c>
      <c r="BP1023" s="2126">
        <v>0</v>
      </c>
      <c r="BQ1023" s="2126">
        <v>0</v>
      </c>
      <c r="BR1023" s="2126">
        <v>0</v>
      </c>
    </row>
    <row r="1024" spans="1:70" s="1765" customFormat="1" ht="49.5">
      <c r="A1024" s="1272">
        <v>4000</v>
      </c>
      <c r="B1024" s="971" t="s">
        <v>1316</v>
      </c>
      <c r="C1024" s="1272">
        <v>4500</v>
      </c>
      <c r="D1024" s="971" t="s">
        <v>452</v>
      </c>
      <c r="E1024" s="971" t="s">
        <v>1809</v>
      </c>
      <c r="F1024" s="971" t="s">
        <v>701</v>
      </c>
      <c r="G1024" s="971">
        <v>4530</v>
      </c>
      <c r="H1024" s="971" t="s">
        <v>701</v>
      </c>
      <c r="I1024" s="1273"/>
      <c r="J1024" s="971" t="s">
        <v>124</v>
      </c>
      <c r="K1024" s="971" t="s">
        <v>523</v>
      </c>
      <c r="L1024" s="971" t="s">
        <v>6607</v>
      </c>
      <c r="M1024" s="971" t="s">
        <v>523</v>
      </c>
      <c r="N1024" s="971" t="s">
        <v>141</v>
      </c>
      <c r="O1024" s="971" t="s">
        <v>524</v>
      </c>
      <c r="P1024" s="971"/>
      <c r="Q1024" s="971" t="s">
        <v>783</v>
      </c>
      <c r="R1024" s="1266" t="s">
        <v>1852</v>
      </c>
      <c r="S1024" s="2106">
        <v>20</v>
      </c>
      <c r="T1024" s="1266" t="s">
        <v>136</v>
      </c>
      <c r="U1024" s="1742">
        <v>0.14520631503408685</v>
      </c>
      <c r="V1024" s="1742">
        <v>1.8150789379260854</v>
      </c>
      <c r="W1024" s="1742">
        <v>12.798484607104415</v>
      </c>
      <c r="X1024" s="1742">
        <v>20.019594653749554</v>
      </c>
      <c r="Y1024" s="2106">
        <v>34.633158198780052</v>
      </c>
      <c r="Z1024" s="2106">
        <v>2.904126300681737</v>
      </c>
      <c r="AA1024" s="2106">
        <v>36.301578758521707</v>
      </c>
      <c r="AB1024" s="2106">
        <v>255.96969214208829</v>
      </c>
      <c r="AC1024" s="2106">
        <v>400.39189307499106</v>
      </c>
      <c r="AD1024" s="1744">
        <v>692.66316397560104</v>
      </c>
      <c r="AE1024" s="2126">
        <v>0.75</v>
      </c>
      <c r="AF1024" s="2126">
        <v>15</v>
      </c>
      <c r="AG1024" s="1212">
        <v>1</v>
      </c>
      <c r="AH1024" s="1212">
        <v>0</v>
      </c>
      <c r="AI1024" s="1212">
        <v>0</v>
      </c>
      <c r="AJ1024" s="1212">
        <v>1</v>
      </c>
      <c r="AK1024" s="2126">
        <v>692.66316397560104</v>
      </c>
      <c r="AL1024" s="2126">
        <v>0</v>
      </c>
      <c r="AM1024" s="2126">
        <v>0</v>
      </c>
      <c r="AN1024" s="2126">
        <v>692.66316397560104</v>
      </c>
      <c r="AO1024" s="1743" t="s">
        <v>85</v>
      </c>
      <c r="AP1024" s="1743" t="s">
        <v>90</v>
      </c>
      <c r="AQ1024" s="1764" t="s">
        <v>108</v>
      </c>
      <c r="AR1024" s="1743" t="s">
        <v>87</v>
      </c>
      <c r="AS1024" s="2135"/>
      <c r="AT1024" s="2135"/>
      <c r="AU1024" s="1212">
        <v>0.33333333333333331</v>
      </c>
      <c r="AV1024" s="1212">
        <v>0.33333333333333331</v>
      </c>
      <c r="AW1024" s="1212">
        <v>0.33333333333333331</v>
      </c>
      <c r="AX1024" s="1212"/>
      <c r="AY1024" s="1212"/>
      <c r="AZ1024" s="1212"/>
      <c r="BA1024" s="1212"/>
      <c r="BB1024" s="1212"/>
      <c r="BC1024" s="1212"/>
      <c r="BD1024" s="1212"/>
      <c r="BE1024" s="1212"/>
      <c r="BF1024" s="2126">
        <v>0</v>
      </c>
      <c r="BG1024" s="2126">
        <v>0</v>
      </c>
      <c r="BH1024" s="2126">
        <v>230.88772132520035</v>
      </c>
      <c r="BI1024" s="2126">
        <v>230.88772132520035</v>
      </c>
      <c r="BJ1024" s="2126">
        <v>230.88772132520035</v>
      </c>
      <c r="BK1024" s="2126">
        <v>0</v>
      </c>
      <c r="BL1024" s="2126">
        <v>0</v>
      </c>
      <c r="BM1024" s="2126">
        <v>0</v>
      </c>
      <c r="BN1024" s="2126">
        <v>0</v>
      </c>
      <c r="BO1024" s="2126">
        <v>0</v>
      </c>
      <c r="BP1024" s="2126">
        <v>0</v>
      </c>
      <c r="BQ1024" s="2126">
        <v>0</v>
      </c>
      <c r="BR1024" s="2126">
        <v>0</v>
      </c>
    </row>
    <row r="1025" spans="1:70" s="1765" customFormat="1" ht="49.5">
      <c r="A1025" s="1272">
        <v>4000</v>
      </c>
      <c r="B1025" s="971" t="s">
        <v>1316</v>
      </c>
      <c r="C1025" s="1272">
        <v>4500</v>
      </c>
      <c r="D1025" s="971" t="s">
        <v>452</v>
      </c>
      <c r="E1025" s="971">
        <v>4540</v>
      </c>
      <c r="F1025" s="971" t="s">
        <v>1882</v>
      </c>
      <c r="G1025" s="971">
        <v>4540</v>
      </c>
      <c r="H1025" s="971" t="s">
        <v>1883</v>
      </c>
      <c r="I1025" s="1273"/>
      <c r="J1025" s="971" t="s">
        <v>121</v>
      </c>
      <c r="K1025" s="971" t="s">
        <v>80</v>
      </c>
      <c r="L1025" s="971" t="s">
        <v>2797</v>
      </c>
      <c r="M1025" s="971" t="s">
        <v>82</v>
      </c>
      <c r="N1025" s="971" t="s">
        <v>83</v>
      </c>
      <c r="O1025" s="971" t="s">
        <v>81</v>
      </c>
      <c r="P1025" s="971" t="s">
        <v>81</v>
      </c>
      <c r="Q1025" s="971" t="s">
        <v>1884</v>
      </c>
      <c r="R1025" s="1266"/>
      <c r="S1025" s="2106">
        <v>6245</v>
      </c>
      <c r="T1025" s="1266" t="s">
        <v>136</v>
      </c>
      <c r="U1025" s="1742">
        <v>0.24861035436708168</v>
      </c>
      <c r="V1025" s="1742">
        <v>2.0270868355782152</v>
      </c>
      <c r="W1025" s="1742">
        <v>16.615574059561133</v>
      </c>
      <c r="X1025" s="1742">
        <v>22.637173090872032</v>
      </c>
      <c r="Y1025" s="2106">
        <v>42.16379572566828</v>
      </c>
      <c r="Z1025" s="2106">
        <v>1552.5716630224251</v>
      </c>
      <c r="AA1025" s="2106">
        <v>12659.157288185954</v>
      </c>
      <c r="AB1025" s="2106">
        <v>103764.26000195928</v>
      </c>
      <c r="AC1025" s="2106">
        <v>141369.14595249583</v>
      </c>
      <c r="AD1025" s="1744">
        <v>257792.56324264107</v>
      </c>
      <c r="AE1025" s="2126">
        <v>0</v>
      </c>
      <c r="AF1025" s="2126">
        <v>0</v>
      </c>
      <c r="AG1025" s="1212">
        <v>1</v>
      </c>
      <c r="AH1025" s="1212">
        <v>0</v>
      </c>
      <c r="AI1025" s="1212">
        <v>0</v>
      </c>
      <c r="AJ1025" s="1212">
        <v>1</v>
      </c>
      <c r="AK1025" s="2126">
        <v>257792.56324264107</v>
      </c>
      <c r="AL1025" s="2126">
        <v>0</v>
      </c>
      <c r="AM1025" s="2126">
        <v>0</v>
      </c>
      <c r="AN1025" s="2126">
        <v>257792.56324264107</v>
      </c>
      <c r="AO1025" s="1743" t="s">
        <v>85</v>
      </c>
      <c r="AP1025" s="1743" t="s">
        <v>86</v>
      </c>
      <c r="AQ1025" s="1764">
        <v>2014</v>
      </c>
      <c r="AR1025" s="1743" t="s">
        <v>87</v>
      </c>
      <c r="AS1025" s="2135"/>
      <c r="AT1025" s="2135"/>
      <c r="AU1025" s="1212"/>
      <c r="AV1025" s="1212">
        <v>1</v>
      </c>
      <c r="AW1025" s="1212"/>
      <c r="AX1025" s="1212"/>
      <c r="AY1025" s="1212"/>
      <c r="AZ1025" s="1212"/>
      <c r="BA1025" s="1212"/>
      <c r="BB1025" s="1212"/>
      <c r="BC1025" s="1212"/>
      <c r="BD1025" s="1212"/>
      <c r="BE1025" s="1212"/>
      <c r="BF1025" s="2126">
        <v>0</v>
      </c>
      <c r="BG1025" s="2126">
        <v>0</v>
      </c>
      <c r="BH1025" s="2126">
        <v>0</v>
      </c>
      <c r="BI1025" s="2126">
        <v>257792.56324264107</v>
      </c>
      <c r="BJ1025" s="2126">
        <v>0</v>
      </c>
      <c r="BK1025" s="2126">
        <v>0</v>
      </c>
      <c r="BL1025" s="2126">
        <v>0</v>
      </c>
      <c r="BM1025" s="2126">
        <v>0</v>
      </c>
      <c r="BN1025" s="2126">
        <v>0</v>
      </c>
      <c r="BO1025" s="2126">
        <v>0</v>
      </c>
      <c r="BP1025" s="2126">
        <v>0</v>
      </c>
      <c r="BQ1025" s="2126">
        <v>0</v>
      </c>
      <c r="BR1025" s="2126">
        <v>0</v>
      </c>
    </row>
    <row r="1026" spans="1:70" s="1765" customFormat="1" ht="66">
      <c r="A1026" s="1272">
        <v>4000</v>
      </c>
      <c r="B1026" s="971" t="s">
        <v>1316</v>
      </c>
      <c r="C1026" s="1272">
        <v>4500</v>
      </c>
      <c r="D1026" s="971" t="s">
        <v>452</v>
      </c>
      <c r="E1026" s="971" t="s">
        <v>1885</v>
      </c>
      <c r="F1026" s="971" t="s">
        <v>1882</v>
      </c>
      <c r="G1026" s="971">
        <v>4540</v>
      </c>
      <c r="H1026" s="971" t="s">
        <v>1883</v>
      </c>
      <c r="I1026" s="1273" t="s">
        <v>1886</v>
      </c>
      <c r="J1026" s="971" t="s">
        <v>124</v>
      </c>
      <c r="K1026" s="971" t="s">
        <v>1747</v>
      </c>
      <c r="L1026" s="971" t="s">
        <v>6606</v>
      </c>
      <c r="M1026" s="971" t="s">
        <v>606</v>
      </c>
      <c r="N1026" s="971" t="s">
        <v>488</v>
      </c>
      <c r="O1026" s="971" t="s">
        <v>518</v>
      </c>
      <c r="P1026" s="971"/>
      <c r="Q1026" s="971" t="s">
        <v>1887</v>
      </c>
      <c r="R1026" s="1266" t="s">
        <v>1888</v>
      </c>
      <c r="S1026" s="2106">
        <v>1500</v>
      </c>
      <c r="T1026" s="1266" t="s">
        <v>136</v>
      </c>
      <c r="U1026" s="1742">
        <v>0.56041666666666667</v>
      </c>
      <c r="V1026" s="1742">
        <v>1.9614583333333333</v>
      </c>
      <c r="W1026" s="1742">
        <v>49.395125</v>
      </c>
      <c r="X1026" s="1742">
        <v>77.264645833333333</v>
      </c>
      <c r="Y1026" s="2106">
        <v>128.62122916666667</v>
      </c>
      <c r="Z1026" s="2106">
        <v>840.625</v>
      </c>
      <c r="AA1026" s="2106">
        <v>2942.1875</v>
      </c>
      <c r="AB1026" s="2106">
        <v>74092.6875</v>
      </c>
      <c r="AC1026" s="2106">
        <v>115896.96875</v>
      </c>
      <c r="AD1026" s="1744">
        <v>192931.84375</v>
      </c>
      <c r="AE1026" s="2126">
        <v>1</v>
      </c>
      <c r="AF1026" s="2126">
        <v>1500</v>
      </c>
      <c r="AG1026" s="1212">
        <v>1</v>
      </c>
      <c r="AH1026" s="1212">
        <v>0</v>
      </c>
      <c r="AI1026" s="1212">
        <v>0</v>
      </c>
      <c r="AJ1026" s="1212">
        <v>1</v>
      </c>
      <c r="AK1026" s="2126">
        <v>192931.84375</v>
      </c>
      <c r="AL1026" s="2126">
        <v>0</v>
      </c>
      <c r="AM1026" s="2126">
        <v>0</v>
      </c>
      <c r="AN1026" s="2126">
        <v>192931.84375</v>
      </c>
      <c r="AO1026" s="1743" t="s">
        <v>85</v>
      </c>
      <c r="AP1026" s="1743" t="s">
        <v>90</v>
      </c>
      <c r="AQ1026" s="1764">
        <v>2019</v>
      </c>
      <c r="AR1026" s="1743" t="s">
        <v>87</v>
      </c>
      <c r="AS1026" s="2135"/>
      <c r="AT1026" s="2135"/>
      <c r="AU1026" s="1212">
        <v>0.33333333333333331</v>
      </c>
      <c r="AV1026" s="1212">
        <v>0.33333333333333331</v>
      </c>
      <c r="AW1026" s="1212">
        <v>0.33333333333333331</v>
      </c>
      <c r="AX1026" s="1212"/>
      <c r="AY1026" s="1212"/>
      <c r="AZ1026" s="1212"/>
      <c r="BA1026" s="1212"/>
      <c r="BB1026" s="1212"/>
      <c r="BC1026" s="1212"/>
      <c r="BD1026" s="1212"/>
      <c r="BE1026" s="1212"/>
      <c r="BF1026" s="2126">
        <v>0</v>
      </c>
      <c r="BG1026" s="2126">
        <v>0</v>
      </c>
      <c r="BH1026" s="2126">
        <v>64310.614583333328</v>
      </c>
      <c r="BI1026" s="2126">
        <v>64310.614583333328</v>
      </c>
      <c r="BJ1026" s="2126">
        <v>64310.614583333328</v>
      </c>
      <c r="BK1026" s="2126">
        <v>0</v>
      </c>
      <c r="BL1026" s="2126">
        <v>0</v>
      </c>
      <c r="BM1026" s="2126">
        <v>0</v>
      </c>
      <c r="BN1026" s="2126">
        <v>0</v>
      </c>
      <c r="BO1026" s="2126">
        <v>0</v>
      </c>
      <c r="BP1026" s="2126">
        <v>0</v>
      </c>
      <c r="BQ1026" s="2126">
        <v>0</v>
      </c>
      <c r="BR1026" s="2126">
        <v>0</v>
      </c>
    </row>
    <row r="1027" spans="1:70" s="1765" customFormat="1" ht="66">
      <c r="A1027" s="1272">
        <v>4000</v>
      </c>
      <c r="B1027" s="971" t="s">
        <v>1316</v>
      </c>
      <c r="C1027" s="1272">
        <v>4500</v>
      </c>
      <c r="D1027" s="971" t="s">
        <v>452</v>
      </c>
      <c r="E1027" s="971" t="s">
        <v>1885</v>
      </c>
      <c r="F1027" s="971" t="s">
        <v>1882</v>
      </c>
      <c r="G1027" s="971">
        <v>4540</v>
      </c>
      <c r="H1027" s="971" t="s">
        <v>1883</v>
      </c>
      <c r="I1027" s="1273" t="s">
        <v>1886</v>
      </c>
      <c r="J1027" s="971" t="s">
        <v>124</v>
      </c>
      <c r="K1027" s="971" t="s">
        <v>1747</v>
      </c>
      <c r="L1027" s="971" t="s">
        <v>6606</v>
      </c>
      <c r="M1027" s="971" t="s">
        <v>606</v>
      </c>
      <c r="N1027" s="971" t="s">
        <v>488</v>
      </c>
      <c r="O1027" s="971" t="s">
        <v>518</v>
      </c>
      <c r="P1027" s="971"/>
      <c r="Q1027" s="971" t="s">
        <v>1889</v>
      </c>
      <c r="R1027" s="1266" t="s">
        <v>1890</v>
      </c>
      <c r="S1027" s="2106">
        <v>878</v>
      </c>
      <c r="T1027" s="1266" t="s">
        <v>136</v>
      </c>
      <c r="U1027" s="1742">
        <v>0.56041666666666667</v>
      </c>
      <c r="V1027" s="1742">
        <v>1.9614583333333333</v>
      </c>
      <c r="W1027" s="1742">
        <v>49.395125</v>
      </c>
      <c r="X1027" s="1742">
        <v>77.264645833333333</v>
      </c>
      <c r="Y1027" s="2106">
        <v>128.62122916666667</v>
      </c>
      <c r="Z1027" s="2106">
        <v>492.04583333333335</v>
      </c>
      <c r="AA1027" s="2106">
        <v>1722.1604166666666</v>
      </c>
      <c r="AB1027" s="2106">
        <v>43368.919750000001</v>
      </c>
      <c r="AC1027" s="2106">
        <v>67838.35904166667</v>
      </c>
      <c r="AD1027" s="1744">
        <v>112929.43920833334</v>
      </c>
      <c r="AE1027" s="2126">
        <v>1</v>
      </c>
      <c r="AF1027" s="2126">
        <v>878</v>
      </c>
      <c r="AG1027" s="1212">
        <v>1</v>
      </c>
      <c r="AH1027" s="1212">
        <v>0</v>
      </c>
      <c r="AI1027" s="1212">
        <v>0</v>
      </c>
      <c r="AJ1027" s="1212">
        <v>1</v>
      </c>
      <c r="AK1027" s="2126">
        <v>112929.43920833334</v>
      </c>
      <c r="AL1027" s="2126">
        <v>0</v>
      </c>
      <c r="AM1027" s="2126">
        <v>0</v>
      </c>
      <c r="AN1027" s="2126">
        <v>112929.43920833334</v>
      </c>
      <c r="AO1027" s="1743" t="s">
        <v>85</v>
      </c>
      <c r="AP1027" s="1743" t="s">
        <v>90</v>
      </c>
      <c r="AQ1027" s="1764">
        <v>2022</v>
      </c>
      <c r="AR1027" s="1743" t="s">
        <v>87</v>
      </c>
      <c r="AS1027" s="2135"/>
      <c r="AT1027" s="2135"/>
      <c r="AU1027" s="1212">
        <v>0.33333333333333331</v>
      </c>
      <c r="AV1027" s="1212">
        <v>0.33333333333333331</v>
      </c>
      <c r="AW1027" s="1212">
        <v>0.33333333333333331</v>
      </c>
      <c r="AX1027" s="1212"/>
      <c r="AY1027" s="1212"/>
      <c r="AZ1027" s="1212"/>
      <c r="BA1027" s="1212"/>
      <c r="BB1027" s="1212"/>
      <c r="BC1027" s="1212"/>
      <c r="BD1027" s="1212"/>
      <c r="BE1027" s="1212"/>
      <c r="BF1027" s="2126">
        <v>0</v>
      </c>
      <c r="BG1027" s="2126">
        <v>0</v>
      </c>
      <c r="BH1027" s="2126">
        <v>37643.146402777777</v>
      </c>
      <c r="BI1027" s="2126">
        <v>37643.146402777777</v>
      </c>
      <c r="BJ1027" s="2126">
        <v>37643.146402777777</v>
      </c>
      <c r="BK1027" s="2126">
        <v>0</v>
      </c>
      <c r="BL1027" s="2126">
        <v>0</v>
      </c>
      <c r="BM1027" s="2126">
        <v>0</v>
      </c>
      <c r="BN1027" s="2126">
        <v>0</v>
      </c>
      <c r="BO1027" s="2126">
        <v>0</v>
      </c>
      <c r="BP1027" s="2126">
        <v>0</v>
      </c>
      <c r="BQ1027" s="2126">
        <v>0</v>
      </c>
      <c r="BR1027" s="2126">
        <v>0</v>
      </c>
    </row>
    <row r="1028" spans="1:70" s="1765" customFormat="1" ht="66">
      <c r="A1028" s="1272">
        <v>4000</v>
      </c>
      <c r="B1028" s="971" t="s">
        <v>1316</v>
      </c>
      <c r="C1028" s="1272">
        <v>4500</v>
      </c>
      <c r="D1028" s="971" t="s">
        <v>452</v>
      </c>
      <c r="E1028" s="971" t="s">
        <v>1885</v>
      </c>
      <c r="F1028" s="971" t="s">
        <v>1882</v>
      </c>
      <c r="G1028" s="971">
        <v>4540</v>
      </c>
      <c r="H1028" s="971" t="s">
        <v>1883</v>
      </c>
      <c r="I1028" s="1273" t="s">
        <v>1886</v>
      </c>
      <c r="J1028" s="971" t="s">
        <v>124</v>
      </c>
      <c r="K1028" s="971" t="s">
        <v>1747</v>
      </c>
      <c r="L1028" s="971" t="s">
        <v>6606</v>
      </c>
      <c r="M1028" s="971" t="s">
        <v>606</v>
      </c>
      <c r="N1028" s="971" t="s">
        <v>488</v>
      </c>
      <c r="O1028" s="971" t="s">
        <v>518</v>
      </c>
      <c r="P1028" s="971"/>
      <c r="Q1028" s="971" t="s">
        <v>1891</v>
      </c>
      <c r="R1028" s="1266"/>
      <c r="S1028" s="2106">
        <v>180</v>
      </c>
      <c r="T1028" s="1266" t="s">
        <v>136</v>
      </c>
      <c r="U1028" s="1742">
        <v>0.56041666666666667</v>
      </c>
      <c r="V1028" s="1742">
        <v>1.9614583333333333</v>
      </c>
      <c r="W1028" s="1742">
        <v>49.395125</v>
      </c>
      <c r="X1028" s="1742">
        <v>77.264645833333333</v>
      </c>
      <c r="Y1028" s="2106">
        <v>128.62122916666667</v>
      </c>
      <c r="Z1028" s="2106">
        <v>100.875</v>
      </c>
      <c r="AA1028" s="2106">
        <v>353.0625</v>
      </c>
      <c r="AB1028" s="2106">
        <v>8891.1224999999995</v>
      </c>
      <c r="AC1028" s="2106">
        <v>13907.63625</v>
      </c>
      <c r="AD1028" s="1744">
        <v>23151.821250000001</v>
      </c>
      <c r="AE1028" s="2126">
        <v>1</v>
      </c>
      <c r="AF1028" s="2126">
        <v>180</v>
      </c>
      <c r="AG1028" s="1212">
        <v>1</v>
      </c>
      <c r="AH1028" s="1212">
        <v>0</v>
      </c>
      <c r="AI1028" s="1212">
        <v>0</v>
      </c>
      <c r="AJ1028" s="1212">
        <v>1</v>
      </c>
      <c r="AK1028" s="2126">
        <v>23151.821250000001</v>
      </c>
      <c r="AL1028" s="2126">
        <v>0</v>
      </c>
      <c r="AM1028" s="2126">
        <v>0</v>
      </c>
      <c r="AN1028" s="2126">
        <v>23151.821250000001</v>
      </c>
      <c r="AO1028" s="1743" t="s">
        <v>85</v>
      </c>
      <c r="AP1028" s="1743" t="s">
        <v>90</v>
      </c>
      <c r="AQ1028" s="1764">
        <v>2021</v>
      </c>
      <c r="AR1028" s="1743" t="s">
        <v>87</v>
      </c>
      <c r="AS1028" s="2135"/>
      <c r="AT1028" s="2135"/>
      <c r="AU1028" s="1212">
        <v>0.33333333333333331</v>
      </c>
      <c r="AV1028" s="1212">
        <v>0.33333333333333331</v>
      </c>
      <c r="AW1028" s="1212">
        <v>0.33333333333333331</v>
      </c>
      <c r="AX1028" s="1212"/>
      <c r="AY1028" s="1212"/>
      <c r="AZ1028" s="1212"/>
      <c r="BA1028" s="1212"/>
      <c r="BB1028" s="1212"/>
      <c r="BC1028" s="1212"/>
      <c r="BD1028" s="1212"/>
      <c r="BE1028" s="1212"/>
      <c r="BF1028" s="2126">
        <v>0</v>
      </c>
      <c r="BG1028" s="2126">
        <v>0</v>
      </c>
      <c r="BH1028" s="2126">
        <v>7717.2737500000003</v>
      </c>
      <c r="BI1028" s="2126">
        <v>7717.2737500000003</v>
      </c>
      <c r="BJ1028" s="2126">
        <v>7717.2737500000003</v>
      </c>
      <c r="BK1028" s="2126">
        <v>0</v>
      </c>
      <c r="BL1028" s="2126">
        <v>0</v>
      </c>
      <c r="BM1028" s="2126">
        <v>0</v>
      </c>
      <c r="BN1028" s="2126">
        <v>0</v>
      </c>
      <c r="BO1028" s="2126">
        <v>0</v>
      </c>
      <c r="BP1028" s="2126">
        <v>0</v>
      </c>
      <c r="BQ1028" s="2126">
        <v>0</v>
      </c>
      <c r="BR1028" s="2126">
        <v>0</v>
      </c>
    </row>
    <row r="1029" spans="1:70" s="1765" customFormat="1" ht="66">
      <c r="A1029" s="1272">
        <v>4000</v>
      </c>
      <c r="B1029" s="971" t="s">
        <v>1316</v>
      </c>
      <c r="C1029" s="1272">
        <v>4500</v>
      </c>
      <c r="D1029" s="971" t="s">
        <v>452</v>
      </c>
      <c r="E1029" s="971" t="s">
        <v>1885</v>
      </c>
      <c r="F1029" s="971" t="s">
        <v>1882</v>
      </c>
      <c r="G1029" s="971">
        <v>4540</v>
      </c>
      <c r="H1029" s="971" t="s">
        <v>1883</v>
      </c>
      <c r="I1029" s="1273" t="s">
        <v>1886</v>
      </c>
      <c r="J1029" s="971" t="s">
        <v>124</v>
      </c>
      <c r="K1029" s="971" t="s">
        <v>1747</v>
      </c>
      <c r="L1029" s="971" t="s">
        <v>6606</v>
      </c>
      <c r="M1029" s="971" t="s">
        <v>606</v>
      </c>
      <c r="N1029" s="971" t="s">
        <v>488</v>
      </c>
      <c r="O1029" s="971" t="s">
        <v>518</v>
      </c>
      <c r="P1029" s="971"/>
      <c r="Q1029" s="971" t="s">
        <v>792</v>
      </c>
      <c r="R1029" s="1266" t="s">
        <v>1892</v>
      </c>
      <c r="S1029" s="2106">
        <v>446.09665427509293</v>
      </c>
      <c r="T1029" s="1266" t="s">
        <v>136</v>
      </c>
      <c r="U1029" s="1742">
        <v>0.56041666666666667</v>
      </c>
      <c r="V1029" s="1742">
        <v>1.9614583333333333</v>
      </c>
      <c r="W1029" s="1742">
        <v>49.395125</v>
      </c>
      <c r="X1029" s="1742">
        <v>77.264645833333333</v>
      </c>
      <c r="Y1029" s="2106">
        <v>128.62122916666667</v>
      </c>
      <c r="Z1029" s="2106">
        <v>250</v>
      </c>
      <c r="AA1029" s="2106">
        <v>875</v>
      </c>
      <c r="AB1029" s="2106">
        <v>22035</v>
      </c>
      <c r="AC1029" s="2106">
        <v>34467.5</v>
      </c>
      <c r="AD1029" s="1744">
        <v>57377.5</v>
      </c>
      <c r="AE1029" s="2126">
        <v>1</v>
      </c>
      <c r="AF1029" s="2126">
        <v>446.09665427509293</v>
      </c>
      <c r="AG1029" s="1212">
        <v>1</v>
      </c>
      <c r="AH1029" s="1212">
        <v>0</v>
      </c>
      <c r="AI1029" s="1212">
        <v>0</v>
      </c>
      <c r="AJ1029" s="1212">
        <v>1</v>
      </c>
      <c r="AK1029" s="2126">
        <v>57377.5</v>
      </c>
      <c r="AL1029" s="2126">
        <v>0</v>
      </c>
      <c r="AM1029" s="2126">
        <v>0</v>
      </c>
      <c r="AN1029" s="2126">
        <v>57377.5</v>
      </c>
      <c r="AO1029" s="1743" t="s">
        <v>85</v>
      </c>
      <c r="AP1029" s="1743"/>
      <c r="AQ1029" s="1764">
        <v>2014</v>
      </c>
      <c r="AR1029" s="1743" t="s">
        <v>87</v>
      </c>
      <c r="AS1029" s="2135"/>
      <c r="AT1029" s="2135"/>
      <c r="AU1029" s="1212">
        <v>0.33333333333333331</v>
      </c>
      <c r="AV1029" s="1212">
        <v>0.33333333333333331</v>
      </c>
      <c r="AW1029" s="1212">
        <v>0.33333333333333331</v>
      </c>
      <c r="AX1029" s="1212"/>
      <c r="AY1029" s="1212"/>
      <c r="AZ1029" s="1212"/>
      <c r="BA1029" s="1212"/>
      <c r="BB1029" s="1212"/>
      <c r="BC1029" s="1212"/>
      <c r="BD1029" s="1212"/>
      <c r="BE1029" s="1212"/>
      <c r="BF1029" s="2126">
        <v>0</v>
      </c>
      <c r="BG1029" s="2126">
        <v>0</v>
      </c>
      <c r="BH1029" s="2126">
        <v>19125.833333333332</v>
      </c>
      <c r="BI1029" s="2126">
        <v>19125.833333333332</v>
      </c>
      <c r="BJ1029" s="2126">
        <v>19125.833333333332</v>
      </c>
      <c r="BK1029" s="2126">
        <v>0</v>
      </c>
      <c r="BL1029" s="2126">
        <v>0</v>
      </c>
      <c r="BM1029" s="2126">
        <v>0</v>
      </c>
      <c r="BN1029" s="2126">
        <v>0</v>
      </c>
      <c r="BO1029" s="2126">
        <v>0</v>
      </c>
      <c r="BP1029" s="2126">
        <v>0</v>
      </c>
      <c r="BQ1029" s="2126">
        <v>0</v>
      </c>
      <c r="BR1029" s="2126">
        <v>0</v>
      </c>
    </row>
    <row r="1030" spans="1:70" s="1765" customFormat="1" ht="49.5">
      <c r="A1030" s="1272">
        <v>4000</v>
      </c>
      <c r="B1030" s="971" t="s">
        <v>1316</v>
      </c>
      <c r="C1030" s="1272">
        <v>4500</v>
      </c>
      <c r="D1030" s="971" t="s">
        <v>452</v>
      </c>
      <c r="E1030" s="971" t="s">
        <v>1885</v>
      </c>
      <c r="F1030" s="971" t="s">
        <v>1882</v>
      </c>
      <c r="G1030" s="971">
        <v>4540</v>
      </c>
      <c r="H1030" s="971" t="s">
        <v>1883</v>
      </c>
      <c r="I1030" s="1273" t="s">
        <v>1893</v>
      </c>
      <c r="J1030" s="971" t="s">
        <v>124</v>
      </c>
      <c r="K1030" s="971" t="s">
        <v>523</v>
      </c>
      <c r="L1030" s="971" t="s">
        <v>6607</v>
      </c>
      <c r="M1030" s="971" t="s">
        <v>523</v>
      </c>
      <c r="N1030" s="971" t="s">
        <v>141</v>
      </c>
      <c r="O1030" s="971" t="s">
        <v>524</v>
      </c>
      <c r="P1030" s="971"/>
      <c r="Q1030" s="971" t="s">
        <v>795</v>
      </c>
      <c r="R1030" s="1266" t="s">
        <v>1892</v>
      </c>
      <c r="S1030" s="2106">
        <v>446.09665427509293</v>
      </c>
      <c r="T1030" s="1266" t="s">
        <v>136</v>
      </c>
      <c r="U1030" s="1742">
        <v>0.14520631503408685</v>
      </c>
      <c r="V1030" s="1742">
        <v>1.8150789379260854</v>
      </c>
      <c r="W1030" s="1742">
        <v>12.798484607104415</v>
      </c>
      <c r="X1030" s="1742">
        <v>20.019594653749554</v>
      </c>
      <c r="Y1030" s="2106">
        <v>34.633158198780052</v>
      </c>
      <c r="Z1030" s="2106">
        <v>64.776051316321272</v>
      </c>
      <c r="AA1030" s="2106">
        <v>809.70064145401579</v>
      </c>
      <c r="AB1030" s="2106">
        <v>5709.3611630205569</v>
      </c>
      <c r="AC1030" s="2106">
        <v>8930.6741949812131</v>
      </c>
      <c r="AD1030" s="1744">
        <v>15449.735999455785</v>
      </c>
      <c r="AE1030" s="2126">
        <v>0.75</v>
      </c>
      <c r="AF1030" s="2126">
        <v>334.57249070631968</v>
      </c>
      <c r="AG1030" s="1212">
        <v>1</v>
      </c>
      <c r="AH1030" s="1212">
        <v>0</v>
      </c>
      <c r="AI1030" s="1212">
        <v>0</v>
      </c>
      <c r="AJ1030" s="1212">
        <v>1</v>
      </c>
      <c r="AK1030" s="2126">
        <v>15449.735999455785</v>
      </c>
      <c r="AL1030" s="2126">
        <v>0</v>
      </c>
      <c r="AM1030" s="2126">
        <v>0</v>
      </c>
      <c r="AN1030" s="2126">
        <v>15449.735999455785</v>
      </c>
      <c r="AO1030" s="1743" t="s">
        <v>85</v>
      </c>
      <c r="AP1030" s="1743"/>
      <c r="AQ1030" s="1764">
        <v>2014</v>
      </c>
      <c r="AR1030" s="1743" t="s">
        <v>87</v>
      </c>
      <c r="AS1030" s="2135"/>
      <c r="AT1030" s="2135"/>
      <c r="AU1030" s="1212">
        <v>0.33333333333333331</v>
      </c>
      <c r="AV1030" s="1212">
        <v>0.33333333333333331</v>
      </c>
      <c r="AW1030" s="1212">
        <v>0.33333333333333331</v>
      </c>
      <c r="AX1030" s="1212"/>
      <c r="AY1030" s="1212"/>
      <c r="AZ1030" s="1212"/>
      <c r="BA1030" s="1212"/>
      <c r="BB1030" s="1212"/>
      <c r="BC1030" s="1212"/>
      <c r="BD1030" s="1212"/>
      <c r="BE1030" s="1212"/>
      <c r="BF1030" s="2126">
        <v>0</v>
      </c>
      <c r="BG1030" s="2126">
        <v>0</v>
      </c>
      <c r="BH1030" s="2126">
        <v>5149.9119998185943</v>
      </c>
      <c r="BI1030" s="2126">
        <v>5149.9119998185943</v>
      </c>
      <c r="BJ1030" s="2126">
        <v>5149.9119998185943</v>
      </c>
      <c r="BK1030" s="2126">
        <v>0</v>
      </c>
      <c r="BL1030" s="2126">
        <v>0</v>
      </c>
      <c r="BM1030" s="2126">
        <v>0</v>
      </c>
      <c r="BN1030" s="2126">
        <v>0</v>
      </c>
      <c r="BO1030" s="2126">
        <v>0</v>
      </c>
      <c r="BP1030" s="2126">
        <v>0</v>
      </c>
      <c r="BQ1030" s="2126">
        <v>0</v>
      </c>
      <c r="BR1030" s="2126">
        <v>0</v>
      </c>
    </row>
    <row r="1031" spans="1:70" s="1765" customFormat="1" ht="49.5">
      <c r="A1031" s="1272">
        <v>4000</v>
      </c>
      <c r="B1031" s="971" t="s">
        <v>1316</v>
      </c>
      <c r="C1031" s="1272">
        <v>4500</v>
      </c>
      <c r="D1031" s="971" t="s">
        <v>452</v>
      </c>
      <c r="E1031" s="971" t="s">
        <v>1885</v>
      </c>
      <c r="F1031" s="971" t="s">
        <v>1882</v>
      </c>
      <c r="G1031" s="971">
        <v>4540</v>
      </c>
      <c r="H1031" s="971" t="s">
        <v>1883</v>
      </c>
      <c r="I1031" s="1273" t="s">
        <v>1894</v>
      </c>
      <c r="J1031" s="971" t="s">
        <v>124</v>
      </c>
      <c r="K1031" s="971" t="s">
        <v>506</v>
      </c>
      <c r="L1031" s="971" t="s">
        <v>6608</v>
      </c>
      <c r="M1031" s="971" t="s">
        <v>506</v>
      </c>
      <c r="N1031" s="971" t="s">
        <v>141</v>
      </c>
      <c r="O1031" s="971" t="s">
        <v>507</v>
      </c>
      <c r="P1031" s="971"/>
      <c r="Q1031" s="971" t="s">
        <v>797</v>
      </c>
      <c r="R1031" s="1266" t="s">
        <v>1892</v>
      </c>
      <c r="S1031" s="2106">
        <v>446.09665427509293</v>
      </c>
      <c r="T1031" s="1266" t="s">
        <v>136</v>
      </c>
      <c r="U1031" s="1742">
        <v>0.125</v>
      </c>
      <c r="V1031" s="1742">
        <v>1.875</v>
      </c>
      <c r="W1031" s="1742">
        <v>11.0175</v>
      </c>
      <c r="X1031" s="1742">
        <v>18.75</v>
      </c>
      <c r="Y1031" s="2106">
        <v>31.642499999999998</v>
      </c>
      <c r="Z1031" s="2106">
        <v>55.762081784386616</v>
      </c>
      <c r="AA1031" s="2106">
        <v>836.43122676579924</v>
      </c>
      <c r="AB1031" s="2106">
        <v>4914.869888475836</v>
      </c>
      <c r="AC1031" s="2106">
        <v>8364.3122676579933</v>
      </c>
      <c r="AD1031" s="1744">
        <v>14115.613382899628</v>
      </c>
      <c r="AE1031" s="2126">
        <v>0</v>
      </c>
      <c r="AF1031" s="2126">
        <v>0</v>
      </c>
      <c r="AG1031" s="1212">
        <v>1</v>
      </c>
      <c r="AH1031" s="1212">
        <v>0</v>
      </c>
      <c r="AI1031" s="1212">
        <v>0</v>
      </c>
      <c r="AJ1031" s="1212">
        <v>1</v>
      </c>
      <c r="AK1031" s="2126">
        <v>14115.613382899628</v>
      </c>
      <c r="AL1031" s="2126">
        <v>0</v>
      </c>
      <c r="AM1031" s="2126">
        <v>0</v>
      </c>
      <c r="AN1031" s="2126">
        <v>14115.613382899628</v>
      </c>
      <c r="AO1031" s="1743" t="s">
        <v>85</v>
      </c>
      <c r="AP1031" s="1743"/>
      <c r="AQ1031" s="1764">
        <v>2014</v>
      </c>
      <c r="AR1031" s="1743" t="s">
        <v>87</v>
      </c>
      <c r="AS1031" s="2135"/>
      <c r="AT1031" s="2135"/>
      <c r="AU1031" s="1212">
        <v>0.33333333333333331</v>
      </c>
      <c r="AV1031" s="1212">
        <v>0.33333333333333331</v>
      </c>
      <c r="AW1031" s="1212">
        <v>0.33333333333333331</v>
      </c>
      <c r="AX1031" s="1212"/>
      <c r="AY1031" s="1212"/>
      <c r="AZ1031" s="1212"/>
      <c r="BA1031" s="1212"/>
      <c r="BB1031" s="1212"/>
      <c r="BC1031" s="1212"/>
      <c r="BD1031" s="1212"/>
      <c r="BE1031" s="1212"/>
      <c r="BF1031" s="2126">
        <v>0</v>
      </c>
      <c r="BG1031" s="2126">
        <v>0</v>
      </c>
      <c r="BH1031" s="2126">
        <v>4705.2044609665427</v>
      </c>
      <c r="BI1031" s="2126">
        <v>4705.2044609665427</v>
      </c>
      <c r="BJ1031" s="2126">
        <v>4705.2044609665427</v>
      </c>
      <c r="BK1031" s="2126">
        <v>0</v>
      </c>
      <c r="BL1031" s="2126">
        <v>0</v>
      </c>
      <c r="BM1031" s="2126">
        <v>0</v>
      </c>
      <c r="BN1031" s="2126">
        <v>0</v>
      </c>
      <c r="BO1031" s="2126">
        <v>0</v>
      </c>
      <c r="BP1031" s="2126">
        <v>0</v>
      </c>
      <c r="BQ1031" s="2126">
        <v>0</v>
      </c>
      <c r="BR1031" s="2126">
        <v>0</v>
      </c>
    </row>
    <row r="1032" spans="1:70" s="1765" customFormat="1" ht="33">
      <c r="A1032" s="1272">
        <v>4000</v>
      </c>
      <c r="B1032" s="971" t="s">
        <v>1316</v>
      </c>
      <c r="C1032" s="1272">
        <v>4500</v>
      </c>
      <c r="D1032" s="971" t="s">
        <v>452</v>
      </c>
      <c r="E1032" s="971" t="s">
        <v>1885</v>
      </c>
      <c r="F1032" s="971" t="s">
        <v>1882</v>
      </c>
      <c r="G1032" s="971">
        <v>4540</v>
      </c>
      <c r="H1032" s="971" t="s">
        <v>1883</v>
      </c>
      <c r="I1032" s="1273" t="s">
        <v>1895</v>
      </c>
      <c r="J1032" s="971" t="s">
        <v>799</v>
      </c>
      <c r="K1032" s="971" t="s">
        <v>800</v>
      </c>
      <c r="L1032" s="971" t="s">
        <v>2890</v>
      </c>
      <c r="M1032" s="971" t="s">
        <v>800</v>
      </c>
      <c r="N1032" s="971" t="s">
        <v>269</v>
      </c>
      <c r="O1032" s="971" t="s">
        <v>801</v>
      </c>
      <c r="P1032" s="971"/>
      <c r="Q1032" s="971" t="s">
        <v>802</v>
      </c>
      <c r="R1032" s="1266" t="s">
        <v>803</v>
      </c>
      <c r="S1032" s="2106">
        <v>1</v>
      </c>
      <c r="T1032" s="1266" t="s">
        <v>2700</v>
      </c>
      <c r="U1032" s="1742">
        <v>47</v>
      </c>
      <c r="V1032" s="1742">
        <v>400</v>
      </c>
      <c r="W1032" s="1742">
        <v>4142.58</v>
      </c>
      <c r="X1032" s="1742">
        <v>4411.84</v>
      </c>
      <c r="Y1032" s="2106">
        <v>8954.4199999999983</v>
      </c>
      <c r="Z1032" s="2106">
        <v>47</v>
      </c>
      <c r="AA1032" s="2106">
        <v>400</v>
      </c>
      <c r="AB1032" s="2106">
        <v>4142.58</v>
      </c>
      <c r="AC1032" s="2106">
        <v>4411.84</v>
      </c>
      <c r="AD1032" s="1744">
        <v>8954.42</v>
      </c>
      <c r="AE1032" s="2126">
        <v>329.26829268292681</v>
      </c>
      <c r="AF1032" s="2126">
        <v>329.26829268292681</v>
      </c>
      <c r="AG1032" s="1212">
        <v>1</v>
      </c>
      <c r="AH1032" s="1212">
        <v>0</v>
      </c>
      <c r="AI1032" s="1212">
        <v>0</v>
      </c>
      <c r="AJ1032" s="1212">
        <v>1</v>
      </c>
      <c r="AK1032" s="2126">
        <v>8954.42</v>
      </c>
      <c r="AL1032" s="2126">
        <v>0</v>
      </c>
      <c r="AM1032" s="2126">
        <v>0</v>
      </c>
      <c r="AN1032" s="2126">
        <v>8954.42</v>
      </c>
      <c r="AO1032" s="1743" t="s">
        <v>85</v>
      </c>
      <c r="AP1032" s="1743"/>
      <c r="AQ1032" s="1764">
        <v>2020</v>
      </c>
      <c r="AR1032" s="1743" t="s">
        <v>87</v>
      </c>
      <c r="AS1032" s="2135"/>
      <c r="AT1032" s="2135"/>
      <c r="AU1032" s="1212">
        <v>0.33333333333333331</v>
      </c>
      <c r="AV1032" s="1212">
        <v>0.33333333333333331</v>
      </c>
      <c r="AW1032" s="1212">
        <v>0.33333333333333331</v>
      </c>
      <c r="AX1032" s="1212"/>
      <c r="AY1032" s="1212"/>
      <c r="AZ1032" s="1212"/>
      <c r="BA1032" s="1212"/>
      <c r="BB1032" s="1212"/>
      <c r="BC1032" s="1212"/>
      <c r="BD1032" s="1212"/>
      <c r="BE1032" s="1212"/>
      <c r="BF1032" s="2126">
        <v>0</v>
      </c>
      <c r="BG1032" s="2126">
        <v>0</v>
      </c>
      <c r="BH1032" s="2126">
        <v>2984.8066666666664</v>
      </c>
      <c r="BI1032" s="2126">
        <v>2984.8066666666664</v>
      </c>
      <c r="BJ1032" s="2126">
        <v>2984.8066666666664</v>
      </c>
      <c r="BK1032" s="2126">
        <v>0</v>
      </c>
      <c r="BL1032" s="2126">
        <v>0</v>
      </c>
      <c r="BM1032" s="2126">
        <v>0</v>
      </c>
      <c r="BN1032" s="2126">
        <v>0</v>
      </c>
      <c r="BO1032" s="2126">
        <v>0</v>
      </c>
      <c r="BP1032" s="2126">
        <v>0</v>
      </c>
      <c r="BQ1032" s="2126">
        <v>0</v>
      </c>
      <c r="BR1032" s="2126">
        <v>0</v>
      </c>
    </row>
    <row r="1033" spans="1:70" s="1765" customFormat="1" ht="33">
      <c r="A1033" s="1272">
        <v>4000</v>
      </c>
      <c r="B1033" s="971" t="s">
        <v>1316</v>
      </c>
      <c r="C1033" s="1272">
        <v>4500</v>
      </c>
      <c r="D1033" s="971" t="s">
        <v>452</v>
      </c>
      <c r="E1033" s="971" t="s">
        <v>1885</v>
      </c>
      <c r="F1033" s="971" t="s">
        <v>1882</v>
      </c>
      <c r="G1033" s="971">
        <v>4540</v>
      </c>
      <c r="H1033" s="971" t="s">
        <v>1883</v>
      </c>
      <c r="I1033" s="1273" t="s">
        <v>1895</v>
      </c>
      <c r="J1033" s="971" t="s">
        <v>799</v>
      </c>
      <c r="K1033" s="971" t="s">
        <v>800</v>
      </c>
      <c r="L1033" s="971" t="s">
        <v>2890</v>
      </c>
      <c r="M1033" s="971" t="s">
        <v>800</v>
      </c>
      <c r="N1033" s="971" t="s">
        <v>269</v>
      </c>
      <c r="O1033" s="971" t="s">
        <v>801</v>
      </c>
      <c r="P1033" s="971"/>
      <c r="Q1033" s="971" t="s">
        <v>802</v>
      </c>
      <c r="R1033" s="1266" t="s">
        <v>803</v>
      </c>
      <c r="S1033" s="2106">
        <v>-1</v>
      </c>
      <c r="T1033" s="1266" t="s">
        <v>2700</v>
      </c>
      <c r="U1033" s="1742">
        <v>47</v>
      </c>
      <c r="V1033" s="1742">
        <v>400</v>
      </c>
      <c r="W1033" s="1742">
        <v>4142.58</v>
      </c>
      <c r="X1033" s="1742">
        <v>4411.84</v>
      </c>
      <c r="Y1033" s="2106">
        <v>8954.4199999999983</v>
      </c>
      <c r="Z1033" s="2106">
        <v>-47</v>
      </c>
      <c r="AA1033" s="2106">
        <v>-400</v>
      </c>
      <c r="AB1033" s="2106">
        <v>-4142.58</v>
      </c>
      <c r="AC1033" s="2106">
        <v>-4411.84</v>
      </c>
      <c r="AD1033" s="1744">
        <v>-8954.42</v>
      </c>
      <c r="AE1033" s="2126">
        <v>329.26829268292681</v>
      </c>
      <c r="AF1033" s="2126">
        <v>-329.26829268292681</v>
      </c>
      <c r="AG1033" s="1212">
        <v>1</v>
      </c>
      <c r="AH1033" s="1212">
        <v>0</v>
      </c>
      <c r="AI1033" s="1212">
        <v>0</v>
      </c>
      <c r="AJ1033" s="1212">
        <v>1</v>
      </c>
      <c r="AK1033" s="2126">
        <v>-8954.42</v>
      </c>
      <c r="AL1033" s="2126">
        <v>0</v>
      </c>
      <c r="AM1033" s="2126">
        <v>0</v>
      </c>
      <c r="AN1033" s="2126">
        <v>-8954.42</v>
      </c>
      <c r="AO1033" s="1743" t="s">
        <v>85</v>
      </c>
      <c r="AP1033" s="1743" t="s">
        <v>96</v>
      </c>
      <c r="AQ1033" s="1764" t="s">
        <v>118</v>
      </c>
      <c r="AR1033" s="1743" t="s">
        <v>87</v>
      </c>
      <c r="AS1033" s="2135"/>
      <c r="AT1033" s="2135"/>
      <c r="AU1033" s="1212">
        <v>0.33333333333333331</v>
      </c>
      <c r="AV1033" s="1212">
        <v>0.33333333333333331</v>
      </c>
      <c r="AW1033" s="1212">
        <v>0.33333333333333331</v>
      </c>
      <c r="AX1033" s="1212"/>
      <c r="AY1033" s="1212"/>
      <c r="AZ1033" s="1212"/>
      <c r="BA1033" s="1212"/>
      <c r="BB1033" s="1212"/>
      <c r="BC1033" s="1212"/>
      <c r="BD1033" s="1212"/>
      <c r="BE1033" s="1212"/>
      <c r="BF1033" s="2126">
        <v>0</v>
      </c>
      <c r="BG1033" s="2126">
        <v>0</v>
      </c>
      <c r="BH1033" s="2126">
        <v>-2984.8066666666664</v>
      </c>
      <c r="BI1033" s="2126">
        <v>-2984.8066666666664</v>
      </c>
      <c r="BJ1033" s="2126">
        <v>-2984.8066666666664</v>
      </c>
      <c r="BK1033" s="2126">
        <v>0</v>
      </c>
      <c r="BL1033" s="2126">
        <v>0</v>
      </c>
      <c r="BM1033" s="2126">
        <v>0</v>
      </c>
      <c r="BN1033" s="2126">
        <v>0</v>
      </c>
      <c r="BO1033" s="2126">
        <v>0</v>
      </c>
      <c r="BP1033" s="2126">
        <v>0</v>
      </c>
      <c r="BQ1033" s="2126">
        <v>0</v>
      </c>
      <c r="BR1033" s="2126">
        <v>0</v>
      </c>
    </row>
    <row r="1034" spans="1:70" s="1765" customFormat="1" ht="33">
      <c r="A1034" s="1272">
        <v>4000</v>
      </c>
      <c r="B1034" s="971" t="s">
        <v>1316</v>
      </c>
      <c r="C1034" s="1272">
        <v>4500</v>
      </c>
      <c r="D1034" s="971" t="s">
        <v>452</v>
      </c>
      <c r="E1034" s="971" t="s">
        <v>1885</v>
      </c>
      <c r="F1034" s="971" t="s">
        <v>1882</v>
      </c>
      <c r="G1034" s="971">
        <v>4540</v>
      </c>
      <c r="H1034" s="971" t="s">
        <v>1883</v>
      </c>
      <c r="I1034" s="1273" t="s">
        <v>1895</v>
      </c>
      <c r="J1034" s="971" t="s">
        <v>799</v>
      </c>
      <c r="K1034" s="971" t="s">
        <v>800</v>
      </c>
      <c r="L1034" s="971" t="s">
        <v>2890</v>
      </c>
      <c r="M1034" s="971" t="s">
        <v>800</v>
      </c>
      <c r="N1034" s="971" t="s">
        <v>269</v>
      </c>
      <c r="O1034" s="971" t="s">
        <v>801</v>
      </c>
      <c r="P1034" s="971"/>
      <c r="Q1034" s="971" t="s">
        <v>802</v>
      </c>
      <c r="R1034" s="1266" t="s">
        <v>1896</v>
      </c>
      <c r="S1034" s="2106">
        <v>1</v>
      </c>
      <c r="T1034" s="1266" t="s">
        <v>2700</v>
      </c>
      <c r="U1034" s="1742">
        <v>47</v>
      </c>
      <c r="V1034" s="1742">
        <v>400</v>
      </c>
      <c r="W1034" s="1742">
        <v>4142.58</v>
      </c>
      <c r="X1034" s="1742">
        <v>4411.84</v>
      </c>
      <c r="Y1034" s="2106">
        <v>8954.4199999999983</v>
      </c>
      <c r="Z1034" s="2106">
        <v>47</v>
      </c>
      <c r="AA1034" s="2106">
        <v>400</v>
      </c>
      <c r="AB1034" s="2106">
        <v>4142.58</v>
      </c>
      <c r="AC1034" s="2106">
        <v>4411.84</v>
      </c>
      <c r="AD1034" s="1744">
        <v>8954.42</v>
      </c>
      <c r="AE1034" s="2126">
        <v>329.26829268292681</v>
      </c>
      <c r="AF1034" s="2126">
        <v>329.26829268292681</v>
      </c>
      <c r="AG1034" s="1212">
        <v>1</v>
      </c>
      <c r="AH1034" s="1212">
        <v>0</v>
      </c>
      <c r="AI1034" s="1212">
        <v>0</v>
      </c>
      <c r="AJ1034" s="1212">
        <v>1</v>
      </c>
      <c r="AK1034" s="2126">
        <v>8954.42</v>
      </c>
      <c r="AL1034" s="2126">
        <v>0</v>
      </c>
      <c r="AM1034" s="2126">
        <v>0</v>
      </c>
      <c r="AN1034" s="2126">
        <v>8954.42</v>
      </c>
      <c r="AO1034" s="1743" t="s">
        <v>85</v>
      </c>
      <c r="AP1034" s="1743"/>
      <c r="AQ1034" s="1764">
        <v>2014</v>
      </c>
      <c r="AR1034" s="1743" t="s">
        <v>87</v>
      </c>
      <c r="AS1034" s="2135"/>
      <c r="AT1034" s="2135"/>
      <c r="AU1034" s="1212">
        <v>0.33333333333333331</v>
      </c>
      <c r="AV1034" s="1212">
        <v>0.33333333333333331</v>
      </c>
      <c r="AW1034" s="1212">
        <v>0.33333333333333331</v>
      </c>
      <c r="AX1034" s="1212"/>
      <c r="AY1034" s="1212"/>
      <c r="AZ1034" s="1212"/>
      <c r="BA1034" s="1212"/>
      <c r="BB1034" s="1212"/>
      <c r="BC1034" s="1212"/>
      <c r="BD1034" s="1212"/>
      <c r="BE1034" s="1212"/>
      <c r="BF1034" s="2126">
        <v>0</v>
      </c>
      <c r="BG1034" s="2126">
        <v>0</v>
      </c>
      <c r="BH1034" s="2126">
        <v>2984.8066666666664</v>
      </c>
      <c r="BI1034" s="2126">
        <v>2984.8066666666664</v>
      </c>
      <c r="BJ1034" s="2126">
        <v>2984.8066666666664</v>
      </c>
      <c r="BK1034" s="2126">
        <v>0</v>
      </c>
      <c r="BL1034" s="2126">
        <v>0</v>
      </c>
      <c r="BM1034" s="2126">
        <v>0</v>
      </c>
      <c r="BN1034" s="2126">
        <v>0</v>
      </c>
      <c r="BO1034" s="2126">
        <v>0</v>
      </c>
      <c r="BP1034" s="2126">
        <v>0</v>
      </c>
      <c r="BQ1034" s="2126">
        <v>0</v>
      </c>
      <c r="BR1034" s="2126">
        <v>0</v>
      </c>
    </row>
    <row r="1035" spans="1:70" s="1765" customFormat="1" ht="49.5">
      <c r="A1035" s="1272">
        <v>4000</v>
      </c>
      <c r="B1035" s="971" t="s">
        <v>1316</v>
      </c>
      <c r="C1035" s="1272">
        <v>4500</v>
      </c>
      <c r="D1035" s="971" t="s">
        <v>452</v>
      </c>
      <c r="E1035" s="971" t="s">
        <v>1885</v>
      </c>
      <c r="F1035" s="971" t="s">
        <v>1882</v>
      </c>
      <c r="G1035" s="971">
        <v>4540</v>
      </c>
      <c r="H1035" s="971" t="s">
        <v>1883</v>
      </c>
      <c r="I1035" s="1273" t="s">
        <v>1897</v>
      </c>
      <c r="J1035" s="971" t="s">
        <v>124</v>
      </c>
      <c r="K1035" s="971" t="s">
        <v>2857</v>
      </c>
      <c r="L1035" s="971" t="s">
        <v>2858</v>
      </c>
      <c r="M1035" s="971" t="s">
        <v>627</v>
      </c>
      <c r="N1035" s="971" t="s">
        <v>488</v>
      </c>
      <c r="O1035" s="971" t="s">
        <v>539</v>
      </c>
      <c r="P1035" s="971"/>
      <c r="Q1035" s="971" t="s">
        <v>806</v>
      </c>
      <c r="R1035" s="1266" t="s">
        <v>1896</v>
      </c>
      <c r="S1035" s="2106">
        <v>52.044609665427508</v>
      </c>
      <c r="T1035" s="1266" t="s">
        <v>136</v>
      </c>
      <c r="U1035" s="1742">
        <v>0.56041666666666667</v>
      </c>
      <c r="V1035" s="1742">
        <v>2.8020833333333335</v>
      </c>
      <c r="W1035" s="1742">
        <v>49.395125</v>
      </c>
      <c r="X1035" s="1742">
        <v>77.264645833333333</v>
      </c>
      <c r="Y1035" s="2106">
        <v>129.46185416666665</v>
      </c>
      <c r="Z1035" s="2106">
        <v>29.166666666666668</v>
      </c>
      <c r="AA1035" s="2106">
        <v>145.83333333333334</v>
      </c>
      <c r="AB1035" s="2106">
        <v>2570.75</v>
      </c>
      <c r="AC1035" s="2106">
        <v>4021.208333333333</v>
      </c>
      <c r="AD1035" s="1744">
        <v>6737.7916666666661</v>
      </c>
      <c r="AE1035" s="2126">
        <v>1</v>
      </c>
      <c r="AF1035" s="2126">
        <v>52.044609665427508</v>
      </c>
      <c r="AG1035" s="1212">
        <v>1</v>
      </c>
      <c r="AH1035" s="1212">
        <v>0</v>
      </c>
      <c r="AI1035" s="1212">
        <v>0</v>
      </c>
      <c r="AJ1035" s="1212">
        <v>1</v>
      </c>
      <c r="AK1035" s="2126">
        <v>6737.7916666666661</v>
      </c>
      <c r="AL1035" s="2126">
        <v>0</v>
      </c>
      <c r="AM1035" s="2126">
        <v>0</v>
      </c>
      <c r="AN1035" s="2126">
        <v>6737.7916666666661</v>
      </c>
      <c r="AO1035" s="1743" t="s">
        <v>85</v>
      </c>
      <c r="AP1035" s="1743"/>
      <c r="AQ1035" s="1764">
        <v>2014</v>
      </c>
      <c r="AR1035" s="1743" t="s">
        <v>87</v>
      </c>
      <c r="AS1035" s="2135"/>
      <c r="AT1035" s="2135"/>
      <c r="AU1035" s="1212">
        <v>0.33333333333333331</v>
      </c>
      <c r="AV1035" s="1212">
        <v>0.33333333333333331</v>
      </c>
      <c r="AW1035" s="1212">
        <v>0.33333333333333331</v>
      </c>
      <c r="AX1035" s="1212"/>
      <c r="AY1035" s="1212"/>
      <c r="AZ1035" s="1212"/>
      <c r="BA1035" s="1212"/>
      <c r="BB1035" s="1212"/>
      <c r="BC1035" s="1212"/>
      <c r="BD1035" s="1212"/>
      <c r="BE1035" s="1212"/>
      <c r="BF1035" s="2126">
        <v>0</v>
      </c>
      <c r="BG1035" s="2126">
        <v>0</v>
      </c>
      <c r="BH1035" s="2126">
        <v>2245.9305555555552</v>
      </c>
      <c r="BI1035" s="2126">
        <v>2245.9305555555552</v>
      </c>
      <c r="BJ1035" s="2126">
        <v>2245.9305555555552</v>
      </c>
      <c r="BK1035" s="2126">
        <v>0</v>
      </c>
      <c r="BL1035" s="2126">
        <v>0</v>
      </c>
      <c r="BM1035" s="2126">
        <v>0</v>
      </c>
      <c r="BN1035" s="2126">
        <v>0</v>
      </c>
      <c r="BO1035" s="2126">
        <v>0</v>
      </c>
      <c r="BP1035" s="2126">
        <v>0</v>
      </c>
      <c r="BQ1035" s="2126">
        <v>0</v>
      </c>
      <c r="BR1035" s="2126">
        <v>0</v>
      </c>
    </row>
    <row r="1036" spans="1:70" s="1765" customFormat="1" ht="33">
      <c r="A1036" s="1272">
        <v>4000</v>
      </c>
      <c r="B1036" s="971" t="s">
        <v>1316</v>
      </c>
      <c r="C1036" s="1272">
        <v>4500</v>
      </c>
      <c r="D1036" s="971" t="s">
        <v>452</v>
      </c>
      <c r="E1036" s="971" t="s">
        <v>1885</v>
      </c>
      <c r="F1036" s="971" t="s">
        <v>1882</v>
      </c>
      <c r="G1036" s="971">
        <v>4540</v>
      </c>
      <c r="H1036" s="971" t="s">
        <v>1883</v>
      </c>
      <c r="I1036" s="1273" t="s">
        <v>1898</v>
      </c>
      <c r="J1036" s="971" t="s">
        <v>686</v>
      </c>
      <c r="K1036" s="971" t="s">
        <v>687</v>
      </c>
      <c r="L1036" s="971" t="s">
        <v>2915</v>
      </c>
      <c r="M1036" s="971" t="s">
        <v>687</v>
      </c>
      <c r="N1036" s="971" t="s">
        <v>179</v>
      </c>
      <c r="O1036" s="971" t="s">
        <v>688</v>
      </c>
      <c r="P1036" s="971"/>
      <c r="Q1036" s="971" t="s">
        <v>812</v>
      </c>
      <c r="R1036" s="1266" t="s">
        <v>1899</v>
      </c>
      <c r="S1036" s="2106">
        <v>0</v>
      </c>
      <c r="T1036" s="1266" t="s">
        <v>242</v>
      </c>
      <c r="U1036" s="1742">
        <v>2</v>
      </c>
      <c r="V1036" s="1742">
        <v>25</v>
      </c>
      <c r="W1036" s="1742">
        <v>176.28</v>
      </c>
      <c r="X1036" s="1742">
        <v>275.74</v>
      </c>
      <c r="Y1036" s="2106">
        <v>477.02</v>
      </c>
      <c r="Z1036" s="2106">
        <v>0</v>
      </c>
      <c r="AA1036" s="2106">
        <v>0</v>
      </c>
      <c r="AB1036" s="2106">
        <v>0</v>
      </c>
      <c r="AC1036" s="2106">
        <v>0</v>
      </c>
      <c r="AD1036" s="1744">
        <v>0</v>
      </c>
      <c r="AE1036" s="2126">
        <v>0.5</v>
      </c>
      <c r="AF1036" s="2126">
        <v>0</v>
      </c>
      <c r="AG1036" s="1212">
        <v>1</v>
      </c>
      <c r="AH1036" s="1212">
        <v>0</v>
      </c>
      <c r="AI1036" s="1212">
        <v>0</v>
      </c>
      <c r="AJ1036" s="1212">
        <v>1</v>
      </c>
      <c r="AK1036" s="2126">
        <v>0</v>
      </c>
      <c r="AL1036" s="2126">
        <v>0</v>
      </c>
      <c r="AM1036" s="2126">
        <v>0</v>
      </c>
      <c r="AN1036" s="2126">
        <v>0</v>
      </c>
      <c r="AO1036" s="1743" t="s">
        <v>85</v>
      </c>
      <c r="AP1036" s="1743" t="s">
        <v>96</v>
      </c>
      <c r="AQ1036" s="1764">
        <v>2014</v>
      </c>
      <c r="AR1036" s="1743" t="s">
        <v>87</v>
      </c>
      <c r="AS1036" s="2135"/>
      <c r="AT1036" s="2135"/>
      <c r="AU1036" s="1212">
        <v>0.33333333333333331</v>
      </c>
      <c r="AV1036" s="1212">
        <v>0.33333333333333331</v>
      </c>
      <c r="AW1036" s="1212">
        <v>0.33333333333333331</v>
      </c>
      <c r="AX1036" s="1212"/>
      <c r="AY1036" s="1212"/>
      <c r="AZ1036" s="1212"/>
      <c r="BA1036" s="1212"/>
      <c r="BB1036" s="1212"/>
      <c r="BC1036" s="1212"/>
      <c r="BD1036" s="1212"/>
      <c r="BE1036" s="1212"/>
      <c r="BF1036" s="2126">
        <v>0</v>
      </c>
      <c r="BG1036" s="2126">
        <v>0</v>
      </c>
      <c r="BH1036" s="2126">
        <v>0</v>
      </c>
      <c r="BI1036" s="2126">
        <v>0</v>
      </c>
      <c r="BJ1036" s="2126">
        <v>0</v>
      </c>
      <c r="BK1036" s="2126">
        <v>0</v>
      </c>
      <c r="BL1036" s="2126">
        <v>0</v>
      </c>
      <c r="BM1036" s="2126">
        <v>0</v>
      </c>
      <c r="BN1036" s="2126">
        <v>0</v>
      </c>
      <c r="BO1036" s="2126">
        <v>0</v>
      </c>
      <c r="BP1036" s="2126">
        <v>0</v>
      </c>
      <c r="BQ1036" s="2126">
        <v>0</v>
      </c>
      <c r="BR1036" s="2126">
        <v>0</v>
      </c>
    </row>
    <row r="1037" spans="1:70" s="1765" customFormat="1" ht="33">
      <c r="A1037" s="1272">
        <v>4000</v>
      </c>
      <c r="B1037" s="971" t="s">
        <v>1316</v>
      </c>
      <c r="C1037" s="1272">
        <v>4500</v>
      </c>
      <c r="D1037" s="971" t="s">
        <v>452</v>
      </c>
      <c r="E1037" s="971" t="s">
        <v>1885</v>
      </c>
      <c r="F1037" s="971" t="s">
        <v>1882</v>
      </c>
      <c r="G1037" s="971">
        <v>4540</v>
      </c>
      <c r="H1037" s="971" t="s">
        <v>1883</v>
      </c>
      <c r="I1037" s="1273" t="s">
        <v>1900</v>
      </c>
      <c r="J1037" s="971" t="s">
        <v>124</v>
      </c>
      <c r="K1037" s="971" t="s">
        <v>140</v>
      </c>
      <c r="L1037" s="971" t="s">
        <v>2909</v>
      </c>
      <c r="M1037" s="971" t="s">
        <v>140</v>
      </c>
      <c r="N1037" s="971" t="s">
        <v>141</v>
      </c>
      <c r="O1037" s="971" t="s">
        <v>142</v>
      </c>
      <c r="P1037" s="971"/>
      <c r="Q1037" s="971" t="s">
        <v>815</v>
      </c>
      <c r="R1037" s="1266" t="s">
        <v>1896</v>
      </c>
      <c r="S1037" s="2106">
        <v>52.044609665427508</v>
      </c>
      <c r="T1037" s="1266" t="s">
        <v>136</v>
      </c>
      <c r="U1037" s="1742">
        <v>0</v>
      </c>
      <c r="V1037" s="1742">
        <v>0</v>
      </c>
      <c r="W1037" s="1742">
        <v>0</v>
      </c>
      <c r="X1037" s="1742">
        <v>0</v>
      </c>
      <c r="Y1037" s="2106">
        <v>0</v>
      </c>
      <c r="Z1037" s="2106">
        <v>0</v>
      </c>
      <c r="AA1037" s="2106">
        <v>0</v>
      </c>
      <c r="AB1037" s="2106">
        <v>0</v>
      </c>
      <c r="AC1037" s="2106">
        <v>0</v>
      </c>
      <c r="AD1037" s="1744">
        <v>0</v>
      </c>
      <c r="AE1037" s="2126">
        <v>0</v>
      </c>
      <c r="AF1037" s="2126">
        <v>0</v>
      </c>
      <c r="AG1037" s="1212">
        <v>1</v>
      </c>
      <c r="AH1037" s="1212">
        <v>0</v>
      </c>
      <c r="AI1037" s="1212">
        <v>0</v>
      </c>
      <c r="AJ1037" s="1212">
        <v>1</v>
      </c>
      <c r="AK1037" s="2126">
        <v>0</v>
      </c>
      <c r="AL1037" s="2126">
        <v>0</v>
      </c>
      <c r="AM1037" s="2126">
        <v>0</v>
      </c>
      <c r="AN1037" s="2126">
        <v>0</v>
      </c>
      <c r="AO1037" s="1743" t="s">
        <v>85</v>
      </c>
      <c r="AP1037" s="1743"/>
      <c r="AQ1037" s="1764">
        <v>2014</v>
      </c>
      <c r="AR1037" s="1743" t="s">
        <v>87</v>
      </c>
      <c r="AS1037" s="2135"/>
      <c r="AT1037" s="2135"/>
      <c r="AU1037" s="1212">
        <v>0.33333333333333331</v>
      </c>
      <c r="AV1037" s="1212">
        <v>0.33333333333333331</v>
      </c>
      <c r="AW1037" s="1212">
        <v>0.33333333333333331</v>
      </c>
      <c r="AX1037" s="1212"/>
      <c r="AY1037" s="1212"/>
      <c r="AZ1037" s="1212"/>
      <c r="BA1037" s="1212"/>
      <c r="BB1037" s="1212"/>
      <c r="BC1037" s="1212"/>
      <c r="BD1037" s="1212"/>
      <c r="BE1037" s="1212"/>
      <c r="BF1037" s="2126">
        <v>0</v>
      </c>
      <c r="BG1037" s="2126">
        <v>0</v>
      </c>
      <c r="BH1037" s="2126">
        <v>0</v>
      </c>
      <c r="BI1037" s="2126">
        <v>0</v>
      </c>
      <c r="BJ1037" s="2126">
        <v>0</v>
      </c>
      <c r="BK1037" s="2126">
        <v>0</v>
      </c>
      <c r="BL1037" s="2126">
        <v>0</v>
      </c>
      <c r="BM1037" s="2126">
        <v>0</v>
      </c>
      <c r="BN1037" s="2126">
        <v>0</v>
      </c>
      <c r="BO1037" s="2126">
        <v>0</v>
      </c>
      <c r="BP1037" s="2126">
        <v>0</v>
      </c>
      <c r="BQ1037" s="2126">
        <v>0</v>
      </c>
      <c r="BR1037" s="2126">
        <v>0</v>
      </c>
    </row>
    <row r="1038" spans="1:70" s="1765" customFormat="1" ht="33">
      <c r="A1038" s="1272">
        <v>4000</v>
      </c>
      <c r="B1038" s="971" t="s">
        <v>1316</v>
      </c>
      <c r="C1038" s="1272">
        <v>4500</v>
      </c>
      <c r="D1038" s="971" t="s">
        <v>452</v>
      </c>
      <c r="E1038" s="971" t="s">
        <v>1885</v>
      </c>
      <c r="F1038" s="971" t="s">
        <v>1882</v>
      </c>
      <c r="G1038" s="971">
        <v>4540</v>
      </c>
      <c r="H1038" s="971" t="s">
        <v>1883</v>
      </c>
      <c r="I1038" s="1273" t="s">
        <v>1901</v>
      </c>
      <c r="J1038" s="971" t="s">
        <v>799</v>
      </c>
      <c r="K1038" s="971"/>
      <c r="L1038" s="971" t="e">
        <v>#N/A</v>
      </c>
      <c r="M1038" s="971" t="s">
        <v>145</v>
      </c>
      <c r="N1038" s="971" t="s">
        <v>141</v>
      </c>
      <c r="O1038" s="971" t="s">
        <v>146</v>
      </c>
      <c r="P1038" s="971"/>
      <c r="Q1038" s="971" t="s">
        <v>817</v>
      </c>
      <c r="R1038" s="1266" t="s">
        <v>1896</v>
      </c>
      <c r="S1038" s="2106">
        <v>52.044609665427508</v>
      </c>
      <c r="T1038" s="1266" t="s">
        <v>136</v>
      </c>
      <c r="U1038" s="1742" t="s">
        <v>6588</v>
      </c>
      <c r="V1038" s="1742" t="s">
        <v>6588</v>
      </c>
      <c r="W1038" s="1742" t="s">
        <v>6588</v>
      </c>
      <c r="X1038" s="1742" t="s">
        <v>6588</v>
      </c>
      <c r="Y1038" s="2106" t="s">
        <v>6588</v>
      </c>
      <c r="Z1038" s="2106">
        <v>0</v>
      </c>
      <c r="AA1038" s="2106">
        <v>0</v>
      </c>
      <c r="AB1038" s="2106">
        <v>0</v>
      </c>
      <c r="AC1038" s="2106">
        <v>0</v>
      </c>
      <c r="AD1038" s="1744">
        <v>0</v>
      </c>
      <c r="AE1038" s="2126">
        <v>0</v>
      </c>
      <c r="AF1038" s="2126">
        <v>0</v>
      </c>
      <c r="AG1038" s="1212">
        <v>1</v>
      </c>
      <c r="AH1038" s="1212">
        <v>0</v>
      </c>
      <c r="AI1038" s="1212">
        <v>0</v>
      </c>
      <c r="AJ1038" s="1212">
        <v>1</v>
      </c>
      <c r="AK1038" s="2126">
        <v>0</v>
      </c>
      <c r="AL1038" s="2126">
        <v>0</v>
      </c>
      <c r="AM1038" s="2126">
        <v>0</v>
      </c>
      <c r="AN1038" s="2126">
        <v>0</v>
      </c>
      <c r="AO1038" s="1743" t="s">
        <v>85</v>
      </c>
      <c r="AP1038" s="1743"/>
      <c r="AQ1038" s="1764">
        <v>2014</v>
      </c>
      <c r="AR1038" s="1743" t="s">
        <v>87</v>
      </c>
      <c r="AS1038" s="2135"/>
      <c r="AT1038" s="2135"/>
      <c r="AU1038" s="1212">
        <v>0.33333333333333331</v>
      </c>
      <c r="AV1038" s="1212">
        <v>0.33333333333333331</v>
      </c>
      <c r="AW1038" s="1212">
        <v>0.33333333333333331</v>
      </c>
      <c r="AX1038" s="1212"/>
      <c r="AY1038" s="1212"/>
      <c r="AZ1038" s="1212"/>
      <c r="BA1038" s="1212"/>
      <c r="BB1038" s="1212"/>
      <c r="BC1038" s="1212"/>
      <c r="BD1038" s="1212"/>
      <c r="BE1038" s="1212"/>
      <c r="BF1038" s="2126">
        <v>0</v>
      </c>
      <c r="BG1038" s="2126">
        <v>0</v>
      </c>
      <c r="BH1038" s="2126">
        <v>0</v>
      </c>
      <c r="BI1038" s="2126">
        <v>0</v>
      </c>
      <c r="BJ1038" s="2126">
        <v>0</v>
      </c>
      <c r="BK1038" s="2126">
        <v>0</v>
      </c>
      <c r="BL1038" s="2126">
        <v>0</v>
      </c>
      <c r="BM1038" s="2126">
        <v>0</v>
      </c>
      <c r="BN1038" s="2126">
        <v>0</v>
      </c>
      <c r="BO1038" s="2126">
        <v>0</v>
      </c>
      <c r="BP1038" s="2126">
        <v>0</v>
      </c>
      <c r="BQ1038" s="2126">
        <v>0</v>
      </c>
      <c r="BR1038" s="2126">
        <v>0</v>
      </c>
    </row>
    <row r="1039" spans="1:70" s="1765" customFormat="1" ht="49.5">
      <c r="A1039" s="1272">
        <v>4000</v>
      </c>
      <c r="B1039" s="971" t="s">
        <v>1316</v>
      </c>
      <c r="C1039" s="1272">
        <v>4500</v>
      </c>
      <c r="D1039" s="971" t="s">
        <v>452</v>
      </c>
      <c r="E1039" s="971">
        <v>4540</v>
      </c>
      <c r="F1039" s="971" t="s">
        <v>1882</v>
      </c>
      <c r="G1039" s="971">
        <v>4540</v>
      </c>
      <c r="H1039" s="971" t="s">
        <v>1883</v>
      </c>
      <c r="I1039" s="1273"/>
      <c r="J1039" s="971" t="s">
        <v>121</v>
      </c>
      <c r="K1039" s="971" t="s">
        <v>255</v>
      </c>
      <c r="L1039" s="971" t="s">
        <v>2802</v>
      </c>
      <c r="M1039" s="971" t="s">
        <v>255</v>
      </c>
      <c r="N1039" s="971" t="s">
        <v>83</v>
      </c>
      <c r="O1039" s="971" t="s">
        <v>256</v>
      </c>
      <c r="P1039" s="971"/>
      <c r="Q1039" s="971" t="s">
        <v>1902</v>
      </c>
      <c r="R1039" s="1266"/>
      <c r="S1039" s="2106">
        <v>900</v>
      </c>
      <c r="T1039" s="1266" t="s">
        <v>136</v>
      </c>
      <c r="U1039" s="1742">
        <v>4.4491883296460179E-2</v>
      </c>
      <c r="V1039" s="1742">
        <v>0.1701</v>
      </c>
      <c r="W1039" s="1742">
        <v>3.92151459375</v>
      </c>
      <c r="X1039" s="1742">
        <v>0.68180304577546291</v>
      </c>
      <c r="Y1039" s="2106">
        <v>4.7480795457754628</v>
      </c>
      <c r="Z1039" s="2106">
        <v>40.04269496681416</v>
      </c>
      <c r="AA1039" s="2106">
        <v>153.09</v>
      </c>
      <c r="AB1039" s="2106">
        <v>3529.3631343749998</v>
      </c>
      <c r="AC1039" s="2106">
        <v>613.62274119791664</v>
      </c>
      <c r="AD1039" s="1744">
        <v>4296.0758755729166</v>
      </c>
      <c r="AE1039" s="2126">
        <v>0</v>
      </c>
      <c r="AF1039" s="2126">
        <v>0</v>
      </c>
      <c r="AG1039" s="1212">
        <v>1</v>
      </c>
      <c r="AH1039" s="1212">
        <v>0</v>
      </c>
      <c r="AI1039" s="1212">
        <v>0</v>
      </c>
      <c r="AJ1039" s="1212">
        <v>1</v>
      </c>
      <c r="AK1039" s="2126">
        <v>4296.0758755729166</v>
      </c>
      <c r="AL1039" s="2126">
        <v>0</v>
      </c>
      <c r="AM1039" s="2126">
        <v>0</v>
      </c>
      <c r="AN1039" s="2126">
        <v>4296.0758755729166</v>
      </c>
      <c r="AO1039" s="1743" t="s">
        <v>85</v>
      </c>
      <c r="AP1039" s="1743"/>
      <c r="AQ1039" s="1764">
        <v>2015</v>
      </c>
      <c r="AR1039" s="1743" t="s">
        <v>87</v>
      </c>
      <c r="AS1039" s="2135"/>
      <c r="AT1039" s="2135"/>
      <c r="AU1039" s="1212">
        <v>0.33333333333333331</v>
      </c>
      <c r="AV1039" s="1212">
        <v>0.33333333333333331</v>
      </c>
      <c r="AW1039" s="1212">
        <v>0.33333333333333331</v>
      </c>
      <c r="AX1039" s="1212"/>
      <c r="AY1039" s="1212"/>
      <c r="AZ1039" s="1212"/>
      <c r="BA1039" s="1212"/>
      <c r="BB1039" s="1212"/>
      <c r="BC1039" s="1212"/>
      <c r="BD1039" s="1212"/>
      <c r="BE1039" s="1212"/>
      <c r="BF1039" s="2126">
        <v>0</v>
      </c>
      <c r="BG1039" s="2126">
        <v>0</v>
      </c>
      <c r="BH1039" s="2126">
        <v>1432.0252918576389</v>
      </c>
      <c r="BI1039" s="2126">
        <v>1432.0252918576389</v>
      </c>
      <c r="BJ1039" s="2126">
        <v>1432.0252918576389</v>
      </c>
      <c r="BK1039" s="2126">
        <v>0</v>
      </c>
      <c r="BL1039" s="2126">
        <v>0</v>
      </c>
      <c r="BM1039" s="2126">
        <v>0</v>
      </c>
      <c r="BN1039" s="2126">
        <v>0</v>
      </c>
      <c r="BO1039" s="2126">
        <v>0</v>
      </c>
      <c r="BP1039" s="2126">
        <v>0</v>
      </c>
      <c r="BQ1039" s="2126">
        <v>0</v>
      </c>
      <c r="BR1039" s="2126">
        <v>0</v>
      </c>
    </row>
    <row r="1040" spans="1:70" s="1765" customFormat="1" ht="49.5">
      <c r="A1040" s="1272">
        <v>4000</v>
      </c>
      <c r="B1040" s="971" t="s">
        <v>1316</v>
      </c>
      <c r="C1040" s="1272">
        <v>4500</v>
      </c>
      <c r="D1040" s="971" t="s">
        <v>452</v>
      </c>
      <c r="E1040" s="971">
        <v>4540</v>
      </c>
      <c r="F1040" s="971" t="s">
        <v>1882</v>
      </c>
      <c r="G1040" s="971">
        <v>4540</v>
      </c>
      <c r="H1040" s="971" t="s">
        <v>1883</v>
      </c>
      <c r="I1040" s="1273"/>
      <c r="J1040" s="971" t="s">
        <v>121</v>
      </c>
      <c r="K1040" s="971" t="s">
        <v>255</v>
      </c>
      <c r="L1040" s="971" t="s">
        <v>2802</v>
      </c>
      <c r="M1040" s="971" t="s">
        <v>255</v>
      </c>
      <c r="N1040" s="971" t="s">
        <v>83</v>
      </c>
      <c r="O1040" s="971" t="s">
        <v>256</v>
      </c>
      <c r="P1040" s="971"/>
      <c r="Q1040" s="971" t="s">
        <v>820</v>
      </c>
      <c r="R1040" s="1266" t="s">
        <v>1903</v>
      </c>
      <c r="S1040" s="2106">
        <v>9000</v>
      </c>
      <c r="T1040" s="1266" t="s">
        <v>136</v>
      </c>
      <c r="U1040" s="1742">
        <v>4.4491883296460179E-2</v>
      </c>
      <c r="V1040" s="1742">
        <v>0.1701</v>
      </c>
      <c r="W1040" s="1742">
        <v>3.92151459375</v>
      </c>
      <c r="X1040" s="1742">
        <v>0.68180304577546291</v>
      </c>
      <c r="Y1040" s="2106">
        <v>4.7480795457754628</v>
      </c>
      <c r="Z1040" s="2106">
        <v>400.42694966814162</v>
      </c>
      <c r="AA1040" s="2106">
        <v>1530.9</v>
      </c>
      <c r="AB1040" s="2106">
        <v>35293.631343749999</v>
      </c>
      <c r="AC1040" s="2106">
        <v>6136.2274119791664</v>
      </c>
      <c r="AD1040" s="1744">
        <v>42960.75875572917</v>
      </c>
      <c r="AE1040" s="2126">
        <v>0</v>
      </c>
      <c r="AF1040" s="2126">
        <v>0</v>
      </c>
      <c r="AG1040" s="1212">
        <v>1</v>
      </c>
      <c r="AH1040" s="1212">
        <v>0</v>
      </c>
      <c r="AI1040" s="1212">
        <v>0</v>
      </c>
      <c r="AJ1040" s="1212">
        <v>1</v>
      </c>
      <c r="AK1040" s="2126">
        <v>42960.75875572917</v>
      </c>
      <c r="AL1040" s="2126">
        <v>0</v>
      </c>
      <c r="AM1040" s="2126">
        <v>0</v>
      </c>
      <c r="AN1040" s="2126">
        <v>42960.75875572917</v>
      </c>
      <c r="AO1040" s="1743" t="s">
        <v>85</v>
      </c>
      <c r="AP1040" s="1743" t="s">
        <v>90</v>
      </c>
      <c r="AQ1040" s="1764">
        <v>2019</v>
      </c>
      <c r="AR1040" s="1743" t="s">
        <v>87</v>
      </c>
      <c r="AS1040" s="2135"/>
      <c r="AT1040" s="2135"/>
      <c r="AU1040" s="1212">
        <v>0.33333333333333331</v>
      </c>
      <c r="AV1040" s="1212">
        <v>0.33333333333333331</v>
      </c>
      <c r="AW1040" s="1212">
        <v>0.33333333333333331</v>
      </c>
      <c r="AX1040" s="1212"/>
      <c r="AY1040" s="1212"/>
      <c r="AZ1040" s="1212"/>
      <c r="BA1040" s="1212"/>
      <c r="BB1040" s="1212"/>
      <c r="BC1040" s="1212"/>
      <c r="BD1040" s="1212"/>
      <c r="BE1040" s="1212"/>
      <c r="BF1040" s="2126">
        <v>0</v>
      </c>
      <c r="BG1040" s="2126">
        <v>0</v>
      </c>
      <c r="BH1040" s="2126">
        <v>14320.252918576389</v>
      </c>
      <c r="BI1040" s="2126">
        <v>14320.252918576389</v>
      </c>
      <c r="BJ1040" s="2126">
        <v>14320.252918576389</v>
      </c>
      <c r="BK1040" s="2126">
        <v>0</v>
      </c>
      <c r="BL1040" s="2126">
        <v>0</v>
      </c>
      <c r="BM1040" s="2126">
        <v>0</v>
      </c>
      <c r="BN1040" s="2126">
        <v>0</v>
      </c>
      <c r="BO1040" s="2126">
        <v>0</v>
      </c>
      <c r="BP1040" s="2126">
        <v>0</v>
      </c>
      <c r="BQ1040" s="2126">
        <v>0</v>
      </c>
      <c r="BR1040" s="2126">
        <v>0</v>
      </c>
    </row>
    <row r="1041" spans="1:70" s="1765" customFormat="1" ht="49.5">
      <c r="A1041" s="1272">
        <v>4000</v>
      </c>
      <c r="B1041" s="971" t="s">
        <v>1316</v>
      </c>
      <c r="C1041" s="1272">
        <v>4500</v>
      </c>
      <c r="D1041" s="971" t="s">
        <v>452</v>
      </c>
      <c r="E1041" s="971">
        <v>4540</v>
      </c>
      <c r="F1041" s="971" t="s">
        <v>1882</v>
      </c>
      <c r="G1041" s="971">
        <v>4540</v>
      </c>
      <c r="H1041" s="971" t="s">
        <v>1883</v>
      </c>
      <c r="I1041" s="1273"/>
      <c r="J1041" s="971" t="s">
        <v>121</v>
      </c>
      <c r="K1041" s="971" t="s">
        <v>255</v>
      </c>
      <c r="L1041" s="971" t="s">
        <v>2802</v>
      </c>
      <c r="M1041" s="971" t="s">
        <v>255</v>
      </c>
      <c r="N1041" s="971" t="s">
        <v>83</v>
      </c>
      <c r="O1041" s="971" t="s">
        <v>256</v>
      </c>
      <c r="P1041" s="971"/>
      <c r="Q1041" s="971" t="s">
        <v>1904</v>
      </c>
      <c r="R1041" s="1266" t="s">
        <v>1905</v>
      </c>
      <c r="S1041" s="2106">
        <v>1288</v>
      </c>
      <c r="T1041" s="1266" t="s">
        <v>136</v>
      </c>
      <c r="U1041" s="1742">
        <v>4.4491883296460179E-2</v>
      </c>
      <c r="V1041" s="1742">
        <v>0.1701</v>
      </c>
      <c r="W1041" s="1742">
        <v>3.92151459375</v>
      </c>
      <c r="X1041" s="1742">
        <v>0.68180304577546291</v>
      </c>
      <c r="Y1041" s="2106">
        <v>4.7480795457754628</v>
      </c>
      <c r="Z1041" s="2106">
        <v>57.305545685840713</v>
      </c>
      <c r="AA1041" s="2106">
        <v>219.08879999999999</v>
      </c>
      <c r="AB1041" s="2106">
        <v>5050.9107967500004</v>
      </c>
      <c r="AC1041" s="2106">
        <v>878.16232295879627</v>
      </c>
      <c r="AD1041" s="1744">
        <v>6148.1619197087966</v>
      </c>
      <c r="AE1041" s="2126">
        <v>0</v>
      </c>
      <c r="AF1041" s="2126">
        <v>0</v>
      </c>
      <c r="AG1041" s="1212">
        <v>1</v>
      </c>
      <c r="AH1041" s="1212">
        <v>0</v>
      </c>
      <c r="AI1041" s="1212">
        <v>0</v>
      </c>
      <c r="AJ1041" s="1212">
        <v>1</v>
      </c>
      <c r="AK1041" s="2126">
        <v>6148.1619197087966</v>
      </c>
      <c r="AL1041" s="2126">
        <v>0</v>
      </c>
      <c r="AM1041" s="2126">
        <v>0</v>
      </c>
      <c r="AN1041" s="2126">
        <v>6148.1619197087966</v>
      </c>
      <c r="AO1041" s="1743" t="s">
        <v>85</v>
      </c>
      <c r="AP1041" s="1743" t="s">
        <v>90</v>
      </c>
      <c r="AQ1041" s="1764">
        <v>2022</v>
      </c>
      <c r="AR1041" s="1743" t="s">
        <v>87</v>
      </c>
      <c r="AS1041" s="2135"/>
      <c r="AT1041" s="2135"/>
      <c r="AU1041" s="1212">
        <v>0.33333333333333331</v>
      </c>
      <c r="AV1041" s="1212">
        <v>0.33333333333333331</v>
      </c>
      <c r="AW1041" s="1212">
        <v>0.33333333333333331</v>
      </c>
      <c r="AX1041" s="1212"/>
      <c r="AY1041" s="1212"/>
      <c r="AZ1041" s="1212"/>
      <c r="BA1041" s="1212"/>
      <c r="BB1041" s="1212"/>
      <c r="BC1041" s="1212"/>
      <c r="BD1041" s="1212"/>
      <c r="BE1041" s="1212"/>
      <c r="BF1041" s="2126">
        <v>0</v>
      </c>
      <c r="BG1041" s="2126">
        <v>0</v>
      </c>
      <c r="BH1041" s="2126">
        <v>2049.3873065695989</v>
      </c>
      <c r="BI1041" s="2126">
        <v>2049.3873065695989</v>
      </c>
      <c r="BJ1041" s="2126">
        <v>2049.3873065695989</v>
      </c>
      <c r="BK1041" s="2126">
        <v>0</v>
      </c>
      <c r="BL1041" s="2126">
        <v>0</v>
      </c>
      <c r="BM1041" s="2126">
        <v>0</v>
      </c>
      <c r="BN1041" s="2126">
        <v>0</v>
      </c>
      <c r="BO1041" s="2126">
        <v>0</v>
      </c>
      <c r="BP1041" s="2126">
        <v>0</v>
      </c>
      <c r="BQ1041" s="2126">
        <v>0</v>
      </c>
      <c r="BR1041" s="2126">
        <v>0</v>
      </c>
    </row>
    <row r="1042" spans="1:70" s="1765" customFormat="1" ht="49.5">
      <c r="A1042" s="1272">
        <v>4000</v>
      </c>
      <c r="B1042" s="971" t="s">
        <v>1316</v>
      </c>
      <c r="C1042" s="1272">
        <v>4500</v>
      </c>
      <c r="D1042" s="971" t="s">
        <v>452</v>
      </c>
      <c r="E1042" s="971">
        <v>4540</v>
      </c>
      <c r="F1042" s="971" t="s">
        <v>1882</v>
      </c>
      <c r="G1042" s="971">
        <v>4540</v>
      </c>
      <c r="H1042" s="971" t="s">
        <v>1883</v>
      </c>
      <c r="I1042" s="1273"/>
      <c r="J1042" s="971" t="s">
        <v>121</v>
      </c>
      <c r="K1042" s="971" t="s">
        <v>255</v>
      </c>
      <c r="L1042" s="971" t="s">
        <v>2802</v>
      </c>
      <c r="M1042" s="971" t="s">
        <v>255</v>
      </c>
      <c r="N1042" s="971" t="s">
        <v>83</v>
      </c>
      <c r="O1042" s="971" t="s">
        <v>256</v>
      </c>
      <c r="P1042" s="971"/>
      <c r="Q1042" s="971" t="s">
        <v>1906</v>
      </c>
      <c r="R1042" s="1266" t="s">
        <v>1905</v>
      </c>
      <c r="S1042" s="2106">
        <v>4611</v>
      </c>
      <c r="T1042" s="1266" t="s">
        <v>136</v>
      </c>
      <c r="U1042" s="1742">
        <v>4.4491883296460179E-2</v>
      </c>
      <c r="V1042" s="1742">
        <v>0.1701</v>
      </c>
      <c r="W1042" s="1742">
        <v>3.92151459375</v>
      </c>
      <c r="X1042" s="1742">
        <v>0.68180304577546291</v>
      </c>
      <c r="Y1042" s="2106">
        <v>4.7480795457754628</v>
      </c>
      <c r="Z1042" s="2106">
        <v>205.15207387997788</v>
      </c>
      <c r="AA1042" s="2106">
        <v>784.33109999999999</v>
      </c>
      <c r="AB1042" s="2106">
        <v>18082.10379178125</v>
      </c>
      <c r="AC1042" s="2106">
        <v>3143.7938440706594</v>
      </c>
      <c r="AD1042" s="1744">
        <v>22010.22873585191</v>
      </c>
      <c r="AE1042" s="2126">
        <v>0</v>
      </c>
      <c r="AF1042" s="2126">
        <v>0</v>
      </c>
      <c r="AG1042" s="1212">
        <v>1</v>
      </c>
      <c r="AH1042" s="1212">
        <v>0</v>
      </c>
      <c r="AI1042" s="1212">
        <v>0</v>
      </c>
      <c r="AJ1042" s="1212">
        <v>1</v>
      </c>
      <c r="AK1042" s="2126">
        <v>22010.22873585191</v>
      </c>
      <c r="AL1042" s="2126">
        <v>0</v>
      </c>
      <c r="AM1042" s="2126">
        <v>0</v>
      </c>
      <c r="AN1042" s="2126">
        <v>22010.22873585191</v>
      </c>
      <c r="AO1042" s="1743" t="s">
        <v>85</v>
      </c>
      <c r="AP1042" s="1743" t="s">
        <v>90</v>
      </c>
      <c r="AQ1042" s="1764">
        <v>2022</v>
      </c>
      <c r="AR1042" s="1743" t="s">
        <v>87</v>
      </c>
      <c r="AS1042" s="2135"/>
      <c r="AT1042" s="2135"/>
      <c r="AU1042" s="1212">
        <v>0.33333333333333331</v>
      </c>
      <c r="AV1042" s="1212">
        <v>0.33333333333333331</v>
      </c>
      <c r="AW1042" s="1212">
        <v>0.33333333333333331</v>
      </c>
      <c r="AX1042" s="1212"/>
      <c r="AY1042" s="1212"/>
      <c r="AZ1042" s="1212"/>
      <c r="BA1042" s="1212"/>
      <c r="BB1042" s="1212"/>
      <c r="BC1042" s="1212"/>
      <c r="BD1042" s="1212"/>
      <c r="BE1042" s="1212"/>
      <c r="BF1042" s="2126">
        <v>0</v>
      </c>
      <c r="BG1042" s="2126">
        <v>0</v>
      </c>
      <c r="BH1042" s="2126">
        <v>7336.742911950636</v>
      </c>
      <c r="BI1042" s="2126">
        <v>7336.742911950636</v>
      </c>
      <c r="BJ1042" s="2126">
        <v>7336.742911950636</v>
      </c>
      <c r="BK1042" s="2126">
        <v>0</v>
      </c>
      <c r="BL1042" s="2126">
        <v>0</v>
      </c>
      <c r="BM1042" s="2126">
        <v>0</v>
      </c>
      <c r="BN1042" s="2126">
        <v>0</v>
      </c>
      <c r="BO1042" s="2126">
        <v>0</v>
      </c>
      <c r="BP1042" s="2126">
        <v>0</v>
      </c>
      <c r="BQ1042" s="2126">
        <v>0</v>
      </c>
      <c r="BR1042" s="2126">
        <v>0</v>
      </c>
    </row>
    <row r="1043" spans="1:70" s="1765" customFormat="1" ht="49.5">
      <c r="A1043" s="1272">
        <v>4000</v>
      </c>
      <c r="B1043" s="971" t="s">
        <v>1316</v>
      </c>
      <c r="C1043" s="1272">
        <v>4500</v>
      </c>
      <c r="D1043" s="971" t="s">
        <v>452</v>
      </c>
      <c r="E1043" s="971" t="s">
        <v>1885</v>
      </c>
      <c r="F1043" s="971" t="s">
        <v>1882</v>
      </c>
      <c r="G1043" s="971">
        <v>4540</v>
      </c>
      <c r="H1043" s="971" t="s">
        <v>1883</v>
      </c>
      <c r="I1043" s="1273"/>
      <c r="J1043" s="971"/>
      <c r="K1043" s="971" t="s">
        <v>255</v>
      </c>
      <c r="L1043" s="971" t="s">
        <v>2802</v>
      </c>
      <c r="M1043" s="971" t="s">
        <v>255</v>
      </c>
      <c r="N1043" s="971" t="s">
        <v>83</v>
      </c>
      <c r="O1043" s="971" t="s">
        <v>256</v>
      </c>
      <c r="P1043" s="971"/>
      <c r="Q1043" s="971" t="s">
        <v>1907</v>
      </c>
      <c r="R1043" s="1266" t="s">
        <v>1908</v>
      </c>
      <c r="S1043" s="2106">
        <v>360</v>
      </c>
      <c r="T1043" s="1266" t="s">
        <v>136</v>
      </c>
      <c r="U1043" s="1742">
        <v>4.4491883296460179E-2</v>
      </c>
      <c r="V1043" s="1742">
        <v>0.1701</v>
      </c>
      <c r="W1043" s="1742">
        <v>3.92151459375</v>
      </c>
      <c r="X1043" s="1742">
        <v>0.68180304577546291</v>
      </c>
      <c r="Y1043" s="2106">
        <v>4.7480795457754628</v>
      </c>
      <c r="Z1043" s="2106">
        <v>16.017077986725663</v>
      </c>
      <c r="AA1043" s="2106">
        <v>61.235999999999997</v>
      </c>
      <c r="AB1043" s="2106">
        <v>1411.7452537500001</v>
      </c>
      <c r="AC1043" s="2106">
        <v>245.44909647916666</v>
      </c>
      <c r="AD1043" s="1744">
        <v>1709.3086364791666</v>
      </c>
      <c r="AE1043" s="2126">
        <v>0</v>
      </c>
      <c r="AF1043" s="2126">
        <v>0</v>
      </c>
      <c r="AG1043" s="1212">
        <v>1</v>
      </c>
      <c r="AH1043" s="1212">
        <v>0</v>
      </c>
      <c r="AI1043" s="1212">
        <v>0</v>
      </c>
      <c r="AJ1043" s="1212">
        <v>1</v>
      </c>
      <c r="AK1043" s="2126">
        <v>1709.3086364791666</v>
      </c>
      <c r="AL1043" s="2126">
        <v>0</v>
      </c>
      <c r="AM1043" s="2126">
        <v>0</v>
      </c>
      <c r="AN1043" s="2126">
        <v>1709.3086364791666</v>
      </c>
      <c r="AO1043" s="1743" t="s">
        <v>85</v>
      </c>
      <c r="AP1043" s="1743" t="s">
        <v>90</v>
      </c>
      <c r="AQ1043" s="1764">
        <v>2016</v>
      </c>
      <c r="AR1043" s="1743" t="s">
        <v>87</v>
      </c>
      <c r="AS1043" s="2135"/>
      <c r="AT1043" s="2135"/>
      <c r="AU1043" s="1212">
        <v>0.33333333333333331</v>
      </c>
      <c r="AV1043" s="1212">
        <v>0.33333333333333331</v>
      </c>
      <c r="AW1043" s="1212">
        <v>0.33333333333333331</v>
      </c>
      <c r="AX1043" s="1212"/>
      <c r="AY1043" s="1212"/>
      <c r="AZ1043" s="1212"/>
      <c r="BA1043" s="1212"/>
      <c r="BB1043" s="1212"/>
      <c r="BC1043" s="1212"/>
      <c r="BD1043" s="1212"/>
      <c r="BE1043" s="1212"/>
      <c r="BF1043" s="2126">
        <v>0</v>
      </c>
      <c r="BG1043" s="2126">
        <v>0</v>
      </c>
      <c r="BH1043" s="2126">
        <v>569.76954549305549</v>
      </c>
      <c r="BI1043" s="2126">
        <v>569.76954549305549</v>
      </c>
      <c r="BJ1043" s="2126">
        <v>569.76954549305549</v>
      </c>
      <c r="BK1043" s="2126">
        <v>0</v>
      </c>
      <c r="BL1043" s="2126">
        <v>0</v>
      </c>
      <c r="BM1043" s="2126">
        <v>0</v>
      </c>
      <c r="BN1043" s="2126">
        <v>0</v>
      </c>
      <c r="BO1043" s="2126">
        <v>0</v>
      </c>
      <c r="BP1043" s="2126">
        <v>0</v>
      </c>
      <c r="BQ1043" s="2126">
        <v>0</v>
      </c>
      <c r="BR1043" s="2126">
        <v>0</v>
      </c>
    </row>
    <row r="1044" spans="1:70" s="1765" customFormat="1" ht="49.5">
      <c r="A1044" s="1272">
        <v>4000</v>
      </c>
      <c r="B1044" s="971" t="s">
        <v>1316</v>
      </c>
      <c r="C1044" s="1272">
        <v>4500</v>
      </c>
      <c r="D1044" s="971" t="s">
        <v>452</v>
      </c>
      <c r="E1044" s="971" t="s">
        <v>1885</v>
      </c>
      <c r="F1044" s="971" t="s">
        <v>1882</v>
      </c>
      <c r="G1044" s="971">
        <v>4540</v>
      </c>
      <c r="H1044" s="971" t="s">
        <v>1883</v>
      </c>
      <c r="I1044" s="1273"/>
      <c r="J1044" s="971"/>
      <c r="K1044" s="971" t="s">
        <v>255</v>
      </c>
      <c r="L1044" s="971" t="s">
        <v>2802</v>
      </c>
      <c r="M1044" s="971" t="s">
        <v>255</v>
      </c>
      <c r="N1044" s="971" t="s">
        <v>83</v>
      </c>
      <c r="O1044" s="971" t="s">
        <v>256</v>
      </c>
      <c r="P1044" s="971"/>
      <c r="Q1044" s="971" t="s">
        <v>1909</v>
      </c>
      <c r="R1044" s="1266" t="s">
        <v>1908</v>
      </c>
      <c r="S1044" s="2106">
        <v>360</v>
      </c>
      <c r="T1044" s="1266" t="s">
        <v>136</v>
      </c>
      <c r="U1044" s="1742">
        <v>4.4491883296460179E-2</v>
      </c>
      <c r="V1044" s="1742">
        <v>0.1701</v>
      </c>
      <c r="W1044" s="1742">
        <v>3.92151459375</v>
      </c>
      <c r="X1044" s="1742">
        <v>0.68180304577546291</v>
      </c>
      <c r="Y1044" s="2106">
        <v>4.7480795457754628</v>
      </c>
      <c r="Z1044" s="2106">
        <v>16.017077986725663</v>
      </c>
      <c r="AA1044" s="2106">
        <v>61.235999999999997</v>
      </c>
      <c r="AB1044" s="2106">
        <v>1411.7452537500001</v>
      </c>
      <c r="AC1044" s="2106">
        <v>245.44909647916666</v>
      </c>
      <c r="AD1044" s="1744">
        <v>1709.3086364791666</v>
      </c>
      <c r="AE1044" s="2126">
        <v>0</v>
      </c>
      <c r="AF1044" s="2126">
        <v>0</v>
      </c>
      <c r="AG1044" s="1212">
        <v>1</v>
      </c>
      <c r="AH1044" s="1212">
        <v>0</v>
      </c>
      <c r="AI1044" s="1212">
        <v>0</v>
      </c>
      <c r="AJ1044" s="1212">
        <v>1</v>
      </c>
      <c r="AK1044" s="2126">
        <v>1709.3086364791666</v>
      </c>
      <c r="AL1044" s="2126">
        <v>0</v>
      </c>
      <c r="AM1044" s="2126">
        <v>0</v>
      </c>
      <c r="AN1044" s="2126">
        <v>1709.3086364791666</v>
      </c>
      <c r="AO1044" s="1743" t="s">
        <v>85</v>
      </c>
      <c r="AP1044" s="1743" t="s">
        <v>90</v>
      </c>
      <c r="AQ1044" s="1764">
        <v>2016</v>
      </c>
      <c r="AR1044" s="1743" t="s">
        <v>87</v>
      </c>
      <c r="AS1044" s="2135"/>
      <c r="AT1044" s="2135"/>
      <c r="AU1044" s="1212">
        <v>0.33333333333333331</v>
      </c>
      <c r="AV1044" s="1212">
        <v>0.33333333333333331</v>
      </c>
      <c r="AW1044" s="1212">
        <v>0.33333333333333331</v>
      </c>
      <c r="AX1044" s="1212"/>
      <c r="AY1044" s="1212"/>
      <c r="AZ1044" s="1212"/>
      <c r="BA1044" s="1212"/>
      <c r="BB1044" s="1212"/>
      <c r="BC1044" s="1212"/>
      <c r="BD1044" s="1212"/>
      <c r="BE1044" s="1212"/>
      <c r="BF1044" s="2126">
        <v>0</v>
      </c>
      <c r="BG1044" s="2126">
        <v>0</v>
      </c>
      <c r="BH1044" s="2126">
        <v>569.76954549305549</v>
      </c>
      <c r="BI1044" s="2126">
        <v>569.76954549305549</v>
      </c>
      <c r="BJ1044" s="2126">
        <v>569.76954549305549</v>
      </c>
      <c r="BK1044" s="2126">
        <v>0</v>
      </c>
      <c r="BL1044" s="2126">
        <v>0</v>
      </c>
      <c r="BM1044" s="2126">
        <v>0</v>
      </c>
      <c r="BN1044" s="2126">
        <v>0</v>
      </c>
      <c r="BO1044" s="2126">
        <v>0</v>
      </c>
      <c r="BP1044" s="2126">
        <v>0</v>
      </c>
      <c r="BQ1044" s="2126">
        <v>0</v>
      </c>
      <c r="BR1044" s="2126">
        <v>0</v>
      </c>
    </row>
    <row r="1045" spans="1:70" s="1765" customFormat="1" ht="49.5">
      <c r="A1045" s="1272">
        <v>4000</v>
      </c>
      <c r="B1045" s="971" t="s">
        <v>1316</v>
      </c>
      <c r="C1045" s="1272">
        <v>4500</v>
      </c>
      <c r="D1045" s="971" t="s">
        <v>452</v>
      </c>
      <c r="E1045" s="971" t="s">
        <v>1885</v>
      </c>
      <c r="F1045" s="971" t="s">
        <v>1882</v>
      </c>
      <c r="G1045" s="971">
        <v>4540</v>
      </c>
      <c r="H1045" s="971" t="s">
        <v>1883</v>
      </c>
      <c r="I1045" s="1273"/>
      <c r="J1045" s="971"/>
      <c r="K1045" s="971" t="s">
        <v>255</v>
      </c>
      <c r="L1045" s="971" t="s">
        <v>2802</v>
      </c>
      <c r="M1045" s="971" t="s">
        <v>255</v>
      </c>
      <c r="N1045" s="971" t="s">
        <v>83</v>
      </c>
      <c r="O1045" s="971" t="s">
        <v>256</v>
      </c>
      <c r="P1045" s="971"/>
      <c r="Q1045" s="971" t="s">
        <v>1910</v>
      </c>
      <c r="R1045" s="1266" t="s">
        <v>1908</v>
      </c>
      <c r="S1045" s="2106">
        <v>160</v>
      </c>
      <c r="T1045" s="1266" t="s">
        <v>136</v>
      </c>
      <c r="U1045" s="1742">
        <v>4.4491883296460179E-2</v>
      </c>
      <c r="V1045" s="1742">
        <v>0.1701</v>
      </c>
      <c r="W1045" s="1742">
        <v>3.92151459375</v>
      </c>
      <c r="X1045" s="1742">
        <v>0.68180304577546291</v>
      </c>
      <c r="Y1045" s="2106">
        <v>4.7480795457754628</v>
      </c>
      <c r="Z1045" s="2106">
        <v>7.1187013274336284</v>
      </c>
      <c r="AA1045" s="2106">
        <v>27.216000000000001</v>
      </c>
      <c r="AB1045" s="2106">
        <v>627.44233499999996</v>
      </c>
      <c r="AC1045" s="2106">
        <v>109.08848732407407</v>
      </c>
      <c r="AD1045" s="1744">
        <v>759.69272732407399</v>
      </c>
      <c r="AE1045" s="2126">
        <v>0</v>
      </c>
      <c r="AF1045" s="2126">
        <v>0</v>
      </c>
      <c r="AG1045" s="1212">
        <v>1</v>
      </c>
      <c r="AH1045" s="1212">
        <v>0</v>
      </c>
      <c r="AI1045" s="1212">
        <v>0</v>
      </c>
      <c r="AJ1045" s="1212">
        <v>1</v>
      </c>
      <c r="AK1045" s="2126">
        <v>759.69272732407399</v>
      </c>
      <c r="AL1045" s="2126">
        <v>0</v>
      </c>
      <c r="AM1045" s="2126">
        <v>0</v>
      </c>
      <c r="AN1045" s="2126">
        <v>759.69272732407399</v>
      </c>
      <c r="AO1045" s="1743" t="s">
        <v>85</v>
      </c>
      <c r="AP1045" s="1743" t="s">
        <v>90</v>
      </c>
      <c r="AQ1045" s="1764">
        <v>2016</v>
      </c>
      <c r="AR1045" s="1743" t="s">
        <v>87</v>
      </c>
      <c r="AS1045" s="2135"/>
      <c r="AT1045" s="2135"/>
      <c r="AU1045" s="1212">
        <v>0.33333333333333331</v>
      </c>
      <c r="AV1045" s="1212">
        <v>0.33333333333333331</v>
      </c>
      <c r="AW1045" s="1212">
        <v>0.33333333333333331</v>
      </c>
      <c r="AX1045" s="1212"/>
      <c r="AY1045" s="1212"/>
      <c r="AZ1045" s="1212"/>
      <c r="BA1045" s="1212"/>
      <c r="BB1045" s="1212"/>
      <c r="BC1045" s="1212"/>
      <c r="BD1045" s="1212"/>
      <c r="BE1045" s="1212"/>
      <c r="BF1045" s="2126">
        <v>0</v>
      </c>
      <c r="BG1045" s="2126">
        <v>0</v>
      </c>
      <c r="BH1045" s="2126">
        <v>253.23090910802466</v>
      </c>
      <c r="BI1045" s="2126">
        <v>253.23090910802466</v>
      </c>
      <c r="BJ1045" s="2126">
        <v>253.23090910802466</v>
      </c>
      <c r="BK1045" s="2126">
        <v>0</v>
      </c>
      <c r="BL1045" s="2126">
        <v>0</v>
      </c>
      <c r="BM1045" s="2126">
        <v>0</v>
      </c>
      <c r="BN1045" s="2126">
        <v>0</v>
      </c>
      <c r="BO1045" s="2126">
        <v>0</v>
      </c>
      <c r="BP1045" s="2126">
        <v>0</v>
      </c>
      <c r="BQ1045" s="2126">
        <v>0</v>
      </c>
      <c r="BR1045" s="2126">
        <v>0</v>
      </c>
    </row>
    <row r="1046" spans="1:70" s="1765" customFormat="1" ht="49.5">
      <c r="A1046" s="1272">
        <v>4000</v>
      </c>
      <c r="B1046" s="971" t="s">
        <v>1316</v>
      </c>
      <c r="C1046" s="1272">
        <v>4500</v>
      </c>
      <c r="D1046" s="971" t="s">
        <v>452</v>
      </c>
      <c r="E1046" s="971">
        <v>4540</v>
      </c>
      <c r="F1046" s="971" t="s">
        <v>1882</v>
      </c>
      <c r="G1046" s="971">
        <v>4540</v>
      </c>
      <c r="H1046" s="971" t="s">
        <v>1883</v>
      </c>
      <c r="I1046" s="1273"/>
      <c r="J1046" s="971" t="s">
        <v>121</v>
      </c>
      <c r="K1046" s="971" t="s">
        <v>80</v>
      </c>
      <c r="L1046" s="971" t="s">
        <v>2797</v>
      </c>
      <c r="M1046" s="971" t="s">
        <v>82</v>
      </c>
      <c r="N1046" s="971" t="s">
        <v>83</v>
      </c>
      <c r="O1046" s="971" t="s">
        <v>81</v>
      </c>
      <c r="P1046" s="971" t="s">
        <v>81</v>
      </c>
      <c r="Q1046" s="971" t="s">
        <v>1911</v>
      </c>
      <c r="R1046" s="1266"/>
      <c r="S1046" s="2106">
        <v>4475</v>
      </c>
      <c r="T1046" s="1266" t="s">
        <v>136</v>
      </c>
      <c r="U1046" s="1742">
        <v>0.24861035436708168</v>
      </c>
      <c r="V1046" s="1742">
        <v>2.0270868355782152</v>
      </c>
      <c r="W1046" s="1742">
        <v>16.615574059561133</v>
      </c>
      <c r="X1046" s="1742">
        <v>22.637173090872032</v>
      </c>
      <c r="Y1046" s="2106">
        <v>42.16379572566828</v>
      </c>
      <c r="Z1046" s="2106">
        <v>1112.5313357926905</v>
      </c>
      <c r="AA1046" s="2106">
        <v>9071.2135892125134</v>
      </c>
      <c r="AB1046" s="2106">
        <v>74354.693916536067</v>
      </c>
      <c r="AC1046" s="2106">
        <v>101301.34958165235</v>
      </c>
      <c r="AD1046" s="1744">
        <v>188682.98587236556</v>
      </c>
      <c r="AE1046" s="2126">
        <v>0</v>
      </c>
      <c r="AF1046" s="2126">
        <v>0</v>
      </c>
      <c r="AG1046" s="1212">
        <v>1</v>
      </c>
      <c r="AH1046" s="1212">
        <v>0</v>
      </c>
      <c r="AI1046" s="1212">
        <v>0</v>
      </c>
      <c r="AJ1046" s="1212">
        <v>1</v>
      </c>
      <c r="AK1046" s="2126">
        <v>188682.98587236556</v>
      </c>
      <c r="AL1046" s="2126">
        <v>0</v>
      </c>
      <c r="AM1046" s="2126">
        <v>0</v>
      </c>
      <c r="AN1046" s="2126">
        <v>188682.98587236556</v>
      </c>
      <c r="AO1046" s="1743" t="s">
        <v>85</v>
      </c>
      <c r="AP1046" s="1743"/>
      <c r="AQ1046" s="1764" t="s">
        <v>107</v>
      </c>
      <c r="AR1046" s="1743" t="s">
        <v>87</v>
      </c>
      <c r="AS1046" s="2135"/>
      <c r="AT1046" s="2135"/>
      <c r="AU1046" s="1212"/>
      <c r="AV1046" s="1212">
        <v>1</v>
      </c>
      <c r="AW1046" s="1212"/>
      <c r="AX1046" s="1212"/>
      <c r="AY1046" s="1212"/>
      <c r="AZ1046" s="1212"/>
      <c r="BA1046" s="1212"/>
      <c r="BB1046" s="1212"/>
      <c r="BC1046" s="1212"/>
      <c r="BD1046" s="1212"/>
      <c r="BE1046" s="1212"/>
      <c r="BF1046" s="2126">
        <v>0</v>
      </c>
      <c r="BG1046" s="2126">
        <v>0</v>
      </c>
      <c r="BH1046" s="2126">
        <v>0</v>
      </c>
      <c r="BI1046" s="2126">
        <v>188682.98587236556</v>
      </c>
      <c r="BJ1046" s="2126">
        <v>0</v>
      </c>
      <c r="BK1046" s="2126">
        <v>0</v>
      </c>
      <c r="BL1046" s="2126">
        <v>0</v>
      </c>
      <c r="BM1046" s="2126">
        <v>0</v>
      </c>
      <c r="BN1046" s="2126">
        <v>0</v>
      </c>
      <c r="BO1046" s="2126">
        <v>0</v>
      </c>
      <c r="BP1046" s="2126">
        <v>0</v>
      </c>
      <c r="BQ1046" s="2126">
        <v>0</v>
      </c>
      <c r="BR1046" s="2126">
        <v>0</v>
      </c>
    </row>
    <row r="1047" spans="1:70" s="1765" customFormat="1" ht="49.5">
      <c r="A1047" s="1272">
        <v>4000</v>
      </c>
      <c r="B1047" s="971" t="s">
        <v>1316</v>
      </c>
      <c r="C1047" s="1272">
        <v>4500</v>
      </c>
      <c r="D1047" s="971" t="s">
        <v>452</v>
      </c>
      <c r="E1047" s="971">
        <v>4540</v>
      </c>
      <c r="F1047" s="971" t="s">
        <v>1882</v>
      </c>
      <c r="G1047" s="971">
        <v>4540</v>
      </c>
      <c r="H1047" s="971" t="s">
        <v>1883</v>
      </c>
      <c r="I1047" s="1273"/>
      <c r="J1047" s="971" t="s">
        <v>121</v>
      </c>
      <c r="K1047" s="971" t="s">
        <v>80</v>
      </c>
      <c r="L1047" s="971" t="s">
        <v>2797</v>
      </c>
      <c r="M1047" s="971" t="s">
        <v>82</v>
      </c>
      <c r="N1047" s="971" t="s">
        <v>83</v>
      </c>
      <c r="O1047" s="971" t="s">
        <v>81</v>
      </c>
      <c r="P1047" s="971" t="s">
        <v>81</v>
      </c>
      <c r="Q1047" s="971" t="s">
        <v>1911</v>
      </c>
      <c r="R1047" s="1266"/>
      <c r="S1047" s="2106">
        <v>400</v>
      </c>
      <c r="T1047" s="1266" t="s">
        <v>136</v>
      </c>
      <c r="U1047" s="1742">
        <v>0.24861035436708168</v>
      </c>
      <c r="V1047" s="1742">
        <v>2.0270868355782152</v>
      </c>
      <c r="W1047" s="1742">
        <v>16.615574059561133</v>
      </c>
      <c r="X1047" s="1742">
        <v>22.637173090872032</v>
      </c>
      <c r="Y1047" s="2106">
        <v>42.16379572566828</v>
      </c>
      <c r="Z1047" s="2106">
        <v>99.44414174683267</v>
      </c>
      <c r="AA1047" s="2106">
        <v>810.83473423128612</v>
      </c>
      <c r="AB1047" s="2106">
        <v>6646.2296238244535</v>
      </c>
      <c r="AC1047" s="2106">
        <v>9054.8692363488135</v>
      </c>
      <c r="AD1047" s="1744">
        <v>16865.518290267311</v>
      </c>
      <c r="AE1047" s="2126">
        <v>0</v>
      </c>
      <c r="AF1047" s="2126">
        <v>0</v>
      </c>
      <c r="AG1047" s="1212">
        <v>1</v>
      </c>
      <c r="AH1047" s="1212">
        <v>0</v>
      </c>
      <c r="AI1047" s="1212">
        <v>0</v>
      </c>
      <c r="AJ1047" s="1212">
        <v>1</v>
      </c>
      <c r="AK1047" s="2126">
        <v>16865.518290267311</v>
      </c>
      <c r="AL1047" s="2126">
        <v>0</v>
      </c>
      <c r="AM1047" s="2126">
        <v>0</v>
      </c>
      <c r="AN1047" s="2126">
        <v>16865.518290267311</v>
      </c>
      <c r="AO1047" s="1743" t="s">
        <v>85</v>
      </c>
      <c r="AP1047" s="1743" t="s">
        <v>90</v>
      </c>
      <c r="AQ1047" s="1764" t="s">
        <v>108</v>
      </c>
      <c r="AR1047" s="1743" t="s">
        <v>87</v>
      </c>
      <c r="AS1047" s="2135"/>
      <c r="AT1047" s="2135"/>
      <c r="AU1047" s="1212"/>
      <c r="AV1047" s="1212">
        <v>1</v>
      </c>
      <c r="AW1047" s="1212"/>
      <c r="AX1047" s="1212"/>
      <c r="AY1047" s="1212"/>
      <c r="AZ1047" s="1212"/>
      <c r="BA1047" s="1212"/>
      <c r="BB1047" s="1212"/>
      <c r="BC1047" s="1212"/>
      <c r="BD1047" s="1212"/>
      <c r="BE1047" s="1212"/>
      <c r="BF1047" s="2126">
        <v>0</v>
      </c>
      <c r="BG1047" s="2126">
        <v>0</v>
      </c>
      <c r="BH1047" s="2126">
        <v>0</v>
      </c>
      <c r="BI1047" s="2126">
        <v>16865.518290267311</v>
      </c>
      <c r="BJ1047" s="2126">
        <v>0</v>
      </c>
      <c r="BK1047" s="2126">
        <v>0</v>
      </c>
      <c r="BL1047" s="2126">
        <v>0</v>
      </c>
      <c r="BM1047" s="2126">
        <v>0</v>
      </c>
      <c r="BN1047" s="2126">
        <v>0</v>
      </c>
      <c r="BO1047" s="2126">
        <v>0</v>
      </c>
      <c r="BP1047" s="2126">
        <v>0</v>
      </c>
      <c r="BQ1047" s="2126">
        <v>0</v>
      </c>
      <c r="BR1047" s="2126">
        <v>0</v>
      </c>
    </row>
    <row r="1048" spans="1:70" s="1765" customFormat="1" ht="33">
      <c r="A1048" s="1272">
        <v>4000</v>
      </c>
      <c r="B1048" s="971" t="s">
        <v>1316</v>
      </c>
      <c r="C1048" s="1272">
        <v>4500</v>
      </c>
      <c r="D1048" s="971" t="s">
        <v>452</v>
      </c>
      <c r="E1048" s="971">
        <v>4540</v>
      </c>
      <c r="F1048" s="971" t="s">
        <v>1882</v>
      </c>
      <c r="G1048" s="971">
        <v>4540</v>
      </c>
      <c r="H1048" s="971" t="s">
        <v>1883</v>
      </c>
      <c r="I1048" s="1273"/>
      <c r="J1048" s="971" t="s">
        <v>121</v>
      </c>
      <c r="K1048" s="971" t="s">
        <v>150</v>
      </c>
      <c r="L1048" s="971" t="s">
        <v>2800</v>
      </c>
      <c r="M1048" s="971" t="s">
        <v>80</v>
      </c>
      <c r="N1048" s="971" t="s">
        <v>83</v>
      </c>
      <c r="O1048" s="971" t="s">
        <v>151</v>
      </c>
      <c r="P1048" s="971" t="s">
        <v>152</v>
      </c>
      <c r="Q1048" s="971" t="s">
        <v>1912</v>
      </c>
      <c r="R1048" s="1266"/>
      <c r="S1048" s="2106">
        <v>63000</v>
      </c>
      <c r="T1048" s="1266" t="s">
        <v>136</v>
      </c>
      <c r="U1048" s="1742">
        <v>1.2691883296460175E-2</v>
      </c>
      <c r="V1048" s="1742">
        <v>0.14624999999999999</v>
      </c>
      <c r="W1048" s="1742">
        <v>1.1186625937499999</v>
      </c>
      <c r="X1048" s="1742">
        <v>0.4015178457754629</v>
      </c>
      <c r="Y1048" s="2106">
        <v>1.6649423457754629</v>
      </c>
      <c r="Z1048" s="2106">
        <v>799.58864767699106</v>
      </c>
      <c r="AA1048" s="2106">
        <v>9213.75</v>
      </c>
      <c r="AB1048" s="2106">
        <v>70475.743406249996</v>
      </c>
      <c r="AC1048" s="2106">
        <v>25295.624283854162</v>
      </c>
      <c r="AD1048" s="1744">
        <v>104891.36778385416</v>
      </c>
      <c r="AE1048" s="2126">
        <v>0</v>
      </c>
      <c r="AF1048" s="2126">
        <v>0</v>
      </c>
      <c r="AG1048" s="1212">
        <v>1</v>
      </c>
      <c r="AH1048" s="1212">
        <v>0</v>
      </c>
      <c r="AI1048" s="1212">
        <v>0</v>
      </c>
      <c r="AJ1048" s="1212">
        <v>1</v>
      </c>
      <c r="AK1048" s="2126">
        <v>104891.36778385416</v>
      </c>
      <c r="AL1048" s="2126">
        <v>0</v>
      </c>
      <c r="AM1048" s="2126">
        <v>0</v>
      </c>
      <c r="AN1048" s="2126">
        <v>104891.36778385416</v>
      </c>
      <c r="AO1048" s="1743" t="s">
        <v>85</v>
      </c>
      <c r="AP1048" s="1743" t="s">
        <v>90</v>
      </c>
      <c r="AQ1048" s="1764" t="s">
        <v>105</v>
      </c>
      <c r="AR1048" s="1743" t="s">
        <v>87</v>
      </c>
      <c r="AS1048" s="2135"/>
      <c r="AT1048" s="2135"/>
      <c r="AU1048" s="1212"/>
      <c r="AV1048" s="1212">
        <v>1</v>
      </c>
      <c r="AW1048" s="1212"/>
      <c r="AX1048" s="1212"/>
      <c r="AY1048" s="1212"/>
      <c r="AZ1048" s="1212"/>
      <c r="BA1048" s="1212"/>
      <c r="BB1048" s="1212"/>
      <c r="BC1048" s="1212"/>
      <c r="BD1048" s="1212"/>
      <c r="BE1048" s="1212"/>
      <c r="BF1048" s="2126">
        <v>0</v>
      </c>
      <c r="BG1048" s="2126">
        <v>0</v>
      </c>
      <c r="BH1048" s="2126">
        <v>0</v>
      </c>
      <c r="BI1048" s="2126">
        <v>104891.36778385416</v>
      </c>
      <c r="BJ1048" s="2126">
        <v>0</v>
      </c>
      <c r="BK1048" s="2126">
        <v>0</v>
      </c>
      <c r="BL1048" s="2126">
        <v>0</v>
      </c>
      <c r="BM1048" s="2126">
        <v>0</v>
      </c>
      <c r="BN1048" s="2126">
        <v>0</v>
      </c>
      <c r="BO1048" s="2126">
        <v>0</v>
      </c>
      <c r="BP1048" s="2126">
        <v>0</v>
      </c>
      <c r="BQ1048" s="2126">
        <v>0</v>
      </c>
      <c r="BR1048" s="2126">
        <v>0</v>
      </c>
    </row>
    <row r="1049" spans="1:70" s="1765" customFormat="1" ht="49.5">
      <c r="A1049" s="1272">
        <v>4000</v>
      </c>
      <c r="B1049" s="971" t="s">
        <v>1316</v>
      </c>
      <c r="C1049" s="1272">
        <v>4500</v>
      </c>
      <c r="D1049" s="971" t="s">
        <v>452</v>
      </c>
      <c r="E1049" s="971" t="s">
        <v>1885</v>
      </c>
      <c r="F1049" s="971" t="s">
        <v>1882</v>
      </c>
      <c r="G1049" s="971">
        <v>4540</v>
      </c>
      <c r="H1049" s="971" t="s">
        <v>1883</v>
      </c>
      <c r="I1049" s="1273"/>
      <c r="J1049" s="971"/>
      <c r="K1049" s="971" t="s">
        <v>255</v>
      </c>
      <c r="L1049" s="971" t="s">
        <v>2802</v>
      </c>
      <c r="M1049" s="971" t="s">
        <v>255</v>
      </c>
      <c r="N1049" s="971" t="s">
        <v>83</v>
      </c>
      <c r="O1049" s="971" t="s">
        <v>256</v>
      </c>
      <c r="P1049" s="971"/>
      <c r="Q1049" s="971" t="s">
        <v>1913</v>
      </c>
      <c r="R1049" s="1266" t="s">
        <v>1914</v>
      </c>
      <c r="S1049" s="2106">
        <v>456</v>
      </c>
      <c r="T1049" s="1266" t="s">
        <v>136</v>
      </c>
      <c r="U1049" s="1742">
        <v>4.4491883296460179E-2</v>
      </c>
      <c r="V1049" s="1742">
        <v>0.1701</v>
      </c>
      <c r="W1049" s="1742">
        <v>3.92151459375</v>
      </c>
      <c r="X1049" s="1742">
        <v>0.68180304577546291</v>
      </c>
      <c r="Y1049" s="2106">
        <v>4.7480795457754628</v>
      </c>
      <c r="Z1049" s="2106">
        <v>20.288298783185841</v>
      </c>
      <c r="AA1049" s="2106">
        <v>77.565600000000003</v>
      </c>
      <c r="AB1049" s="2106">
        <v>1788.21065475</v>
      </c>
      <c r="AC1049" s="2106">
        <v>310.90218887361107</v>
      </c>
      <c r="AD1049" s="1744">
        <v>2165.1242728736111</v>
      </c>
      <c r="AE1049" s="2126">
        <v>0</v>
      </c>
      <c r="AF1049" s="2126">
        <v>0</v>
      </c>
      <c r="AG1049" s="1212">
        <v>1</v>
      </c>
      <c r="AH1049" s="1212">
        <v>0</v>
      </c>
      <c r="AI1049" s="1212">
        <v>0</v>
      </c>
      <c r="AJ1049" s="1212">
        <v>1</v>
      </c>
      <c r="AK1049" s="2126">
        <v>2165.1242728736111</v>
      </c>
      <c r="AL1049" s="2126">
        <v>0</v>
      </c>
      <c r="AM1049" s="2126">
        <v>0</v>
      </c>
      <c r="AN1049" s="2126">
        <v>2165.1242728736111</v>
      </c>
      <c r="AO1049" s="1743" t="s">
        <v>85</v>
      </c>
      <c r="AP1049" s="1743" t="s">
        <v>90</v>
      </c>
      <c r="AQ1049" s="1764">
        <v>2020</v>
      </c>
      <c r="AR1049" s="1743" t="s">
        <v>87</v>
      </c>
      <c r="AS1049" s="2135"/>
      <c r="AT1049" s="2135"/>
      <c r="AU1049" s="1212">
        <v>0.33333333333333331</v>
      </c>
      <c r="AV1049" s="1212">
        <v>0.33333333333333331</v>
      </c>
      <c r="AW1049" s="1212">
        <v>0.33333333333333331</v>
      </c>
      <c r="AX1049" s="1212"/>
      <c r="AY1049" s="1212"/>
      <c r="AZ1049" s="1212"/>
      <c r="BA1049" s="1212"/>
      <c r="BB1049" s="1212"/>
      <c r="BC1049" s="1212"/>
      <c r="BD1049" s="1212"/>
      <c r="BE1049" s="1212"/>
      <c r="BF1049" s="2126">
        <v>0</v>
      </c>
      <c r="BG1049" s="2126">
        <v>0</v>
      </c>
      <c r="BH1049" s="2126">
        <v>721.70809095787035</v>
      </c>
      <c r="BI1049" s="2126">
        <v>721.70809095787035</v>
      </c>
      <c r="BJ1049" s="2126">
        <v>721.70809095787035</v>
      </c>
      <c r="BK1049" s="2126">
        <v>0</v>
      </c>
      <c r="BL1049" s="2126">
        <v>0</v>
      </c>
      <c r="BM1049" s="2126">
        <v>0</v>
      </c>
      <c r="BN1049" s="2126">
        <v>0</v>
      </c>
      <c r="BO1049" s="2126">
        <v>0</v>
      </c>
      <c r="BP1049" s="2126">
        <v>0</v>
      </c>
      <c r="BQ1049" s="2126">
        <v>0</v>
      </c>
      <c r="BR1049" s="2126">
        <v>0</v>
      </c>
    </row>
    <row r="1050" spans="1:70" s="1765" customFormat="1" ht="49.5">
      <c r="A1050" s="1272">
        <v>4000</v>
      </c>
      <c r="B1050" s="971" t="s">
        <v>1316</v>
      </c>
      <c r="C1050" s="1272">
        <v>4500</v>
      </c>
      <c r="D1050" s="971" t="s">
        <v>452</v>
      </c>
      <c r="E1050" s="971" t="s">
        <v>1885</v>
      </c>
      <c r="F1050" s="971" t="s">
        <v>1882</v>
      </c>
      <c r="G1050" s="971">
        <v>4540</v>
      </c>
      <c r="H1050" s="971" t="s">
        <v>1883</v>
      </c>
      <c r="I1050" s="1273"/>
      <c r="J1050" s="971"/>
      <c r="K1050" s="971" t="s">
        <v>255</v>
      </c>
      <c r="L1050" s="971" t="s">
        <v>2802</v>
      </c>
      <c r="M1050" s="971" t="s">
        <v>255</v>
      </c>
      <c r="N1050" s="971" t="s">
        <v>83</v>
      </c>
      <c r="O1050" s="971" t="s">
        <v>256</v>
      </c>
      <c r="P1050" s="971"/>
      <c r="Q1050" s="971" t="s">
        <v>1915</v>
      </c>
      <c r="R1050" s="1266" t="s">
        <v>831</v>
      </c>
      <c r="S1050" s="2106">
        <v>360</v>
      </c>
      <c r="T1050" s="1266" t="s">
        <v>136</v>
      </c>
      <c r="U1050" s="1742">
        <v>4.4491883296460179E-2</v>
      </c>
      <c r="V1050" s="1742">
        <v>0.1701</v>
      </c>
      <c r="W1050" s="1742">
        <v>3.92151459375</v>
      </c>
      <c r="X1050" s="1742">
        <v>0.68180304577546291</v>
      </c>
      <c r="Y1050" s="2106">
        <v>4.7480795457754628</v>
      </c>
      <c r="Z1050" s="2106">
        <v>16.017077986725663</v>
      </c>
      <c r="AA1050" s="2106">
        <v>61.235999999999997</v>
      </c>
      <c r="AB1050" s="2106">
        <v>1411.7452537500001</v>
      </c>
      <c r="AC1050" s="2106">
        <v>245.44909647916666</v>
      </c>
      <c r="AD1050" s="1744">
        <v>1709.3086364791666</v>
      </c>
      <c r="AE1050" s="2126">
        <v>0</v>
      </c>
      <c r="AF1050" s="2126">
        <v>0</v>
      </c>
      <c r="AG1050" s="1212">
        <v>1</v>
      </c>
      <c r="AH1050" s="1212">
        <v>0</v>
      </c>
      <c r="AI1050" s="1212">
        <v>0</v>
      </c>
      <c r="AJ1050" s="1212">
        <v>1</v>
      </c>
      <c r="AK1050" s="2126">
        <v>1709.3086364791666</v>
      </c>
      <c r="AL1050" s="2126">
        <v>0</v>
      </c>
      <c r="AM1050" s="2126">
        <v>0</v>
      </c>
      <c r="AN1050" s="2126">
        <v>1709.3086364791666</v>
      </c>
      <c r="AO1050" s="1743" t="s">
        <v>85</v>
      </c>
      <c r="AP1050" s="1743" t="s">
        <v>90</v>
      </c>
      <c r="AQ1050" s="1764">
        <v>2019</v>
      </c>
      <c r="AR1050" s="1743" t="s">
        <v>87</v>
      </c>
      <c r="AS1050" s="2135"/>
      <c r="AT1050" s="2135"/>
      <c r="AU1050" s="1212">
        <v>0.33333333333333331</v>
      </c>
      <c r="AV1050" s="1212">
        <v>0.33333333333333331</v>
      </c>
      <c r="AW1050" s="1212">
        <v>0.33333333333333331</v>
      </c>
      <c r="AX1050" s="1212"/>
      <c r="AY1050" s="1212"/>
      <c r="AZ1050" s="1212"/>
      <c r="BA1050" s="1212"/>
      <c r="BB1050" s="1212"/>
      <c r="BC1050" s="1212"/>
      <c r="BD1050" s="1212"/>
      <c r="BE1050" s="1212"/>
      <c r="BF1050" s="2126">
        <v>0</v>
      </c>
      <c r="BG1050" s="2126">
        <v>0</v>
      </c>
      <c r="BH1050" s="2126">
        <v>569.76954549305549</v>
      </c>
      <c r="BI1050" s="2126">
        <v>569.76954549305549</v>
      </c>
      <c r="BJ1050" s="2126">
        <v>569.76954549305549</v>
      </c>
      <c r="BK1050" s="2126">
        <v>0</v>
      </c>
      <c r="BL1050" s="2126">
        <v>0</v>
      </c>
      <c r="BM1050" s="2126">
        <v>0</v>
      </c>
      <c r="BN1050" s="2126">
        <v>0</v>
      </c>
      <c r="BO1050" s="2126">
        <v>0</v>
      </c>
      <c r="BP1050" s="2126">
        <v>0</v>
      </c>
      <c r="BQ1050" s="2126">
        <v>0</v>
      </c>
      <c r="BR1050" s="2126">
        <v>0</v>
      </c>
    </row>
    <row r="1051" spans="1:70" s="1765" customFormat="1" ht="49.5">
      <c r="A1051" s="1272">
        <v>4000</v>
      </c>
      <c r="B1051" s="971" t="s">
        <v>1316</v>
      </c>
      <c r="C1051" s="1272">
        <v>4500</v>
      </c>
      <c r="D1051" s="971" t="s">
        <v>452</v>
      </c>
      <c r="E1051" s="971" t="s">
        <v>1885</v>
      </c>
      <c r="F1051" s="971" t="s">
        <v>1882</v>
      </c>
      <c r="G1051" s="971">
        <v>4540</v>
      </c>
      <c r="H1051" s="971" t="s">
        <v>1883</v>
      </c>
      <c r="I1051" s="1273"/>
      <c r="J1051" s="971"/>
      <c r="K1051" s="971" t="s">
        <v>255</v>
      </c>
      <c r="L1051" s="971" t="s">
        <v>2802</v>
      </c>
      <c r="M1051" s="971" t="s">
        <v>255</v>
      </c>
      <c r="N1051" s="971" t="s">
        <v>83</v>
      </c>
      <c r="O1051" s="971" t="s">
        <v>256</v>
      </c>
      <c r="P1051" s="971"/>
      <c r="Q1051" s="971" t="s">
        <v>1915</v>
      </c>
      <c r="R1051" s="1266" t="s">
        <v>831</v>
      </c>
      <c r="S1051" s="2106">
        <v>-360</v>
      </c>
      <c r="T1051" s="1266" t="s">
        <v>136</v>
      </c>
      <c r="U1051" s="1742">
        <v>4.4491883296460179E-2</v>
      </c>
      <c r="V1051" s="1742">
        <v>0.1701</v>
      </c>
      <c r="W1051" s="1742">
        <v>3.92151459375</v>
      </c>
      <c r="X1051" s="1742">
        <v>0.68180304577546291</v>
      </c>
      <c r="Y1051" s="2106">
        <v>4.7480795457754628</v>
      </c>
      <c r="Z1051" s="2106">
        <v>-16.017077986725663</v>
      </c>
      <c r="AA1051" s="2106">
        <v>-61.235999999999997</v>
      </c>
      <c r="AB1051" s="2106">
        <v>-1411.7452537500001</v>
      </c>
      <c r="AC1051" s="2106">
        <v>-245.44909647916666</v>
      </c>
      <c r="AD1051" s="1744">
        <v>-1709.3086364791666</v>
      </c>
      <c r="AE1051" s="2126">
        <v>0</v>
      </c>
      <c r="AF1051" s="2126">
        <v>0</v>
      </c>
      <c r="AG1051" s="1212">
        <v>1</v>
      </c>
      <c r="AH1051" s="1212">
        <v>0</v>
      </c>
      <c r="AI1051" s="1212">
        <v>0</v>
      </c>
      <c r="AJ1051" s="1212">
        <v>1</v>
      </c>
      <c r="AK1051" s="2126">
        <v>-1709.3086364791666</v>
      </c>
      <c r="AL1051" s="2126">
        <v>0</v>
      </c>
      <c r="AM1051" s="2126">
        <v>0</v>
      </c>
      <c r="AN1051" s="2126">
        <v>-1709.3086364791666</v>
      </c>
      <c r="AO1051" s="1743" t="s">
        <v>85</v>
      </c>
      <c r="AP1051" s="1743" t="s">
        <v>96</v>
      </c>
      <c r="AQ1051" s="1764" t="s">
        <v>115</v>
      </c>
      <c r="AR1051" s="1743" t="s">
        <v>87</v>
      </c>
      <c r="AS1051" s="2135"/>
      <c r="AT1051" s="2135"/>
      <c r="AU1051" s="1212">
        <v>0.33333333333333331</v>
      </c>
      <c r="AV1051" s="1212">
        <v>0.33333333333333331</v>
      </c>
      <c r="AW1051" s="1212">
        <v>0.33333333333333331</v>
      </c>
      <c r="AX1051" s="1212"/>
      <c r="AY1051" s="1212"/>
      <c r="AZ1051" s="1212"/>
      <c r="BA1051" s="1212"/>
      <c r="BB1051" s="1212"/>
      <c r="BC1051" s="1212"/>
      <c r="BD1051" s="1212"/>
      <c r="BE1051" s="1212"/>
      <c r="BF1051" s="2126">
        <v>0</v>
      </c>
      <c r="BG1051" s="2126">
        <v>0</v>
      </c>
      <c r="BH1051" s="2126">
        <v>-569.76954549305549</v>
      </c>
      <c r="BI1051" s="2126">
        <v>-569.76954549305549</v>
      </c>
      <c r="BJ1051" s="2126">
        <v>-569.76954549305549</v>
      </c>
      <c r="BK1051" s="2126">
        <v>0</v>
      </c>
      <c r="BL1051" s="2126">
        <v>0</v>
      </c>
      <c r="BM1051" s="2126">
        <v>0</v>
      </c>
      <c r="BN1051" s="2126">
        <v>0</v>
      </c>
      <c r="BO1051" s="2126">
        <v>0</v>
      </c>
      <c r="BP1051" s="2126">
        <v>0</v>
      </c>
      <c r="BQ1051" s="2126">
        <v>0</v>
      </c>
      <c r="BR1051" s="2126">
        <v>0</v>
      </c>
    </row>
    <row r="1052" spans="1:70" s="1765" customFormat="1" ht="33">
      <c r="A1052" s="1272">
        <v>4000</v>
      </c>
      <c r="B1052" s="971" t="s">
        <v>1316</v>
      </c>
      <c r="C1052" s="1272">
        <v>4500</v>
      </c>
      <c r="D1052" s="971" t="s">
        <v>452</v>
      </c>
      <c r="E1052" s="971" t="s">
        <v>1885</v>
      </c>
      <c r="F1052" s="971" t="s">
        <v>1882</v>
      </c>
      <c r="G1052" s="971">
        <v>4540</v>
      </c>
      <c r="H1052" s="971" t="s">
        <v>1883</v>
      </c>
      <c r="I1052" s="1273"/>
      <c r="J1052" s="971"/>
      <c r="K1052" s="971" t="s">
        <v>150</v>
      </c>
      <c r="L1052" s="971" t="s">
        <v>2800</v>
      </c>
      <c r="M1052" s="971" t="s">
        <v>150</v>
      </c>
      <c r="N1052" s="971" t="s">
        <v>83</v>
      </c>
      <c r="O1052" s="971" t="s">
        <v>151</v>
      </c>
      <c r="P1052" s="971"/>
      <c r="Q1052" s="971" t="s">
        <v>1916</v>
      </c>
      <c r="R1052" s="1266" t="s">
        <v>831</v>
      </c>
      <c r="S1052" s="2106">
        <v>1820</v>
      </c>
      <c r="T1052" s="1266" t="s">
        <v>136</v>
      </c>
      <c r="U1052" s="1742">
        <v>1.2691883296460175E-2</v>
      </c>
      <c r="V1052" s="1742">
        <v>0.14624999999999999</v>
      </c>
      <c r="W1052" s="1742">
        <v>1.1186625937499999</v>
      </c>
      <c r="X1052" s="1742">
        <v>0.4015178457754629</v>
      </c>
      <c r="Y1052" s="2106">
        <v>1.6649423457754629</v>
      </c>
      <c r="Z1052" s="2106">
        <v>23.099227599557519</v>
      </c>
      <c r="AA1052" s="2106">
        <v>266.17500000000001</v>
      </c>
      <c r="AB1052" s="2106">
        <v>2035.9659206249999</v>
      </c>
      <c r="AC1052" s="2106">
        <v>730.76247931134253</v>
      </c>
      <c r="AD1052" s="1744">
        <v>3030.1950693113422</v>
      </c>
      <c r="AE1052" s="2126">
        <v>0</v>
      </c>
      <c r="AF1052" s="2126">
        <v>0</v>
      </c>
      <c r="AG1052" s="1212">
        <v>1</v>
      </c>
      <c r="AH1052" s="1212">
        <v>0</v>
      </c>
      <c r="AI1052" s="1212">
        <v>0</v>
      </c>
      <c r="AJ1052" s="1212">
        <v>1</v>
      </c>
      <c r="AK1052" s="2126">
        <v>3030.1950693113422</v>
      </c>
      <c r="AL1052" s="2126">
        <v>0</v>
      </c>
      <c r="AM1052" s="2126">
        <v>0</v>
      </c>
      <c r="AN1052" s="2126">
        <v>3030.1950693113422</v>
      </c>
      <c r="AO1052" s="1743" t="s">
        <v>85</v>
      </c>
      <c r="AP1052" s="1743" t="s">
        <v>90</v>
      </c>
      <c r="AQ1052" s="1764" t="s">
        <v>115</v>
      </c>
      <c r="AR1052" s="1743" t="s">
        <v>87</v>
      </c>
      <c r="AS1052" s="2135"/>
      <c r="AT1052" s="2135"/>
      <c r="AU1052" s="1212">
        <v>0.33333333333333331</v>
      </c>
      <c r="AV1052" s="1212">
        <v>0.33333333333333331</v>
      </c>
      <c r="AW1052" s="1212">
        <v>0.33333333333333331</v>
      </c>
      <c r="AX1052" s="1212"/>
      <c r="AY1052" s="1212"/>
      <c r="AZ1052" s="1212"/>
      <c r="BA1052" s="1212"/>
      <c r="BB1052" s="1212"/>
      <c r="BC1052" s="1212"/>
      <c r="BD1052" s="1212"/>
      <c r="BE1052" s="1212"/>
      <c r="BF1052" s="2126">
        <v>0</v>
      </c>
      <c r="BG1052" s="2126">
        <v>0</v>
      </c>
      <c r="BH1052" s="2126">
        <v>1010.0650231037807</v>
      </c>
      <c r="BI1052" s="2126">
        <v>1010.0650231037807</v>
      </c>
      <c r="BJ1052" s="2126">
        <v>1010.0650231037807</v>
      </c>
      <c r="BK1052" s="2126">
        <v>0</v>
      </c>
      <c r="BL1052" s="2126">
        <v>0</v>
      </c>
      <c r="BM1052" s="2126">
        <v>0</v>
      </c>
      <c r="BN1052" s="2126">
        <v>0</v>
      </c>
      <c r="BO1052" s="2126">
        <v>0</v>
      </c>
      <c r="BP1052" s="2126">
        <v>0</v>
      </c>
      <c r="BQ1052" s="2126">
        <v>0</v>
      </c>
      <c r="BR1052" s="2126">
        <v>0</v>
      </c>
    </row>
    <row r="1053" spans="1:70" s="1765" customFormat="1" ht="49.5">
      <c r="A1053" s="1272">
        <v>4000</v>
      </c>
      <c r="B1053" s="971" t="s">
        <v>1316</v>
      </c>
      <c r="C1053" s="1272">
        <v>4500</v>
      </c>
      <c r="D1053" s="971" t="s">
        <v>452</v>
      </c>
      <c r="E1053" s="971" t="s">
        <v>1885</v>
      </c>
      <c r="F1053" s="971" t="s">
        <v>1882</v>
      </c>
      <c r="G1053" s="971">
        <v>4540</v>
      </c>
      <c r="H1053" s="971" t="s">
        <v>1883</v>
      </c>
      <c r="I1053" s="1273"/>
      <c r="J1053" s="971"/>
      <c r="K1053" s="971" t="s">
        <v>255</v>
      </c>
      <c r="L1053" s="971" t="s">
        <v>2802</v>
      </c>
      <c r="M1053" s="971" t="s">
        <v>255</v>
      </c>
      <c r="N1053" s="971" t="s">
        <v>83</v>
      </c>
      <c r="O1053" s="971" t="s">
        <v>256</v>
      </c>
      <c r="P1053" s="971"/>
      <c r="Q1053" s="971" t="s">
        <v>1916</v>
      </c>
      <c r="R1053" s="1266" t="s">
        <v>831</v>
      </c>
      <c r="S1053" s="2106">
        <v>2700</v>
      </c>
      <c r="T1053" s="1266" t="s">
        <v>136</v>
      </c>
      <c r="U1053" s="1742">
        <v>4.4491883296460179E-2</v>
      </c>
      <c r="V1053" s="1742">
        <v>0.1701</v>
      </c>
      <c r="W1053" s="1742">
        <v>3.92151459375</v>
      </c>
      <c r="X1053" s="1742">
        <v>0.68180304577546291</v>
      </c>
      <c r="Y1053" s="2106">
        <v>4.7480795457754628</v>
      </c>
      <c r="Z1053" s="2106">
        <v>120.12808490044249</v>
      </c>
      <c r="AA1053" s="2106">
        <v>459.27</v>
      </c>
      <c r="AB1053" s="2106">
        <v>10588.089403125001</v>
      </c>
      <c r="AC1053" s="2106">
        <v>1840.8682235937499</v>
      </c>
      <c r="AD1053" s="1744">
        <v>12819.814773593749</v>
      </c>
      <c r="AE1053" s="2126">
        <v>0</v>
      </c>
      <c r="AF1053" s="2126">
        <v>0</v>
      </c>
      <c r="AG1053" s="1212">
        <v>1</v>
      </c>
      <c r="AH1053" s="1212">
        <v>0</v>
      </c>
      <c r="AI1053" s="1212">
        <v>0</v>
      </c>
      <c r="AJ1053" s="1212">
        <v>1</v>
      </c>
      <c r="AK1053" s="2126">
        <v>12819.814773593749</v>
      </c>
      <c r="AL1053" s="2126">
        <v>0</v>
      </c>
      <c r="AM1053" s="2126">
        <v>0</v>
      </c>
      <c r="AN1053" s="2126">
        <v>12819.814773593749</v>
      </c>
      <c r="AO1053" s="1743" t="s">
        <v>85</v>
      </c>
      <c r="AP1053" s="1743" t="s">
        <v>90</v>
      </c>
      <c r="AQ1053" s="1764" t="s">
        <v>115</v>
      </c>
      <c r="AR1053" s="1743" t="s">
        <v>87</v>
      </c>
      <c r="AS1053" s="2135"/>
      <c r="AT1053" s="2135"/>
      <c r="AU1053" s="1212">
        <v>0.33333333333333331</v>
      </c>
      <c r="AV1053" s="1212">
        <v>0.33333333333333331</v>
      </c>
      <c r="AW1053" s="1212">
        <v>0.33333333333333331</v>
      </c>
      <c r="AX1053" s="1212"/>
      <c r="AY1053" s="1212"/>
      <c r="AZ1053" s="1212"/>
      <c r="BA1053" s="1212"/>
      <c r="BB1053" s="1212"/>
      <c r="BC1053" s="1212"/>
      <c r="BD1053" s="1212"/>
      <c r="BE1053" s="1212"/>
      <c r="BF1053" s="2126">
        <v>0</v>
      </c>
      <c r="BG1053" s="2126">
        <v>0</v>
      </c>
      <c r="BH1053" s="2126">
        <v>4273.2715911979158</v>
      </c>
      <c r="BI1053" s="2126">
        <v>4273.2715911979158</v>
      </c>
      <c r="BJ1053" s="2126">
        <v>4273.2715911979158</v>
      </c>
      <c r="BK1053" s="2126">
        <v>0</v>
      </c>
      <c r="BL1053" s="2126">
        <v>0</v>
      </c>
      <c r="BM1053" s="2126">
        <v>0</v>
      </c>
      <c r="BN1053" s="2126">
        <v>0</v>
      </c>
      <c r="BO1053" s="2126">
        <v>0</v>
      </c>
      <c r="BP1053" s="2126">
        <v>0</v>
      </c>
      <c r="BQ1053" s="2126">
        <v>0</v>
      </c>
      <c r="BR1053" s="2126">
        <v>0</v>
      </c>
    </row>
    <row r="1054" spans="1:70" s="1765" customFormat="1" ht="49.5">
      <c r="A1054" s="1272">
        <v>4000</v>
      </c>
      <c r="B1054" s="971" t="s">
        <v>1316</v>
      </c>
      <c r="C1054" s="1272">
        <v>4500</v>
      </c>
      <c r="D1054" s="971" t="s">
        <v>452</v>
      </c>
      <c r="E1054" s="971" t="s">
        <v>1885</v>
      </c>
      <c r="F1054" s="971" t="s">
        <v>1882</v>
      </c>
      <c r="G1054" s="971">
        <v>4540</v>
      </c>
      <c r="H1054" s="971" t="s">
        <v>1883</v>
      </c>
      <c r="I1054" s="1273"/>
      <c r="J1054" s="971"/>
      <c r="K1054" s="971" t="s">
        <v>255</v>
      </c>
      <c r="L1054" s="971" t="s">
        <v>2802</v>
      </c>
      <c r="M1054" s="971" t="s">
        <v>255</v>
      </c>
      <c r="N1054" s="971" t="s">
        <v>83</v>
      </c>
      <c r="O1054" s="971" t="s">
        <v>256</v>
      </c>
      <c r="P1054" s="971"/>
      <c r="Q1054" s="971" t="s">
        <v>825</v>
      </c>
      <c r="R1054" s="1266" t="s">
        <v>1917</v>
      </c>
      <c r="S1054" s="2106">
        <v>1298</v>
      </c>
      <c r="T1054" s="1266" t="s">
        <v>136</v>
      </c>
      <c r="U1054" s="1742">
        <v>4.4491883296460179E-2</v>
      </c>
      <c r="V1054" s="1742">
        <v>0.1701</v>
      </c>
      <c r="W1054" s="1742">
        <v>3.92151459375</v>
      </c>
      <c r="X1054" s="1742">
        <v>0.68180304577546291</v>
      </c>
      <c r="Y1054" s="2106">
        <v>4.7480795457754628</v>
      </c>
      <c r="Z1054" s="2106">
        <v>57.750464518805309</v>
      </c>
      <c r="AA1054" s="2106">
        <v>220.78980000000001</v>
      </c>
      <c r="AB1054" s="2106">
        <v>5090.1259426875004</v>
      </c>
      <c r="AC1054" s="2106">
        <v>884.98035341655088</v>
      </c>
      <c r="AD1054" s="1744">
        <v>6163.007250416551</v>
      </c>
      <c r="AE1054" s="2126">
        <v>0</v>
      </c>
      <c r="AF1054" s="2126">
        <v>0</v>
      </c>
      <c r="AG1054" s="1212">
        <v>1</v>
      </c>
      <c r="AH1054" s="1212">
        <v>0</v>
      </c>
      <c r="AI1054" s="1212">
        <v>0</v>
      </c>
      <c r="AJ1054" s="1212">
        <v>1</v>
      </c>
      <c r="AK1054" s="2126">
        <v>6163.007250416551</v>
      </c>
      <c r="AL1054" s="2126">
        <v>0</v>
      </c>
      <c r="AM1054" s="2126">
        <v>0</v>
      </c>
      <c r="AN1054" s="2126">
        <v>6163.007250416551</v>
      </c>
      <c r="AO1054" s="1743" t="s">
        <v>85</v>
      </c>
      <c r="AP1054" s="1743" t="s">
        <v>86</v>
      </c>
      <c r="AQ1054" s="1764" t="s">
        <v>108</v>
      </c>
      <c r="AR1054" s="1743" t="s">
        <v>87</v>
      </c>
      <c r="AS1054" s="2135"/>
      <c r="AT1054" s="2135"/>
      <c r="AU1054" s="1212">
        <v>0.33333333333333331</v>
      </c>
      <c r="AV1054" s="1212">
        <v>0.33333333333333331</v>
      </c>
      <c r="AW1054" s="1212">
        <v>0.33333333333333331</v>
      </c>
      <c r="AX1054" s="1212"/>
      <c r="AY1054" s="1212"/>
      <c r="AZ1054" s="1212"/>
      <c r="BA1054" s="1212"/>
      <c r="BB1054" s="1212"/>
      <c r="BC1054" s="1212"/>
      <c r="BD1054" s="1212"/>
      <c r="BE1054" s="1212"/>
      <c r="BF1054" s="2126">
        <v>0</v>
      </c>
      <c r="BG1054" s="2126">
        <v>0</v>
      </c>
      <c r="BH1054" s="2126">
        <v>2054.33575013885</v>
      </c>
      <c r="BI1054" s="2126">
        <v>2054.33575013885</v>
      </c>
      <c r="BJ1054" s="2126">
        <v>2054.33575013885</v>
      </c>
      <c r="BK1054" s="2126">
        <v>0</v>
      </c>
      <c r="BL1054" s="2126">
        <v>0</v>
      </c>
      <c r="BM1054" s="2126">
        <v>0</v>
      </c>
      <c r="BN1054" s="2126">
        <v>0</v>
      </c>
      <c r="BO1054" s="2126">
        <v>0</v>
      </c>
      <c r="BP1054" s="2126">
        <v>0</v>
      </c>
      <c r="BQ1054" s="2126">
        <v>0</v>
      </c>
      <c r="BR1054" s="2126">
        <v>0</v>
      </c>
    </row>
    <row r="1055" spans="1:70" s="1765" customFormat="1" ht="49.5">
      <c r="A1055" s="1272">
        <v>4000</v>
      </c>
      <c r="B1055" s="971" t="s">
        <v>1316</v>
      </c>
      <c r="C1055" s="1272">
        <v>4500</v>
      </c>
      <c r="D1055" s="971" t="s">
        <v>452</v>
      </c>
      <c r="E1055" s="971" t="s">
        <v>1885</v>
      </c>
      <c r="F1055" s="971" t="s">
        <v>1882</v>
      </c>
      <c r="G1055" s="971">
        <v>4540</v>
      </c>
      <c r="H1055" s="971" t="s">
        <v>1883</v>
      </c>
      <c r="I1055" s="1273"/>
      <c r="J1055" s="971"/>
      <c r="K1055" s="971" t="s">
        <v>255</v>
      </c>
      <c r="L1055" s="971" t="s">
        <v>2802</v>
      </c>
      <c r="M1055" s="971" t="s">
        <v>255</v>
      </c>
      <c r="N1055" s="971" t="s">
        <v>83</v>
      </c>
      <c r="O1055" s="971" t="s">
        <v>256</v>
      </c>
      <c r="P1055" s="971"/>
      <c r="Q1055" s="971" t="s">
        <v>825</v>
      </c>
      <c r="R1055" s="1266" t="s">
        <v>1918</v>
      </c>
      <c r="S1055" s="2106">
        <v>754</v>
      </c>
      <c r="T1055" s="1266" t="s">
        <v>136</v>
      </c>
      <c r="U1055" s="1742">
        <v>4.4491883296460179E-2</v>
      </c>
      <c r="V1055" s="1742">
        <v>0.1701</v>
      </c>
      <c r="W1055" s="1742">
        <v>3.92151459375</v>
      </c>
      <c r="X1055" s="1742">
        <v>0.68180304577546291</v>
      </c>
      <c r="Y1055" s="2106">
        <v>4.7480795457754628</v>
      </c>
      <c r="Z1055" s="2106">
        <v>33.546880005530973</v>
      </c>
      <c r="AA1055" s="2106">
        <v>128.25540000000001</v>
      </c>
      <c r="AB1055" s="2106">
        <v>2956.8220036875</v>
      </c>
      <c r="AC1055" s="2106">
        <v>514.07949651469903</v>
      </c>
      <c r="AD1055" s="1744">
        <v>3599.1569002021988</v>
      </c>
      <c r="AE1055" s="2126">
        <v>0</v>
      </c>
      <c r="AF1055" s="2126">
        <v>0</v>
      </c>
      <c r="AG1055" s="1212">
        <v>1</v>
      </c>
      <c r="AH1055" s="1212">
        <v>0</v>
      </c>
      <c r="AI1055" s="1212">
        <v>0</v>
      </c>
      <c r="AJ1055" s="1212">
        <v>1</v>
      </c>
      <c r="AK1055" s="2126">
        <v>3599.1569002021988</v>
      </c>
      <c r="AL1055" s="2126">
        <v>0</v>
      </c>
      <c r="AM1055" s="2126">
        <v>0</v>
      </c>
      <c r="AN1055" s="2126">
        <v>3599.1569002021988</v>
      </c>
      <c r="AO1055" s="1743" t="s">
        <v>85</v>
      </c>
      <c r="AP1055" s="1743" t="s">
        <v>86</v>
      </c>
      <c r="AQ1055" s="1764" t="s">
        <v>108</v>
      </c>
      <c r="AR1055" s="1743" t="s">
        <v>87</v>
      </c>
      <c r="AS1055" s="2135"/>
      <c r="AT1055" s="2135"/>
      <c r="AU1055" s="1212">
        <v>0.33333333333333331</v>
      </c>
      <c r="AV1055" s="1212">
        <v>0.33333333333333331</v>
      </c>
      <c r="AW1055" s="1212">
        <v>0.33333333333333331</v>
      </c>
      <c r="AX1055" s="1212"/>
      <c r="AY1055" s="1212"/>
      <c r="AZ1055" s="1212"/>
      <c r="BA1055" s="1212"/>
      <c r="BB1055" s="1212"/>
      <c r="BC1055" s="1212"/>
      <c r="BD1055" s="1212"/>
      <c r="BE1055" s="1212"/>
      <c r="BF1055" s="2126">
        <v>0</v>
      </c>
      <c r="BG1055" s="2126">
        <v>0</v>
      </c>
      <c r="BH1055" s="2126">
        <v>1199.7189667340663</v>
      </c>
      <c r="BI1055" s="2126">
        <v>1199.7189667340663</v>
      </c>
      <c r="BJ1055" s="2126">
        <v>1199.7189667340663</v>
      </c>
      <c r="BK1055" s="2126">
        <v>0</v>
      </c>
      <c r="BL1055" s="2126">
        <v>0</v>
      </c>
      <c r="BM1055" s="2126">
        <v>0</v>
      </c>
      <c r="BN1055" s="2126">
        <v>0</v>
      </c>
      <c r="BO1055" s="2126">
        <v>0</v>
      </c>
      <c r="BP1055" s="2126">
        <v>0</v>
      </c>
      <c r="BQ1055" s="2126">
        <v>0</v>
      </c>
      <c r="BR1055" s="2126">
        <v>0</v>
      </c>
    </row>
    <row r="1056" spans="1:70" s="1765" customFormat="1" ht="49.5">
      <c r="A1056" s="1272">
        <v>4000</v>
      </c>
      <c r="B1056" s="971" t="s">
        <v>1316</v>
      </c>
      <c r="C1056" s="1272">
        <v>4500</v>
      </c>
      <c r="D1056" s="971" t="s">
        <v>452</v>
      </c>
      <c r="E1056" s="971" t="s">
        <v>1885</v>
      </c>
      <c r="F1056" s="971" t="s">
        <v>1882</v>
      </c>
      <c r="G1056" s="971">
        <v>4540</v>
      </c>
      <c r="H1056" s="971" t="s">
        <v>1883</v>
      </c>
      <c r="I1056" s="1273"/>
      <c r="J1056" s="971"/>
      <c r="K1056" s="971" t="s">
        <v>255</v>
      </c>
      <c r="L1056" s="971" t="s">
        <v>2802</v>
      </c>
      <c r="M1056" s="971" t="s">
        <v>255</v>
      </c>
      <c r="N1056" s="971" t="s">
        <v>83</v>
      </c>
      <c r="O1056" s="971" t="s">
        <v>256</v>
      </c>
      <c r="P1056" s="971"/>
      <c r="Q1056" s="971" t="s">
        <v>825</v>
      </c>
      <c r="R1056" s="1266" t="s">
        <v>1919</v>
      </c>
      <c r="S1056" s="2106">
        <v>649</v>
      </c>
      <c r="T1056" s="1266" t="s">
        <v>136</v>
      </c>
      <c r="U1056" s="1742">
        <v>4.4491883296460179E-2</v>
      </c>
      <c r="V1056" s="1742">
        <v>0.1701</v>
      </c>
      <c r="W1056" s="1742">
        <v>3.92151459375</v>
      </c>
      <c r="X1056" s="1742">
        <v>0.68180304577546291</v>
      </c>
      <c r="Y1056" s="2106">
        <v>4.7480795457754628</v>
      </c>
      <c r="Z1056" s="2106">
        <v>28.875232259402654</v>
      </c>
      <c r="AA1056" s="2106">
        <v>110.39490000000001</v>
      </c>
      <c r="AB1056" s="2106">
        <v>2545.0629713437502</v>
      </c>
      <c r="AC1056" s="2106">
        <v>442.49017670827544</v>
      </c>
      <c r="AD1056" s="1744">
        <v>3081.5036252082755</v>
      </c>
      <c r="AE1056" s="2126">
        <v>0</v>
      </c>
      <c r="AF1056" s="2126">
        <v>0</v>
      </c>
      <c r="AG1056" s="1212">
        <v>1</v>
      </c>
      <c r="AH1056" s="1212">
        <v>0</v>
      </c>
      <c r="AI1056" s="1212">
        <v>0</v>
      </c>
      <c r="AJ1056" s="1212">
        <v>1</v>
      </c>
      <c r="AK1056" s="2126">
        <v>3081.5036252082755</v>
      </c>
      <c r="AL1056" s="2126">
        <v>0</v>
      </c>
      <c r="AM1056" s="2126">
        <v>0</v>
      </c>
      <c r="AN1056" s="2126">
        <v>3081.5036252082755</v>
      </c>
      <c r="AO1056" s="1743" t="s">
        <v>85</v>
      </c>
      <c r="AP1056" s="1743" t="s">
        <v>86</v>
      </c>
      <c r="AQ1056" s="1764" t="s">
        <v>108</v>
      </c>
      <c r="AR1056" s="1743" t="s">
        <v>87</v>
      </c>
      <c r="AS1056" s="2135"/>
      <c r="AT1056" s="2135"/>
      <c r="AU1056" s="1212">
        <v>0.33333333333333331</v>
      </c>
      <c r="AV1056" s="1212">
        <v>0.33333333333333331</v>
      </c>
      <c r="AW1056" s="1212">
        <v>0.33333333333333331</v>
      </c>
      <c r="AX1056" s="1212"/>
      <c r="AY1056" s="1212"/>
      <c r="AZ1056" s="1212"/>
      <c r="BA1056" s="1212"/>
      <c r="BB1056" s="1212"/>
      <c r="BC1056" s="1212"/>
      <c r="BD1056" s="1212"/>
      <c r="BE1056" s="1212"/>
      <c r="BF1056" s="2126">
        <v>0</v>
      </c>
      <c r="BG1056" s="2126">
        <v>0</v>
      </c>
      <c r="BH1056" s="2126">
        <v>1027.167875069425</v>
      </c>
      <c r="BI1056" s="2126">
        <v>1027.167875069425</v>
      </c>
      <c r="BJ1056" s="2126">
        <v>1027.167875069425</v>
      </c>
      <c r="BK1056" s="2126">
        <v>0</v>
      </c>
      <c r="BL1056" s="2126">
        <v>0</v>
      </c>
      <c r="BM1056" s="2126">
        <v>0</v>
      </c>
      <c r="BN1056" s="2126">
        <v>0</v>
      </c>
      <c r="BO1056" s="2126">
        <v>0</v>
      </c>
      <c r="BP1056" s="2126">
        <v>0</v>
      </c>
      <c r="BQ1056" s="2126">
        <v>0</v>
      </c>
      <c r="BR1056" s="2126">
        <v>0</v>
      </c>
    </row>
    <row r="1057" spans="1:70" s="1765" customFormat="1" ht="49.5">
      <c r="A1057" s="1272">
        <v>4000</v>
      </c>
      <c r="B1057" s="971" t="s">
        <v>1316</v>
      </c>
      <c r="C1057" s="1272">
        <v>4500</v>
      </c>
      <c r="D1057" s="971" t="s">
        <v>452</v>
      </c>
      <c r="E1057" s="971" t="s">
        <v>1885</v>
      </c>
      <c r="F1057" s="971" t="s">
        <v>1882</v>
      </c>
      <c r="G1057" s="971">
        <v>4540</v>
      </c>
      <c r="H1057" s="971" t="s">
        <v>1883</v>
      </c>
      <c r="I1057" s="1273"/>
      <c r="J1057" s="971"/>
      <c r="K1057" s="971" t="s">
        <v>255</v>
      </c>
      <c r="L1057" s="971" t="s">
        <v>2802</v>
      </c>
      <c r="M1057" s="971" t="s">
        <v>255</v>
      </c>
      <c r="N1057" s="971" t="s">
        <v>83</v>
      </c>
      <c r="O1057" s="971" t="s">
        <v>256</v>
      </c>
      <c r="P1057" s="971"/>
      <c r="Q1057" s="971" t="s">
        <v>825</v>
      </c>
      <c r="R1057" s="1266" t="s">
        <v>1920</v>
      </c>
      <c r="S1057" s="2106">
        <v>600</v>
      </c>
      <c r="T1057" s="1266" t="s">
        <v>136</v>
      </c>
      <c r="U1057" s="1742">
        <v>4.4491883296460179E-2</v>
      </c>
      <c r="V1057" s="1742">
        <v>0.1701</v>
      </c>
      <c r="W1057" s="1742">
        <v>3.92151459375</v>
      </c>
      <c r="X1057" s="1742">
        <v>0.68180304577546291</v>
      </c>
      <c r="Y1057" s="2106">
        <v>4.7480795457754628</v>
      </c>
      <c r="Z1057" s="2106">
        <v>26.695129977876107</v>
      </c>
      <c r="AA1057" s="2106">
        <v>102.06</v>
      </c>
      <c r="AB1057" s="2106">
        <v>2352.9087562499999</v>
      </c>
      <c r="AC1057" s="2106">
        <v>409.08182746527774</v>
      </c>
      <c r="AD1057" s="1744">
        <v>2848.8477274652778</v>
      </c>
      <c r="AE1057" s="2126">
        <v>0</v>
      </c>
      <c r="AF1057" s="2126">
        <v>0</v>
      </c>
      <c r="AG1057" s="1212">
        <v>1</v>
      </c>
      <c r="AH1057" s="1212">
        <v>0</v>
      </c>
      <c r="AI1057" s="1212">
        <v>0</v>
      </c>
      <c r="AJ1057" s="1212">
        <v>1</v>
      </c>
      <c r="AK1057" s="2126">
        <v>2848.8477274652778</v>
      </c>
      <c r="AL1057" s="2126">
        <v>0</v>
      </c>
      <c r="AM1057" s="2126">
        <v>0</v>
      </c>
      <c r="AN1057" s="2126">
        <v>2848.8477274652778</v>
      </c>
      <c r="AO1057" s="1743" t="s">
        <v>85</v>
      </c>
      <c r="AP1057" s="1743" t="s">
        <v>86</v>
      </c>
      <c r="AQ1057" s="1764" t="s">
        <v>108</v>
      </c>
      <c r="AR1057" s="1743" t="s">
        <v>87</v>
      </c>
      <c r="AS1057" s="2135"/>
      <c r="AT1057" s="2135"/>
      <c r="AU1057" s="1212">
        <v>0.33333333333333331</v>
      </c>
      <c r="AV1057" s="1212">
        <v>0.33333333333333331</v>
      </c>
      <c r="AW1057" s="1212">
        <v>0.33333333333333331</v>
      </c>
      <c r="AX1057" s="1212"/>
      <c r="AY1057" s="1212"/>
      <c r="AZ1057" s="1212"/>
      <c r="BA1057" s="1212"/>
      <c r="BB1057" s="1212"/>
      <c r="BC1057" s="1212"/>
      <c r="BD1057" s="1212"/>
      <c r="BE1057" s="1212"/>
      <c r="BF1057" s="2126">
        <v>0</v>
      </c>
      <c r="BG1057" s="2126">
        <v>0</v>
      </c>
      <c r="BH1057" s="2126">
        <v>949.6159091550926</v>
      </c>
      <c r="BI1057" s="2126">
        <v>949.6159091550926</v>
      </c>
      <c r="BJ1057" s="2126">
        <v>949.6159091550926</v>
      </c>
      <c r="BK1057" s="2126">
        <v>0</v>
      </c>
      <c r="BL1057" s="2126">
        <v>0</v>
      </c>
      <c r="BM1057" s="2126">
        <v>0</v>
      </c>
      <c r="BN1057" s="2126">
        <v>0</v>
      </c>
      <c r="BO1057" s="2126">
        <v>0</v>
      </c>
      <c r="BP1057" s="2126">
        <v>0</v>
      </c>
      <c r="BQ1057" s="2126">
        <v>0</v>
      </c>
      <c r="BR1057" s="2126">
        <v>0</v>
      </c>
    </row>
    <row r="1058" spans="1:70" s="1765" customFormat="1" ht="49.5">
      <c r="A1058" s="1272">
        <v>4000</v>
      </c>
      <c r="B1058" s="971" t="s">
        <v>1316</v>
      </c>
      <c r="C1058" s="1272">
        <v>4500</v>
      </c>
      <c r="D1058" s="971" t="s">
        <v>452</v>
      </c>
      <c r="E1058" s="971" t="s">
        <v>1885</v>
      </c>
      <c r="F1058" s="971" t="s">
        <v>1882</v>
      </c>
      <c r="G1058" s="971">
        <v>4540</v>
      </c>
      <c r="H1058" s="971" t="s">
        <v>1883</v>
      </c>
      <c r="I1058" s="1273"/>
      <c r="J1058" s="971"/>
      <c r="K1058" s="971" t="s">
        <v>255</v>
      </c>
      <c r="L1058" s="971" t="s">
        <v>2802</v>
      </c>
      <c r="M1058" s="971" t="s">
        <v>255</v>
      </c>
      <c r="N1058" s="971" t="s">
        <v>83</v>
      </c>
      <c r="O1058" s="971" t="s">
        <v>256</v>
      </c>
      <c r="P1058" s="971"/>
      <c r="Q1058" s="971" t="s">
        <v>825</v>
      </c>
      <c r="R1058" s="1266" t="s">
        <v>1921</v>
      </c>
      <c r="S1058" s="2106">
        <v>550</v>
      </c>
      <c r="T1058" s="1266" t="s">
        <v>136</v>
      </c>
      <c r="U1058" s="1742">
        <v>4.4491883296460179E-2</v>
      </c>
      <c r="V1058" s="1742">
        <v>0.1701</v>
      </c>
      <c r="W1058" s="1742">
        <v>3.92151459375</v>
      </c>
      <c r="X1058" s="1742">
        <v>0.68180304577546291</v>
      </c>
      <c r="Y1058" s="2106">
        <v>4.7480795457754628</v>
      </c>
      <c r="Z1058" s="2106">
        <v>24.470535813053097</v>
      </c>
      <c r="AA1058" s="2106">
        <v>93.555000000000007</v>
      </c>
      <c r="AB1058" s="2106">
        <v>2156.8330265625</v>
      </c>
      <c r="AC1058" s="2106">
        <v>374.9916751765046</v>
      </c>
      <c r="AD1058" s="1744">
        <v>2611.4437501765046</v>
      </c>
      <c r="AE1058" s="2126">
        <v>0</v>
      </c>
      <c r="AF1058" s="2126">
        <v>0</v>
      </c>
      <c r="AG1058" s="1212">
        <v>1</v>
      </c>
      <c r="AH1058" s="1212">
        <v>0</v>
      </c>
      <c r="AI1058" s="1212">
        <v>0</v>
      </c>
      <c r="AJ1058" s="1212">
        <v>1</v>
      </c>
      <c r="AK1058" s="2126">
        <v>2611.4437501765046</v>
      </c>
      <c r="AL1058" s="2126">
        <v>0</v>
      </c>
      <c r="AM1058" s="2126">
        <v>0</v>
      </c>
      <c r="AN1058" s="2126">
        <v>2611.4437501765046</v>
      </c>
      <c r="AO1058" s="1743" t="s">
        <v>85</v>
      </c>
      <c r="AP1058" s="1743" t="s">
        <v>90</v>
      </c>
      <c r="AQ1058" s="1764" t="s">
        <v>108</v>
      </c>
      <c r="AR1058" s="1743" t="s">
        <v>87</v>
      </c>
      <c r="AS1058" s="2135"/>
      <c r="AT1058" s="2135"/>
      <c r="AU1058" s="1212">
        <v>0.33333333333333331</v>
      </c>
      <c r="AV1058" s="1212">
        <v>0.33333333333333331</v>
      </c>
      <c r="AW1058" s="1212">
        <v>0.33333333333333331</v>
      </c>
      <c r="AX1058" s="1212"/>
      <c r="AY1058" s="1212"/>
      <c r="AZ1058" s="1212"/>
      <c r="BA1058" s="1212"/>
      <c r="BB1058" s="1212"/>
      <c r="BC1058" s="1212"/>
      <c r="BD1058" s="1212"/>
      <c r="BE1058" s="1212"/>
      <c r="BF1058" s="2126">
        <v>0</v>
      </c>
      <c r="BG1058" s="2126">
        <v>0</v>
      </c>
      <c r="BH1058" s="2126">
        <v>870.4812500588348</v>
      </c>
      <c r="BI1058" s="2126">
        <v>870.4812500588348</v>
      </c>
      <c r="BJ1058" s="2126">
        <v>870.4812500588348</v>
      </c>
      <c r="BK1058" s="2126">
        <v>0</v>
      </c>
      <c r="BL1058" s="2126">
        <v>0</v>
      </c>
      <c r="BM1058" s="2126">
        <v>0</v>
      </c>
      <c r="BN1058" s="2126">
        <v>0</v>
      </c>
      <c r="BO1058" s="2126">
        <v>0</v>
      </c>
      <c r="BP1058" s="2126">
        <v>0</v>
      </c>
      <c r="BQ1058" s="2126">
        <v>0</v>
      </c>
      <c r="BR1058" s="2126">
        <v>0</v>
      </c>
    </row>
    <row r="1059" spans="1:70" s="1765" customFormat="1" ht="49.5">
      <c r="A1059" s="1272">
        <v>4000</v>
      </c>
      <c r="B1059" s="971" t="s">
        <v>1316</v>
      </c>
      <c r="C1059" s="1272">
        <v>4500</v>
      </c>
      <c r="D1059" s="971" t="s">
        <v>452</v>
      </c>
      <c r="E1059" s="971" t="s">
        <v>1885</v>
      </c>
      <c r="F1059" s="971" t="s">
        <v>1882</v>
      </c>
      <c r="G1059" s="971">
        <v>4540</v>
      </c>
      <c r="H1059" s="971" t="s">
        <v>1883</v>
      </c>
      <c r="I1059" s="1273"/>
      <c r="J1059" s="971"/>
      <c r="K1059" s="971" t="s">
        <v>255</v>
      </c>
      <c r="L1059" s="971" t="s">
        <v>2802</v>
      </c>
      <c r="M1059" s="971" t="s">
        <v>255</v>
      </c>
      <c r="N1059" s="971" t="s">
        <v>83</v>
      </c>
      <c r="O1059" s="971" t="s">
        <v>256</v>
      </c>
      <c r="P1059" s="971"/>
      <c r="Q1059" s="971" t="s">
        <v>825</v>
      </c>
      <c r="R1059" s="1266" t="s">
        <v>1922</v>
      </c>
      <c r="S1059" s="2106">
        <v>347</v>
      </c>
      <c r="T1059" s="1266" t="s">
        <v>136</v>
      </c>
      <c r="U1059" s="1742">
        <v>4.4491883296460179E-2</v>
      </c>
      <c r="V1059" s="1742">
        <v>0.1701</v>
      </c>
      <c r="W1059" s="1742">
        <v>3.92151459375</v>
      </c>
      <c r="X1059" s="1742">
        <v>0.68180304577546291</v>
      </c>
      <c r="Y1059" s="2106">
        <v>4.7480795457754628</v>
      </c>
      <c r="Z1059" s="2106">
        <v>15.438683503871681</v>
      </c>
      <c r="AA1059" s="2106">
        <v>59.024700000000003</v>
      </c>
      <c r="AB1059" s="2106">
        <v>1360.7655640312501</v>
      </c>
      <c r="AC1059" s="2106">
        <v>236.58565688408564</v>
      </c>
      <c r="AD1059" s="1744">
        <v>1647.5836023840857</v>
      </c>
      <c r="AE1059" s="2126">
        <v>0</v>
      </c>
      <c r="AF1059" s="2126">
        <v>0</v>
      </c>
      <c r="AG1059" s="1212">
        <v>1</v>
      </c>
      <c r="AH1059" s="1212">
        <v>0</v>
      </c>
      <c r="AI1059" s="1212">
        <v>0</v>
      </c>
      <c r="AJ1059" s="1212">
        <v>1</v>
      </c>
      <c r="AK1059" s="2126">
        <v>1647.5836023840857</v>
      </c>
      <c r="AL1059" s="2126">
        <v>0</v>
      </c>
      <c r="AM1059" s="2126">
        <v>0</v>
      </c>
      <c r="AN1059" s="2126">
        <v>1647.5836023840857</v>
      </c>
      <c r="AO1059" s="1743" t="s">
        <v>85</v>
      </c>
      <c r="AP1059" s="1743" t="s">
        <v>86</v>
      </c>
      <c r="AQ1059" s="1764" t="s">
        <v>108</v>
      </c>
      <c r="AR1059" s="1743" t="s">
        <v>87</v>
      </c>
      <c r="AS1059" s="2135"/>
      <c r="AT1059" s="2135"/>
      <c r="AU1059" s="1212">
        <v>0.33333333333333331</v>
      </c>
      <c r="AV1059" s="1212">
        <v>0.33333333333333331</v>
      </c>
      <c r="AW1059" s="1212">
        <v>0.33333333333333331</v>
      </c>
      <c r="AX1059" s="1212"/>
      <c r="AY1059" s="1212"/>
      <c r="AZ1059" s="1212"/>
      <c r="BA1059" s="1212"/>
      <c r="BB1059" s="1212"/>
      <c r="BC1059" s="1212"/>
      <c r="BD1059" s="1212"/>
      <c r="BE1059" s="1212"/>
      <c r="BF1059" s="2126">
        <v>0</v>
      </c>
      <c r="BG1059" s="2126">
        <v>0</v>
      </c>
      <c r="BH1059" s="2126">
        <v>549.19453412802852</v>
      </c>
      <c r="BI1059" s="2126">
        <v>549.19453412802852</v>
      </c>
      <c r="BJ1059" s="2126">
        <v>549.19453412802852</v>
      </c>
      <c r="BK1059" s="2126">
        <v>0</v>
      </c>
      <c r="BL1059" s="2126">
        <v>0</v>
      </c>
      <c r="BM1059" s="2126">
        <v>0</v>
      </c>
      <c r="BN1059" s="2126">
        <v>0</v>
      </c>
      <c r="BO1059" s="2126">
        <v>0</v>
      </c>
      <c r="BP1059" s="2126">
        <v>0</v>
      </c>
      <c r="BQ1059" s="2126">
        <v>0</v>
      </c>
      <c r="BR1059" s="2126">
        <v>0</v>
      </c>
    </row>
    <row r="1060" spans="1:70" s="1765" customFormat="1" ht="33">
      <c r="A1060" s="1272">
        <v>4000</v>
      </c>
      <c r="B1060" s="971" t="s">
        <v>1316</v>
      </c>
      <c r="C1060" s="1272">
        <v>4500</v>
      </c>
      <c r="D1060" s="971" t="s">
        <v>452</v>
      </c>
      <c r="E1060" s="971" t="s">
        <v>1885</v>
      </c>
      <c r="F1060" s="971" t="s">
        <v>1882</v>
      </c>
      <c r="G1060" s="971">
        <v>4540</v>
      </c>
      <c r="H1060" s="971" t="s">
        <v>1883</v>
      </c>
      <c r="I1060" s="1273"/>
      <c r="J1060" s="971" t="s">
        <v>799</v>
      </c>
      <c r="K1060" s="971" t="s">
        <v>800</v>
      </c>
      <c r="L1060" s="971" t="s">
        <v>2890</v>
      </c>
      <c r="M1060" s="971" t="s">
        <v>800</v>
      </c>
      <c r="N1060" s="971" t="s">
        <v>269</v>
      </c>
      <c r="O1060" s="971" t="s">
        <v>801</v>
      </c>
      <c r="P1060" s="971"/>
      <c r="Q1060" s="971" t="s">
        <v>1923</v>
      </c>
      <c r="R1060" s="1266"/>
      <c r="S1060" s="2106">
        <v>1</v>
      </c>
      <c r="T1060" s="1266" t="s">
        <v>2700</v>
      </c>
      <c r="U1060" s="1742">
        <v>47</v>
      </c>
      <c r="V1060" s="1742">
        <v>400</v>
      </c>
      <c r="W1060" s="1742">
        <v>4142.58</v>
      </c>
      <c r="X1060" s="1742">
        <v>4411.84</v>
      </c>
      <c r="Y1060" s="2106">
        <v>8954.4199999999983</v>
      </c>
      <c r="Z1060" s="2106">
        <v>47</v>
      </c>
      <c r="AA1060" s="2106">
        <v>400</v>
      </c>
      <c r="AB1060" s="2106">
        <v>4142.58</v>
      </c>
      <c r="AC1060" s="2106">
        <v>4411.84</v>
      </c>
      <c r="AD1060" s="1744">
        <v>8954.42</v>
      </c>
      <c r="AE1060" s="2126">
        <v>329.26829268292681</v>
      </c>
      <c r="AF1060" s="2126">
        <v>329.26829268292681</v>
      </c>
      <c r="AG1060" s="1212">
        <v>1</v>
      </c>
      <c r="AH1060" s="1212">
        <v>0</v>
      </c>
      <c r="AI1060" s="1212">
        <v>0</v>
      </c>
      <c r="AJ1060" s="1212">
        <v>1</v>
      </c>
      <c r="AK1060" s="2126">
        <v>8954.42</v>
      </c>
      <c r="AL1060" s="2126">
        <v>0</v>
      </c>
      <c r="AM1060" s="2126">
        <v>0</v>
      </c>
      <c r="AN1060" s="2126">
        <v>8954.42</v>
      </c>
      <c r="AO1060" s="1743" t="s">
        <v>85</v>
      </c>
      <c r="AP1060" s="1743" t="s">
        <v>90</v>
      </c>
      <c r="AQ1060" s="1764" t="s">
        <v>112</v>
      </c>
      <c r="AR1060" s="1743" t="s">
        <v>87</v>
      </c>
      <c r="AS1060" s="2135"/>
      <c r="AT1060" s="2135"/>
      <c r="AU1060" s="1212">
        <v>0.33333333333333331</v>
      </c>
      <c r="AV1060" s="1212">
        <v>0.33333333333333331</v>
      </c>
      <c r="AW1060" s="1212">
        <v>0.33333333333333331</v>
      </c>
      <c r="AX1060" s="1212"/>
      <c r="AY1060" s="1212"/>
      <c r="AZ1060" s="1212"/>
      <c r="BA1060" s="1212"/>
      <c r="BB1060" s="1212"/>
      <c r="BC1060" s="1212"/>
      <c r="BD1060" s="1212"/>
      <c r="BE1060" s="1212"/>
      <c r="BF1060" s="2126">
        <v>0</v>
      </c>
      <c r="BG1060" s="2126">
        <v>0</v>
      </c>
      <c r="BH1060" s="2126">
        <v>2984.8066666666664</v>
      </c>
      <c r="BI1060" s="2126">
        <v>2984.8066666666664</v>
      </c>
      <c r="BJ1060" s="2126">
        <v>2984.8066666666664</v>
      </c>
      <c r="BK1060" s="2126">
        <v>0</v>
      </c>
      <c r="BL1060" s="2126">
        <v>0</v>
      </c>
      <c r="BM1060" s="2126">
        <v>0</v>
      </c>
      <c r="BN1060" s="2126">
        <v>0</v>
      </c>
      <c r="BO1060" s="2126">
        <v>0</v>
      </c>
      <c r="BP1060" s="2126">
        <v>0</v>
      </c>
      <c r="BQ1060" s="2126">
        <v>0</v>
      </c>
      <c r="BR1060" s="2126">
        <v>0</v>
      </c>
    </row>
    <row r="1061" spans="1:70" s="1765" customFormat="1">
      <c r="A1061" s="1802">
        <v>4000</v>
      </c>
      <c r="B1061" s="1803" t="s">
        <v>1316</v>
      </c>
      <c r="C1061" s="1802">
        <v>4600</v>
      </c>
      <c r="D1061" s="1803" t="s">
        <v>838</v>
      </c>
      <c r="E1061" s="1803"/>
      <c r="F1061" s="1803"/>
      <c r="G1061" s="1803"/>
      <c r="H1061" s="1803"/>
      <c r="I1061" s="1803"/>
      <c r="J1061" s="1803" t="s">
        <v>121</v>
      </c>
      <c r="K1061" s="1803"/>
      <c r="L1061" s="1803"/>
      <c r="M1061" s="1803"/>
      <c r="N1061" s="1803"/>
      <c r="O1061" s="1803"/>
      <c r="P1061" s="1803"/>
      <c r="Q1061" s="1803"/>
      <c r="R1061" s="1774"/>
      <c r="S1061" s="2107"/>
      <c r="T1061" s="1774"/>
      <c r="U1061" s="1776"/>
      <c r="V1061" s="1776"/>
      <c r="W1061" s="1776"/>
      <c r="X1061" s="1776"/>
      <c r="Y1061" s="2107"/>
      <c r="Z1061" s="2107"/>
      <c r="AA1061" s="2107"/>
      <c r="AB1061" s="2107"/>
      <c r="AC1061" s="2107"/>
      <c r="AD1061" s="1775"/>
      <c r="AE1061" s="2127"/>
      <c r="AF1061" s="2127"/>
      <c r="AG1061" s="1777"/>
      <c r="AH1061" s="1777"/>
      <c r="AI1061" s="1777"/>
      <c r="AJ1061" s="1777"/>
      <c r="AK1061" s="2127"/>
      <c r="AL1061" s="2127"/>
      <c r="AM1061" s="2127"/>
      <c r="AN1061" s="2127"/>
      <c r="AO1061" s="1775"/>
      <c r="AP1061" s="1775"/>
      <c r="AQ1061" s="1773"/>
      <c r="AR1061" s="1775"/>
      <c r="AS1061" s="1777"/>
      <c r="AT1061" s="1777"/>
      <c r="AU1061" s="1777"/>
      <c r="AV1061" s="1777"/>
      <c r="AW1061" s="1777"/>
      <c r="AX1061" s="1777"/>
      <c r="AY1061" s="1777"/>
      <c r="AZ1061" s="1777"/>
      <c r="BA1061" s="1777"/>
      <c r="BB1061" s="1777"/>
      <c r="BC1061" s="1777"/>
      <c r="BD1061" s="1777"/>
      <c r="BE1061" s="1777"/>
      <c r="BF1061" s="2127"/>
      <c r="BG1061" s="2127"/>
      <c r="BH1061" s="2127"/>
      <c r="BI1061" s="2127"/>
      <c r="BJ1061" s="2127"/>
      <c r="BK1061" s="2127"/>
      <c r="BL1061" s="2127"/>
      <c r="BM1061" s="2127"/>
      <c r="BN1061" s="2127"/>
      <c r="BO1061" s="2127"/>
      <c r="BP1061" s="2127"/>
      <c r="BQ1061" s="2127"/>
      <c r="BR1061" s="2127"/>
    </row>
    <row r="1062" spans="1:70" s="1765" customFormat="1" ht="49.5">
      <c r="A1062" s="1272">
        <v>4000</v>
      </c>
      <c r="B1062" s="971" t="s">
        <v>1316</v>
      </c>
      <c r="C1062" s="1272">
        <v>4600</v>
      </c>
      <c r="D1062" s="971" t="s">
        <v>838</v>
      </c>
      <c r="E1062" s="971">
        <v>4610</v>
      </c>
      <c r="F1062" s="971" t="s">
        <v>1924</v>
      </c>
      <c r="G1062" s="971" t="s">
        <v>1925</v>
      </c>
      <c r="H1062" s="971" t="s">
        <v>842</v>
      </c>
      <c r="I1062" s="1273" t="s">
        <v>1926</v>
      </c>
      <c r="J1062" s="971" t="s">
        <v>177</v>
      </c>
      <c r="K1062" s="971" t="s">
        <v>844</v>
      </c>
      <c r="L1062" s="971" t="s">
        <v>2850</v>
      </c>
      <c r="M1062" s="971" t="s">
        <v>844</v>
      </c>
      <c r="N1062" s="971" t="s">
        <v>179</v>
      </c>
      <c r="O1062" s="971" t="s">
        <v>845</v>
      </c>
      <c r="P1062" s="971"/>
      <c r="Q1062" s="971" t="s">
        <v>1927</v>
      </c>
      <c r="R1062" s="1266" t="s">
        <v>1928</v>
      </c>
      <c r="S1062" s="2106">
        <v>2</v>
      </c>
      <c r="T1062" s="1266" t="s">
        <v>242</v>
      </c>
      <c r="U1062" s="1742">
        <v>679.40000000000009</v>
      </c>
      <c r="V1062" s="1742">
        <v>7847.5</v>
      </c>
      <c r="W1062" s="1742">
        <v>59882.315999999999</v>
      </c>
      <c r="X1062" s="1742">
        <v>86554.786000000007</v>
      </c>
      <c r="Y1062" s="2106">
        <v>154284.60200000001</v>
      </c>
      <c r="Z1062" s="2106">
        <v>1358.8000000000002</v>
      </c>
      <c r="AA1062" s="2106">
        <v>15695</v>
      </c>
      <c r="AB1062" s="2106">
        <v>119764.632</v>
      </c>
      <c r="AC1062" s="2106">
        <v>173109.57200000001</v>
      </c>
      <c r="AD1062" s="1744">
        <v>308569.20400000003</v>
      </c>
      <c r="AE1062" s="2126">
        <v>160</v>
      </c>
      <c r="AF1062" s="2126">
        <v>320</v>
      </c>
      <c r="AG1062" s="1212">
        <v>1</v>
      </c>
      <c r="AH1062" s="1212">
        <v>0</v>
      </c>
      <c r="AI1062" s="1212">
        <v>0</v>
      </c>
      <c r="AJ1062" s="1212">
        <v>1</v>
      </c>
      <c r="AK1062" s="2126">
        <v>308569.20400000003</v>
      </c>
      <c r="AL1062" s="2126">
        <v>0</v>
      </c>
      <c r="AM1062" s="2126">
        <v>0</v>
      </c>
      <c r="AN1062" s="2126">
        <v>308569.20400000003</v>
      </c>
      <c r="AO1062" s="1743" t="s">
        <v>85</v>
      </c>
      <c r="AP1062" s="1743" t="s">
        <v>90</v>
      </c>
      <c r="AQ1062" s="1764">
        <v>2019</v>
      </c>
      <c r="AR1062" s="1743" t="s">
        <v>87</v>
      </c>
      <c r="AS1062" s="2135"/>
      <c r="AT1062" s="2135"/>
      <c r="AU1062" s="1212">
        <v>0.5</v>
      </c>
      <c r="AV1062" s="1212">
        <v>0.5</v>
      </c>
      <c r="AW1062" s="1212"/>
      <c r="AX1062" s="1212"/>
      <c r="AY1062" s="1212"/>
      <c r="AZ1062" s="1212"/>
      <c r="BA1062" s="1212"/>
      <c r="BB1062" s="1212"/>
      <c r="BC1062" s="1212"/>
      <c r="BD1062" s="1212"/>
      <c r="BE1062" s="1212"/>
      <c r="BF1062" s="2126">
        <v>0</v>
      </c>
      <c r="BG1062" s="2126">
        <v>0</v>
      </c>
      <c r="BH1062" s="2126">
        <v>154284.60200000001</v>
      </c>
      <c r="BI1062" s="2126">
        <v>154284.60200000001</v>
      </c>
      <c r="BJ1062" s="2126">
        <v>0</v>
      </c>
      <c r="BK1062" s="2126">
        <v>0</v>
      </c>
      <c r="BL1062" s="2126">
        <v>0</v>
      </c>
      <c r="BM1062" s="2126">
        <v>0</v>
      </c>
      <c r="BN1062" s="2126">
        <v>0</v>
      </c>
      <c r="BO1062" s="2126">
        <v>0</v>
      </c>
      <c r="BP1062" s="2126">
        <v>0</v>
      </c>
      <c r="BQ1062" s="2126">
        <v>0</v>
      </c>
      <c r="BR1062" s="2126">
        <v>0</v>
      </c>
    </row>
    <row r="1063" spans="1:70" s="1765" customFormat="1" ht="49.5">
      <c r="A1063" s="1272">
        <v>4000</v>
      </c>
      <c r="B1063" s="971" t="s">
        <v>1316</v>
      </c>
      <c r="C1063" s="1272">
        <v>4600</v>
      </c>
      <c r="D1063" s="971" t="s">
        <v>838</v>
      </c>
      <c r="E1063" s="971">
        <v>4610</v>
      </c>
      <c r="F1063" s="971" t="s">
        <v>1924</v>
      </c>
      <c r="G1063" s="971" t="s">
        <v>1925</v>
      </c>
      <c r="H1063" s="971" t="s">
        <v>842</v>
      </c>
      <c r="I1063" s="1273" t="s">
        <v>1926</v>
      </c>
      <c r="J1063" s="971" t="s">
        <v>177</v>
      </c>
      <c r="K1063" s="971" t="s">
        <v>844</v>
      </c>
      <c r="L1063" s="971" t="s">
        <v>2850</v>
      </c>
      <c r="M1063" s="971" t="s">
        <v>844</v>
      </c>
      <c r="N1063" s="971" t="s">
        <v>179</v>
      </c>
      <c r="O1063" s="971" t="s">
        <v>845</v>
      </c>
      <c r="P1063" s="971"/>
      <c r="Q1063" s="971" t="s">
        <v>1927</v>
      </c>
      <c r="R1063" s="1266" t="s">
        <v>1928</v>
      </c>
      <c r="S1063" s="2106">
        <v>-1</v>
      </c>
      <c r="T1063" s="1266" t="s">
        <v>242</v>
      </c>
      <c r="U1063" s="1742">
        <v>679.40000000000009</v>
      </c>
      <c r="V1063" s="1742">
        <v>7847.5</v>
      </c>
      <c r="W1063" s="1742">
        <v>59882.315999999999</v>
      </c>
      <c r="X1063" s="1742">
        <v>86554.786000000007</v>
      </c>
      <c r="Y1063" s="2106">
        <v>154284.60200000001</v>
      </c>
      <c r="Z1063" s="2106">
        <v>-679.40000000000009</v>
      </c>
      <c r="AA1063" s="2106">
        <v>-7847.5</v>
      </c>
      <c r="AB1063" s="2106">
        <v>-59882.315999999999</v>
      </c>
      <c r="AC1063" s="2106">
        <v>-86554.786000000007</v>
      </c>
      <c r="AD1063" s="1744">
        <v>-154284.60200000001</v>
      </c>
      <c r="AE1063" s="2126">
        <v>160</v>
      </c>
      <c r="AF1063" s="2126">
        <v>-160</v>
      </c>
      <c r="AG1063" s="1212">
        <v>1</v>
      </c>
      <c r="AH1063" s="1212">
        <v>0</v>
      </c>
      <c r="AI1063" s="1212">
        <v>0</v>
      </c>
      <c r="AJ1063" s="1212">
        <v>1</v>
      </c>
      <c r="AK1063" s="2126">
        <v>-154284.60200000001</v>
      </c>
      <c r="AL1063" s="2126">
        <v>0</v>
      </c>
      <c r="AM1063" s="2126">
        <v>0</v>
      </c>
      <c r="AN1063" s="2126">
        <v>-154284.60200000001</v>
      </c>
      <c r="AO1063" s="1743" t="s">
        <v>85</v>
      </c>
      <c r="AP1063" s="1743" t="s">
        <v>96</v>
      </c>
      <c r="AQ1063" s="1764" t="s">
        <v>118</v>
      </c>
      <c r="AR1063" s="1743" t="s">
        <v>87</v>
      </c>
      <c r="AS1063" s="2135"/>
      <c r="AT1063" s="2135"/>
      <c r="AU1063" s="1212">
        <v>0.5</v>
      </c>
      <c r="AV1063" s="1212">
        <v>0.5</v>
      </c>
      <c r="AW1063" s="1212"/>
      <c r="AX1063" s="1212"/>
      <c r="AY1063" s="1212"/>
      <c r="AZ1063" s="1212"/>
      <c r="BA1063" s="1212"/>
      <c r="BB1063" s="1212"/>
      <c r="BC1063" s="1212"/>
      <c r="BD1063" s="1212"/>
      <c r="BE1063" s="1212"/>
      <c r="BF1063" s="2126">
        <v>0</v>
      </c>
      <c r="BG1063" s="2126">
        <v>0</v>
      </c>
      <c r="BH1063" s="2126">
        <v>-77142.301000000007</v>
      </c>
      <c r="BI1063" s="2126">
        <v>-77142.301000000007</v>
      </c>
      <c r="BJ1063" s="2126">
        <v>0</v>
      </c>
      <c r="BK1063" s="2126">
        <v>0</v>
      </c>
      <c r="BL1063" s="2126">
        <v>0</v>
      </c>
      <c r="BM1063" s="2126">
        <v>0</v>
      </c>
      <c r="BN1063" s="2126">
        <v>0</v>
      </c>
      <c r="BO1063" s="2126">
        <v>0</v>
      </c>
      <c r="BP1063" s="2126">
        <v>0</v>
      </c>
      <c r="BQ1063" s="2126">
        <v>0</v>
      </c>
      <c r="BR1063" s="2126">
        <v>0</v>
      </c>
    </row>
    <row r="1064" spans="1:70" s="1765" customFormat="1" ht="49.5">
      <c r="A1064" s="1272">
        <v>4000</v>
      </c>
      <c r="B1064" s="971" t="s">
        <v>1316</v>
      </c>
      <c r="C1064" s="1272">
        <v>4600</v>
      </c>
      <c r="D1064" s="971" t="s">
        <v>838</v>
      </c>
      <c r="E1064" s="971">
        <v>4610</v>
      </c>
      <c r="F1064" s="971" t="s">
        <v>1924</v>
      </c>
      <c r="G1064" s="971" t="s">
        <v>1925</v>
      </c>
      <c r="H1064" s="971" t="s">
        <v>842</v>
      </c>
      <c r="I1064" s="1273" t="s">
        <v>1926</v>
      </c>
      <c r="J1064" s="971" t="s">
        <v>177</v>
      </c>
      <c r="K1064" s="971" t="s">
        <v>882</v>
      </c>
      <c r="L1064" s="971" t="s">
        <v>2848</v>
      </c>
      <c r="M1064" s="971" t="s">
        <v>882</v>
      </c>
      <c r="N1064" s="971" t="s">
        <v>179</v>
      </c>
      <c r="O1064" s="971" t="s">
        <v>883</v>
      </c>
      <c r="P1064" s="971"/>
      <c r="Q1064" s="971" t="s">
        <v>1929</v>
      </c>
      <c r="R1064" s="1266" t="s">
        <v>1930</v>
      </c>
      <c r="S1064" s="2106">
        <v>1</v>
      </c>
      <c r="T1064" s="1266" t="s">
        <v>242</v>
      </c>
      <c r="U1064" s="1742">
        <v>65.790000000000006</v>
      </c>
      <c r="V1064" s="1742">
        <v>726.75</v>
      </c>
      <c r="W1064" s="1742">
        <v>5798.7305999999999</v>
      </c>
      <c r="X1064" s="1742">
        <v>8015.7618000000002</v>
      </c>
      <c r="Y1064" s="2106">
        <v>14541.242400000003</v>
      </c>
      <c r="Z1064" s="2106">
        <v>65.790000000000006</v>
      </c>
      <c r="AA1064" s="2106">
        <v>726.75</v>
      </c>
      <c r="AB1064" s="2106">
        <v>5798.7305999999999</v>
      </c>
      <c r="AC1064" s="2106">
        <v>8015.7618000000002</v>
      </c>
      <c r="AD1064" s="1744">
        <v>14541.242399999999</v>
      </c>
      <c r="AE1064" s="2126">
        <v>40</v>
      </c>
      <c r="AF1064" s="2126">
        <v>40</v>
      </c>
      <c r="AG1064" s="1212">
        <v>1</v>
      </c>
      <c r="AH1064" s="1212">
        <v>0</v>
      </c>
      <c r="AI1064" s="1212">
        <v>0</v>
      </c>
      <c r="AJ1064" s="1212">
        <v>1</v>
      </c>
      <c r="AK1064" s="2126">
        <v>14541.242399999999</v>
      </c>
      <c r="AL1064" s="2126">
        <v>0</v>
      </c>
      <c r="AM1064" s="2126">
        <v>0</v>
      </c>
      <c r="AN1064" s="2126">
        <v>14541.242399999999</v>
      </c>
      <c r="AO1064" s="1743" t="s">
        <v>85</v>
      </c>
      <c r="AP1064" s="1743"/>
      <c r="AQ1064" s="1764">
        <v>2014</v>
      </c>
      <c r="AR1064" s="1743" t="s">
        <v>87</v>
      </c>
      <c r="AS1064" s="2135"/>
      <c r="AT1064" s="2135"/>
      <c r="AU1064" s="1212">
        <v>0.5</v>
      </c>
      <c r="AV1064" s="1212">
        <v>0.5</v>
      </c>
      <c r="AW1064" s="1212"/>
      <c r="AX1064" s="1212"/>
      <c r="AY1064" s="1212"/>
      <c r="AZ1064" s="1212"/>
      <c r="BA1064" s="1212"/>
      <c r="BB1064" s="1212"/>
      <c r="BC1064" s="1212"/>
      <c r="BD1064" s="1212"/>
      <c r="BE1064" s="1212"/>
      <c r="BF1064" s="2126">
        <v>0</v>
      </c>
      <c r="BG1064" s="2126">
        <v>0</v>
      </c>
      <c r="BH1064" s="2126">
        <v>7270.6211999999996</v>
      </c>
      <c r="BI1064" s="2126">
        <v>7270.6211999999996</v>
      </c>
      <c r="BJ1064" s="2126">
        <v>0</v>
      </c>
      <c r="BK1064" s="2126">
        <v>0</v>
      </c>
      <c r="BL1064" s="2126">
        <v>0</v>
      </c>
      <c r="BM1064" s="2126">
        <v>0</v>
      </c>
      <c r="BN1064" s="2126">
        <v>0</v>
      </c>
      <c r="BO1064" s="2126">
        <v>0</v>
      </c>
      <c r="BP1064" s="2126">
        <v>0</v>
      </c>
      <c r="BQ1064" s="2126">
        <v>0</v>
      </c>
      <c r="BR1064" s="2126">
        <v>0</v>
      </c>
    </row>
    <row r="1065" spans="1:70" s="1765" customFormat="1" ht="49.5">
      <c r="A1065" s="1272">
        <v>4000</v>
      </c>
      <c r="B1065" s="971" t="s">
        <v>1316</v>
      </c>
      <c r="C1065" s="1272">
        <v>4600</v>
      </c>
      <c r="D1065" s="971" t="s">
        <v>838</v>
      </c>
      <c r="E1065" s="971">
        <v>4610</v>
      </c>
      <c r="F1065" s="971" t="s">
        <v>1924</v>
      </c>
      <c r="G1065" s="971" t="s">
        <v>1925</v>
      </c>
      <c r="H1065" s="971" t="s">
        <v>842</v>
      </c>
      <c r="I1065" s="1273" t="s">
        <v>1931</v>
      </c>
      <c r="J1065" s="971" t="s">
        <v>177</v>
      </c>
      <c r="K1065" s="971" t="s">
        <v>882</v>
      </c>
      <c r="L1065" s="971" t="s">
        <v>2848</v>
      </c>
      <c r="M1065" s="971" t="s">
        <v>882</v>
      </c>
      <c r="N1065" s="971" t="s">
        <v>179</v>
      </c>
      <c r="O1065" s="971" t="s">
        <v>883</v>
      </c>
      <c r="P1065" s="971"/>
      <c r="Q1065" s="971" t="s">
        <v>1929</v>
      </c>
      <c r="R1065" s="1266" t="s">
        <v>1932</v>
      </c>
      <c r="S1065" s="2106">
        <v>1</v>
      </c>
      <c r="T1065" s="1266" t="s">
        <v>242</v>
      </c>
      <c r="U1065" s="1742">
        <v>65.790000000000006</v>
      </c>
      <c r="V1065" s="1742">
        <v>726.75</v>
      </c>
      <c r="W1065" s="1742">
        <v>5798.7305999999999</v>
      </c>
      <c r="X1065" s="1742">
        <v>8015.7618000000002</v>
      </c>
      <c r="Y1065" s="2106">
        <v>14541.242400000003</v>
      </c>
      <c r="Z1065" s="2106">
        <v>65.790000000000006</v>
      </c>
      <c r="AA1065" s="2106">
        <v>726.75</v>
      </c>
      <c r="AB1065" s="2106">
        <v>5798.7305999999999</v>
      </c>
      <c r="AC1065" s="2106">
        <v>8015.7618000000002</v>
      </c>
      <c r="AD1065" s="1744">
        <v>14541.242399999999</v>
      </c>
      <c r="AE1065" s="2126">
        <v>40</v>
      </c>
      <c r="AF1065" s="2126">
        <v>40</v>
      </c>
      <c r="AG1065" s="1212">
        <v>1</v>
      </c>
      <c r="AH1065" s="1212">
        <v>0</v>
      </c>
      <c r="AI1065" s="1212">
        <v>0</v>
      </c>
      <c r="AJ1065" s="1212">
        <v>1</v>
      </c>
      <c r="AK1065" s="2126">
        <v>14541.242399999999</v>
      </c>
      <c r="AL1065" s="2126">
        <v>0</v>
      </c>
      <c r="AM1065" s="2126">
        <v>0</v>
      </c>
      <c r="AN1065" s="2126">
        <v>14541.242399999999</v>
      </c>
      <c r="AO1065" s="1743" t="s">
        <v>85</v>
      </c>
      <c r="AP1065" s="1743"/>
      <c r="AQ1065" s="1764">
        <v>2014</v>
      </c>
      <c r="AR1065" s="1743" t="s">
        <v>87</v>
      </c>
      <c r="AS1065" s="2135"/>
      <c r="AT1065" s="2135"/>
      <c r="AU1065" s="1212">
        <v>0.5</v>
      </c>
      <c r="AV1065" s="1212">
        <v>0.5</v>
      </c>
      <c r="AW1065" s="1212"/>
      <c r="AX1065" s="1212"/>
      <c r="AY1065" s="1212"/>
      <c r="AZ1065" s="1212"/>
      <c r="BA1065" s="1212"/>
      <c r="BB1065" s="1212"/>
      <c r="BC1065" s="1212"/>
      <c r="BD1065" s="1212"/>
      <c r="BE1065" s="1212"/>
      <c r="BF1065" s="2126">
        <v>0</v>
      </c>
      <c r="BG1065" s="2126">
        <v>0</v>
      </c>
      <c r="BH1065" s="2126">
        <v>7270.6211999999996</v>
      </c>
      <c r="BI1065" s="2126">
        <v>7270.6211999999996</v>
      </c>
      <c r="BJ1065" s="2126">
        <v>0</v>
      </c>
      <c r="BK1065" s="2126">
        <v>0</v>
      </c>
      <c r="BL1065" s="2126">
        <v>0</v>
      </c>
      <c r="BM1065" s="2126">
        <v>0</v>
      </c>
      <c r="BN1065" s="2126">
        <v>0</v>
      </c>
      <c r="BO1065" s="2126">
        <v>0</v>
      </c>
      <c r="BP1065" s="2126">
        <v>0</v>
      </c>
      <c r="BQ1065" s="2126">
        <v>0</v>
      </c>
      <c r="BR1065" s="2126">
        <v>0</v>
      </c>
    </row>
    <row r="1066" spans="1:70" s="1765" customFormat="1" ht="49.5">
      <c r="A1066" s="1272">
        <v>4000</v>
      </c>
      <c r="B1066" s="971" t="s">
        <v>1316</v>
      </c>
      <c r="C1066" s="1272">
        <v>4600</v>
      </c>
      <c r="D1066" s="971" t="s">
        <v>838</v>
      </c>
      <c r="E1066" s="971">
        <v>4610</v>
      </c>
      <c r="F1066" s="971" t="s">
        <v>1924</v>
      </c>
      <c r="G1066" s="971" t="s">
        <v>1925</v>
      </c>
      <c r="H1066" s="971" t="s">
        <v>842</v>
      </c>
      <c r="I1066" s="1273" t="s">
        <v>1933</v>
      </c>
      <c r="J1066" s="971" t="s">
        <v>177</v>
      </c>
      <c r="K1066" s="971" t="s">
        <v>882</v>
      </c>
      <c r="L1066" s="971" t="s">
        <v>2848</v>
      </c>
      <c r="M1066" s="971" t="s">
        <v>882</v>
      </c>
      <c r="N1066" s="971" t="s">
        <v>179</v>
      </c>
      <c r="O1066" s="971" t="s">
        <v>883</v>
      </c>
      <c r="P1066" s="971"/>
      <c r="Q1066" s="971" t="s">
        <v>1929</v>
      </c>
      <c r="R1066" s="1266" t="s">
        <v>1934</v>
      </c>
      <c r="S1066" s="2106">
        <v>1</v>
      </c>
      <c r="T1066" s="1266" t="s">
        <v>242</v>
      </c>
      <c r="U1066" s="1742">
        <v>65.790000000000006</v>
      </c>
      <c r="V1066" s="1742">
        <v>726.75</v>
      </c>
      <c r="W1066" s="1742">
        <v>5798.7305999999999</v>
      </c>
      <c r="X1066" s="1742">
        <v>8015.7618000000002</v>
      </c>
      <c r="Y1066" s="2106">
        <v>14541.242400000003</v>
      </c>
      <c r="Z1066" s="2106">
        <v>65.790000000000006</v>
      </c>
      <c r="AA1066" s="2106">
        <v>726.75</v>
      </c>
      <c r="AB1066" s="2106">
        <v>5798.7305999999999</v>
      </c>
      <c r="AC1066" s="2106">
        <v>8015.7618000000002</v>
      </c>
      <c r="AD1066" s="1744">
        <v>14541.242399999999</v>
      </c>
      <c r="AE1066" s="2126">
        <v>40</v>
      </c>
      <c r="AF1066" s="2126">
        <v>40</v>
      </c>
      <c r="AG1066" s="1212">
        <v>1</v>
      </c>
      <c r="AH1066" s="1212">
        <v>0</v>
      </c>
      <c r="AI1066" s="1212">
        <v>0</v>
      </c>
      <c r="AJ1066" s="1212">
        <v>1</v>
      </c>
      <c r="AK1066" s="2126">
        <v>14541.242399999999</v>
      </c>
      <c r="AL1066" s="2126">
        <v>0</v>
      </c>
      <c r="AM1066" s="2126">
        <v>0</v>
      </c>
      <c r="AN1066" s="2126">
        <v>14541.242399999999</v>
      </c>
      <c r="AO1066" s="1743" t="s">
        <v>85</v>
      </c>
      <c r="AP1066" s="1743"/>
      <c r="AQ1066" s="1764">
        <v>2014</v>
      </c>
      <c r="AR1066" s="1743" t="s">
        <v>87</v>
      </c>
      <c r="AS1066" s="2135"/>
      <c r="AT1066" s="2135"/>
      <c r="AU1066" s="1212">
        <v>0.5</v>
      </c>
      <c r="AV1066" s="1212">
        <v>0.5</v>
      </c>
      <c r="AW1066" s="1212"/>
      <c r="AX1066" s="1212"/>
      <c r="AY1066" s="1212"/>
      <c r="AZ1066" s="1212"/>
      <c r="BA1066" s="1212"/>
      <c r="BB1066" s="1212"/>
      <c r="BC1066" s="1212"/>
      <c r="BD1066" s="1212"/>
      <c r="BE1066" s="1212"/>
      <c r="BF1066" s="2126">
        <v>0</v>
      </c>
      <c r="BG1066" s="2126">
        <v>0</v>
      </c>
      <c r="BH1066" s="2126">
        <v>7270.6211999999996</v>
      </c>
      <c r="BI1066" s="2126">
        <v>7270.6211999999996</v>
      </c>
      <c r="BJ1066" s="2126">
        <v>0</v>
      </c>
      <c r="BK1066" s="2126">
        <v>0</v>
      </c>
      <c r="BL1066" s="2126">
        <v>0</v>
      </c>
      <c r="BM1066" s="2126">
        <v>0</v>
      </c>
      <c r="BN1066" s="2126">
        <v>0</v>
      </c>
      <c r="BO1066" s="2126">
        <v>0</v>
      </c>
      <c r="BP1066" s="2126">
        <v>0</v>
      </c>
      <c r="BQ1066" s="2126">
        <v>0</v>
      </c>
      <c r="BR1066" s="2126">
        <v>0</v>
      </c>
    </row>
    <row r="1067" spans="1:70" s="1765" customFormat="1" ht="49.5">
      <c r="A1067" s="1272">
        <v>4000</v>
      </c>
      <c r="B1067" s="971" t="s">
        <v>1316</v>
      </c>
      <c r="C1067" s="1272">
        <v>4600</v>
      </c>
      <c r="D1067" s="971" t="s">
        <v>838</v>
      </c>
      <c r="E1067" s="971">
        <v>4610</v>
      </c>
      <c r="F1067" s="971" t="s">
        <v>1924</v>
      </c>
      <c r="G1067" s="971" t="s">
        <v>1925</v>
      </c>
      <c r="H1067" s="971" t="s">
        <v>842</v>
      </c>
      <c r="I1067" s="1273" t="s">
        <v>1935</v>
      </c>
      <c r="J1067" s="971" t="s">
        <v>177</v>
      </c>
      <c r="K1067" s="971" t="s">
        <v>882</v>
      </c>
      <c r="L1067" s="971" t="s">
        <v>2848</v>
      </c>
      <c r="M1067" s="971" t="s">
        <v>882</v>
      </c>
      <c r="N1067" s="971" t="s">
        <v>179</v>
      </c>
      <c r="O1067" s="971" t="s">
        <v>883</v>
      </c>
      <c r="P1067" s="971"/>
      <c r="Q1067" s="971" t="s">
        <v>1929</v>
      </c>
      <c r="R1067" s="1266" t="s">
        <v>1936</v>
      </c>
      <c r="S1067" s="2106">
        <v>1</v>
      </c>
      <c r="T1067" s="1266" t="s">
        <v>242</v>
      </c>
      <c r="U1067" s="1742">
        <v>65.790000000000006</v>
      </c>
      <c r="V1067" s="1742">
        <v>726.75</v>
      </c>
      <c r="W1067" s="1742">
        <v>5798.7305999999999</v>
      </c>
      <c r="X1067" s="1742">
        <v>8015.7618000000002</v>
      </c>
      <c r="Y1067" s="2106">
        <v>14541.242400000003</v>
      </c>
      <c r="Z1067" s="2106">
        <v>65.790000000000006</v>
      </c>
      <c r="AA1067" s="2106">
        <v>726.75</v>
      </c>
      <c r="AB1067" s="2106">
        <v>5798.7305999999999</v>
      </c>
      <c r="AC1067" s="2106">
        <v>8015.7618000000002</v>
      </c>
      <c r="AD1067" s="1744">
        <v>14541.242399999999</v>
      </c>
      <c r="AE1067" s="2126">
        <v>40</v>
      </c>
      <c r="AF1067" s="2126">
        <v>40</v>
      </c>
      <c r="AG1067" s="1212">
        <v>1</v>
      </c>
      <c r="AH1067" s="1212">
        <v>0</v>
      </c>
      <c r="AI1067" s="1212">
        <v>0</v>
      </c>
      <c r="AJ1067" s="1212">
        <v>1</v>
      </c>
      <c r="AK1067" s="2126">
        <v>14541.242399999999</v>
      </c>
      <c r="AL1067" s="2126">
        <v>0</v>
      </c>
      <c r="AM1067" s="2126">
        <v>0</v>
      </c>
      <c r="AN1067" s="2126">
        <v>14541.242399999999</v>
      </c>
      <c r="AO1067" s="1743" t="s">
        <v>85</v>
      </c>
      <c r="AP1067" s="1743"/>
      <c r="AQ1067" s="1764">
        <v>2014</v>
      </c>
      <c r="AR1067" s="1743" t="s">
        <v>87</v>
      </c>
      <c r="AS1067" s="2135"/>
      <c r="AT1067" s="2135"/>
      <c r="AU1067" s="1212">
        <v>0.5</v>
      </c>
      <c r="AV1067" s="1212">
        <v>0.5</v>
      </c>
      <c r="AW1067" s="1212"/>
      <c r="AX1067" s="1212"/>
      <c r="AY1067" s="1212"/>
      <c r="AZ1067" s="1212"/>
      <c r="BA1067" s="1212"/>
      <c r="BB1067" s="1212"/>
      <c r="BC1067" s="1212"/>
      <c r="BD1067" s="1212"/>
      <c r="BE1067" s="1212"/>
      <c r="BF1067" s="2126">
        <v>0</v>
      </c>
      <c r="BG1067" s="2126">
        <v>0</v>
      </c>
      <c r="BH1067" s="2126">
        <v>7270.6211999999996</v>
      </c>
      <c r="BI1067" s="2126">
        <v>7270.6211999999996</v>
      </c>
      <c r="BJ1067" s="2126">
        <v>0</v>
      </c>
      <c r="BK1067" s="2126">
        <v>0</v>
      </c>
      <c r="BL1067" s="2126">
        <v>0</v>
      </c>
      <c r="BM1067" s="2126">
        <v>0</v>
      </c>
      <c r="BN1067" s="2126">
        <v>0</v>
      </c>
      <c r="BO1067" s="2126">
        <v>0</v>
      </c>
      <c r="BP1067" s="2126">
        <v>0</v>
      </c>
      <c r="BQ1067" s="2126">
        <v>0</v>
      </c>
      <c r="BR1067" s="2126">
        <v>0</v>
      </c>
    </row>
    <row r="1068" spans="1:70" s="1765" customFormat="1" ht="49.5">
      <c r="A1068" s="1272">
        <v>4000</v>
      </c>
      <c r="B1068" s="971" t="s">
        <v>1316</v>
      </c>
      <c r="C1068" s="1272">
        <v>4600</v>
      </c>
      <c r="D1068" s="971" t="s">
        <v>838</v>
      </c>
      <c r="E1068" s="971">
        <v>4610</v>
      </c>
      <c r="F1068" s="971" t="s">
        <v>1924</v>
      </c>
      <c r="G1068" s="971" t="s">
        <v>1937</v>
      </c>
      <c r="H1068" s="971" t="s">
        <v>842</v>
      </c>
      <c r="I1068" s="1273" t="s">
        <v>1938</v>
      </c>
      <c r="J1068" s="971" t="s">
        <v>124</v>
      </c>
      <c r="K1068" s="971" t="s">
        <v>2857</v>
      </c>
      <c r="L1068" s="971" t="s">
        <v>2858</v>
      </c>
      <c r="M1068" s="971" t="s">
        <v>734</v>
      </c>
      <c r="N1068" s="971" t="s">
        <v>488</v>
      </c>
      <c r="O1068" s="971" t="s">
        <v>128</v>
      </c>
      <c r="P1068" s="971"/>
      <c r="Q1068" s="971" t="s">
        <v>1939</v>
      </c>
      <c r="R1068" s="1266" t="s">
        <v>1940</v>
      </c>
      <c r="S1068" s="2106">
        <v>29.739776951672862</v>
      </c>
      <c r="T1068" s="1266" t="s">
        <v>136</v>
      </c>
      <c r="U1068" s="1742">
        <v>0.56041666666666667</v>
      </c>
      <c r="V1068" s="1742">
        <v>2.8020833333333335</v>
      </c>
      <c r="W1068" s="1742">
        <v>49.395125</v>
      </c>
      <c r="X1068" s="1742">
        <v>77.264645833333333</v>
      </c>
      <c r="Y1068" s="2106">
        <v>129.46185416666665</v>
      </c>
      <c r="Z1068" s="2106">
        <v>16.666666666666668</v>
      </c>
      <c r="AA1068" s="2106">
        <v>83.333333333333343</v>
      </c>
      <c r="AB1068" s="2106">
        <v>1469</v>
      </c>
      <c r="AC1068" s="2106">
        <v>2297.8333333333335</v>
      </c>
      <c r="AD1068" s="1744">
        <v>3850.166666666667</v>
      </c>
      <c r="AE1068" s="2126">
        <v>1</v>
      </c>
      <c r="AF1068" s="2126">
        <v>29.739776951672862</v>
      </c>
      <c r="AG1068" s="1212">
        <v>1</v>
      </c>
      <c r="AH1068" s="1212">
        <v>0</v>
      </c>
      <c r="AI1068" s="1212">
        <v>0</v>
      </c>
      <c r="AJ1068" s="1212">
        <v>1</v>
      </c>
      <c r="AK1068" s="2126">
        <v>3850.166666666667</v>
      </c>
      <c r="AL1068" s="2126">
        <v>0</v>
      </c>
      <c r="AM1068" s="2126">
        <v>0</v>
      </c>
      <c r="AN1068" s="2126">
        <v>3850.166666666667</v>
      </c>
      <c r="AO1068" s="1743" t="s">
        <v>85</v>
      </c>
      <c r="AP1068" s="1743"/>
      <c r="AQ1068" s="1764">
        <v>2014</v>
      </c>
      <c r="AR1068" s="1743" t="s">
        <v>87</v>
      </c>
      <c r="AS1068" s="2135"/>
      <c r="AT1068" s="2135"/>
      <c r="AU1068" s="1212">
        <v>0.5</v>
      </c>
      <c r="AV1068" s="1212">
        <v>0.5</v>
      </c>
      <c r="AW1068" s="1212"/>
      <c r="AX1068" s="1212"/>
      <c r="AY1068" s="1212"/>
      <c r="AZ1068" s="1212"/>
      <c r="BA1068" s="1212"/>
      <c r="BB1068" s="1212"/>
      <c r="BC1068" s="1212"/>
      <c r="BD1068" s="1212"/>
      <c r="BE1068" s="1212"/>
      <c r="BF1068" s="2126">
        <v>0</v>
      </c>
      <c r="BG1068" s="2126">
        <v>0</v>
      </c>
      <c r="BH1068" s="2126">
        <v>1925.0833333333335</v>
      </c>
      <c r="BI1068" s="2126">
        <v>1925.0833333333335</v>
      </c>
      <c r="BJ1068" s="2126">
        <v>0</v>
      </c>
      <c r="BK1068" s="2126">
        <v>0</v>
      </c>
      <c r="BL1068" s="2126">
        <v>0</v>
      </c>
      <c r="BM1068" s="2126">
        <v>0</v>
      </c>
      <c r="BN1068" s="2126">
        <v>0</v>
      </c>
      <c r="BO1068" s="2126">
        <v>0</v>
      </c>
      <c r="BP1068" s="2126">
        <v>0</v>
      </c>
      <c r="BQ1068" s="2126">
        <v>0</v>
      </c>
      <c r="BR1068" s="2126">
        <v>0</v>
      </c>
    </row>
    <row r="1069" spans="1:70" s="1765" customFormat="1" ht="33">
      <c r="A1069" s="1272">
        <v>4000</v>
      </c>
      <c r="B1069" s="971" t="s">
        <v>1316</v>
      </c>
      <c r="C1069" s="1272">
        <v>4600</v>
      </c>
      <c r="D1069" s="971" t="s">
        <v>838</v>
      </c>
      <c r="E1069" s="971">
        <v>4610</v>
      </c>
      <c r="F1069" s="971" t="s">
        <v>1924</v>
      </c>
      <c r="G1069" s="971" t="s">
        <v>1937</v>
      </c>
      <c r="H1069" s="971" t="s">
        <v>842</v>
      </c>
      <c r="I1069" s="1273" t="s">
        <v>1941</v>
      </c>
      <c r="J1069" s="971" t="s">
        <v>868</v>
      </c>
      <c r="K1069" s="971"/>
      <c r="L1069" s="971" t="e">
        <v>#N/A</v>
      </c>
      <c r="M1069" s="971" t="s">
        <v>145</v>
      </c>
      <c r="N1069" s="971" t="s">
        <v>141</v>
      </c>
      <c r="O1069" s="971" t="s">
        <v>146</v>
      </c>
      <c r="P1069" s="971"/>
      <c r="Q1069" s="971" t="s">
        <v>1942</v>
      </c>
      <c r="R1069" s="1266" t="s">
        <v>1940</v>
      </c>
      <c r="S1069" s="2106">
        <v>29.728973</v>
      </c>
      <c r="T1069" s="1266" t="s">
        <v>136</v>
      </c>
      <c r="U1069" s="1742" t="s">
        <v>6588</v>
      </c>
      <c r="V1069" s="1742" t="s">
        <v>6588</v>
      </c>
      <c r="W1069" s="1742" t="s">
        <v>6588</v>
      </c>
      <c r="X1069" s="1742" t="s">
        <v>6588</v>
      </c>
      <c r="Y1069" s="2106" t="s">
        <v>6588</v>
      </c>
      <c r="Z1069" s="2106">
        <v>0</v>
      </c>
      <c r="AA1069" s="2106">
        <v>0</v>
      </c>
      <c r="AB1069" s="2106">
        <v>0</v>
      </c>
      <c r="AC1069" s="2106">
        <v>0</v>
      </c>
      <c r="AD1069" s="1744">
        <v>0</v>
      </c>
      <c r="AE1069" s="2126">
        <v>0</v>
      </c>
      <c r="AF1069" s="2126">
        <v>0</v>
      </c>
      <c r="AG1069" s="1212">
        <v>1</v>
      </c>
      <c r="AH1069" s="1212">
        <v>0</v>
      </c>
      <c r="AI1069" s="1212">
        <v>0</v>
      </c>
      <c r="AJ1069" s="1212">
        <v>1</v>
      </c>
      <c r="AK1069" s="2126">
        <v>0</v>
      </c>
      <c r="AL1069" s="2126">
        <v>0</v>
      </c>
      <c r="AM1069" s="2126">
        <v>0</v>
      </c>
      <c r="AN1069" s="2126">
        <v>0</v>
      </c>
      <c r="AO1069" s="1743" t="s">
        <v>85</v>
      </c>
      <c r="AP1069" s="1743"/>
      <c r="AQ1069" s="1764">
        <v>2014</v>
      </c>
      <c r="AR1069" s="1743" t="s">
        <v>87</v>
      </c>
      <c r="AS1069" s="2135"/>
      <c r="AT1069" s="2135"/>
      <c r="AU1069" s="1212">
        <v>0.5</v>
      </c>
      <c r="AV1069" s="1212">
        <v>0.5</v>
      </c>
      <c r="AW1069" s="1212"/>
      <c r="AX1069" s="1212"/>
      <c r="AY1069" s="1212"/>
      <c r="AZ1069" s="1212"/>
      <c r="BA1069" s="1212"/>
      <c r="BB1069" s="1212"/>
      <c r="BC1069" s="1212"/>
      <c r="BD1069" s="1212"/>
      <c r="BE1069" s="1212"/>
      <c r="BF1069" s="2126">
        <v>0</v>
      </c>
      <c r="BG1069" s="2126">
        <v>0</v>
      </c>
      <c r="BH1069" s="2126">
        <v>0</v>
      </c>
      <c r="BI1069" s="2126">
        <v>0</v>
      </c>
      <c r="BJ1069" s="2126">
        <v>0</v>
      </c>
      <c r="BK1069" s="2126">
        <v>0</v>
      </c>
      <c r="BL1069" s="2126">
        <v>0</v>
      </c>
      <c r="BM1069" s="2126">
        <v>0</v>
      </c>
      <c r="BN1069" s="2126">
        <v>0</v>
      </c>
      <c r="BO1069" s="2126">
        <v>0</v>
      </c>
      <c r="BP1069" s="2126">
        <v>0</v>
      </c>
      <c r="BQ1069" s="2126">
        <v>0</v>
      </c>
      <c r="BR1069" s="2126">
        <v>0</v>
      </c>
    </row>
    <row r="1070" spans="1:70" s="1765" customFormat="1" ht="33">
      <c r="A1070" s="1272">
        <v>4000</v>
      </c>
      <c r="B1070" s="971" t="s">
        <v>1316</v>
      </c>
      <c r="C1070" s="1272">
        <v>4600</v>
      </c>
      <c r="D1070" s="971" t="s">
        <v>838</v>
      </c>
      <c r="E1070" s="971">
        <v>4610</v>
      </c>
      <c r="F1070" s="971" t="s">
        <v>1924</v>
      </c>
      <c r="G1070" s="971" t="s">
        <v>1937</v>
      </c>
      <c r="H1070" s="971" t="s">
        <v>842</v>
      </c>
      <c r="I1070" s="1273" t="s">
        <v>1941</v>
      </c>
      <c r="J1070" s="971" t="s">
        <v>868</v>
      </c>
      <c r="K1070" s="971"/>
      <c r="L1070" s="971" t="e">
        <v>#N/A</v>
      </c>
      <c r="M1070" s="971" t="s">
        <v>145</v>
      </c>
      <c r="N1070" s="971" t="s">
        <v>141</v>
      </c>
      <c r="O1070" s="971" t="s">
        <v>146</v>
      </c>
      <c r="P1070" s="971"/>
      <c r="Q1070" s="971" t="s">
        <v>1942</v>
      </c>
      <c r="R1070" s="1266" t="s">
        <v>1940</v>
      </c>
      <c r="S1070" s="2106">
        <v>29.728973</v>
      </c>
      <c r="T1070" s="1266" t="s">
        <v>136</v>
      </c>
      <c r="U1070" s="1742" t="s">
        <v>6588</v>
      </c>
      <c r="V1070" s="1742" t="s">
        <v>6588</v>
      </c>
      <c r="W1070" s="1742" t="s">
        <v>6588</v>
      </c>
      <c r="X1070" s="1742" t="s">
        <v>6588</v>
      </c>
      <c r="Y1070" s="2106" t="s">
        <v>6588</v>
      </c>
      <c r="Z1070" s="2106">
        <v>0</v>
      </c>
      <c r="AA1070" s="2106">
        <v>0</v>
      </c>
      <c r="AB1070" s="2106">
        <v>0</v>
      </c>
      <c r="AC1070" s="2106">
        <v>0</v>
      </c>
      <c r="AD1070" s="1744">
        <v>0</v>
      </c>
      <c r="AE1070" s="2126">
        <v>0</v>
      </c>
      <c r="AF1070" s="2126">
        <v>0</v>
      </c>
      <c r="AG1070" s="1212">
        <v>1</v>
      </c>
      <c r="AH1070" s="1212">
        <v>0</v>
      </c>
      <c r="AI1070" s="1212">
        <v>0</v>
      </c>
      <c r="AJ1070" s="1212">
        <v>1</v>
      </c>
      <c r="AK1070" s="2126">
        <v>0</v>
      </c>
      <c r="AL1070" s="2126">
        <v>0</v>
      </c>
      <c r="AM1070" s="2126">
        <v>0</v>
      </c>
      <c r="AN1070" s="2126">
        <v>0</v>
      </c>
      <c r="AO1070" s="1743" t="s">
        <v>85</v>
      </c>
      <c r="AP1070" s="1743"/>
      <c r="AQ1070" s="1764">
        <v>2014</v>
      </c>
      <c r="AR1070" s="1743" t="s">
        <v>87</v>
      </c>
      <c r="AS1070" s="2135"/>
      <c r="AT1070" s="2135"/>
      <c r="AU1070" s="1212">
        <v>0.5</v>
      </c>
      <c r="AV1070" s="1212">
        <v>0.5</v>
      </c>
      <c r="AW1070" s="1212"/>
      <c r="AX1070" s="1212"/>
      <c r="AY1070" s="1212"/>
      <c r="AZ1070" s="1212"/>
      <c r="BA1070" s="1212"/>
      <c r="BB1070" s="1212"/>
      <c r="BC1070" s="1212"/>
      <c r="BD1070" s="1212"/>
      <c r="BE1070" s="1212"/>
      <c r="BF1070" s="2126">
        <v>0</v>
      </c>
      <c r="BG1070" s="2126">
        <v>0</v>
      </c>
      <c r="BH1070" s="2126">
        <v>0</v>
      </c>
      <c r="BI1070" s="2126">
        <v>0</v>
      </c>
      <c r="BJ1070" s="2126">
        <v>0</v>
      </c>
      <c r="BK1070" s="2126">
        <v>0</v>
      </c>
      <c r="BL1070" s="2126">
        <v>0</v>
      </c>
      <c r="BM1070" s="2126">
        <v>0</v>
      </c>
      <c r="BN1070" s="2126">
        <v>0</v>
      </c>
      <c r="BO1070" s="2126">
        <v>0</v>
      </c>
      <c r="BP1070" s="2126">
        <v>0</v>
      </c>
      <c r="BQ1070" s="2126">
        <v>0</v>
      </c>
      <c r="BR1070" s="2126">
        <v>0</v>
      </c>
    </row>
    <row r="1071" spans="1:70" s="1765" customFormat="1" ht="33">
      <c r="A1071" s="1272">
        <v>4000</v>
      </c>
      <c r="B1071" s="971" t="s">
        <v>1316</v>
      </c>
      <c r="C1071" s="1272">
        <v>4600</v>
      </c>
      <c r="D1071" s="971" t="s">
        <v>838</v>
      </c>
      <c r="E1071" s="971">
        <v>4610</v>
      </c>
      <c r="F1071" s="971" t="s">
        <v>1924</v>
      </c>
      <c r="G1071" s="971" t="s">
        <v>1937</v>
      </c>
      <c r="H1071" s="971" t="s">
        <v>842</v>
      </c>
      <c r="I1071" s="1273" t="s">
        <v>1943</v>
      </c>
      <c r="J1071" s="971" t="s">
        <v>124</v>
      </c>
      <c r="K1071" s="971" t="s">
        <v>140</v>
      </c>
      <c r="L1071" s="971" t="s">
        <v>2909</v>
      </c>
      <c r="M1071" s="971" t="s">
        <v>140</v>
      </c>
      <c r="N1071" s="971" t="s">
        <v>141</v>
      </c>
      <c r="O1071" s="971" t="s">
        <v>142</v>
      </c>
      <c r="P1071" s="971"/>
      <c r="Q1071" s="971" t="s">
        <v>1944</v>
      </c>
      <c r="R1071" s="1266" t="s">
        <v>1940</v>
      </c>
      <c r="S1071" s="2106">
        <v>29.739776951672862</v>
      </c>
      <c r="T1071" s="1266" t="s">
        <v>136</v>
      </c>
      <c r="U1071" s="1742">
        <v>0</v>
      </c>
      <c r="V1071" s="1742">
        <v>0</v>
      </c>
      <c r="W1071" s="1742">
        <v>0</v>
      </c>
      <c r="X1071" s="1742">
        <v>0</v>
      </c>
      <c r="Y1071" s="2106">
        <v>0</v>
      </c>
      <c r="Z1071" s="2106">
        <v>0</v>
      </c>
      <c r="AA1071" s="2106">
        <v>0</v>
      </c>
      <c r="AB1071" s="2106">
        <v>0</v>
      </c>
      <c r="AC1071" s="2106">
        <v>0</v>
      </c>
      <c r="AD1071" s="1744">
        <v>0</v>
      </c>
      <c r="AE1071" s="2126">
        <v>0</v>
      </c>
      <c r="AF1071" s="2126">
        <v>0</v>
      </c>
      <c r="AG1071" s="1212">
        <v>1</v>
      </c>
      <c r="AH1071" s="1212">
        <v>0</v>
      </c>
      <c r="AI1071" s="1212">
        <v>0</v>
      </c>
      <c r="AJ1071" s="1212">
        <v>1</v>
      </c>
      <c r="AK1071" s="2126">
        <v>0</v>
      </c>
      <c r="AL1071" s="2126">
        <v>0</v>
      </c>
      <c r="AM1071" s="2126">
        <v>0</v>
      </c>
      <c r="AN1071" s="2126">
        <v>0</v>
      </c>
      <c r="AO1071" s="1743" t="s">
        <v>85</v>
      </c>
      <c r="AP1071" s="1743"/>
      <c r="AQ1071" s="1764">
        <v>2014</v>
      </c>
      <c r="AR1071" s="1743" t="s">
        <v>87</v>
      </c>
      <c r="AS1071" s="2135"/>
      <c r="AT1071" s="2135"/>
      <c r="AU1071" s="1212">
        <v>0.5</v>
      </c>
      <c r="AV1071" s="1212">
        <v>0.5</v>
      </c>
      <c r="AW1071" s="1212"/>
      <c r="AX1071" s="1212"/>
      <c r="AY1071" s="1212"/>
      <c r="AZ1071" s="1212"/>
      <c r="BA1071" s="1212"/>
      <c r="BB1071" s="1212"/>
      <c r="BC1071" s="1212"/>
      <c r="BD1071" s="1212"/>
      <c r="BE1071" s="1212"/>
      <c r="BF1071" s="2126">
        <v>0</v>
      </c>
      <c r="BG1071" s="2126">
        <v>0</v>
      </c>
      <c r="BH1071" s="2126">
        <v>0</v>
      </c>
      <c r="BI1071" s="2126">
        <v>0</v>
      </c>
      <c r="BJ1071" s="2126">
        <v>0</v>
      </c>
      <c r="BK1071" s="2126">
        <v>0</v>
      </c>
      <c r="BL1071" s="2126">
        <v>0</v>
      </c>
      <c r="BM1071" s="2126">
        <v>0</v>
      </c>
      <c r="BN1071" s="2126">
        <v>0</v>
      </c>
      <c r="BO1071" s="2126">
        <v>0</v>
      </c>
      <c r="BP1071" s="2126">
        <v>0</v>
      </c>
      <c r="BQ1071" s="2126">
        <v>0</v>
      </c>
      <c r="BR1071" s="2126">
        <v>0</v>
      </c>
    </row>
    <row r="1072" spans="1:70" s="1765" customFormat="1" ht="49.5">
      <c r="A1072" s="1272">
        <v>4000</v>
      </c>
      <c r="B1072" s="971" t="s">
        <v>1316</v>
      </c>
      <c r="C1072" s="1272">
        <v>4600</v>
      </c>
      <c r="D1072" s="971" t="s">
        <v>838</v>
      </c>
      <c r="E1072" s="971">
        <v>4610</v>
      </c>
      <c r="F1072" s="971" t="s">
        <v>1924</v>
      </c>
      <c r="G1072" s="971">
        <v>4613</v>
      </c>
      <c r="H1072" s="971" t="s">
        <v>842</v>
      </c>
      <c r="I1072" s="1273"/>
      <c r="J1072" s="971" t="s">
        <v>177</v>
      </c>
      <c r="K1072" s="971" t="s">
        <v>178</v>
      </c>
      <c r="L1072" s="971" t="s">
        <v>1948</v>
      </c>
      <c r="M1072" s="971" t="s">
        <v>178</v>
      </c>
      <c r="N1072" s="971" t="s">
        <v>179</v>
      </c>
      <c r="O1072" s="971" t="s">
        <v>180</v>
      </c>
      <c r="P1072" s="971"/>
      <c r="Q1072" s="971" t="s">
        <v>874</v>
      </c>
      <c r="R1072" s="1266"/>
      <c r="S1072" s="2106">
        <v>2</v>
      </c>
      <c r="T1072" s="1266" t="s">
        <v>242</v>
      </c>
      <c r="U1072" s="1742">
        <v>42.724999999999994</v>
      </c>
      <c r="V1072" s="1742">
        <v>470.625</v>
      </c>
      <c r="W1072" s="1742">
        <v>3765.7815000000001</v>
      </c>
      <c r="X1072" s="1742">
        <v>5190.8055000000004</v>
      </c>
      <c r="Y1072" s="2106">
        <v>9427.2119999999995</v>
      </c>
      <c r="Z1072" s="2106">
        <v>85.449999999999989</v>
      </c>
      <c r="AA1072" s="2106">
        <v>941.25</v>
      </c>
      <c r="AB1072" s="2106">
        <v>7531.5630000000001</v>
      </c>
      <c r="AC1072" s="2106">
        <v>10381.611000000001</v>
      </c>
      <c r="AD1072" s="1744">
        <v>18854.423999999999</v>
      </c>
      <c r="AE1072" s="2126">
        <v>30</v>
      </c>
      <c r="AF1072" s="2126">
        <v>60</v>
      </c>
      <c r="AG1072" s="1212">
        <v>1</v>
      </c>
      <c r="AH1072" s="1212">
        <v>0</v>
      </c>
      <c r="AI1072" s="1212">
        <v>0</v>
      </c>
      <c r="AJ1072" s="1212">
        <v>1</v>
      </c>
      <c r="AK1072" s="2126">
        <v>18854.423999999999</v>
      </c>
      <c r="AL1072" s="2126">
        <v>0</v>
      </c>
      <c r="AM1072" s="2126">
        <v>0</v>
      </c>
      <c r="AN1072" s="2126">
        <v>18854.423999999999</v>
      </c>
      <c r="AO1072" s="1743" t="s">
        <v>85</v>
      </c>
      <c r="AP1072" s="1743" t="s">
        <v>90</v>
      </c>
      <c r="AQ1072" s="1764">
        <v>2016</v>
      </c>
      <c r="AR1072" s="1743" t="s">
        <v>87</v>
      </c>
      <c r="AS1072" s="2135"/>
      <c r="AT1072" s="2135"/>
      <c r="AU1072" s="1212">
        <v>0.33333333333333331</v>
      </c>
      <c r="AV1072" s="1212">
        <v>0.33333333333333331</v>
      </c>
      <c r="AW1072" s="1212">
        <v>0.33333333333333331</v>
      </c>
      <c r="AX1072" s="1212"/>
      <c r="AY1072" s="1212"/>
      <c r="AZ1072" s="1212"/>
      <c r="BA1072" s="1212"/>
      <c r="BB1072" s="1212"/>
      <c r="BC1072" s="1212"/>
      <c r="BD1072" s="1212"/>
      <c r="BE1072" s="1212"/>
      <c r="BF1072" s="2126">
        <v>0</v>
      </c>
      <c r="BG1072" s="2126">
        <v>0</v>
      </c>
      <c r="BH1072" s="2126">
        <v>6284.8079999999991</v>
      </c>
      <c r="BI1072" s="2126">
        <v>6284.8079999999991</v>
      </c>
      <c r="BJ1072" s="2126">
        <v>6284.8079999999991</v>
      </c>
      <c r="BK1072" s="2126">
        <v>0</v>
      </c>
      <c r="BL1072" s="2126">
        <v>0</v>
      </c>
      <c r="BM1072" s="2126">
        <v>0</v>
      </c>
      <c r="BN1072" s="2126">
        <v>0</v>
      </c>
      <c r="BO1072" s="2126">
        <v>0</v>
      </c>
      <c r="BP1072" s="2126">
        <v>0</v>
      </c>
      <c r="BQ1072" s="2126">
        <v>0</v>
      </c>
      <c r="BR1072" s="2126">
        <v>0</v>
      </c>
    </row>
    <row r="1073" spans="1:76" s="1765" customFormat="1" ht="33">
      <c r="A1073" s="1272">
        <v>4000</v>
      </c>
      <c r="B1073" s="971" t="s">
        <v>1316</v>
      </c>
      <c r="C1073" s="1272">
        <v>4600</v>
      </c>
      <c r="D1073" s="971" t="s">
        <v>838</v>
      </c>
      <c r="E1073" s="971">
        <v>4610</v>
      </c>
      <c r="F1073" s="971" t="s">
        <v>1924</v>
      </c>
      <c r="G1073" s="971">
        <v>4613</v>
      </c>
      <c r="H1073" s="971" t="s">
        <v>842</v>
      </c>
      <c r="I1073" s="1273"/>
      <c r="J1073" s="971" t="s">
        <v>121</v>
      </c>
      <c r="K1073" s="971" t="s">
        <v>150</v>
      </c>
      <c r="L1073" s="971" t="s">
        <v>2800</v>
      </c>
      <c r="M1073" s="971" t="s">
        <v>80</v>
      </c>
      <c r="N1073" s="971" t="s">
        <v>83</v>
      </c>
      <c r="O1073" s="971" t="s">
        <v>151</v>
      </c>
      <c r="P1073" s="971" t="s">
        <v>152</v>
      </c>
      <c r="Q1073" s="971" t="s">
        <v>1945</v>
      </c>
      <c r="R1073" s="1266"/>
      <c r="S1073" s="2106">
        <v>21620</v>
      </c>
      <c r="T1073" s="1266" t="s">
        <v>136</v>
      </c>
      <c r="U1073" s="1742">
        <v>1.2691883296460175E-2</v>
      </c>
      <c r="V1073" s="1742">
        <v>0.14624999999999999</v>
      </c>
      <c r="W1073" s="1742">
        <v>1.1186625937499999</v>
      </c>
      <c r="X1073" s="1742">
        <v>0.4015178457754629</v>
      </c>
      <c r="Y1073" s="2106">
        <v>1.6649423457754629</v>
      </c>
      <c r="Z1073" s="2106">
        <v>274.39851686946901</v>
      </c>
      <c r="AA1073" s="2106">
        <v>3161.9249999999997</v>
      </c>
      <c r="AB1073" s="2106">
        <v>24185.485276874999</v>
      </c>
      <c r="AC1073" s="2106">
        <v>8680.8158256655079</v>
      </c>
      <c r="AD1073" s="1744">
        <v>35996.05351566551</v>
      </c>
      <c r="AE1073" s="2126">
        <v>0</v>
      </c>
      <c r="AF1073" s="2126">
        <v>0</v>
      </c>
      <c r="AG1073" s="1212">
        <v>1</v>
      </c>
      <c r="AH1073" s="1212">
        <v>0</v>
      </c>
      <c r="AI1073" s="1212">
        <v>0</v>
      </c>
      <c r="AJ1073" s="1212">
        <v>1</v>
      </c>
      <c r="AK1073" s="2126">
        <v>35996.05351566551</v>
      </c>
      <c r="AL1073" s="2126">
        <v>0</v>
      </c>
      <c r="AM1073" s="2126">
        <v>0</v>
      </c>
      <c r="AN1073" s="2126">
        <v>35996.05351566551</v>
      </c>
      <c r="AO1073" s="1743" t="s">
        <v>85</v>
      </c>
      <c r="AP1073" s="1743" t="s">
        <v>90</v>
      </c>
      <c r="AQ1073" s="1764">
        <v>2019</v>
      </c>
      <c r="AR1073" s="1743" t="s">
        <v>87</v>
      </c>
      <c r="AS1073" s="2135"/>
      <c r="AT1073" s="2135"/>
      <c r="AU1073" s="1212">
        <v>0.33333333333333331</v>
      </c>
      <c r="AV1073" s="1212">
        <v>0.33333333333333331</v>
      </c>
      <c r="AW1073" s="1212">
        <v>0.33333333333333331</v>
      </c>
      <c r="AX1073" s="1212"/>
      <c r="AY1073" s="1212"/>
      <c r="AZ1073" s="1212"/>
      <c r="BA1073" s="1212"/>
      <c r="BB1073" s="1212"/>
      <c r="BC1073" s="1212"/>
      <c r="BD1073" s="1212"/>
      <c r="BE1073" s="1212"/>
      <c r="BF1073" s="2126">
        <v>0</v>
      </c>
      <c r="BG1073" s="2126">
        <v>0</v>
      </c>
      <c r="BH1073" s="2126">
        <v>11998.684505221836</v>
      </c>
      <c r="BI1073" s="2126">
        <v>11998.684505221836</v>
      </c>
      <c r="BJ1073" s="2126">
        <v>11998.684505221836</v>
      </c>
      <c r="BK1073" s="2126">
        <v>0</v>
      </c>
      <c r="BL1073" s="2126">
        <v>0</v>
      </c>
      <c r="BM1073" s="2126">
        <v>0</v>
      </c>
      <c r="BN1073" s="2126">
        <v>0</v>
      </c>
      <c r="BO1073" s="2126">
        <v>0</v>
      </c>
      <c r="BP1073" s="2126">
        <v>0</v>
      </c>
      <c r="BQ1073" s="2126">
        <v>0</v>
      </c>
      <c r="BR1073" s="2126">
        <v>0</v>
      </c>
    </row>
    <row r="1074" spans="1:76" s="1765" customFormat="1" ht="33">
      <c r="A1074" s="1272">
        <v>4000</v>
      </c>
      <c r="B1074" s="971" t="s">
        <v>1316</v>
      </c>
      <c r="C1074" s="1272">
        <v>4600</v>
      </c>
      <c r="D1074" s="971" t="s">
        <v>838</v>
      </c>
      <c r="E1074" s="971">
        <v>4610</v>
      </c>
      <c r="F1074" s="971" t="s">
        <v>1924</v>
      </c>
      <c r="G1074" s="971">
        <v>4613</v>
      </c>
      <c r="H1074" s="971" t="s">
        <v>842</v>
      </c>
      <c r="I1074" s="1273"/>
      <c r="J1074" s="971" t="s">
        <v>121</v>
      </c>
      <c r="K1074" s="971" t="s">
        <v>150</v>
      </c>
      <c r="L1074" s="971" t="s">
        <v>2800</v>
      </c>
      <c r="M1074" s="971" t="s">
        <v>80</v>
      </c>
      <c r="N1074" s="971" t="s">
        <v>83</v>
      </c>
      <c r="O1074" s="971" t="s">
        <v>151</v>
      </c>
      <c r="P1074" s="971" t="s">
        <v>152</v>
      </c>
      <c r="Q1074" s="971" t="s">
        <v>1946</v>
      </c>
      <c r="R1074" s="1266"/>
      <c r="S1074" s="2106">
        <v>0</v>
      </c>
      <c r="T1074" s="1266" t="s">
        <v>136</v>
      </c>
      <c r="U1074" s="1742">
        <v>1.2691883296460175E-2</v>
      </c>
      <c r="V1074" s="1742">
        <v>0.14624999999999999</v>
      </c>
      <c r="W1074" s="1742">
        <v>1.1186625937499999</v>
      </c>
      <c r="X1074" s="1742">
        <v>0.4015178457754629</v>
      </c>
      <c r="Y1074" s="2106">
        <v>1.6649423457754629</v>
      </c>
      <c r="Z1074" s="2106">
        <v>0</v>
      </c>
      <c r="AA1074" s="2106">
        <v>0</v>
      </c>
      <c r="AB1074" s="2106">
        <v>0</v>
      </c>
      <c r="AC1074" s="2106">
        <v>0</v>
      </c>
      <c r="AD1074" s="1744">
        <v>0</v>
      </c>
      <c r="AE1074" s="2126">
        <v>0</v>
      </c>
      <c r="AF1074" s="2126">
        <v>0</v>
      </c>
      <c r="AG1074" s="1212">
        <v>1</v>
      </c>
      <c r="AH1074" s="1212">
        <v>0</v>
      </c>
      <c r="AI1074" s="1212">
        <v>0</v>
      </c>
      <c r="AJ1074" s="1212">
        <v>1</v>
      </c>
      <c r="AK1074" s="2126">
        <v>0</v>
      </c>
      <c r="AL1074" s="2126">
        <v>0</v>
      </c>
      <c r="AM1074" s="2126">
        <v>0</v>
      </c>
      <c r="AN1074" s="2126">
        <v>0</v>
      </c>
      <c r="AO1074" s="1743" t="s">
        <v>85</v>
      </c>
      <c r="AP1074" s="1743" t="s">
        <v>96</v>
      </c>
      <c r="AQ1074" s="1764" t="s">
        <v>107</v>
      </c>
      <c r="AR1074" s="1743" t="s">
        <v>87</v>
      </c>
      <c r="AS1074" s="2135"/>
      <c r="AT1074" s="2135"/>
      <c r="AU1074" s="1212">
        <v>0.33333333333333331</v>
      </c>
      <c r="AV1074" s="1212">
        <v>0.33333333333333331</v>
      </c>
      <c r="AW1074" s="1212">
        <v>0.33333333333333331</v>
      </c>
      <c r="AX1074" s="1212"/>
      <c r="AY1074" s="1212"/>
      <c r="AZ1074" s="1212"/>
      <c r="BA1074" s="1212"/>
      <c r="BB1074" s="1212"/>
      <c r="BC1074" s="1212"/>
      <c r="BD1074" s="1212"/>
      <c r="BE1074" s="1212"/>
      <c r="BF1074" s="2126">
        <v>0</v>
      </c>
      <c r="BG1074" s="2126">
        <v>0</v>
      </c>
      <c r="BH1074" s="2126">
        <v>0</v>
      </c>
      <c r="BI1074" s="2126">
        <v>0</v>
      </c>
      <c r="BJ1074" s="2126">
        <v>0</v>
      </c>
      <c r="BK1074" s="2126">
        <v>0</v>
      </c>
      <c r="BL1074" s="2126">
        <v>0</v>
      </c>
      <c r="BM1074" s="2126">
        <v>0</v>
      </c>
      <c r="BN1074" s="2126">
        <v>0</v>
      </c>
      <c r="BO1074" s="2126">
        <v>0</v>
      </c>
      <c r="BP1074" s="2126">
        <v>0</v>
      </c>
      <c r="BQ1074" s="2126">
        <v>0</v>
      </c>
      <c r="BR1074" s="2126">
        <v>0</v>
      </c>
    </row>
    <row r="1075" spans="1:76" s="1765" customFormat="1" ht="33">
      <c r="A1075" s="1272">
        <v>4000</v>
      </c>
      <c r="B1075" s="971" t="s">
        <v>1316</v>
      </c>
      <c r="C1075" s="1272">
        <v>4600</v>
      </c>
      <c r="D1075" s="971" t="s">
        <v>838</v>
      </c>
      <c r="E1075" s="971">
        <v>4610</v>
      </c>
      <c r="F1075" s="971" t="s">
        <v>1924</v>
      </c>
      <c r="G1075" s="971">
        <v>4613</v>
      </c>
      <c r="H1075" s="971" t="s">
        <v>842</v>
      </c>
      <c r="I1075" s="1273"/>
      <c r="J1075" s="971" t="s">
        <v>121</v>
      </c>
      <c r="K1075" s="971" t="s">
        <v>150</v>
      </c>
      <c r="L1075" s="971" t="s">
        <v>2800</v>
      </c>
      <c r="M1075" s="971" t="s">
        <v>80</v>
      </c>
      <c r="N1075" s="971" t="s">
        <v>83</v>
      </c>
      <c r="O1075" s="971" t="s">
        <v>151</v>
      </c>
      <c r="P1075" s="971" t="s">
        <v>152</v>
      </c>
      <c r="Q1075" s="971" t="s">
        <v>1947</v>
      </c>
      <c r="R1075" s="1266"/>
      <c r="S1075" s="2106">
        <v>0</v>
      </c>
      <c r="T1075" s="1266" t="s">
        <v>136</v>
      </c>
      <c r="U1075" s="1742">
        <v>1.2691883296460175E-2</v>
      </c>
      <c r="V1075" s="1742">
        <v>0.14624999999999999</v>
      </c>
      <c r="W1075" s="1742">
        <v>1.1186625937499999</v>
      </c>
      <c r="X1075" s="1742">
        <v>0.4015178457754629</v>
      </c>
      <c r="Y1075" s="2106">
        <v>1.6649423457754629</v>
      </c>
      <c r="Z1075" s="2106">
        <v>0</v>
      </c>
      <c r="AA1075" s="2106">
        <v>0</v>
      </c>
      <c r="AB1075" s="2106">
        <v>0</v>
      </c>
      <c r="AC1075" s="2106">
        <v>0</v>
      </c>
      <c r="AD1075" s="1744">
        <v>0</v>
      </c>
      <c r="AE1075" s="2126">
        <v>0</v>
      </c>
      <c r="AF1075" s="2126">
        <v>0</v>
      </c>
      <c r="AG1075" s="1212">
        <v>1</v>
      </c>
      <c r="AH1075" s="1212">
        <v>0</v>
      </c>
      <c r="AI1075" s="1212">
        <v>0</v>
      </c>
      <c r="AJ1075" s="1212">
        <v>1</v>
      </c>
      <c r="AK1075" s="2126">
        <v>0</v>
      </c>
      <c r="AL1075" s="2126">
        <v>0</v>
      </c>
      <c r="AM1075" s="2126">
        <v>0</v>
      </c>
      <c r="AN1075" s="2126">
        <v>0</v>
      </c>
      <c r="AO1075" s="1743" t="s">
        <v>85</v>
      </c>
      <c r="AP1075" s="1743" t="s">
        <v>96</v>
      </c>
      <c r="AQ1075" s="1764" t="s">
        <v>107</v>
      </c>
      <c r="AR1075" s="1743" t="s">
        <v>87</v>
      </c>
      <c r="AS1075" s="2135"/>
      <c r="AT1075" s="2135"/>
      <c r="AU1075" s="1212">
        <v>0.33333333333333331</v>
      </c>
      <c r="AV1075" s="1212">
        <v>0.33333333333333331</v>
      </c>
      <c r="AW1075" s="1212">
        <v>0.33333333333333331</v>
      </c>
      <c r="AX1075" s="1212"/>
      <c r="AY1075" s="1212"/>
      <c r="AZ1075" s="1212"/>
      <c r="BA1075" s="1212"/>
      <c r="BB1075" s="1212"/>
      <c r="BC1075" s="1212"/>
      <c r="BD1075" s="1212"/>
      <c r="BE1075" s="1212"/>
      <c r="BF1075" s="2126">
        <v>0</v>
      </c>
      <c r="BG1075" s="2126">
        <v>0</v>
      </c>
      <c r="BH1075" s="2126">
        <v>0</v>
      </c>
      <c r="BI1075" s="2126">
        <v>0</v>
      </c>
      <c r="BJ1075" s="2126">
        <v>0</v>
      </c>
      <c r="BK1075" s="2126">
        <v>0</v>
      </c>
      <c r="BL1075" s="2126">
        <v>0</v>
      </c>
      <c r="BM1075" s="2126">
        <v>0</v>
      </c>
      <c r="BN1075" s="2126">
        <v>0</v>
      </c>
      <c r="BO1075" s="2126">
        <v>0</v>
      </c>
      <c r="BP1075" s="2126">
        <v>0</v>
      </c>
      <c r="BQ1075" s="2126">
        <v>0</v>
      </c>
      <c r="BR1075" s="2126">
        <v>0</v>
      </c>
    </row>
    <row r="1076" spans="1:76" s="1765" customFormat="1" ht="49.5">
      <c r="A1076" s="1272">
        <v>4000</v>
      </c>
      <c r="B1076" s="971" t="s">
        <v>1316</v>
      </c>
      <c r="C1076" s="1272">
        <v>4600</v>
      </c>
      <c r="D1076" s="971" t="s">
        <v>838</v>
      </c>
      <c r="E1076" s="971">
        <v>4610</v>
      </c>
      <c r="F1076" s="971" t="s">
        <v>1924</v>
      </c>
      <c r="G1076" s="971">
        <v>4613</v>
      </c>
      <c r="H1076" s="971" t="s">
        <v>842</v>
      </c>
      <c r="I1076" s="1273"/>
      <c r="J1076" s="971" t="s">
        <v>177</v>
      </c>
      <c r="K1076" s="971" t="s">
        <v>178</v>
      </c>
      <c r="L1076" s="971" t="s">
        <v>1948</v>
      </c>
      <c r="M1076" s="971" t="s">
        <v>178</v>
      </c>
      <c r="N1076" s="971" t="s">
        <v>179</v>
      </c>
      <c r="O1076" s="971" t="s">
        <v>180</v>
      </c>
      <c r="P1076" s="971" t="s">
        <v>1949</v>
      </c>
      <c r="Q1076" s="971" t="s">
        <v>1950</v>
      </c>
      <c r="R1076" s="1266" t="s">
        <v>1951</v>
      </c>
      <c r="S1076" s="2106">
        <v>1</v>
      </c>
      <c r="T1076" s="1266" t="s">
        <v>242</v>
      </c>
      <c r="U1076" s="1742">
        <v>42.724999999999994</v>
      </c>
      <c r="V1076" s="1742">
        <v>470.625</v>
      </c>
      <c r="W1076" s="1742">
        <v>3765.7815000000001</v>
      </c>
      <c r="X1076" s="1742">
        <v>5190.8055000000004</v>
      </c>
      <c r="Y1076" s="2106">
        <v>9427.2119999999995</v>
      </c>
      <c r="Z1076" s="2106">
        <v>42.724999999999994</v>
      </c>
      <c r="AA1076" s="2106">
        <v>470.625</v>
      </c>
      <c r="AB1076" s="2106">
        <v>3765.7815000000001</v>
      </c>
      <c r="AC1076" s="2106">
        <v>5190.8055000000004</v>
      </c>
      <c r="AD1076" s="1744">
        <v>9427.2119999999995</v>
      </c>
      <c r="AE1076" s="2126">
        <v>30</v>
      </c>
      <c r="AF1076" s="2126">
        <v>30</v>
      </c>
      <c r="AG1076" s="1212">
        <v>1</v>
      </c>
      <c r="AH1076" s="1212">
        <v>0</v>
      </c>
      <c r="AI1076" s="1212">
        <v>0</v>
      </c>
      <c r="AJ1076" s="1212">
        <v>1</v>
      </c>
      <c r="AK1076" s="2126">
        <v>9427.2119999999995</v>
      </c>
      <c r="AL1076" s="2126">
        <v>0</v>
      </c>
      <c r="AM1076" s="2126">
        <v>0</v>
      </c>
      <c r="AN1076" s="2126">
        <v>9427.2119999999995</v>
      </c>
      <c r="AO1076" s="1743" t="s">
        <v>85</v>
      </c>
      <c r="AP1076" s="1743" t="s">
        <v>90</v>
      </c>
      <c r="AQ1076" s="1764">
        <v>2022</v>
      </c>
      <c r="AR1076" s="1743" t="s">
        <v>87</v>
      </c>
      <c r="AS1076" s="2135"/>
      <c r="AT1076" s="2135"/>
      <c r="AU1076" s="1212">
        <v>0.33333333333333331</v>
      </c>
      <c r="AV1076" s="1212">
        <v>0.33333333333333331</v>
      </c>
      <c r="AW1076" s="1212">
        <v>0.33333333333333331</v>
      </c>
      <c r="AX1076" s="1212"/>
      <c r="AY1076" s="1212"/>
      <c r="AZ1076" s="1212"/>
      <c r="BA1076" s="1212"/>
      <c r="BB1076" s="1212"/>
      <c r="BC1076" s="1212"/>
      <c r="BD1076" s="1212"/>
      <c r="BE1076" s="1212"/>
      <c r="BF1076" s="2126">
        <v>0</v>
      </c>
      <c r="BG1076" s="2126">
        <v>0</v>
      </c>
      <c r="BH1076" s="2126">
        <v>-8381.25</v>
      </c>
      <c r="BI1076" s="2126">
        <v>-8381.25</v>
      </c>
      <c r="BJ1076" s="2126">
        <v>-8381.25</v>
      </c>
      <c r="BK1076" s="2126">
        <v>0</v>
      </c>
      <c r="BL1076" s="2126">
        <v>0</v>
      </c>
      <c r="BM1076" s="2126">
        <v>0</v>
      </c>
      <c r="BN1076" s="2126">
        <v>0</v>
      </c>
      <c r="BO1076" s="2126">
        <v>0</v>
      </c>
      <c r="BP1076" s="2126">
        <v>0</v>
      </c>
      <c r="BQ1076" s="2126">
        <v>0</v>
      </c>
      <c r="BR1076" s="2126">
        <v>0</v>
      </c>
    </row>
    <row r="1077" spans="1:76" s="1765" customFormat="1" ht="49.5">
      <c r="A1077" s="1272">
        <v>4000</v>
      </c>
      <c r="B1077" s="971" t="s">
        <v>1316</v>
      </c>
      <c r="C1077" s="1272">
        <v>4600</v>
      </c>
      <c r="D1077" s="971" t="s">
        <v>838</v>
      </c>
      <c r="E1077" s="971">
        <v>4610</v>
      </c>
      <c r="F1077" s="971" t="s">
        <v>1924</v>
      </c>
      <c r="G1077" s="971">
        <v>4613</v>
      </c>
      <c r="H1077" s="971" t="s">
        <v>842</v>
      </c>
      <c r="I1077" s="1273"/>
      <c r="J1077" s="971" t="s">
        <v>177</v>
      </c>
      <c r="K1077" s="971" t="s">
        <v>178</v>
      </c>
      <c r="L1077" s="971" t="s">
        <v>1948</v>
      </c>
      <c r="M1077" s="971" t="s">
        <v>178</v>
      </c>
      <c r="N1077" s="971" t="s">
        <v>179</v>
      </c>
      <c r="O1077" s="971" t="s">
        <v>180</v>
      </c>
      <c r="P1077" s="971" t="s">
        <v>1949</v>
      </c>
      <c r="Q1077" s="971" t="s">
        <v>1950</v>
      </c>
      <c r="R1077" s="1266" t="s">
        <v>1951</v>
      </c>
      <c r="S1077" s="2106">
        <v>-1</v>
      </c>
      <c r="T1077" s="1266" t="s">
        <v>242</v>
      </c>
      <c r="U1077" s="1742">
        <v>42.724999999999994</v>
      </c>
      <c r="V1077" s="1742">
        <v>470.625</v>
      </c>
      <c r="W1077" s="1742">
        <v>3765.7815000000001</v>
      </c>
      <c r="X1077" s="1742">
        <v>5190.8055000000004</v>
      </c>
      <c r="Y1077" s="2106">
        <v>9427.2119999999995</v>
      </c>
      <c r="Z1077" s="2106">
        <v>-42.724999999999994</v>
      </c>
      <c r="AA1077" s="2106">
        <v>-470.625</v>
      </c>
      <c r="AB1077" s="2106">
        <v>-3765.7815000000001</v>
      </c>
      <c r="AC1077" s="2106">
        <v>-5190.8055000000004</v>
      </c>
      <c r="AD1077" s="1744">
        <v>-9427.2119999999995</v>
      </c>
      <c r="AE1077" s="2126">
        <v>30</v>
      </c>
      <c r="AF1077" s="2126">
        <v>-30</v>
      </c>
      <c r="AG1077" s="1212">
        <v>1</v>
      </c>
      <c r="AH1077" s="1212">
        <v>0</v>
      </c>
      <c r="AI1077" s="1212">
        <v>0</v>
      </c>
      <c r="AJ1077" s="1212">
        <v>1</v>
      </c>
      <c r="AK1077" s="2126">
        <v>-9427.2119999999995</v>
      </c>
      <c r="AL1077" s="2126">
        <v>0</v>
      </c>
      <c r="AM1077" s="2126">
        <v>0</v>
      </c>
      <c r="AN1077" s="2126">
        <v>-9427.2119999999995</v>
      </c>
      <c r="AO1077" s="1743" t="s">
        <v>85</v>
      </c>
      <c r="AP1077" s="1743" t="s">
        <v>96</v>
      </c>
      <c r="AQ1077" s="1764" t="s">
        <v>118</v>
      </c>
      <c r="AR1077" s="1743" t="s">
        <v>87</v>
      </c>
      <c r="AS1077" s="2135"/>
      <c r="AT1077" s="2135"/>
      <c r="AU1077" s="1212">
        <v>0.33333333333333331</v>
      </c>
      <c r="AV1077" s="1212">
        <v>0.33333333333333331</v>
      </c>
      <c r="AW1077" s="1212">
        <v>0.33333333333333331</v>
      </c>
      <c r="AX1077" s="1212"/>
      <c r="AY1077" s="1212"/>
      <c r="AZ1077" s="1212"/>
      <c r="BA1077" s="1212"/>
      <c r="BB1077" s="1212"/>
      <c r="BC1077" s="1212"/>
      <c r="BD1077" s="1212"/>
      <c r="BE1077" s="1212"/>
      <c r="BF1077" s="2126">
        <v>0</v>
      </c>
      <c r="BG1077" s="2126">
        <v>0</v>
      </c>
      <c r="BH1077" s="2126">
        <v>-8381.25</v>
      </c>
      <c r="BI1077" s="2126">
        <v>-8381.25</v>
      </c>
      <c r="BJ1077" s="2126">
        <v>-8381.25</v>
      </c>
      <c r="BK1077" s="2126">
        <v>0</v>
      </c>
      <c r="BL1077" s="2126">
        <v>0</v>
      </c>
      <c r="BM1077" s="2126">
        <v>0</v>
      </c>
      <c r="BN1077" s="2126">
        <v>0</v>
      </c>
      <c r="BO1077" s="2126">
        <v>0</v>
      </c>
      <c r="BP1077" s="2126">
        <v>0</v>
      </c>
      <c r="BQ1077" s="2126">
        <v>0</v>
      </c>
      <c r="BR1077" s="2126">
        <v>0</v>
      </c>
    </row>
    <row r="1078" spans="1:76" s="1765" customFormat="1" ht="49.5">
      <c r="A1078" s="1272">
        <v>4000</v>
      </c>
      <c r="B1078" s="971" t="s">
        <v>1316</v>
      </c>
      <c r="C1078" s="1272">
        <v>4600</v>
      </c>
      <c r="D1078" s="971" t="s">
        <v>838</v>
      </c>
      <c r="E1078" s="971">
        <v>4610</v>
      </c>
      <c r="F1078" s="971" t="s">
        <v>1924</v>
      </c>
      <c r="G1078" s="971">
        <v>4611</v>
      </c>
      <c r="H1078" s="971" t="s">
        <v>877</v>
      </c>
      <c r="I1078" s="1273"/>
      <c r="J1078" s="971" t="s">
        <v>121</v>
      </c>
      <c r="K1078" s="971" t="s">
        <v>255</v>
      </c>
      <c r="L1078" s="971" t="s">
        <v>2802</v>
      </c>
      <c r="M1078" s="971" t="s">
        <v>255</v>
      </c>
      <c r="N1078" s="971" t="s">
        <v>83</v>
      </c>
      <c r="O1078" s="971" t="s">
        <v>256</v>
      </c>
      <c r="P1078" s="971"/>
      <c r="Q1078" s="971" t="s">
        <v>1952</v>
      </c>
      <c r="R1078" s="1266"/>
      <c r="S1078" s="2106">
        <v>1911.3</v>
      </c>
      <c r="T1078" s="1266" t="s">
        <v>136</v>
      </c>
      <c r="U1078" s="1742">
        <v>4.4491883296460179E-2</v>
      </c>
      <c r="V1078" s="1742">
        <v>0.1701</v>
      </c>
      <c r="W1078" s="1742">
        <v>3.92151459375</v>
      </c>
      <c r="X1078" s="1742">
        <v>0.68180304577546291</v>
      </c>
      <c r="Y1078" s="2106">
        <v>4.7480795457754628</v>
      </c>
      <c r="Z1078" s="2106">
        <v>85.037336544524337</v>
      </c>
      <c r="AA1078" s="2106">
        <v>325.11212999999998</v>
      </c>
      <c r="AB1078" s="2106">
        <v>7495.1908430343747</v>
      </c>
      <c r="AC1078" s="2106">
        <v>1303.1301613906423</v>
      </c>
      <c r="AD1078" s="1744">
        <v>9123.4331344250168</v>
      </c>
      <c r="AE1078" s="2126">
        <v>0</v>
      </c>
      <c r="AF1078" s="2126">
        <v>0</v>
      </c>
      <c r="AG1078" s="1212">
        <v>1</v>
      </c>
      <c r="AH1078" s="1212">
        <v>0</v>
      </c>
      <c r="AI1078" s="1212">
        <v>0</v>
      </c>
      <c r="AJ1078" s="1212">
        <v>1</v>
      </c>
      <c r="AK1078" s="2126">
        <v>9123.4331344250168</v>
      </c>
      <c r="AL1078" s="2126">
        <v>0</v>
      </c>
      <c r="AM1078" s="2126">
        <v>0</v>
      </c>
      <c r="AN1078" s="2126">
        <v>9123.4331344250168</v>
      </c>
      <c r="AO1078" s="1743" t="s">
        <v>85</v>
      </c>
      <c r="AP1078" s="1743"/>
      <c r="AQ1078" s="1764">
        <v>2014</v>
      </c>
      <c r="AR1078" s="1743" t="s">
        <v>87</v>
      </c>
      <c r="AS1078" s="2135"/>
      <c r="AT1078" s="2135"/>
      <c r="AU1078" s="1212">
        <v>0.5</v>
      </c>
      <c r="AV1078" s="1212">
        <v>0.5</v>
      </c>
      <c r="AW1078" s="1212"/>
      <c r="AX1078" s="1212"/>
      <c r="AY1078" s="1212"/>
      <c r="AZ1078" s="1212"/>
      <c r="BA1078" s="1212"/>
      <c r="BB1078" s="1212"/>
      <c r="BC1078" s="1212"/>
      <c r="BD1078" s="1212"/>
      <c r="BE1078" s="1212"/>
      <c r="BF1078" s="2126">
        <v>0</v>
      </c>
      <c r="BG1078" s="2126">
        <v>0</v>
      </c>
      <c r="BH1078" s="2126">
        <v>4561.7165672125084</v>
      </c>
      <c r="BI1078" s="2126">
        <v>4561.7165672125084</v>
      </c>
      <c r="BJ1078" s="2126">
        <v>0</v>
      </c>
      <c r="BK1078" s="2126">
        <v>0</v>
      </c>
      <c r="BL1078" s="2126">
        <v>0</v>
      </c>
      <c r="BM1078" s="2126">
        <v>0</v>
      </c>
      <c r="BN1078" s="2126">
        <v>0</v>
      </c>
      <c r="BO1078" s="2126">
        <v>0</v>
      </c>
      <c r="BP1078" s="2126">
        <v>0</v>
      </c>
      <c r="BQ1078" s="2126">
        <v>0</v>
      </c>
      <c r="BR1078" s="2126">
        <v>0</v>
      </c>
    </row>
    <row r="1079" spans="1:76" s="1765" customFormat="1" ht="49.5">
      <c r="A1079" s="1272">
        <v>4000</v>
      </c>
      <c r="B1079" s="971" t="s">
        <v>1316</v>
      </c>
      <c r="C1079" s="1272">
        <v>4600</v>
      </c>
      <c r="D1079" s="971" t="s">
        <v>838</v>
      </c>
      <c r="E1079" s="971">
        <v>4610</v>
      </c>
      <c r="F1079" s="971" t="s">
        <v>1924</v>
      </c>
      <c r="G1079" s="971">
        <v>4611</v>
      </c>
      <c r="H1079" s="971" t="s">
        <v>877</v>
      </c>
      <c r="I1079" s="1273"/>
      <c r="J1079" s="971" t="s">
        <v>121</v>
      </c>
      <c r="K1079" s="971" t="s">
        <v>255</v>
      </c>
      <c r="L1079" s="971" t="s">
        <v>2802</v>
      </c>
      <c r="M1079" s="971" t="s">
        <v>255</v>
      </c>
      <c r="N1079" s="971" t="s">
        <v>83</v>
      </c>
      <c r="O1079" s="971" t="s">
        <v>256</v>
      </c>
      <c r="P1079" s="971"/>
      <c r="Q1079" s="971" t="s">
        <v>1953</v>
      </c>
      <c r="R1079" s="1266"/>
      <c r="S1079" s="2106">
        <v>12000</v>
      </c>
      <c r="T1079" s="1266" t="s">
        <v>136</v>
      </c>
      <c r="U1079" s="1742">
        <v>4.4491883296460179E-2</v>
      </c>
      <c r="V1079" s="1742">
        <v>0.1701</v>
      </c>
      <c r="W1079" s="1742">
        <v>3.92151459375</v>
      </c>
      <c r="X1079" s="1742">
        <v>0.68180304577546291</v>
      </c>
      <c r="Y1079" s="2106">
        <v>4.7480795457754628</v>
      </c>
      <c r="Z1079" s="2106">
        <v>533.90259955752219</v>
      </c>
      <c r="AA1079" s="2106">
        <v>2041.2</v>
      </c>
      <c r="AB1079" s="2106">
        <v>47058.175125000002</v>
      </c>
      <c r="AC1079" s="2106">
        <v>8181.6365493055546</v>
      </c>
      <c r="AD1079" s="1744">
        <v>57281.011674305555</v>
      </c>
      <c r="AE1079" s="2126">
        <v>0</v>
      </c>
      <c r="AF1079" s="2126">
        <v>0</v>
      </c>
      <c r="AG1079" s="1212">
        <v>1</v>
      </c>
      <c r="AH1079" s="1212">
        <v>0</v>
      </c>
      <c r="AI1079" s="1212">
        <v>0</v>
      </c>
      <c r="AJ1079" s="1212">
        <v>1</v>
      </c>
      <c r="AK1079" s="2126">
        <v>57281.011674305555</v>
      </c>
      <c r="AL1079" s="2126">
        <v>0</v>
      </c>
      <c r="AM1079" s="2126">
        <v>0</v>
      </c>
      <c r="AN1079" s="2126">
        <v>57281.011674305555</v>
      </c>
      <c r="AO1079" s="1743" t="s">
        <v>85</v>
      </c>
      <c r="AP1079" s="1743" t="s">
        <v>90</v>
      </c>
      <c r="AQ1079" s="1764">
        <v>2019</v>
      </c>
      <c r="AR1079" s="1743" t="s">
        <v>87</v>
      </c>
      <c r="AS1079" s="2135"/>
      <c r="AT1079" s="2135"/>
      <c r="AU1079" s="1212">
        <v>0.5</v>
      </c>
      <c r="AV1079" s="1212">
        <v>0.5</v>
      </c>
      <c r="AW1079" s="1212"/>
      <c r="AX1079" s="1212"/>
      <c r="AY1079" s="1212"/>
      <c r="AZ1079" s="1212"/>
      <c r="BA1079" s="1212"/>
      <c r="BB1079" s="1212"/>
      <c r="BC1079" s="1212"/>
      <c r="BD1079" s="1212"/>
      <c r="BE1079" s="1212"/>
      <c r="BF1079" s="2126">
        <v>0</v>
      </c>
      <c r="BG1079" s="2126">
        <v>0</v>
      </c>
      <c r="BH1079" s="2126">
        <v>28640.505837152778</v>
      </c>
      <c r="BI1079" s="2126">
        <v>28640.505837152778</v>
      </c>
      <c r="BJ1079" s="2126">
        <v>0</v>
      </c>
      <c r="BK1079" s="2126">
        <v>0</v>
      </c>
      <c r="BL1079" s="2126">
        <v>0</v>
      </c>
      <c r="BM1079" s="2126">
        <v>0</v>
      </c>
      <c r="BN1079" s="2126">
        <v>0</v>
      </c>
      <c r="BO1079" s="2126">
        <v>0</v>
      </c>
      <c r="BP1079" s="2126">
        <v>0</v>
      </c>
      <c r="BQ1079" s="2126">
        <v>0</v>
      </c>
      <c r="BR1079" s="2126">
        <v>0</v>
      </c>
    </row>
    <row r="1080" spans="1:76" s="1765" customFormat="1" ht="49.5">
      <c r="A1080" s="1272">
        <v>4000</v>
      </c>
      <c r="B1080" s="971" t="s">
        <v>1316</v>
      </c>
      <c r="C1080" s="1272">
        <v>4600</v>
      </c>
      <c r="D1080" s="971" t="s">
        <v>838</v>
      </c>
      <c r="E1080" s="971">
        <v>4610</v>
      </c>
      <c r="F1080" s="971" t="s">
        <v>1924</v>
      </c>
      <c r="G1080" s="971">
        <v>4611</v>
      </c>
      <c r="H1080" s="971" t="s">
        <v>877</v>
      </c>
      <c r="I1080" s="1273"/>
      <c r="J1080" s="971" t="s">
        <v>121</v>
      </c>
      <c r="K1080" s="971" t="s">
        <v>255</v>
      </c>
      <c r="L1080" s="971" t="s">
        <v>2802</v>
      </c>
      <c r="M1080" s="971" t="s">
        <v>255</v>
      </c>
      <c r="N1080" s="971" t="s">
        <v>83</v>
      </c>
      <c r="O1080" s="971" t="s">
        <v>256</v>
      </c>
      <c r="P1080" s="971"/>
      <c r="Q1080" s="971" t="s">
        <v>1953</v>
      </c>
      <c r="R1080" s="1266"/>
      <c r="S1080" s="2106">
        <v>400</v>
      </c>
      <c r="T1080" s="1266" t="s">
        <v>136</v>
      </c>
      <c r="U1080" s="1742">
        <v>4.4491883296460179E-2</v>
      </c>
      <c r="V1080" s="1742">
        <v>0.1701</v>
      </c>
      <c r="W1080" s="1742">
        <v>3.92151459375</v>
      </c>
      <c r="X1080" s="1742">
        <v>0.68180304577546291</v>
      </c>
      <c r="Y1080" s="2106">
        <v>4.7480795457754628</v>
      </c>
      <c r="Z1080" s="2106">
        <v>17.79675331858407</v>
      </c>
      <c r="AA1080" s="2106">
        <v>68.040000000000006</v>
      </c>
      <c r="AB1080" s="2106">
        <v>1568.6058375</v>
      </c>
      <c r="AC1080" s="2106">
        <v>272.72121831018518</v>
      </c>
      <c r="AD1080" s="1744">
        <v>1909.3670558101851</v>
      </c>
      <c r="AE1080" s="2126">
        <v>0</v>
      </c>
      <c r="AF1080" s="2126">
        <v>0</v>
      </c>
      <c r="AG1080" s="1212">
        <v>1</v>
      </c>
      <c r="AH1080" s="1212">
        <v>0</v>
      </c>
      <c r="AI1080" s="1212">
        <v>0</v>
      </c>
      <c r="AJ1080" s="1212">
        <v>1</v>
      </c>
      <c r="AK1080" s="2126">
        <v>1909.3670558101851</v>
      </c>
      <c r="AL1080" s="2126">
        <v>0</v>
      </c>
      <c r="AM1080" s="2126">
        <v>0</v>
      </c>
      <c r="AN1080" s="2126">
        <v>1909.3670558101851</v>
      </c>
      <c r="AO1080" s="1743" t="s">
        <v>85</v>
      </c>
      <c r="AP1080" s="1743"/>
      <c r="AQ1080" s="1764">
        <v>2015</v>
      </c>
      <c r="AR1080" s="1743" t="s">
        <v>87</v>
      </c>
      <c r="AS1080" s="2135"/>
      <c r="AT1080" s="2135"/>
      <c r="AU1080" s="1212">
        <v>0.5</v>
      </c>
      <c r="AV1080" s="1212">
        <v>0.5</v>
      </c>
      <c r="AW1080" s="1212"/>
      <c r="AX1080" s="1212"/>
      <c r="AY1080" s="1212"/>
      <c r="AZ1080" s="1212"/>
      <c r="BA1080" s="1212"/>
      <c r="BB1080" s="1212"/>
      <c r="BC1080" s="1212"/>
      <c r="BD1080" s="1212"/>
      <c r="BE1080" s="1212"/>
      <c r="BF1080" s="2126">
        <v>0</v>
      </c>
      <c r="BG1080" s="2126">
        <v>0</v>
      </c>
      <c r="BH1080" s="2126">
        <v>954.68352790509255</v>
      </c>
      <c r="BI1080" s="2126">
        <v>954.68352790509255</v>
      </c>
      <c r="BJ1080" s="2126">
        <v>0</v>
      </c>
      <c r="BK1080" s="2126">
        <v>0</v>
      </c>
      <c r="BL1080" s="2126">
        <v>0</v>
      </c>
      <c r="BM1080" s="2126">
        <v>0</v>
      </c>
      <c r="BN1080" s="2126">
        <v>0</v>
      </c>
      <c r="BO1080" s="2126">
        <v>0</v>
      </c>
      <c r="BP1080" s="2126">
        <v>0</v>
      </c>
      <c r="BQ1080" s="2126">
        <v>0</v>
      </c>
      <c r="BR1080" s="2126">
        <v>0</v>
      </c>
    </row>
    <row r="1081" spans="1:76" s="1765" customFormat="1" ht="49.5">
      <c r="A1081" s="1272">
        <v>4000</v>
      </c>
      <c r="B1081" s="971" t="s">
        <v>1316</v>
      </c>
      <c r="C1081" s="1272">
        <v>4600</v>
      </c>
      <c r="D1081" s="971" t="s">
        <v>838</v>
      </c>
      <c r="E1081" s="971">
        <v>4610</v>
      </c>
      <c r="F1081" s="971" t="s">
        <v>1924</v>
      </c>
      <c r="G1081" s="971">
        <v>4614</v>
      </c>
      <c r="H1081" s="971" t="s">
        <v>880</v>
      </c>
      <c r="I1081" s="1273" t="s">
        <v>890</v>
      </c>
      <c r="J1081" s="971" t="s">
        <v>177</v>
      </c>
      <c r="K1081" s="971" t="s">
        <v>178</v>
      </c>
      <c r="L1081" s="971" t="s">
        <v>1948</v>
      </c>
      <c r="M1081" s="971" t="s">
        <v>178</v>
      </c>
      <c r="N1081" s="971" t="s">
        <v>179</v>
      </c>
      <c r="O1081" s="971" t="s">
        <v>180</v>
      </c>
      <c r="P1081" s="971"/>
      <c r="Q1081" s="971" t="s">
        <v>1954</v>
      </c>
      <c r="R1081" s="1266"/>
      <c r="S1081" s="2106">
        <v>0</v>
      </c>
      <c r="T1081" s="1266" t="s">
        <v>242</v>
      </c>
      <c r="U1081" s="1742">
        <v>42.724999999999994</v>
      </c>
      <c r="V1081" s="1742">
        <v>470.625</v>
      </c>
      <c r="W1081" s="1742">
        <v>3765.7815000000001</v>
      </c>
      <c r="X1081" s="1742">
        <v>5190.8055000000004</v>
      </c>
      <c r="Y1081" s="2106">
        <v>9427.2119999999995</v>
      </c>
      <c r="Z1081" s="2106">
        <v>0</v>
      </c>
      <c r="AA1081" s="2106">
        <v>0</v>
      </c>
      <c r="AB1081" s="2106">
        <v>0</v>
      </c>
      <c r="AC1081" s="2106">
        <v>0</v>
      </c>
      <c r="AD1081" s="1744">
        <v>0</v>
      </c>
      <c r="AE1081" s="2126">
        <v>30</v>
      </c>
      <c r="AF1081" s="2126">
        <v>0</v>
      </c>
      <c r="AG1081" s="1212">
        <v>1</v>
      </c>
      <c r="AH1081" s="1212">
        <v>0</v>
      </c>
      <c r="AI1081" s="1212">
        <v>0</v>
      </c>
      <c r="AJ1081" s="1212">
        <v>1</v>
      </c>
      <c r="AK1081" s="2126">
        <v>0</v>
      </c>
      <c r="AL1081" s="2126">
        <v>0</v>
      </c>
      <c r="AM1081" s="2126">
        <v>0</v>
      </c>
      <c r="AN1081" s="2126">
        <v>0</v>
      </c>
      <c r="AO1081" s="1743" t="s">
        <v>85</v>
      </c>
      <c r="AP1081" s="1743" t="s">
        <v>96</v>
      </c>
      <c r="AQ1081" s="1764">
        <v>2015</v>
      </c>
      <c r="AR1081" s="1743" t="s">
        <v>87</v>
      </c>
      <c r="AS1081" s="2135"/>
      <c r="AT1081" s="2135"/>
      <c r="AU1081" s="1212">
        <v>0.5</v>
      </c>
      <c r="AV1081" s="1212">
        <v>0.5</v>
      </c>
      <c r="AW1081" s="1212"/>
      <c r="AX1081" s="1212"/>
      <c r="AY1081" s="1212"/>
      <c r="AZ1081" s="1212"/>
      <c r="BA1081" s="1212"/>
      <c r="BB1081" s="1212"/>
      <c r="BC1081" s="1212"/>
      <c r="BD1081" s="1212"/>
      <c r="BE1081" s="1212"/>
      <c r="BF1081" s="2126">
        <v>0</v>
      </c>
      <c r="BG1081" s="2126">
        <v>0</v>
      </c>
      <c r="BH1081" s="2126">
        <v>0</v>
      </c>
      <c r="BI1081" s="2126">
        <v>0</v>
      </c>
      <c r="BJ1081" s="2126">
        <v>0</v>
      </c>
      <c r="BK1081" s="2126">
        <v>0</v>
      </c>
      <c r="BL1081" s="2126">
        <v>0</v>
      </c>
      <c r="BM1081" s="2126">
        <v>0</v>
      </c>
      <c r="BN1081" s="2126">
        <v>0</v>
      </c>
      <c r="BO1081" s="2126">
        <v>0</v>
      </c>
      <c r="BP1081" s="2126">
        <v>0</v>
      </c>
      <c r="BQ1081" s="2126">
        <v>0</v>
      </c>
      <c r="BR1081" s="2126">
        <v>0</v>
      </c>
    </row>
    <row r="1082" spans="1:76" s="1761" customFormat="1">
      <c r="A1082" s="1802">
        <v>4000</v>
      </c>
      <c r="B1082" s="1803" t="s">
        <v>1316</v>
      </c>
      <c r="C1082" s="1802">
        <v>4700</v>
      </c>
      <c r="D1082" s="1803" t="s">
        <v>912</v>
      </c>
      <c r="E1082" s="1803"/>
      <c r="F1082" s="1803"/>
      <c r="G1082" s="1803"/>
      <c r="H1082" s="1803"/>
      <c r="I1082" s="1803"/>
      <c r="J1082" s="1803" t="s">
        <v>121</v>
      </c>
      <c r="K1082" s="1803"/>
      <c r="L1082" s="1803"/>
      <c r="M1082" s="1803"/>
      <c r="N1082" s="1803"/>
      <c r="O1082" s="1803"/>
      <c r="P1082" s="1803"/>
      <c r="Q1082" s="1803"/>
      <c r="R1082" s="1774"/>
      <c r="S1082" s="2107"/>
      <c r="T1082" s="1774"/>
      <c r="U1082" s="1776"/>
      <c r="V1082" s="1776"/>
      <c r="W1082" s="1776"/>
      <c r="X1082" s="1776"/>
      <c r="Y1082" s="2107"/>
      <c r="Z1082" s="2107"/>
      <c r="AA1082" s="2107"/>
      <c r="AB1082" s="2107"/>
      <c r="AC1082" s="2107"/>
      <c r="AD1082" s="1775"/>
      <c r="AE1082" s="2127"/>
      <c r="AF1082" s="2127"/>
      <c r="AG1082" s="1777"/>
      <c r="AH1082" s="1777"/>
      <c r="AI1082" s="1777"/>
      <c r="AJ1082" s="1777"/>
      <c r="AK1082" s="2127"/>
      <c r="AL1082" s="2127"/>
      <c r="AM1082" s="2127"/>
      <c r="AN1082" s="2127"/>
      <c r="AO1082" s="1775"/>
      <c r="AP1082" s="1775"/>
      <c r="AQ1082" s="1773"/>
      <c r="AR1082" s="1775"/>
      <c r="AS1082" s="1777"/>
      <c r="AT1082" s="1777"/>
      <c r="AU1082" s="1777"/>
      <c r="AV1082" s="1777"/>
      <c r="AW1082" s="1777"/>
      <c r="AX1082" s="1777"/>
      <c r="AY1082" s="1777"/>
      <c r="AZ1082" s="1777"/>
      <c r="BA1082" s="1777"/>
      <c r="BB1082" s="1777"/>
      <c r="BC1082" s="1777"/>
      <c r="BD1082" s="1777"/>
      <c r="BE1082" s="1777"/>
      <c r="BF1082" s="2127"/>
      <c r="BG1082" s="2127"/>
      <c r="BH1082" s="2127"/>
      <c r="BI1082" s="2127"/>
      <c r="BJ1082" s="2127"/>
      <c r="BK1082" s="2127"/>
      <c r="BL1082" s="2127"/>
      <c r="BM1082" s="2127"/>
      <c r="BN1082" s="2127"/>
      <c r="BO1082" s="2127"/>
      <c r="BP1082" s="2127"/>
      <c r="BQ1082" s="2127"/>
      <c r="BR1082" s="2127"/>
      <c r="BS1082" s="1765"/>
      <c r="BT1082" s="1765"/>
      <c r="BU1082" s="1765"/>
      <c r="BV1082" s="1765"/>
      <c r="BW1082" s="1765"/>
      <c r="BX1082" s="1765"/>
    </row>
    <row r="1083" spans="1:76" s="1765" customFormat="1" ht="33">
      <c r="A1083" s="1272">
        <v>4000</v>
      </c>
      <c r="B1083" s="971" t="s">
        <v>1316</v>
      </c>
      <c r="C1083" s="1272">
        <v>4700</v>
      </c>
      <c r="D1083" s="971" t="s">
        <v>912</v>
      </c>
      <c r="E1083" s="971">
        <v>4710</v>
      </c>
      <c r="F1083" s="971" t="s">
        <v>1956</v>
      </c>
      <c r="G1083" s="971">
        <v>4712</v>
      </c>
      <c r="H1083" s="971" t="s">
        <v>1957</v>
      </c>
      <c r="I1083" s="1273" t="s">
        <v>1958</v>
      </c>
      <c r="J1083" s="971" t="s">
        <v>638</v>
      </c>
      <c r="K1083" s="971" t="s">
        <v>1971</v>
      </c>
      <c r="L1083" s="971" t="s">
        <v>639</v>
      </c>
      <c r="M1083" s="971" t="s">
        <v>639</v>
      </c>
      <c r="N1083" s="971" t="s">
        <v>640</v>
      </c>
      <c r="O1083" s="971" t="s">
        <v>639</v>
      </c>
      <c r="P1083" s="971"/>
      <c r="Q1083" s="971" t="s">
        <v>1959</v>
      </c>
      <c r="R1083" s="1266" t="s">
        <v>1960</v>
      </c>
      <c r="S1083" s="2106">
        <v>8518</v>
      </c>
      <c r="T1083" s="1266" t="s">
        <v>991</v>
      </c>
      <c r="U1083" s="1742">
        <v>0.25</v>
      </c>
      <c r="V1083" s="1742">
        <v>3.125</v>
      </c>
      <c r="W1083" s="1742">
        <v>22.035</v>
      </c>
      <c r="X1083" s="1742">
        <v>34.467500000000001</v>
      </c>
      <c r="Y1083" s="2106">
        <v>59.627499999999998</v>
      </c>
      <c r="Z1083" s="2106">
        <v>2129.5</v>
      </c>
      <c r="AA1083" s="2106">
        <v>26618.75</v>
      </c>
      <c r="AB1083" s="2106">
        <v>187694.13</v>
      </c>
      <c r="AC1083" s="2106">
        <v>293594.16500000004</v>
      </c>
      <c r="AD1083" s="2132">
        <v>507907.04500000004</v>
      </c>
      <c r="AE1083" s="2126">
        <v>1.0000000000000002E-2</v>
      </c>
      <c r="AF1083" s="2126">
        <v>85.180000000000021</v>
      </c>
      <c r="AG1083" s="1212">
        <v>1</v>
      </c>
      <c r="AH1083" s="1212">
        <v>0</v>
      </c>
      <c r="AI1083" s="1212">
        <v>1</v>
      </c>
      <c r="AJ1083" s="1212">
        <v>0</v>
      </c>
      <c r="AK1083" s="2126">
        <v>507907.04500000004</v>
      </c>
      <c r="AL1083" s="2126">
        <v>0</v>
      </c>
      <c r="AM1083" s="2126">
        <v>507907.04500000004</v>
      </c>
      <c r="AN1083" s="2126">
        <v>0</v>
      </c>
      <c r="AO1083" s="1743" t="s">
        <v>85</v>
      </c>
      <c r="AP1083" s="1743"/>
      <c r="AQ1083" s="1764">
        <v>2014</v>
      </c>
      <c r="AR1083" s="1743" t="s">
        <v>87</v>
      </c>
      <c r="AS1083" s="2135"/>
      <c r="AT1083" s="2135"/>
      <c r="AU1083" s="1212">
        <v>0.33333333333333331</v>
      </c>
      <c r="AV1083" s="1212">
        <v>0.33333333333333331</v>
      </c>
      <c r="AW1083" s="1212">
        <v>0.33333333333333331</v>
      </c>
      <c r="AX1083" s="1212"/>
      <c r="AY1083" s="1212"/>
      <c r="AZ1083" s="1212"/>
      <c r="BA1083" s="1212"/>
      <c r="BB1083" s="1212"/>
      <c r="BC1083" s="1212"/>
      <c r="BD1083" s="1212"/>
      <c r="BE1083" s="1212"/>
      <c r="BF1083" s="2126">
        <v>0</v>
      </c>
      <c r="BG1083" s="2126">
        <v>0</v>
      </c>
      <c r="BH1083" s="2126">
        <v>169302.34833333333</v>
      </c>
      <c r="BI1083" s="2126">
        <v>169302.34833333333</v>
      </c>
      <c r="BJ1083" s="2126">
        <v>169302.34833333333</v>
      </c>
      <c r="BK1083" s="2126">
        <v>0</v>
      </c>
      <c r="BL1083" s="2126">
        <v>0</v>
      </c>
      <c r="BM1083" s="2126">
        <v>0</v>
      </c>
      <c r="BN1083" s="2126">
        <v>0</v>
      </c>
      <c r="BO1083" s="2126">
        <v>0</v>
      </c>
      <c r="BP1083" s="2126">
        <v>0</v>
      </c>
      <c r="BQ1083" s="2126">
        <v>0</v>
      </c>
      <c r="BR1083" s="2126">
        <v>0</v>
      </c>
    </row>
    <row r="1084" spans="1:76" s="1765" customFormat="1" ht="49.5">
      <c r="A1084" s="1272">
        <v>4000</v>
      </c>
      <c r="B1084" s="971" t="s">
        <v>1316</v>
      </c>
      <c r="C1084" s="1272">
        <v>4700</v>
      </c>
      <c r="D1084" s="971" t="s">
        <v>912</v>
      </c>
      <c r="E1084" s="971">
        <v>4710</v>
      </c>
      <c r="F1084" s="971" t="s">
        <v>1956</v>
      </c>
      <c r="G1084" s="971">
        <v>4712</v>
      </c>
      <c r="H1084" s="971" t="s">
        <v>1957</v>
      </c>
      <c r="I1084" s="1273" t="s">
        <v>1961</v>
      </c>
      <c r="J1084" s="971" t="s">
        <v>124</v>
      </c>
      <c r="K1084" s="971" t="s">
        <v>784</v>
      </c>
      <c r="L1084" s="971" t="s">
        <v>2852</v>
      </c>
      <c r="M1084" s="971" t="s">
        <v>458</v>
      </c>
      <c r="N1084" s="971" t="s">
        <v>127</v>
      </c>
      <c r="O1084" s="971" t="s">
        <v>459</v>
      </c>
      <c r="P1084" s="971"/>
      <c r="Q1084" s="971" t="s">
        <v>1962</v>
      </c>
      <c r="R1084" s="1266" t="s">
        <v>1963</v>
      </c>
      <c r="S1084" s="2106">
        <v>14.869888475836431</v>
      </c>
      <c r="T1084" s="1266" t="s">
        <v>136</v>
      </c>
      <c r="U1084" s="1742">
        <v>0.22416666666666665</v>
      </c>
      <c r="V1084" s="1742">
        <v>2.8020833333333335</v>
      </c>
      <c r="W1084" s="1742">
        <v>19.758049999999997</v>
      </c>
      <c r="X1084" s="1742">
        <v>30.905858333333335</v>
      </c>
      <c r="Y1084" s="2106">
        <v>53.46599166666666</v>
      </c>
      <c r="Z1084" s="2106">
        <v>3.333333333333333</v>
      </c>
      <c r="AA1084" s="2106">
        <v>41.666666666666671</v>
      </c>
      <c r="AB1084" s="2106">
        <v>293.79999999999995</v>
      </c>
      <c r="AC1084" s="2106">
        <v>459.56666666666666</v>
      </c>
      <c r="AD1084" s="1744">
        <v>795.0333333333333</v>
      </c>
      <c r="AE1084" s="2126">
        <v>1</v>
      </c>
      <c r="AF1084" s="2126">
        <v>14.869888475836431</v>
      </c>
      <c r="AG1084" s="1212">
        <v>1</v>
      </c>
      <c r="AH1084" s="1212">
        <v>0</v>
      </c>
      <c r="AI1084" s="1212">
        <v>0</v>
      </c>
      <c r="AJ1084" s="1212">
        <v>1</v>
      </c>
      <c r="AK1084" s="2126">
        <v>795.0333333333333</v>
      </c>
      <c r="AL1084" s="2126">
        <v>0</v>
      </c>
      <c r="AM1084" s="2126">
        <v>0</v>
      </c>
      <c r="AN1084" s="2126">
        <v>795.0333333333333</v>
      </c>
      <c r="AO1084" s="1743" t="s">
        <v>85</v>
      </c>
      <c r="AP1084" s="1743"/>
      <c r="AQ1084" s="1764">
        <v>2014</v>
      </c>
      <c r="AR1084" s="1743" t="s">
        <v>87</v>
      </c>
      <c r="AS1084" s="2135"/>
      <c r="AT1084" s="2135"/>
      <c r="AU1084" s="1212">
        <v>0.33333333333333331</v>
      </c>
      <c r="AV1084" s="1212">
        <v>0.33333333333333331</v>
      </c>
      <c r="AW1084" s="1212">
        <v>0.33333333333333331</v>
      </c>
      <c r="AX1084" s="1212"/>
      <c r="AY1084" s="1212"/>
      <c r="AZ1084" s="1212"/>
      <c r="BA1084" s="1212"/>
      <c r="BB1084" s="1212"/>
      <c r="BC1084" s="1212"/>
      <c r="BD1084" s="1212"/>
      <c r="BE1084" s="1212"/>
      <c r="BF1084" s="2126">
        <v>0</v>
      </c>
      <c r="BG1084" s="2126">
        <v>0</v>
      </c>
      <c r="BH1084" s="2126">
        <v>265.01111111111106</v>
      </c>
      <c r="BI1084" s="2126">
        <v>265.01111111111106</v>
      </c>
      <c r="BJ1084" s="2126">
        <v>265.01111111111106</v>
      </c>
      <c r="BK1084" s="2126">
        <v>0</v>
      </c>
      <c r="BL1084" s="2126">
        <v>0</v>
      </c>
      <c r="BM1084" s="2126">
        <v>0</v>
      </c>
      <c r="BN1084" s="2126">
        <v>0</v>
      </c>
      <c r="BO1084" s="2126">
        <v>0</v>
      </c>
      <c r="BP1084" s="2126">
        <v>0</v>
      </c>
      <c r="BQ1084" s="2126">
        <v>0</v>
      </c>
      <c r="BR1084" s="2126">
        <v>0</v>
      </c>
    </row>
    <row r="1085" spans="1:76" s="1765" customFormat="1" ht="33">
      <c r="A1085" s="1272">
        <v>4000</v>
      </c>
      <c r="B1085" s="971" t="s">
        <v>1316</v>
      </c>
      <c r="C1085" s="1272">
        <v>4700</v>
      </c>
      <c r="D1085" s="971" t="s">
        <v>912</v>
      </c>
      <c r="E1085" s="971">
        <v>4710</v>
      </c>
      <c r="F1085" s="971" t="s">
        <v>1956</v>
      </c>
      <c r="G1085" s="971">
        <v>4712</v>
      </c>
      <c r="H1085" s="971" t="s">
        <v>1957</v>
      </c>
      <c r="I1085" s="1273" t="s">
        <v>1964</v>
      </c>
      <c r="J1085" s="971" t="s">
        <v>124</v>
      </c>
      <c r="K1085" s="971" t="s">
        <v>140</v>
      </c>
      <c r="L1085" s="971" t="s">
        <v>2909</v>
      </c>
      <c r="M1085" s="971" t="s">
        <v>140</v>
      </c>
      <c r="N1085" s="971" t="s">
        <v>141</v>
      </c>
      <c r="O1085" s="971" t="s">
        <v>142</v>
      </c>
      <c r="P1085" s="971"/>
      <c r="Q1085" s="971" t="s">
        <v>1965</v>
      </c>
      <c r="R1085" s="1266" t="s">
        <v>1963</v>
      </c>
      <c r="S1085" s="2106">
        <v>14.869888475836431</v>
      </c>
      <c r="T1085" s="1266" t="s">
        <v>136</v>
      </c>
      <c r="U1085" s="1742">
        <v>0</v>
      </c>
      <c r="V1085" s="1742">
        <v>0</v>
      </c>
      <c r="W1085" s="1742">
        <v>0</v>
      </c>
      <c r="X1085" s="1742">
        <v>0</v>
      </c>
      <c r="Y1085" s="2106">
        <v>0</v>
      </c>
      <c r="Z1085" s="2106">
        <v>0</v>
      </c>
      <c r="AA1085" s="2106">
        <v>0</v>
      </c>
      <c r="AB1085" s="2106">
        <v>0</v>
      </c>
      <c r="AC1085" s="2106">
        <v>0</v>
      </c>
      <c r="AD1085" s="1744">
        <v>0</v>
      </c>
      <c r="AE1085" s="2126">
        <v>0</v>
      </c>
      <c r="AF1085" s="2126">
        <v>0</v>
      </c>
      <c r="AG1085" s="1212">
        <v>1</v>
      </c>
      <c r="AH1085" s="1212">
        <v>0</v>
      </c>
      <c r="AI1085" s="1212">
        <v>0</v>
      </c>
      <c r="AJ1085" s="1212">
        <v>1</v>
      </c>
      <c r="AK1085" s="2126">
        <v>0</v>
      </c>
      <c r="AL1085" s="2126">
        <v>0</v>
      </c>
      <c r="AM1085" s="2126">
        <v>0</v>
      </c>
      <c r="AN1085" s="2126">
        <v>0</v>
      </c>
      <c r="AO1085" s="1743" t="s">
        <v>85</v>
      </c>
      <c r="AP1085" s="1743"/>
      <c r="AQ1085" s="1764">
        <v>2014</v>
      </c>
      <c r="AR1085" s="1743" t="s">
        <v>87</v>
      </c>
      <c r="AS1085" s="2135"/>
      <c r="AT1085" s="2135"/>
      <c r="AU1085" s="1212">
        <v>0.33333333333333331</v>
      </c>
      <c r="AV1085" s="1212">
        <v>0.33333333333333331</v>
      </c>
      <c r="AW1085" s="1212">
        <v>0.33333333333333331</v>
      </c>
      <c r="AX1085" s="1212"/>
      <c r="AY1085" s="1212"/>
      <c r="AZ1085" s="1212"/>
      <c r="BA1085" s="1212"/>
      <c r="BB1085" s="1212"/>
      <c r="BC1085" s="1212"/>
      <c r="BD1085" s="1212"/>
      <c r="BE1085" s="1212"/>
      <c r="BF1085" s="2126">
        <v>0</v>
      </c>
      <c r="BG1085" s="2126">
        <v>0</v>
      </c>
      <c r="BH1085" s="2126">
        <v>0</v>
      </c>
      <c r="BI1085" s="2126">
        <v>0</v>
      </c>
      <c r="BJ1085" s="2126">
        <v>0</v>
      </c>
      <c r="BK1085" s="2126">
        <v>0</v>
      </c>
      <c r="BL1085" s="2126">
        <v>0</v>
      </c>
      <c r="BM1085" s="2126">
        <v>0</v>
      </c>
      <c r="BN1085" s="2126">
        <v>0</v>
      </c>
      <c r="BO1085" s="2126">
        <v>0</v>
      </c>
      <c r="BP1085" s="2126">
        <v>0</v>
      </c>
      <c r="BQ1085" s="2126">
        <v>0</v>
      </c>
      <c r="BR1085" s="2126">
        <v>0</v>
      </c>
    </row>
    <row r="1086" spans="1:76" s="1765" customFormat="1" ht="33">
      <c r="A1086" s="1272">
        <v>4000</v>
      </c>
      <c r="B1086" s="971" t="s">
        <v>1316</v>
      </c>
      <c r="C1086" s="1272">
        <v>4700</v>
      </c>
      <c r="D1086" s="971" t="s">
        <v>912</v>
      </c>
      <c r="E1086" s="971">
        <v>4710</v>
      </c>
      <c r="F1086" s="971" t="s">
        <v>1956</v>
      </c>
      <c r="G1086" s="971">
        <v>4712</v>
      </c>
      <c r="H1086" s="971" t="s">
        <v>1957</v>
      </c>
      <c r="I1086" s="1273" t="s">
        <v>1966</v>
      </c>
      <c r="J1086" s="971" t="s">
        <v>124</v>
      </c>
      <c r="K1086" s="971"/>
      <c r="L1086" s="971" t="e">
        <v>#N/A</v>
      </c>
      <c r="M1086" s="971" t="s">
        <v>145</v>
      </c>
      <c r="N1086" s="971" t="s">
        <v>141</v>
      </c>
      <c r="O1086" s="971" t="s">
        <v>146</v>
      </c>
      <c r="P1086" s="971"/>
      <c r="Q1086" s="971" t="s">
        <v>1967</v>
      </c>
      <c r="R1086" s="1266" t="s">
        <v>1963</v>
      </c>
      <c r="S1086" s="2106">
        <v>14.869888475836431</v>
      </c>
      <c r="T1086" s="1266" t="s">
        <v>136</v>
      </c>
      <c r="U1086" s="1742" t="s">
        <v>6588</v>
      </c>
      <c r="V1086" s="1742" t="s">
        <v>6588</v>
      </c>
      <c r="W1086" s="1742" t="s">
        <v>6588</v>
      </c>
      <c r="X1086" s="1742" t="s">
        <v>6588</v>
      </c>
      <c r="Y1086" s="2106" t="s">
        <v>6588</v>
      </c>
      <c r="Z1086" s="2106">
        <v>0</v>
      </c>
      <c r="AA1086" s="2106">
        <v>0</v>
      </c>
      <c r="AB1086" s="2106">
        <v>0</v>
      </c>
      <c r="AC1086" s="2106">
        <v>0</v>
      </c>
      <c r="AD1086" s="1744">
        <v>0</v>
      </c>
      <c r="AE1086" s="2126">
        <v>0</v>
      </c>
      <c r="AF1086" s="2126">
        <v>0</v>
      </c>
      <c r="AG1086" s="1212">
        <v>1</v>
      </c>
      <c r="AH1086" s="1212">
        <v>0</v>
      </c>
      <c r="AI1086" s="1212">
        <v>0</v>
      </c>
      <c r="AJ1086" s="1212">
        <v>1</v>
      </c>
      <c r="AK1086" s="2126">
        <v>0</v>
      </c>
      <c r="AL1086" s="2126">
        <v>0</v>
      </c>
      <c r="AM1086" s="2126">
        <v>0</v>
      </c>
      <c r="AN1086" s="2126">
        <v>0</v>
      </c>
      <c r="AO1086" s="1743" t="s">
        <v>85</v>
      </c>
      <c r="AP1086" s="1743"/>
      <c r="AQ1086" s="1764">
        <v>2014</v>
      </c>
      <c r="AR1086" s="1743" t="s">
        <v>87</v>
      </c>
      <c r="AS1086" s="2135"/>
      <c r="AT1086" s="2135"/>
      <c r="AU1086" s="1212">
        <v>0.33333333333333331</v>
      </c>
      <c r="AV1086" s="1212">
        <v>0.33333333333333331</v>
      </c>
      <c r="AW1086" s="1212">
        <v>0.33333333333333331</v>
      </c>
      <c r="AX1086" s="1212"/>
      <c r="AY1086" s="1212"/>
      <c r="AZ1086" s="1212"/>
      <c r="BA1086" s="1212"/>
      <c r="BB1086" s="1212"/>
      <c r="BC1086" s="1212"/>
      <c r="BD1086" s="1212"/>
      <c r="BE1086" s="1212"/>
      <c r="BF1086" s="2126">
        <v>0</v>
      </c>
      <c r="BG1086" s="2126">
        <v>0</v>
      </c>
      <c r="BH1086" s="2126">
        <v>0</v>
      </c>
      <c r="BI1086" s="2126">
        <v>0</v>
      </c>
      <c r="BJ1086" s="2126">
        <v>0</v>
      </c>
      <c r="BK1086" s="2126">
        <v>0</v>
      </c>
      <c r="BL1086" s="2126">
        <v>0</v>
      </c>
      <c r="BM1086" s="2126">
        <v>0</v>
      </c>
      <c r="BN1086" s="2126">
        <v>0</v>
      </c>
      <c r="BO1086" s="2126">
        <v>0</v>
      </c>
      <c r="BP1086" s="2126">
        <v>0</v>
      </c>
      <c r="BQ1086" s="2126">
        <v>0</v>
      </c>
      <c r="BR1086" s="2126">
        <v>0</v>
      </c>
    </row>
    <row r="1087" spans="1:76" s="1765" customFormat="1" ht="49.5">
      <c r="A1087" s="1272">
        <v>4000</v>
      </c>
      <c r="B1087" s="971" t="s">
        <v>1316</v>
      </c>
      <c r="C1087" s="1272">
        <v>4700</v>
      </c>
      <c r="D1087" s="971" t="s">
        <v>912</v>
      </c>
      <c r="E1087" s="971">
        <v>4710</v>
      </c>
      <c r="F1087" s="971" t="s">
        <v>1956</v>
      </c>
      <c r="G1087" s="971">
        <v>4712</v>
      </c>
      <c r="H1087" s="971" t="s">
        <v>1957</v>
      </c>
      <c r="I1087" s="1273" t="s">
        <v>1968</v>
      </c>
      <c r="J1087" s="971" t="s">
        <v>638</v>
      </c>
      <c r="K1087" s="971"/>
      <c r="L1087" s="971" t="e">
        <v>#N/A</v>
      </c>
      <c r="M1087" s="971" t="s">
        <v>988</v>
      </c>
      <c r="N1087" s="971" t="s">
        <v>640</v>
      </c>
      <c r="O1087" s="971" t="s">
        <v>988</v>
      </c>
      <c r="P1087" s="971"/>
      <c r="Q1087" s="971" t="s">
        <v>1969</v>
      </c>
      <c r="R1087" s="1266" t="s">
        <v>1970</v>
      </c>
      <c r="S1087" s="2106">
        <v>4712</v>
      </c>
      <c r="T1087" s="1266" t="s">
        <v>991</v>
      </c>
      <c r="U1087" s="1742" t="s">
        <v>6588</v>
      </c>
      <c r="V1087" s="1742" t="s">
        <v>6588</v>
      </c>
      <c r="W1087" s="1742" t="s">
        <v>6588</v>
      </c>
      <c r="X1087" s="1742" t="s">
        <v>6588</v>
      </c>
      <c r="Y1087" s="2106" t="s">
        <v>6588</v>
      </c>
      <c r="Z1087" s="2106">
        <v>0</v>
      </c>
      <c r="AA1087" s="2106">
        <v>0</v>
      </c>
      <c r="AB1087" s="2106">
        <v>0</v>
      </c>
      <c r="AC1087" s="2106">
        <v>0</v>
      </c>
      <c r="AD1087" s="1744">
        <v>0</v>
      </c>
      <c r="AE1087" s="2126">
        <v>0</v>
      </c>
      <c r="AF1087" s="2126">
        <v>0</v>
      </c>
      <c r="AG1087" s="1212">
        <v>1</v>
      </c>
      <c r="AH1087" s="1212">
        <v>0</v>
      </c>
      <c r="AI1087" s="1212">
        <v>0</v>
      </c>
      <c r="AJ1087" s="1212">
        <v>1</v>
      </c>
      <c r="AK1087" s="2126">
        <v>0</v>
      </c>
      <c r="AL1087" s="2126">
        <v>0</v>
      </c>
      <c r="AM1087" s="2126">
        <v>0</v>
      </c>
      <c r="AN1087" s="2126">
        <v>0</v>
      </c>
      <c r="AO1087" s="1743" t="s">
        <v>85</v>
      </c>
      <c r="AP1087" s="1743"/>
      <c r="AQ1087" s="1764">
        <v>2014</v>
      </c>
      <c r="AR1087" s="1743" t="s">
        <v>87</v>
      </c>
      <c r="AS1087" s="2135"/>
      <c r="AT1087" s="2135"/>
      <c r="AU1087" s="1212">
        <v>0.33333333333333331</v>
      </c>
      <c r="AV1087" s="1212">
        <v>0.33333333333333331</v>
      </c>
      <c r="AW1087" s="1212">
        <v>0.33333333333333331</v>
      </c>
      <c r="AX1087" s="1212"/>
      <c r="AY1087" s="1212"/>
      <c r="AZ1087" s="1212"/>
      <c r="BA1087" s="1212"/>
      <c r="BB1087" s="1212"/>
      <c r="BC1087" s="1212"/>
      <c r="BD1087" s="1212"/>
      <c r="BE1087" s="1212"/>
      <c r="BF1087" s="2126">
        <v>0</v>
      </c>
      <c r="BG1087" s="2126">
        <v>0</v>
      </c>
      <c r="BH1087" s="2126">
        <v>0</v>
      </c>
      <c r="BI1087" s="2126">
        <v>0</v>
      </c>
      <c r="BJ1087" s="2126">
        <v>0</v>
      </c>
      <c r="BK1087" s="2126">
        <v>0</v>
      </c>
      <c r="BL1087" s="2126">
        <v>0</v>
      </c>
      <c r="BM1087" s="2126">
        <v>0</v>
      </c>
      <c r="BN1087" s="2126">
        <v>0</v>
      </c>
      <c r="BO1087" s="2126">
        <v>0</v>
      </c>
      <c r="BP1087" s="2126">
        <v>0</v>
      </c>
      <c r="BQ1087" s="2126">
        <v>0</v>
      </c>
      <c r="BR1087" s="2126">
        <v>0</v>
      </c>
    </row>
    <row r="1088" spans="1:76" s="1765" customFormat="1" ht="33">
      <c r="A1088" s="1272">
        <v>4000</v>
      </c>
      <c r="B1088" s="971" t="s">
        <v>1316</v>
      </c>
      <c r="C1088" s="1272">
        <v>4700</v>
      </c>
      <c r="D1088" s="971" t="s">
        <v>912</v>
      </c>
      <c r="E1088" s="971">
        <v>4710</v>
      </c>
      <c r="F1088" s="971" t="s">
        <v>1956</v>
      </c>
      <c r="G1088" s="971">
        <v>4712</v>
      </c>
      <c r="H1088" s="971" t="s">
        <v>1957</v>
      </c>
      <c r="I1088" s="1273"/>
      <c r="J1088" s="971" t="s">
        <v>121</v>
      </c>
      <c r="K1088" s="971" t="s">
        <v>1971</v>
      </c>
      <c r="L1088" s="971" t="s">
        <v>639</v>
      </c>
      <c r="M1088" s="971" t="s">
        <v>639</v>
      </c>
      <c r="N1088" s="971" t="s">
        <v>640</v>
      </c>
      <c r="O1088" s="971" t="s">
        <v>639</v>
      </c>
      <c r="P1088" s="971"/>
      <c r="Q1088" s="971" t="s">
        <v>1972</v>
      </c>
      <c r="R1088" s="1266"/>
      <c r="S1088" s="2106"/>
      <c r="T1088" s="1266" t="s">
        <v>991</v>
      </c>
      <c r="U1088" s="1742">
        <v>0.25</v>
      </c>
      <c r="V1088" s="1742">
        <v>3.125</v>
      </c>
      <c r="W1088" s="1742">
        <v>22.035</v>
      </c>
      <c r="X1088" s="1742">
        <v>34.467500000000001</v>
      </c>
      <c r="Y1088" s="2106">
        <v>59.627499999999998</v>
      </c>
      <c r="Z1088" s="2106">
        <v>0</v>
      </c>
      <c r="AA1088" s="2106">
        <v>0</v>
      </c>
      <c r="AB1088" s="2106">
        <v>0</v>
      </c>
      <c r="AC1088" s="2106">
        <v>0</v>
      </c>
      <c r="AD1088" s="2132">
        <v>0</v>
      </c>
      <c r="AE1088" s="2126">
        <v>1.0000000000000002E-2</v>
      </c>
      <c r="AF1088" s="2126">
        <v>0</v>
      </c>
      <c r="AG1088" s="1212">
        <v>1</v>
      </c>
      <c r="AH1088" s="1212">
        <v>0</v>
      </c>
      <c r="AI1088" s="1212">
        <v>1</v>
      </c>
      <c r="AJ1088" s="1212">
        <v>0</v>
      </c>
      <c r="AK1088" s="2126">
        <v>0</v>
      </c>
      <c r="AL1088" s="2126">
        <v>0</v>
      </c>
      <c r="AM1088" s="2126">
        <v>0</v>
      </c>
      <c r="AN1088" s="2126">
        <v>0</v>
      </c>
      <c r="AO1088" s="1743" t="s">
        <v>85</v>
      </c>
      <c r="AP1088" s="1743"/>
      <c r="AQ1088" s="1764">
        <v>2014</v>
      </c>
      <c r="AR1088" s="1743" t="s">
        <v>87</v>
      </c>
      <c r="AS1088" s="2135"/>
      <c r="AT1088" s="2135"/>
      <c r="AU1088" s="1212"/>
      <c r="AV1088" s="1212"/>
      <c r="AW1088" s="1212"/>
      <c r="AX1088" s="1212"/>
      <c r="AY1088" s="1212"/>
      <c r="AZ1088" s="1212"/>
      <c r="BA1088" s="1212"/>
      <c r="BB1088" s="1212"/>
      <c r="BC1088" s="1212"/>
      <c r="BD1088" s="1212"/>
      <c r="BE1088" s="1212"/>
      <c r="BF1088" s="2126">
        <v>0</v>
      </c>
      <c r="BG1088" s="2126">
        <v>0</v>
      </c>
      <c r="BH1088" s="2126">
        <v>0</v>
      </c>
      <c r="BI1088" s="2126">
        <v>0</v>
      </c>
      <c r="BJ1088" s="2126">
        <v>0</v>
      </c>
      <c r="BK1088" s="2126">
        <v>0</v>
      </c>
      <c r="BL1088" s="2126">
        <v>0</v>
      </c>
      <c r="BM1088" s="2126">
        <v>0</v>
      </c>
      <c r="BN1088" s="2126">
        <v>0</v>
      </c>
      <c r="BO1088" s="2126">
        <v>0</v>
      </c>
      <c r="BP1088" s="2126">
        <v>0</v>
      </c>
      <c r="BQ1088" s="2126">
        <v>0</v>
      </c>
      <c r="BR1088" s="2126">
        <v>0</v>
      </c>
    </row>
    <row r="1089" spans="1:70" s="1765" customFormat="1" ht="66">
      <c r="A1089" s="1272">
        <v>4000</v>
      </c>
      <c r="B1089" s="971" t="s">
        <v>1316</v>
      </c>
      <c r="C1089" s="1272">
        <v>4700</v>
      </c>
      <c r="D1089" s="971" t="s">
        <v>912</v>
      </c>
      <c r="E1089" s="971" t="s">
        <v>1973</v>
      </c>
      <c r="F1089" s="971" t="s">
        <v>923</v>
      </c>
      <c r="G1089" s="971">
        <v>4720</v>
      </c>
      <c r="H1089" s="971" t="s">
        <v>923</v>
      </c>
      <c r="I1089" s="1273" t="s">
        <v>1974</v>
      </c>
      <c r="J1089" s="971" t="s">
        <v>124</v>
      </c>
      <c r="K1089" s="971" t="s">
        <v>516</v>
      </c>
      <c r="L1089" s="971" t="s">
        <v>2860</v>
      </c>
      <c r="M1089" s="971" t="s">
        <v>517</v>
      </c>
      <c r="N1089" s="971" t="s">
        <v>127</v>
      </c>
      <c r="O1089" s="971" t="s">
        <v>518</v>
      </c>
      <c r="P1089" s="971"/>
      <c r="Q1089" s="971" t="s">
        <v>925</v>
      </c>
      <c r="R1089" s="1266" t="s">
        <v>1975</v>
      </c>
      <c r="S1089" s="2106">
        <v>390.33457249070631</v>
      </c>
      <c r="T1089" s="1266" t="s">
        <v>136</v>
      </c>
      <c r="U1089" s="1742">
        <v>0.15691666666666668</v>
      </c>
      <c r="V1089" s="1742">
        <v>1.9614583333333333</v>
      </c>
      <c r="W1089" s="1742">
        <v>13.830634999999999</v>
      </c>
      <c r="X1089" s="1742">
        <v>21.634100833333331</v>
      </c>
      <c r="Y1089" s="2106">
        <v>37.426194166666662</v>
      </c>
      <c r="Z1089" s="2106">
        <v>61.25</v>
      </c>
      <c r="AA1089" s="2106">
        <v>765.625</v>
      </c>
      <c r="AB1089" s="2106">
        <v>5398.5749999999998</v>
      </c>
      <c r="AC1089" s="2106">
        <v>8444.5374999999985</v>
      </c>
      <c r="AD1089" s="1744">
        <v>14608.737499999999</v>
      </c>
      <c r="AE1089" s="2126">
        <v>1</v>
      </c>
      <c r="AF1089" s="2126">
        <v>390.33457249070631</v>
      </c>
      <c r="AG1089" s="1212">
        <v>1</v>
      </c>
      <c r="AH1089" s="1212">
        <v>0</v>
      </c>
      <c r="AI1089" s="1212">
        <v>0</v>
      </c>
      <c r="AJ1089" s="1212">
        <v>1</v>
      </c>
      <c r="AK1089" s="2126">
        <v>14608.737499999999</v>
      </c>
      <c r="AL1089" s="2126">
        <v>0</v>
      </c>
      <c r="AM1089" s="2126">
        <v>0</v>
      </c>
      <c r="AN1089" s="2126">
        <v>14608.737499999999</v>
      </c>
      <c r="AO1089" s="1743" t="s">
        <v>85</v>
      </c>
      <c r="AP1089" s="1743"/>
      <c r="AQ1089" s="1764">
        <v>2014</v>
      </c>
      <c r="AR1089" s="1743" t="s">
        <v>87</v>
      </c>
      <c r="AS1089" s="2135"/>
      <c r="AT1089" s="2135"/>
      <c r="AU1089" s="1212">
        <v>0.33333333333333331</v>
      </c>
      <c r="AV1089" s="1212">
        <v>0.33333333333333331</v>
      </c>
      <c r="AW1089" s="1212">
        <v>0.33333333333333331</v>
      </c>
      <c r="AX1089" s="1212"/>
      <c r="AY1089" s="1212"/>
      <c r="AZ1089" s="1212"/>
      <c r="BA1089" s="1212"/>
      <c r="BB1089" s="1212"/>
      <c r="BC1089" s="1212"/>
      <c r="BD1089" s="1212"/>
      <c r="BE1089" s="1212"/>
      <c r="BF1089" s="2126">
        <v>0</v>
      </c>
      <c r="BG1089" s="2126">
        <v>0</v>
      </c>
      <c r="BH1089" s="2126">
        <v>4869.5791666666664</v>
      </c>
      <c r="BI1089" s="2126">
        <v>4869.5791666666664</v>
      </c>
      <c r="BJ1089" s="2126">
        <v>4869.5791666666664</v>
      </c>
      <c r="BK1089" s="2126">
        <v>0</v>
      </c>
      <c r="BL1089" s="2126">
        <v>0</v>
      </c>
      <c r="BM1089" s="2126">
        <v>0</v>
      </c>
      <c r="BN1089" s="2126">
        <v>0</v>
      </c>
      <c r="BO1089" s="2126">
        <v>0</v>
      </c>
      <c r="BP1089" s="2126">
        <v>0</v>
      </c>
      <c r="BQ1089" s="2126">
        <v>0</v>
      </c>
      <c r="BR1089" s="2126">
        <v>0</v>
      </c>
    </row>
    <row r="1090" spans="1:70" s="1765" customFormat="1" ht="49.5">
      <c r="A1090" s="1272">
        <v>4000</v>
      </c>
      <c r="B1090" s="971" t="s">
        <v>1316</v>
      </c>
      <c r="C1090" s="1272">
        <v>4700</v>
      </c>
      <c r="D1090" s="971" t="s">
        <v>912</v>
      </c>
      <c r="E1090" s="971" t="s">
        <v>1973</v>
      </c>
      <c r="F1090" s="971" t="s">
        <v>923</v>
      </c>
      <c r="G1090" s="971">
        <v>4720</v>
      </c>
      <c r="H1090" s="971" t="s">
        <v>923</v>
      </c>
      <c r="I1090" s="1273" t="s">
        <v>1976</v>
      </c>
      <c r="J1090" s="971" t="s">
        <v>124</v>
      </c>
      <c r="K1090" s="971" t="s">
        <v>523</v>
      </c>
      <c r="L1090" s="971" t="s">
        <v>6607</v>
      </c>
      <c r="M1090" s="971" t="s">
        <v>523</v>
      </c>
      <c r="N1090" s="971" t="s">
        <v>141</v>
      </c>
      <c r="O1090" s="971" t="s">
        <v>524</v>
      </c>
      <c r="P1090" s="971"/>
      <c r="Q1090" s="971" t="s">
        <v>928</v>
      </c>
      <c r="R1090" s="1266" t="s">
        <v>1975</v>
      </c>
      <c r="S1090" s="2106">
        <v>390.33457249070631</v>
      </c>
      <c r="T1090" s="1266" t="s">
        <v>136</v>
      </c>
      <c r="U1090" s="1742">
        <v>0.14520631503408685</v>
      </c>
      <c r="V1090" s="1742">
        <v>1.8150789379260854</v>
      </c>
      <c r="W1090" s="1742">
        <v>12.798484607104415</v>
      </c>
      <c r="X1090" s="1742">
        <v>20.019594653749554</v>
      </c>
      <c r="Y1090" s="2106">
        <v>34.633158198780052</v>
      </c>
      <c r="Z1090" s="2106">
        <v>56.679044901781111</v>
      </c>
      <c r="AA1090" s="2106">
        <v>708.48806127226385</v>
      </c>
      <c r="AB1090" s="2106">
        <v>4995.6910176429874</v>
      </c>
      <c r="AC1090" s="2106">
        <v>7814.3399206085614</v>
      </c>
      <c r="AD1090" s="1744">
        <v>13518.518999523812</v>
      </c>
      <c r="AE1090" s="2126">
        <v>0.75</v>
      </c>
      <c r="AF1090" s="2126">
        <v>292.75092936802974</v>
      </c>
      <c r="AG1090" s="1212">
        <v>1</v>
      </c>
      <c r="AH1090" s="1212">
        <v>0</v>
      </c>
      <c r="AI1090" s="1212">
        <v>0</v>
      </c>
      <c r="AJ1090" s="1212">
        <v>1</v>
      </c>
      <c r="AK1090" s="2126">
        <v>13518.518999523812</v>
      </c>
      <c r="AL1090" s="2126">
        <v>0</v>
      </c>
      <c r="AM1090" s="2126">
        <v>0</v>
      </c>
      <c r="AN1090" s="2126">
        <v>13518.518999523812</v>
      </c>
      <c r="AO1090" s="1743" t="s">
        <v>85</v>
      </c>
      <c r="AP1090" s="1743"/>
      <c r="AQ1090" s="1764">
        <v>2014</v>
      </c>
      <c r="AR1090" s="1743" t="s">
        <v>87</v>
      </c>
      <c r="AS1090" s="2135"/>
      <c r="AT1090" s="2135"/>
      <c r="AU1090" s="1212">
        <v>0.33333333333333331</v>
      </c>
      <c r="AV1090" s="1212">
        <v>0.33333333333333331</v>
      </c>
      <c r="AW1090" s="1212">
        <v>0.33333333333333331</v>
      </c>
      <c r="AX1090" s="1212"/>
      <c r="AY1090" s="1212"/>
      <c r="AZ1090" s="1212"/>
      <c r="BA1090" s="1212"/>
      <c r="BB1090" s="1212"/>
      <c r="BC1090" s="1212"/>
      <c r="BD1090" s="1212"/>
      <c r="BE1090" s="1212"/>
      <c r="BF1090" s="2126">
        <v>0</v>
      </c>
      <c r="BG1090" s="2126">
        <v>0</v>
      </c>
      <c r="BH1090" s="2126">
        <v>4506.1729998412702</v>
      </c>
      <c r="BI1090" s="2126">
        <v>4506.1729998412702</v>
      </c>
      <c r="BJ1090" s="2126">
        <v>4506.1729998412702</v>
      </c>
      <c r="BK1090" s="2126">
        <v>0</v>
      </c>
      <c r="BL1090" s="2126">
        <v>0</v>
      </c>
      <c r="BM1090" s="2126">
        <v>0</v>
      </c>
      <c r="BN1090" s="2126">
        <v>0</v>
      </c>
      <c r="BO1090" s="2126">
        <v>0</v>
      </c>
      <c r="BP1090" s="2126">
        <v>0</v>
      </c>
      <c r="BQ1090" s="2126">
        <v>0</v>
      </c>
      <c r="BR1090" s="2126">
        <v>0</v>
      </c>
    </row>
    <row r="1091" spans="1:70" s="1765" customFormat="1" ht="33">
      <c r="A1091" s="1272">
        <v>4000</v>
      </c>
      <c r="B1091" s="971" t="s">
        <v>1316</v>
      </c>
      <c r="C1091" s="1272">
        <v>4700</v>
      </c>
      <c r="D1091" s="971" t="s">
        <v>912</v>
      </c>
      <c r="E1091" s="971">
        <v>4720</v>
      </c>
      <c r="F1091" s="971" t="s">
        <v>923</v>
      </c>
      <c r="G1091" s="971">
        <v>4720</v>
      </c>
      <c r="H1091" s="971" t="s">
        <v>923</v>
      </c>
      <c r="I1091" s="1273" t="s">
        <v>1977</v>
      </c>
      <c r="J1091" s="971" t="s">
        <v>799</v>
      </c>
      <c r="K1091" s="971" t="s">
        <v>931</v>
      </c>
      <c r="L1091" s="971" t="s">
        <v>2895</v>
      </c>
      <c r="M1091" s="971" t="s">
        <v>931</v>
      </c>
      <c r="N1091" s="971" t="s">
        <v>269</v>
      </c>
      <c r="O1091" s="971" t="s">
        <v>932</v>
      </c>
      <c r="P1091" s="971"/>
      <c r="Q1091" s="971" t="s">
        <v>1978</v>
      </c>
      <c r="R1091" s="1266" t="s">
        <v>1979</v>
      </c>
      <c r="S1091" s="2106">
        <v>1</v>
      </c>
      <c r="T1091" s="1266" t="s">
        <v>2700</v>
      </c>
      <c r="U1091" s="1742">
        <v>47</v>
      </c>
      <c r="V1091" s="1742">
        <v>400</v>
      </c>
      <c r="W1091" s="1742">
        <v>4142.58</v>
      </c>
      <c r="X1091" s="1742">
        <v>4411.84</v>
      </c>
      <c r="Y1091" s="2106">
        <v>8954.4199999999983</v>
      </c>
      <c r="Z1091" s="2106">
        <v>47</v>
      </c>
      <c r="AA1091" s="2106">
        <v>400</v>
      </c>
      <c r="AB1091" s="2106">
        <v>4142.58</v>
      </c>
      <c r="AC1091" s="2106">
        <v>4411.84</v>
      </c>
      <c r="AD1091" s="2132">
        <v>8954.42</v>
      </c>
      <c r="AE1091" s="2126">
        <v>329.26829268292681</v>
      </c>
      <c r="AF1091" s="2126">
        <v>329.26829268292681</v>
      </c>
      <c r="AG1091" s="1212">
        <v>1</v>
      </c>
      <c r="AH1091" s="1212">
        <v>0</v>
      </c>
      <c r="AI1091" s="1212">
        <v>1</v>
      </c>
      <c r="AJ1091" s="1212">
        <v>0</v>
      </c>
      <c r="AK1091" s="2126">
        <v>8954.42</v>
      </c>
      <c r="AL1091" s="2126">
        <v>0</v>
      </c>
      <c r="AM1091" s="2126">
        <v>8954.42</v>
      </c>
      <c r="AN1091" s="2126">
        <v>0</v>
      </c>
      <c r="AO1091" s="1743" t="s">
        <v>85</v>
      </c>
      <c r="AP1091" s="1743"/>
      <c r="AQ1091" s="1764">
        <v>2014</v>
      </c>
      <c r="AR1091" s="1743" t="s">
        <v>87</v>
      </c>
      <c r="AS1091" s="2135"/>
      <c r="AT1091" s="2135"/>
      <c r="AU1091" s="1212">
        <v>0.33333333333333331</v>
      </c>
      <c r="AV1091" s="1212">
        <v>0.33333333333333331</v>
      </c>
      <c r="AW1091" s="1212">
        <v>0.33333333333333331</v>
      </c>
      <c r="AX1091" s="1212"/>
      <c r="AY1091" s="1212"/>
      <c r="AZ1091" s="1212"/>
      <c r="BA1091" s="1212"/>
      <c r="BB1091" s="1212"/>
      <c r="BC1091" s="1212"/>
      <c r="BD1091" s="1212"/>
      <c r="BE1091" s="1212"/>
      <c r="BF1091" s="2126">
        <v>0</v>
      </c>
      <c r="BG1091" s="2126">
        <v>0</v>
      </c>
      <c r="BH1091" s="2126">
        <v>2984.8066666666664</v>
      </c>
      <c r="BI1091" s="2126">
        <v>2984.8066666666664</v>
      </c>
      <c r="BJ1091" s="2126">
        <v>2984.8066666666664</v>
      </c>
      <c r="BK1091" s="2126">
        <v>0</v>
      </c>
      <c r="BL1091" s="2126">
        <v>0</v>
      </c>
      <c r="BM1091" s="2126">
        <v>0</v>
      </c>
      <c r="BN1091" s="2126">
        <v>0</v>
      </c>
      <c r="BO1091" s="2126">
        <v>0</v>
      </c>
      <c r="BP1091" s="2126">
        <v>0</v>
      </c>
      <c r="BQ1091" s="2126">
        <v>0</v>
      </c>
      <c r="BR1091" s="2126">
        <v>0</v>
      </c>
    </row>
    <row r="1092" spans="1:70" s="1765" customFormat="1" ht="33">
      <c r="A1092" s="1272">
        <v>4000</v>
      </c>
      <c r="B1092" s="971" t="s">
        <v>1316</v>
      </c>
      <c r="C1092" s="1272">
        <v>4700</v>
      </c>
      <c r="D1092" s="971" t="s">
        <v>912</v>
      </c>
      <c r="E1092" s="971">
        <v>4720</v>
      </c>
      <c r="F1092" s="971" t="s">
        <v>923</v>
      </c>
      <c r="G1092" s="971">
        <v>4720</v>
      </c>
      <c r="H1092" s="971" t="s">
        <v>923</v>
      </c>
      <c r="I1092" s="1273" t="s">
        <v>1980</v>
      </c>
      <c r="J1092" s="971" t="s">
        <v>177</v>
      </c>
      <c r="K1092" s="971" t="s">
        <v>530</v>
      </c>
      <c r="L1092" s="971" t="s">
        <v>531</v>
      </c>
      <c r="M1092" s="971" t="s">
        <v>530</v>
      </c>
      <c r="N1092" s="971" t="s">
        <v>179</v>
      </c>
      <c r="O1092" s="971" t="s">
        <v>531</v>
      </c>
      <c r="P1092" s="971"/>
      <c r="Q1092" s="971" t="s">
        <v>938</v>
      </c>
      <c r="R1092" s="1266" t="s">
        <v>1981</v>
      </c>
      <c r="S1092" s="2106">
        <v>1</v>
      </c>
      <c r="T1092" s="1266" t="s">
        <v>242</v>
      </c>
      <c r="U1092" s="1742">
        <v>31</v>
      </c>
      <c r="V1092" s="1742">
        <v>325</v>
      </c>
      <c r="W1092" s="1742">
        <v>2732.34</v>
      </c>
      <c r="X1092" s="1742">
        <v>3584.62</v>
      </c>
      <c r="Y1092" s="2106">
        <v>6641.9599999999991</v>
      </c>
      <c r="Z1092" s="2106">
        <v>31</v>
      </c>
      <c r="AA1092" s="2106">
        <v>325</v>
      </c>
      <c r="AB1092" s="2106">
        <v>2732.34</v>
      </c>
      <c r="AC1092" s="2106">
        <v>3584.62</v>
      </c>
      <c r="AD1092" s="1744">
        <v>6641.96</v>
      </c>
      <c r="AE1092" s="2126">
        <v>2</v>
      </c>
      <c r="AF1092" s="2126">
        <v>2</v>
      </c>
      <c r="AG1092" s="1212">
        <v>1</v>
      </c>
      <c r="AH1092" s="1212">
        <v>0</v>
      </c>
      <c r="AI1092" s="1212">
        <v>0</v>
      </c>
      <c r="AJ1092" s="1212">
        <v>1</v>
      </c>
      <c r="AK1092" s="2126">
        <v>6641.96</v>
      </c>
      <c r="AL1092" s="2126">
        <v>0</v>
      </c>
      <c r="AM1092" s="2126">
        <v>0</v>
      </c>
      <c r="AN1092" s="2126">
        <v>6641.96</v>
      </c>
      <c r="AO1092" s="1743" t="s">
        <v>85</v>
      </c>
      <c r="AP1092" s="1743"/>
      <c r="AQ1092" s="1764">
        <v>2014</v>
      </c>
      <c r="AR1092" s="1743" t="s">
        <v>87</v>
      </c>
      <c r="AS1092" s="2135"/>
      <c r="AT1092" s="2135"/>
      <c r="AU1092" s="1212">
        <v>0.33333333333333331</v>
      </c>
      <c r="AV1092" s="1212">
        <v>0.33333333333333331</v>
      </c>
      <c r="AW1092" s="1212">
        <v>0.33333333333333331</v>
      </c>
      <c r="AX1092" s="1212"/>
      <c r="AY1092" s="1212"/>
      <c r="AZ1092" s="1212"/>
      <c r="BA1092" s="1212"/>
      <c r="BB1092" s="1212"/>
      <c r="BC1092" s="1212"/>
      <c r="BD1092" s="1212"/>
      <c r="BE1092" s="1212"/>
      <c r="BF1092" s="2126">
        <v>0</v>
      </c>
      <c r="BG1092" s="2126">
        <v>0</v>
      </c>
      <c r="BH1092" s="2126">
        <v>2213.9866666666667</v>
      </c>
      <c r="BI1092" s="2126">
        <v>2213.9866666666667</v>
      </c>
      <c r="BJ1092" s="2126">
        <v>2213.9866666666667</v>
      </c>
      <c r="BK1092" s="2126">
        <v>0</v>
      </c>
      <c r="BL1092" s="2126">
        <v>0</v>
      </c>
      <c r="BM1092" s="2126">
        <v>0</v>
      </c>
      <c r="BN1092" s="2126">
        <v>0</v>
      </c>
      <c r="BO1092" s="2126">
        <v>0</v>
      </c>
      <c r="BP1092" s="2126">
        <v>0</v>
      </c>
      <c r="BQ1092" s="2126">
        <v>0</v>
      </c>
      <c r="BR1092" s="2126">
        <v>0</v>
      </c>
    </row>
    <row r="1093" spans="1:70" s="1765" customFormat="1" ht="33">
      <c r="A1093" s="1272">
        <v>4000</v>
      </c>
      <c r="B1093" s="971" t="s">
        <v>1316</v>
      </c>
      <c r="C1093" s="1272">
        <v>4700</v>
      </c>
      <c r="D1093" s="971" t="s">
        <v>912</v>
      </c>
      <c r="E1093" s="971">
        <v>4720</v>
      </c>
      <c r="F1093" s="971" t="s">
        <v>923</v>
      </c>
      <c r="G1093" s="971">
        <v>4720</v>
      </c>
      <c r="H1093" s="971" t="s">
        <v>923</v>
      </c>
      <c r="I1093" s="1273" t="s">
        <v>1982</v>
      </c>
      <c r="J1093" s="971" t="s">
        <v>177</v>
      </c>
      <c r="K1093" s="971" t="s">
        <v>530</v>
      </c>
      <c r="L1093" s="971" t="s">
        <v>531</v>
      </c>
      <c r="M1093" s="971" t="s">
        <v>530</v>
      </c>
      <c r="N1093" s="971" t="s">
        <v>179</v>
      </c>
      <c r="O1093" s="971" t="s">
        <v>531</v>
      </c>
      <c r="P1093" s="971"/>
      <c r="Q1093" s="971" t="s">
        <v>941</v>
      </c>
      <c r="R1093" s="1266" t="s">
        <v>1983</v>
      </c>
      <c r="S1093" s="2106">
        <v>1</v>
      </c>
      <c r="T1093" s="1266" t="s">
        <v>242</v>
      </c>
      <c r="U1093" s="1742">
        <v>31</v>
      </c>
      <c r="V1093" s="1742">
        <v>325</v>
      </c>
      <c r="W1093" s="1742">
        <v>2732.34</v>
      </c>
      <c r="X1093" s="1742">
        <v>3584.62</v>
      </c>
      <c r="Y1093" s="2106">
        <v>6641.9599999999991</v>
      </c>
      <c r="Z1093" s="2106">
        <v>31</v>
      </c>
      <c r="AA1093" s="2106">
        <v>325</v>
      </c>
      <c r="AB1093" s="2106">
        <v>2732.34</v>
      </c>
      <c r="AC1093" s="2106">
        <v>3584.62</v>
      </c>
      <c r="AD1093" s="1744">
        <v>6641.96</v>
      </c>
      <c r="AE1093" s="2126">
        <v>2</v>
      </c>
      <c r="AF1093" s="2126">
        <v>2</v>
      </c>
      <c r="AG1093" s="1212">
        <v>1</v>
      </c>
      <c r="AH1093" s="1212">
        <v>0</v>
      </c>
      <c r="AI1093" s="1212">
        <v>0</v>
      </c>
      <c r="AJ1093" s="1212">
        <v>1</v>
      </c>
      <c r="AK1093" s="2126">
        <v>6641.96</v>
      </c>
      <c r="AL1093" s="2126">
        <v>0</v>
      </c>
      <c r="AM1093" s="2126">
        <v>0</v>
      </c>
      <c r="AN1093" s="2126">
        <v>6641.96</v>
      </c>
      <c r="AO1093" s="1743" t="s">
        <v>85</v>
      </c>
      <c r="AP1093" s="1743"/>
      <c r="AQ1093" s="1764">
        <v>2014</v>
      </c>
      <c r="AR1093" s="1743" t="s">
        <v>87</v>
      </c>
      <c r="AS1093" s="2135"/>
      <c r="AT1093" s="2135"/>
      <c r="AU1093" s="1212">
        <v>0.33333333333333331</v>
      </c>
      <c r="AV1093" s="1212">
        <v>0.33333333333333331</v>
      </c>
      <c r="AW1093" s="1212">
        <v>0.33333333333333331</v>
      </c>
      <c r="AX1093" s="1212"/>
      <c r="AY1093" s="1212"/>
      <c r="AZ1093" s="1212"/>
      <c r="BA1093" s="1212"/>
      <c r="BB1093" s="1212"/>
      <c r="BC1093" s="1212"/>
      <c r="BD1093" s="1212"/>
      <c r="BE1093" s="1212"/>
      <c r="BF1093" s="2126">
        <v>0</v>
      </c>
      <c r="BG1093" s="2126">
        <v>0</v>
      </c>
      <c r="BH1093" s="2126">
        <v>2213.9866666666667</v>
      </c>
      <c r="BI1093" s="2126">
        <v>2213.9866666666667</v>
      </c>
      <c r="BJ1093" s="2126">
        <v>2213.9866666666667</v>
      </c>
      <c r="BK1093" s="2126">
        <v>0</v>
      </c>
      <c r="BL1093" s="2126">
        <v>0</v>
      </c>
      <c r="BM1093" s="2126">
        <v>0</v>
      </c>
      <c r="BN1093" s="2126">
        <v>0</v>
      </c>
      <c r="BO1093" s="2126">
        <v>0</v>
      </c>
      <c r="BP1093" s="2126">
        <v>0</v>
      </c>
      <c r="BQ1093" s="2126">
        <v>0</v>
      </c>
      <c r="BR1093" s="2126">
        <v>0</v>
      </c>
    </row>
    <row r="1094" spans="1:70" s="1765" customFormat="1" ht="33">
      <c r="A1094" s="1272">
        <v>4000</v>
      </c>
      <c r="B1094" s="971" t="s">
        <v>1316</v>
      </c>
      <c r="C1094" s="1272">
        <v>4700</v>
      </c>
      <c r="D1094" s="971" t="s">
        <v>912</v>
      </c>
      <c r="E1094" s="971">
        <v>4720</v>
      </c>
      <c r="F1094" s="971" t="s">
        <v>923</v>
      </c>
      <c r="G1094" s="971">
        <v>4720</v>
      </c>
      <c r="H1094" s="971" t="s">
        <v>923</v>
      </c>
      <c r="I1094" s="1273" t="s">
        <v>1984</v>
      </c>
      <c r="J1094" s="971" t="s">
        <v>177</v>
      </c>
      <c r="K1094" s="971" t="s">
        <v>530</v>
      </c>
      <c r="L1094" s="971" t="s">
        <v>531</v>
      </c>
      <c r="M1094" s="971" t="s">
        <v>530</v>
      </c>
      <c r="N1094" s="971" t="s">
        <v>179</v>
      </c>
      <c r="O1094" s="971" t="s">
        <v>531</v>
      </c>
      <c r="P1094" s="971"/>
      <c r="Q1094" s="971" t="s">
        <v>944</v>
      </c>
      <c r="R1094" s="1266" t="s">
        <v>1985</v>
      </c>
      <c r="S1094" s="2106">
        <v>1</v>
      </c>
      <c r="T1094" s="1266" t="s">
        <v>242</v>
      </c>
      <c r="U1094" s="1742">
        <v>31</v>
      </c>
      <c r="V1094" s="1742">
        <v>325</v>
      </c>
      <c r="W1094" s="1742">
        <v>2732.34</v>
      </c>
      <c r="X1094" s="1742">
        <v>3584.62</v>
      </c>
      <c r="Y1094" s="2106">
        <v>6641.9599999999991</v>
      </c>
      <c r="Z1094" s="2106">
        <v>31</v>
      </c>
      <c r="AA1094" s="2106">
        <v>325</v>
      </c>
      <c r="AB1094" s="2106">
        <v>2732.34</v>
      </c>
      <c r="AC1094" s="2106">
        <v>3584.62</v>
      </c>
      <c r="AD1094" s="1744">
        <v>6641.96</v>
      </c>
      <c r="AE1094" s="2126">
        <v>2</v>
      </c>
      <c r="AF1094" s="2126">
        <v>2</v>
      </c>
      <c r="AG1094" s="1212">
        <v>1</v>
      </c>
      <c r="AH1094" s="1212">
        <v>0</v>
      </c>
      <c r="AI1094" s="1212">
        <v>0</v>
      </c>
      <c r="AJ1094" s="1212">
        <v>1</v>
      </c>
      <c r="AK1094" s="2126">
        <v>6641.96</v>
      </c>
      <c r="AL1094" s="2126">
        <v>0</v>
      </c>
      <c r="AM1094" s="2126">
        <v>0</v>
      </c>
      <c r="AN1094" s="2126">
        <v>6641.96</v>
      </c>
      <c r="AO1094" s="1743" t="s">
        <v>85</v>
      </c>
      <c r="AP1094" s="1743"/>
      <c r="AQ1094" s="1764">
        <v>2014</v>
      </c>
      <c r="AR1094" s="1743" t="s">
        <v>87</v>
      </c>
      <c r="AS1094" s="2135"/>
      <c r="AT1094" s="2135"/>
      <c r="AU1094" s="1212">
        <v>0.33333333333333331</v>
      </c>
      <c r="AV1094" s="1212">
        <v>0.33333333333333331</v>
      </c>
      <c r="AW1094" s="1212">
        <v>0.33333333333333331</v>
      </c>
      <c r="AX1094" s="1212"/>
      <c r="AY1094" s="1212"/>
      <c r="AZ1094" s="1212"/>
      <c r="BA1094" s="1212"/>
      <c r="BB1094" s="1212"/>
      <c r="BC1094" s="1212"/>
      <c r="BD1094" s="1212"/>
      <c r="BE1094" s="1212"/>
      <c r="BF1094" s="2126">
        <v>0</v>
      </c>
      <c r="BG1094" s="2126">
        <v>0</v>
      </c>
      <c r="BH1094" s="2126">
        <v>2213.9866666666667</v>
      </c>
      <c r="BI1094" s="2126">
        <v>2213.9866666666667</v>
      </c>
      <c r="BJ1094" s="2126">
        <v>2213.9866666666667</v>
      </c>
      <c r="BK1094" s="2126">
        <v>0</v>
      </c>
      <c r="BL1094" s="2126">
        <v>0</v>
      </c>
      <c r="BM1094" s="2126">
        <v>0</v>
      </c>
      <c r="BN1094" s="2126">
        <v>0</v>
      </c>
      <c r="BO1094" s="2126">
        <v>0</v>
      </c>
      <c r="BP1094" s="2126">
        <v>0</v>
      </c>
      <c r="BQ1094" s="2126">
        <v>0</v>
      </c>
      <c r="BR1094" s="2126">
        <v>0</v>
      </c>
    </row>
    <row r="1095" spans="1:70" s="1765" customFormat="1" ht="33">
      <c r="A1095" s="1272">
        <v>4000</v>
      </c>
      <c r="B1095" s="971" t="s">
        <v>1316</v>
      </c>
      <c r="C1095" s="1272">
        <v>4700</v>
      </c>
      <c r="D1095" s="971" t="s">
        <v>912</v>
      </c>
      <c r="E1095" s="971">
        <v>4720</v>
      </c>
      <c r="F1095" s="971" t="s">
        <v>923</v>
      </c>
      <c r="G1095" s="971">
        <v>4720</v>
      </c>
      <c r="H1095" s="971" t="s">
        <v>923</v>
      </c>
      <c r="I1095" s="1273" t="s">
        <v>1986</v>
      </c>
      <c r="J1095" s="971" t="s">
        <v>177</v>
      </c>
      <c r="K1095" s="971" t="s">
        <v>530</v>
      </c>
      <c r="L1095" s="971" t="s">
        <v>531</v>
      </c>
      <c r="M1095" s="971" t="s">
        <v>530</v>
      </c>
      <c r="N1095" s="971" t="s">
        <v>179</v>
      </c>
      <c r="O1095" s="971" t="s">
        <v>531</v>
      </c>
      <c r="P1095" s="971"/>
      <c r="Q1095" s="971" t="s">
        <v>947</v>
      </c>
      <c r="R1095" s="1266" t="s">
        <v>1987</v>
      </c>
      <c r="S1095" s="2106">
        <v>1</v>
      </c>
      <c r="T1095" s="1266" t="s">
        <v>242</v>
      </c>
      <c r="U1095" s="1742">
        <v>31</v>
      </c>
      <c r="V1095" s="1742">
        <v>325</v>
      </c>
      <c r="W1095" s="1742">
        <v>2732.34</v>
      </c>
      <c r="X1095" s="1742">
        <v>3584.62</v>
      </c>
      <c r="Y1095" s="2106">
        <v>6641.9599999999991</v>
      </c>
      <c r="Z1095" s="2106">
        <v>31</v>
      </c>
      <c r="AA1095" s="2106">
        <v>325</v>
      </c>
      <c r="AB1095" s="2106">
        <v>2732.34</v>
      </c>
      <c r="AC1095" s="2106">
        <v>3584.62</v>
      </c>
      <c r="AD1095" s="1744">
        <v>6641.96</v>
      </c>
      <c r="AE1095" s="2126">
        <v>2</v>
      </c>
      <c r="AF1095" s="2126">
        <v>2</v>
      </c>
      <c r="AG1095" s="1212">
        <v>1</v>
      </c>
      <c r="AH1095" s="1212">
        <v>0</v>
      </c>
      <c r="AI1095" s="1212">
        <v>0</v>
      </c>
      <c r="AJ1095" s="1212">
        <v>1</v>
      </c>
      <c r="AK1095" s="2126">
        <v>6641.96</v>
      </c>
      <c r="AL1095" s="2126">
        <v>0</v>
      </c>
      <c r="AM1095" s="2126">
        <v>0</v>
      </c>
      <c r="AN1095" s="2126">
        <v>6641.96</v>
      </c>
      <c r="AO1095" s="1743" t="s">
        <v>85</v>
      </c>
      <c r="AP1095" s="1743"/>
      <c r="AQ1095" s="1764">
        <v>2014</v>
      </c>
      <c r="AR1095" s="1743" t="s">
        <v>87</v>
      </c>
      <c r="AS1095" s="2135"/>
      <c r="AT1095" s="2135"/>
      <c r="AU1095" s="1212">
        <v>0.33333333333333331</v>
      </c>
      <c r="AV1095" s="1212">
        <v>0.33333333333333331</v>
      </c>
      <c r="AW1095" s="1212">
        <v>0.33333333333333331</v>
      </c>
      <c r="AX1095" s="1212"/>
      <c r="AY1095" s="1212"/>
      <c r="AZ1095" s="1212"/>
      <c r="BA1095" s="1212"/>
      <c r="BB1095" s="1212"/>
      <c r="BC1095" s="1212"/>
      <c r="BD1095" s="1212"/>
      <c r="BE1095" s="1212"/>
      <c r="BF1095" s="2126">
        <v>0</v>
      </c>
      <c r="BG1095" s="2126">
        <v>0</v>
      </c>
      <c r="BH1095" s="2126">
        <v>2213.9866666666667</v>
      </c>
      <c r="BI1095" s="2126">
        <v>2213.9866666666667</v>
      </c>
      <c r="BJ1095" s="2126">
        <v>2213.9866666666667</v>
      </c>
      <c r="BK1095" s="2126">
        <v>0</v>
      </c>
      <c r="BL1095" s="2126">
        <v>0</v>
      </c>
      <c r="BM1095" s="2126">
        <v>0</v>
      </c>
      <c r="BN1095" s="2126">
        <v>0</v>
      </c>
      <c r="BO1095" s="2126">
        <v>0</v>
      </c>
      <c r="BP1095" s="2126">
        <v>0</v>
      </c>
      <c r="BQ1095" s="2126">
        <v>0</v>
      </c>
      <c r="BR1095" s="2126">
        <v>0</v>
      </c>
    </row>
    <row r="1096" spans="1:70" s="1765" customFormat="1" ht="33">
      <c r="A1096" s="1272">
        <v>4000</v>
      </c>
      <c r="B1096" s="971" t="s">
        <v>1316</v>
      </c>
      <c r="C1096" s="1272">
        <v>4700</v>
      </c>
      <c r="D1096" s="971" t="s">
        <v>912</v>
      </c>
      <c r="E1096" s="971" t="s">
        <v>1973</v>
      </c>
      <c r="F1096" s="971" t="s">
        <v>923</v>
      </c>
      <c r="G1096" s="971">
        <v>4720</v>
      </c>
      <c r="H1096" s="971" t="s">
        <v>923</v>
      </c>
      <c r="I1096" s="1273" t="s">
        <v>1988</v>
      </c>
      <c r="J1096" s="971" t="s">
        <v>124</v>
      </c>
      <c r="K1096" s="971" t="s">
        <v>140</v>
      </c>
      <c r="L1096" s="971" t="s">
        <v>2909</v>
      </c>
      <c r="M1096" s="971" t="s">
        <v>140</v>
      </c>
      <c r="N1096" s="971" t="s">
        <v>141</v>
      </c>
      <c r="O1096" s="971" t="s">
        <v>142</v>
      </c>
      <c r="P1096" s="971"/>
      <c r="Q1096" s="971" t="s">
        <v>953</v>
      </c>
      <c r="R1096" s="1266" t="s">
        <v>1975</v>
      </c>
      <c r="S1096" s="2106">
        <v>390.33457249070631</v>
      </c>
      <c r="T1096" s="1266" t="s">
        <v>136</v>
      </c>
      <c r="U1096" s="1742">
        <v>0</v>
      </c>
      <c r="V1096" s="1742">
        <v>0</v>
      </c>
      <c r="W1096" s="1742">
        <v>0</v>
      </c>
      <c r="X1096" s="1742">
        <v>0</v>
      </c>
      <c r="Y1096" s="2106">
        <v>0</v>
      </c>
      <c r="Z1096" s="2106">
        <v>0</v>
      </c>
      <c r="AA1096" s="2106">
        <v>0</v>
      </c>
      <c r="AB1096" s="2106">
        <v>0</v>
      </c>
      <c r="AC1096" s="2106">
        <v>0</v>
      </c>
      <c r="AD1096" s="1744">
        <v>0</v>
      </c>
      <c r="AE1096" s="2126">
        <v>0</v>
      </c>
      <c r="AF1096" s="2126">
        <v>0</v>
      </c>
      <c r="AG1096" s="1212">
        <v>1</v>
      </c>
      <c r="AH1096" s="1212">
        <v>0</v>
      </c>
      <c r="AI1096" s="1212">
        <v>0</v>
      </c>
      <c r="AJ1096" s="1212">
        <v>1</v>
      </c>
      <c r="AK1096" s="2126">
        <v>0</v>
      </c>
      <c r="AL1096" s="2126">
        <v>0</v>
      </c>
      <c r="AM1096" s="2126">
        <v>0</v>
      </c>
      <c r="AN1096" s="2126">
        <v>0</v>
      </c>
      <c r="AO1096" s="1743" t="s">
        <v>85</v>
      </c>
      <c r="AP1096" s="1743"/>
      <c r="AQ1096" s="1764">
        <v>2014</v>
      </c>
      <c r="AR1096" s="1743" t="s">
        <v>87</v>
      </c>
      <c r="AS1096" s="2135"/>
      <c r="AT1096" s="2135"/>
      <c r="AU1096" s="1212">
        <v>0.33333333333333331</v>
      </c>
      <c r="AV1096" s="1212">
        <v>0.33333333333333331</v>
      </c>
      <c r="AW1096" s="1212">
        <v>0.33333333333333331</v>
      </c>
      <c r="AX1096" s="1212"/>
      <c r="AY1096" s="1212"/>
      <c r="AZ1096" s="1212"/>
      <c r="BA1096" s="1212"/>
      <c r="BB1096" s="1212"/>
      <c r="BC1096" s="1212"/>
      <c r="BD1096" s="1212"/>
      <c r="BE1096" s="1212"/>
      <c r="BF1096" s="2126">
        <v>0</v>
      </c>
      <c r="BG1096" s="2126">
        <v>0</v>
      </c>
      <c r="BH1096" s="2126">
        <v>0</v>
      </c>
      <c r="BI1096" s="2126">
        <v>0</v>
      </c>
      <c r="BJ1096" s="2126">
        <v>0</v>
      </c>
      <c r="BK1096" s="2126">
        <v>0</v>
      </c>
      <c r="BL1096" s="2126">
        <v>0</v>
      </c>
      <c r="BM1096" s="2126">
        <v>0</v>
      </c>
      <c r="BN1096" s="2126">
        <v>0</v>
      </c>
      <c r="BO1096" s="2126">
        <v>0</v>
      </c>
      <c r="BP1096" s="2126">
        <v>0</v>
      </c>
      <c r="BQ1096" s="2126">
        <v>0</v>
      </c>
      <c r="BR1096" s="2126">
        <v>0</v>
      </c>
    </row>
    <row r="1097" spans="1:70" s="1765" customFormat="1" ht="33">
      <c r="A1097" s="1272">
        <v>4000</v>
      </c>
      <c r="B1097" s="971" t="s">
        <v>1316</v>
      </c>
      <c r="C1097" s="1272">
        <v>4700</v>
      </c>
      <c r="D1097" s="971" t="s">
        <v>912</v>
      </c>
      <c r="E1097" s="971">
        <v>4720</v>
      </c>
      <c r="F1097" s="971" t="s">
        <v>923</v>
      </c>
      <c r="G1097" s="971">
        <v>4720</v>
      </c>
      <c r="H1097" s="971" t="s">
        <v>923</v>
      </c>
      <c r="I1097" s="1273"/>
      <c r="J1097" s="971" t="s">
        <v>121</v>
      </c>
      <c r="K1097" s="971" t="s">
        <v>150</v>
      </c>
      <c r="L1097" s="971" t="s">
        <v>2800</v>
      </c>
      <c r="M1097" s="971" t="s">
        <v>80</v>
      </c>
      <c r="N1097" s="971" t="s">
        <v>83</v>
      </c>
      <c r="O1097" s="971" t="s">
        <v>151</v>
      </c>
      <c r="P1097" s="971" t="s">
        <v>152</v>
      </c>
      <c r="Q1097" s="971" t="s">
        <v>1989</v>
      </c>
      <c r="R1097" s="1266"/>
      <c r="S1097" s="2106">
        <v>20800</v>
      </c>
      <c r="T1097" s="1266" t="s">
        <v>136</v>
      </c>
      <c r="U1097" s="1742">
        <v>1.2691883296460175E-2</v>
      </c>
      <c r="V1097" s="1742">
        <v>0.14624999999999999</v>
      </c>
      <c r="W1097" s="1742">
        <v>1.1186625937499999</v>
      </c>
      <c r="X1097" s="1742">
        <v>0.4015178457754629</v>
      </c>
      <c r="Y1097" s="2106">
        <v>1.6649423457754629</v>
      </c>
      <c r="Z1097" s="2106">
        <v>263.99117256637163</v>
      </c>
      <c r="AA1097" s="2106">
        <v>3042</v>
      </c>
      <c r="AB1097" s="2106">
        <v>23268.181949999998</v>
      </c>
      <c r="AC1097" s="2106">
        <v>8351.5711921296279</v>
      </c>
      <c r="AD1097" s="1744">
        <v>34630.80079212963</v>
      </c>
      <c r="AE1097" s="2126">
        <v>0</v>
      </c>
      <c r="AF1097" s="2126">
        <v>0</v>
      </c>
      <c r="AG1097" s="1212">
        <v>1</v>
      </c>
      <c r="AH1097" s="1212">
        <v>0</v>
      </c>
      <c r="AI1097" s="1212">
        <v>0</v>
      </c>
      <c r="AJ1097" s="1212">
        <v>1</v>
      </c>
      <c r="AK1097" s="2126">
        <v>34630.80079212963</v>
      </c>
      <c r="AL1097" s="2126">
        <v>0</v>
      </c>
      <c r="AM1097" s="2126">
        <v>0</v>
      </c>
      <c r="AN1097" s="2126">
        <v>34630.80079212963</v>
      </c>
      <c r="AO1097" s="1743" t="s">
        <v>85</v>
      </c>
      <c r="AP1097" s="1743"/>
      <c r="AQ1097" s="1764" t="s">
        <v>107</v>
      </c>
      <c r="AR1097" s="1743" t="s">
        <v>87</v>
      </c>
      <c r="AS1097" s="2135"/>
      <c r="AT1097" s="2135"/>
      <c r="AU1097" s="1212">
        <v>0.33333333333333331</v>
      </c>
      <c r="AV1097" s="1212">
        <v>0.33333333333333331</v>
      </c>
      <c r="AW1097" s="1212">
        <v>0.33333333333333331</v>
      </c>
      <c r="AX1097" s="1212"/>
      <c r="AY1097" s="1212"/>
      <c r="AZ1097" s="1212"/>
      <c r="BA1097" s="1212"/>
      <c r="BB1097" s="1212"/>
      <c r="BC1097" s="1212"/>
      <c r="BD1097" s="1212"/>
      <c r="BE1097" s="1212"/>
      <c r="BF1097" s="2126">
        <v>0</v>
      </c>
      <c r="BG1097" s="2126">
        <v>0</v>
      </c>
      <c r="BH1097" s="2126">
        <v>11543.600264043209</v>
      </c>
      <c r="BI1097" s="2126">
        <v>11543.600264043209</v>
      </c>
      <c r="BJ1097" s="2126">
        <v>11543.600264043209</v>
      </c>
      <c r="BK1097" s="2126">
        <v>0</v>
      </c>
      <c r="BL1097" s="2126">
        <v>0</v>
      </c>
      <c r="BM1097" s="2126">
        <v>0</v>
      </c>
      <c r="BN1097" s="2126">
        <v>0</v>
      </c>
      <c r="BO1097" s="2126">
        <v>0</v>
      </c>
      <c r="BP1097" s="2126">
        <v>0</v>
      </c>
      <c r="BQ1097" s="2126">
        <v>0</v>
      </c>
      <c r="BR1097" s="2126">
        <v>0</v>
      </c>
    </row>
    <row r="1098" spans="1:70" s="1765" customFormat="1" ht="33">
      <c r="A1098" s="1272">
        <v>4000</v>
      </c>
      <c r="B1098" s="971" t="s">
        <v>1316</v>
      </c>
      <c r="C1098" s="1272">
        <v>4700</v>
      </c>
      <c r="D1098" s="971" t="s">
        <v>912</v>
      </c>
      <c r="E1098" s="971">
        <v>4720</v>
      </c>
      <c r="F1098" s="971" t="s">
        <v>923</v>
      </c>
      <c r="G1098" s="971">
        <v>4720</v>
      </c>
      <c r="H1098" s="971" t="s">
        <v>923</v>
      </c>
      <c r="I1098" s="1273"/>
      <c r="J1098" s="971" t="s">
        <v>177</v>
      </c>
      <c r="K1098" s="971" t="s">
        <v>530</v>
      </c>
      <c r="L1098" s="971" t="s">
        <v>531</v>
      </c>
      <c r="M1098" s="971" t="s">
        <v>530</v>
      </c>
      <c r="N1098" s="971" t="s">
        <v>179</v>
      </c>
      <c r="O1098" s="971" t="s">
        <v>531</v>
      </c>
      <c r="P1098" s="971"/>
      <c r="Q1098" s="971" t="s">
        <v>1990</v>
      </c>
      <c r="R1098" s="1266"/>
      <c r="S1098" s="2106">
        <v>1</v>
      </c>
      <c r="T1098" s="1266" t="s">
        <v>242</v>
      </c>
      <c r="U1098" s="1742">
        <v>31</v>
      </c>
      <c r="V1098" s="1742">
        <v>325</v>
      </c>
      <c r="W1098" s="1742">
        <v>2732.34</v>
      </c>
      <c r="X1098" s="1742">
        <v>3584.62</v>
      </c>
      <c r="Y1098" s="2106">
        <v>6641.9599999999991</v>
      </c>
      <c r="Z1098" s="2106">
        <v>31</v>
      </c>
      <c r="AA1098" s="2106">
        <v>325</v>
      </c>
      <c r="AB1098" s="2106">
        <v>2732.34</v>
      </c>
      <c r="AC1098" s="2106">
        <v>3584.62</v>
      </c>
      <c r="AD1098" s="1744">
        <v>6641.9599999999991</v>
      </c>
      <c r="AE1098" s="2126">
        <v>2</v>
      </c>
      <c r="AF1098" s="2126">
        <v>2</v>
      </c>
      <c r="AG1098" s="1212">
        <v>1</v>
      </c>
      <c r="AH1098" s="1212">
        <v>0</v>
      </c>
      <c r="AI1098" s="1212">
        <v>0</v>
      </c>
      <c r="AJ1098" s="1212">
        <v>1</v>
      </c>
      <c r="AK1098" s="2126">
        <v>6641.9599999999991</v>
      </c>
      <c r="AL1098" s="2126">
        <v>0</v>
      </c>
      <c r="AM1098" s="2126">
        <v>0</v>
      </c>
      <c r="AN1098" s="2126">
        <v>6641.9599999999991</v>
      </c>
      <c r="AO1098" s="1743" t="s">
        <v>85</v>
      </c>
      <c r="AP1098" s="1743" t="s">
        <v>955</v>
      </c>
      <c r="AQ1098" s="1764" t="s">
        <v>107</v>
      </c>
      <c r="AR1098" s="1743" t="s">
        <v>87</v>
      </c>
      <c r="AS1098" s="2135"/>
      <c r="AT1098" s="2135"/>
      <c r="AU1098" s="1212">
        <v>0.33333333333333331</v>
      </c>
      <c r="AV1098" s="1212">
        <v>0.33333333333333331</v>
      </c>
      <c r="AW1098" s="1212">
        <v>0.33333333333333331</v>
      </c>
      <c r="AX1098" s="1212"/>
      <c r="AY1098" s="1212"/>
      <c r="AZ1098" s="1212"/>
      <c r="BA1098" s="1212"/>
      <c r="BB1098" s="1212"/>
      <c r="BC1098" s="1212"/>
      <c r="BD1098" s="1212"/>
      <c r="BE1098" s="1212"/>
      <c r="BF1098" s="2126">
        <v>0</v>
      </c>
      <c r="BG1098" s="2126">
        <v>0</v>
      </c>
      <c r="BH1098" s="2126">
        <v>2213.9866666666662</v>
      </c>
      <c r="BI1098" s="2126">
        <v>2213.9866666666662</v>
      </c>
      <c r="BJ1098" s="2126">
        <v>2213.9866666666662</v>
      </c>
      <c r="BK1098" s="2126">
        <v>0</v>
      </c>
      <c r="BL1098" s="2126">
        <v>0</v>
      </c>
      <c r="BM1098" s="2126">
        <v>0</v>
      </c>
      <c r="BN1098" s="2126">
        <v>0</v>
      </c>
      <c r="BO1098" s="2126">
        <v>0</v>
      </c>
      <c r="BP1098" s="2126">
        <v>0</v>
      </c>
      <c r="BQ1098" s="2126">
        <v>0</v>
      </c>
      <c r="BR1098" s="2126">
        <v>0</v>
      </c>
    </row>
    <row r="1099" spans="1:70" s="1765" customFormat="1" ht="33">
      <c r="A1099" s="1272">
        <v>4000</v>
      </c>
      <c r="B1099" s="971" t="s">
        <v>1316</v>
      </c>
      <c r="C1099" s="1272">
        <v>4700</v>
      </c>
      <c r="D1099" s="971" t="s">
        <v>912</v>
      </c>
      <c r="E1099" s="971">
        <v>4720</v>
      </c>
      <c r="F1099" s="971" t="s">
        <v>923</v>
      </c>
      <c r="G1099" s="971">
        <v>4720</v>
      </c>
      <c r="H1099" s="971" t="s">
        <v>923</v>
      </c>
      <c r="I1099" s="1273"/>
      <c r="J1099" s="971" t="s">
        <v>177</v>
      </c>
      <c r="K1099" s="971" t="s">
        <v>530</v>
      </c>
      <c r="L1099" s="971" t="s">
        <v>531</v>
      </c>
      <c r="M1099" s="971" t="s">
        <v>530</v>
      </c>
      <c r="N1099" s="971" t="s">
        <v>179</v>
      </c>
      <c r="O1099" s="971" t="s">
        <v>531</v>
      </c>
      <c r="P1099" s="971"/>
      <c r="Q1099" s="971" t="s">
        <v>1991</v>
      </c>
      <c r="R1099" s="1266"/>
      <c r="S1099" s="2106">
        <v>1</v>
      </c>
      <c r="T1099" s="1266" t="s">
        <v>242</v>
      </c>
      <c r="U1099" s="1742">
        <v>31</v>
      </c>
      <c r="V1099" s="1742">
        <v>325</v>
      </c>
      <c r="W1099" s="1742">
        <v>2732.34</v>
      </c>
      <c r="X1099" s="1742">
        <v>3584.62</v>
      </c>
      <c r="Y1099" s="2106">
        <v>6641.9599999999991</v>
      </c>
      <c r="Z1099" s="2106">
        <v>31</v>
      </c>
      <c r="AA1099" s="2106">
        <v>325</v>
      </c>
      <c r="AB1099" s="2106">
        <v>2732.34</v>
      </c>
      <c r="AC1099" s="2106">
        <v>3584.62</v>
      </c>
      <c r="AD1099" s="1744">
        <v>6641.9599999999991</v>
      </c>
      <c r="AE1099" s="2126">
        <v>2</v>
      </c>
      <c r="AF1099" s="2126">
        <v>2</v>
      </c>
      <c r="AG1099" s="1212">
        <v>1</v>
      </c>
      <c r="AH1099" s="1212">
        <v>0</v>
      </c>
      <c r="AI1099" s="1212">
        <v>0</v>
      </c>
      <c r="AJ1099" s="1212">
        <v>1</v>
      </c>
      <c r="AK1099" s="2126">
        <v>6641.9599999999991</v>
      </c>
      <c r="AL1099" s="2126">
        <v>0</v>
      </c>
      <c r="AM1099" s="2126">
        <v>0</v>
      </c>
      <c r="AN1099" s="2126">
        <v>6641.9599999999991</v>
      </c>
      <c r="AO1099" s="1743" t="s">
        <v>85</v>
      </c>
      <c r="AP1099" s="1743" t="s">
        <v>955</v>
      </c>
      <c r="AQ1099" s="1764" t="s">
        <v>107</v>
      </c>
      <c r="AR1099" s="1743" t="s">
        <v>87</v>
      </c>
      <c r="AS1099" s="2135"/>
      <c r="AT1099" s="2135"/>
      <c r="AU1099" s="1212">
        <v>0.33333333333333331</v>
      </c>
      <c r="AV1099" s="1212">
        <v>0.33333333333333331</v>
      </c>
      <c r="AW1099" s="1212">
        <v>0.33333333333333331</v>
      </c>
      <c r="AX1099" s="1212"/>
      <c r="AY1099" s="1212"/>
      <c r="AZ1099" s="1212"/>
      <c r="BA1099" s="1212"/>
      <c r="BB1099" s="1212"/>
      <c r="BC1099" s="1212"/>
      <c r="BD1099" s="1212"/>
      <c r="BE1099" s="1212"/>
      <c r="BF1099" s="2126">
        <v>0</v>
      </c>
      <c r="BG1099" s="2126">
        <v>0</v>
      </c>
      <c r="BH1099" s="2126">
        <v>2213.9866666666662</v>
      </c>
      <c r="BI1099" s="2126">
        <v>2213.9866666666662</v>
      </c>
      <c r="BJ1099" s="2126">
        <v>2213.9866666666662</v>
      </c>
      <c r="BK1099" s="2126">
        <v>0</v>
      </c>
      <c r="BL1099" s="2126">
        <v>0</v>
      </c>
      <c r="BM1099" s="2126">
        <v>0</v>
      </c>
      <c r="BN1099" s="2126">
        <v>0</v>
      </c>
      <c r="BO1099" s="2126">
        <v>0</v>
      </c>
      <c r="BP1099" s="2126">
        <v>0</v>
      </c>
      <c r="BQ1099" s="2126">
        <v>0</v>
      </c>
      <c r="BR1099" s="2126">
        <v>0</v>
      </c>
    </row>
    <row r="1100" spans="1:70" s="1765" customFormat="1" ht="33">
      <c r="A1100" s="1272">
        <v>4000</v>
      </c>
      <c r="B1100" s="971" t="s">
        <v>1316</v>
      </c>
      <c r="C1100" s="1272">
        <v>4700</v>
      </c>
      <c r="D1100" s="971" t="s">
        <v>912</v>
      </c>
      <c r="E1100" s="971">
        <v>4720</v>
      </c>
      <c r="F1100" s="971" t="s">
        <v>923</v>
      </c>
      <c r="G1100" s="971">
        <v>4720</v>
      </c>
      <c r="H1100" s="971" t="s">
        <v>923</v>
      </c>
      <c r="I1100" s="1273"/>
      <c r="J1100" s="971" t="s">
        <v>799</v>
      </c>
      <c r="K1100" s="971" t="s">
        <v>931</v>
      </c>
      <c r="L1100" s="971" t="s">
        <v>2895</v>
      </c>
      <c r="M1100" s="971" t="s">
        <v>931</v>
      </c>
      <c r="N1100" s="971" t="s">
        <v>269</v>
      </c>
      <c r="O1100" s="971" t="s">
        <v>932</v>
      </c>
      <c r="P1100" s="971"/>
      <c r="Q1100" s="971" t="s">
        <v>1992</v>
      </c>
      <c r="R1100" s="1266"/>
      <c r="S1100" s="2106">
        <v>0</v>
      </c>
      <c r="T1100" s="1266" t="s">
        <v>2700</v>
      </c>
      <c r="U1100" s="1742">
        <v>47</v>
      </c>
      <c r="V1100" s="1742">
        <v>400</v>
      </c>
      <c r="W1100" s="1742">
        <v>4142.58</v>
      </c>
      <c r="X1100" s="1742">
        <v>4411.84</v>
      </c>
      <c r="Y1100" s="2106">
        <v>8954.4199999999983</v>
      </c>
      <c r="Z1100" s="2106">
        <v>0</v>
      </c>
      <c r="AA1100" s="2106">
        <v>0</v>
      </c>
      <c r="AB1100" s="2106">
        <v>0</v>
      </c>
      <c r="AC1100" s="2106">
        <v>0</v>
      </c>
      <c r="AD1100" s="2132">
        <v>0</v>
      </c>
      <c r="AE1100" s="2126">
        <v>329.26829268292681</v>
      </c>
      <c r="AF1100" s="2126">
        <v>0</v>
      </c>
      <c r="AG1100" s="1212">
        <v>1</v>
      </c>
      <c r="AH1100" s="1212">
        <v>0</v>
      </c>
      <c r="AI1100" s="1212">
        <v>1</v>
      </c>
      <c r="AJ1100" s="1212">
        <v>0</v>
      </c>
      <c r="AK1100" s="2126">
        <v>0</v>
      </c>
      <c r="AL1100" s="2126">
        <v>0</v>
      </c>
      <c r="AM1100" s="2126">
        <v>0</v>
      </c>
      <c r="AN1100" s="2126">
        <v>0</v>
      </c>
      <c r="AO1100" s="1743" t="s">
        <v>85</v>
      </c>
      <c r="AP1100" s="1743" t="s">
        <v>96</v>
      </c>
      <c r="AQ1100" s="1764" t="s">
        <v>107</v>
      </c>
      <c r="AR1100" s="1743" t="s">
        <v>87</v>
      </c>
      <c r="AS1100" s="2135"/>
      <c r="AT1100" s="2135"/>
      <c r="AU1100" s="1212">
        <v>0.33333333333333331</v>
      </c>
      <c r="AV1100" s="1212">
        <v>0.33333333333333331</v>
      </c>
      <c r="AW1100" s="1212">
        <v>0.33333333333333331</v>
      </c>
      <c r="AX1100" s="1212"/>
      <c r="AY1100" s="1212"/>
      <c r="AZ1100" s="1212"/>
      <c r="BA1100" s="1212"/>
      <c r="BB1100" s="1212"/>
      <c r="BC1100" s="1212"/>
      <c r="BD1100" s="1212"/>
      <c r="BE1100" s="1212"/>
      <c r="BF1100" s="2126">
        <v>0</v>
      </c>
      <c r="BG1100" s="2126">
        <v>0</v>
      </c>
      <c r="BH1100" s="2126">
        <v>0</v>
      </c>
      <c r="BI1100" s="2126">
        <v>0</v>
      </c>
      <c r="BJ1100" s="2126">
        <v>0</v>
      </c>
      <c r="BK1100" s="2126">
        <v>0</v>
      </c>
      <c r="BL1100" s="2126">
        <v>0</v>
      </c>
      <c r="BM1100" s="2126">
        <v>0</v>
      </c>
      <c r="BN1100" s="2126">
        <v>0</v>
      </c>
      <c r="BO1100" s="2126">
        <v>0</v>
      </c>
      <c r="BP1100" s="2126">
        <v>0</v>
      </c>
      <c r="BQ1100" s="2126">
        <v>0</v>
      </c>
      <c r="BR1100" s="2126">
        <v>0</v>
      </c>
    </row>
    <row r="1101" spans="1:70" s="1765" customFormat="1" ht="49.5">
      <c r="A1101" s="1272">
        <v>4000</v>
      </c>
      <c r="B1101" s="971" t="s">
        <v>1316</v>
      </c>
      <c r="C1101" s="1272">
        <v>4700</v>
      </c>
      <c r="D1101" s="971" t="s">
        <v>912</v>
      </c>
      <c r="E1101" s="971">
        <v>4720</v>
      </c>
      <c r="F1101" s="971" t="s">
        <v>923</v>
      </c>
      <c r="G1101" s="971">
        <v>4720</v>
      </c>
      <c r="H1101" s="971" t="s">
        <v>923</v>
      </c>
      <c r="I1101" s="1273"/>
      <c r="J1101" s="971" t="s">
        <v>799</v>
      </c>
      <c r="K1101" s="971" t="s">
        <v>1993</v>
      </c>
      <c r="L1101" s="971" t="s">
        <v>2906</v>
      </c>
      <c r="M1101" s="971" t="s">
        <v>1993</v>
      </c>
      <c r="N1101" s="971" t="s">
        <v>269</v>
      </c>
      <c r="O1101" s="971" t="s">
        <v>1994</v>
      </c>
      <c r="P1101" s="971"/>
      <c r="Q1101" s="971" t="s">
        <v>1995</v>
      </c>
      <c r="R1101" s="1266"/>
      <c r="S1101" s="2106">
        <v>1</v>
      </c>
      <c r="T1101" s="1266" t="s">
        <v>2700</v>
      </c>
      <c r="U1101" s="1742">
        <v>340</v>
      </c>
      <c r="V1101" s="1742">
        <v>3625</v>
      </c>
      <c r="W1101" s="1742">
        <v>29967.599999999999</v>
      </c>
      <c r="X1101" s="1742">
        <v>39982.300000000003</v>
      </c>
      <c r="Y1101" s="2106">
        <v>69949.899999999994</v>
      </c>
      <c r="Z1101" s="2106">
        <v>340</v>
      </c>
      <c r="AA1101" s="2106">
        <v>3625</v>
      </c>
      <c r="AB1101" s="2106">
        <v>29967.599999999999</v>
      </c>
      <c r="AC1101" s="2106">
        <v>39982.300000000003</v>
      </c>
      <c r="AD1101" s="2132">
        <v>69949.899999999994</v>
      </c>
      <c r="AE1101" s="2126">
        <v>329.26829268292681</v>
      </c>
      <c r="AF1101" s="2126">
        <v>329.26829268292681</v>
      </c>
      <c r="AG1101" s="1212">
        <v>1</v>
      </c>
      <c r="AH1101" s="1212">
        <v>0</v>
      </c>
      <c r="AI1101" s="1212">
        <v>1</v>
      </c>
      <c r="AJ1101" s="1212">
        <v>0</v>
      </c>
      <c r="AK1101" s="2126">
        <v>69949.899999999994</v>
      </c>
      <c r="AL1101" s="2126">
        <v>0</v>
      </c>
      <c r="AM1101" s="2126">
        <v>69949.899999999994</v>
      </c>
      <c r="AN1101" s="2126">
        <v>0</v>
      </c>
      <c r="AO1101" s="1743" t="s">
        <v>85</v>
      </c>
      <c r="AP1101" s="1743"/>
      <c r="AQ1101" s="1764" t="s">
        <v>105</v>
      </c>
      <c r="AR1101" s="1743" t="s">
        <v>87</v>
      </c>
      <c r="AS1101" s="2135"/>
      <c r="AT1101" s="2135"/>
      <c r="AU1101" s="1212">
        <v>0.33333333333333331</v>
      </c>
      <c r="AV1101" s="1212">
        <v>0.33333333333333331</v>
      </c>
      <c r="AW1101" s="1212">
        <v>0.33333333333333331</v>
      </c>
      <c r="AX1101" s="1212"/>
      <c r="AY1101" s="1212"/>
      <c r="AZ1101" s="1212"/>
      <c r="BA1101" s="1212"/>
      <c r="BB1101" s="1212"/>
      <c r="BC1101" s="1212"/>
      <c r="BD1101" s="1212"/>
      <c r="BE1101" s="1212"/>
      <c r="BF1101" s="2126">
        <v>0</v>
      </c>
      <c r="BG1101" s="2126">
        <v>0</v>
      </c>
      <c r="BH1101" s="2126">
        <v>23316.633333333331</v>
      </c>
      <c r="BI1101" s="2126">
        <v>23316.633333333331</v>
      </c>
      <c r="BJ1101" s="2126">
        <v>23316.633333333331</v>
      </c>
      <c r="BK1101" s="2126">
        <v>0</v>
      </c>
      <c r="BL1101" s="2126">
        <v>0</v>
      </c>
      <c r="BM1101" s="2126">
        <v>0</v>
      </c>
      <c r="BN1101" s="2126">
        <v>0</v>
      </c>
      <c r="BO1101" s="2126">
        <v>0</v>
      </c>
      <c r="BP1101" s="2126">
        <v>0</v>
      </c>
      <c r="BQ1101" s="2126">
        <v>0</v>
      </c>
      <c r="BR1101" s="2126">
        <v>0</v>
      </c>
    </row>
    <row r="1102" spans="1:70" s="1765" customFormat="1" ht="49.5">
      <c r="A1102" s="1272">
        <v>4000</v>
      </c>
      <c r="B1102" s="971" t="s">
        <v>1316</v>
      </c>
      <c r="C1102" s="1272">
        <v>4700</v>
      </c>
      <c r="D1102" s="971" t="s">
        <v>912</v>
      </c>
      <c r="E1102" s="971">
        <v>4720</v>
      </c>
      <c r="F1102" s="971" t="s">
        <v>923</v>
      </c>
      <c r="G1102" s="971">
        <v>4720</v>
      </c>
      <c r="H1102" s="971" t="s">
        <v>923</v>
      </c>
      <c r="I1102" s="1273"/>
      <c r="J1102" s="971" t="s">
        <v>799</v>
      </c>
      <c r="K1102" s="971" t="s">
        <v>1993</v>
      </c>
      <c r="L1102" s="971" t="s">
        <v>2906</v>
      </c>
      <c r="M1102" s="971" t="s">
        <v>1993</v>
      </c>
      <c r="N1102" s="971" t="s">
        <v>269</v>
      </c>
      <c r="O1102" s="971" t="s">
        <v>1994</v>
      </c>
      <c r="P1102" s="971"/>
      <c r="Q1102" s="971" t="s">
        <v>7818</v>
      </c>
      <c r="R1102" s="1266">
        <v>2023</v>
      </c>
      <c r="S1102" s="2106">
        <v>1</v>
      </c>
      <c r="T1102" s="1266" t="s">
        <v>2700</v>
      </c>
      <c r="U1102" s="1742">
        <v>340</v>
      </c>
      <c r="V1102" s="1742">
        <v>3625</v>
      </c>
      <c r="W1102" s="1742">
        <v>29967.599999999999</v>
      </c>
      <c r="X1102" s="1742">
        <v>39982.300000000003</v>
      </c>
      <c r="Y1102" s="2106">
        <v>69949.899999999994</v>
      </c>
      <c r="Z1102" s="2106">
        <v>340</v>
      </c>
      <c r="AA1102" s="2106">
        <v>3625</v>
      </c>
      <c r="AB1102" s="2106">
        <v>29967.599999999999</v>
      </c>
      <c r="AC1102" s="2106">
        <v>39982.300000000003</v>
      </c>
      <c r="AD1102" s="2132">
        <v>69949.899999999994</v>
      </c>
      <c r="AE1102" s="2126">
        <v>329.26829268292681</v>
      </c>
      <c r="AF1102" s="2126">
        <v>329.26829268292681</v>
      </c>
      <c r="AG1102" s="1212">
        <v>1</v>
      </c>
      <c r="AH1102" s="1212">
        <v>0</v>
      </c>
      <c r="AI1102" s="1212">
        <v>1</v>
      </c>
      <c r="AJ1102" s="1212">
        <v>0</v>
      </c>
      <c r="AK1102" s="2126">
        <v>69949.899999999994</v>
      </c>
      <c r="AL1102" s="2126">
        <v>0</v>
      </c>
      <c r="AM1102" s="2126">
        <v>69949.899999999994</v>
      </c>
      <c r="AN1102" s="2126">
        <v>0</v>
      </c>
      <c r="AO1102" s="1743" t="s">
        <v>85</v>
      </c>
      <c r="AP1102" s="1743"/>
      <c r="AQ1102" s="1764">
        <v>2023</v>
      </c>
      <c r="AR1102" s="1743" t="s">
        <v>87</v>
      </c>
      <c r="AS1102" s="2135"/>
      <c r="AT1102" s="2135"/>
      <c r="AU1102" s="1212">
        <v>0.33333333333333331</v>
      </c>
      <c r="AV1102" s="1212">
        <v>0.33333333333333331</v>
      </c>
      <c r="AW1102" s="1212">
        <v>0.33333333333333331</v>
      </c>
      <c r="AX1102" s="1212"/>
      <c r="AY1102" s="1212"/>
      <c r="AZ1102" s="1212"/>
      <c r="BA1102" s="1212"/>
      <c r="BB1102" s="1212"/>
      <c r="BC1102" s="1212"/>
      <c r="BD1102" s="1212"/>
      <c r="BE1102" s="1212"/>
      <c r="BF1102" s="2126">
        <v>0</v>
      </c>
      <c r="BG1102" s="2126">
        <v>0</v>
      </c>
      <c r="BH1102" s="2126">
        <v>23316.633333333331</v>
      </c>
      <c r="BI1102" s="2126">
        <v>23316.633333333331</v>
      </c>
      <c r="BJ1102" s="2126">
        <v>23316.633333333331</v>
      </c>
      <c r="BK1102" s="2126">
        <v>0</v>
      </c>
      <c r="BL1102" s="2126">
        <v>0</v>
      </c>
      <c r="BM1102" s="2126">
        <v>0</v>
      </c>
      <c r="BN1102" s="2126">
        <v>0</v>
      </c>
      <c r="BO1102" s="2126">
        <v>0</v>
      </c>
      <c r="BP1102" s="2126">
        <v>0</v>
      </c>
      <c r="BQ1102" s="2126">
        <v>0</v>
      </c>
      <c r="BR1102" s="2126">
        <v>0</v>
      </c>
    </row>
    <row r="1103" spans="1:70" s="1765" customFormat="1" ht="33">
      <c r="A1103" s="1272">
        <v>4000</v>
      </c>
      <c r="B1103" s="971" t="s">
        <v>1316</v>
      </c>
      <c r="C1103" s="1272">
        <v>4700</v>
      </c>
      <c r="D1103" s="971" t="s">
        <v>912</v>
      </c>
      <c r="E1103" s="971">
        <v>4720</v>
      </c>
      <c r="F1103" s="971" t="s">
        <v>923</v>
      </c>
      <c r="G1103" s="971">
        <v>4720</v>
      </c>
      <c r="H1103" s="971" t="s">
        <v>923</v>
      </c>
      <c r="I1103" s="1273" t="s">
        <v>1977</v>
      </c>
      <c r="J1103" s="971" t="s">
        <v>799</v>
      </c>
      <c r="K1103" s="971" t="s">
        <v>931</v>
      </c>
      <c r="L1103" s="971" t="s">
        <v>2895</v>
      </c>
      <c r="M1103" s="971" t="s">
        <v>931</v>
      </c>
      <c r="N1103" s="971" t="s">
        <v>269</v>
      </c>
      <c r="O1103" s="971" t="s">
        <v>932</v>
      </c>
      <c r="P1103" s="971"/>
      <c r="Q1103" s="971" t="s">
        <v>1996</v>
      </c>
      <c r="R1103" s="1266"/>
      <c r="S1103" s="2106">
        <v>1</v>
      </c>
      <c r="T1103" s="1266" t="s">
        <v>2700</v>
      </c>
      <c r="U1103" s="1742">
        <v>47</v>
      </c>
      <c r="V1103" s="1742">
        <v>400</v>
      </c>
      <c r="W1103" s="1742">
        <v>4142.58</v>
      </c>
      <c r="X1103" s="1742">
        <v>4411.84</v>
      </c>
      <c r="Y1103" s="2106">
        <v>8954.4199999999983</v>
      </c>
      <c r="Z1103" s="2106">
        <v>47</v>
      </c>
      <c r="AA1103" s="2106">
        <v>400</v>
      </c>
      <c r="AB1103" s="2106">
        <v>4142.58</v>
      </c>
      <c r="AC1103" s="2106">
        <v>4411.84</v>
      </c>
      <c r="AD1103" s="2132">
        <v>8954.42</v>
      </c>
      <c r="AE1103" s="2126">
        <v>329.26829268292681</v>
      </c>
      <c r="AF1103" s="2126">
        <v>329.26829268292681</v>
      </c>
      <c r="AG1103" s="1212">
        <v>1</v>
      </c>
      <c r="AH1103" s="1212">
        <v>0</v>
      </c>
      <c r="AI1103" s="1212">
        <v>1</v>
      </c>
      <c r="AJ1103" s="1212">
        <v>0</v>
      </c>
      <c r="AK1103" s="2126">
        <v>8954.42</v>
      </c>
      <c r="AL1103" s="2126">
        <v>0</v>
      </c>
      <c r="AM1103" s="2126">
        <v>8954.42</v>
      </c>
      <c r="AN1103" s="2126">
        <v>0</v>
      </c>
      <c r="AO1103" s="1743" t="s">
        <v>85</v>
      </c>
      <c r="AP1103" s="1743" t="s">
        <v>90</v>
      </c>
      <c r="AQ1103" s="1764" t="s">
        <v>112</v>
      </c>
      <c r="AR1103" s="1743" t="s">
        <v>87</v>
      </c>
      <c r="AS1103" s="2135"/>
      <c r="AT1103" s="2135"/>
      <c r="AU1103" s="1212">
        <v>0.33333333333333331</v>
      </c>
      <c r="AV1103" s="1212">
        <v>0.33333333333333331</v>
      </c>
      <c r="AW1103" s="1212">
        <v>0.33333333333333331</v>
      </c>
      <c r="AX1103" s="1212"/>
      <c r="AY1103" s="1212"/>
      <c r="AZ1103" s="1212"/>
      <c r="BA1103" s="1212"/>
      <c r="BB1103" s="1212"/>
      <c r="BC1103" s="1212"/>
      <c r="BD1103" s="1212"/>
      <c r="BE1103" s="1212"/>
      <c r="BF1103" s="2126">
        <v>0</v>
      </c>
      <c r="BG1103" s="2126">
        <v>0</v>
      </c>
      <c r="BH1103" s="2126">
        <v>2984.8066666666664</v>
      </c>
      <c r="BI1103" s="2126">
        <v>2984.8066666666664</v>
      </c>
      <c r="BJ1103" s="2126">
        <v>2984.8066666666664</v>
      </c>
      <c r="BK1103" s="2126">
        <v>0</v>
      </c>
      <c r="BL1103" s="2126">
        <v>0</v>
      </c>
      <c r="BM1103" s="2126">
        <v>0</v>
      </c>
      <c r="BN1103" s="2126">
        <v>0</v>
      </c>
      <c r="BO1103" s="2126">
        <v>0</v>
      </c>
      <c r="BP1103" s="2126">
        <v>0</v>
      </c>
      <c r="BQ1103" s="2126">
        <v>0</v>
      </c>
      <c r="BR1103" s="2126">
        <v>0</v>
      </c>
    </row>
    <row r="1104" spans="1:70" s="1765" customFormat="1" ht="33">
      <c r="A1104" s="1272">
        <v>4000</v>
      </c>
      <c r="B1104" s="971" t="s">
        <v>1316</v>
      </c>
      <c r="C1104" s="1272">
        <v>4700</v>
      </c>
      <c r="D1104" s="971" t="s">
        <v>912</v>
      </c>
      <c r="E1104" s="971">
        <v>4720</v>
      </c>
      <c r="F1104" s="971" t="s">
        <v>923</v>
      </c>
      <c r="G1104" s="971">
        <v>4720</v>
      </c>
      <c r="H1104" s="971" t="s">
        <v>923</v>
      </c>
      <c r="I1104" s="1273"/>
      <c r="J1104" s="971" t="s">
        <v>124</v>
      </c>
      <c r="K1104" s="971" t="s">
        <v>125</v>
      </c>
      <c r="L1104" s="971" t="s">
        <v>2868</v>
      </c>
      <c r="M1104" s="971" t="s">
        <v>126</v>
      </c>
      <c r="N1104" s="971" t="s">
        <v>127</v>
      </c>
      <c r="O1104" s="971" t="s">
        <v>128</v>
      </c>
      <c r="P1104" s="971"/>
      <c r="Q1104" s="971" t="s">
        <v>1997</v>
      </c>
      <c r="R1104" s="1266" t="s">
        <v>1998</v>
      </c>
      <c r="S1104" s="2106">
        <v>208.10272000000001</v>
      </c>
      <c r="T1104" s="1266" t="s">
        <v>136</v>
      </c>
      <c r="U1104" s="1742">
        <v>0.11208333333333333</v>
      </c>
      <c r="V1104" s="1742">
        <v>1.4010416666666667</v>
      </c>
      <c r="W1104" s="1742">
        <v>9.8790250000000004</v>
      </c>
      <c r="X1104" s="1742">
        <v>15.452929166666667</v>
      </c>
      <c r="Y1104" s="2106">
        <v>26.73299583333333</v>
      </c>
      <c r="Z1104" s="2106">
        <v>23.324846533333332</v>
      </c>
      <c r="AA1104" s="2106">
        <v>291.56058166666668</v>
      </c>
      <c r="AB1104" s="2106">
        <v>2055.8519734480001</v>
      </c>
      <c r="AC1104" s="2106">
        <v>3215.796591550667</v>
      </c>
      <c r="AD1104" s="1744">
        <v>5563.2091466653337</v>
      </c>
      <c r="AE1104" s="2126">
        <v>1</v>
      </c>
      <c r="AF1104" s="2126">
        <v>208.10272000000001</v>
      </c>
      <c r="AG1104" s="1212">
        <v>1</v>
      </c>
      <c r="AH1104" s="1212">
        <v>0</v>
      </c>
      <c r="AI1104" s="1212">
        <v>0</v>
      </c>
      <c r="AJ1104" s="1212">
        <v>1</v>
      </c>
      <c r="AK1104" s="2126">
        <v>5563.2091466653337</v>
      </c>
      <c r="AL1104" s="2126">
        <v>0</v>
      </c>
      <c r="AM1104" s="2126">
        <v>0</v>
      </c>
      <c r="AN1104" s="2126">
        <v>5563.2091466653337</v>
      </c>
      <c r="AO1104" s="1743" t="s">
        <v>85</v>
      </c>
      <c r="AP1104" s="1743" t="s">
        <v>90</v>
      </c>
      <c r="AQ1104" s="1764">
        <v>2022</v>
      </c>
      <c r="AR1104" s="1743" t="s">
        <v>87</v>
      </c>
      <c r="AS1104" s="2135"/>
      <c r="AT1104" s="2135"/>
      <c r="AU1104" s="1212">
        <v>0.33333333333333331</v>
      </c>
      <c r="AV1104" s="1212">
        <v>0.33333333333333331</v>
      </c>
      <c r="AW1104" s="1212">
        <v>0.33333333333333331</v>
      </c>
      <c r="AX1104" s="1212"/>
      <c r="AY1104" s="1212"/>
      <c r="AZ1104" s="1212"/>
      <c r="BA1104" s="1212"/>
      <c r="BB1104" s="1212"/>
      <c r="BC1104" s="1212"/>
      <c r="BD1104" s="1212"/>
      <c r="BE1104" s="1212"/>
      <c r="BF1104" s="2126">
        <v>0</v>
      </c>
      <c r="BG1104" s="2126">
        <v>0</v>
      </c>
      <c r="BH1104" s="2126">
        <v>1854.4030488884446</v>
      </c>
      <c r="BI1104" s="2126">
        <v>1854.4030488884446</v>
      </c>
      <c r="BJ1104" s="2126">
        <v>1854.4030488884446</v>
      </c>
      <c r="BK1104" s="2126">
        <v>0</v>
      </c>
      <c r="BL1104" s="2126">
        <v>0</v>
      </c>
      <c r="BM1104" s="2126">
        <v>0</v>
      </c>
      <c r="BN1104" s="2126">
        <v>0</v>
      </c>
      <c r="BO1104" s="2126">
        <v>0</v>
      </c>
      <c r="BP1104" s="2126">
        <v>0</v>
      </c>
      <c r="BQ1104" s="2126">
        <v>0</v>
      </c>
      <c r="BR1104" s="2126">
        <v>0</v>
      </c>
    </row>
    <row r="1105" spans="1:70" s="1765" customFormat="1" ht="33">
      <c r="A1105" s="1272">
        <v>4000</v>
      </c>
      <c r="B1105" s="971" t="s">
        <v>1316</v>
      </c>
      <c r="C1105" s="1272">
        <v>4100</v>
      </c>
      <c r="D1105" s="971" t="s">
        <v>120</v>
      </c>
      <c r="E1105" s="971">
        <v>4130</v>
      </c>
      <c r="F1105" s="971" t="s">
        <v>148</v>
      </c>
      <c r="G1105" s="971">
        <v>4131</v>
      </c>
      <c r="H1105" s="971" t="s">
        <v>1330</v>
      </c>
      <c r="I1105" s="1273"/>
      <c r="J1105" s="971" t="s">
        <v>121</v>
      </c>
      <c r="K1105" s="971" t="s">
        <v>150</v>
      </c>
      <c r="L1105" s="971" t="s">
        <v>2800</v>
      </c>
      <c r="M1105" s="971" t="s">
        <v>80</v>
      </c>
      <c r="N1105" s="971" t="s">
        <v>83</v>
      </c>
      <c r="O1105" s="971" t="s">
        <v>151</v>
      </c>
      <c r="P1105" s="971" t="s">
        <v>152</v>
      </c>
      <c r="Q1105" s="971" t="s">
        <v>1999</v>
      </c>
      <c r="R1105" s="1266" t="s">
        <v>2000</v>
      </c>
      <c r="S1105" s="2106">
        <v>10500</v>
      </c>
      <c r="T1105" s="1266" t="s">
        <v>136</v>
      </c>
      <c r="U1105" s="1742">
        <v>1.2691883296460175E-2</v>
      </c>
      <c r="V1105" s="1742">
        <v>0.14624999999999999</v>
      </c>
      <c r="W1105" s="1742">
        <v>1.1186625937499999</v>
      </c>
      <c r="X1105" s="1742">
        <v>0.4015178457754629</v>
      </c>
      <c r="Y1105" s="2106">
        <v>1.6649423457754629</v>
      </c>
      <c r="Z1105" s="2106">
        <v>133.26477461283184</v>
      </c>
      <c r="AA1105" s="2106">
        <v>1535.625</v>
      </c>
      <c r="AB1105" s="2106">
        <v>11745.957234374999</v>
      </c>
      <c r="AC1105" s="2106">
        <v>4215.93738064236</v>
      </c>
      <c r="AD1105" s="1744">
        <v>17497.519615017358</v>
      </c>
      <c r="AE1105" s="2126">
        <v>0</v>
      </c>
      <c r="AF1105" s="2126">
        <v>0</v>
      </c>
      <c r="AG1105" s="1212">
        <v>1</v>
      </c>
      <c r="AH1105" s="1212">
        <v>0</v>
      </c>
      <c r="AI1105" s="1212">
        <v>0</v>
      </c>
      <c r="AJ1105" s="1212">
        <v>1</v>
      </c>
      <c r="AK1105" s="2126">
        <v>17497.519615017358</v>
      </c>
      <c r="AL1105" s="2126">
        <v>0</v>
      </c>
      <c r="AM1105" s="2126">
        <v>0</v>
      </c>
      <c r="AN1105" s="2126">
        <v>17497.519615017358</v>
      </c>
      <c r="AO1105" s="1743" t="s">
        <v>85</v>
      </c>
      <c r="AP1105" s="1743" t="s">
        <v>90</v>
      </c>
      <c r="AQ1105" s="1764">
        <v>2022</v>
      </c>
      <c r="AR1105" s="1743" t="s">
        <v>87</v>
      </c>
      <c r="AS1105" s="2135"/>
      <c r="AT1105" s="2135"/>
      <c r="AU1105" s="1212">
        <v>0.33333333333333331</v>
      </c>
      <c r="AV1105" s="1212">
        <v>0.33333333333333331</v>
      </c>
      <c r="AW1105" s="1212">
        <v>0.33333333333333331</v>
      </c>
      <c r="AX1105" s="1212"/>
      <c r="AY1105" s="1212"/>
      <c r="AZ1105" s="1212"/>
      <c r="BA1105" s="1212"/>
      <c r="BB1105" s="1212"/>
      <c r="BC1105" s="1212"/>
      <c r="BD1105" s="1212"/>
      <c r="BE1105" s="1212"/>
      <c r="BF1105" s="2126">
        <v>0</v>
      </c>
      <c r="BG1105" s="2126">
        <v>0</v>
      </c>
      <c r="BH1105" s="2126">
        <v>5832.5065383391193</v>
      </c>
      <c r="BI1105" s="2126">
        <v>5832.5065383391193</v>
      </c>
      <c r="BJ1105" s="2126">
        <v>5832.5065383391193</v>
      </c>
      <c r="BK1105" s="2126">
        <v>0</v>
      </c>
      <c r="BL1105" s="2126">
        <v>0</v>
      </c>
      <c r="BM1105" s="2126">
        <v>0</v>
      </c>
      <c r="BN1105" s="2126">
        <v>0</v>
      </c>
      <c r="BO1105" s="2126">
        <v>0</v>
      </c>
      <c r="BP1105" s="2126">
        <v>0</v>
      </c>
      <c r="BQ1105" s="2126">
        <v>0</v>
      </c>
      <c r="BR1105" s="2126">
        <v>0</v>
      </c>
    </row>
    <row r="1106" spans="1:70" s="1765" customFormat="1" ht="33">
      <c r="A1106" s="1272">
        <v>4000</v>
      </c>
      <c r="B1106" s="971" t="s">
        <v>1316</v>
      </c>
      <c r="C1106" s="1272">
        <v>4100</v>
      </c>
      <c r="D1106" s="971" t="s">
        <v>120</v>
      </c>
      <c r="E1106" s="971">
        <v>4130</v>
      </c>
      <c r="F1106" s="971" t="s">
        <v>148</v>
      </c>
      <c r="G1106" s="971">
        <v>4131</v>
      </c>
      <c r="H1106" s="971" t="s">
        <v>1330</v>
      </c>
      <c r="I1106" s="1273"/>
      <c r="J1106" s="971" t="s">
        <v>121</v>
      </c>
      <c r="K1106" s="971" t="s">
        <v>150</v>
      </c>
      <c r="L1106" s="971" t="s">
        <v>2800</v>
      </c>
      <c r="M1106" s="971" t="s">
        <v>80</v>
      </c>
      <c r="N1106" s="971" t="s">
        <v>83</v>
      </c>
      <c r="O1106" s="971" t="s">
        <v>151</v>
      </c>
      <c r="P1106" s="971" t="s">
        <v>152</v>
      </c>
      <c r="Q1106" s="971" t="s">
        <v>1999</v>
      </c>
      <c r="R1106" s="1266" t="s">
        <v>2000</v>
      </c>
      <c r="S1106" s="2106">
        <v>-10500</v>
      </c>
      <c r="T1106" s="1266" t="s">
        <v>136</v>
      </c>
      <c r="U1106" s="1742">
        <v>1.2691883296460175E-2</v>
      </c>
      <c r="V1106" s="1742">
        <v>0.14624999999999999</v>
      </c>
      <c r="W1106" s="1742">
        <v>1.1186625937499999</v>
      </c>
      <c r="X1106" s="1742">
        <v>0.4015178457754629</v>
      </c>
      <c r="Y1106" s="2106">
        <v>1.6649423457754629</v>
      </c>
      <c r="Z1106" s="2106">
        <v>-133.26477461283184</v>
      </c>
      <c r="AA1106" s="2106">
        <v>-1535.625</v>
      </c>
      <c r="AB1106" s="2106">
        <v>-11745.957234374999</v>
      </c>
      <c r="AC1106" s="2106">
        <v>-4215.93738064236</v>
      </c>
      <c r="AD1106" s="1744">
        <v>-17497.519615017358</v>
      </c>
      <c r="AE1106" s="2126">
        <v>0</v>
      </c>
      <c r="AF1106" s="2126">
        <v>0</v>
      </c>
      <c r="AG1106" s="1212">
        <v>1</v>
      </c>
      <c r="AH1106" s="1212">
        <v>0</v>
      </c>
      <c r="AI1106" s="1212">
        <v>0</v>
      </c>
      <c r="AJ1106" s="1212">
        <v>1</v>
      </c>
      <c r="AK1106" s="2126">
        <v>-17497.519615017358</v>
      </c>
      <c r="AL1106" s="2126">
        <v>0</v>
      </c>
      <c r="AM1106" s="2126">
        <v>0</v>
      </c>
      <c r="AN1106" s="2126">
        <v>-17497.519615017358</v>
      </c>
      <c r="AO1106" s="1743" t="s">
        <v>85</v>
      </c>
      <c r="AP1106" s="1743" t="s">
        <v>96</v>
      </c>
      <c r="AQ1106" s="1764" t="s">
        <v>118</v>
      </c>
      <c r="AR1106" s="1743" t="s">
        <v>87</v>
      </c>
      <c r="AS1106" s="2135"/>
      <c r="AT1106" s="2135"/>
      <c r="AU1106" s="1212">
        <v>0.33333333333333331</v>
      </c>
      <c r="AV1106" s="1212">
        <v>0.33333333333333331</v>
      </c>
      <c r="AW1106" s="1212">
        <v>0.33333333333333331</v>
      </c>
      <c r="AX1106" s="1212"/>
      <c r="AY1106" s="1212"/>
      <c r="AZ1106" s="1212"/>
      <c r="BA1106" s="1212"/>
      <c r="BB1106" s="1212"/>
      <c r="BC1106" s="1212"/>
      <c r="BD1106" s="1212"/>
      <c r="BE1106" s="1212"/>
      <c r="BF1106" s="2126">
        <v>0</v>
      </c>
      <c r="BG1106" s="2126">
        <v>0</v>
      </c>
      <c r="BH1106" s="2126">
        <v>-5832.5065383391193</v>
      </c>
      <c r="BI1106" s="2126">
        <v>-5832.5065383391193</v>
      </c>
      <c r="BJ1106" s="2126">
        <v>-5832.5065383391193</v>
      </c>
      <c r="BK1106" s="2126">
        <v>0</v>
      </c>
      <c r="BL1106" s="2126">
        <v>0</v>
      </c>
      <c r="BM1106" s="2126">
        <v>0</v>
      </c>
      <c r="BN1106" s="2126">
        <v>0</v>
      </c>
      <c r="BO1106" s="2126">
        <v>0</v>
      </c>
      <c r="BP1106" s="2126">
        <v>0</v>
      </c>
      <c r="BQ1106" s="2126">
        <v>0</v>
      </c>
      <c r="BR1106" s="2126">
        <v>0</v>
      </c>
    </row>
    <row r="1107" spans="1:70" s="1765" customFormat="1" ht="49.5">
      <c r="A1107" s="1272">
        <v>4000</v>
      </c>
      <c r="B1107" s="971" t="s">
        <v>1316</v>
      </c>
      <c r="C1107" s="1272">
        <v>4700</v>
      </c>
      <c r="D1107" s="971" t="s">
        <v>912</v>
      </c>
      <c r="E1107" s="971">
        <v>4730</v>
      </c>
      <c r="F1107" s="971" t="s">
        <v>958</v>
      </c>
      <c r="G1107" s="971">
        <v>4731</v>
      </c>
      <c r="H1107" s="971" t="s">
        <v>968</v>
      </c>
      <c r="I1107" s="1273" t="s">
        <v>2001</v>
      </c>
      <c r="J1107" s="971" t="s">
        <v>124</v>
      </c>
      <c r="K1107" s="971" t="s">
        <v>2857</v>
      </c>
      <c r="L1107" s="971" t="s">
        <v>2858</v>
      </c>
      <c r="M1107" s="971" t="s">
        <v>627</v>
      </c>
      <c r="N1107" s="971" t="s">
        <v>488</v>
      </c>
      <c r="O1107" s="971" t="s">
        <v>539</v>
      </c>
      <c r="P1107" s="971"/>
      <c r="Q1107" s="971" t="s">
        <v>970</v>
      </c>
      <c r="R1107" s="1266" t="s">
        <v>2002</v>
      </c>
      <c r="S1107" s="2106">
        <v>178.43866171003717</v>
      </c>
      <c r="T1107" s="1266" t="s">
        <v>136</v>
      </c>
      <c r="U1107" s="1742">
        <v>0.56041666666666667</v>
      </c>
      <c r="V1107" s="1742">
        <v>2.8020833333333335</v>
      </c>
      <c r="W1107" s="1742">
        <v>49.395125</v>
      </c>
      <c r="X1107" s="1742">
        <v>77.264645833333333</v>
      </c>
      <c r="Y1107" s="2106">
        <v>129.46185416666665</v>
      </c>
      <c r="Z1107" s="2106">
        <v>100</v>
      </c>
      <c r="AA1107" s="2106">
        <v>500</v>
      </c>
      <c r="AB1107" s="2106">
        <v>8814</v>
      </c>
      <c r="AC1107" s="2106">
        <v>13787</v>
      </c>
      <c r="AD1107" s="1744">
        <v>23101</v>
      </c>
      <c r="AE1107" s="2126">
        <v>1</v>
      </c>
      <c r="AF1107" s="2126">
        <v>178.43866171003717</v>
      </c>
      <c r="AG1107" s="1212">
        <v>1</v>
      </c>
      <c r="AH1107" s="1212">
        <v>0</v>
      </c>
      <c r="AI1107" s="1212">
        <v>0</v>
      </c>
      <c r="AJ1107" s="1212">
        <v>1</v>
      </c>
      <c r="AK1107" s="2126">
        <v>23101</v>
      </c>
      <c r="AL1107" s="2126">
        <v>0</v>
      </c>
      <c r="AM1107" s="2126">
        <v>0</v>
      </c>
      <c r="AN1107" s="2126">
        <v>23101</v>
      </c>
      <c r="AO1107" s="1743" t="s">
        <v>85</v>
      </c>
      <c r="AP1107" s="1743"/>
      <c r="AQ1107" s="1764">
        <v>2014</v>
      </c>
      <c r="AR1107" s="1743" t="s">
        <v>87</v>
      </c>
      <c r="AS1107" s="2135"/>
      <c r="AT1107" s="2135"/>
      <c r="AU1107" s="1212">
        <v>0.5</v>
      </c>
      <c r="AV1107" s="1212">
        <v>0.5</v>
      </c>
      <c r="AW1107" s="1212"/>
      <c r="AX1107" s="1212"/>
      <c r="AY1107" s="1212"/>
      <c r="AZ1107" s="1212"/>
      <c r="BA1107" s="1212"/>
      <c r="BB1107" s="1212"/>
      <c r="BC1107" s="1212"/>
      <c r="BD1107" s="1212"/>
      <c r="BE1107" s="1212"/>
      <c r="BF1107" s="2126">
        <v>0</v>
      </c>
      <c r="BG1107" s="2126">
        <v>0</v>
      </c>
      <c r="BH1107" s="2126">
        <v>11550.5</v>
      </c>
      <c r="BI1107" s="2126">
        <v>11550.5</v>
      </c>
      <c r="BJ1107" s="2126">
        <v>0</v>
      </c>
      <c r="BK1107" s="2126">
        <v>0</v>
      </c>
      <c r="BL1107" s="2126">
        <v>0</v>
      </c>
      <c r="BM1107" s="2126">
        <v>0</v>
      </c>
      <c r="BN1107" s="2126">
        <v>0</v>
      </c>
      <c r="BO1107" s="2126">
        <v>0</v>
      </c>
      <c r="BP1107" s="2126">
        <v>0</v>
      </c>
      <c r="BQ1107" s="2126">
        <v>0</v>
      </c>
      <c r="BR1107" s="2126">
        <v>0</v>
      </c>
    </row>
    <row r="1108" spans="1:70" s="1765" customFormat="1" ht="49.5">
      <c r="A1108" s="1272">
        <v>4000</v>
      </c>
      <c r="B1108" s="971" t="s">
        <v>1316</v>
      </c>
      <c r="C1108" s="1272">
        <v>4700</v>
      </c>
      <c r="D1108" s="971" t="s">
        <v>912</v>
      </c>
      <c r="E1108" s="971">
        <v>4730</v>
      </c>
      <c r="F1108" s="971" t="s">
        <v>958</v>
      </c>
      <c r="G1108" s="971">
        <v>4731</v>
      </c>
      <c r="H1108" s="971" t="s">
        <v>968</v>
      </c>
      <c r="I1108" s="1273" t="s">
        <v>2003</v>
      </c>
      <c r="J1108" s="971" t="s">
        <v>638</v>
      </c>
      <c r="K1108" s="971" t="s">
        <v>1971</v>
      </c>
      <c r="L1108" s="971" t="s">
        <v>639</v>
      </c>
      <c r="M1108" s="971" t="s">
        <v>639</v>
      </c>
      <c r="N1108" s="971" t="s">
        <v>640</v>
      </c>
      <c r="O1108" s="971" t="s">
        <v>639</v>
      </c>
      <c r="P1108" s="971"/>
      <c r="Q1108" s="971" t="s">
        <v>973</v>
      </c>
      <c r="R1108" s="1266" t="s">
        <v>2004</v>
      </c>
      <c r="S1108" s="2106">
        <v>247</v>
      </c>
      <c r="T1108" s="1266" t="s">
        <v>991</v>
      </c>
      <c r="U1108" s="1742">
        <v>0.25</v>
      </c>
      <c r="V1108" s="1742">
        <v>3.125</v>
      </c>
      <c r="W1108" s="1742">
        <v>22.035</v>
      </c>
      <c r="X1108" s="1742">
        <v>34.467500000000001</v>
      </c>
      <c r="Y1108" s="2106">
        <v>59.627499999999998</v>
      </c>
      <c r="Z1108" s="2106">
        <v>61.75</v>
      </c>
      <c r="AA1108" s="2106">
        <v>771.875</v>
      </c>
      <c r="AB1108" s="2106">
        <v>5442.6450000000004</v>
      </c>
      <c r="AC1108" s="2106">
        <v>8513.4724999999999</v>
      </c>
      <c r="AD1108" s="2132">
        <v>14727.9925</v>
      </c>
      <c r="AE1108" s="2126">
        <v>1.0000000000000002E-2</v>
      </c>
      <c r="AF1108" s="2126">
        <v>2.4700000000000006</v>
      </c>
      <c r="AG1108" s="1212">
        <v>1</v>
      </c>
      <c r="AH1108" s="1212">
        <v>0</v>
      </c>
      <c r="AI1108" s="1212">
        <v>1</v>
      </c>
      <c r="AJ1108" s="1212">
        <v>0</v>
      </c>
      <c r="AK1108" s="2126">
        <v>14727.9925</v>
      </c>
      <c r="AL1108" s="2126">
        <v>0</v>
      </c>
      <c r="AM1108" s="2126">
        <v>14727.9925</v>
      </c>
      <c r="AN1108" s="2126">
        <v>0</v>
      </c>
      <c r="AO1108" s="1743" t="s">
        <v>85</v>
      </c>
      <c r="AP1108" s="1743"/>
      <c r="AQ1108" s="1764">
        <v>2014</v>
      </c>
      <c r="AR1108" s="1743" t="s">
        <v>87</v>
      </c>
      <c r="AS1108" s="2135"/>
      <c r="AT1108" s="2135"/>
      <c r="AU1108" s="1212">
        <v>0.5</v>
      </c>
      <c r="AV1108" s="1212">
        <v>0.5</v>
      </c>
      <c r="AW1108" s="1212"/>
      <c r="AX1108" s="1212"/>
      <c r="AY1108" s="1212"/>
      <c r="AZ1108" s="1212"/>
      <c r="BA1108" s="1212"/>
      <c r="BB1108" s="1212"/>
      <c r="BC1108" s="1212"/>
      <c r="BD1108" s="1212"/>
      <c r="BE1108" s="1212"/>
      <c r="BF1108" s="2126">
        <v>0</v>
      </c>
      <c r="BG1108" s="2126">
        <v>0</v>
      </c>
      <c r="BH1108" s="2126">
        <v>7363.9962500000001</v>
      </c>
      <c r="BI1108" s="2126">
        <v>7363.9962500000001</v>
      </c>
      <c r="BJ1108" s="2126">
        <v>0</v>
      </c>
      <c r="BK1108" s="2126">
        <v>0</v>
      </c>
      <c r="BL1108" s="2126">
        <v>0</v>
      </c>
      <c r="BM1108" s="2126">
        <v>0</v>
      </c>
      <c r="BN1108" s="2126">
        <v>0</v>
      </c>
      <c r="BO1108" s="2126">
        <v>0</v>
      </c>
      <c r="BP1108" s="2126">
        <v>0</v>
      </c>
      <c r="BQ1108" s="2126">
        <v>0</v>
      </c>
      <c r="BR1108" s="2126">
        <v>0</v>
      </c>
    </row>
    <row r="1109" spans="1:70" s="1765" customFormat="1" ht="49.5">
      <c r="A1109" s="1272">
        <v>4000</v>
      </c>
      <c r="B1109" s="971" t="s">
        <v>1316</v>
      </c>
      <c r="C1109" s="1272">
        <v>4700</v>
      </c>
      <c r="D1109" s="971" t="s">
        <v>912</v>
      </c>
      <c r="E1109" s="971">
        <v>4730</v>
      </c>
      <c r="F1109" s="971" t="s">
        <v>958</v>
      </c>
      <c r="G1109" s="971">
        <v>4731</v>
      </c>
      <c r="H1109" s="971" t="s">
        <v>968</v>
      </c>
      <c r="I1109" s="1273" t="s">
        <v>2005</v>
      </c>
      <c r="J1109" s="971" t="s">
        <v>799</v>
      </c>
      <c r="K1109" s="971" t="s">
        <v>977</v>
      </c>
      <c r="L1109" s="971" t="s">
        <v>2896</v>
      </c>
      <c r="M1109" s="971" t="s">
        <v>977</v>
      </c>
      <c r="N1109" s="971" t="s">
        <v>269</v>
      </c>
      <c r="O1109" s="971" t="s">
        <v>978</v>
      </c>
      <c r="P1109" s="971"/>
      <c r="Q1109" s="971" t="s">
        <v>979</v>
      </c>
      <c r="R1109" s="1266" t="s">
        <v>2002</v>
      </c>
      <c r="S1109" s="2106">
        <v>1</v>
      </c>
      <c r="T1109" s="1266" t="s">
        <v>2700</v>
      </c>
      <c r="U1109" s="1742">
        <v>51</v>
      </c>
      <c r="V1109" s="1742">
        <v>450</v>
      </c>
      <c r="W1109" s="1742">
        <v>4495.1399999999994</v>
      </c>
      <c r="X1109" s="1742">
        <v>4963.32</v>
      </c>
      <c r="Y1109" s="2106">
        <v>9908.4599999999991</v>
      </c>
      <c r="Z1109" s="2106">
        <v>51</v>
      </c>
      <c r="AA1109" s="2106">
        <v>450</v>
      </c>
      <c r="AB1109" s="2106">
        <v>4495.1399999999994</v>
      </c>
      <c r="AC1109" s="2106">
        <v>4963.32</v>
      </c>
      <c r="AD1109" s="2132">
        <v>9908.4599999999991</v>
      </c>
      <c r="AE1109" s="2126">
        <v>329.26829268292681</v>
      </c>
      <c r="AF1109" s="2126">
        <v>329.26829268292681</v>
      </c>
      <c r="AG1109" s="1212">
        <v>1</v>
      </c>
      <c r="AH1109" s="1212">
        <v>0</v>
      </c>
      <c r="AI1109" s="1212">
        <v>1</v>
      </c>
      <c r="AJ1109" s="1212">
        <v>0</v>
      </c>
      <c r="AK1109" s="2126">
        <v>9908.4599999999991</v>
      </c>
      <c r="AL1109" s="2126">
        <v>0</v>
      </c>
      <c r="AM1109" s="2126">
        <v>9908.4599999999991</v>
      </c>
      <c r="AN1109" s="2126">
        <v>0</v>
      </c>
      <c r="AO1109" s="1743" t="s">
        <v>85</v>
      </c>
      <c r="AP1109" s="1743"/>
      <c r="AQ1109" s="1764">
        <v>2014</v>
      </c>
      <c r="AR1109" s="1743" t="s">
        <v>87</v>
      </c>
      <c r="AS1109" s="2135"/>
      <c r="AT1109" s="2135"/>
      <c r="AU1109" s="1212">
        <v>0.5</v>
      </c>
      <c r="AV1109" s="1212">
        <v>0.5</v>
      </c>
      <c r="AW1109" s="1212"/>
      <c r="AX1109" s="1212"/>
      <c r="AY1109" s="1212"/>
      <c r="AZ1109" s="1212"/>
      <c r="BA1109" s="1212"/>
      <c r="BB1109" s="1212"/>
      <c r="BC1109" s="1212"/>
      <c r="BD1109" s="1212"/>
      <c r="BE1109" s="1212"/>
      <c r="BF1109" s="2126">
        <v>0</v>
      </c>
      <c r="BG1109" s="2126">
        <v>0</v>
      </c>
      <c r="BH1109" s="2126">
        <v>4954.2299999999996</v>
      </c>
      <c r="BI1109" s="2126">
        <v>4954.2299999999996</v>
      </c>
      <c r="BJ1109" s="2126">
        <v>0</v>
      </c>
      <c r="BK1109" s="2126">
        <v>0</v>
      </c>
      <c r="BL1109" s="2126">
        <v>0</v>
      </c>
      <c r="BM1109" s="2126">
        <v>0</v>
      </c>
      <c r="BN1109" s="2126">
        <v>0</v>
      </c>
      <c r="BO1109" s="2126">
        <v>0</v>
      </c>
      <c r="BP1109" s="2126">
        <v>0</v>
      </c>
      <c r="BQ1109" s="2126">
        <v>0</v>
      </c>
      <c r="BR1109" s="2126">
        <v>0</v>
      </c>
    </row>
    <row r="1110" spans="1:70" s="1765" customFormat="1" ht="49.5">
      <c r="A1110" s="1272">
        <v>4000</v>
      </c>
      <c r="B1110" s="971" t="s">
        <v>1316</v>
      </c>
      <c r="C1110" s="1272">
        <v>4700</v>
      </c>
      <c r="D1110" s="971" t="s">
        <v>912</v>
      </c>
      <c r="E1110" s="971">
        <v>4730</v>
      </c>
      <c r="F1110" s="971" t="s">
        <v>958</v>
      </c>
      <c r="G1110" s="971">
        <v>4731</v>
      </c>
      <c r="H1110" s="971" t="s">
        <v>968</v>
      </c>
      <c r="I1110" s="1273" t="s">
        <v>2006</v>
      </c>
      <c r="J1110" s="971" t="s">
        <v>177</v>
      </c>
      <c r="K1110" s="971" t="s">
        <v>530</v>
      </c>
      <c r="L1110" s="971" t="s">
        <v>531</v>
      </c>
      <c r="M1110" s="971" t="s">
        <v>530</v>
      </c>
      <c r="N1110" s="971" t="s">
        <v>179</v>
      </c>
      <c r="O1110" s="971" t="s">
        <v>531</v>
      </c>
      <c r="P1110" s="971"/>
      <c r="Q1110" s="971" t="s">
        <v>2007</v>
      </c>
      <c r="R1110" s="1266" t="s">
        <v>2008</v>
      </c>
      <c r="S1110" s="2106">
        <v>1</v>
      </c>
      <c r="T1110" s="1266" t="s">
        <v>242</v>
      </c>
      <c r="U1110" s="1742">
        <v>31</v>
      </c>
      <c r="V1110" s="1742">
        <v>325</v>
      </c>
      <c r="W1110" s="1742">
        <v>2732.34</v>
      </c>
      <c r="X1110" s="1742">
        <v>3584.62</v>
      </c>
      <c r="Y1110" s="2106">
        <v>6641.9599999999991</v>
      </c>
      <c r="Z1110" s="2106">
        <v>31</v>
      </c>
      <c r="AA1110" s="2106">
        <v>325</v>
      </c>
      <c r="AB1110" s="2106">
        <v>2732.34</v>
      </c>
      <c r="AC1110" s="2106">
        <v>3584.62</v>
      </c>
      <c r="AD1110" s="1744">
        <v>6641.96</v>
      </c>
      <c r="AE1110" s="2126">
        <v>2</v>
      </c>
      <c r="AF1110" s="2126">
        <v>2</v>
      </c>
      <c r="AG1110" s="1212">
        <v>1</v>
      </c>
      <c r="AH1110" s="1212">
        <v>0</v>
      </c>
      <c r="AI1110" s="1212">
        <v>0</v>
      </c>
      <c r="AJ1110" s="1212">
        <v>1</v>
      </c>
      <c r="AK1110" s="2126">
        <v>6641.96</v>
      </c>
      <c r="AL1110" s="2126">
        <v>0</v>
      </c>
      <c r="AM1110" s="2126">
        <v>0</v>
      </c>
      <c r="AN1110" s="2126">
        <v>6641.96</v>
      </c>
      <c r="AO1110" s="1743" t="s">
        <v>85</v>
      </c>
      <c r="AP1110" s="1743"/>
      <c r="AQ1110" s="1764">
        <v>2014</v>
      </c>
      <c r="AR1110" s="1743" t="s">
        <v>87</v>
      </c>
      <c r="AS1110" s="2135"/>
      <c r="AT1110" s="2135"/>
      <c r="AU1110" s="1212">
        <v>0.33333333333333331</v>
      </c>
      <c r="AV1110" s="1212">
        <v>0.33333333333333331</v>
      </c>
      <c r="AW1110" s="1212">
        <v>0.33333333333333331</v>
      </c>
      <c r="AX1110" s="1212"/>
      <c r="AY1110" s="1212"/>
      <c r="AZ1110" s="1212"/>
      <c r="BA1110" s="1212"/>
      <c r="BB1110" s="1212"/>
      <c r="BC1110" s="1212"/>
      <c r="BD1110" s="1212"/>
      <c r="BE1110" s="1212"/>
      <c r="BF1110" s="2126">
        <v>0</v>
      </c>
      <c r="BG1110" s="2126">
        <v>0</v>
      </c>
      <c r="BH1110" s="2126">
        <v>2213.9866666666667</v>
      </c>
      <c r="BI1110" s="2126">
        <v>2213.9866666666667</v>
      </c>
      <c r="BJ1110" s="2126">
        <v>2213.9866666666667</v>
      </c>
      <c r="BK1110" s="2126">
        <v>0</v>
      </c>
      <c r="BL1110" s="2126">
        <v>0</v>
      </c>
      <c r="BM1110" s="2126">
        <v>0</v>
      </c>
      <c r="BN1110" s="2126">
        <v>0</v>
      </c>
      <c r="BO1110" s="2126">
        <v>0</v>
      </c>
      <c r="BP1110" s="2126">
        <v>0</v>
      </c>
      <c r="BQ1110" s="2126">
        <v>0</v>
      </c>
      <c r="BR1110" s="2126">
        <v>0</v>
      </c>
    </row>
    <row r="1111" spans="1:70" s="1765" customFormat="1" ht="49.5">
      <c r="A1111" s="1272">
        <v>4000</v>
      </c>
      <c r="B1111" s="971" t="s">
        <v>1316</v>
      </c>
      <c r="C1111" s="1272">
        <v>4700</v>
      </c>
      <c r="D1111" s="971" t="s">
        <v>912</v>
      </c>
      <c r="E1111" s="971">
        <v>4730</v>
      </c>
      <c r="F1111" s="971" t="s">
        <v>958</v>
      </c>
      <c r="G1111" s="971">
        <v>4731</v>
      </c>
      <c r="H1111" s="971" t="s">
        <v>968</v>
      </c>
      <c r="I1111" s="1273" t="s">
        <v>2009</v>
      </c>
      <c r="J1111" s="971" t="s">
        <v>124</v>
      </c>
      <c r="K1111" s="971" t="s">
        <v>2857</v>
      </c>
      <c r="L1111" s="971" t="s">
        <v>2858</v>
      </c>
      <c r="M1111" s="971" t="s">
        <v>734</v>
      </c>
      <c r="N1111" s="971" t="s">
        <v>488</v>
      </c>
      <c r="O1111" s="971" t="s">
        <v>128</v>
      </c>
      <c r="P1111" s="971"/>
      <c r="Q1111" s="971" t="s">
        <v>981</v>
      </c>
      <c r="R1111" s="1266" t="s">
        <v>2010</v>
      </c>
      <c r="S1111" s="2106">
        <v>29.739776951672862</v>
      </c>
      <c r="T1111" s="1266" t="s">
        <v>136</v>
      </c>
      <c r="U1111" s="1742">
        <v>0.56041666666666667</v>
      </c>
      <c r="V1111" s="1742">
        <v>2.8020833333333335</v>
      </c>
      <c r="W1111" s="1742">
        <v>49.395125</v>
      </c>
      <c r="X1111" s="1742">
        <v>77.264645833333333</v>
      </c>
      <c r="Y1111" s="2106">
        <v>129.46185416666665</v>
      </c>
      <c r="Z1111" s="2106">
        <v>16.666666666666668</v>
      </c>
      <c r="AA1111" s="2106">
        <v>83.333333333333343</v>
      </c>
      <c r="AB1111" s="2106">
        <v>1469</v>
      </c>
      <c r="AC1111" s="2106">
        <v>2297.8333333333335</v>
      </c>
      <c r="AD1111" s="1744">
        <v>3850.166666666667</v>
      </c>
      <c r="AE1111" s="2126">
        <v>1</v>
      </c>
      <c r="AF1111" s="2126">
        <v>29.739776951672862</v>
      </c>
      <c r="AG1111" s="1212">
        <v>1</v>
      </c>
      <c r="AH1111" s="1212">
        <v>0</v>
      </c>
      <c r="AI1111" s="1212">
        <v>0</v>
      </c>
      <c r="AJ1111" s="1212">
        <v>1</v>
      </c>
      <c r="AK1111" s="2126">
        <v>3850.166666666667</v>
      </c>
      <c r="AL1111" s="2126">
        <v>0</v>
      </c>
      <c r="AM1111" s="2126">
        <v>0</v>
      </c>
      <c r="AN1111" s="2126">
        <v>3850.166666666667</v>
      </c>
      <c r="AO1111" s="1743" t="s">
        <v>85</v>
      </c>
      <c r="AP1111" s="1743"/>
      <c r="AQ1111" s="1764">
        <v>2014</v>
      </c>
      <c r="AR1111" s="1743" t="s">
        <v>87</v>
      </c>
      <c r="AS1111" s="2135"/>
      <c r="AT1111" s="2135"/>
      <c r="AU1111" s="1212">
        <v>0.5</v>
      </c>
      <c r="AV1111" s="1212">
        <v>0.5</v>
      </c>
      <c r="AW1111" s="1212"/>
      <c r="AX1111" s="1212"/>
      <c r="AY1111" s="1212"/>
      <c r="AZ1111" s="1212"/>
      <c r="BA1111" s="1212"/>
      <c r="BB1111" s="1212"/>
      <c r="BC1111" s="1212"/>
      <c r="BD1111" s="1212"/>
      <c r="BE1111" s="1212"/>
      <c r="BF1111" s="2126">
        <v>0</v>
      </c>
      <c r="BG1111" s="2126">
        <v>0</v>
      </c>
      <c r="BH1111" s="2126">
        <v>1925.0833333333335</v>
      </c>
      <c r="BI1111" s="2126">
        <v>1925.0833333333335</v>
      </c>
      <c r="BJ1111" s="2126">
        <v>0</v>
      </c>
      <c r="BK1111" s="2126">
        <v>0</v>
      </c>
      <c r="BL1111" s="2126">
        <v>0</v>
      </c>
      <c r="BM1111" s="2126">
        <v>0</v>
      </c>
      <c r="BN1111" s="2126">
        <v>0</v>
      </c>
      <c r="BO1111" s="2126">
        <v>0</v>
      </c>
      <c r="BP1111" s="2126">
        <v>0</v>
      </c>
      <c r="BQ1111" s="2126">
        <v>0</v>
      </c>
      <c r="BR1111" s="2126">
        <v>0</v>
      </c>
    </row>
    <row r="1112" spans="1:70" s="1765" customFormat="1" ht="49.5">
      <c r="A1112" s="1272">
        <v>4000</v>
      </c>
      <c r="B1112" s="971" t="s">
        <v>1316</v>
      </c>
      <c r="C1112" s="1272">
        <v>4700</v>
      </c>
      <c r="D1112" s="971" t="s">
        <v>912</v>
      </c>
      <c r="E1112" s="971">
        <v>4730</v>
      </c>
      <c r="F1112" s="971" t="s">
        <v>958</v>
      </c>
      <c r="G1112" s="971">
        <v>4731</v>
      </c>
      <c r="H1112" s="971" t="s">
        <v>968</v>
      </c>
      <c r="I1112" s="1273" t="s">
        <v>2011</v>
      </c>
      <c r="J1112" s="971" t="s">
        <v>124</v>
      </c>
      <c r="K1112" s="971" t="s">
        <v>140</v>
      </c>
      <c r="L1112" s="971" t="s">
        <v>2909</v>
      </c>
      <c r="M1112" s="971" t="s">
        <v>140</v>
      </c>
      <c r="N1112" s="971" t="s">
        <v>141</v>
      </c>
      <c r="O1112" s="971" t="s">
        <v>142</v>
      </c>
      <c r="P1112" s="971"/>
      <c r="Q1112" s="971" t="s">
        <v>984</v>
      </c>
      <c r="R1112" s="1266" t="s">
        <v>2010</v>
      </c>
      <c r="S1112" s="2106">
        <v>29.739776951672862</v>
      </c>
      <c r="T1112" s="1266" t="s">
        <v>136</v>
      </c>
      <c r="U1112" s="1742">
        <v>0</v>
      </c>
      <c r="V1112" s="1742">
        <v>0</v>
      </c>
      <c r="W1112" s="1742">
        <v>0</v>
      </c>
      <c r="X1112" s="1742">
        <v>0</v>
      </c>
      <c r="Y1112" s="2106">
        <v>0</v>
      </c>
      <c r="Z1112" s="2106">
        <v>0</v>
      </c>
      <c r="AA1112" s="2106">
        <v>0</v>
      </c>
      <c r="AB1112" s="2106">
        <v>0</v>
      </c>
      <c r="AC1112" s="2106">
        <v>0</v>
      </c>
      <c r="AD1112" s="1744">
        <v>0</v>
      </c>
      <c r="AE1112" s="2126">
        <v>0</v>
      </c>
      <c r="AF1112" s="2126">
        <v>0</v>
      </c>
      <c r="AG1112" s="1212">
        <v>1</v>
      </c>
      <c r="AH1112" s="1212">
        <v>0</v>
      </c>
      <c r="AI1112" s="1212">
        <v>0</v>
      </c>
      <c r="AJ1112" s="1212">
        <v>1</v>
      </c>
      <c r="AK1112" s="2126">
        <v>0</v>
      </c>
      <c r="AL1112" s="2126">
        <v>0</v>
      </c>
      <c r="AM1112" s="2126">
        <v>0</v>
      </c>
      <c r="AN1112" s="2126">
        <v>0</v>
      </c>
      <c r="AO1112" s="1743" t="s">
        <v>85</v>
      </c>
      <c r="AP1112" s="1743"/>
      <c r="AQ1112" s="1764">
        <v>2014</v>
      </c>
      <c r="AR1112" s="1743" t="s">
        <v>87</v>
      </c>
      <c r="AS1112" s="2135"/>
      <c r="AT1112" s="2135"/>
      <c r="AU1112" s="1212">
        <v>0.5</v>
      </c>
      <c r="AV1112" s="1212">
        <v>0.5</v>
      </c>
      <c r="AW1112" s="1212"/>
      <c r="AX1112" s="1212"/>
      <c r="AY1112" s="1212"/>
      <c r="AZ1112" s="1212"/>
      <c r="BA1112" s="1212"/>
      <c r="BB1112" s="1212"/>
      <c r="BC1112" s="1212"/>
      <c r="BD1112" s="1212"/>
      <c r="BE1112" s="1212"/>
      <c r="BF1112" s="2126">
        <v>0</v>
      </c>
      <c r="BG1112" s="2126">
        <v>0</v>
      </c>
      <c r="BH1112" s="2126">
        <v>0</v>
      </c>
      <c r="BI1112" s="2126">
        <v>0</v>
      </c>
      <c r="BJ1112" s="2126">
        <v>0</v>
      </c>
      <c r="BK1112" s="2126">
        <v>0</v>
      </c>
      <c r="BL1112" s="2126">
        <v>0</v>
      </c>
      <c r="BM1112" s="2126">
        <v>0</v>
      </c>
      <c r="BN1112" s="2126">
        <v>0</v>
      </c>
      <c r="BO1112" s="2126">
        <v>0</v>
      </c>
      <c r="BP1112" s="2126">
        <v>0</v>
      </c>
      <c r="BQ1112" s="2126">
        <v>0</v>
      </c>
      <c r="BR1112" s="2126">
        <v>0</v>
      </c>
    </row>
    <row r="1113" spans="1:70" s="1765" customFormat="1" ht="49.5">
      <c r="A1113" s="1272">
        <v>4000</v>
      </c>
      <c r="B1113" s="971" t="s">
        <v>1316</v>
      </c>
      <c r="C1113" s="1272">
        <v>4700</v>
      </c>
      <c r="D1113" s="971" t="s">
        <v>912</v>
      </c>
      <c r="E1113" s="971">
        <v>4730</v>
      </c>
      <c r="F1113" s="971" t="s">
        <v>958</v>
      </c>
      <c r="G1113" s="971">
        <v>4731</v>
      </c>
      <c r="H1113" s="971" t="s">
        <v>968</v>
      </c>
      <c r="I1113" s="1273" t="s">
        <v>2012</v>
      </c>
      <c r="J1113" s="971" t="s">
        <v>124</v>
      </c>
      <c r="K1113" s="971"/>
      <c r="L1113" s="971" t="e">
        <v>#N/A</v>
      </c>
      <c r="M1113" s="971" t="s">
        <v>145</v>
      </c>
      <c r="N1113" s="971" t="s">
        <v>141</v>
      </c>
      <c r="O1113" s="971" t="s">
        <v>146</v>
      </c>
      <c r="P1113" s="971"/>
      <c r="Q1113" s="971" t="s">
        <v>986</v>
      </c>
      <c r="R1113" s="1266" t="s">
        <v>2010</v>
      </c>
      <c r="S1113" s="2106">
        <v>29.739776951672862</v>
      </c>
      <c r="T1113" s="1266" t="s">
        <v>136</v>
      </c>
      <c r="U1113" s="1742" t="s">
        <v>6588</v>
      </c>
      <c r="V1113" s="1742" t="s">
        <v>6588</v>
      </c>
      <c r="W1113" s="1742" t="s">
        <v>6588</v>
      </c>
      <c r="X1113" s="1742" t="s">
        <v>6588</v>
      </c>
      <c r="Y1113" s="2106" t="s">
        <v>6588</v>
      </c>
      <c r="Z1113" s="2106">
        <v>0</v>
      </c>
      <c r="AA1113" s="2106">
        <v>0</v>
      </c>
      <c r="AB1113" s="2106">
        <v>0</v>
      </c>
      <c r="AC1113" s="2106">
        <v>0</v>
      </c>
      <c r="AD1113" s="1744">
        <v>0</v>
      </c>
      <c r="AE1113" s="2126">
        <v>0</v>
      </c>
      <c r="AF1113" s="2126">
        <v>0</v>
      </c>
      <c r="AG1113" s="1212">
        <v>1</v>
      </c>
      <c r="AH1113" s="1212">
        <v>0</v>
      </c>
      <c r="AI1113" s="1212">
        <v>0</v>
      </c>
      <c r="AJ1113" s="1212">
        <v>1</v>
      </c>
      <c r="AK1113" s="2126">
        <v>0</v>
      </c>
      <c r="AL1113" s="2126">
        <v>0</v>
      </c>
      <c r="AM1113" s="2126">
        <v>0</v>
      </c>
      <c r="AN1113" s="2126">
        <v>0</v>
      </c>
      <c r="AO1113" s="1743" t="s">
        <v>85</v>
      </c>
      <c r="AP1113" s="1743"/>
      <c r="AQ1113" s="1764">
        <v>2014</v>
      </c>
      <c r="AR1113" s="1743" t="s">
        <v>87</v>
      </c>
      <c r="AS1113" s="2135"/>
      <c r="AT1113" s="2135"/>
      <c r="AU1113" s="1212">
        <v>0.5</v>
      </c>
      <c r="AV1113" s="1212">
        <v>0.5</v>
      </c>
      <c r="AW1113" s="1212"/>
      <c r="AX1113" s="1212"/>
      <c r="AY1113" s="1212"/>
      <c r="AZ1113" s="1212"/>
      <c r="BA1113" s="1212"/>
      <c r="BB1113" s="1212"/>
      <c r="BC1113" s="1212"/>
      <c r="BD1113" s="1212"/>
      <c r="BE1113" s="1212"/>
      <c r="BF1113" s="2126">
        <v>0</v>
      </c>
      <c r="BG1113" s="2126">
        <v>0</v>
      </c>
      <c r="BH1113" s="2126">
        <v>0</v>
      </c>
      <c r="BI1113" s="2126">
        <v>0</v>
      </c>
      <c r="BJ1113" s="2126">
        <v>0</v>
      </c>
      <c r="BK1113" s="2126">
        <v>0</v>
      </c>
      <c r="BL1113" s="2126">
        <v>0</v>
      </c>
      <c r="BM1113" s="2126">
        <v>0</v>
      </c>
      <c r="BN1113" s="2126">
        <v>0</v>
      </c>
      <c r="BO1113" s="2126">
        <v>0</v>
      </c>
      <c r="BP1113" s="2126">
        <v>0</v>
      </c>
      <c r="BQ1113" s="2126">
        <v>0</v>
      </c>
      <c r="BR1113" s="2126">
        <v>0</v>
      </c>
    </row>
    <row r="1114" spans="1:70" s="1765" customFormat="1" ht="49.5">
      <c r="A1114" s="1272">
        <v>4000</v>
      </c>
      <c r="B1114" s="971" t="s">
        <v>1316</v>
      </c>
      <c r="C1114" s="1272">
        <v>4700</v>
      </c>
      <c r="D1114" s="971" t="s">
        <v>912</v>
      </c>
      <c r="E1114" s="971">
        <v>4730</v>
      </c>
      <c r="F1114" s="971" t="s">
        <v>958</v>
      </c>
      <c r="G1114" s="971">
        <v>4731</v>
      </c>
      <c r="H1114" s="971" t="s">
        <v>968</v>
      </c>
      <c r="I1114" s="1273" t="s">
        <v>2013</v>
      </c>
      <c r="J1114" s="971" t="s">
        <v>638</v>
      </c>
      <c r="K1114" s="971"/>
      <c r="L1114" s="971" t="e">
        <v>#N/A</v>
      </c>
      <c r="M1114" s="971" t="s">
        <v>988</v>
      </c>
      <c r="N1114" s="971" t="s">
        <v>640</v>
      </c>
      <c r="O1114" s="971" t="s">
        <v>988</v>
      </c>
      <c r="P1114" s="971"/>
      <c r="Q1114" s="971" t="s">
        <v>989</v>
      </c>
      <c r="R1114" s="1266" t="s">
        <v>2014</v>
      </c>
      <c r="S1114" s="2106">
        <v>128</v>
      </c>
      <c r="T1114" s="1266" t="s">
        <v>991</v>
      </c>
      <c r="U1114" s="1742" t="s">
        <v>6588</v>
      </c>
      <c r="V1114" s="1742" t="s">
        <v>6588</v>
      </c>
      <c r="W1114" s="1742" t="s">
        <v>6588</v>
      </c>
      <c r="X1114" s="1742" t="s">
        <v>6588</v>
      </c>
      <c r="Y1114" s="2106" t="s">
        <v>6588</v>
      </c>
      <c r="Z1114" s="2106">
        <v>0</v>
      </c>
      <c r="AA1114" s="2106">
        <v>0</v>
      </c>
      <c r="AB1114" s="2106">
        <v>0</v>
      </c>
      <c r="AC1114" s="2106">
        <v>0</v>
      </c>
      <c r="AD1114" s="2132">
        <v>0</v>
      </c>
      <c r="AE1114" s="2126">
        <v>0</v>
      </c>
      <c r="AF1114" s="2126">
        <v>0</v>
      </c>
      <c r="AG1114" s="1212">
        <v>1</v>
      </c>
      <c r="AH1114" s="1212">
        <v>0</v>
      </c>
      <c r="AI1114" s="1212">
        <v>1</v>
      </c>
      <c r="AJ1114" s="1212">
        <v>0</v>
      </c>
      <c r="AK1114" s="2126">
        <v>0</v>
      </c>
      <c r="AL1114" s="2126">
        <v>0</v>
      </c>
      <c r="AM1114" s="2126">
        <v>0</v>
      </c>
      <c r="AN1114" s="2126">
        <v>0</v>
      </c>
      <c r="AO1114" s="1743" t="s">
        <v>85</v>
      </c>
      <c r="AP1114" s="1743"/>
      <c r="AQ1114" s="1764">
        <v>2014</v>
      </c>
      <c r="AR1114" s="1743" t="s">
        <v>87</v>
      </c>
      <c r="AS1114" s="2135"/>
      <c r="AT1114" s="2135"/>
      <c r="AU1114" s="1212">
        <v>0.5</v>
      </c>
      <c r="AV1114" s="1212">
        <v>0.5</v>
      </c>
      <c r="AW1114" s="1212"/>
      <c r="AX1114" s="1212"/>
      <c r="AY1114" s="1212"/>
      <c r="AZ1114" s="1212"/>
      <c r="BA1114" s="1212"/>
      <c r="BB1114" s="1212"/>
      <c r="BC1114" s="1212"/>
      <c r="BD1114" s="1212"/>
      <c r="BE1114" s="1212"/>
      <c r="BF1114" s="2126">
        <v>0</v>
      </c>
      <c r="BG1114" s="2126">
        <v>0</v>
      </c>
      <c r="BH1114" s="2126">
        <v>0</v>
      </c>
      <c r="BI1114" s="2126">
        <v>0</v>
      </c>
      <c r="BJ1114" s="2126">
        <v>0</v>
      </c>
      <c r="BK1114" s="2126">
        <v>0</v>
      </c>
      <c r="BL1114" s="2126">
        <v>0</v>
      </c>
      <c r="BM1114" s="2126">
        <v>0</v>
      </c>
      <c r="BN1114" s="2126">
        <v>0</v>
      </c>
      <c r="BO1114" s="2126">
        <v>0</v>
      </c>
      <c r="BP1114" s="2126">
        <v>0</v>
      </c>
      <c r="BQ1114" s="2126">
        <v>0</v>
      </c>
      <c r="BR1114" s="2126">
        <v>0</v>
      </c>
    </row>
    <row r="1115" spans="1:70" s="1765" customFormat="1" ht="49.5">
      <c r="A1115" s="1272">
        <v>4000</v>
      </c>
      <c r="B1115" s="971" t="s">
        <v>1316</v>
      </c>
      <c r="C1115" s="1272">
        <v>4700</v>
      </c>
      <c r="D1115" s="971" t="s">
        <v>912</v>
      </c>
      <c r="E1115" s="971">
        <v>4730</v>
      </c>
      <c r="F1115" s="971" t="s">
        <v>958</v>
      </c>
      <c r="G1115" s="971">
        <v>4731</v>
      </c>
      <c r="H1115" s="971" t="s">
        <v>968</v>
      </c>
      <c r="I1115" s="1273" t="s">
        <v>2015</v>
      </c>
      <c r="J1115" s="971" t="s">
        <v>124</v>
      </c>
      <c r="K1115" s="971" t="s">
        <v>140</v>
      </c>
      <c r="L1115" s="971" t="s">
        <v>2909</v>
      </c>
      <c r="M1115" s="971" t="s">
        <v>140</v>
      </c>
      <c r="N1115" s="971" t="s">
        <v>141</v>
      </c>
      <c r="O1115" s="971" t="s">
        <v>142</v>
      </c>
      <c r="P1115" s="971"/>
      <c r="Q1115" s="971" t="s">
        <v>993</v>
      </c>
      <c r="R1115" s="1266" t="s">
        <v>2002</v>
      </c>
      <c r="S1115" s="2106">
        <v>178.43866171003717</v>
      </c>
      <c r="T1115" s="1266" t="s">
        <v>136</v>
      </c>
      <c r="U1115" s="1742">
        <v>0</v>
      </c>
      <c r="V1115" s="1742">
        <v>0</v>
      </c>
      <c r="W1115" s="1742">
        <v>0</v>
      </c>
      <c r="X1115" s="1742">
        <v>0</v>
      </c>
      <c r="Y1115" s="2106">
        <v>0</v>
      </c>
      <c r="Z1115" s="2106">
        <v>0</v>
      </c>
      <c r="AA1115" s="2106">
        <v>0</v>
      </c>
      <c r="AB1115" s="2106">
        <v>0</v>
      </c>
      <c r="AC1115" s="2106">
        <v>0</v>
      </c>
      <c r="AD1115" s="1744">
        <v>0</v>
      </c>
      <c r="AE1115" s="2126">
        <v>0</v>
      </c>
      <c r="AF1115" s="2126">
        <v>0</v>
      </c>
      <c r="AG1115" s="1212">
        <v>1</v>
      </c>
      <c r="AH1115" s="1212">
        <v>0</v>
      </c>
      <c r="AI1115" s="1212">
        <v>0</v>
      </c>
      <c r="AJ1115" s="1212">
        <v>1</v>
      </c>
      <c r="AK1115" s="2126">
        <v>0</v>
      </c>
      <c r="AL1115" s="2126">
        <v>0</v>
      </c>
      <c r="AM1115" s="2126">
        <v>0</v>
      </c>
      <c r="AN1115" s="2126">
        <v>0</v>
      </c>
      <c r="AO1115" s="1743" t="s">
        <v>85</v>
      </c>
      <c r="AP1115" s="1743"/>
      <c r="AQ1115" s="1764">
        <v>2014</v>
      </c>
      <c r="AR1115" s="1743" t="s">
        <v>87</v>
      </c>
      <c r="AS1115" s="2135"/>
      <c r="AT1115" s="2135"/>
      <c r="AU1115" s="1212">
        <v>0.5</v>
      </c>
      <c r="AV1115" s="1212">
        <v>0.5</v>
      </c>
      <c r="AW1115" s="1212"/>
      <c r="AX1115" s="1212"/>
      <c r="AY1115" s="1212"/>
      <c r="AZ1115" s="1212"/>
      <c r="BA1115" s="1212"/>
      <c r="BB1115" s="1212"/>
      <c r="BC1115" s="1212"/>
      <c r="BD1115" s="1212"/>
      <c r="BE1115" s="1212"/>
      <c r="BF1115" s="2126">
        <v>0</v>
      </c>
      <c r="BG1115" s="2126">
        <v>0</v>
      </c>
      <c r="BH1115" s="2126">
        <v>0</v>
      </c>
      <c r="BI1115" s="2126">
        <v>0</v>
      </c>
      <c r="BJ1115" s="2126">
        <v>0</v>
      </c>
      <c r="BK1115" s="2126">
        <v>0</v>
      </c>
      <c r="BL1115" s="2126">
        <v>0</v>
      </c>
      <c r="BM1115" s="2126">
        <v>0</v>
      </c>
      <c r="BN1115" s="2126">
        <v>0</v>
      </c>
      <c r="BO1115" s="2126">
        <v>0</v>
      </c>
      <c r="BP1115" s="2126">
        <v>0</v>
      </c>
      <c r="BQ1115" s="2126">
        <v>0</v>
      </c>
      <c r="BR1115" s="2126">
        <v>0</v>
      </c>
    </row>
    <row r="1116" spans="1:70" s="1765" customFormat="1" ht="49.5">
      <c r="A1116" s="1272">
        <v>4000</v>
      </c>
      <c r="B1116" s="971" t="s">
        <v>1316</v>
      </c>
      <c r="C1116" s="1272">
        <v>4700</v>
      </c>
      <c r="D1116" s="971" t="s">
        <v>912</v>
      </c>
      <c r="E1116" s="971">
        <v>4730</v>
      </c>
      <c r="F1116" s="971" t="s">
        <v>958</v>
      </c>
      <c r="G1116" s="971">
        <v>4731</v>
      </c>
      <c r="H1116" s="971" t="s">
        <v>968</v>
      </c>
      <c r="I1116" s="1273" t="s">
        <v>2016</v>
      </c>
      <c r="J1116" s="971" t="s">
        <v>799</v>
      </c>
      <c r="K1116" s="971"/>
      <c r="L1116" s="971" t="e">
        <v>#N/A</v>
      </c>
      <c r="M1116" s="971"/>
      <c r="N1116" s="971"/>
      <c r="O1116" s="971"/>
      <c r="P1116" s="971"/>
      <c r="Q1116" s="971" t="s">
        <v>995</v>
      </c>
      <c r="R1116" s="1266" t="s">
        <v>2002</v>
      </c>
      <c r="S1116" s="2106">
        <v>1920</v>
      </c>
      <c r="T1116" s="1266" t="s">
        <v>136</v>
      </c>
      <c r="U1116" s="1742" t="s">
        <v>6588</v>
      </c>
      <c r="V1116" s="1742" t="s">
        <v>6588</v>
      </c>
      <c r="W1116" s="1742" t="s">
        <v>6588</v>
      </c>
      <c r="X1116" s="1742" t="s">
        <v>6588</v>
      </c>
      <c r="Y1116" s="2106" t="s">
        <v>6588</v>
      </c>
      <c r="Z1116" s="2106">
        <v>0</v>
      </c>
      <c r="AA1116" s="2106">
        <v>0</v>
      </c>
      <c r="AB1116" s="2106">
        <v>0</v>
      </c>
      <c r="AC1116" s="2106">
        <v>0</v>
      </c>
      <c r="AD1116" s="1744">
        <v>0</v>
      </c>
      <c r="AE1116" s="2126">
        <v>0</v>
      </c>
      <c r="AF1116" s="2126">
        <v>0</v>
      </c>
      <c r="AG1116" s="1212">
        <v>1</v>
      </c>
      <c r="AH1116" s="1212">
        <v>0</v>
      </c>
      <c r="AI1116" s="1212">
        <v>0</v>
      </c>
      <c r="AJ1116" s="1212">
        <v>1</v>
      </c>
      <c r="AK1116" s="2126">
        <v>0</v>
      </c>
      <c r="AL1116" s="2126">
        <v>0</v>
      </c>
      <c r="AM1116" s="2126">
        <v>0</v>
      </c>
      <c r="AN1116" s="2126">
        <v>0</v>
      </c>
      <c r="AO1116" s="1743" t="s">
        <v>85</v>
      </c>
      <c r="AP1116" s="1743"/>
      <c r="AQ1116" s="1764">
        <v>2014</v>
      </c>
      <c r="AR1116" s="1743" t="s">
        <v>87</v>
      </c>
      <c r="AS1116" s="2135"/>
      <c r="AT1116" s="2135"/>
      <c r="AU1116" s="1212">
        <v>0.5</v>
      </c>
      <c r="AV1116" s="1212">
        <v>0.5</v>
      </c>
      <c r="AW1116" s="1212"/>
      <c r="AX1116" s="1212"/>
      <c r="AY1116" s="1212"/>
      <c r="AZ1116" s="1212"/>
      <c r="BA1116" s="1212"/>
      <c r="BB1116" s="1212"/>
      <c r="BC1116" s="1212"/>
      <c r="BD1116" s="1212"/>
      <c r="BE1116" s="1212"/>
      <c r="BF1116" s="2126">
        <v>0</v>
      </c>
      <c r="BG1116" s="2126">
        <v>0</v>
      </c>
      <c r="BH1116" s="2126">
        <v>0</v>
      </c>
      <c r="BI1116" s="2126">
        <v>0</v>
      </c>
      <c r="BJ1116" s="2126">
        <v>0</v>
      </c>
      <c r="BK1116" s="2126">
        <v>0</v>
      </c>
      <c r="BL1116" s="2126">
        <v>0</v>
      </c>
      <c r="BM1116" s="2126">
        <v>0</v>
      </c>
      <c r="BN1116" s="2126">
        <v>0</v>
      </c>
      <c r="BO1116" s="2126">
        <v>0</v>
      </c>
      <c r="BP1116" s="2126">
        <v>0</v>
      </c>
      <c r="BQ1116" s="2126">
        <v>0</v>
      </c>
      <c r="BR1116" s="2126">
        <v>0</v>
      </c>
    </row>
    <row r="1117" spans="1:70" s="1765" customFormat="1" ht="49.5">
      <c r="A1117" s="1272">
        <v>4000</v>
      </c>
      <c r="B1117" s="971" t="s">
        <v>1316</v>
      </c>
      <c r="C1117" s="1272">
        <v>4700</v>
      </c>
      <c r="D1117" s="971" t="s">
        <v>912</v>
      </c>
      <c r="E1117" s="971">
        <v>4730</v>
      </c>
      <c r="F1117" s="971" t="s">
        <v>958</v>
      </c>
      <c r="G1117" s="971">
        <v>4731</v>
      </c>
      <c r="H1117" s="971" t="s">
        <v>968</v>
      </c>
      <c r="I1117" s="1273"/>
      <c r="J1117" s="971" t="s">
        <v>638</v>
      </c>
      <c r="K1117" s="971" t="s">
        <v>1971</v>
      </c>
      <c r="L1117" s="971" t="s">
        <v>639</v>
      </c>
      <c r="M1117" s="971" t="s">
        <v>639</v>
      </c>
      <c r="N1117" s="971" t="s">
        <v>640</v>
      </c>
      <c r="O1117" s="971" t="s">
        <v>639</v>
      </c>
      <c r="P1117" s="971"/>
      <c r="Q1117" s="971" t="s">
        <v>2017</v>
      </c>
      <c r="R1117" s="1266"/>
      <c r="S1117" s="2106">
        <v>2200</v>
      </c>
      <c r="T1117" s="1266" t="s">
        <v>991</v>
      </c>
      <c r="U1117" s="1742">
        <v>0.25</v>
      </c>
      <c r="V1117" s="1742">
        <v>3.125</v>
      </c>
      <c r="W1117" s="1742">
        <v>22.035</v>
      </c>
      <c r="X1117" s="1742">
        <v>34.467500000000001</v>
      </c>
      <c r="Y1117" s="2106">
        <v>59.627499999999998</v>
      </c>
      <c r="Z1117" s="2106">
        <v>550</v>
      </c>
      <c r="AA1117" s="2106">
        <v>6875</v>
      </c>
      <c r="AB1117" s="2106">
        <v>48477</v>
      </c>
      <c r="AC1117" s="2106">
        <v>75828.5</v>
      </c>
      <c r="AD1117" s="2132">
        <v>131180.5</v>
      </c>
      <c r="AE1117" s="2126">
        <v>1.0000000000000002E-2</v>
      </c>
      <c r="AF1117" s="2126">
        <v>22.000000000000004</v>
      </c>
      <c r="AG1117" s="1212">
        <v>1</v>
      </c>
      <c r="AH1117" s="1212">
        <v>0</v>
      </c>
      <c r="AI1117" s="1212">
        <v>1</v>
      </c>
      <c r="AJ1117" s="1212">
        <v>0</v>
      </c>
      <c r="AK1117" s="2126">
        <v>131180.5</v>
      </c>
      <c r="AL1117" s="2126">
        <v>0</v>
      </c>
      <c r="AM1117" s="2126">
        <v>131180.5</v>
      </c>
      <c r="AN1117" s="2126">
        <v>0</v>
      </c>
      <c r="AO1117" s="1743" t="s">
        <v>85</v>
      </c>
      <c r="AP1117" s="1743" t="s">
        <v>90</v>
      </c>
      <c r="AQ1117" s="1764" t="s">
        <v>105</v>
      </c>
      <c r="AR1117" s="1743" t="s">
        <v>87</v>
      </c>
      <c r="AS1117" s="2135"/>
      <c r="AT1117" s="2135"/>
      <c r="AU1117" s="1212">
        <v>0.5</v>
      </c>
      <c r="AV1117" s="1212">
        <v>0.5</v>
      </c>
      <c r="AW1117" s="1212"/>
      <c r="AX1117" s="1212"/>
      <c r="AY1117" s="1212"/>
      <c r="AZ1117" s="1212"/>
      <c r="BA1117" s="1212"/>
      <c r="BB1117" s="1212"/>
      <c r="BC1117" s="1212"/>
      <c r="BD1117" s="1212"/>
      <c r="BE1117" s="1212"/>
      <c r="BF1117" s="2126">
        <v>0</v>
      </c>
      <c r="BG1117" s="2126">
        <v>0</v>
      </c>
      <c r="BH1117" s="2126">
        <v>65590.25</v>
      </c>
      <c r="BI1117" s="2126">
        <v>65590.25</v>
      </c>
      <c r="BJ1117" s="2126">
        <v>0</v>
      </c>
      <c r="BK1117" s="2126">
        <v>0</v>
      </c>
      <c r="BL1117" s="2126">
        <v>0</v>
      </c>
      <c r="BM1117" s="2126">
        <v>0</v>
      </c>
      <c r="BN1117" s="2126">
        <v>0</v>
      </c>
      <c r="BO1117" s="2126">
        <v>0</v>
      </c>
      <c r="BP1117" s="2126">
        <v>0</v>
      </c>
      <c r="BQ1117" s="2126">
        <v>0</v>
      </c>
      <c r="BR1117" s="2126">
        <v>0</v>
      </c>
    </row>
    <row r="1118" spans="1:70" s="1765" customFormat="1" ht="49.5">
      <c r="A1118" s="1272">
        <v>4000</v>
      </c>
      <c r="B1118" s="971" t="s">
        <v>1316</v>
      </c>
      <c r="C1118" s="1272">
        <v>4700</v>
      </c>
      <c r="D1118" s="971" t="s">
        <v>912</v>
      </c>
      <c r="E1118" s="971">
        <v>4730</v>
      </c>
      <c r="F1118" s="971" t="s">
        <v>958</v>
      </c>
      <c r="G1118" s="971">
        <v>4731</v>
      </c>
      <c r="H1118" s="971" t="s">
        <v>968</v>
      </c>
      <c r="I1118" s="1273"/>
      <c r="J1118" s="971" t="s">
        <v>799</v>
      </c>
      <c r="K1118" s="971" t="s">
        <v>977</v>
      </c>
      <c r="L1118" s="971" t="s">
        <v>2896</v>
      </c>
      <c r="M1118" s="971" t="s">
        <v>977</v>
      </c>
      <c r="N1118" s="971" t="s">
        <v>269</v>
      </c>
      <c r="O1118" s="971" t="s">
        <v>978</v>
      </c>
      <c r="P1118" s="971"/>
      <c r="Q1118" s="971" t="s">
        <v>2018</v>
      </c>
      <c r="R1118" s="1266"/>
      <c r="S1118" s="2106">
        <v>0</v>
      </c>
      <c r="T1118" s="1266" t="s">
        <v>2700</v>
      </c>
      <c r="U1118" s="1742">
        <v>51</v>
      </c>
      <c r="V1118" s="1742">
        <v>450</v>
      </c>
      <c r="W1118" s="1742">
        <v>4495.1399999999994</v>
      </c>
      <c r="X1118" s="1742">
        <v>4963.32</v>
      </c>
      <c r="Y1118" s="2106">
        <v>9908.4599999999991</v>
      </c>
      <c r="Z1118" s="2106">
        <v>0</v>
      </c>
      <c r="AA1118" s="2106">
        <v>0</v>
      </c>
      <c r="AB1118" s="2106">
        <v>0</v>
      </c>
      <c r="AC1118" s="2106">
        <v>0</v>
      </c>
      <c r="AD1118" s="2132">
        <v>0</v>
      </c>
      <c r="AE1118" s="2126">
        <v>329.26829268292681</v>
      </c>
      <c r="AF1118" s="2126">
        <v>0</v>
      </c>
      <c r="AG1118" s="1212">
        <v>1</v>
      </c>
      <c r="AH1118" s="1212">
        <v>0</v>
      </c>
      <c r="AI1118" s="1212">
        <v>1</v>
      </c>
      <c r="AJ1118" s="1212">
        <v>0</v>
      </c>
      <c r="AK1118" s="2126">
        <v>0</v>
      </c>
      <c r="AL1118" s="2126">
        <v>0</v>
      </c>
      <c r="AM1118" s="2126">
        <v>0</v>
      </c>
      <c r="AN1118" s="2126">
        <v>0</v>
      </c>
      <c r="AO1118" s="1743" t="s">
        <v>85</v>
      </c>
      <c r="AP1118" s="1743" t="s">
        <v>96</v>
      </c>
      <c r="AQ1118" s="1764" t="s">
        <v>107</v>
      </c>
      <c r="AR1118" s="1743" t="s">
        <v>87</v>
      </c>
      <c r="AS1118" s="2135"/>
      <c r="AT1118" s="2135"/>
      <c r="AU1118" s="1212">
        <v>0.5</v>
      </c>
      <c r="AV1118" s="1212">
        <v>0.5</v>
      </c>
      <c r="AW1118" s="1212"/>
      <c r="AX1118" s="1212"/>
      <c r="AY1118" s="1212"/>
      <c r="AZ1118" s="1212"/>
      <c r="BA1118" s="1212"/>
      <c r="BB1118" s="1212"/>
      <c r="BC1118" s="1212"/>
      <c r="BD1118" s="1212"/>
      <c r="BE1118" s="1212"/>
      <c r="BF1118" s="2126">
        <v>0</v>
      </c>
      <c r="BG1118" s="2126">
        <v>0</v>
      </c>
      <c r="BH1118" s="2126">
        <v>0</v>
      </c>
      <c r="BI1118" s="2126">
        <v>0</v>
      </c>
      <c r="BJ1118" s="2126">
        <v>0</v>
      </c>
      <c r="BK1118" s="2126">
        <v>0</v>
      </c>
      <c r="BL1118" s="2126">
        <v>0</v>
      </c>
      <c r="BM1118" s="2126">
        <v>0</v>
      </c>
      <c r="BN1118" s="2126">
        <v>0</v>
      </c>
      <c r="BO1118" s="2126">
        <v>0</v>
      </c>
      <c r="BP1118" s="2126">
        <v>0</v>
      </c>
      <c r="BQ1118" s="2126">
        <v>0</v>
      </c>
      <c r="BR1118" s="2126">
        <v>0</v>
      </c>
    </row>
    <row r="1119" spans="1:70" s="1765" customFormat="1" ht="49.5">
      <c r="A1119" s="1272">
        <v>4000</v>
      </c>
      <c r="B1119" s="971" t="s">
        <v>1316</v>
      </c>
      <c r="C1119" s="1272">
        <v>4700</v>
      </c>
      <c r="D1119" s="971" t="s">
        <v>912</v>
      </c>
      <c r="E1119" s="971">
        <v>4730</v>
      </c>
      <c r="F1119" s="971" t="s">
        <v>958</v>
      </c>
      <c r="G1119" s="971">
        <v>4731</v>
      </c>
      <c r="H1119" s="971" t="s">
        <v>968</v>
      </c>
      <c r="I1119" s="1273"/>
      <c r="J1119" s="971" t="s">
        <v>799</v>
      </c>
      <c r="K1119" s="971" t="s">
        <v>977</v>
      </c>
      <c r="L1119" s="971" t="s">
        <v>2896</v>
      </c>
      <c r="M1119" s="971" t="s">
        <v>977</v>
      </c>
      <c r="N1119" s="971" t="s">
        <v>269</v>
      </c>
      <c r="O1119" s="971" t="s">
        <v>978</v>
      </c>
      <c r="P1119" s="971"/>
      <c r="Q1119" s="971" t="s">
        <v>2019</v>
      </c>
      <c r="R1119" s="1266"/>
      <c r="S1119" s="2106">
        <v>1</v>
      </c>
      <c r="T1119" s="1266" t="s">
        <v>2700</v>
      </c>
      <c r="U1119" s="1742">
        <v>51</v>
      </c>
      <c r="V1119" s="1742">
        <v>450</v>
      </c>
      <c r="W1119" s="1742">
        <v>4495.1399999999994</v>
      </c>
      <c r="X1119" s="1742">
        <v>4963.32</v>
      </c>
      <c r="Y1119" s="2106">
        <v>9908.4599999999991</v>
      </c>
      <c r="Z1119" s="2106">
        <v>51</v>
      </c>
      <c r="AA1119" s="2106">
        <v>450</v>
      </c>
      <c r="AB1119" s="2106">
        <v>4495.1399999999994</v>
      </c>
      <c r="AC1119" s="2106">
        <v>4963.32</v>
      </c>
      <c r="AD1119" s="2132">
        <v>9908.4599999999991</v>
      </c>
      <c r="AE1119" s="2126">
        <v>329.26829268292681</v>
      </c>
      <c r="AF1119" s="2126">
        <v>329.26829268292681</v>
      </c>
      <c r="AG1119" s="1212">
        <v>1</v>
      </c>
      <c r="AH1119" s="1212">
        <v>0</v>
      </c>
      <c r="AI1119" s="1212">
        <v>1</v>
      </c>
      <c r="AJ1119" s="1212">
        <v>0</v>
      </c>
      <c r="AK1119" s="2126">
        <v>9908.4599999999991</v>
      </c>
      <c r="AL1119" s="2126">
        <v>0</v>
      </c>
      <c r="AM1119" s="2126">
        <v>9908.4599999999991</v>
      </c>
      <c r="AN1119" s="2126">
        <v>0</v>
      </c>
      <c r="AO1119" s="1743" t="s">
        <v>85</v>
      </c>
      <c r="AP1119" s="1743" t="s">
        <v>90</v>
      </c>
      <c r="AQ1119" s="1764" t="s">
        <v>112</v>
      </c>
      <c r="AR1119" s="1743" t="s">
        <v>87</v>
      </c>
      <c r="AS1119" s="2135"/>
      <c r="AT1119" s="2135"/>
      <c r="AU1119" s="1212">
        <v>0.5</v>
      </c>
      <c r="AV1119" s="1212">
        <v>0.5</v>
      </c>
      <c r="AW1119" s="1212"/>
      <c r="AX1119" s="1212"/>
      <c r="AY1119" s="1212"/>
      <c r="AZ1119" s="1212"/>
      <c r="BA1119" s="1212"/>
      <c r="BB1119" s="1212"/>
      <c r="BC1119" s="1212"/>
      <c r="BD1119" s="1212"/>
      <c r="BE1119" s="1212"/>
      <c r="BF1119" s="2126">
        <v>0</v>
      </c>
      <c r="BG1119" s="2126">
        <v>0</v>
      </c>
      <c r="BH1119" s="2126">
        <v>4954.2299999999996</v>
      </c>
      <c r="BI1119" s="2126">
        <v>4954.2299999999996</v>
      </c>
      <c r="BJ1119" s="2126">
        <v>0</v>
      </c>
      <c r="BK1119" s="2126">
        <v>0</v>
      </c>
      <c r="BL1119" s="2126">
        <v>0</v>
      </c>
      <c r="BM1119" s="2126">
        <v>0</v>
      </c>
      <c r="BN1119" s="2126">
        <v>0</v>
      </c>
      <c r="BO1119" s="2126">
        <v>0</v>
      </c>
      <c r="BP1119" s="2126">
        <v>0</v>
      </c>
      <c r="BQ1119" s="2126">
        <v>0</v>
      </c>
      <c r="BR1119" s="2126">
        <v>0</v>
      </c>
    </row>
    <row r="1120" spans="1:70" s="1765" customFormat="1" ht="66">
      <c r="A1120" s="1272">
        <v>4000</v>
      </c>
      <c r="B1120" s="971" t="s">
        <v>1316</v>
      </c>
      <c r="C1120" s="1272">
        <v>4700</v>
      </c>
      <c r="D1120" s="971" t="s">
        <v>912</v>
      </c>
      <c r="E1120" s="971">
        <v>4730</v>
      </c>
      <c r="F1120" s="971" t="s">
        <v>958</v>
      </c>
      <c r="G1120" s="971">
        <v>4732</v>
      </c>
      <c r="H1120" s="971" t="s">
        <v>998</v>
      </c>
      <c r="I1120" s="1273" t="s">
        <v>2020</v>
      </c>
      <c r="J1120" s="971" t="s">
        <v>124</v>
      </c>
      <c r="K1120" s="971" t="s">
        <v>1747</v>
      </c>
      <c r="L1120" s="971" t="s">
        <v>6606</v>
      </c>
      <c r="M1120" s="971" t="s">
        <v>606</v>
      </c>
      <c r="N1120" s="971" t="s">
        <v>488</v>
      </c>
      <c r="O1120" s="971" t="s">
        <v>518</v>
      </c>
      <c r="P1120" s="971"/>
      <c r="Q1120" s="971" t="s">
        <v>1000</v>
      </c>
      <c r="R1120" s="1266" t="s">
        <v>2021</v>
      </c>
      <c r="S1120" s="2106">
        <v>55.762081784386616</v>
      </c>
      <c r="T1120" s="1266" t="s">
        <v>136</v>
      </c>
      <c r="U1120" s="1742">
        <v>0.56041666666666667</v>
      </c>
      <c r="V1120" s="1742">
        <v>1.9614583333333333</v>
      </c>
      <c r="W1120" s="1742">
        <v>49.395125</v>
      </c>
      <c r="X1120" s="1742">
        <v>77.264645833333333</v>
      </c>
      <c r="Y1120" s="2106">
        <v>128.62122916666667</v>
      </c>
      <c r="Z1120" s="2106">
        <v>31.25</v>
      </c>
      <c r="AA1120" s="2106">
        <v>109.375</v>
      </c>
      <c r="AB1120" s="2106">
        <v>2754.375</v>
      </c>
      <c r="AC1120" s="2106">
        <v>4308.4375</v>
      </c>
      <c r="AD1120" s="1744">
        <v>7172.1875</v>
      </c>
      <c r="AE1120" s="2126">
        <v>1</v>
      </c>
      <c r="AF1120" s="2126">
        <v>55.762081784386616</v>
      </c>
      <c r="AG1120" s="1212">
        <v>1</v>
      </c>
      <c r="AH1120" s="1212">
        <v>0</v>
      </c>
      <c r="AI1120" s="1212">
        <v>0</v>
      </c>
      <c r="AJ1120" s="1212">
        <v>1</v>
      </c>
      <c r="AK1120" s="2126">
        <v>7172.1875</v>
      </c>
      <c r="AL1120" s="2126">
        <v>0</v>
      </c>
      <c r="AM1120" s="2126">
        <v>0</v>
      </c>
      <c r="AN1120" s="2126">
        <v>7172.1875</v>
      </c>
      <c r="AO1120" s="1743" t="s">
        <v>85</v>
      </c>
      <c r="AP1120" s="1743"/>
      <c r="AQ1120" s="1764">
        <v>2014</v>
      </c>
      <c r="AR1120" s="1743" t="s">
        <v>87</v>
      </c>
      <c r="AS1120" s="2135"/>
      <c r="AT1120" s="2135"/>
      <c r="AU1120" s="1212">
        <v>0.5</v>
      </c>
      <c r="AV1120" s="1212">
        <v>0.5</v>
      </c>
      <c r="AW1120" s="1212"/>
      <c r="AX1120" s="1212"/>
      <c r="AY1120" s="1212"/>
      <c r="AZ1120" s="1212"/>
      <c r="BA1120" s="1212"/>
      <c r="BB1120" s="1212"/>
      <c r="BC1120" s="1212"/>
      <c r="BD1120" s="1212"/>
      <c r="BE1120" s="1212"/>
      <c r="BF1120" s="2126">
        <v>0</v>
      </c>
      <c r="BG1120" s="2126">
        <v>0</v>
      </c>
      <c r="BH1120" s="2126">
        <v>3586.09375</v>
      </c>
      <c r="BI1120" s="2126">
        <v>3586.09375</v>
      </c>
      <c r="BJ1120" s="2126">
        <v>0</v>
      </c>
      <c r="BK1120" s="2126">
        <v>0</v>
      </c>
      <c r="BL1120" s="2126">
        <v>0</v>
      </c>
      <c r="BM1120" s="2126">
        <v>0</v>
      </c>
      <c r="BN1120" s="2126">
        <v>0</v>
      </c>
      <c r="BO1120" s="2126">
        <v>0</v>
      </c>
      <c r="BP1120" s="2126">
        <v>0</v>
      </c>
      <c r="BQ1120" s="2126">
        <v>0</v>
      </c>
      <c r="BR1120" s="2126">
        <v>0</v>
      </c>
    </row>
    <row r="1121" spans="1:70" s="1765" customFormat="1" ht="66">
      <c r="A1121" s="1272">
        <v>4000</v>
      </c>
      <c r="B1121" s="971" t="s">
        <v>1316</v>
      </c>
      <c r="C1121" s="1272">
        <v>4700</v>
      </c>
      <c r="D1121" s="971" t="s">
        <v>912</v>
      </c>
      <c r="E1121" s="971" t="s">
        <v>1438</v>
      </c>
      <c r="F1121" s="971" t="s">
        <v>1439</v>
      </c>
      <c r="G1121" s="971"/>
      <c r="H1121" s="971" t="s">
        <v>923</v>
      </c>
      <c r="I1121" s="1273"/>
      <c r="J1121" s="971" t="s">
        <v>124</v>
      </c>
      <c r="K1121" s="971" t="s">
        <v>2022</v>
      </c>
      <c r="L1121" s="971" t="s">
        <v>2867</v>
      </c>
      <c r="M1121" s="971" t="s">
        <v>606</v>
      </c>
      <c r="N1121" s="971" t="s">
        <v>488</v>
      </c>
      <c r="O1121" s="971" t="s">
        <v>2867</v>
      </c>
      <c r="P1121" s="971"/>
      <c r="Q1121" s="971" t="s">
        <v>2023</v>
      </c>
      <c r="R1121" s="1266"/>
      <c r="S1121" s="2106">
        <v>726</v>
      </c>
      <c r="T1121" s="1266" t="s">
        <v>136</v>
      </c>
      <c r="U1121" s="1742">
        <v>0.58283333333333331</v>
      </c>
      <c r="V1121" s="1742">
        <v>2.2416666666666667</v>
      </c>
      <c r="W1121" s="1742">
        <v>56.121489214285731</v>
      </c>
      <c r="X1121" s="1742">
        <v>80.355231666666654</v>
      </c>
      <c r="Y1121" s="2106">
        <v>138.71838754761905</v>
      </c>
      <c r="Z1121" s="2106">
        <v>423.137</v>
      </c>
      <c r="AA1121" s="2106">
        <v>1627.45</v>
      </c>
      <c r="AB1121" s="2106">
        <v>40744.201169571439</v>
      </c>
      <c r="AC1121" s="2106">
        <v>58337.898189999993</v>
      </c>
      <c r="AD1121" s="1744">
        <v>100709.54935957142</v>
      </c>
      <c r="AE1121" s="2126">
        <v>0.5</v>
      </c>
      <c r="AF1121" s="2126">
        <v>363</v>
      </c>
      <c r="AG1121" s="1212">
        <v>1</v>
      </c>
      <c r="AH1121" s="1212">
        <v>0</v>
      </c>
      <c r="AI1121" s="1212">
        <v>0</v>
      </c>
      <c r="AJ1121" s="1212">
        <v>1</v>
      </c>
      <c r="AK1121" s="2126">
        <v>100709.54935957142</v>
      </c>
      <c r="AL1121" s="2126">
        <v>0</v>
      </c>
      <c r="AM1121" s="2126">
        <v>0</v>
      </c>
      <c r="AN1121" s="2126">
        <v>100709.54935957142</v>
      </c>
      <c r="AO1121" s="1743" t="s">
        <v>85</v>
      </c>
      <c r="AP1121" s="1743"/>
      <c r="AQ1121" s="1764" t="s">
        <v>105</v>
      </c>
      <c r="AR1121" s="1743" t="s">
        <v>87</v>
      </c>
      <c r="AS1121" s="2135"/>
      <c r="AT1121" s="2135"/>
      <c r="AU1121" s="1212">
        <v>0.5</v>
      </c>
      <c r="AV1121" s="1212">
        <v>0.5</v>
      </c>
      <c r="AW1121" s="1212"/>
      <c r="AX1121" s="1212"/>
      <c r="AY1121" s="1212"/>
      <c r="AZ1121" s="1212"/>
      <c r="BA1121" s="1212"/>
      <c r="BB1121" s="1212"/>
      <c r="BC1121" s="1212"/>
      <c r="BD1121" s="1212"/>
      <c r="BE1121" s="1212"/>
      <c r="BF1121" s="2126">
        <v>0</v>
      </c>
      <c r="BG1121" s="2126">
        <v>0</v>
      </c>
      <c r="BH1121" s="2126">
        <v>50354.774679785711</v>
      </c>
      <c r="BI1121" s="2126">
        <v>50354.774679785711</v>
      </c>
      <c r="BJ1121" s="2126">
        <v>0</v>
      </c>
      <c r="BK1121" s="2126">
        <v>0</v>
      </c>
      <c r="BL1121" s="2126">
        <v>0</v>
      </c>
      <c r="BM1121" s="2126">
        <v>0</v>
      </c>
      <c r="BN1121" s="2126">
        <v>0</v>
      </c>
      <c r="BO1121" s="2126">
        <v>0</v>
      </c>
      <c r="BP1121" s="2126">
        <v>0</v>
      </c>
      <c r="BQ1121" s="2126">
        <v>0</v>
      </c>
      <c r="BR1121" s="2126">
        <v>0</v>
      </c>
    </row>
    <row r="1122" spans="1:70" s="1765" customFormat="1" ht="49.5">
      <c r="A1122" s="1272">
        <v>4000</v>
      </c>
      <c r="B1122" s="971" t="s">
        <v>1316</v>
      </c>
      <c r="C1122" s="1272">
        <v>4700</v>
      </c>
      <c r="D1122" s="971" t="s">
        <v>912</v>
      </c>
      <c r="E1122" s="971">
        <v>4730</v>
      </c>
      <c r="F1122" s="971" t="s">
        <v>958</v>
      </c>
      <c r="G1122" s="971">
        <v>4732</v>
      </c>
      <c r="H1122" s="971" t="s">
        <v>998</v>
      </c>
      <c r="I1122" s="1273" t="s">
        <v>2024</v>
      </c>
      <c r="J1122" s="971" t="s">
        <v>177</v>
      </c>
      <c r="K1122" s="971" t="s">
        <v>188</v>
      </c>
      <c r="L1122" s="971" t="s">
        <v>2841</v>
      </c>
      <c r="M1122" s="971" t="s">
        <v>188</v>
      </c>
      <c r="N1122" s="971" t="s">
        <v>179</v>
      </c>
      <c r="O1122" s="971" t="s">
        <v>189</v>
      </c>
      <c r="P1122" s="971"/>
      <c r="Q1122" s="971" t="s">
        <v>2025</v>
      </c>
      <c r="R1122" s="1266" t="s">
        <v>2026</v>
      </c>
      <c r="S1122" s="2106">
        <v>1</v>
      </c>
      <c r="T1122" s="1266" t="s">
        <v>242</v>
      </c>
      <c r="U1122" s="1742">
        <v>15.5</v>
      </c>
      <c r="V1122" s="1742">
        <v>162.5</v>
      </c>
      <c r="W1122" s="1742">
        <v>1366.17</v>
      </c>
      <c r="X1122" s="1742">
        <v>1792.3100000000002</v>
      </c>
      <c r="Y1122" s="2106">
        <v>3320.98</v>
      </c>
      <c r="Z1122" s="2106">
        <v>15.5</v>
      </c>
      <c r="AA1122" s="2106">
        <v>162.5</v>
      </c>
      <c r="AB1122" s="2106">
        <v>1366.17</v>
      </c>
      <c r="AC1122" s="2106">
        <v>1792.3100000000002</v>
      </c>
      <c r="AD1122" s="1744">
        <v>3320.9800000000005</v>
      </c>
      <c r="AE1122" s="2126">
        <v>20</v>
      </c>
      <c r="AF1122" s="2126">
        <v>20</v>
      </c>
      <c r="AG1122" s="1212">
        <v>1</v>
      </c>
      <c r="AH1122" s="1212">
        <v>0</v>
      </c>
      <c r="AI1122" s="1212">
        <v>0</v>
      </c>
      <c r="AJ1122" s="1212">
        <v>1</v>
      </c>
      <c r="AK1122" s="2126">
        <v>3320.9800000000005</v>
      </c>
      <c r="AL1122" s="2126">
        <v>0</v>
      </c>
      <c r="AM1122" s="2126">
        <v>0</v>
      </c>
      <c r="AN1122" s="2126">
        <v>3320.9800000000005</v>
      </c>
      <c r="AO1122" s="1743" t="s">
        <v>85</v>
      </c>
      <c r="AP1122" s="1743"/>
      <c r="AQ1122" s="1764">
        <v>2014</v>
      </c>
      <c r="AR1122" s="1743" t="s">
        <v>87</v>
      </c>
      <c r="AS1122" s="2135"/>
      <c r="AT1122" s="2135"/>
      <c r="AU1122" s="1212">
        <v>0.5</v>
      </c>
      <c r="AV1122" s="1212">
        <v>0.5</v>
      </c>
      <c r="AW1122" s="1212"/>
      <c r="AX1122" s="1212"/>
      <c r="AY1122" s="1212"/>
      <c r="AZ1122" s="1212"/>
      <c r="BA1122" s="1212"/>
      <c r="BB1122" s="1212"/>
      <c r="BC1122" s="1212"/>
      <c r="BD1122" s="1212"/>
      <c r="BE1122" s="1212"/>
      <c r="BF1122" s="2126">
        <v>0</v>
      </c>
      <c r="BG1122" s="2126">
        <v>0</v>
      </c>
      <c r="BH1122" s="2126">
        <v>1660.4900000000002</v>
      </c>
      <c r="BI1122" s="2126">
        <v>1660.4900000000002</v>
      </c>
      <c r="BJ1122" s="2126">
        <v>0</v>
      </c>
      <c r="BK1122" s="2126">
        <v>0</v>
      </c>
      <c r="BL1122" s="2126">
        <v>0</v>
      </c>
      <c r="BM1122" s="2126">
        <v>0</v>
      </c>
      <c r="BN1122" s="2126">
        <v>0</v>
      </c>
      <c r="BO1122" s="2126">
        <v>0</v>
      </c>
      <c r="BP1122" s="2126">
        <v>0</v>
      </c>
      <c r="BQ1122" s="2126">
        <v>0</v>
      </c>
      <c r="BR1122" s="2126">
        <v>0</v>
      </c>
    </row>
    <row r="1123" spans="1:70" s="1765" customFormat="1" ht="49.5">
      <c r="A1123" s="1272">
        <v>4000</v>
      </c>
      <c r="B1123" s="971" t="s">
        <v>1316</v>
      </c>
      <c r="C1123" s="1272">
        <v>4700</v>
      </c>
      <c r="D1123" s="971" t="s">
        <v>912</v>
      </c>
      <c r="E1123" s="971">
        <v>4730</v>
      </c>
      <c r="F1123" s="971" t="s">
        <v>958</v>
      </c>
      <c r="G1123" s="971">
        <v>4732</v>
      </c>
      <c r="H1123" s="971" t="s">
        <v>998</v>
      </c>
      <c r="I1123" s="1273" t="s">
        <v>2027</v>
      </c>
      <c r="J1123" s="971" t="s">
        <v>124</v>
      </c>
      <c r="K1123" s="971" t="s">
        <v>523</v>
      </c>
      <c r="L1123" s="971" t="s">
        <v>6607</v>
      </c>
      <c r="M1123" s="971" t="s">
        <v>523</v>
      </c>
      <c r="N1123" s="971" t="s">
        <v>141</v>
      </c>
      <c r="O1123" s="971" t="s">
        <v>524</v>
      </c>
      <c r="P1123" s="971"/>
      <c r="Q1123" s="971" t="s">
        <v>1007</v>
      </c>
      <c r="R1123" s="1266" t="s">
        <v>2021</v>
      </c>
      <c r="S1123" s="2106">
        <v>55.762081784386616</v>
      </c>
      <c r="T1123" s="1266" t="s">
        <v>136</v>
      </c>
      <c r="U1123" s="1742">
        <v>0.14520631503408685</v>
      </c>
      <c r="V1123" s="1742">
        <v>1.8150789379260854</v>
      </c>
      <c r="W1123" s="1742">
        <v>12.798484607104415</v>
      </c>
      <c r="X1123" s="1742">
        <v>20.019594653749554</v>
      </c>
      <c r="Y1123" s="2106">
        <v>34.633158198780052</v>
      </c>
      <c r="Z1123" s="2106">
        <v>8.097006414540159</v>
      </c>
      <c r="AA1123" s="2106">
        <v>101.21258018175197</v>
      </c>
      <c r="AB1123" s="2106">
        <v>713.67014537756961</v>
      </c>
      <c r="AC1123" s="2106">
        <v>1116.3342743726516</v>
      </c>
      <c r="AD1123" s="1744">
        <v>1931.2169999319731</v>
      </c>
      <c r="AE1123" s="2126">
        <v>0.75</v>
      </c>
      <c r="AF1123" s="2126">
        <v>41.82156133828996</v>
      </c>
      <c r="AG1123" s="1212">
        <v>1</v>
      </c>
      <c r="AH1123" s="1212">
        <v>0</v>
      </c>
      <c r="AI1123" s="1212">
        <v>0</v>
      </c>
      <c r="AJ1123" s="1212">
        <v>1</v>
      </c>
      <c r="AK1123" s="2126">
        <v>1931.2169999319731</v>
      </c>
      <c r="AL1123" s="2126">
        <v>0</v>
      </c>
      <c r="AM1123" s="2126">
        <v>0</v>
      </c>
      <c r="AN1123" s="2126">
        <v>1931.2169999319731</v>
      </c>
      <c r="AO1123" s="1743" t="s">
        <v>85</v>
      </c>
      <c r="AP1123" s="1743"/>
      <c r="AQ1123" s="1764">
        <v>2014</v>
      </c>
      <c r="AR1123" s="1743" t="s">
        <v>87</v>
      </c>
      <c r="AS1123" s="2135"/>
      <c r="AT1123" s="2135"/>
      <c r="AU1123" s="1212">
        <v>0.5</v>
      </c>
      <c r="AV1123" s="1212">
        <v>0.5</v>
      </c>
      <c r="AW1123" s="1212"/>
      <c r="AX1123" s="1212"/>
      <c r="AY1123" s="1212"/>
      <c r="AZ1123" s="1212"/>
      <c r="BA1123" s="1212"/>
      <c r="BB1123" s="1212"/>
      <c r="BC1123" s="1212"/>
      <c r="BD1123" s="1212"/>
      <c r="BE1123" s="1212"/>
      <c r="BF1123" s="2126">
        <v>0</v>
      </c>
      <c r="BG1123" s="2126">
        <v>0</v>
      </c>
      <c r="BH1123" s="2126">
        <v>965.60849996598654</v>
      </c>
      <c r="BI1123" s="2126">
        <v>965.60849996598654</v>
      </c>
      <c r="BJ1123" s="2126">
        <v>0</v>
      </c>
      <c r="BK1123" s="2126">
        <v>0</v>
      </c>
      <c r="BL1123" s="2126">
        <v>0</v>
      </c>
      <c r="BM1123" s="2126">
        <v>0</v>
      </c>
      <c r="BN1123" s="2126">
        <v>0</v>
      </c>
      <c r="BO1123" s="2126">
        <v>0</v>
      </c>
      <c r="BP1123" s="2126">
        <v>0</v>
      </c>
      <c r="BQ1123" s="2126">
        <v>0</v>
      </c>
      <c r="BR1123" s="2126">
        <v>0</v>
      </c>
    </row>
    <row r="1124" spans="1:70" s="1765" customFormat="1" ht="33">
      <c r="A1124" s="1272">
        <v>4000</v>
      </c>
      <c r="B1124" s="971" t="s">
        <v>1316</v>
      </c>
      <c r="C1124" s="1272">
        <v>4700</v>
      </c>
      <c r="D1124" s="971" t="s">
        <v>912</v>
      </c>
      <c r="E1124" s="971">
        <v>4730</v>
      </c>
      <c r="F1124" s="971" t="s">
        <v>958</v>
      </c>
      <c r="G1124" s="971">
        <v>4732</v>
      </c>
      <c r="H1124" s="971" t="s">
        <v>998</v>
      </c>
      <c r="I1124" s="1273" t="s">
        <v>2028</v>
      </c>
      <c r="J1124" s="971" t="s">
        <v>124</v>
      </c>
      <c r="K1124" s="971" t="s">
        <v>140</v>
      </c>
      <c r="L1124" s="971" t="s">
        <v>2909</v>
      </c>
      <c r="M1124" s="971" t="s">
        <v>140</v>
      </c>
      <c r="N1124" s="971" t="s">
        <v>141</v>
      </c>
      <c r="O1124" s="971" t="s">
        <v>142</v>
      </c>
      <c r="P1124" s="971"/>
      <c r="Q1124" s="971" t="s">
        <v>1009</v>
      </c>
      <c r="R1124" s="1266" t="s">
        <v>2021</v>
      </c>
      <c r="S1124" s="2106">
        <v>55.762081784386616</v>
      </c>
      <c r="T1124" s="1266" t="s">
        <v>136</v>
      </c>
      <c r="U1124" s="1742">
        <v>0</v>
      </c>
      <c r="V1124" s="1742">
        <v>0</v>
      </c>
      <c r="W1124" s="1742">
        <v>0</v>
      </c>
      <c r="X1124" s="1742">
        <v>0</v>
      </c>
      <c r="Y1124" s="2106">
        <v>0</v>
      </c>
      <c r="Z1124" s="2106">
        <v>0</v>
      </c>
      <c r="AA1124" s="2106">
        <v>0</v>
      </c>
      <c r="AB1124" s="2106">
        <v>0</v>
      </c>
      <c r="AC1124" s="2106">
        <v>0</v>
      </c>
      <c r="AD1124" s="1744">
        <v>0</v>
      </c>
      <c r="AE1124" s="2126">
        <v>0</v>
      </c>
      <c r="AF1124" s="2126">
        <v>0</v>
      </c>
      <c r="AG1124" s="1212">
        <v>1</v>
      </c>
      <c r="AH1124" s="1212">
        <v>0</v>
      </c>
      <c r="AI1124" s="1212">
        <v>0</v>
      </c>
      <c r="AJ1124" s="1212">
        <v>1</v>
      </c>
      <c r="AK1124" s="2126">
        <v>0</v>
      </c>
      <c r="AL1124" s="2126">
        <v>0</v>
      </c>
      <c r="AM1124" s="2126">
        <v>0</v>
      </c>
      <c r="AN1124" s="2126">
        <v>0</v>
      </c>
      <c r="AO1124" s="1743" t="s">
        <v>85</v>
      </c>
      <c r="AP1124" s="1743"/>
      <c r="AQ1124" s="1764">
        <v>2014</v>
      </c>
      <c r="AR1124" s="1743" t="s">
        <v>87</v>
      </c>
      <c r="AS1124" s="2135"/>
      <c r="AT1124" s="2135"/>
      <c r="AU1124" s="1212">
        <v>0.5</v>
      </c>
      <c r="AV1124" s="1212">
        <v>0.5</v>
      </c>
      <c r="AW1124" s="1212"/>
      <c r="AX1124" s="1212"/>
      <c r="AY1124" s="1212"/>
      <c r="AZ1124" s="1212"/>
      <c r="BA1124" s="1212"/>
      <c r="BB1124" s="1212"/>
      <c r="BC1124" s="1212"/>
      <c r="BD1124" s="1212"/>
      <c r="BE1124" s="1212"/>
      <c r="BF1124" s="2126">
        <v>0</v>
      </c>
      <c r="BG1124" s="2126">
        <v>0</v>
      </c>
      <c r="BH1124" s="2126">
        <v>0</v>
      </c>
      <c r="BI1124" s="2126">
        <v>0</v>
      </c>
      <c r="BJ1124" s="2126">
        <v>0</v>
      </c>
      <c r="BK1124" s="2126">
        <v>0</v>
      </c>
      <c r="BL1124" s="2126">
        <v>0</v>
      </c>
      <c r="BM1124" s="2126">
        <v>0</v>
      </c>
      <c r="BN1124" s="2126">
        <v>0</v>
      </c>
      <c r="BO1124" s="2126">
        <v>0</v>
      </c>
      <c r="BP1124" s="2126">
        <v>0</v>
      </c>
      <c r="BQ1124" s="2126">
        <v>0</v>
      </c>
      <c r="BR1124" s="2126">
        <v>0</v>
      </c>
    </row>
    <row r="1125" spans="1:70" s="1765" customFormat="1" ht="33">
      <c r="A1125" s="1272">
        <v>4000</v>
      </c>
      <c r="B1125" s="971" t="s">
        <v>1316</v>
      </c>
      <c r="C1125" s="1272">
        <v>4700</v>
      </c>
      <c r="D1125" s="971" t="s">
        <v>912</v>
      </c>
      <c r="E1125" s="971">
        <v>4730</v>
      </c>
      <c r="F1125" s="971" t="s">
        <v>958</v>
      </c>
      <c r="G1125" s="971">
        <v>4734</v>
      </c>
      <c r="H1125" s="971" t="s">
        <v>1010</v>
      </c>
      <c r="I1125" s="1273" t="s">
        <v>2029</v>
      </c>
      <c r="J1125" s="971" t="s">
        <v>638</v>
      </c>
      <c r="K1125" s="971" t="s">
        <v>1971</v>
      </c>
      <c r="L1125" s="971" t="s">
        <v>639</v>
      </c>
      <c r="M1125" s="971" t="s">
        <v>639</v>
      </c>
      <c r="N1125" s="971" t="s">
        <v>640</v>
      </c>
      <c r="O1125" s="971" t="s">
        <v>639</v>
      </c>
      <c r="P1125" s="971"/>
      <c r="Q1125" s="971" t="s">
        <v>2030</v>
      </c>
      <c r="R1125" s="1266" t="s">
        <v>2031</v>
      </c>
      <c r="S1125" s="2106">
        <v>2125</v>
      </c>
      <c r="T1125" s="1266" t="s">
        <v>991</v>
      </c>
      <c r="U1125" s="1742">
        <v>0.25</v>
      </c>
      <c r="V1125" s="1742">
        <v>3.125</v>
      </c>
      <c r="W1125" s="1742">
        <v>22.035</v>
      </c>
      <c r="X1125" s="1742">
        <v>34.467500000000001</v>
      </c>
      <c r="Y1125" s="2106">
        <v>59.627499999999998</v>
      </c>
      <c r="Z1125" s="2106">
        <v>531.25</v>
      </c>
      <c r="AA1125" s="2106">
        <v>6640.625</v>
      </c>
      <c r="AB1125" s="2106">
        <v>46824.375</v>
      </c>
      <c r="AC1125" s="2106">
        <v>73243.4375</v>
      </c>
      <c r="AD1125" s="2132">
        <v>126708.4375</v>
      </c>
      <c r="AE1125" s="2126">
        <v>1.0000000000000002E-2</v>
      </c>
      <c r="AF1125" s="2126">
        <v>21.250000000000004</v>
      </c>
      <c r="AG1125" s="1212">
        <v>1</v>
      </c>
      <c r="AH1125" s="1212">
        <v>0</v>
      </c>
      <c r="AI1125" s="1212">
        <v>1</v>
      </c>
      <c r="AJ1125" s="1212">
        <v>0</v>
      </c>
      <c r="AK1125" s="2126">
        <v>126708.4375</v>
      </c>
      <c r="AL1125" s="2126">
        <v>0</v>
      </c>
      <c r="AM1125" s="2126">
        <v>126708.4375</v>
      </c>
      <c r="AN1125" s="2126">
        <v>0</v>
      </c>
      <c r="AO1125" s="1743" t="s">
        <v>85</v>
      </c>
      <c r="AP1125" s="1743"/>
      <c r="AQ1125" s="1764">
        <v>2014</v>
      </c>
      <c r="AR1125" s="1743" t="s">
        <v>87</v>
      </c>
      <c r="AS1125" s="2135"/>
      <c r="AT1125" s="2135"/>
      <c r="AU1125" s="1212">
        <v>0.33333333333333331</v>
      </c>
      <c r="AV1125" s="1212">
        <v>0.33333333333333331</v>
      </c>
      <c r="AW1125" s="1212">
        <v>0.33333333333333331</v>
      </c>
      <c r="AX1125" s="1212"/>
      <c r="AY1125" s="1212"/>
      <c r="AZ1125" s="1212"/>
      <c r="BA1125" s="1212"/>
      <c r="BB1125" s="1212"/>
      <c r="BC1125" s="1212"/>
      <c r="BD1125" s="1212"/>
      <c r="BE1125" s="1212"/>
      <c r="BF1125" s="2126">
        <v>0</v>
      </c>
      <c r="BG1125" s="2126">
        <v>0</v>
      </c>
      <c r="BH1125" s="2126">
        <v>42236.145833333328</v>
      </c>
      <c r="BI1125" s="2126">
        <v>42236.145833333328</v>
      </c>
      <c r="BJ1125" s="2126">
        <v>42236.145833333328</v>
      </c>
      <c r="BK1125" s="2126">
        <v>0</v>
      </c>
      <c r="BL1125" s="2126">
        <v>0</v>
      </c>
      <c r="BM1125" s="2126">
        <v>0</v>
      </c>
      <c r="BN1125" s="2126">
        <v>0</v>
      </c>
      <c r="BO1125" s="2126">
        <v>0</v>
      </c>
      <c r="BP1125" s="2126">
        <v>0</v>
      </c>
      <c r="BQ1125" s="2126">
        <v>0</v>
      </c>
      <c r="BR1125" s="2126">
        <v>0</v>
      </c>
    </row>
    <row r="1126" spans="1:70" s="1765" customFormat="1" ht="49.5">
      <c r="A1126" s="1272">
        <v>4000</v>
      </c>
      <c r="B1126" s="971" t="s">
        <v>1316</v>
      </c>
      <c r="C1126" s="1272">
        <v>4700</v>
      </c>
      <c r="D1126" s="971" t="s">
        <v>912</v>
      </c>
      <c r="E1126" s="971">
        <v>4730</v>
      </c>
      <c r="F1126" s="971" t="s">
        <v>958</v>
      </c>
      <c r="G1126" s="971">
        <v>4734</v>
      </c>
      <c r="H1126" s="971" t="s">
        <v>1010</v>
      </c>
      <c r="I1126" s="1273" t="s">
        <v>2032</v>
      </c>
      <c r="J1126" s="971" t="s">
        <v>638</v>
      </c>
      <c r="K1126" s="971"/>
      <c r="L1126" s="971" t="e">
        <v>#N/A</v>
      </c>
      <c r="M1126" s="971" t="s">
        <v>988</v>
      </c>
      <c r="N1126" s="971" t="s">
        <v>640</v>
      </c>
      <c r="O1126" s="971" t="s">
        <v>988</v>
      </c>
      <c r="P1126" s="971"/>
      <c r="Q1126" s="971" t="s">
        <v>2033</v>
      </c>
      <c r="R1126" s="1266" t="s">
        <v>2034</v>
      </c>
      <c r="S1126" s="2106">
        <v>2050</v>
      </c>
      <c r="T1126" s="1266" t="s">
        <v>991</v>
      </c>
      <c r="U1126" s="1742" t="s">
        <v>6588</v>
      </c>
      <c r="V1126" s="1742" t="s">
        <v>6588</v>
      </c>
      <c r="W1126" s="1742" t="s">
        <v>6588</v>
      </c>
      <c r="X1126" s="1742" t="s">
        <v>6588</v>
      </c>
      <c r="Y1126" s="2106" t="s">
        <v>6588</v>
      </c>
      <c r="Z1126" s="2106">
        <v>0</v>
      </c>
      <c r="AA1126" s="2106">
        <v>0</v>
      </c>
      <c r="AB1126" s="2106">
        <v>0</v>
      </c>
      <c r="AC1126" s="2106">
        <v>0</v>
      </c>
      <c r="AD1126" s="2132">
        <v>0</v>
      </c>
      <c r="AE1126" s="2126">
        <v>0</v>
      </c>
      <c r="AF1126" s="2126">
        <v>0</v>
      </c>
      <c r="AG1126" s="1212">
        <v>1</v>
      </c>
      <c r="AH1126" s="1212">
        <v>0</v>
      </c>
      <c r="AI1126" s="1212">
        <v>1</v>
      </c>
      <c r="AJ1126" s="1212">
        <v>0</v>
      </c>
      <c r="AK1126" s="2126">
        <v>0</v>
      </c>
      <c r="AL1126" s="2126">
        <v>0</v>
      </c>
      <c r="AM1126" s="2126">
        <v>0</v>
      </c>
      <c r="AN1126" s="2126">
        <v>0</v>
      </c>
      <c r="AO1126" s="1743" t="s">
        <v>85</v>
      </c>
      <c r="AP1126" s="1743"/>
      <c r="AQ1126" s="1764">
        <v>2014</v>
      </c>
      <c r="AR1126" s="1743" t="s">
        <v>87</v>
      </c>
      <c r="AS1126" s="2135"/>
      <c r="AT1126" s="2135"/>
      <c r="AU1126" s="1212">
        <v>0.33333333333333331</v>
      </c>
      <c r="AV1126" s="1212">
        <v>0.33333333333333331</v>
      </c>
      <c r="AW1126" s="1212">
        <v>0.33333333333333331</v>
      </c>
      <c r="AX1126" s="1212"/>
      <c r="AY1126" s="1212"/>
      <c r="AZ1126" s="1212"/>
      <c r="BA1126" s="1212"/>
      <c r="BB1126" s="1212"/>
      <c r="BC1126" s="1212"/>
      <c r="BD1126" s="1212"/>
      <c r="BE1126" s="1212"/>
      <c r="BF1126" s="2126">
        <v>0</v>
      </c>
      <c r="BG1126" s="2126">
        <v>0</v>
      </c>
      <c r="BH1126" s="2126">
        <v>0</v>
      </c>
      <c r="BI1126" s="2126">
        <v>0</v>
      </c>
      <c r="BJ1126" s="2126">
        <v>0</v>
      </c>
      <c r="BK1126" s="2126">
        <v>0</v>
      </c>
      <c r="BL1126" s="2126">
        <v>0</v>
      </c>
      <c r="BM1126" s="2126">
        <v>0</v>
      </c>
      <c r="BN1126" s="2126">
        <v>0</v>
      </c>
      <c r="BO1126" s="2126">
        <v>0</v>
      </c>
      <c r="BP1126" s="2126">
        <v>0</v>
      </c>
      <c r="BQ1126" s="2126">
        <v>0</v>
      </c>
      <c r="BR1126" s="2126">
        <v>0</v>
      </c>
    </row>
    <row r="1127" spans="1:70" s="1765" customFormat="1" ht="33">
      <c r="A1127" s="1272">
        <v>4000</v>
      </c>
      <c r="B1127" s="971" t="s">
        <v>1316</v>
      </c>
      <c r="C1127" s="1272">
        <v>4700</v>
      </c>
      <c r="D1127" s="971" t="s">
        <v>912</v>
      </c>
      <c r="E1127" s="971">
        <v>4730</v>
      </c>
      <c r="F1127" s="971" t="s">
        <v>958</v>
      </c>
      <c r="G1127" s="971">
        <v>4733</v>
      </c>
      <c r="H1127" s="971" t="s">
        <v>2035</v>
      </c>
      <c r="I1127" s="1273" t="s">
        <v>2036</v>
      </c>
      <c r="J1127" s="971" t="s">
        <v>2037</v>
      </c>
      <c r="K1127" s="971" t="s">
        <v>687</v>
      </c>
      <c r="L1127" s="971" t="s">
        <v>2915</v>
      </c>
      <c r="M1127" s="971" t="s">
        <v>687</v>
      </c>
      <c r="N1127" s="971" t="s">
        <v>179</v>
      </c>
      <c r="O1127" s="971" t="s">
        <v>688</v>
      </c>
      <c r="P1127" s="971"/>
      <c r="Q1127" s="971" t="s">
        <v>2038</v>
      </c>
      <c r="R1127" s="1266" t="s">
        <v>2039</v>
      </c>
      <c r="S1127" s="2106">
        <v>0</v>
      </c>
      <c r="T1127" s="1266" t="s">
        <v>242</v>
      </c>
      <c r="U1127" s="1742">
        <v>2</v>
      </c>
      <c r="V1127" s="1742">
        <v>25</v>
      </c>
      <c r="W1127" s="1742">
        <v>176.28</v>
      </c>
      <c r="X1127" s="1742">
        <v>275.74</v>
      </c>
      <c r="Y1127" s="2106">
        <v>477.02</v>
      </c>
      <c r="Z1127" s="2106">
        <v>0</v>
      </c>
      <c r="AA1127" s="2106">
        <v>0</v>
      </c>
      <c r="AB1127" s="2106">
        <v>0</v>
      </c>
      <c r="AC1127" s="2106">
        <v>0</v>
      </c>
      <c r="AD1127" s="1744">
        <v>0</v>
      </c>
      <c r="AE1127" s="2126">
        <v>0.5</v>
      </c>
      <c r="AF1127" s="2126">
        <v>0</v>
      </c>
      <c r="AG1127" s="1212">
        <v>1</v>
      </c>
      <c r="AH1127" s="1212">
        <v>0</v>
      </c>
      <c r="AI1127" s="1212">
        <v>0</v>
      </c>
      <c r="AJ1127" s="1212">
        <v>1</v>
      </c>
      <c r="AK1127" s="2126">
        <v>0</v>
      </c>
      <c r="AL1127" s="2126">
        <v>0</v>
      </c>
      <c r="AM1127" s="2126">
        <v>0</v>
      </c>
      <c r="AN1127" s="2126">
        <v>0</v>
      </c>
      <c r="AO1127" s="1743" t="s">
        <v>85</v>
      </c>
      <c r="AP1127" s="1743" t="s">
        <v>96</v>
      </c>
      <c r="AQ1127" s="1764">
        <v>2014</v>
      </c>
      <c r="AR1127" s="1743" t="s">
        <v>87</v>
      </c>
      <c r="AS1127" s="2135"/>
      <c r="AT1127" s="2135"/>
      <c r="AU1127" s="1212">
        <v>0.33333333333333331</v>
      </c>
      <c r="AV1127" s="1212">
        <v>0.33333333333333331</v>
      </c>
      <c r="AW1127" s="1212">
        <v>0.33333333333333331</v>
      </c>
      <c r="AX1127" s="1212"/>
      <c r="AY1127" s="1212"/>
      <c r="AZ1127" s="1212"/>
      <c r="BA1127" s="1212"/>
      <c r="BB1127" s="1212"/>
      <c r="BC1127" s="1212"/>
      <c r="BD1127" s="1212"/>
      <c r="BE1127" s="1212"/>
      <c r="BF1127" s="2126">
        <v>0</v>
      </c>
      <c r="BG1127" s="2126">
        <v>0</v>
      </c>
      <c r="BH1127" s="2126">
        <v>0</v>
      </c>
      <c r="BI1127" s="2126">
        <v>0</v>
      </c>
      <c r="BJ1127" s="2126">
        <v>0</v>
      </c>
      <c r="BK1127" s="2126">
        <v>0</v>
      </c>
      <c r="BL1127" s="2126">
        <v>0</v>
      </c>
      <c r="BM1127" s="2126">
        <v>0</v>
      </c>
      <c r="BN1127" s="2126">
        <v>0</v>
      </c>
      <c r="BO1127" s="2126">
        <v>0</v>
      </c>
      <c r="BP1127" s="2126">
        <v>0</v>
      </c>
      <c r="BQ1127" s="2126">
        <v>0</v>
      </c>
      <c r="BR1127" s="2126">
        <v>0</v>
      </c>
    </row>
    <row r="1128" spans="1:70" s="1765" customFormat="1" ht="33">
      <c r="A1128" s="1272">
        <v>4000</v>
      </c>
      <c r="B1128" s="971" t="s">
        <v>1316</v>
      </c>
      <c r="C1128" s="1272">
        <v>4700</v>
      </c>
      <c r="D1128" s="971" t="s">
        <v>912</v>
      </c>
      <c r="E1128" s="971">
        <v>4730</v>
      </c>
      <c r="F1128" s="971" t="s">
        <v>958</v>
      </c>
      <c r="G1128" s="971">
        <v>4733</v>
      </c>
      <c r="H1128" s="971" t="s">
        <v>2035</v>
      </c>
      <c r="I1128" s="1273" t="s">
        <v>2040</v>
      </c>
      <c r="J1128" s="971" t="s">
        <v>2037</v>
      </c>
      <c r="K1128" s="971" t="s">
        <v>687</v>
      </c>
      <c r="L1128" s="971" t="s">
        <v>2915</v>
      </c>
      <c r="M1128" s="971" t="s">
        <v>687</v>
      </c>
      <c r="N1128" s="971" t="s">
        <v>179</v>
      </c>
      <c r="O1128" s="971" t="s">
        <v>688</v>
      </c>
      <c r="P1128" s="971"/>
      <c r="Q1128" s="971" t="s">
        <v>2041</v>
      </c>
      <c r="R1128" s="1266" t="s">
        <v>2042</v>
      </c>
      <c r="S1128" s="2106">
        <v>0</v>
      </c>
      <c r="T1128" s="1266" t="s">
        <v>242</v>
      </c>
      <c r="U1128" s="1742">
        <v>2</v>
      </c>
      <c r="V1128" s="1742">
        <v>25</v>
      </c>
      <c r="W1128" s="1742">
        <v>176.28</v>
      </c>
      <c r="X1128" s="1742">
        <v>275.74</v>
      </c>
      <c r="Y1128" s="2106">
        <v>477.02</v>
      </c>
      <c r="Z1128" s="2106">
        <v>0</v>
      </c>
      <c r="AA1128" s="2106">
        <v>0</v>
      </c>
      <c r="AB1128" s="2106">
        <v>0</v>
      </c>
      <c r="AC1128" s="2106">
        <v>0</v>
      </c>
      <c r="AD1128" s="1744">
        <v>0</v>
      </c>
      <c r="AE1128" s="2126">
        <v>0.5</v>
      </c>
      <c r="AF1128" s="2126">
        <v>0</v>
      </c>
      <c r="AG1128" s="1212">
        <v>1</v>
      </c>
      <c r="AH1128" s="1212">
        <v>0</v>
      </c>
      <c r="AI1128" s="1212">
        <v>0</v>
      </c>
      <c r="AJ1128" s="1212">
        <v>1</v>
      </c>
      <c r="AK1128" s="2126">
        <v>0</v>
      </c>
      <c r="AL1128" s="2126">
        <v>0</v>
      </c>
      <c r="AM1128" s="2126">
        <v>0</v>
      </c>
      <c r="AN1128" s="2126">
        <v>0</v>
      </c>
      <c r="AO1128" s="1743" t="s">
        <v>85</v>
      </c>
      <c r="AP1128" s="1743" t="s">
        <v>96</v>
      </c>
      <c r="AQ1128" s="1764">
        <v>2014</v>
      </c>
      <c r="AR1128" s="1743" t="s">
        <v>87</v>
      </c>
      <c r="AS1128" s="2135"/>
      <c r="AT1128" s="2135"/>
      <c r="AU1128" s="1212">
        <v>0.33333333333333331</v>
      </c>
      <c r="AV1128" s="1212">
        <v>0.33333333333333331</v>
      </c>
      <c r="AW1128" s="1212">
        <v>0.33333333333333331</v>
      </c>
      <c r="AX1128" s="1212"/>
      <c r="AY1128" s="1212"/>
      <c r="AZ1128" s="1212"/>
      <c r="BA1128" s="1212"/>
      <c r="BB1128" s="1212"/>
      <c r="BC1128" s="1212"/>
      <c r="BD1128" s="1212"/>
      <c r="BE1128" s="1212"/>
      <c r="BF1128" s="2126">
        <v>0</v>
      </c>
      <c r="BG1128" s="2126">
        <v>0</v>
      </c>
      <c r="BH1128" s="2126">
        <v>0</v>
      </c>
      <c r="BI1128" s="2126">
        <v>0</v>
      </c>
      <c r="BJ1128" s="2126">
        <v>0</v>
      </c>
      <c r="BK1128" s="2126">
        <v>0</v>
      </c>
      <c r="BL1128" s="2126">
        <v>0</v>
      </c>
      <c r="BM1128" s="2126">
        <v>0</v>
      </c>
      <c r="BN1128" s="2126">
        <v>0</v>
      </c>
      <c r="BO1128" s="2126">
        <v>0</v>
      </c>
      <c r="BP1128" s="2126">
        <v>0</v>
      </c>
      <c r="BQ1128" s="2126">
        <v>0</v>
      </c>
      <c r="BR1128" s="2126">
        <v>0</v>
      </c>
    </row>
    <row r="1129" spans="1:70" s="1765" customFormat="1" ht="33">
      <c r="A1129" s="1272">
        <v>4000</v>
      </c>
      <c r="B1129" s="971" t="s">
        <v>1316</v>
      </c>
      <c r="C1129" s="1272">
        <v>4700</v>
      </c>
      <c r="D1129" s="971" t="s">
        <v>912</v>
      </c>
      <c r="E1129" s="971">
        <v>4740</v>
      </c>
      <c r="F1129" s="971" t="s">
        <v>917</v>
      </c>
      <c r="G1129" s="971">
        <v>4740</v>
      </c>
      <c r="H1129" s="971" t="s">
        <v>917</v>
      </c>
      <c r="I1129" s="1273"/>
      <c r="J1129" s="971" t="s">
        <v>177</v>
      </c>
      <c r="K1129" s="971" t="s">
        <v>196</v>
      </c>
      <c r="L1129" s="971" t="s">
        <v>197</v>
      </c>
      <c r="M1129" s="971" t="s">
        <v>196</v>
      </c>
      <c r="N1129" s="971" t="s">
        <v>179</v>
      </c>
      <c r="O1129" s="971" t="s">
        <v>197</v>
      </c>
      <c r="P1129" s="971"/>
      <c r="Q1129" s="971" t="s">
        <v>2043</v>
      </c>
      <c r="R1129" s="1266"/>
      <c r="S1129" s="2106">
        <v>4</v>
      </c>
      <c r="T1129" s="1266" t="s">
        <v>242</v>
      </c>
      <c r="U1129" s="1742">
        <v>9.6666666666666661</v>
      </c>
      <c r="V1129" s="1742">
        <v>89.583333333333329</v>
      </c>
      <c r="W1129" s="1742">
        <v>852.02</v>
      </c>
      <c r="X1129" s="1742">
        <v>988.06833333333327</v>
      </c>
      <c r="Y1129" s="2106">
        <v>1929.6716666666666</v>
      </c>
      <c r="Z1129" s="2106">
        <v>38.666666666666664</v>
      </c>
      <c r="AA1129" s="2106">
        <v>358.33333333333331</v>
      </c>
      <c r="AB1129" s="2106">
        <v>3408.08</v>
      </c>
      <c r="AC1129" s="2106">
        <v>3952.2733333333331</v>
      </c>
      <c r="AD1129" s="1744">
        <v>7718.6866666666665</v>
      </c>
      <c r="AE1129" s="2126">
        <v>1</v>
      </c>
      <c r="AF1129" s="2126">
        <v>4</v>
      </c>
      <c r="AG1129" s="1212">
        <v>1</v>
      </c>
      <c r="AH1129" s="1212">
        <v>0</v>
      </c>
      <c r="AI1129" s="1212">
        <v>0</v>
      </c>
      <c r="AJ1129" s="1212">
        <v>1</v>
      </c>
      <c r="AK1129" s="2126">
        <v>7718.6866666666665</v>
      </c>
      <c r="AL1129" s="2126">
        <v>0</v>
      </c>
      <c r="AM1129" s="2126">
        <v>0</v>
      </c>
      <c r="AN1129" s="2126">
        <v>7718.6866666666665</v>
      </c>
      <c r="AO1129" s="1743" t="s">
        <v>85</v>
      </c>
      <c r="AP1129" s="1743" t="s">
        <v>90</v>
      </c>
      <c r="AQ1129" s="1764" t="s">
        <v>103</v>
      </c>
      <c r="AR1129" s="1743" t="s">
        <v>87</v>
      </c>
      <c r="AS1129" s="2135"/>
      <c r="AT1129" s="2135"/>
      <c r="AU1129" s="1212">
        <v>0.33333333333333331</v>
      </c>
      <c r="AV1129" s="1212">
        <v>0.33333333333333331</v>
      </c>
      <c r="AW1129" s="1212">
        <v>0.33333333333333331</v>
      </c>
      <c r="AX1129" s="1212"/>
      <c r="AY1129" s="1212"/>
      <c r="AZ1129" s="1212"/>
      <c r="BA1129" s="1212"/>
      <c r="BB1129" s="1212"/>
      <c r="BC1129" s="1212"/>
      <c r="BD1129" s="1212"/>
      <c r="BE1129" s="1212"/>
      <c r="BF1129" s="2126">
        <v>0</v>
      </c>
      <c r="BG1129" s="2126">
        <v>0</v>
      </c>
      <c r="BH1129" s="2126">
        <v>2572.8955555555553</v>
      </c>
      <c r="BI1129" s="2126">
        <v>2572.8955555555553</v>
      </c>
      <c r="BJ1129" s="2126">
        <v>2572.8955555555553</v>
      </c>
      <c r="BK1129" s="2126">
        <v>0</v>
      </c>
      <c r="BL1129" s="2126">
        <v>0</v>
      </c>
      <c r="BM1129" s="2126">
        <v>0</v>
      </c>
      <c r="BN1129" s="2126">
        <v>0</v>
      </c>
      <c r="BO1129" s="2126">
        <v>0</v>
      </c>
      <c r="BP1129" s="2126">
        <v>0</v>
      </c>
      <c r="BQ1129" s="2126">
        <v>0</v>
      </c>
      <c r="BR1129" s="2126">
        <v>0</v>
      </c>
    </row>
    <row r="1130" spans="1:70" s="1765" customFormat="1" ht="33">
      <c r="A1130" s="1272">
        <v>4000</v>
      </c>
      <c r="B1130" s="971" t="s">
        <v>1316</v>
      </c>
      <c r="C1130" s="1272">
        <v>4700</v>
      </c>
      <c r="D1130" s="971" t="s">
        <v>912</v>
      </c>
      <c r="E1130" s="971">
        <v>4740</v>
      </c>
      <c r="F1130" s="971" t="s">
        <v>917</v>
      </c>
      <c r="G1130" s="971">
        <v>4740</v>
      </c>
      <c r="H1130" s="971" t="s">
        <v>917</v>
      </c>
      <c r="I1130" s="1273"/>
      <c r="J1130" s="971" t="s">
        <v>177</v>
      </c>
      <c r="K1130" s="971" t="s">
        <v>196</v>
      </c>
      <c r="L1130" s="971" t="s">
        <v>197</v>
      </c>
      <c r="M1130" s="971" t="s">
        <v>196</v>
      </c>
      <c r="N1130" s="971" t="s">
        <v>179</v>
      </c>
      <c r="O1130" s="971" t="s">
        <v>197</v>
      </c>
      <c r="P1130" s="971" t="s">
        <v>181</v>
      </c>
      <c r="Q1130" s="971" t="s">
        <v>2044</v>
      </c>
      <c r="R1130" s="1266"/>
      <c r="S1130" s="2106">
        <v>-1</v>
      </c>
      <c r="T1130" s="1266" t="s">
        <v>242</v>
      </c>
      <c r="U1130" s="1742">
        <v>9.6666666666666661</v>
      </c>
      <c r="V1130" s="1742">
        <v>89.583333333333329</v>
      </c>
      <c r="W1130" s="1742">
        <v>852.02</v>
      </c>
      <c r="X1130" s="1742">
        <v>988.06833333333327</v>
      </c>
      <c r="Y1130" s="2106">
        <v>1929.6716666666666</v>
      </c>
      <c r="Z1130" s="2106">
        <v>-9.6666666666666661</v>
      </c>
      <c r="AA1130" s="2106">
        <v>-89.583333333333329</v>
      </c>
      <c r="AB1130" s="2106">
        <v>-852.02</v>
      </c>
      <c r="AC1130" s="2106">
        <v>-988.06833333333327</v>
      </c>
      <c r="AD1130" s="1744">
        <v>-1929.6716666666666</v>
      </c>
      <c r="AE1130" s="2126">
        <v>1</v>
      </c>
      <c r="AF1130" s="2126">
        <v>-1</v>
      </c>
      <c r="AG1130" s="1212">
        <v>1</v>
      </c>
      <c r="AH1130" s="1212">
        <v>0</v>
      </c>
      <c r="AI1130" s="1212">
        <v>0</v>
      </c>
      <c r="AJ1130" s="1212">
        <v>1</v>
      </c>
      <c r="AK1130" s="2126">
        <v>-1929.6716666666666</v>
      </c>
      <c r="AL1130" s="2126">
        <v>0</v>
      </c>
      <c r="AM1130" s="2126">
        <v>0</v>
      </c>
      <c r="AN1130" s="2126">
        <v>-1929.6716666666666</v>
      </c>
      <c r="AO1130" s="1743" t="s">
        <v>85</v>
      </c>
      <c r="AP1130" s="1743" t="s">
        <v>96</v>
      </c>
      <c r="AQ1130" s="1764" t="s">
        <v>192</v>
      </c>
      <c r="AR1130" s="1743" t="s">
        <v>87</v>
      </c>
      <c r="AS1130" s="2135"/>
      <c r="AT1130" s="2135"/>
      <c r="AU1130" s="1212">
        <v>0.33333333333333331</v>
      </c>
      <c r="AV1130" s="1212">
        <v>0.33333333333333331</v>
      </c>
      <c r="AW1130" s="1212">
        <v>0.33333333333333331</v>
      </c>
      <c r="AX1130" s="1212"/>
      <c r="AY1130" s="1212"/>
      <c r="AZ1130" s="1212"/>
      <c r="BA1130" s="1212"/>
      <c r="BB1130" s="1212"/>
      <c r="BC1130" s="1212"/>
      <c r="BD1130" s="1212"/>
      <c r="BE1130" s="1212"/>
      <c r="BF1130" s="2126">
        <v>0</v>
      </c>
      <c r="BG1130" s="2126">
        <v>0</v>
      </c>
      <c r="BH1130" s="2126">
        <v>-643.22388888888884</v>
      </c>
      <c r="BI1130" s="2126">
        <v>-643.22388888888884</v>
      </c>
      <c r="BJ1130" s="2126">
        <v>-643.22388888888884</v>
      </c>
      <c r="BK1130" s="2126">
        <v>0</v>
      </c>
      <c r="BL1130" s="2126">
        <v>0</v>
      </c>
      <c r="BM1130" s="2126">
        <v>0</v>
      </c>
      <c r="BN1130" s="2126">
        <v>0</v>
      </c>
      <c r="BO1130" s="2126">
        <v>0</v>
      </c>
      <c r="BP1130" s="2126">
        <v>0</v>
      </c>
      <c r="BQ1130" s="2126">
        <v>0</v>
      </c>
      <c r="BR1130" s="2126">
        <v>0</v>
      </c>
    </row>
    <row r="1131" spans="1:70" s="1765" customFormat="1" ht="33">
      <c r="A1131" s="1272">
        <v>4000</v>
      </c>
      <c r="B1131" s="971" t="s">
        <v>1316</v>
      </c>
      <c r="C1131" s="1272">
        <v>4700</v>
      </c>
      <c r="D1131" s="971" t="s">
        <v>912</v>
      </c>
      <c r="E1131" s="971">
        <v>4740</v>
      </c>
      <c r="F1131" s="971" t="s">
        <v>917</v>
      </c>
      <c r="G1131" s="971">
        <v>4740</v>
      </c>
      <c r="H1131" s="971" t="s">
        <v>917</v>
      </c>
      <c r="I1131" s="1273"/>
      <c r="J1131" s="971" t="s">
        <v>177</v>
      </c>
      <c r="K1131" s="971" t="s">
        <v>196</v>
      </c>
      <c r="L1131" s="971" t="s">
        <v>197</v>
      </c>
      <c r="M1131" s="971" t="s">
        <v>196</v>
      </c>
      <c r="N1131" s="971" t="s">
        <v>179</v>
      </c>
      <c r="O1131" s="971" t="s">
        <v>197</v>
      </c>
      <c r="P1131" s="971"/>
      <c r="Q1131" s="971" t="s">
        <v>2045</v>
      </c>
      <c r="R1131" s="1266"/>
      <c r="S1131" s="2106">
        <v>4</v>
      </c>
      <c r="T1131" s="1266" t="s">
        <v>242</v>
      </c>
      <c r="U1131" s="1742">
        <v>9.6666666666666661</v>
      </c>
      <c r="V1131" s="1742">
        <v>89.583333333333329</v>
      </c>
      <c r="W1131" s="1742">
        <v>852.02</v>
      </c>
      <c r="X1131" s="1742">
        <v>988.06833333333327</v>
      </c>
      <c r="Y1131" s="2106">
        <v>1929.6716666666666</v>
      </c>
      <c r="Z1131" s="2106">
        <v>38.666666666666664</v>
      </c>
      <c r="AA1131" s="2106">
        <v>358.33333333333331</v>
      </c>
      <c r="AB1131" s="2106">
        <v>3408.08</v>
      </c>
      <c r="AC1131" s="2106">
        <v>3952.2733333333331</v>
      </c>
      <c r="AD1131" s="1744">
        <v>7718.6866666666665</v>
      </c>
      <c r="AE1131" s="2126">
        <v>1</v>
      </c>
      <c r="AF1131" s="2126">
        <v>4</v>
      </c>
      <c r="AG1131" s="1212">
        <v>1</v>
      </c>
      <c r="AH1131" s="1212">
        <v>0</v>
      </c>
      <c r="AI1131" s="1212">
        <v>0</v>
      </c>
      <c r="AJ1131" s="1212">
        <v>1</v>
      </c>
      <c r="AK1131" s="2126">
        <v>7718.6866666666665</v>
      </c>
      <c r="AL1131" s="2126">
        <v>0</v>
      </c>
      <c r="AM1131" s="2126">
        <v>0</v>
      </c>
      <c r="AN1131" s="2126">
        <v>7718.6866666666665</v>
      </c>
      <c r="AO1131" s="1743" t="s">
        <v>85</v>
      </c>
      <c r="AP1131" s="1743" t="s">
        <v>90</v>
      </c>
      <c r="AQ1131" s="1764">
        <v>2020</v>
      </c>
      <c r="AR1131" s="1743" t="s">
        <v>87</v>
      </c>
      <c r="AS1131" s="2135"/>
      <c r="AT1131" s="2135"/>
      <c r="AU1131" s="1212">
        <v>0.33333333333333331</v>
      </c>
      <c r="AV1131" s="1212">
        <v>0.33333333333333331</v>
      </c>
      <c r="AW1131" s="1212">
        <v>0.33333333333333331</v>
      </c>
      <c r="AX1131" s="1212"/>
      <c r="AY1131" s="1212"/>
      <c r="AZ1131" s="1212"/>
      <c r="BA1131" s="1212"/>
      <c r="BB1131" s="1212"/>
      <c r="BC1131" s="1212"/>
      <c r="BD1131" s="1212"/>
      <c r="BE1131" s="1212"/>
      <c r="BF1131" s="2126">
        <v>0</v>
      </c>
      <c r="BG1131" s="2126">
        <v>0</v>
      </c>
      <c r="BH1131" s="2126">
        <v>2572.8955555555553</v>
      </c>
      <c r="BI1131" s="2126">
        <v>2572.8955555555553</v>
      </c>
      <c r="BJ1131" s="2126">
        <v>2572.8955555555553</v>
      </c>
      <c r="BK1131" s="2126">
        <v>0</v>
      </c>
      <c r="BL1131" s="2126">
        <v>0</v>
      </c>
      <c r="BM1131" s="2126">
        <v>0</v>
      </c>
      <c r="BN1131" s="2126">
        <v>0</v>
      </c>
      <c r="BO1131" s="2126">
        <v>0</v>
      </c>
      <c r="BP1131" s="2126">
        <v>0</v>
      </c>
      <c r="BQ1131" s="2126">
        <v>0</v>
      </c>
      <c r="BR1131" s="2126">
        <v>0</v>
      </c>
    </row>
    <row r="1132" spans="1:70" s="1765" customFormat="1" ht="33">
      <c r="A1132" s="1272">
        <v>4000</v>
      </c>
      <c r="B1132" s="971" t="s">
        <v>1316</v>
      </c>
      <c r="C1132" s="1272">
        <v>4700</v>
      </c>
      <c r="D1132" s="971" t="s">
        <v>912</v>
      </c>
      <c r="E1132" s="971">
        <v>4740</v>
      </c>
      <c r="F1132" s="971" t="s">
        <v>917</v>
      </c>
      <c r="G1132" s="971">
        <v>4740</v>
      </c>
      <c r="H1132" s="971" t="s">
        <v>917</v>
      </c>
      <c r="I1132" s="1273"/>
      <c r="J1132" s="971" t="s">
        <v>177</v>
      </c>
      <c r="K1132" s="971" t="s">
        <v>196</v>
      </c>
      <c r="L1132" s="971" t="s">
        <v>197</v>
      </c>
      <c r="M1132" s="971" t="s">
        <v>196</v>
      </c>
      <c r="N1132" s="971" t="s">
        <v>179</v>
      </c>
      <c r="O1132" s="971" t="s">
        <v>197</v>
      </c>
      <c r="P1132" s="971" t="s">
        <v>181</v>
      </c>
      <c r="Q1132" s="971" t="s">
        <v>2046</v>
      </c>
      <c r="R1132" s="1266"/>
      <c r="S1132" s="2106">
        <v>-3</v>
      </c>
      <c r="T1132" s="1266" t="s">
        <v>242</v>
      </c>
      <c r="U1132" s="1742">
        <v>9.6666666666666661</v>
      </c>
      <c r="V1132" s="1742">
        <v>89.583333333333329</v>
      </c>
      <c r="W1132" s="1742">
        <v>852.02</v>
      </c>
      <c r="X1132" s="1742">
        <v>988.06833333333327</v>
      </c>
      <c r="Y1132" s="2106">
        <v>1929.6716666666666</v>
      </c>
      <c r="Z1132" s="2106">
        <v>-29</v>
      </c>
      <c r="AA1132" s="2106">
        <v>-268.75</v>
      </c>
      <c r="AB1132" s="2106">
        <v>-2556.06</v>
      </c>
      <c r="AC1132" s="2106">
        <v>-2964.2049999999999</v>
      </c>
      <c r="AD1132" s="1744">
        <v>-5789.0149999999994</v>
      </c>
      <c r="AE1132" s="2126">
        <v>1</v>
      </c>
      <c r="AF1132" s="2126">
        <v>-3</v>
      </c>
      <c r="AG1132" s="1212">
        <v>1</v>
      </c>
      <c r="AH1132" s="1212">
        <v>0</v>
      </c>
      <c r="AI1132" s="1212">
        <v>0</v>
      </c>
      <c r="AJ1132" s="1212">
        <v>1</v>
      </c>
      <c r="AK1132" s="2126">
        <v>-5789.0149999999994</v>
      </c>
      <c r="AL1132" s="2126">
        <v>0</v>
      </c>
      <c r="AM1132" s="2126">
        <v>0</v>
      </c>
      <c r="AN1132" s="2126">
        <v>-5789.0149999999994</v>
      </c>
      <c r="AO1132" s="1743" t="s">
        <v>85</v>
      </c>
      <c r="AP1132" s="1743" t="s">
        <v>96</v>
      </c>
      <c r="AQ1132" s="1764" t="s">
        <v>192</v>
      </c>
      <c r="AR1132" s="1743" t="s">
        <v>87</v>
      </c>
      <c r="AS1132" s="2135"/>
      <c r="AT1132" s="2135"/>
      <c r="AU1132" s="1212">
        <v>0.33333333333333331</v>
      </c>
      <c r="AV1132" s="1212">
        <v>0.33333333333333331</v>
      </c>
      <c r="AW1132" s="1212">
        <v>0.33333333333333331</v>
      </c>
      <c r="AX1132" s="1212"/>
      <c r="AY1132" s="1212"/>
      <c r="AZ1132" s="1212"/>
      <c r="BA1132" s="1212"/>
      <c r="BB1132" s="1212"/>
      <c r="BC1132" s="1212"/>
      <c r="BD1132" s="1212"/>
      <c r="BE1132" s="1212"/>
      <c r="BF1132" s="2126">
        <v>0</v>
      </c>
      <c r="BG1132" s="2126">
        <v>0</v>
      </c>
      <c r="BH1132" s="2126">
        <v>-1929.6716666666664</v>
      </c>
      <c r="BI1132" s="2126">
        <v>-1929.6716666666664</v>
      </c>
      <c r="BJ1132" s="2126">
        <v>-1929.6716666666664</v>
      </c>
      <c r="BK1132" s="2126">
        <v>0</v>
      </c>
      <c r="BL1132" s="2126">
        <v>0</v>
      </c>
      <c r="BM1132" s="2126">
        <v>0</v>
      </c>
      <c r="BN1132" s="2126">
        <v>0</v>
      </c>
      <c r="BO1132" s="2126">
        <v>0</v>
      </c>
      <c r="BP1132" s="2126">
        <v>0</v>
      </c>
      <c r="BQ1132" s="2126">
        <v>0</v>
      </c>
      <c r="BR1132" s="2126">
        <v>0</v>
      </c>
    </row>
    <row r="1133" spans="1:70" s="1765" customFormat="1" ht="33">
      <c r="A1133" s="1272">
        <v>4000</v>
      </c>
      <c r="B1133" s="971" t="s">
        <v>1316</v>
      </c>
      <c r="C1133" s="1272">
        <v>4700</v>
      </c>
      <c r="D1133" s="971" t="s">
        <v>912</v>
      </c>
      <c r="E1133" s="971">
        <v>4740</v>
      </c>
      <c r="F1133" s="971" t="s">
        <v>917</v>
      </c>
      <c r="G1133" s="971">
        <v>4740</v>
      </c>
      <c r="H1133" s="971" t="s">
        <v>917</v>
      </c>
      <c r="I1133" s="1273"/>
      <c r="J1133" s="971" t="s">
        <v>177</v>
      </c>
      <c r="K1133" s="971" t="s">
        <v>196</v>
      </c>
      <c r="L1133" s="971" t="s">
        <v>197</v>
      </c>
      <c r="M1133" s="971" t="s">
        <v>196</v>
      </c>
      <c r="N1133" s="971" t="s">
        <v>179</v>
      </c>
      <c r="O1133" s="971" t="s">
        <v>197</v>
      </c>
      <c r="P1133" s="971" t="s">
        <v>181</v>
      </c>
      <c r="Q1133" s="971" t="s">
        <v>2047</v>
      </c>
      <c r="R1133" s="1266"/>
      <c r="S1133" s="2106">
        <v>2</v>
      </c>
      <c r="T1133" s="1266" t="s">
        <v>242</v>
      </c>
      <c r="U1133" s="1742">
        <v>9.6666666666666661</v>
      </c>
      <c r="V1133" s="1742">
        <v>89.583333333333329</v>
      </c>
      <c r="W1133" s="1742">
        <v>852.02</v>
      </c>
      <c r="X1133" s="1742">
        <v>988.06833333333327</v>
      </c>
      <c r="Y1133" s="2106">
        <v>1929.6716666666666</v>
      </c>
      <c r="Z1133" s="2106">
        <v>19.333333333333332</v>
      </c>
      <c r="AA1133" s="2106">
        <v>179.16666666666666</v>
      </c>
      <c r="AB1133" s="2106">
        <v>1704.04</v>
      </c>
      <c r="AC1133" s="2106">
        <v>1976.1366666666665</v>
      </c>
      <c r="AD1133" s="1744">
        <v>3859.3433333333332</v>
      </c>
      <c r="AE1133" s="2126">
        <v>1</v>
      </c>
      <c r="AF1133" s="2126">
        <v>2</v>
      </c>
      <c r="AG1133" s="1212">
        <v>1</v>
      </c>
      <c r="AH1133" s="1212">
        <v>0</v>
      </c>
      <c r="AI1133" s="1212">
        <v>0</v>
      </c>
      <c r="AJ1133" s="1212">
        <v>1</v>
      </c>
      <c r="AK1133" s="2126">
        <v>3859.3433333333332</v>
      </c>
      <c r="AL1133" s="2126">
        <v>0</v>
      </c>
      <c r="AM1133" s="2126">
        <v>0</v>
      </c>
      <c r="AN1133" s="2126">
        <v>3859.3433333333332</v>
      </c>
      <c r="AO1133" s="1743" t="s">
        <v>85</v>
      </c>
      <c r="AP1133" s="1743" t="s">
        <v>90</v>
      </c>
      <c r="AQ1133" s="1764">
        <v>2019</v>
      </c>
      <c r="AR1133" s="1743" t="s">
        <v>87</v>
      </c>
      <c r="AS1133" s="2135"/>
      <c r="AT1133" s="2135"/>
      <c r="AU1133" s="1212">
        <v>0.33333333333333331</v>
      </c>
      <c r="AV1133" s="1212">
        <v>0.33333333333333331</v>
      </c>
      <c r="AW1133" s="1212">
        <v>0.33333333333333331</v>
      </c>
      <c r="AX1133" s="1212"/>
      <c r="AY1133" s="1212"/>
      <c r="AZ1133" s="1212"/>
      <c r="BA1133" s="1212"/>
      <c r="BB1133" s="1212"/>
      <c r="BC1133" s="1212"/>
      <c r="BD1133" s="1212"/>
      <c r="BE1133" s="1212"/>
      <c r="BF1133" s="2126">
        <v>0</v>
      </c>
      <c r="BG1133" s="2126">
        <v>0</v>
      </c>
      <c r="BH1133" s="2126">
        <v>1286.4477777777777</v>
      </c>
      <c r="BI1133" s="2126">
        <v>1286.4477777777777</v>
      </c>
      <c r="BJ1133" s="2126">
        <v>1286.4477777777777</v>
      </c>
      <c r="BK1133" s="2126">
        <v>0</v>
      </c>
      <c r="BL1133" s="2126">
        <v>0</v>
      </c>
      <c r="BM1133" s="2126">
        <v>0</v>
      </c>
      <c r="BN1133" s="2126">
        <v>0</v>
      </c>
      <c r="BO1133" s="2126">
        <v>0</v>
      </c>
      <c r="BP1133" s="2126">
        <v>0</v>
      </c>
      <c r="BQ1133" s="2126">
        <v>0</v>
      </c>
      <c r="BR1133" s="2126">
        <v>0</v>
      </c>
    </row>
    <row r="1134" spans="1:70" s="1765" customFormat="1" ht="33">
      <c r="A1134" s="1272">
        <v>4000</v>
      </c>
      <c r="B1134" s="971" t="s">
        <v>1316</v>
      </c>
      <c r="C1134" s="1272">
        <v>4700</v>
      </c>
      <c r="D1134" s="971" t="s">
        <v>912</v>
      </c>
      <c r="E1134" s="971">
        <v>4740</v>
      </c>
      <c r="F1134" s="971" t="s">
        <v>917</v>
      </c>
      <c r="G1134" s="971">
        <v>4740</v>
      </c>
      <c r="H1134" s="971" t="s">
        <v>917</v>
      </c>
      <c r="I1134" s="1273"/>
      <c r="J1134" s="971" t="s">
        <v>177</v>
      </c>
      <c r="K1134" s="971" t="s">
        <v>196</v>
      </c>
      <c r="L1134" s="971" t="s">
        <v>197</v>
      </c>
      <c r="M1134" s="971" t="s">
        <v>196</v>
      </c>
      <c r="N1134" s="971" t="s">
        <v>179</v>
      </c>
      <c r="O1134" s="971" t="s">
        <v>197</v>
      </c>
      <c r="P1134" s="971" t="s">
        <v>181</v>
      </c>
      <c r="Q1134" s="971" t="s">
        <v>2047</v>
      </c>
      <c r="R1134" s="1266"/>
      <c r="S1134" s="2106">
        <v>1</v>
      </c>
      <c r="T1134" s="1266" t="s">
        <v>242</v>
      </c>
      <c r="U1134" s="1742">
        <v>9.6666666666666661</v>
      </c>
      <c r="V1134" s="1742">
        <v>89.583333333333329</v>
      </c>
      <c r="W1134" s="1742">
        <v>852.02</v>
      </c>
      <c r="X1134" s="1742">
        <v>988.06833333333327</v>
      </c>
      <c r="Y1134" s="2106">
        <v>1929.6716666666666</v>
      </c>
      <c r="Z1134" s="2106">
        <v>9.6666666666666661</v>
      </c>
      <c r="AA1134" s="2106">
        <v>89.583333333333329</v>
      </c>
      <c r="AB1134" s="2106">
        <v>852.02</v>
      </c>
      <c r="AC1134" s="2106">
        <v>988.06833333333327</v>
      </c>
      <c r="AD1134" s="1744">
        <v>1929.6716666666666</v>
      </c>
      <c r="AE1134" s="2126">
        <v>1</v>
      </c>
      <c r="AF1134" s="2126">
        <v>1</v>
      </c>
      <c r="AG1134" s="1212">
        <v>1</v>
      </c>
      <c r="AH1134" s="1212">
        <v>0</v>
      </c>
      <c r="AI1134" s="1212">
        <v>0</v>
      </c>
      <c r="AJ1134" s="1212">
        <v>1</v>
      </c>
      <c r="AK1134" s="2126">
        <v>1929.6716666666666</v>
      </c>
      <c r="AL1134" s="2126">
        <v>0</v>
      </c>
      <c r="AM1134" s="2126">
        <v>0</v>
      </c>
      <c r="AN1134" s="2126">
        <v>1929.6716666666666</v>
      </c>
      <c r="AO1134" s="1743" t="s">
        <v>85</v>
      </c>
      <c r="AP1134" s="1743" t="s">
        <v>90</v>
      </c>
      <c r="AQ1134" s="1764" t="s">
        <v>103</v>
      </c>
      <c r="AR1134" s="1743" t="s">
        <v>87</v>
      </c>
      <c r="AS1134" s="2135"/>
      <c r="AT1134" s="2135"/>
      <c r="AU1134" s="1212">
        <v>0.33333333333333331</v>
      </c>
      <c r="AV1134" s="1212">
        <v>0.33333333333333331</v>
      </c>
      <c r="AW1134" s="1212">
        <v>0.33333333333333331</v>
      </c>
      <c r="AX1134" s="1212"/>
      <c r="AY1134" s="1212"/>
      <c r="AZ1134" s="1212"/>
      <c r="BA1134" s="1212"/>
      <c r="BB1134" s="1212"/>
      <c r="BC1134" s="1212"/>
      <c r="BD1134" s="1212"/>
      <c r="BE1134" s="1212"/>
      <c r="BF1134" s="2126">
        <v>0</v>
      </c>
      <c r="BG1134" s="2126">
        <v>0</v>
      </c>
      <c r="BH1134" s="2126">
        <v>643.22388888888884</v>
      </c>
      <c r="BI1134" s="2126">
        <v>643.22388888888884</v>
      </c>
      <c r="BJ1134" s="2126">
        <v>643.22388888888884</v>
      </c>
      <c r="BK1134" s="2126">
        <v>0</v>
      </c>
      <c r="BL1134" s="2126">
        <v>0</v>
      </c>
      <c r="BM1134" s="2126">
        <v>0</v>
      </c>
      <c r="BN1134" s="2126">
        <v>0</v>
      </c>
      <c r="BO1134" s="2126">
        <v>0</v>
      </c>
      <c r="BP1134" s="2126">
        <v>0</v>
      </c>
      <c r="BQ1134" s="2126">
        <v>0</v>
      </c>
      <c r="BR1134" s="2126">
        <v>0</v>
      </c>
    </row>
    <row r="1135" spans="1:70" s="1765" customFormat="1" ht="33">
      <c r="A1135" s="1272">
        <v>4000</v>
      </c>
      <c r="B1135" s="971" t="s">
        <v>1316</v>
      </c>
      <c r="C1135" s="1272">
        <v>4700</v>
      </c>
      <c r="D1135" s="971" t="s">
        <v>912</v>
      </c>
      <c r="E1135" s="971">
        <v>4740</v>
      </c>
      <c r="F1135" s="971" t="s">
        <v>917</v>
      </c>
      <c r="G1135" s="971">
        <v>4740</v>
      </c>
      <c r="H1135" s="971" t="s">
        <v>917</v>
      </c>
      <c r="I1135" s="1273"/>
      <c r="J1135" s="971" t="s">
        <v>177</v>
      </c>
      <c r="K1135" s="971" t="s">
        <v>196</v>
      </c>
      <c r="L1135" s="971" t="s">
        <v>197</v>
      </c>
      <c r="M1135" s="971" t="s">
        <v>196</v>
      </c>
      <c r="N1135" s="971" t="s">
        <v>179</v>
      </c>
      <c r="O1135" s="971" t="s">
        <v>197</v>
      </c>
      <c r="P1135" s="971" t="s">
        <v>181</v>
      </c>
      <c r="Q1135" s="971" t="s">
        <v>2047</v>
      </c>
      <c r="R1135" s="1266"/>
      <c r="S1135" s="2106">
        <v>-1</v>
      </c>
      <c r="T1135" s="1266" t="s">
        <v>242</v>
      </c>
      <c r="U1135" s="1742">
        <v>9.6666666666666661</v>
      </c>
      <c r="V1135" s="1742">
        <v>89.583333333333329</v>
      </c>
      <c r="W1135" s="1742">
        <v>852.02</v>
      </c>
      <c r="X1135" s="1742">
        <v>988.06833333333327</v>
      </c>
      <c r="Y1135" s="2106">
        <v>1929.6716666666666</v>
      </c>
      <c r="Z1135" s="2106">
        <v>-9.6666666666666661</v>
      </c>
      <c r="AA1135" s="2106">
        <v>-89.583333333333329</v>
      </c>
      <c r="AB1135" s="2106">
        <v>-852.02</v>
      </c>
      <c r="AC1135" s="2106">
        <v>-988.06833333333327</v>
      </c>
      <c r="AD1135" s="1744">
        <v>-1929.6716666666666</v>
      </c>
      <c r="AE1135" s="2126">
        <v>1</v>
      </c>
      <c r="AF1135" s="2126">
        <v>-1</v>
      </c>
      <c r="AG1135" s="1212">
        <v>1</v>
      </c>
      <c r="AH1135" s="1212">
        <v>0</v>
      </c>
      <c r="AI1135" s="1212">
        <v>0</v>
      </c>
      <c r="AJ1135" s="1212">
        <v>1</v>
      </c>
      <c r="AK1135" s="2126">
        <v>-1929.6716666666666</v>
      </c>
      <c r="AL1135" s="2126">
        <v>0</v>
      </c>
      <c r="AM1135" s="2126">
        <v>0</v>
      </c>
      <c r="AN1135" s="2126">
        <v>-1929.6716666666666</v>
      </c>
      <c r="AO1135" s="1743" t="s">
        <v>85</v>
      </c>
      <c r="AP1135" s="1743" t="s">
        <v>90</v>
      </c>
      <c r="AQ1135" s="1764" t="s">
        <v>183</v>
      </c>
      <c r="AR1135" s="1743" t="s">
        <v>87</v>
      </c>
      <c r="AS1135" s="2135"/>
      <c r="AT1135" s="2135"/>
      <c r="AU1135" s="1212">
        <v>0.33333333333333331</v>
      </c>
      <c r="AV1135" s="1212">
        <v>0.33333333333333331</v>
      </c>
      <c r="AW1135" s="1212">
        <v>0.33333333333333331</v>
      </c>
      <c r="AX1135" s="1212"/>
      <c r="AY1135" s="1212"/>
      <c r="AZ1135" s="1212"/>
      <c r="BA1135" s="1212"/>
      <c r="BB1135" s="1212"/>
      <c r="BC1135" s="1212"/>
      <c r="BD1135" s="1212"/>
      <c r="BE1135" s="1212"/>
      <c r="BF1135" s="2126">
        <v>0</v>
      </c>
      <c r="BG1135" s="2126">
        <v>0</v>
      </c>
      <c r="BH1135" s="2126">
        <v>-643.22388888888884</v>
      </c>
      <c r="BI1135" s="2126">
        <v>-643.22388888888884</v>
      </c>
      <c r="BJ1135" s="2126">
        <v>-643.22388888888884</v>
      </c>
      <c r="BK1135" s="2126">
        <v>0</v>
      </c>
      <c r="BL1135" s="2126">
        <v>0</v>
      </c>
      <c r="BM1135" s="2126">
        <v>0</v>
      </c>
      <c r="BN1135" s="2126">
        <v>0</v>
      </c>
      <c r="BO1135" s="2126">
        <v>0</v>
      </c>
      <c r="BP1135" s="2126">
        <v>0</v>
      </c>
      <c r="BQ1135" s="2126">
        <v>0</v>
      </c>
      <c r="BR1135" s="2126">
        <v>0</v>
      </c>
    </row>
    <row r="1136" spans="1:70" s="1765" customFormat="1" ht="33">
      <c r="A1136" s="1272">
        <v>4000</v>
      </c>
      <c r="B1136" s="971" t="s">
        <v>1316</v>
      </c>
      <c r="C1136" s="1272">
        <v>4700</v>
      </c>
      <c r="D1136" s="971" t="s">
        <v>912</v>
      </c>
      <c r="E1136" s="971">
        <v>4740</v>
      </c>
      <c r="F1136" s="971" t="s">
        <v>917</v>
      </c>
      <c r="G1136" s="971">
        <v>4740</v>
      </c>
      <c r="H1136" s="971" t="s">
        <v>917</v>
      </c>
      <c r="I1136" s="1273"/>
      <c r="J1136" s="971" t="s">
        <v>177</v>
      </c>
      <c r="K1136" s="971" t="s">
        <v>196</v>
      </c>
      <c r="L1136" s="971" t="s">
        <v>197</v>
      </c>
      <c r="M1136" s="971" t="s">
        <v>196</v>
      </c>
      <c r="N1136" s="971" t="s">
        <v>179</v>
      </c>
      <c r="O1136" s="971" t="s">
        <v>197</v>
      </c>
      <c r="P1136" s="971" t="s">
        <v>181</v>
      </c>
      <c r="Q1136" s="971" t="s">
        <v>2046</v>
      </c>
      <c r="R1136" s="1266"/>
      <c r="S1136" s="2106">
        <v>2</v>
      </c>
      <c r="T1136" s="1266" t="s">
        <v>242</v>
      </c>
      <c r="U1136" s="1742">
        <v>9.6666666666666661</v>
      </c>
      <c r="V1136" s="1742">
        <v>89.583333333333329</v>
      </c>
      <c r="W1136" s="1742">
        <v>852.02</v>
      </c>
      <c r="X1136" s="1742">
        <v>988.06833333333327</v>
      </c>
      <c r="Y1136" s="2106">
        <v>1929.6716666666666</v>
      </c>
      <c r="Z1136" s="2106">
        <v>19.333333333333332</v>
      </c>
      <c r="AA1136" s="2106">
        <v>179.16666666666666</v>
      </c>
      <c r="AB1136" s="2106">
        <v>1704.04</v>
      </c>
      <c r="AC1136" s="2106">
        <v>1976.1366666666665</v>
      </c>
      <c r="AD1136" s="1744">
        <v>3859.3433333333332</v>
      </c>
      <c r="AE1136" s="2126">
        <v>1</v>
      </c>
      <c r="AF1136" s="2126">
        <v>2</v>
      </c>
      <c r="AG1136" s="1212">
        <v>1</v>
      </c>
      <c r="AH1136" s="1212">
        <v>0</v>
      </c>
      <c r="AI1136" s="1212">
        <v>0</v>
      </c>
      <c r="AJ1136" s="1212">
        <v>1</v>
      </c>
      <c r="AK1136" s="2126">
        <v>3859.3433333333332</v>
      </c>
      <c r="AL1136" s="2126">
        <v>0</v>
      </c>
      <c r="AM1136" s="2126">
        <v>0</v>
      </c>
      <c r="AN1136" s="2126">
        <v>3859.3433333333332</v>
      </c>
      <c r="AO1136" s="1743" t="s">
        <v>85</v>
      </c>
      <c r="AP1136" s="1743" t="s">
        <v>90</v>
      </c>
      <c r="AQ1136" s="1764">
        <v>2019</v>
      </c>
      <c r="AR1136" s="1743" t="s">
        <v>87</v>
      </c>
      <c r="AS1136" s="2135"/>
      <c r="AT1136" s="2135"/>
      <c r="AU1136" s="1212">
        <v>0.33333333333333331</v>
      </c>
      <c r="AV1136" s="1212">
        <v>0.33333333333333331</v>
      </c>
      <c r="AW1136" s="1212">
        <v>0.33333333333333331</v>
      </c>
      <c r="AX1136" s="1212"/>
      <c r="AY1136" s="1212"/>
      <c r="AZ1136" s="1212"/>
      <c r="BA1136" s="1212"/>
      <c r="BB1136" s="1212"/>
      <c r="BC1136" s="1212"/>
      <c r="BD1136" s="1212"/>
      <c r="BE1136" s="1212"/>
      <c r="BF1136" s="2126">
        <v>0</v>
      </c>
      <c r="BG1136" s="2126">
        <v>0</v>
      </c>
      <c r="BH1136" s="2126">
        <v>1286.4477777777777</v>
      </c>
      <c r="BI1136" s="2126">
        <v>1286.4477777777777</v>
      </c>
      <c r="BJ1136" s="2126">
        <v>1286.4477777777777</v>
      </c>
      <c r="BK1136" s="2126">
        <v>0</v>
      </c>
      <c r="BL1136" s="2126">
        <v>0</v>
      </c>
      <c r="BM1136" s="2126">
        <v>0</v>
      </c>
      <c r="BN1136" s="2126">
        <v>0</v>
      </c>
      <c r="BO1136" s="2126">
        <v>0</v>
      </c>
      <c r="BP1136" s="2126">
        <v>0</v>
      </c>
      <c r="BQ1136" s="2126">
        <v>0</v>
      </c>
      <c r="BR1136" s="2126">
        <v>0</v>
      </c>
    </row>
    <row r="1137" spans="1:70" s="1765" customFormat="1" ht="33">
      <c r="A1137" s="1272">
        <v>4000</v>
      </c>
      <c r="B1137" s="971" t="s">
        <v>1316</v>
      </c>
      <c r="C1137" s="1272">
        <v>4700</v>
      </c>
      <c r="D1137" s="971" t="s">
        <v>912</v>
      </c>
      <c r="E1137" s="971">
        <v>4740</v>
      </c>
      <c r="F1137" s="971" t="s">
        <v>917</v>
      </c>
      <c r="G1137" s="971">
        <v>4740</v>
      </c>
      <c r="H1137" s="971" t="s">
        <v>917</v>
      </c>
      <c r="I1137" s="1273"/>
      <c r="J1137" s="971" t="s">
        <v>177</v>
      </c>
      <c r="K1137" s="971" t="s">
        <v>196</v>
      </c>
      <c r="L1137" s="971" t="s">
        <v>197</v>
      </c>
      <c r="M1137" s="971" t="s">
        <v>196</v>
      </c>
      <c r="N1137" s="971" t="s">
        <v>179</v>
      </c>
      <c r="O1137" s="971" t="s">
        <v>197</v>
      </c>
      <c r="P1137" s="971" t="s">
        <v>181</v>
      </c>
      <c r="Q1137" s="971" t="s">
        <v>2044</v>
      </c>
      <c r="R1137" s="1266"/>
      <c r="S1137" s="2106">
        <v>1</v>
      </c>
      <c r="T1137" s="1266" t="s">
        <v>242</v>
      </c>
      <c r="U1137" s="1742">
        <v>9.6666666666666661</v>
      </c>
      <c r="V1137" s="1742">
        <v>89.583333333333329</v>
      </c>
      <c r="W1137" s="1742">
        <v>852.02</v>
      </c>
      <c r="X1137" s="1742">
        <v>988.06833333333327</v>
      </c>
      <c r="Y1137" s="2106">
        <v>1929.6716666666666</v>
      </c>
      <c r="Z1137" s="2106">
        <v>9.6666666666666661</v>
      </c>
      <c r="AA1137" s="2106">
        <v>89.583333333333329</v>
      </c>
      <c r="AB1137" s="2106">
        <v>852.02</v>
      </c>
      <c r="AC1137" s="2106">
        <v>988.06833333333327</v>
      </c>
      <c r="AD1137" s="1744">
        <v>1929.6716666666666</v>
      </c>
      <c r="AE1137" s="2126">
        <v>1</v>
      </c>
      <c r="AF1137" s="2126">
        <v>1</v>
      </c>
      <c r="AG1137" s="1212">
        <v>1</v>
      </c>
      <c r="AH1137" s="1212">
        <v>0</v>
      </c>
      <c r="AI1137" s="1212">
        <v>0</v>
      </c>
      <c r="AJ1137" s="1212">
        <v>1</v>
      </c>
      <c r="AK1137" s="2126">
        <v>1929.6716666666666</v>
      </c>
      <c r="AL1137" s="2126">
        <v>0</v>
      </c>
      <c r="AM1137" s="2126">
        <v>0</v>
      </c>
      <c r="AN1137" s="2126">
        <v>1929.6716666666666</v>
      </c>
      <c r="AO1137" s="1743" t="s">
        <v>85</v>
      </c>
      <c r="AP1137" s="1743" t="s">
        <v>90</v>
      </c>
      <c r="AQ1137" s="1764">
        <v>2019</v>
      </c>
      <c r="AR1137" s="1743" t="s">
        <v>87</v>
      </c>
      <c r="AS1137" s="2135"/>
      <c r="AT1137" s="2135"/>
      <c r="AU1137" s="1212">
        <v>0.33333333333333331</v>
      </c>
      <c r="AV1137" s="1212">
        <v>0.33333333333333331</v>
      </c>
      <c r="AW1137" s="1212">
        <v>0.33333333333333331</v>
      </c>
      <c r="AX1137" s="1212"/>
      <c r="AY1137" s="1212"/>
      <c r="AZ1137" s="1212"/>
      <c r="BA1137" s="1212"/>
      <c r="BB1137" s="1212"/>
      <c r="BC1137" s="1212"/>
      <c r="BD1137" s="1212"/>
      <c r="BE1137" s="1212"/>
      <c r="BF1137" s="2126">
        <v>0</v>
      </c>
      <c r="BG1137" s="2126">
        <v>0</v>
      </c>
      <c r="BH1137" s="2126">
        <v>643.22388888888884</v>
      </c>
      <c r="BI1137" s="2126">
        <v>643.22388888888884</v>
      </c>
      <c r="BJ1137" s="2126">
        <v>643.22388888888884</v>
      </c>
      <c r="BK1137" s="2126">
        <v>0</v>
      </c>
      <c r="BL1137" s="2126">
        <v>0</v>
      </c>
      <c r="BM1137" s="2126">
        <v>0</v>
      </c>
      <c r="BN1137" s="2126">
        <v>0</v>
      </c>
      <c r="BO1137" s="2126">
        <v>0</v>
      </c>
      <c r="BP1137" s="2126">
        <v>0</v>
      </c>
      <c r="BQ1137" s="2126">
        <v>0</v>
      </c>
      <c r="BR1137" s="2126">
        <v>0</v>
      </c>
    </row>
    <row r="1138" spans="1:70" s="1765" customFormat="1" ht="33">
      <c r="A1138" s="1272">
        <v>4000</v>
      </c>
      <c r="B1138" s="971" t="s">
        <v>1316</v>
      </c>
      <c r="C1138" s="1272">
        <v>4700</v>
      </c>
      <c r="D1138" s="971" t="s">
        <v>912</v>
      </c>
      <c r="E1138" s="971">
        <v>4740</v>
      </c>
      <c r="F1138" s="971" t="s">
        <v>917</v>
      </c>
      <c r="G1138" s="971">
        <v>4740</v>
      </c>
      <c r="H1138" s="971" t="s">
        <v>917</v>
      </c>
      <c r="I1138" s="1273"/>
      <c r="J1138" s="971" t="s">
        <v>177</v>
      </c>
      <c r="K1138" s="971" t="s">
        <v>196</v>
      </c>
      <c r="L1138" s="971" t="s">
        <v>197</v>
      </c>
      <c r="M1138" s="971" t="s">
        <v>196</v>
      </c>
      <c r="N1138" s="971" t="s">
        <v>179</v>
      </c>
      <c r="O1138" s="971" t="s">
        <v>197</v>
      </c>
      <c r="P1138" s="971" t="s">
        <v>181</v>
      </c>
      <c r="Q1138" s="971" t="s">
        <v>2045</v>
      </c>
      <c r="R1138" s="1266"/>
      <c r="S1138" s="2106">
        <v>1</v>
      </c>
      <c r="T1138" s="1266" t="s">
        <v>242</v>
      </c>
      <c r="U1138" s="1742">
        <v>9.6666666666666661</v>
      </c>
      <c r="V1138" s="1742">
        <v>89.583333333333329</v>
      </c>
      <c r="W1138" s="1742">
        <v>852.02</v>
      </c>
      <c r="X1138" s="1742">
        <v>988.06833333333327</v>
      </c>
      <c r="Y1138" s="2106">
        <v>1929.6716666666666</v>
      </c>
      <c r="Z1138" s="2106">
        <v>9.6666666666666661</v>
      </c>
      <c r="AA1138" s="2106">
        <v>89.583333333333329</v>
      </c>
      <c r="AB1138" s="2106">
        <v>852.02</v>
      </c>
      <c r="AC1138" s="2106">
        <v>988.06833333333327</v>
      </c>
      <c r="AD1138" s="1744">
        <v>1929.6716666666666</v>
      </c>
      <c r="AE1138" s="2126">
        <v>1</v>
      </c>
      <c r="AF1138" s="2126">
        <v>1</v>
      </c>
      <c r="AG1138" s="1212">
        <v>1</v>
      </c>
      <c r="AH1138" s="1212">
        <v>0</v>
      </c>
      <c r="AI1138" s="1212">
        <v>0</v>
      </c>
      <c r="AJ1138" s="1212">
        <v>1</v>
      </c>
      <c r="AK1138" s="2126">
        <v>1929.6716666666666</v>
      </c>
      <c r="AL1138" s="2126">
        <v>0</v>
      </c>
      <c r="AM1138" s="2126">
        <v>0</v>
      </c>
      <c r="AN1138" s="2126">
        <v>1929.6716666666666</v>
      </c>
      <c r="AO1138" s="1743" t="s">
        <v>85</v>
      </c>
      <c r="AP1138" s="1743" t="s">
        <v>90</v>
      </c>
      <c r="AQ1138" s="1764">
        <v>2019</v>
      </c>
      <c r="AR1138" s="1743" t="s">
        <v>87</v>
      </c>
      <c r="AS1138" s="2135"/>
      <c r="AT1138" s="2135"/>
      <c r="AU1138" s="1212">
        <v>0.33333333333333331</v>
      </c>
      <c r="AV1138" s="1212">
        <v>0.33333333333333331</v>
      </c>
      <c r="AW1138" s="1212">
        <v>0.33333333333333331</v>
      </c>
      <c r="AX1138" s="1212"/>
      <c r="AY1138" s="1212"/>
      <c r="AZ1138" s="1212"/>
      <c r="BA1138" s="1212"/>
      <c r="BB1138" s="1212"/>
      <c r="BC1138" s="1212"/>
      <c r="BD1138" s="1212"/>
      <c r="BE1138" s="1212"/>
      <c r="BF1138" s="2126">
        <v>0</v>
      </c>
      <c r="BG1138" s="2126">
        <v>0</v>
      </c>
      <c r="BH1138" s="2126">
        <v>643.22388888888884</v>
      </c>
      <c r="BI1138" s="2126">
        <v>643.22388888888884</v>
      </c>
      <c r="BJ1138" s="2126">
        <v>643.22388888888884</v>
      </c>
      <c r="BK1138" s="2126">
        <v>0</v>
      </c>
      <c r="BL1138" s="2126">
        <v>0</v>
      </c>
      <c r="BM1138" s="2126">
        <v>0</v>
      </c>
      <c r="BN1138" s="2126">
        <v>0</v>
      </c>
      <c r="BO1138" s="2126">
        <v>0</v>
      </c>
      <c r="BP1138" s="2126">
        <v>0</v>
      </c>
      <c r="BQ1138" s="2126">
        <v>0</v>
      </c>
      <c r="BR1138" s="2126">
        <v>0</v>
      </c>
    </row>
    <row r="1139" spans="1:70" s="1765" customFormat="1" ht="33">
      <c r="A1139" s="1272">
        <v>4000</v>
      </c>
      <c r="B1139" s="971" t="s">
        <v>1316</v>
      </c>
      <c r="C1139" s="1272">
        <v>4700</v>
      </c>
      <c r="D1139" s="971" t="s">
        <v>912</v>
      </c>
      <c r="E1139" s="971">
        <v>4740</v>
      </c>
      <c r="F1139" s="971" t="s">
        <v>917</v>
      </c>
      <c r="G1139" s="971">
        <v>4740</v>
      </c>
      <c r="H1139" s="971" t="s">
        <v>917</v>
      </c>
      <c r="I1139" s="1273"/>
      <c r="J1139" s="971" t="s">
        <v>177</v>
      </c>
      <c r="K1139" s="971" t="s">
        <v>196</v>
      </c>
      <c r="L1139" s="971" t="s">
        <v>197</v>
      </c>
      <c r="M1139" s="971" t="s">
        <v>196</v>
      </c>
      <c r="N1139" s="971" t="s">
        <v>179</v>
      </c>
      <c r="O1139" s="971" t="s">
        <v>197</v>
      </c>
      <c r="P1139" s="971" t="s">
        <v>181</v>
      </c>
      <c r="Q1139" s="971" t="s">
        <v>2045</v>
      </c>
      <c r="R1139" s="1266"/>
      <c r="S1139" s="2106">
        <v>1</v>
      </c>
      <c r="T1139" s="1266" t="s">
        <v>242</v>
      </c>
      <c r="U1139" s="1742">
        <v>9.6666666666666661</v>
      </c>
      <c r="V1139" s="1742">
        <v>89.583333333333329</v>
      </c>
      <c r="W1139" s="1742">
        <v>852.02</v>
      </c>
      <c r="X1139" s="1742">
        <v>988.06833333333327</v>
      </c>
      <c r="Y1139" s="2106">
        <v>1929.6716666666666</v>
      </c>
      <c r="Z1139" s="2106">
        <v>9.6666666666666661</v>
      </c>
      <c r="AA1139" s="2106">
        <v>89.583333333333329</v>
      </c>
      <c r="AB1139" s="2106">
        <v>852.02</v>
      </c>
      <c r="AC1139" s="2106">
        <v>988.06833333333327</v>
      </c>
      <c r="AD1139" s="1744">
        <v>1929.6716666666666</v>
      </c>
      <c r="AE1139" s="2126">
        <v>1</v>
      </c>
      <c r="AF1139" s="2126">
        <v>1</v>
      </c>
      <c r="AG1139" s="1212">
        <v>1</v>
      </c>
      <c r="AH1139" s="1212">
        <v>0</v>
      </c>
      <c r="AI1139" s="1212">
        <v>0</v>
      </c>
      <c r="AJ1139" s="1212">
        <v>1</v>
      </c>
      <c r="AK1139" s="2126">
        <v>1929.6716666666666</v>
      </c>
      <c r="AL1139" s="2126">
        <v>0</v>
      </c>
      <c r="AM1139" s="2126">
        <v>0</v>
      </c>
      <c r="AN1139" s="2126">
        <v>1929.6716666666666</v>
      </c>
      <c r="AO1139" s="1743" t="s">
        <v>85</v>
      </c>
      <c r="AP1139" s="1743" t="s">
        <v>90</v>
      </c>
      <c r="AQ1139" s="1764" t="s">
        <v>103</v>
      </c>
      <c r="AR1139" s="1743" t="s">
        <v>87</v>
      </c>
      <c r="AS1139" s="2135"/>
      <c r="AT1139" s="2135"/>
      <c r="AU1139" s="1212">
        <v>0.33333333333333331</v>
      </c>
      <c r="AV1139" s="1212">
        <v>0.33333333333333331</v>
      </c>
      <c r="AW1139" s="1212">
        <v>0.33333333333333331</v>
      </c>
      <c r="AX1139" s="1212"/>
      <c r="AY1139" s="1212"/>
      <c r="AZ1139" s="1212"/>
      <c r="BA1139" s="1212"/>
      <c r="BB1139" s="1212"/>
      <c r="BC1139" s="1212"/>
      <c r="BD1139" s="1212"/>
      <c r="BE1139" s="1212"/>
      <c r="BF1139" s="2126">
        <v>0</v>
      </c>
      <c r="BG1139" s="2126">
        <v>0</v>
      </c>
      <c r="BH1139" s="2126">
        <v>643.22388888888884</v>
      </c>
      <c r="BI1139" s="2126">
        <v>643.22388888888884</v>
      </c>
      <c r="BJ1139" s="2126">
        <v>643.22388888888884</v>
      </c>
      <c r="BK1139" s="2126">
        <v>0</v>
      </c>
      <c r="BL1139" s="2126">
        <v>0</v>
      </c>
      <c r="BM1139" s="2126">
        <v>0</v>
      </c>
      <c r="BN1139" s="2126">
        <v>0</v>
      </c>
      <c r="BO1139" s="2126">
        <v>0</v>
      </c>
      <c r="BP1139" s="2126">
        <v>0</v>
      </c>
      <c r="BQ1139" s="2126">
        <v>0</v>
      </c>
      <c r="BR1139" s="2126">
        <v>0</v>
      </c>
    </row>
    <row r="1140" spans="1:70" s="1765" customFormat="1" ht="33">
      <c r="A1140" s="1272">
        <v>4000</v>
      </c>
      <c r="B1140" s="971" t="s">
        <v>1316</v>
      </c>
      <c r="C1140" s="1272">
        <v>4700</v>
      </c>
      <c r="D1140" s="971" t="s">
        <v>912</v>
      </c>
      <c r="E1140" s="971">
        <v>4740</v>
      </c>
      <c r="F1140" s="971" t="s">
        <v>917</v>
      </c>
      <c r="G1140" s="971">
        <v>4740</v>
      </c>
      <c r="H1140" s="971" t="s">
        <v>917</v>
      </c>
      <c r="I1140" s="1273"/>
      <c r="J1140" s="971" t="s">
        <v>177</v>
      </c>
      <c r="K1140" s="971" t="s">
        <v>196</v>
      </c>
      <c r="L1140" s="971" t="s">
        <v>197</v>
      </c>
      <c r="M1140" s="971" t="s">
        <v>196</v>
      </c>
      <c r="N1140" s="971" t="s">
        <v>179</v>
      </c>
      <c r="O1140" s="971" t="s">
        <v>197</v>
      </c>
      <c r="P1140" s="971" t="s">
        <v>181</v>
      </c>
      <c r="Q1140" s="971" t="s">
        <v>2045</v>
      </c>
      <c r="R1140" s="1266"/>
      <c r="S1140" s="2106">
        <v>-1</v>
      </c>
      <c r="T1140" s="1266" t="s">
        <v>242</v>
      </c>
      <c r="U1140" s="1742">
        <v>9.6666666666666661</v>
      </c>
      <c r="V1140" s="1742">
        <v>89.583333333333329</v>
      </c>
      <c r="W1140" s="1742">
        <v>852.02</v>
      </c>
      <c r="X1140" s="1742">
        <v>988.06833333333327</v>
      </c>
      <c r="Y1140" s="2106">
        <v>1929.6716666666666</v>
      </c>
      <c r="Z1140" s="2106">
        <v>-9.6666666666666661</v>
      </c>
      <c r="AA1140" s="2106">
        <v>-89.583333333333329</v>
      </c>
      <c r="AB1140" s="2106">
        <v>-852.02</v>
      </c>
      <c r="AC1140" s="2106">
        <v>-988.06833333333327</v>
      </c>
      <c r="AD1140" s="1744">
        <v>-1929.6716666666666</v>
      </c>
      <c r="AE1140" s="2126">
        <v>1</v>
      </c>
      <c r="AF1140" s="2126">
        <v>-1</v>
      </c>
      <c r="AG1140" s="1212">
        <v>1</v>
      </c>
      <c r="AH1140" s="1212">
        <v>0</v>
      </c>
      <c r="AI1140" s="1212">
        <v>0</v>
      </c>
      <c r="AJ1140" s="1212">
        <v>1</v>
      </c>
      <c r="AK1140" s="2126">
        <v>-1929.6716666666666</v>
      </c>
      <c r="AL1140" s="2126">
        <v>0</v>
      </c>
      <c r="AM1140" s="2126">
        <v>0</v>
      </c>
      <c r="AN1140" s="2126">
        <v>-1929.6716666666666</v>
      </c>
      <c r="AO1140" s="1743" t="s">
        <v>85</v>
      </c>
      <c r="AP1140" s="1743" t="s">
        <v>90</v>
      </c>
      <c r="AQ1140" s="1764" t="s">
        <v>183</v>
      </c>
      <c r="AR1140" s="1743" t="s">
        <v>87</v>
      </c>
      <c r="AS1140" s="2135"/>
      <c r="AT1140" s="2135"/>
      <c r="AU1140" s="1212">
        <v>0.33333333333333331</v>
      </c>
      <c r="AV1140" s="1212">
        <v>0.33333333333333331</v>
      </c>
      <c r="AW1140" s="1212">
        <v>0.33333333333333331</v>
      </c>
      <c r="AX1140" s="1212"/>
      <c r="AY1140" s="1212"/>
      <c r="AZ1140" s="1212"/>
      <c r="BA1140" s="1212"/>
      <c r="BB1140" s="1212"/>
      <c r="BC1140" s="1212"/>
      <c r="BD1140" s="1212"/>
      <c r="BE1140" s="1212"/>
      <c r="BF1140" s="2126">
        <v>0</v>
      </c>
      <c r="BG1140" s="2126">
        <v>0</v>
      </c>
      <c r="BH1140" s="2126">
        <v>-643.22388888888884</v>
      </c>
      <c r="BI1140" s="2126">
        <v>-643.22388888888884</v>
      </c>
      <c r="BJ1140" s="2126">
        <v>-643.22388888888884</v>
      </c>
      <c r="BK1140" s="2126">
        <v>0</v>
      </c>
      <c r="BL1140" s="2126">
        <v>0</v>
      </c>
      <c r="BM1140" s="2126">
        <v>0</v>
      </c>
      <c r="BN1140" s="2126">
        <v>0</v>
      </c>
      <c r="BO1140" s="2126">
        <v>0</v>
      </c>
      <c r="BP1140" s="2126">
        <v>0</v>
      </c>
      <c r="BQ1140" s="2126">
        <v>0</v>
      </c>
      <c r="BR1140" s="2126">
        <v>0</v>
      </c>
    </row>
    <row r="1141" spans="1:70" s="1765" customFormat="1" ht="33">
      <c r="A1141" s="1272">
        <v>4000</v>
      </c>
      <c r="B1141" s="971" t="s">
        <v>1316</v>
      </c>
      <c r="C1141" s="1272">
        <v>4700</v>
      </c>
      <c r="D1141" s="971" t="s">
        <v>912</v>
      </c>
      <c r="E1141" s="971">
        <v>4740</v>
      </c>
      <c r="F1141" s="971" t="s">
        <v>917</v>
      </c>
      <c r="G1141" s="971">
        <v>4740</v>
      </c>
      <c r="H1141" s="971" t="s">
        <v>917</v>
      </c>
      <c r="I1141" s="1273"/>
      <c r="J1141" s="971" t="s">
        <v>177</v>
      </c>
      <c r="K1141" s="971" t="s">
        <v>530</v>
      </c>
      <c r="L1141" s="971" t="s">
        <v>531</v>
      </c>
      <c r="M1141" s="971" t="s">
        <v>530</v>
      </c>
      <c r="N1141" s="971" t="s">
        <v>179</v>
      </c>
      <c r="O1141" s="971" t="s">
        <v>531</v>
      </c>
      <c r="P1141" s="971"/>
      <c r="Q1141" s="971" t="s">
        <v>920</v>
      </c>
      <c r="R1141" s="1266"/>
      <c r="S1141" s="2106">
        <v>3</v>
      </c>
      <c r="T1141" s="1266" t="s">
        <v>242</v>
      </c>
      <c r="U1141" s="1742">
        <v>31</v>
      </c>
      <c r="V1141" s="1742">
        <v>325</v>
      </c>
      <c r="W1141" s="1742">
        <v>2732.34</v>
      </c>
      <c r="X1141" s="1742">
        <v>3584.62</v>
      </c>
      <c r="Y1141" s="2106">
        <v>6641.9599999999991</v>
      </c>
      <c r="Z1141" s="2106">
        <v>93</v>
      </c>
      <c r="AA1141" s="2106">
        <v>975</v>
      </c>
      <c r="AB1141" s="2106">
        <v>8197.02</v>
      </c>
      <c r="AC1141" s="2106">
        <v>10753.86</v>
      </c>
      <c r="AD1141" s="1744">
        <v>19925.879999999997</v>
      </c>
      <c r="AE1141" s="2126">
        <v>2</v>
      </c>
      <c r="AF1141" s="2126">
        <v>6</v>
      </c>
      <c r="AG1141" s="1212">
        <v>1</v>
      </c>
      <c r="AH1141" s="1212">
        <v>0</v>
      </c>
      <c r="AI1141" s="1212">
        <v>0</v>
      </c>
      <c r="AJ1141" s="1212">
        <v>1</v>
      </c>
      <c r="AK1141" s="2126">
        <v>19925.879999999997</v>
      </c>
      <c r="AL1141" s="2126">
        <v>0</v>
      </c>
      <c r="AM1141" s="2126">
        <v>0</v>
      </c>
      <c r="AN1141" s="2126">
        <v>19925.879999999997</v>
      </c>
      <c r="AO1141" s="1743" t="s">
        <v>131</v>
      </c>
      <c r="AP1141" s="1743" t="s">
        <v>955</v>
      </c>
      <c r="AQ1141" s="1764" t="s">
        <v>107</v>
      </c>
      <c r="AR1141" s="1743" t="s">
        <v>87</v>
      </c>
      <c r="AS1141" s="2135"/>
      <c r="AT1141" s="2135"/>
      <c r="AU1141" s="1212">
        <v>0.5</v>
      </c>
      <c r="AV1141" s="1212">
        <v>0.5</v>
      </c>
      <c r="AW1141" s="1212"/>
      <c r="AX1141" s="1212"/>
      <c r="AY1141" s="1212"/>
      <c r="AZ1141" s="1212"/>
      <c r="BA1141" s="1212"/>
      <c r="BB1141" s="1212"/>
      <c r="BC1141" s="1212"/>
      <c r="BD1141" s="1212"/>
      <c r="BE1141" s="1212"/>
      <c r="BF1141" s="2126">
        <v>0</v>
      </c>
      <c r="BG1141" s="2126">
        <v>0</v>
      </c>
      <c r="BH1141" s="2126">
        <v>9962.9399999999987</v>
      </c>
      <c r="BI1141" s="2126">
        <v>9962.9399999999987</v>
      </c>
      <c r="BJ1141" s="2126">
        <v>0</v>
      </c>
      <c r="BK1141" s="2126">
        <v>0</v>
      </c>
      <c r="BL1141" s="2126">
        <v>0</v>
      </c>
      <c r="BM1141" s="2126">
        <v>0</v>
      </c>
      <c r="BN1141" s="2126">
        <v>0</v>
      </c>
      <c r="BO1141" s="2126">
        <v>0</v>
      </c>
      <c r="BP1141" s="2126">
        <v>0</v>
      </c>
      <c r="BQ1141" s="2126">
        <v>0</v>
      </c>
      <c r="BR1141" s="2126">
        <v>0</v>
      </c>
    </row>
    <row r="1142" spans="1:70" s="1765" customFormat="1" ht="33">
      <c r="A1142" s="1272">
        <v>4000</v>
      </c>
      <c r="B1142" s="971" t="s">
        <v>1316</v>
      </c>
      <c r="C1142" s="1272">
        <v>4700</v>
      </c>
      <c r="D1142" s="971" t="s">
        <v>912</v>
      </c>
      <c r="E1142" s="971">
        <v>4740</v>
      </c>
      <c r="F1142" s="971" t="s">
        <v>917</v>
      </c>
      <c r="G1142" s="971">
        <v>4740</v>
      </c>
      <c r="H1142" s="971" t="s">
        <v>917</v>
      </c>
      <c r="I1142" s="1273"/>
      <c r="J1142" s="971" t="s">
        <v>177</v>
      </c>
      <c r="K1142" s="971" t="s">
        <v>196</v>
      </c>
      <c r="L1142" s="971" t="s">
        <v>197</v>
      </c>
      <c r="M1142" s="971" t="s">
        <v>196</v>
      </c>
      <c r="N1142" s="971" t="s">
        <v>179</v>
      </c>
      <c r="O1142" s="971" t="s">
        <v>197</v>
      </c>
      <c r="P1142" s="971"/>
      <c r="Q1142" s="971" t="s">
        <v>919</v>
      </c>
      <c r="R1142" s="1266"/>
      <c r="S1142" s="2106">
        <v>0</v>
      </c>
      <c r="T1142" s="1266" t="s">
        <v>242</v>
      </c>
      <c r="U1142" s="1742">
        <v>9.6666666666666661</v>
      </c>
      <c r="V1142" s="1742">
        <v>89.583333333333329</v>
      </c>
      <c r="W1142" s="1742">
        <v>852.02</v>
      </c>
      <c r="X1142" s="1742">
        <v>988.06833333333327</v>
      </c>
      <c r="Y1142" s="2106">
        <v>1929.6716666666666</v>
      </c>
      <c r="Z1142" s="2106">
        <v>0</v>
      </c>
      <c r="AA1142" s="2106">
        <v>0</v>
      </c>
      <c r="AB1142" s="2106">
        <v>0</v>
      </c>
      <c r="AC1142" s="2106">
        <v>0</v>
      </c>
      <c r="AD1142" s="1744">
        <v>0</v>
      </c>
      <c r="AE1142" s="2126">
        <v>1</v>
      </c>
      <c r="AF1142" s="2126">
        <v>0</v>
      </c>
      <c r="AG1142" s="1212">
        <v>1</v>
      </c>
      <c r="AH1142" s="1212">
        <v>0</v>
      </c>
      <c r="AI1142" s="1212">
        <v>0</v>
      </c>
      <c r="AJ1142" s="1212">
        <v>1</v>
      </c>
      <c r="AK1142" s="2126">
        <v>0</v>
      </c>
      <c r="AL1142" s="2126">
        <v>0</v>
      </c>
      <c r="AM1142" s="2126">
        <v>0</v>
      </c>
      <c r="AN1142" s="2126">
        <v>0</v>
      </c>
      <c r="AO1142" s="1743" t="s">
        <v>131</v>
      </c>
      <c r="AP1142" s="1743" t="s">
        <v>96</v>
      </c>
      <c r="AQ1142" s="1764" t="s">
        <v>107</v>
      </c>
      <c r="AR1142" s="1743" t="s">
        <v>87</v>
      </c>
      <c r="AS1142" s="2135"/>
      <c r="AT1142" s="2135"/>
      <c r="AU1142" s="1212">
        <v>0.5</v>
      </c>
      <c r="AV1142" s="1212">
        <v>0.5</v>
      </c>
      <c r="AW1142" s="1212"/>
      <c r="AX1142" s="1212"/>
      <c r="AY1142" s="1212"/>
      <c r="AZ1142" s="1212"/>
      <c r="BA1142" s="1212"/>
      <c r="BB1142" s="1212"/>
      <c r="BC1142" s="1212"/>
      <c r="BD1142" s="1212"/>
      <c r="BE1142" s="1212"/>
      <c r="BF1142" s="2126">
        <v>0</v>
      </c>
      <c r="BG1142" s="2126">
        <v>0</v>
      </c>
      <c r="BH1142" s="2126">
        <v>0</v>
      </c>
      <c r="BI1142" s="2126">
        <v>0</v>
      </c>
      <c r="BJ1142" s="2126">
        <v>0</v>
      </c>
      <c r="BK1142" s="2126">
        <v>0</v>
      </c>
      <c r="BL1142" s="2126">
        <v>0</v>
      </c>
      <c r="BM1142" s="2126">
        <v>0</v>
      </c>
      <c r="BN1142" s="2126">
        <v>0</v>
      </c>
      <c r="BO1142" s="2126">
        <v>0</v>
      </c>
      <c r="BP1142" s="2126">
        <v>0</v>
      </c>
      <c r="BQ1142" s="2126">
        <v>0</v>
      </c>
      <c r="BR1142" s="2126">
        <v>0</v>
      </c>
    </row>
    <row r="1143" spans="1:70" s="1765" customFormat="1" ht="49.5">
      <c r="A1143" s="1272">
        <v>4000</v>
      </c>
      <c r="B1143" s="971" t="s">
        <v>1316</v>
      </c>
      <c r="C1143" s="1272">
        <v>4700</v>
      </c>
      <c r="D1143" s="971" t="s">
        <v>912</v>
      </c>
      <c r="E1143" s="971">
        <v>4740</v>
      </c>
      <c r="F1143" s="971" t="s">
        <v>917</v>
      </c>
      <c r="G1143" s="971">
        <v>4740</v>
      </c>
      <c r="H1143" s="971" t="s">
        <v>917</v>
      </c>
      <c r="I1143" s="1273"/>
      <c r="J1143" s="971" t="s">
        <v>177</v>
      </c>
      <c r="K1143" s="971" t="s">
        <v>178</v>
      </c>
      <c r="L1143" s="971" t="s">
        <v>1948</v>
      </c>
      <c r="M1143" s="971" t="s">
        <v>178</v>
      </c>
      <c r="N1143" s="971" t="s">
        <v>179</v>
      </c>
      <c r="O1143" s="971" t="s">
        <v>180</v>
      </c>
      <c r="P1143" s="971" t="s">
        <v>1949</v>
      </c>
      <c r="Q1143" s="971" t="s">
        <v>2048</v>
      </c>
      <c r="R1143" s="1266" t="s">
        <v>2049</v>
      </c>
      <c r="S1143" s="2106">
        <v>1</v>
      </c>
      <c r="T1143" s="1266" t="s">
        <v>242</v>
      </c>
      <c r="U1143" s="1742">
        <v>42.724999999999994</v>
      </c>
      <c r="V1143" s="1742">
        <v>470.625</v>
      </c>
      <c r="W1143" s="1742">
        <v>3765.7815000000001</v>
      </c>
      <c r="X1143" s="1742">
        <v>5190.8055000000004</v>
      </c>
      <c r="Y1143" s="2106">
        <v>9427.2119999999995</v>
      </c>
      <c r="Z1143" s="2106">
        <v>42.724999999999994</v>
      </c>
      <c r="AA1143" s="2106">
        <v>470.625</v>
      </c>
      <c r="AB1143" s="2106">
        <v>3765.7815000000001</v>
      </c>
      <c r="AC1143" s="2106">
        <v>5190.8055000000004</v>
      </c>
      <c r="AD1143" s="1744">
        <v>9427.2119999999995</v>
      </c>
      <c r="AE1143" s="2126">
        <v>30</v>
      </c>
      <c r="AF1143" s="2126">
        <v>30</v>
      </c>
      <c r="AG1143" s="1212">
        <v>1</v>
      </c>
      <c r="AH1143" s="1212">
        <v>0</v>
      </c>
      <c r="AI1143" s="1212">
        <v>0</v>
      </c>
      <c r="AJ1143" s="1212">
        <v>1</v>
      </c>
      <c r="AK1143" s="2126">
        <v>9427.2119999999995</v>
      </c>
      <c r="AL1143" s="2126">
        <v>0</v>
      </c>
      <c r="AM1143" s="2126">
        <v>0</v>
      </c>
      <c r="AN1143" s="2126">
        <v>9427.2119999999995</v>
      </c>
      <c r="AO1143" s="1743" t="s">
        <v>85</v>
      </c>
      <c r="AP1143" s="1743" t="s">
        <v>90</v>
      </c>
      <c r="AQ1143" s="1764">
        <v>2022</v>
      </c>
      <c r="AR1143" s="1743" t="s">
        <v>87</v>
      </c>
      <c r="AS1143" s="2135"/>
      <c r="AT1143" s="2135"/>
      <c r="AU1143" s="1212">
        <v>0.5</v>
      </c>
      <c r="AV1143" s="1212">
        <v>0.5</v>
      </c>
      <c r="AW1143" s="1212"/>
      <c r="AX1143" s="1212"/>
      <c r="AY1143" s="1212"/>
      <c r="AZ1143" s="1212"/>
      <c r="BA1143" s="1212"/>
      <c r="BB1143" s="1212"/>
      <c r="BC1143" s="1212"/>
      <c r="BD1143" s="1212"/>
      <c r="BE1143" s="1212"/>
      <c r="BF1143" s="2126">
        <v>0</v>
      </c>
      <c r="BG1143" s="2126">
        <v>0</v>
      </c>
      <c r="BH1143" s="2126">
        <v>4713.6059999999998</v>
      </c>
      <c r="BI1143" s="2126">
        <v>4713.6059999999998</v>
      </c>
      <c r="BJ1143" s="2126">
        <v>0</v>
      </c>
      <c r="BK1143" s="2126">
        <v>0</v>
      </c>
      <c r="BL1143" s="2126">
        <v>0</v>
      </c>
      <c r="BM1143" s="2126">
        <v>0</v>
      </c>
      <c r="BN1143" s="2126">
        <v>0</v>
      </c>
      <c r="BO1143" s="2126">
        <v>0</v>
      </c>
      <c r="BP1143" s="2126">
        <v>0</v>
      </c>
      <c r="BQ1143" s="2126">
        <v>0</v>
      </c>
      <c r="BR1143" s="2126">
        <v>0</v>
      </c>
    </row>
    <row r="1144" spans="1:70" s="1765" customFormat="1" ht="49.5">
      <c r="A1144" s="1272">
        <v>4000</v>
      </c>
      <c r="B1144" s="971" t="s">
        <v>1316</v>
      </c>
      <c r="C1144" s="1272">
        <v>4700</v>
      </c>
      <c r="D1144" s="971" t="s">
        <v>912</v>
      </c>
      <c r="E1144" s="971">
        <v>4740</v>
      </c>
      <c r="F1144" s="971" t="s">
        <v>917</v>
      </c>
      <c r="G1144" s="971">
        <v>4740</v>
      </c>
      <c r="H1144" s="971" t="s">
        <v>917</v>
      </c>
      <c r="I1144" s="1273"/>
      <c r="J1144" s="971" t="s">
        <v>177</v>
      </c>
      <c r="K1144" s="971" t="s">
        <v>178</v>
      </c>
      <c r="L1144" s="971" t="s">
        <v>1948</v>
      </c>
      <c r="M1144" s="971" t="s">
        <v>178</v>
      </c>
      <c r="N1144" s="971" t="s">
        <v>179</v>
      </c>
      <c r="O1144" s="971" t="s">
        <v>180</v>
      </c>
      <c r="P1144" s="971" t="s">
        <v>1949</v>
      </c>
      <c r="Q1144" s="971" t="s">
        <v>2050</v>
      </c>
      <c r="R1144" s="1266" t="s">
        <v>2051</v>
      </c>
      <c r="S1144" s="2106">
        <v>1</v>
      </c>
      <c r="T1144" s="1266" t="s">
        <v>242</v>
      </c>
      <c r="U1144" s="1742">
        <v>42.724999999999994</v>
      </c>
      <c r="V1144" s="1742">
        <v>470.625</v>
      </c>
      <c r="W1144" s="1742">
        <v>3765.7815000000001</v>
      </c>
      <c r="X1144" s="1742">
        <v>5190.8055000000004</v>
      </c>
      <c r="Y1144" s="2106">
        <v>9427.2119999999995</v>
      </c>
      <c r="Z1144" s="2106">
        <v>42.724999999999994</v>
      </c>
      <c r="AA1144" s="2106">
        <v>470.625</v>
      </c>
      <c r="AB1144" s="2106">
        <v>3765.7815000000001</v>
      </c>
      <c r="AC1144" s="2106">
        <v>5190.8055000000004</v>
      </c>
      <c r="AD1144" s="1744">
        <v>9427.2119999999995</v>
      </c>
      <c r="AE1144" s="2126">
        <v>30</v>
      </c>
      <c r="AF1144" s="2126">
        <v>30</v>
      </c>
      <c r="AG1144" s="1212">
        <v>1</v>
      </c>
      <c r="AH1144" s="1212">
        <v>0</v>
      </c>
      <c r="AI1144" s="1212">
        <v>0</v>
      </c>
      <c r="AJ1144" s="1212">
        <v>1</v>
      </c>
      <c r="AK1144" s="2126">
        <v>9427.2119999999995</v>
      </c>
      <c r="AL1144" s="2126">
        <v>0</v>
      </c>
      <c r="AM1144" s="2126">
        <v>0</v>
      </c>
      <c r="AN1144" s="2126">
        <v>9427.2119999999995</v>
      </c>
      <c r="AO1144" s="1743" t="s">
        <v>85</v>
      </c>
      <c r="AP1144" s="1743" t="s">
        <v>90</v>
      </c>
      <c r="AQ1144" s="1764">
        <v>2023</v>
      </c>
      <c r="AR1144" s="1743" t="s">
        <v>87</v>
      </c>
      <c r="AS1144" s="2135"/>
      <c r="AT1144" s="2135"/>
      <c r="AU1144" s="1212">
        <v>0.5</v>
      </c>
      <c r="AV1144" s="1212">
        <v>0.5</v>
      </c>
      <c r="AW1144" s="1212"/>
      <c r="AX1144" s="1212"/>
      <c r="AY1144" s="1212"/>
      <c r="AZ1144" s="1212"/>
      <c r="BA1144" s="1212"/>
      <c r="BB1144" s="1212"/>
      <c r="BC1144" s="1212"/>
      <c r="BD1144" s="1212"/>
      <c r="BE1144" s="1212"/>
      <c r="BF1144" s="2126">
        <v>0</v>
      </c>
      <c r="BG1144" s="2126">
        <v>0</v>
      </c>
      <c r="BH1144" s="2126">
        <v>4713.6059999999998</v>
      </c>
      <c r="BI1144" s="2126">
        <v>4713.6059999999998</v>
      </c>
      <c r="BJ1144" s="2126">
        <v>0</v>
      </c>
      <c r="BK1144" s="2126">
        <v>0</v>
      </c>
      <c r="BL1144" s="2126">
        <v>0</v>
      </c>
      <c r="BM1144" s="2126">
        <v>0</v>
      </c>
      <c r="BN1144" s="2126">
        <v>0</v>
      </c>
      <c r="BO1144" s="2126">
        <v>0</v>
      </c>
      <c r="BP1144" s="2126">
        <v>0</v>
      </c>
      <c r="BQ1144" s="2126">
        <v>0</v>
      </c>
      <c r="BR1144" s="2126">
        <v>0</v>
      </c>
    </row>
    <row r="1145" spans="1:70" s="1765" customFormat="1" ht="49.5">
      <c r="A1145" s="1272">
        <v>4000</v>
      </c>
      <c r="B1145" s="971" t="s">
        <v>1316</v>
      </c>
      <c r="C1145" s="1272">
        <v>4700</v>
      </c>
      <c r="D1145" s="971" t="s">
        <v>912</v>
      </c>
      <c r="E1145" s="971">
        <v>4750</v>
      </c>
      <c r="F1145" s="971" t="s">
        <v>913</v>
      </c>
      <c r="G1145" s="971">
        <v>4750</v>
      </c>
      <c r="H1145" s="971" t="s">
        <v>913</v>
      </c>
      <c r="I1145" s="1273" t="s">
        <v>2052</v>
      </c>
      <c r="J1145" s="971" t="s">
        <v>638</v>
      </c>
      <c r="K1145" s="971" t="s">
        <v>2914</v>
      </c>
      <c r="L1145" s="971" t="s">
        <v>915</v>
      </c>
      <c r="M1145" s="971" t="s">
        <v>915</v>
      </c>
      <c r="N1145" s="971" t="s">
        <v>640</v>
      </c>
      <c r="O1145" s="971" t="s">
        <v>915</v>
      </c>
      <c r="P1145" s="971"/>
      <c r="Q1145" s="971" t="s">
        <v>2053</v>
      </c>
      <c r="R1145" s="1266" t="s">
        <v>2054</v>
      </c>
      <c r="S1145" s="2106">
        <v>11000</v>
      </c>
      <c r="T1145" s="1266" t="s">
        <v>991</v>
      </c>
      <c r="U1145" s="1742">
        <v>0.1</v>
      </c>
      <c r="V1145" s="1742">
        <v>1.25</v>
      </c>
      <c r="W1145" s="1742">
        <v>8.8140000000000001</v>
      </c>
      <c r="X1145" s="1742">
        <v>13.787000000000001</v>
      </c>
      <c r="Y1145" s="2106">
        <v>23.850999999999999</v>
      </c>
      <c r="Z1145" s="2106">
        <v>1100</v>
      </c>
      <c r="AA1145" s="2106">
        <v>13750</v>
      </c>
      <c r="AB1145" s="2106">
        <v>96954</v>
      </c>
      <c r="AC1145" s="2106">
        <v>151657</v>
      </c>
      <c r="AD1145" s="1744">
        <v>262361</v>
      </c>
      <c r="AE1145" s="2126">
        <v>1.0000000000000002E-2</v>
      </c>
      <c r="AF1145" s="2126">
        <v>110.00000000000003</v>
      </c>
      <c r="AG1145" s="1212">
        <v>1</v>
      </c>
      <c r="AH1145" s="1212">
        <v>0</v>
      </c>
      <c r="AI1145" s="1212">
        <v>0</v>
      </c>
      <c r="AJ1145" s="1212">
        <v>1</v>
      </c>
      <c r="AK1145" s="2126">
        <v>262361</v>
      </c>
      <c r="AL1145" s="2126">
        <v>0</v>
      </c>
      <c r="AM1145" s="2126">
        <v>0</v>
      </c>
      <c r="AN1145" s="2126">
        <v>262361</v>
      </c>
      <c r="AO1145" s="1743" t="s">
        <v>85</v>
      </c>
      <c r="AP1145" s="1743"/>
      <c r="AQ1145" s="1764">
        <v>2014</v>
      </c>
      <c r="AR1145" s="1743" t="s">
        <v>87</v>
      </c>
      <c r="AS1145" s="2135"/>
      <c r="AT1145" s="2135"/>
      <c r="AU1145" s="1212">
        <v>0.33333333333333331</v>
      </c>
      <c r="AV1145" s="1212">
        <v>0.33333333333333331</v>
      </c>
      <c r="AW1145" s="1212">
        <v>0.33333333333333331</v>
      </c>
      <c r="AX1145" s="1212"/>
      <c r="AY1145" s="1212"/>
      <c r="AZ1145" s="1212"/>
      <c r="BA1145" s="1212"/>
      <c r="BB1145" s="1212"/>
      <c r="BC1145" s="1212"/>
      <c r="BD1145" s="1212"/>
      <c r="BE1145" s="1212"/>
      <c r="BF1145" s="2126">
        <v>0</v>
      </c>
      <c r="BG1145" s="2126">
        <v>0</v>
      </c>
      <c r="BH1145" s="2126">
        <v>87453.666666666657</v>
      </c>
      <c r="BI1145" s="2126">
        <v>87453.666666666657</v>
      </c>
      <c r="BJ1145" s="2126">
        <v>87453.666666666657</v>
      </c>
      <c r="BK1145" s="2126">
        <v>0</v>
      </c>
      <c r="BL1145" s="2126">
        <v>0</v>
      </c>
      <c r="BM1145" s="2126">
        <v>0</v>
      </c>
      <c r="BN1145" s="2126">
        <v>0</v>
      </c>
      <c r="BO1145" s="2126">
        <v>0</v>
      </c>
      <c r="BP1145" s="2126">
        <v>0</v>
      </c>
      <c r="BQ1145" s="2126">
        <v>0</v>
      </c>
      <c r="BR1145" s="2126">
        <v>0</v>
      </c>
    </row>
    <row r="1146" spans="1:70" s="1765" customFormat="1" ht="49.5">
      <c r="A1146" s="1272">
        <v>4000</v>
      </c>
      <c r="B1146" s="971" t="s">
        <v>1316</v>
      </c>
      <c r="C1146" s="1272">
        <v>4700</v>
      </c>
      <c r="D1146" s="971" t="s">
        <v>912</v>
      </c>
      <c r="E1146" s="971">
        <v>4750</v>
      </c>
      <c r="F1146" s="971" t="s">
        <v>913</v>
      </c>
      <c r="G1146" s="971">
        <v>4750</v>
      </c>
      <c r="H1146" s="971" t="s">
        <v>913</v>
      </c>
      <c r="I1146" s="1273" t="s">
        <v>2055</v>
      </c>
      <c r="J1146" s="971" t="s">
        <v>638</v>
      </c>
      <c r="K1146" s="971" t="s">
        <v>2914</v>
      </c>
      <c r="L1146" s="971" t="s">
        <v>915</v>
      </c>
      <c r="M1146" s="971" t="s">
        <v>915</v>
      </c>
      <c r="N1146" s="971" t="s">
        <v>640</v>
      </c>
      <c r="O1146" s="971" t="s">
        <v>915</v>
      </c>
      <c r="P1146" s="971"/>
      <c r="Q1146" s="971" t="s">
        <v>1023</v>
      </c>
      <c r="R1146" s="1266" t="s">
        <v>2056</v>
      </c>
      <c r="S1146" s="2106">
        <v>5200</v>
      </c>
      <c r="T1146" s="1266" t="s">
        <v>991</v>
      </c>
      <c r="U1146" s="1742">
        <v>0.1</v>
      </c>
      <c r="V1146" s="1742">
        <v>1.25</v>
      </c>
      <c r="W1146" s="1742">
        <v>8.8140000000000001</v>
      </c>
      <c r="X1146" s="1742">
        <v>13.787000000000001</v>
      </c>
      <c r="Y1146" s="2106">
        <v>23.850999999999999</v>
      </c>
      <c r="Z1146" s="2106">
        <v>520</v>
      </c>
      <c r="AA1146" s="2106">
        <v>6500</v>
      </c>
      <c r="AB1146" s="2106">
        <v>45832.800000000003</v>
      </c>
      <c r="AC1146" s="2106">
        <v>71692.400000000009</v>
      </c>
      <c r="AD1146" s="1744">
        <v>124025.20000000001</v>
      </c>
      <c r="AE1146" s="2126">
        <v>1.0000000000000002E-2</v>
      </c>
      <c r="AF1146" s="2126">
        <v>52.000000000000007</v>
      </c>
      <c r="AG1146" s="1212">
        <v>1</v>
      </c>
      <c r="AH1146" s="1212">
        <v>0</v>
      </c>
      <c r="AI1146" s="1212">
        <v>0</v>
      </c>
      <c r="AJ1146" s="1212">
        <v>1</v>
      </c>
      <c r="AK1146" s="2126">
        <v>124025.20000000001</v>
      </c>
      <c r="AL1146" s="2126">
        <v>0</v>
      </c>
      <c r="AM1146" s="2126">
        <v>0</v>
      </c>
      <c r="AN1146" s="2126">
        <v>124025.20000000001</v>
      </c>
      <c r="AO1146" s="1743" t="s">
        <v>85</v>
      </c>
      <c r="AP1146" s="1743"/>
      <c r="AQ1146" s="1764">
        <v>2014</v>
      </c>
      <c r="AR1146" s="1743" t="s">
        <v>87</v>
      </c>
      <c r="AS1146" s="2135"/>
      <c r="AT1146" s="2135"/>
      <c r="AU1146" s="1212">
        <v>0.33333333333333331</v>
      </c>
      <c r="AV1146" s="1212">
        <v>0.33333333333333331</v>
      </c>
      <c r="AW1146" s="1212">
        <v>0.33333333333333331</v>
      </c>
      <c r="AX1146" s="1212"/>
      <c r="AY1146" s="1212"/>
      <c r="AZ1146" s="1212"/>
      <c r="BA1146" s="1212"/>
      <c r="BB1146" s="1212"/>
      <c r="BC1146" s="1212"/>
      <c r="BD1146" s="1212"/>
      <c r="BE1146" s="1212"/>
      <c r="BF1146" s="2126">
        <v>0</v>
      </c>
      <c r="BG1146" s="2126">
        <v>0</v>
      </c>
      <c r="BH1146" s="2126">
        <v>41341.733333333337</v>
      </c>
      <c r="BI1146" s="2126">
        <v>41341.733333333337</v>
      </c>
      <c r="BJ1146" s="2126">
        <v>41341.733333333337</v>
      </c>
      <c r="BK1146" s="2126">
        <v>0</v>
      </c>
      <c r="BL1146" s="2126">
        <v>0</v>
      </c>
      <c r="BM1146" s="2126">
        <v>0</v>
      </c>
      <c r="BN1146" s="2126">
        <v>0</v>
      </c>
      <c r="BO1146" s="2126">
        <v>0</v>
      </c>
      <c r="BP1146" s="2126">
        <v>0</v>
      </c>
      <c r="BQ1146" s="2126">
        <v>0</v>
      </c>
      <c r="BR1146" s="2126">
        <v>0</v>
      </c>
    </row>
    <row r="1147" spans="1:70" s="1765" customFormat="1" ht="66">
      <c r="A1147" s="1272">
        <v>4000</v>
      </c>
      <c r="B1147" s="971" t="s">
        <v>1316</v>
      </c>
      <c r="C1147" s="1272">
        <v>4700</v>
      </c>
      <c r="D1147" s="971" t="s">
        <v>912</v>
      </c>
      <c r="E1147" s="971">
        <v>4750</v>
      </c>
      <c r="F1147" s="971" t="s">
        <v>913</v>
      </c>
      <c r="G1147" s="971">
        <v>4750</v>
      </c>
      <c r="H1147" s="971" t="s">
        <v>913</v>
      </c>
      <c r="I1147" s="1273" t="s">
        <v>2055</v>
      </c>
      <c r="J1147" s="971" t="s">
        <v>638</v>
      </c>
      <c r="K1147" s="971" t="s">
        <v>2914</v>
      </c>
      <c r="L1147" s="971" t="s">
        <v>915</v>
      </c>
      <c r="M1147" s="971" t="s">
        <v>915</v>
      </c>
      <c r="N1147" s="971" t="s">
        <v>640</v>
      </c>
      <c r="O1147" s="971" t="s">
        <v>915</v>
      </c>
      <c r="P1147" s="971"/>
      <c r="Q1147" s="971" t="s">
        <v>2057</v>
      </c>
      <c r="R1147" s="1266"/>
      <c r="S1147" s="2106">
        <v>800</v>
      </c>
      <c r="T1147" s="1266" t="s">
        <v>991</v>
      </c>
      <c r="U1147" s="1742">
        <v>0.1</v>
      </c>
      <c r="V1147" s="1742">
        <v>1.25</v>
      </c>
      <c r="W1147" s="1742">
        <v>8.8140000000000001</v>
      </c>
      <c r="X1147" s="1742">
        <v>13.787000000000001</v>
      </c>
      <c r="Y1147" s="2106">
        <v>23.850999999999999</v>
      </c>
      <c r="Z1147" s="2106">
        <v>80</v>
      </c>
      <c r="AA1147" s="2106">
        <v>1000</v>
      </c>
      <c r="AB1147" s="2106">
        <v>7051.2</v>
      </c>
      <c r="AC1147" s="2106">
        <v>11029.6</v>
      </c>
      <c r="AD1147" s="1744">
        <v>19080.8</v>
      </c>
      <c r="AE1147" s="2126">
        <v>1.0000000000000002E-2</v>
      </c>
      <c r="AF1147" s="2126">
        <v>8.0000000000000018</v>
      </c>
      <c r="AG1147" s="1212">
        <v>1</v>
      </c>
      <c r="AH1147" s="1212">
        <v>0</v>
      </c>
      <c r="AI1147" s="1212">
        <v>0</v>
      </c>
      <c r="AJ1147" s="1212">
        <v>1</v>
      </c>
      <c r="AK1147" s="2126">
        <v>19080.8</v>
      </c>
      <c r="AL1147" s="2126">
        <v>0</v>
      </c>
      <c r="AM1147" s="2126">
        <v>0</v>
      </c>
      <c r="AN1147" s="2126">
        <v>19080.8</v>
      </c>
      <c r="AO1147" s="1743" t="s">
        <v>85</v>
      </c>
      <c r="AP1147" s="1743" t="s">
        <v>90</v>
      </c>
      <c r="AQ1147" s="1764">
        <v>2021</v>
      </c>
      <c r="AR1147" s="1743" t="s">
        <v>87</v>
      </c>
      <c r="AS1147" s="2135"/>
      <c r="AT1147" s="2135"/>
      <c r="AU1147" s="1212">
        <v>0.33333333333333331</v>
      </c>
      <c r="AV1147" s="1212">
        <v>0.33333333333333331</v>
      </c>
      <c r="AW1147" s="1212">
        <v>0.33333333333333331</v>
      </c>
      <c r="AX1147" s="1212"/>
      <c r="AY1147" s="1212"/>
      <c r="AZ1147" s="1212"/>
      <c r="BA1147" s="1212"/>
      <c r="BB1147" s="1212"/>
      <c r="BC1147" s="1212"/>
      <c r="BD1147" s="1212"/>
      <c r="BE1147" s="1212"/>
      <c r="BF1147" s="2126">
        <v>0</v>
      </c>
      <c r="BG1147" s="2126">
        <v>0</v>
      </c>
      <c r="BH1147" s="2126">
        <v>6360.2666666666664</v>
      </c>
      <c r="BI1147" s="2126">
        <v>6360.2666666666664</v>
      </c>
      <c r="BJ1147" s="2126">
        <v>6360.2666666666664</v>
      </c>
      <c r="BK1147" s="2126">
        <v>0</v>
      </c>
      <c r="BL1147" s="2126">
        <v>0</v>
      </c>
      <c r="BM1147" s="2126">
        <v>0</v>
      </c>
      <c r="BN1147" s="2126">
        <v>0</v>
      </c>
      <c r="BO1147" s="2126">
        <v>0</v>
      </c>
      <c r="BP1147" s="2126">
        <v>0</v>
      </c>
      <c r="BQ1147" s="2126">
        <v>0</v>
      </c>
      <c r="BR1147" s="2126">
        <v>0</v>
      </c>
    </row>
    <row r="1148" spans="1:70" s="1765" customFormat="1" ht="33">
      <c r="A1148" s="1272">
        <v>4000</v>
      </c>
      <c r="B1148" s="971" t="s">
        <v>1316</v>
      </c>
      <c r="C1148" s="1272">
        <v>4700</v>
      </c>
      <c r="D1148" s="971" t="s">
        <v>912</v>
      </c>
      <c r="E1148" s="971">
        <v>4750</v>
      </c>
      <c r="F1148" s="971" t="s">
        <v>913</v>
      </c>
      <c r="G1148" s="971">
        <v>4750</v>
      </c>
      <c r="H1148" s="971" t="s">
        <v>913</v>
      </c>
      <c r="I1148" s="1273" t="s">
        <v>2055</v>
      </c>
      <c r="J1148" s="971" t="s">
        <v>638</v>
      </c>
      <c r="K1148" s="971" t="s">
        <v>2914</v>
      </c>
      <c r="L1148" s="971" t="s">
        <v>915</v>
      </c>
      <c r="M1148" s="971" t="s">
        <v>915</v>
      </c>
      <c r="N1148" s="971" t="s">
        <v>640</v>
      </c>
      <c r="O1148" s="971" t="s">
        <v>915</v>
      </c>
      <c r="P1148" s="971"/>
      <c r="Q1148" s="971" t="s">
        <v>2058</v>
      </c>
      <c r="R1148" s="1266" t="s">
        <v>2059</v>
      </c>
      <c r="S1148" s="2106">
        <v>500</v>
      </c>
      <c r="T1148" s="1266" t="s">
        <v>991</v>
      </c>
      <c r="U1148" s="1742">
        <v>0.1</v>
      </c>
      <c r="V1148" s="1742">
        <v>1.25</v>
      </c>
      <c r="W1148" s="1742">
        <v>8.8140000000000001</v>
      </c>
      <c r="X1148" s="1742">
        <v>13.787000000000001</v>
      </c>
      <c r="Y1148" s="2106">
        <v>23.850999999999999</v>
      </c>
      <c r="Z1148" s="2106">
        <v>50</v>
      </c>
      <c r="AA1148" s="2106">
        <v>625</v>
      </c>
      <c r="AB1148" s="2106">
        <v>4407</v>
      </c>
      <c r="AC1148" s="2106">
        <v>6893.5</v>
      </c>
      <c r="AD1148" s="1744">
        <v>11925.5</v>
      </c>
      <c r="AE1148" s="2126">
        <v>1.0000000000000002E-2</v>
      </c>
      <c r="AF1148" s="2126">
        <v>5.0000000000000009</v>
      </c>
      <c r="AG1148" s="1212">
        <v>1</v>
      </c>
      <c r="AH1148" s="1212">
        <v>0</v>
      </c>
      <c r="AI1148" s="1212">
        <v>0</v>
      </c>
      <c r="AJ1148" s="1212">
        <v>1</v>
      </c>
      <c r="AK1148" s="2126">
        <v>11925.5</v>
      </c>
      <c r="AL1148" s="2126">
        <v>0</v>
      </c>
      <c r="AM1148" s="2126">
        <v>0</v>
      </c>
      <c r="AN1148" s="2126">
        <v>11925.5</v>
      </c>
      <c r="AO1148" s="1743" t="s">
        <v>85</v>
      </c>
      <c r="AP1148" s="1743" t="s">
        <v>90</v>
      </c>
      <c r="AQ1148" s="1764">
        <v>2022</v>
      </c>
      <c r="AR1148" s="1743" t="s">
        <v>87</v>
      </c>
      <c r="AS1148" s="2135"/>
      <c r="AT1148" s="2135"/>
      <c r="AU1148" s="1212">
        <v>0.33333333333333331</v>
      </c>
      <c r="AV1148" s="1212">
        <v>0.33333333333333331</v>
      </c>
      <c r="AW1148" s="1212">
        <v>0.33333333333333331</v>
      </c>
      <c r="AX1148" s="1212"/>
      <c r="AY1148" s="1212"/>
      <c r="AZ1148" s="1212"/>
      <c r="BA1148" s="1212"/>
      <c r="BB1148" s="1212"/>
      <c r="BC1148" s="1212"/>
      <c r="BD1148" s="1212"/>
      <c r="BE1148" s="1212"/>
      <c r="BF1148" s="2126">
        <v>0</v>
      </c>
      <c r="BG1148" s="2126">
        <v>0</v>
      </c>
      <c r="BH1148" s="2126">
        <v>3975.1666666666665</v>
      </c>
      <c r="BI1148" s="2126">
        <v>3975.1666666666665</v>
      </c>
      <c r="BJ1148" s="2126">
        <v>3975.1666666666665</v>
      </c>
      <c r="BK1148" s="2126">
        <v>0</v>
      </c>
      <c r="BL1148" s="2126">
        <v>0</v>
      </c>
      <c r="BM1148" s="2126">
        <v>0</v>
      </c>
      <c r="BN1148" s="2126">
        <v>0</v>
      </c>
      <c r="BO1148" s="2126">
        <v>0</v>
      </c>
      <c r="BP1148" s="2126">
        <v>0</v>
      </c>
      <c r="BQ1148" s="2126">
        <v>0</v>
      </c>
      <c r="BR1148" s="2126">
        <v>0</v>
      </c>
    </row>
    <row r="1149" spans="1:70" s="1765" customFormat="1" ht="33">
      <c r="A1149" s="1272">
        <v>4000</v>
      </c>
      <c r="B1149" s="971" t="s">
        <v>1316</v>
      </c>
      <c r="C1149" s="1272">
        <v>4700</v>
      </c>
      <c r="D1149" s="971" t="s">
        <v>912</v>
      </c>
      <c r="E1149" s="971">
        <v>4750</v>
      </c>
      <c r="F1149" s="971" t="s">
        <v>913</v>
      </c>
      <c r="G1149" s="971">
        <v>4750</v>
      </c>
      <c r="H1149" s="971" t="s">
        <v>913</v>
      </c>
      <c r="I1149" s="1273" t="s">
        <v>2055</v>
      </c>
      <c r="J1149" s="971" t="s">
        <v>638</v>
      </c>
      <c r="K1149" s="971" t="s">
        <v>2914</v>
      </c>
      <c r="L1149" s="971" t="s">
        <v>915</v>
      </c>
      <c r="M1149" s="971" t="s">
        <v>915</v>
      </c>
      <c r="N1149" s="971" t="s">
        <v>640</v>
      </c>
      <c r="O1149" s="971" t="s">
        <v>915</v>
      </c>
      <c r="P1149" s="971"/>
      <c r="Q1149" s="971" t="s">
        <v>2058</v>
      </c>
      <c r="R1149" s="1266" t="s">
        <v>2059</v>
      </c>
      <c r="S1149" s="2106">
        <v>-500</v>
      </c>
      <c r="T1149" s="1266" t="s">
        <v>991</v>
      </c>
      <c r="U1149" s="1742">
        <v>0.1</v>
      </c>
      <c r="V1149" s="1742">
        <v>1.25</v>
      </c>
      <c r="W1149" s="1742">
        <v>8.8140000000000001</v>
      </c>
      <c r="X1149" s="1742">
        <v>13.787000000000001</v>
      </c>
      <c r="Y1149" s="2106">
        <v>23.850999999999999</v>
      </c>
      <c r="Z1149" s="2106">
        <v>-50</v>
      </c>
      <c r="AA1149" s="2106">
        <v>-625</v>
      </c>
      <c r="AB1149" s="2106">
        <v>-4407</v>
      </c>
      <c r="AC1149" s="2106">
        <v>-6893.5</v>
      </c>
      <c r="AD1149" s="1744">
        <v>-11925.5</v>
      </c>
      <c r="AE1149" s="2126">
        <v>1.0000000000000002E-2</v>
      </c>
      <c r="AF1149" s="2126">
        <v>-5.0000000000000009</v>
      </c>
      <c r="AG1149" s="1212">
        <v>1</v>
      </c>
      <c r="AH1149" s="1212">
        <v>0</v>
      </c>
      <c r="AI1149" s="1212">
        <v>0</v>
      </c>
      <c r="AJ1149" s="1212">
        <v>1</v>
      </c>
      <c r="AK1149" s="2126">
        <v>-11925.5</v>
      </c>
      <c r="AL1149" s="2126">
        <v>0</v>
      </c>
      <c r="AM1149" s="2126">
        <v>0</v>
      </c>
      <c r="AN1149" s="2126">
        <v>-11925.5</v>
      </c>
      <c r="AO1149" s="1743" t="s">
        <v>85</v>
      </c>
      <c r="AP1149" s="1743" t="s">
        <v>96</v>
      </c>
      <c r="AQ1149" s="1764" t="s">
        <v>118</v>
      </c>
      <c r="AR1149" s="1743" t="s">
        <v>87</v>
      </c>
      <c r="AS1149" s="2135"/>
      <c r="AT1149" s="2135"/>
      <c r="AU1149" s="1212">
        <v>0.33333333333333331</v>
      </c>
      <c r="AV1149" s="1212">
        <v>0.33333333333333331</v>
      </c>
      <c r="AW1149" s="1212">
        <v>0.33333333333333331</v>
      </c>
      <c r="AX1149" s="1212"/>
      <c r="AY1149" s="1212"/>
      <c r="AZ1149" s="1212"/>
      <c r="BA1149" s="1212"/>
      <c r="BB1149" s="1212"/>
      <c r="BC1149" s="1212"/>
      <c r="BD1149" s="1212"/>
      <c r="BE1149" s="1212"/>
      <c r="BF1149" s="2126">
        <v>0</v>
      </c>
      <c r="BG1149" s="2126">
        <v>0</v>
      </c>
      <c r="BH1149" s="2126">
        <v>-3975.1666666666665</v>
      </c>
      <c r="BI1149" s="2126">
        <v>-3975.1666666666665</v>
      </c>
      <c r="BJ1149" s="2126">
        <v>-3975.1666666666665</v>
      </c>
      <c r="BK1149" s="2126">
        <v>0</v>
      </c>
      <c r="BL1149" s="2126">
        <v>0</v>
      </c>
      <c r="BM1149" s="2126">
        <v>0</v>
      </c>
      <c r="BN1149" s="2126">
        <v>0</v>
      </c>
      <c r="BO1149" s="2126">
        <v>0</v>
      </c>
      <c r="BP1149" s="2126">
        <v>0</v>
      </c>
      <c r="BQ1149" s="2126">
        <v>0</v>
      </c>
      <c r="BR1149" s="2126">
        <v>0</v>
      </c>
    </row>
    <row r="1150" spans="1:70" s="1765" customFormat="1" ht="49.5">
      <c r="A1150" s="1272">
        <v>4000</v>
      </c>
      <c r="B1150" s="971" t="s">
        <v>1316</v>
      </c>
      <c r="C1150" s="1272">
        <v>4700</v>
      </c>
      <c r="D1150" s="971" t="s">
        <v>912</v>
      </c>
      <c r="E1150" s="971">
        <v>4750</v>
      </c>
      <c r="F1150" s="971" t="s">
        <v>913</v>
      </c>
      <c r="G1150" s="971">
        <v>4750</v>
      </c>
      <c r="H1150" s="971" t="s">
        <v>913</v>
      </c>
      <c r="I1150" s="1273" t="s">
        <v>2055</v>
      </c>
      <c r="J1150" s="971" t="s">
        <v>638</v>
      </c>
      <c r="K1150" s="971" t="s">
        <v>2914</v>
      </c>
      <c r="L1150" s="971" t="s">
        <v>915</v>
      </c>
      <c r="M1150" s="971" t="s">
        <v>915</v>
      </c>
      <c r="N1150" s="971" t="s">
        <v>640</v>
      </c>
      <c r="O1150" s="971" t="s">
        <v>915</v>
      </c>
      <c r="P1150" s="971"/>
      <c r="Q1150" s="971" t="s">
        <v>2060</v>
      </c>
      <c r="R1150" s="1266" t="s">
        <v>2061</v>
      </c>
      <c r="S1150" s="2106">
        <v>800</v>
      </c>
      <c r="T1150" s="1266" t="s">
        <v>991</v>
      </c>
      <c r="U1150" s="1742">
        <v>0.1</v>
      </c>
      <c r="V1150" s="1742">
        <v>1.25</v>
      </c>
      <c r="W1150" s="1742">
        <v>8.8140000000000001</v>
      </c>
      <c r="X1150" s="1742">
        <v>13.787000000000001</v>
      </c>
      <c r="Y1150" s="2106">
        <v>23.850999999999999</v>
      </c>
      <c r="Z1150" s="2106">
        <v>80</v>
      </c>
      <c r="AA1150" s="2106">
        <v>1000</v>
      </c>
      <c r="AB1150" s="2106">
        <v>7051.2</v>
      </c>
      <c r="AC1150" s="2106">
        <v>11029.6</v>
      </c>
      <c r="AD1150" s="1744">
        <v>19080.8</v>
      </c>
      <c r="AE1150" s="2126">
        <v>1.0000000000000002E-2</v>
      </c>
      <c r="AF1150" s="2126">
        <v>8.0000000000000018</v>
      </c>
      <c r="AG1150" s="1212">
        <v>1</v>
      </c>
      <c r="AH1150" s="1212">
        <v>0</v>
      </c>
      <c r="AI1150" s="1212">
        <v>0</v>
      </c>
      <c r="AJ1150" s="1212">
        <v>1</v>
      </c>
      <c r="AK1150" s="2126">
        <v>19080.8</v>
      </c>
      <c r="AL1150" s="2126">
        <v>0</v>
      </c>
      <c r="AM1150" s="2126">
        <v>0</v>
      </c>
      <c r="AN1150" s="2126">
        <v>19080.8</v>
      </c>
      <c r="AO1150" s="1743" t="s">
        <v>85</v>
      </c>
      <c r="AP1150" s="1743" t="s">
        <v>90</v>
      </c>
      <c r="AQ1150" s="1764">
        <v>2022</v>
      </c>
      <c r="AR1150" s="1743" t="s">
        <v>87</v>
      </c>
      <c r="AS1150" s="2135"/>
      <c r="AT1150" s="2135"/>
      <c r="AU1150" s="1212">
        <v>0.33333333333333331</v>
      </c>
      <c r="AV1150" s="1212">
        <v>0.33333333333333331</v>
      </c>
      <c r="AW1150" s="1212">
        <v>0.33333333333333331</v>
      </c>
      <c r="AX1150" s="1212"/>
      <c r="AY1150" s="1212"/>
      <c r="AZ1150" s="1212"/>
      <c r="BA1150" s="1212"/>
      <c r="BB1150" s="1212"/>
      <c r="BC1150" s="1212"/>
      <c r="BD1150" s="1212"/>
      <c r="BE1150" s="1212"/>
      <c r="BF1150" s="2126">
        <v>0</v>
      </c>
      <c r="BG1150" s="2126">
        <v>0</v>
      </c>
      <c r="BH1150" s="2126">
        <v>6360.2666666666664</v>
      </c>
      <c r="BI1150" s="2126">
        <v>6360.2666666666664</v>
      </c>
      <c r="BJ1150" s="2126">
        <v>6360.2666666666664</v>
      </c>
      <c r="BK1150" s="2126">
        <v>0</v>
      </c>
      <c r="BL1150" s="2126">
        <v>0</v>
      </c>
      <c r="BM1150" s="2126">
        <v>0</v>
      </c>
      <c r="BN1150" s="2126">
        <v>0</v>
      </c>
      <c r="BO1150" s="2126">
        <v>0</v>
      </c>
      <c r="BP1150" s="2126">
        <v>0</v>
      </c>
      <c r="BQ1150" s="2126">
        <v>0</v>
      </c>
      <c r="BR1150" s="2126">
        <v>0</v>
      </c>
    </row>
    <row r="1151" spans="1:70" s="1765" customFormat="1" ht="49.5">
      <c r="A1151" s="1272">
        <v>4000</v>
      </c>
      <c r="B1151" s="971" t="s">
        <v>1316</v>
      </c>
      <c r="C1151" s="1272">
        <v>4700</v>
      </c>
      <c r="D1151" s="971" t="s">
        <v>912</v>
      </c>
      <c r="E1151" s="971">
        <v>4750</v>
      </c>
      <c r="F1151" s="971" t="s">
        <v>913</v>
      </c>
      <c r="G1151" s="971">
        <v>4750</v>
      </c>
      <c r="H1151" s="971" t="s">
        <v>913</v>
      </c>
      <c r="I1151" s="1273" t="s">
        <v>2055</v>
      </c>
      <c r="J1151" s="971" t="s">
        <v>638</v>
      </c>
      <c r="K1151" s="971" t="s">
        <v>2914</v>
      </c>
      <c r="L1151" s="971" t="s">
        <v>915</v>
      </c>
      <c r="M1151" s="971" t="s">
        <v>915</v>
      </c>
      <c r="N1151" s="971" t="s">
        <v>640</v>
      </c>
      <c r="O1151" s="971" t="s">
        <v>915</v>
      </c>
      <c r="P1151" s="971"/>
      <c r="Q1151" s="971" t="s">
        <v>2060</v>
      </c>
      <c r="R1151" s="1266" t="s">
        <v>2061</v>
      </c>
      <c r="S1151" s="2106">
        <v>-800</v>
      </c>
      <c r="T1151" s="1266" t="s">
        <v>991</v>
      </c>
      <c r="U1151" s="1742">
        <v>0.1</v>
      </c>
      <c r="V1151" s="1742">
        <v>1.25</v>
      </c>
      <c r="W1151" s="1742">
        <v>8.8140000000000001</v>
      </c>
      <c r="X1151" s="1742">
        <v>13.787000000000001</v>
      </c>
      <c r="Y1151" s="2106">
        <v>23.850999999999999</v>
      </c>
      <c r="Z1151" s="2106">
        <v>-80</v>
      </c>
      <c r="AA1151" s="2106">
        <v>-1000</v>
      </c>
      <c r="AB1151" s="2106">
        <v>-7051.2</v>
      </c>
      <c r="AC1151" s="2106">
        <v>-11029.6</v>
      </c>
      <c r="AD1151" s="1744">
        <v>-19080.8</v>
      </c>
      <c r="AE1151" s="2126">
        <v>1.0000000000000002E-2</v>
      </c>
      <c r="AF1151" s="2126">
        <v>-8.0000000000000018</v>
      </c>
      <c r="AG1151" s="1212">
        <v>1</v>
      </c>
      <c r="AH1151" s="1212">
        <v>0</v>
      </c>
      <c r="AI1151" s="1212">
        <v>0</v>
      </c>
      <c r="AJ1151" s="1212">
        <v>1</v>
      </c>
      <c r="AK1151" s="2126">
        <v>-19080.8</v>
      </c>
      <c r="AL1151" s="2126">
        <v>0</v>
      </c>
      <c r="AM1151" s="2126">
        <v>0</v>
      </c>
      <c r="AN1151" s="2126">
        <v>-19080.8</v>
      </c>
      <c r="AO1151" s="1743" t="s">
        <v>85</v>
      </c>
      <c r="AP1151" s="1743" t="s">
        <v>96</v>
      </c>
      <c r="AQ1151" s="1764" t="s">
        <v>118</v>
      </c>
      <c r="AR1151" s="1743" t="s">
        <v>87</v>
      </c>
      <c r="AS1151" s="2135"/>
      <c r="AT1151" s="2135"/>
      <c r="AU1151" s="1212">
        <v>0.33333333333333331</v>
      </c>
      <c r="AV1151" s="1212">
        <v>0.33333333333333331</v>
      </c>
      <c r="AW1151" s="1212">
        <v>0.33333333333333331</v>
      </c>
      <c r="AX1151" s="1212"/>
      <c r="AY1151" s="1212"/>
      <c r="AZ1151" s="1212"/>
      <c r="BA1151" s="1212"/>
      <c r="BB1151" s="1212"/>
      <c r="BC1151" s="1212"/>
      <c r="BD1151" s="1212"/>
      <c r="BE1151" s="1212"/>
      <c r="BF1151" s="2126">
        <v>0</v>
      </c>
      <c r="BG1151" s="2126">
        <v>0</v>
      </c>
      <c r="BH1151" s="2126">
        <v>-6360.2666666666664</v>
      </c>
      <c r="BI1151" s="2126">
        <v>-6360.2666666666664</v>
      </c>
      <c r="BJ1151" s="2126">
        <v>-6360.2666666666664</v>
      </c>
      <c r="BK1151" s="2126">
        <v>0</v>
      </c>
      <c r="BL1151" s="2126">
        <v>0</v>
      </c>
      <c r="BM1151" s="2126">
        <v>0</v>
      </c>
      <c r="BN1151" s="2126">
        <v>0</v>
      </c>
      <c r="BO1151" s="2126">
        <v>0</v>
      </c>
      <c r="BP1151" s="2126">
        <v>0</v>
      </c>
      <c r="BQ1151" s="2126">
        <v>0</v>
      </c>
      <c r="BR1151" s="2126">
        <v>0</v>
      </c>
    </row>
    <row r="1152" spans="1:70" s="1765" customFormat="1" ht="33">
      <c r="A1152" s="1272">
        <v>4000</v>
      </c>
      <c r="B1152" s="971" t="s">
        <v>1316</v>
      </c>
      <c r="C1152" s="1272">
        <v>4700</v>
      </c>
      <c r="D1152" s="971" t="s">
        <v>912</v>
      </c>
      <c r="E1152" s="971">
        <v>4750</v>
      </c>
      <c r="F1152" s="971" t="s">
        <v>913</v>
      </c>
      <c r="G1152" s="971">
        <v>4750</v>
      </c>
      <c r="H1152" s="971" t="s">
        <v>913</v>
      </c>
      <c r="I1152" s="1273" t="s">
        <v>2055</v>
      </c>
      <c r="J1152" s="971" t="s">
        <v>638</v>
      </c>
      <c r="K1152" s="971" t="s">
        <v>2914</v>
      </c>
      <c r="L1152" s="971" t="s">
        <v>915</v>
      </c>
      <c r="M1152" s="971" t="s">
        <v>915</v>
      </c>
      <c r="N1152" s="971" t="s">
        <v>640</v>
      </c>
      <c r="O1152" s="971" t="s">
        <v>915</v>
      </c>
      <c r="P1152" s="971"/>
      <c r="Q1152" s="971" t="s">
        <v>2062</v>
      </c>
      <c r="R1152" s="1266" t="s">
        <v>2063</v>
      </c>
      <c r="S1152" s="2106">
        <v>500</v>
      </c>
      <c r="T1152" s="1266" t="s">
        <v>991</v>
      </c>
      <c r="U1152" s="1742">
        <v>0.1</v>
      </c>
      <c r="V1152" s="1742">
        <v>1.25</v>
      </c>
      <c r="W1152" s="1742">
        <v>8.8140000000000001</v>
      </c>
      <c r="X1152" s="1742">
        <v>13.787000000000001</v>
      </c>
      <c r="Y1152" s="2106">
        <v>23.850999999999999</v>
      </c>
      <c r="Z1152" s="2106">
        <v>50</v>
      </c>
      <c r="AA1152" s="2106">
        <v>625</v>
      </c>
      <c r="AB1152" s="2106">
        <v>4407</v>
      </c>
      <c r="AC1152" s="2106">
        <v>6893.5</v>
      </c>
      <c r="AD1152" s="1744">
        <v>11925.5</v>
      </c>
      <c r="AE1152" s="2126">
        <v>1.0000000000000002E-2</v>
      </c>
      <c r="AF1152" s="2126">
        <v>5.0000000000000009</v>
      </c>
      <c r="AG1152" s="1212">
        <v>1</v>
      </c>
      <c r="AH1152" s="1212">
        <v>0</v>
      </c>
      <c r="AI1152" s="1212">
        <v>0</v>
      </c>
      <c r="AJ1152" s="1212">
        <v>1</v>
      </c>
      <c r="AK1152" s="2126">
        <v>11925.5</v>
      </c>
      <c r="AL1152" s="2126">
        <v>0</v>
      </c>
      <c r="AM1152" s="2126">
        <v>0</v>
      </c>
      <c r="AN1152" s="2126">
        <v>11925.5</v>
      </c>
      <c r="AO1152" s="1743" t="s">
        <v>85</v>
      </c>
      <c r="AP1152" s="1743" t="s">
        <v>90</v>
      </c>
      <c r="AQ1152" s="1764">
        <v>2022</v>
      </c>
      <c r="AR1152" s="1743" t="s">
        <v>87</v>
      </c>
      <c r="AS1152" s="2135"/>
      <c r="AT1152" s="2135"/>
      <c r="AU1152" s="1212">
        <v>0.33333333333333331</v>
      </c>
      <c r="AV1152" s="1212">
        <v>0.33333333333333331</v>
      </c>
      <c r="AW1152" s="1212">
        <v>0.33333333333333331</v>
      </c>
      <c r="AX1152" s="1212"/>
      <c r="AY1152" s="1212"/>
      <c r="AZ1152" s="1212"/>
      <c r="BA1152" s="1212"/>
      <c r="BB1152" s="1212"/>
      <c r="BC1152" s="1212"/>
      <c r="BD1152" s="1212"/>
      <c r="BE1152" s="1212"/>
      <c r="BF1152" s="2126">
        <v>0</v>
      </c>
      <c r="BG1152" s="2126">
        <v>0</v>
      </c>
      <c r="BH1152" s="2126">
        <v>3975.1666666666665</v>
      </c>
      <c r="BI1152" s="2126">
        <v>3975.1666666666665</v>
      </c>
      <c r="BJ1152" s="2126">
        <v>3975.1666666666665</v>
      </c>
      <c r="BK1152" s="2126">
        <v>0</v>
      </c>
      <c r="BL1152" s="2126">
        <v>0</v>
      </c>
      <c r="BM1152" s="2126">
        <v>0</v>
      </c>
      <c r="BN1152" s="2126">
        <v>0</v>
      </c>
      <c r="BO1152" s="2126">
        <v>0</v>
      </c>
      <c r="BP1152" s="2126">
        <v>0</v>
      </c>
      <c r="BQ1152" s="2126">
        <v>0</v>
      </c>
      <c r="BR1152" s="2126">
        <v>0</v>
      </c>
    </row>
    <row r="1153" spans="1:70" s="1765" customFormat="1" ht="33">
      <c r="A1153" s="1272">
        <v>4000</v>
      </c>
      <c r="B1153" s="971" t="s">
        <v>1316</v>
      </c>
      <c r="C1153" s="1272">
        <v>4700</v>
      </c>
      <c r="D1153" s="971" t="s">
        <v>912</v>
      </c>
      <c r="E1153" s="971">
        <v>4750</v>
      </c>
      <c r="F1153" s="971" t="s">
        <v>913</v>
      </c>
      <c r="G1153" s="971">
        <v>4750</v>
      </c>
      <c r="H1153" s="971" t="s">
        <v>913</v>
      </c>
      <c r="I1153" s="1273" t="s">
        <v>2055</v>
      </c>
      <c r="J1153" s="971" t="s">
        <v>638</v>
      </c>
      <c r="K1153" s="971" t="s">
        <v>2914</v>
      </c>
      <c r="L1153" s="971" t="s">
        <v>915</v>
      </c>
      <c r="M1153" s="971" t="s">
        <v>915</v>
      </c>
      <c r="N1153" s="971" t="s">
        <v>640</v>
      </c>
      <c r="O1153" s="971" t="s">
        <v>915</v>
      </c>
      <c r="P1153" s="971"/>
      <c r="Q1153" s="971" t="s">
        <v>2064</v>
      </c>
      <c r="R1153" s="1266" t="s">
        <v>2063</v>
      </c>
      <c r="S1153" s="2106">
        <v>300</v>
      </c>
      <c r="T1153" s="1266" t="s">
        <v>991</v>
      </c>
      <c r="U1153" s="1742">
        <v>0.1</v>
      </c>
      <c r="V1153" s="1742">
        <v>1.25</v>
      </c>
      <c r="W1153" s="1742">
        <v>8.8140000000000001</v>
      </c>
      <c r="X1153" s="1742">
        <v>13.787000000000001</v>
      </c>
      <c r="Y1153" s="2106">
        <v>23.850999999999999</v>
      </c>
      <c r="Z1153" s="2106">
        <v>30</v>
      </c>
      <c r="AA1153" s="2106">
        <v>375</v>
      </c>
      <c r="AB1153" s="2106">
        <v>2644.2</v>
      </c>
      <c r="AC1153" s="2106">
        <v>4136.1000000000004</v>
      </c>
      <c r="AD1153" s="1744">
        <v>7155.3</v>
      </c>
      <c r="AE1153" s="2126">
        <v>1.0000000000000002E-2</v>
      </c>
      <c r="AF1153" s="2126">
        <v>3.0000000000000004</v>
      </c>
      <c r="AG1153" s="1212">
        <v>1</v>
      </c>
      <c r="AH1153" s="1212">
        <v>0</v>
      </c>
      <c r="AI1153" s="1212">
        <v>0</v>
      </c>
      <c r="AJ1153" s="1212">
        <v>1</v>
      </c>
      <c r="AK1153" s="2126">
        <v>7155.3</v>
      </c>
      <c r="AL1153" s="2126">
        <v>0</v>
      </c>
      <c r="AM1153" s="2126">
        <v>0</v>
      </c>
      <c r="AN1153" s="2126">
        <v>7155.3</v>
      </c>
      <c r="AO1153" s="1743" t="s">
        <v>85</v>
      </c>
      <c r="AP1153" s="1743" t="s">
        <v>90</v>
      </c>
      <c r="AQ1153" s="1764">
        <v>2022</v>
      </c>
      <c r="AR1153" s="1743" t="s">
        <v>87</v>
      </c>
      <c r="AS1153" s="2135"/>
      <c r="AT1153" s="2135"/>
      <c r="AU1153" s="1212">
        <v>0.33333333333333331</v>
      </c>
      <c r="AV1153" s="1212">
        <v>0.33333333333333331</v>
      </c>
      <c r="AW1153" s="1212">
        <v>0.33333333333333331</v>
      </c>
      <c r="AX1153" s="1212"/>
      <c r="AY1153" s="1212"/>
      <c r="AZ1153" s="1212"/>
      <c r="BA1153" s="1212"/>
      <c r="BB1153" s="1212"/>
      <c r="BC1153" s="1212"/>
      <c r="BD1153" s="1212"/>
      <c r="BE1153" s="1212"/>
      <c r="BF1153" s="2126">
        <v>0</v>
      </c>
      <c r="BG1153" s="2126">
        <v>0</v>
      </c>
      <c r="BH1153" s="2126">
        <v>2385.1</v>
      </c>
      <c r="BI1153" s="2126">
        <v>2385.1</v>
      </c>
      <c r="BJ1153" s="2126">
        <v>2385.1</v>
      </c>
      <c r="BK1153" s="2126">
        <v>0</v>
      </c>
      <c r="BL1153" s="2126">
        <v>0</v>
      </c>
      <c r="BM1153" s="2126">
        <v>0</v>
      </c>
      <c r="BN1153" s="2126">
        <v>0</v>
      </c>
      <c r="BO1153" s="2126">
        <v>0</v>
      </c>
      <c r="BP1153" s="2126">
        <v>0</v>
      </c>
      <c r="BQ1153" s="2126">
        <v>0</v>
      </c>
      <c r="BR1153" s="2126">
        <v>0</v>
      </c>
    </row>
    <row r="1154" spans="1:70" s="1765" customFormat="1" ht="33">
      <c r="A1154" s="1272">
        <v>4000</v>
      </c>
      <c r="B1154" s="971" t="s">
        <v>1316</v>
      </c>
      <c r="C1154" s="1272">
        <v>4700</v>
      </c>
      <c r="D1154" s="971" t="s">
        <v>912</v>
      </c>
      <c r="E1154" s="971">
        <v>4750</v>
      </c>
      <c r="F1154" s="971" t="s">
        <v>913</v>
      </c>
      <c r="G1154" s="971">
        <v>4750</v>
      </c>
      <c r="H1154" s="971" t="s">
        <v>913</v>
      </c>
      <c r="I1154" s="1273" t="s">
        <v>2055</v>
      </c>
      <c r="J1154" s="971" t="s">
        <v>638</v>
      </c>
      <c r="K1154" s="971" t="s">
        <v>2914</v>
      </c>
      <c r="L1154" s="971" t="s">
        <v>915</v>
      </c>
      <c r="M1154" s="971" t="s">
        <v>915</v>
      </c>
      <c r="N1154" s="971" t="s">
        <v>640</v>
      </c>
      <c r="O1154" s="971" t="s">
        <v>915</v>
      </c>
      <c r="P1154" s="971"/>
      <c r="Q1154" s="971" t="s">
        <v>2062</v>
      </c>
      <c r="R1154" s="1266" t="s">
        <v>2063</v>
      </c>
      <c r="S1154" s="2106">
        <v>-500</v>
      </c>
      <c r="T1154" s="1266" t="s">
        <v>991</v>
      </c>
      <c r="U1154" s="1742">
        <v>0.1</v>
      </c>
      <c r="V1154" s="1742">
        <v>1.25</v>
      </c>
      <c r="W1154" s="1742">
        <v>8.8140000000000001</v>
      </c>
      <c r="X1154" s="1742">
        <v>13.787000000000001</v>
      </c>
      <c r="Y1154" s="2106">
        <v>23.850999999999999</v>
      </c>
      <c r="Z1154" s="2106">
        <v>-50</v>
      </c>
      <c r="AA1154" s="2106">
        <v>-625</v>
      </c>
      <c r="AB1154" s="2106">
        <v>-4407</v>
      </c>
      <c r="AC1154" s="2106">
        <v>-6893.5</v>
      </c>
      <c r="AD1154" s="1744">
        <v>-11925.5</v>
      </c>
      <c r="AE1154" s="2126">
        <v>1.0000000000000002E-2</v>
      </c>
      <c r="AF1154" s="2126">
        <v>-5.0000000000000009</v>
      </c>
      <c r="AG1154" s="1212">
        <v>1</v>
      </c>
      <c r="AH1154" s="1212">
        <v>0</v>
      </c>
      <c r="AI1154" s="1212">
        <v>0</v>
      </c>
      <c r="AJ1154" s="1212">
        <v>1</v>
      </c>
      <c r="AK1154" s="2126">
        <v>-11925.5</v>
      </c>
      <c r="AL1154" s="2126">
        <v>0</v>
      </c>
      <c r="AM1154" s="2126">
        <v>0</v>
      </c>
      <c r="AN1154" s="2126">
        <v>-11925.5</v>
      </c>
      <c r="AO1154" s="1743" t="s">
        <v>85</v>
      </c>
      <c r="AP1154" s="1743" t="s">
        <v>96</v>
      </c>
      <c r="AQ1154" s="1764" t="s">
        <v>118</v>
      </c>
      <c r="AR1154" s="1743" t="s">
        <v>87</v>
      </c>
      <c r="AS1154" s="2135"/>
      <c r="AT1154" s="2135"/>
      <c r="AU1154" s="1212">
        <v>0.33333333333333331</v>
      </c>
      <c r="AV1154" s="1212">
        <v>0.33333333333333331</v>
      </c>
      <c r="AW1154" s="1212">
        <v>0.33333333333333331</v>
      </c>
      <c r="AX1154" s="1212"/>
      <c r="AY1154" s="1212"/>
      <c r="AZ1154" s="1212"/>
      <c r="BA1154" s="1212"/>
      <c r="BB1154" s="1212"/>
      <c r="BC1154" s="1212"/>
      <c r="BD1154" s="1212"/>
      <c r="BE1154" s="1212"/>
      <c r="BF1154" s="2126">
        <v>0</v>
      </c>
      <c r="BG1154" s="2126">
        <v>0</v>
      </c>
      <c r="BH1154" s="2126">
        <v>-3975.1666666666665</v>
      </c>
      <c r="BI1154" s="2126">
        <v>-3975.1666666666665</v>
      </c>
      <c r="BJ1154" s="2126">
        <v>-3975.1666666666665</v>
      </c>
      <c r="BK1154" s="2126">
        <v>0</v>
      </c>
      <c r="BL1154" s="2126">
        <v>0</v>
      </c>
      <c r="BM1154" s="2126">
        <v>0</v>
      </c>
      <c r="BN1154" s="2126">
        <v>0</v>
      </c>
      <c r="BO1154" s="2126">
        <v>0</v>
      </c>
      <c r="BP1154" s="2126">
        <v>0</v>
      </c>
      <c r="BQ1154" s="2126">
        <v>0</v>
      </c>
      <c r="BR1154" s="2126">
        <v>0</v>
      </c>
    </row>
    <row r="1155" spans="1:70" s="1765" customFormat="1" ht="33">
      <c r="A1155" s="1272">
        <v>4000</v>
      </c>
      <c r="B1155" s="971" t="s">
        <v>1316</v>
      </c>
      <c r="C1155" s="1272">
        <v>4700</v>
      </c>
      <c r="D1155" s="971" t="s">
        <v>912</v>
      </c>
      <c r="E1155" s="971">
        <v>4750</v>
      </c>
      <c r="F1155" s="971" t="s">
        <v>913</v>
      </c>
      <c r="G1155" s="971">
        <v>4750</v>
      </c>
      <c r="H1155" s="971" t="s">
        <v>913</v>
      </c>
      <c r="I1155" s="1273" t="s">
        <v>2055</v>
      </c>
      <c r="J1155" s="971" t="s">
        <v>638</v>
      </c>
      <c r="K1155" s="971" t="s">
        <v>2914</v>
      </c>
      <c r="L1155" s="971" t="s">
        <v>915</v>
      </c>
      <c r="M1155" s="971" t="s">
        <v>915</v>
      </c>
      <c r="N1155" s="971" t="s">
        <v>640</v>
      </c>
      <c r="O1155" s="971" t="s">
        <v>915</v>
      </c>
      <c r="P1155" s="971"/>
      <c r="Q1155" s="971" t="s">
        <v>2064</v>
      </c>
      <c r="R1155" s="1266" t="s">
        <v>2063</v>
      </c>
      <c r="S1155" s="2106">
        <v>-300</v>
      </c>
      <c r="T1155" s="1266" t="s">
        <v>991</v>
      </c>
      <c r="U1155" s="1742">
        <v>0.1</v>
      </c>
      <c r="V1155" s="1742">
        <v>1.25</v>
      </c>
      <c r="W1155" s="1742">
        <v>8.8140000000000001</v>
      </c>
      <c r="X1155" s="1742">
        <v>13.787000000000001</v>
      </c>
      <c r="Y1155" s="2106">
        <v>23.850999999999999</v>
      </c>
      <c r="Z1155" s="2106">
        <v>-30</v>
      </c>
      <c r="AA1155" s="2106">
        <v>-375</v>
      </c>
      <c r="AB1155" s="2106">
        <v>-2644.2</v>
      </c>
      <c r="AC1155" s="2106">
        <v>-4136.1000000000004</v>
      </c>
      <c r="AD1155" s="1744">
        <v>-7155.3</v>
      </c>
      <c r="AE1155" s="2126">
        <v>1.0000000000000002E-2</v>
      </c>
      <c r="AF1155" s="2126">
        <v>-3.0000000000000004</v>
      </c>
      <c r="AG1155" s="1212">
        <v>1</v>
      </c>
      <c r="AH1155" s="1212">
        <v>0</v>
      </c>
      <c r="AI1155" s="1212">
        <v>0</v>
      </c>
      <c r="AJ1155" s="1212">
        <v>1</v>
      </c>
      <c r="AK1155" s="2126">
        <v>-7155.3</v>
      </c>
      <c r="AL1155" s="2126">
        <v>0</v>
      </c>
      <c r="AM1155" s="2126">
        <v>0</v>
      </c>
      <c r="AN1155" s="2126">
        <v>-7155.3</v>
      </c>
      <c r="AO1155" s="1743" t="s">
        <v>85</v>
      </c>
      <c r="AP1155" s="1743" t="s">
        <v>96</v>
      </c>
      <c r="AQ1155" s="1764" t="s">
        <v>118</v>
      </c>
      <c r="AR1155" s="1743" t="s">
        <v>87</v>
      </c>
      <c r="AS1155" s="2135"/>
      <c r="AT1155" s="2135"/>
      <c r="AU1155" s="1212">
        <v>0.33333333333333331</v>
      </c>
      <c r="AV1155" s="1212">
        <v>0.33333333333333331</v>
      </c>
      <c r="AW1155" s="1212">
        <v>0.33333333333333331</v>
      </c>
      <c r="AX1155" s="1212"/>
      <c r="AY1155" s="1212"/>
      <c r="AZ1155" s="1212"/>
      <c r="BA1155" s="1212"/>
      <c r="BB1155" s="1212"/>
      <c r="BC1155" s="1212"/>
      <c r="BD1155" s="1212"/>
      <c r="BE1155" s="1212"/>
      <c r="BF1155" s="2126">
        <v>0</v>
      </c>
      <c r="BG1155" s="2126">
        <v>0</v>
      </c>
      <c r="BH1155" s="2126">
        <v>-2385.1</v>
      </c>
      <c r="BI1155" s="2126">
        <v>-2385.1</v>
      </c>
      <c r="BJ1155" s="2126">
        <v>-2385.1</v>
      </c>
      <c r="BK1155" s="2126">
        <v>0</v>
      </c>
      <c r="BL1155" s="2126">
        <v>0</v>
      </c>
      <c r="BM1155" s="2126">
        <v>0</v>
      </c>
      <c r="BN1155" s="2126">
        <v>0</v>
      </c>
      <c r="BO1155" s="2126">
        <v>0</v>
      </c>
      <c r="BP1155" s="2126">
        <v>0</v>
      </c>
      <c r="BQ1155" s="2126">
        <v>0</v>
      </c>
      <c r="BR1155" s="2126">
        <v>0</v>
      </c>
    </row>
    <row r="1156" spans="1:70" s="1765" customFormat="1" ht="49.5">
      <c r="A1156" s="1272">
        <v>4000</v>
      </c>
      <c r="B1156" s="971" t="s">
        <v>1316</v>
      </c>
      <c r="C1156" s="1272">
        <v>4700</v>
      </c>
      <c r="D1156" s="971" t="s">
        <v>912</v>
      </c>
      <c r="E1156" s="971">
        <v>4750</v>
      </c>
      <c r="F1156" s="971" t="s">
        <v>913</v>
      </c>
      <c r="G1156" s="971">
        <v>4750</v>
      </c>
      <c r="H1156" s="971" t="s">
        <v>913</v>
      </c>
      <c r="I1156" s="1273" t="s">
        <v>2065</v>
      </c>
      <c r="J1156" s="971" t="s">
        <v>124</v>
      </c>
      <c r="K1156" s="971" t="s">
        <v>784</v>
      </c>
      <c r="L1156" s="971" t="s">
        <v>2852</v>
      </c>
      <c r="M1156" s="971" t="s">
        <v>458</v>
      </c>
      <c r="N1156" s="971" t="s">
        <v>127</v>
      </c>
      <c r="O1156" s="971" t="s">
        <v>459</v>
      </c>
      <c r="P1156" s="971"/>
      <c r="Q1156" s="971" t="s">
        <v>1028</v>
      </c>
      <c r="R1156" s="1266" t="s">
        <v>2066</v>
      </c>
      <c r="S1156" s="2106">
        <v>59.479553903345725</v>
      </c>
      <c r="T1156" s="1266" t="s">
        <v>136</v>
      </c>
      <c r="U1156" s="1742">
        <v>0.22416666666666665</v>
      </c>
      <c r="V1156" s="1742">
        <v>2.8020833333333335</v>
      </c>
      <c r="W1156" s="1742">
        <v>19.758049999999997</v>
      </c>
      <c r="X1156" s="1742">
        <v>30.905858333333335</v>
      </c>
      <c r="Y1156" s="2106">
        <v>53.46599166666666</v>
      </c>
      <c r="Z1156" s="2106">
        <v>13.333333333333332</v>
      </c>
      <c r="AA1156" s="2106">
        <v>166.66666666666669</v>
      </c>
      <c r="AB1156" s="2106">
        <v>1175.1999999999998</v>
      </c>
      <c r="AC1156" s="2106">
        <v>1838.2666666666667</v>
      </c>
      <c r="AD1156" s="1744">
        <v>3180.1333333333332</v>
      </c>
      <c r="AE1156" s="2126">
        <v>1</v>
      </c>
      <c r="AF1156" s="2126">
        <v>59.479553903345725</v>
      </c>
      <c r="AG1156" s="1212">
        <v>1</v>
      </c>
      <c r="AH1156" s="1212">
        <v>0</v>
      </c>
      <c r="AI1156" s="1212">
        <v>0</v>
      </c>
      <c r="AJ1156" s="1212">
        <v>1</v>
      </c>
      <c r="AK1156" s="2126">
        <v>3180.1333333333332</v>
      </c>
      <c r="AL1156" s="2126">
        <v>0</v>
      </c>
      <c r="AM1156" s="2126">
        <v>0</v>
      </c>
      <c r="AN1156" s="2126">
        <v>3180.1333333333332</v>
      </c>
      <c r="AO1156" s="1743" t="s">
        <v>85</v>
      </c>
      <c r="AP1156" s="1743"/>
      <c r="AQ1156" s="1764">
        <v>2014</v>
      </c>
      <c r="AR1156" s="1743" t="s">
        <v>87</v>
      </c>
      <c r="AS1156" s="2135"/>
      <c r="AT1156" s="2135"/>
      <c r="AU1156" s="1212">
        <v>0.33333333333333331</v>
      </c>
      <c r="AV1156" s="1212">
        <v>0.33333333333333331</v>
      </c>
      <c r="AW1156" s="1212">
        <v>0.33333333333333331</v>
      </c>
      <c r="AX1156" s="1212"/>
      <c r="AY1156" s="1212"/>
      <c r="AZ1156" s="1212"/>
      <c r="BA1156" s="1212"/>
      <c r="BB1156" s="1212"/>
      <c r="BC1156" s="1212"/>
      <c r="BD1156" s="1212"/>
      <c r="BE1156" s="1212"/>
      <c r="BF1156" s="2126">
        <v>0</v>
      </c>
      <c r="BG1156" s="2126">
        <v>0</v>
      </c>
      <c r="BH1156" s="2126">
        <v>1060.0444444444443</v>
      </c>
      <c r="BI1156" s="2126">
        <v>1060.0444444444443</v>
      </c>
      <c r="BJ1156" s="2126">
        <v>1060.0444444444443</v>
      </c>
      <c r="BK1156" s="2126">
        <v>0</v>
      </c>
      <c r="BL1156" s="2126">
        <v>0</v>
      </c>
      <c r="BM1156" s="2126">
        <v>0</v>
      </c>
      <c r="BN1156" s="2126">
        <v>0</v>
      </c>
      <c r="BO1156" s="2126">
        <v>0</v>
      </c>
      <c r="BP1156" s="2126">
        <v>0</v>
      </c>
      <c r="BQ1156" s="2126">
        <v>0</v>
      </c>
      <c r="BR1156" s="2126">
        <v>0</v>
      </c>
    </row>
    <row r="1157" spans="1:70" s="1765" customFormat="1" ht="49.5">
      <c r="A1157" s="1272">
        <v>4000</v>
      </c>
      <c r="B1157" s="971" t="s">
        <v>1316</v>
      </c>
      <c r="C1157" s="1272">
        <v>4700</v>
      </c>
      <c r="D1157" s="971" t="s">
        <v>912</v>
      </c>
      <c r="E1157" s="971">
        <v>4750</v>
      </c>
      <c r="F1157" s="971" t="s">
        <v>913</v>
      </c>
      <c r="G1157" s="971">
        <v>4750</v>
      </c>
      <c r="H1157" s="971" t="s">
        <v>913</v>
      </c>
      <c r="I1157" s="1273" t="s">
        <v>2067</v>
      </c>
      <c r="J1157" s="971" t="s">
        <v>124</v>
      </c>
      <c r="K1157" s="971" t="s">
        <v>784</v>
      </c>
      <c r="L1157" s="971" t="s">
        <v>2852</v>
      </c>
      <c r="M1157" s="971" t="s">
        <v>458</v>
      </c>
      <c r="N1157" s="971" t="s">
        <v>127</v>
      </c>
      <c r="O1157" s="971" t="s">
        <v>459</v>
      </c>
      <c r="P1157" s="971"/>
      <c r="Q1157" s="971" t="s">
        <v>2068</v>
      </c>
      <c r="R1157" s="1266" t="s">
        <v>2069</v>
      </c>
      <c r="S1157" s="2106">
        <v>59.479553903345725</v>
      </c>
      <c r="T1157" s="1266" t="s">
        <v>136</v>
      </c>
      <c r="U1157" s="1742">
        <v>0.22416666666666665</v>
      </c>
      <c r="V1157" s="1742">
        <v>2.8020833333333335</v>
      </c>
      <c r="W1157" s="1742">
        <v>19.758049999999997</v>
      </c>
      <c r="X1157" s="1742">
        <v>30.905858333333335</v>
      </c>
      <c r="Y1157" s="2106">
        <v>53.46599166666666</v>
      </c>
      <c r="Z1157" s="2106">
        <v>13.333333333333332</v>
      </c>
      <c r="AA1157" s="2106">
        <v>166.66666666666669</v>
      </c>
      <c r="AB1157" s="2106">
        <v>1175.1999999999998</v>
      </c>
      <c r="AC1157" s="2106">
        <v>1838.2666666666667</v>
      </c>
      <c r="AD1157" s="1744">
        <v>3180.1333333333332</v>
      </c>
      <c r="AE1157" s="2126">
        <v>1</v>
      </c>
      <c r="AF1157" s="2126">
        <v>59.479553903345725</v>
      </c>
      <c r="AG1157" s="1212">
        <v>1</v>
      </c>
      <c r="AH1157" s="1212">
        <v>0</v>
      </c>
      <c r="AI1157" s="1212">
        <v>0</v>
      </c>
      <c r="AJ1157" s="1212">
        <v>1</v>
      </c>
      <c r="AK1157" s="2126">
        <v>3180.1333333333332</v>
      </c>
      <c r="AL1157" s="2126">
        <v>0</v>
      </c>
      <c r="AM1157" s="2126">
        <v>0</v>
      </c>
      <c r="AN1157" s="2126">
        <v>3180.1333333333332</v>
      </c>
      <c r="AO1157" s="1743" t="s">
        <v>85</v>
      </c>
      <c r="AP1157" s="1743"/>
      <c r="AQ1157" s="1764">
        <v>2014</v>
      </c>
      <c r="AR1157" s="1743" t="s">
        <v>87</v>
      </c>
      <c r="AS1157" s="2135"/>
      <c r="AT1157" s="2135"/>
      <c r="AU1157" s="1212">
        <v>0.33333333333333331</v>
      </c>
      <c r="AV1157" s="1212">
        <v>0.33333333333333331</v>
      </c>
      <c r="AW1157" s="1212">
        <v>0.33333333333333331</v>
      </c>
      <c r="AX1157" s="1212"/>
      <c r="AY1157" s="1212"/>
      <c r="AZ1157" s="1212"/>
      <c r="BA1157" s="1212"/>
      <c r="BB1157" s="1212"/>
      <c r="BC1157" s="1212"/>
      <c r="BD1157" s="1212"/>
      <c r="BE1157" s="1212"/>
      <c r="BF1157" s="2126">
        <v>0</v>
      </c>
      <c r="BG1157" s="2126">
        <v>0</v>
      </c>
      <c r="BH1157" s="2126">
        <v>1060.0444444444443</v>
      </c>
      <c r="BI1157" s="2126">
        <v>1060.0444444444443</v>
      </c>
      <c r="BJ1157" s="2126">
        <v>1060.0444444444443</v>
      </c>
      <c r="BK1157" s="2126">
        <v>0</v>
      </c>
      <c r="BL1157" s="2126">
        <v>0</v>
      </c>
      <c r="BM1157" s="2126">
        <v>0</v>
      </c>
      <c r="BN1157" s="2126">
        <v>0</v>
      </c>
      <c r="BO1157" s="2126">
        <v>0</v>
      </c>
      <c r="BP1157" s="2126">
        <v>0</v>
      </c>
      <c r="BQ1157" s="2126">
        <v>0</v>
      </c>
      <c r="BR1157" s="2126">
        <v>0</v>
      </c>
    </row>
    <row r="1158" spans="1:70" s="1765" customFormat="1" ht="49.5">
      <c r="A1158" s="1272">
        <v>4000</v>
      </c>
      <c r="B1158" s="971" t="s">
        <v>1316</v>
      </c>
      <c r="C1158" s="1272">
        <v>4700</v>
      </c>
      <c r="D1158" s="971" t="s">
        <v>912</v>
      </c>
      <c r="E1158" s="971">
        <v>4750</v>
      </c>
      <c r="F1158" s="971" t="s">
        <v>913</v>
      </c>
      <c r="G1158" s="971">
        <v>4750</v>
      </c>
      <c r="H1158" s="971" t="s">
        <v>913</v>
      </c>
      <c r="I1158" s="1273" t="s">
        <v>2070</v>
      </c>
      <c r="J1158" s="971" t="s">
        <v>124</v>
      </c>
      <c r="K1158" s="971" t="s">
        <v>784</v>
      </c>
      <c r="L1158" s="971" t="s">
        <v>2852</v>
      </c>
      <c r="M1158" s="971" t="s">
        <v>458</v>
      </c>
      <c r="N1158" s="971" t="s">
        <v>127</v>
      </c>
      <c r="O1158" s="971" t="s">
        <v>459</v>
      </c>
      <c r="P1158" s="971"/>
      <c r="Q1158" s="971" t="s">
        <v>1031</v>
      </c>
      <c r="R1158" s="1266" t="s">
        <v>2071</v>
      </c>
      <c r="S1158" s="2106">
        <v>37.174721189591082</v>
      </c>
      <c r="T1158" s="1266" t="s">
        <v>136</v>
      </c>
      <c r="U1158" s="1742">
        <v>0.22416666666666665</v>
      </c>
      <c r="V1158" s="1742">
        <v>2.8020833333333335</v>
      </c>
      <c r="W1158" s="1742">
        <v>19.758049999999997</v>
      </c>
      <c r="X1158" s="1742">
        <v>30.905858333333335</v>
      </c>
      <c r="Y1158" s="2106">
        <v>53.46599166666666</v>
      </c>
      <c r="Z1158" s="2106">
        <v>8.3333333333333339</v>
      </c>
      <c r="AA1158" s="2106">
        <v>104.16666666666669</v>
      </c>
      <c r="AB1158" s="2106">
        <v>734.5</v>
      </c>
      <c r="AC1158" s="2106">
        <v>1148.9166666666667</v>
      </c>
      <c r="AD1158" s="1744">
        <v>1987.5833333333335</v>
      </c>
      <c r="AE1158" s="2126">
        <v>1</v>
      </c>
      <c r="AF1158" s="2126">
        <v>37.174721189591082</v>
      </c>
      <c r="AG1158" s="1212">
        <v>1</v>
      </c>
      <c r="AH1158" s="1212">
        <v>0</v>
      </c>
      <c r="AI1158" s="1212">
        <v>0</v>
      </c>
      <c r="AJ1158" s="1212">
        <v>1</v>
      </c>
      <c r="AK1158" s="2126">
        <v>1987.5833333333335</v>
      </c>
      <c r="AL1158" s="2126">
        <v>0</v>
      </c>
      <c r="AM1158" s="2126">
        <v>0</v>
      </c>
      <c r="AN1158" s="2126">
        <v>1987.5833333333335</v>
      </c>
      <c r="AO1158" s="1743" t="s">
        <v>85</v>
      </c>
      <c r="AP1158" s="1743"/>
      <c r="AQ1158" s="1764">
        <v>2014</v>
      </c>
      <c r="AR1158" s="1743" t="s">
        <v>87</v>
      </c>
      <c r="AS1158" s="2135"/>
      <c r="AT1158" s="2135"/>
      <c r="AU1158" s="1212">
        <v>0.33333333333333331</v>
      </c>
      <c r="AV1158" s="1212">
        <v>0.33333333333333331</v>
      </c>
      <c r="AW1158" s="1212">
        <v>0.33333333333333331</v>
      </c>
      <c r="AX1158" s="1212"/>
      <c r="AY1158" s="1212"/>
      <c r="AZ1158" s="1212"/>
      <c r="BA1158" s="1212"/>
      <c r="BB1158" s="1212"/>
      <c r="BC1158" s="1212"/>
      <c r="BD1158" s="1212"/>
      <c r="BE1158" s="1212"/>
      <c r="BF1158" s="2126">
        <v>0</v>
      </c>
      <c r="BG1158" s="2126">
        <v>0</v>
      </c>
      <c r="BH1158" s="2126">
        <v>662.52777777777783</v>
      </c>
      <c r="BI1158" s="2126">
        <v>662.52777777777783</v>
      </c>
      <c r="BJ1158" s="2126">
        <v>662.52777777777783</v>
      </c>
      <c r="BK1158" s="2126">
        <v>0</v>
      </c>
      <c r="BL1158" s="2126">
        <v>0</v>
      </c>
      <c r="BM1158" s="2126">
        <v>0</v>
      </c>
      <c r="BN1158" s="2126">
        <v>0</v>
      </c>
      <c r="BO1158" s="2126">
        <v>0</v>
      </c>
      <c r="BP1158" s="2126">
        <v>0</v>
      </c>
      <c r="BQ1158" s="2126">
        <v>0</v>
      </c>
      <c r="BR1158" s="2126">
        <v>0</v>
      </c>
    </row>
    <row r="1159" spans="1:70" s="1765" customFormat="1" ht="49.5">
      <c r="A1159" s="1272">
        <v>4000</v>
      </c>
      <c r="B1159" s="971" t="s">
        <v>1316</v>
      </c>
      <c r="C1159" s="1272">
        <v>4700</v>
      </c>
      <c r="D1159" s="971" t="s">
        <v>912</v>
      </c>
      <c r="E1159" s="971">
        <v>4750</v>
      </c>
      <c r="F1159" s="971" t="s">
        <v>913</v>
      </c>
      <c r="G1159" s="971">
        <v>4750</v>
      </c>
      <c r="H1159" s="971" t="s">
        <v>913</v>
      </c>
      <c r="I1159" s="1273" t="s">
        <v>2072</v>
      </c>
      <c r="J1159" s="971" t="s">
        <v>124</v>
      </c>
      <c r="K1159" s="971" t="s">
        <v>784</v>
      </c>
      <c r="L1159" s="971" t="s">
        <v>2852</v>
      </c>
      <c r="M1159" s="971" t="s">
        <v>458</v>
      </c>
      <c r="N1159" s="971" t="s">
        <v>127</v>
      </c>
      <c r="O1159" s="971" t="s">
        <v>459</v>
      </c>
      <c r="P1159" s="971"/>
      <c r="Q1159" s="971" t="s">
        <v>1035</v>
      </c>
      <c r="R1159" s="1266" t="s">
        <v>2073</v>
      </c>
      <c r="S1159" s="2106">
        <v>37.174721189591082</v>
      </c>
      <c r="T1159" s="1266" t="s">
        <v>136</v>
      </c>
      <c r="U1159" s="1742">
        <v>0.22416666666666665</v>
      </c>
      <c r="V1159" s="1742">
        <v>2.8020833333333335</v>
      </c>
      <c r="W1159" s="1742">
        <v>19.758049999999997</v>
      </c>
      <c r="X1159" s="1742">
        <v>30.905858333333335</v>
      </c>
      <c r="Y1159" s="2106">
        <v>53.46599166666666</v>
      </c>
      <c r="Z1159" s="2106">
        <v>8.3333333333333339</v>
      </c>
      <c r="AA1159" s="2106">
        <v>104.16666666666669</v>
      </c>
      <c r="AB1159" s="2106">
        <v>734.5</v>
      </c>
      <c r="AC1159" s="2106">
        <v>1148.9166666666667</v>
      </c>
      <c r="AD1159" s="1744">
        <v>1987.5833333333335</v>
      </c>
      <c r="AE1159" s="2126">
        <v>1</v>
      </c>
      <c r="AF1159" s="2126">
        <v>37.174721189591082</v>
      </c>
      <c r="AG1159" s="1212">
        <v>1</v>
      </c>
      <c r="AH1159" s="1212">
        <v>0</v>
      </c>
      <c r="AI1159" s="1212">
        <v>0</v>
      </c>
      <c r="AJ1159" s="1212">
        <v>1</v>
      </c>
      <c r="AK1159" s="2126">
        <v>1987.5833333333335</v>
      </c>
      <c r="AL1159" s="2126">
        <v>0</v>
      </c>
      <c r="AM1159" s="2126">
        <v>0</v>
      </c>
      <c r="AN1159" s="2126">
        <v>1987.5833333333335</v>
      </c>
      <c r="AO1159" s="1743" t="s">
        <v>85</v>
      </c>
      <c r="AP1159" s="1743"/>
      <c r="AQ1159" s="1764">
        <v>2014</v>
      </c>
      <c r="AR1159" s="1743" t="s">
        <v>87</v>
      </c>
      <c r="AS1159" s="2135"/>
      <c r="AT1159" s="2135"/>
      <c r="AU1159" s="1212">
        <v>0.33333333333333331</v>
      </c>
      <c r="AV1159" s="1212">
        <v>0.33333333333333331</v>
      </c>
      <c r="AW1159" s="1212">
        <v>0.33333333333333331</v>
      </c>
      <c r="AX1159" s="1212"/>
      <c r="AY1159" s="1212"/>
      <c r="AZ1159" s="1212"/>
      <c r="BA1159" s="1212"/>
      <c r="BB1159" s="1212"/>
      <c r="BC1159" s="1212"/>
      <c r="BD1159" s="1212"/>
      <c r="BE1159" s="1212"/>
      <c r="BF1159" s="2126">
        <v>0</v>
      </c>
      <c r="BG1159" s="2126">
        <v>0</v>
      </c>
      <c r="BH1159" s="2126">
        <v>662.52777777777783</v>
      </c>
      <c r="BI1159" s="2126">
        <v>662.52777777777783</v>
      </c>
      <c r="BJ1159" s="2126">
        <v>662.52777777777783</v>
      </c>
      <c r="BK1159" s="2126">
        <v>0</v>
      </c>
      <c r="BL1159" s="2126">
        <v>0</v>
      </c>
      <c r="BM1159" s="2126">
        <v>0</v>
      </c>
      <c r="BN1159" s="2126">
        <v>0</v>
      </c>
      <c r="BO1159" s="2126">
        <v>0</v>
      </c>
      <c r="BP1159" s="2126">
        <v>0</v>
      </c>
      <c r="BQ1159" s="2126">
        <v>0</v>
      </c>
      <c r="BR1159" s="2126">
        <v>0</v>
      </c>
    </row>
    <row r="1160" spans="1:70" s="1765" customFormat="1" ht="49.5">
      <c r="A1160" s="1272">
        <v>4000</v>
      </c>
      <c r="B1160" s="971" t="s">
        <v>1316</v>
      </c>
      <c r="C1160" s="1272">
        <v>4700</v>
      </c>
      <c r="D1160" s="971" t="s">
        <v>912</v>
      </c>
      <c r="E1160" s="971">
        <v>4750</v>
      </c>
      <c r="F1160" s="971" t="s">
        <v>913</v>
      </c>
      <c r="G1160" s="971">
        <v>4750</v>
      </c>
      <c r="H1160" s="971" t="s">
        <v>913</v>
      </c>
      <c r="I1160" s="1273" t="s">
        <v>2074</v>
      </c>
      <c r="J1160" s="971" t="s">
        <v>124</v>
      </c>
      <c r="K1160" s="971" t="s">
        <v>784</v>
      </c>
      <c r="L1160" s="971" t="s">
        <v>2852</v>
      </c>
      <c r="M1160" s="971" t="s">
        <v>458</v>
      </c>
      <c r="N1160" s="971" t="s">
        <v>127</v>
      </c>
      <c r="O1160" s="971" t="s">
        <v>459</v>
      </c>
      <c r="P1160" s="971"/>
      <c r="Q1160" s="971" t="s">
        <v>1038</v>
      </c>
      <c r="R1160" s="1266" t="s">
        <v>2075</v>
      </c>
      <c r="S1160" s="2106">
        <v>37.174721189591082</v>
      </c>
      <c r="T1160" s="1266" t="s">
        <v>136</v>
      </c>
      <c r="U1160" s="1742">
        <v>0.22416666666666665</v>
      </c>
      <c r="V1160" s="1742">
        <v>2.8020833333333335</v>
      </c>
      <c r="W1160" s="1742">
        <v>19.758049999999997</v>
      </c>
      <c r="X1160" s="1742">
        <v>30.905858333333335</v>
      </c>
      <c r="Y1160" s="2106">
        <v>53.46599166666666</v>
      </c>
      <c r="Z1160" s="2106">
        <v>8.3333333333333339</v>
      </c>
      <c r="AA1160" s="2106">
        <v>104.16666666666669</v>
      </c>
      <c r="AB1160" s="2106">
        <v>734.5</v>
      </c>
      <c r="AC1160" s="2106">
        <v>1148.9166666666667</v>
      </c>
      <c r="AD1160" s="1744">
        <v>1987.5833333333335</v>
      </c>
      <c r="AE1160" s="2126">
        <v>1</v>
      </c>
      <c r="AF1160" s="2126">
        <v>37.174721189591082</v>
      </c>
      <c r="AG1160" s="1212">
        <v>1</v>
      </c>
      <c r="AH1160" s="1212">
        <v>0</v>
      </c>
      <c r="AI1160" s="1212">
        <v>0</v>
      </c>
      <c r="AJ1160" s="1212">
        <v>1</v>
      </c>
      <c r="AK1160" s="2126">
        <v>1987.5833333333335</v>
      </c>
      <c r="AL1160" s="2126">
        <v>0</v>
      </c>
      <c r="AM1160" s="2126">
        <v>0</v>
      </c>
      <c r="AN1160" s="2126">
        <v>1987.5833333333335</v>
      </c>
      <c r="AO1160" s="1743" t="s">
        <v>85</v>
      </c>
      <c r="AP1160" s="1743"/>
      <c r="AQ1160" s="1764">
        <v>2014</v>
      </c>
      <c r="AR1160" s="1743" t="s">
        <v>87</v>
      </c>
      <c r="AS1160" s="2135"/>
      <c r="AT1160" s="2135"/>
      <c r="AU1160" s="1212">
        <v>0.33333333333333331</v>
      </c>
      <c r="AV1160" s="1212">
        <v>0.33333333333333331</v>
      </c>
      <c r="AW1160" s="1212">
        <v>0.33333333333333331</v>
      </c>
      <c r="AX1160" s="1212"/>
      <c r="AY1160" s="1212"/>
      <c r="AZ1160" s="1212"/>
      <c r="BA1160" s="1212"/>
      <c r="BB1160" s="1212"/>
      <c r="BC1160" s="1212"/>
      <c r="BD1160" s="1212"/>
      <c r="BE1160" s="1212"/>
      <c r="BF1160" s="2126">
        <v>0</v>
      </c>
      <c r="BG1160" s="2126">
        <v>0</v>
      </c>
      <c r="BH1160" s="2126">
        <v>662.52777777777783</v>
      </c>
      <c r="BI1160" s="2126">
        <v>662.52777777777783</v>
      </c>
      <c r="BJ1160" s="2126">
        <v>662.52777777777783</v>
      </c>
      <c r="BK1160" s="2126">
        <v>0</v>
      </c>
      <c r="BL1160" s="2126">
        <v>0</v>
      </c>
      <c r="BM1160" s="2126">
        <v>0</v>
      </c>
      <c r="BN1160" s="2126">
        <v>0</v>
      </c>
      <c r="BO1160" s="2126">
        <v>0</v>
      </c>
      <c r="BP1160" s="2126">
        <v>0</v>
      </c>
      <c r="BQ1160" s="2126">
        <v>0</v>
      </c>
      <c r="BR1160" s="2126">
        <v>0</v>
      </c>
    </row>
    <row r="1161" spans="1:70" s="1765" customFormat="1" ht="49.5">
      <c r="A1161" s="1272">
        <v>4000</v>
      </c>
      <c r="B1161" s="971" t="s">
        <v>1316</v>
      </c>
      <c r="C1161" s="1272">
        <v>4700</v>
      </c>
      <c r="D1161" s="971" t="s">
        <v>912</v>
      </c>
      <c r="E1161" s="971">
        <v>4750</v>
      </c>
      <c r="F1161" s="971" t="s">
        <v>913</v>
      </c>
      <c r="G1161" s="971">
        <v>4750</v>
      </c>
      <c r="H1161" s="971" t="s">
        <v>913</v>
      </c>
      <c r="I1161" s="1273" t="s">
        <v>2076</v>
      </c>
      <c r="J1161" s="971" t="s">
        <v>124</v>
      </c>
      <c r="K1161" s="971" t="s">
        <v>784</v>
      </c>
      <c r="L1161" s="971" t="s">
        <v>2852</v>
      </c>
      <c r="M1161" s="971" t="s">
        <v>458</v>
      </c>
      <c r="N1161" s="971" t="s">
        <v>127</v>
      </c>
      <c r="O1161" s="971" t="s">
        <v>459</v>
      </c>
      <c r="P1161" s="971"/>
      <c r="Q1161" s="971" t="s">
        <v>1041</v>
      </c>
      <c r="R1161" s="1266" t="s">
        <v>2077</v>
      </c>
      <c r="S1161" s="2106">
        <v>37.174721189591082</v>
      </c>
      <c r="T1161" s="1266" t="s">
        <v>136</v>
      </c>
      <c r="U1161" s="1742">
        <v>0.22416666666666665</v>
      </c>
      <c r="V1161" s="1742">
        <v>2.8020833333333335</v>
      </c>
      <c r="W1161" s="1742">
        <v>19.758049999999997</v>
      </c>
      <c r="X1161" s="1742">
        <v>30.905858333333335</v>
      </c>
      <c r="Y1161" s="2106">
        <v>53.46599166666666</v>
      </c>
      <c r="Z1161" s="2106">
        <v>8.3333333333333339</v>
      </c>
      <c r="AA1161" s="2106">
        <v>104.16666666666669</v>
      </c>
      <c r="AB1161" s="2106">
        <v>734.5</v>
      </c>
      <c r="AC1161" s="2106">
        <v>1148.9166666666667</v>
      </c>
      <c r="AD1161" s="1744">
        <v>1987.5833333333335</v>
      </c>
      <c r="AE1161" s="2126">
        <v>1</v>
      </c>
      <c r="AF1161" s="2126">
        <v>37.174721189591082</v>
      </c>
      <c r="AG1161" s="1212">
        <v>1</v>
      </c>
      <c r="AH1161" s="1212">
        <v>0</v>
      </c>
      <c r="AI1161" s="1212">
        <v>0</v>
      </c>
      <c r="AJ1161" s="1212">
        <v>1</v>
      </c>
      <c r="AK1161" s="2126">
        <v>1987.5833333333335</v>
      </c>
      <c r="AL1161" s="2126">
        <v>0</v>
      </c>
      <c r="AM1161" s="2126">
        <v>0</v>
      </c>
      <c r="AN1161" s="2126">
        <v>1987.5833333333335</v>
      </c>
      <c r="AO1161" s="1743" t="s">
        <v>85</v>
      </c>
      <c r="AP1161" s="1743"/>
      <c r="AQ1161" s="1764">
        <v>2014</v>
      </c>
      <c r="AR1161" s="1743" t="s">
        <v>87</v>
      </c>
      <c r="AS1161" s="2135"/>
      <c r="AT1161" s="2135"/>
      <c r="AU1161" s="1212">
        <v>0.5</v>
      </c>
      <c r="AV1161" s="1212">
        <v>0.5</v>
      </c>
      <c r="AW1161" s="1212"/>
      <c r="AX1161" s="1212"/>
      <c r="AY1161" s="1212"/>
      <c r="AZ1161" s="1212"/>
      <c r="BA1161" s="1212"/>
      <c r="BB1161" s="1212"/>
      <c r="BC1161" s="1212"/>
      <c r="BD1161" s="1212"/>
      <c r="BE1161" s="1212"/>
      <c r="BF1161" s="2126">
        <v>0</v>
      </c>
      <c r="BG1161" s="2126">
        <v>0</v>
      </c>
      <c r="BH1161" s="2126">
        <v>993.79166666666674</v>
      </c>
      <c r="BI1161" s="2126">
        <v>993.79166666666674</v>
      </c>
      <c r="BJ1161" s="2126">
        <v>0</v>
      </c>
      <c r="BK1161" s="2126">
        <v>0</v>
      </c>
      <c r="BL1161" s="2126">
        <v>0</v>
      </c>
      <c r="BM1161" s="2126">
        <v>0</v>
      </c>
      <c r="BN1161" s="2126">
        <v>0</v>
      </c>
      <c r="BO1161" s="2126">
        <v>0</v>
      </c>
      <c r="BP1161" s="2126">
        <v>0</v>
      </c>
      <c r="BQ1161" s="2126">
        <v>0</v>
      </c>
      <c r="BR1161" s="2126">
        <v>0</v>
      </c>
    </row>
    <row r="1162" spans="1:70" s="1765" customFormat="1" ht="49.5">
      <c r="A1162" s="1272">
        <v>4000</v>
      </c>
      <c r="B1162" s="971" t="s">
        <v>1316</v>
      </c>
      <c r="C1162" s="1272">
        <v>4700</v>
      </c>
      <c r="D1162" s="971" t="s">
        <v>912</v>
      </c>
      <c r="E1162" s="971">
        <v>4750</v>
      </c>
      <c r="F1162" s="971" t="s">
        <v>913</v>
      </c>
      <c r="G1162" s="971">
        <v>4750</v>
      </c>
      <c r="H1162" s="971" t="s">
        <v>913</v>
      </c>
      <c r="I1162" s="1273" t="s">
        <v>2078</v>
      </c>
      <c r="J1162" s="971" t="s">
        <v>124</v>
      </c>
      <c r="K1162" s="971" t="s">
        <v>784</v>
      </c>
      <c r="L1162" s="971" t="s">
        <v>2852</v>
      </c>
      <c r="M1162" s="971" t="s">
        <v>458</v>
      </c>
      <c r="N1162" s="971" t="s">
        <v>127</v>
      </c>
      <c r="O1162" s="971" t="s">
        <v>459</v>
      </c>
      <c r="P1162" s="971"/>
      <c r="Q1162" s="971" t="s">
        <v>2079</v>
      </c>
      <c r="R1162" s="1266" t="s">
        <v>2080</v>
      </c>
      <c r="S1162" s="2106">
        <v>37.174721189591082</v>
      </c>
      <c r="T1162" s="1266" t="s">
        <v>136</v>
      </c>
      <c r="U1162" s="1742">
        <v>0.22416666666666665</v>
      </c>
      <c r="V1162" s="1742">
        <v>2.8020833333333335</v>
      </c>
      <c r="W1162" s="1742">
        <v>19.758049999999997</v>
      </c>
      <c r="X1162" s="1742">
        <v>30.905858333333335</v>
      </c>
      <c r="Y1162" s="2106">
        <v>53.46599166666666</v>
      </c>
      <c r="Z1162" s="2106">
        <v>8.3333333333333339</v>
      </c>
      <c r="AA1162" s="2106">
        <v>104.16666666666669</v>
      </c>
      <c r="AB1162" s="2106">
        <v>734.5</v>
      </c>
      <c r="AC1162" s="2106">
        <v>1148.9166666666667</v>
      </c>
      <c r="AD1162" s="1744">
        <v>1987.5833333333335</v>
      </c>
      <c r="AE1162" s="2126">
        <v>1</v>
      </c>
      <c r="AF1162" s="2126">
        <v>37.174721189591082</v>
      </c>
      <c r="AG1162" s="1212">
        <v>1</v>
      </c>
      <c r="AH1162" s="1212">
        <v>0</v>
      </c>
      <c r="AI1162" s="1212">
        <v>0</v>
      </c>
      <c r="AJ1162" s="1212">
        <v>1</v>
      </c>
      <c r="AK1162" s="2126">
        <v>1987.5833333333335</v>
      </c>
      <c r="AL1162" s="2126">
        <v>0</v>
      </c>
      <c r="AM1162" s="2126">
        <v>0</v>
      </c>
      <c r="AN1162" s="2126">
        <v>1987.5833333333335</v>
      </c>
      <c r="AO1162" s="1743" t="s">
        <v>85</v>
      </c>
      <c r="AP1162" s="1743"/>
      <c r="AQ1162" s="1764">
        <v>2014</v>
      </c>
      <c r="AR1162" s="1743" t="s">
        <v>87</v>
      </c>
      <c r="AS1162" s="2135"/>
      <c r="AT1162" s="2135"/>
      <c r="AU1162" s="1212">
        <v>0.33333333333333331</v>
      </c>
      <c r="AV1162" s="1212">
        <v>0.33333333333333331</v>
      </c>
      <c r="AW1162" s="1212">
        <v>0.33333333333333331</v>
      </c>
      <c r="AX1162" s="1212"/>
      <c r="AY1162" s="1212"/>
      <c r="AZ1162" s="1212"/>
      <c r="BA1162" s="1212"/>
      <c r="BB1162" s="1212"/>
      <c r="BC1162" s="1212"/>
      <c r="BD1162" s="1212"/>
      <c r="BE1162" s="1212"/>
      <c r="BF1162" s="2126">
        <v>0</v>
      </c>
      <c r="BG1162" s="2126">
        <v>0</v>
      </c>
      <c r="BH1162" s="2126">
        <v>662.52777777777783</v>
      </c>
      <c r="BI1162" s="2126">
        <v>662.52777777777783</v>
      </c>
      <c r="BJ1162" s="2126">
        <v>662.52777777777783</v>
      </c>
      <c r="BK1162" s="2126">
        <v>0</v>
      </c>
      <c r="BL1162" s="2126">
        <v>0</v>
      </c>
      <c r="BM1162" s="2126">
        <v>0</v>
      </c>
      <c r="BN1162" s="2126">
        <v>0</v>
      </c>
      <c r="BO1162" s="2126">
        <v>0</v>
      </c>
      <c r="BP1162" s="2126">
        <v>0</v>
      </c>
      <c r="BQ1162" s="2126">
        <v>0</v>
      </c>
      <c r="BR1162" s="2126">
        <v>0</v>
      </c>
    </row>
    <row r="1163" spans="1:70" s="1765" customFormat="1" ht="49.5">
      <c r="A1163" s="1272">
        <v>4000</v>
      </c>
      <c r="B1163" s="971" t="s">
        <v>1316</v>
      </c>
      <c r="C1163" s="1272">
        <v>4700</v>
      </c>
      <c r="D1163" s="971" t="s">
        <v>912</v>
      </c>
      <c r="E1163" s="971">
        <v>4750</v>
      </c>
      <c r="F1163" s="971" t="s">
        <v>913</v>
      </c>
      <c r="G1163" s="971">
        <v>4750</v>
      </c>
      <c r="H1163" s="971" t="s">
        <v>913</v>
      </c>
      <c r="I1163" s="1273" t="s">
        <v>2081</v>
      </c>
      <c r="J1163" s="971" t="s">
        <v>124</v>
      </c>
      <c r="K1163" s="971" t="s">
        <v>784</v>
      </c>
      <c r="L1163" s="971" t="s">
        <v>2852</v>
      </c>
      <c r="M1163" s="971" t="s">
        <v>458</v>
      </c>
      <c r="N1163" s="971" t="s">
        <v>127</v>
      </c>
      <c r="O1163" s="971" t="s">
        <v>459</v>
      </c>
      <c r="P1163" s="971"/>
      <c r="Q1163" s="971" t="s">
        <v>2082</v>
      </c>
      <c r="R1163" s="1266" t="s">
        <v>2083</v>
      </c>
      <c r="S1163" s="2106">
        <v>37.174721189591082</v>
      </c>
      <c r="T1163" s="1266" t="s">
        <v>136</v>
      </c>
      <c r="U1163" s="1742">
        <v>0.22416666666666665</v>
      </c>
      <c r="V1163" s="1742">
        <v>2.8020833333333335</v>
      </c>
      <c r="W1163" s="1742">
        <v>19.758049999999997</v>
      </c>
      <c r="X1163" s="1742">
        <v>30.905858333333335</v>
      </c>
      <c r="Y1163" s="2106">
        <v>53.46599166666666</v>
      </c>
      <c r="Z1163" s="2106">
        <v>8.3333333333333339</v>
      </c>
      <c r="AA1163" s="2106">
        <v>104.16666666666669</v>
      </c>
      <c r="AB1163" s="2106">
        <v>734.5</v>
      </c>
      <c r="AC1163" s="2106">
        <v>1148.9166666666667</v>
      </c>
      <c r="AD1163" s="1744">
        <v>1987.5833333333335</v>
      </c>
      <c r="AE1163" s="2126">
        <v>1</v>
      </c>
      <c r="AF1163" s="2126">
        <v>37.174721189591082</v>
      </c>
      <c r="AG1163" s="1212">
        <v>1</v>
      </c>
      <c r="AH1163" s="1212">
        <v>0</v>
      </c>
      <c r="AI1163" s="1212">
        <v>0</v>
      </c>
      <c r="AJ1163" s="1212">
        <v>1</v>
      </c>
      <c r="AK1163" s="2126">
        <v>1987.5833333333335</v>
      </c>
      <c r="AL1163" s="2126">
        <v>0</v>
      </c>
      <c r="AM1163" s="2126">
        <v>0</v>
      </c>
      <c r="AN1163" s="2126">
        <v>1987.5833333333335</v>
      </c>
      <c r="AO1163" s="1743" t="s">
        <v>85</v>
      </c>
      <c r="AP1163" s="1743"/>
      <c r="AQ1163" s="1764">
        <v>2014</v>
      </c>
      <c r="AR1163" s="1743" t="s">
        <v>87</v>
      </c>
      <c r="AS1163" s="2135"/>
      <c r="AT1163" s="2135"/>
      <c r="AU1163" s="1212">
        <v>0.33333333333333331</v>
      </c>
      <c r="AV1163" s="1212">
        <v>0.33333333333333331</v>
      </c>
      <c r="AW1163" s="1212">
        <v>0.33333333333333331</v>
      </c>
      <c r="AX1163" s="1212"/>
      <c r="AY1163" s="1212"/>
      <c r="AZ1163" s="1212"/>
      <c r="BA1163" s="1212"/>
      <c r="BB1163" s="1212"/>
      <c r="BC1163" s="1212"/>
      <c r="BD1163" s="1212"/>
      <c r="BE1163" s="1212"/>
      <c r="BF1163" s="2126">
        <v>0</v>
      </c>
      <c r="BG1163" s="2126">
        <v>0</v>
      </c>
      <c r="BH1163" s="2126">
        <v>662.52777777777783</v>
      </c>
      <c r="BI1163" s="2126">
        <v>662.52777777777783</v>
      </c>
      <c r="BJ1163" s="2126">
        <v>662.52777777777783</v>
      </c>
      <c r="BK1163" s="2126">
        <v>0</v>
      </c>
      <c r="BL1163" s="2126">
        <v>0</v>
      </c>
      <c r="BM1163" s="2126">
        <v>0</v>
      </c>
      <c r="BN1163" s="2126">
        <v>0</v>
      </c>
      <c r="BO1163" s="2126">
        <v>0</v>
      </c>
      <c r="BP1163" s="2126">
        <v>0</v>
      </c>
      <c r="BQ1163" s="2126">
        <v>0</v>
      </c>
      <c r="BR1163" s="2126">
        <v>0</v>
      </c>
    </row>
    <row r="1164" spans="1:70" s="1765" customFormat="1" ht="33">
      <c r="A1164" s="1272">
        <v>4000</v>
      </c>
      <c r="B1164" s="971" t="s">
        <v>1316</v>
      </c>
      <c r="C1164" s="1272">
        <v>4700</v>
      </c>
      <c r="D1164" s="971" t="s">
        <v>912</v>
      </c>
      <c r="E1164" s="971">
        <v>4750</v>
      </c>
      <c r="F1164" s="971" t="s">
        <v>913</v>
      </c>
      <c r="G1164" s="971">
        <v>4750</v>
      </c>
      <c r="H1164" s="971" t="s">
        <v>913</v>
      </c>
      <c r="I1164" s="1273" t="s">
        <v>2084</v>
      </c>
      <c r="J1164" s="971" t="s">
        <v>124</v>
      </c>
      <c r="K1164" s="971" t="s">
        <v>140</v>
      </c>
      <c r="L1164" s="971" t="s">
        <v>2909</v>
      </c>
      <c r="M1164" s="971" t="s">
        <v>140</v>
      </c>
      <c r="N1164" s="971" t="s">
        <v>141</v>
      </c>
      <c r="O1164" s="971" t="s">
        <v>142</v>
      </c>
      <c r="P1164" s="971"/>
      <c r="Q1164" s="971" t="s">
        <v>1048</v>
      </c>
      <c r="R1164" s="1266" t="s">
        <v>2071</v>
      </c>
      <c r="S1164" s="2106">
        <v>37.174721189591082</v>
      </c>
      <c r="T1164" s="1266" t="s">
        <v>136</v>
      </c>
      <c r="U1164" s="1742">
        <v>0</v>
      </c>
      <c r="V1164" s="1742">
        <v>0</v>
      </c>
      <c r="W1164" s="1742">
        <v>0</v>
      </c>
      <c r="X1164" s="1742">
        <v>0</v>
      </c>
      <c r="Y1164" s="2106">
        <v>0</v>
      </c>
      <c r="Z1164" s="2106">
        <v>0</v>
      </c>
      <c r="AA1164" s="2106">
        <v>0</v>
      </c>
      <c r="AB1164" s="2106">
        <v>0</v>
      </c>
      <c r="AC1164" s="2106">
        <v>0</v>
      </c>
      <c r="AD1164" s="1744">
        <v>0</v>
      </c>
      <c r="AE1164" s="2126">
        <v>0</v>
      </c>
      <c r="AF1164" s="2126">
        <v>0</v>
      </c>
      <c r="AG1164" s="1212">
        <v>1</v>
      </c>
      <c r="AH1164" s="1212">
        <v>0</v>
      </c>
      <c r="AI1164" s="1212">
        <v>0</v>
      </c>
      <c r="AJ1164" s="1212">
        <v>1</v>
      </c>
      <c r="AK1164" s="2126">
        <v>0</v>
      </c>
      <c r="AL1164" s="2126">
        <v>0</v>
      </c>
      <c r="AM1164" s="2126">
        <v>0</v>
      </c>
      <c r="AN1164" s="2126">
        <v>0</v>
      </c>
      <c r="AO1164" s="1743" t="s">
        <v>85</v>
      </c>
      <c r="AP1164" s="1743"/>
      <c r="AQ1164" s="1764">
        <v>2014</v>
      </c>
      <c r="AR1164" s="1743" t="s">
        <v>87</v>
      </c>
      <c r="AS1164" s="2135"/>
      <c r="AT1164" s="2135"/>
      <c r="AU1164" s="1212">
        <v>0.33333333333333331</v>
      </c>
      <c r="AV1164" s="1212">
        <v>0.33333333333333331</v>
      </c>
      <c r="AW1164" s="1212">
        <v>0.33333333333333331</v>
      </c>
      <c r="AX1164" s="1212"/>
      <c r="AY1164" s="1212"/>
      <c r="AZ1164" s="1212"/>
      <c r="BA1164" s="1212"/>
      <c r="BB1164" s="1212"/>
      <c r="BC1164" s="1212"/>
      <c r="BD1164" s="1212"/>
      <c r="BE1164" s="1212"/>
      <c r="BF1164" s="2126">
        <v>0</v>
      </c>
      <c r="BG1164" s="2126">
        <v>0</v>
      </c>
      <c r="BH1164" s="2126">
        <v>0</v>
      </c>
      <c r="BI1164" s="2126">
        <v>0</v>
      </c>
      <c r="BJ1164" s="2126">
        <v>0</v>
      </c>
      <c r="BK1164" s="2126">
        <v>0</v>
      </c>
      <c r="BL1164" s="2126">
        <v>0</v>
      </c>
      <c r="BM1164" s="2126">
        <v>0</v>
      </c>
      <c r="BN1164" s="2126">
        <v>0</v>
      </c>
      <c r="BO1164" s="2126">
        <v>0</v>
      </c>
      <c r="BP1164" s="2126">
        <v>0</v>
      </c>
      <c r="BQ1164" s="2126">
        <v>0</v>
      </c>
      <c r="BR1164" s="2126">
        <v>0</v>
      </c>
    </row>
    <row r="1165" spans="1:70" s="1765" customFormat="1" ht="33">
      <c r="A1165" s="1272">
        <v>4000</v>
      </c>
      <c r="B1165" s="971" t="s">
        <v>1316</v>
      </c>
      <c r="C1165" s="1272">
        <v>4700</v>
      </c>
      <c r="D1165" s="971" t="s">
        <v>912</v>
      </c>
      <c r="E1165" s="971">
        <v>4750</v>
      </c>
      <c r="F1165" s="971" t="s">
        <v>913</v>
      </c>
      <c r="G1165" s="971">
        <v>4750</v>
      </c>
      <c r="H1165" s="971" t="s">
        <v>913</v>
      </c>
      <c r="I1165" s="1273" t="s">
        <v>2085</v>
      </c>
      <c r="J1165" s="971" t="s">
        <v>124</v>
      </c>
      <c r="K1165" s="971"/>
      <c r="L1165" s="971" t="e">
        <v>#N/A</v>
      </c>
      <c r="M1165" s="971" t="s">
        <v>145</v>
      </c>
      <c r="N1165" s="971" t="s">
        <v>141</v>
      </c>
      <c r="O1165" s="971" t="s">
        <v>146</v>
      </c>
      <c r="P1165" s="971"/>
      <c r="Q1165" s="971" t="s">
        <v>1050</v>
      </c>
      <c r="R1165" s="1266" t="s">
        <v>2071</v>
      </c>
      <c r="S1165" s="2106">
        <v>37.174721189591082</v>
      </c>
      <c r="T1165" s="1266" t="s">
        <v>136</v>
      </c>
      <c r="U1165" s="1742" t="s">
        <v>6588</v>
      </c>
      <c r="V1165" s="1742" t="s">
        <v>6588</v>
      </c>
      <c r="W1165" s="1742" t="s">
        <v>6588</v>
      </c>
      <c r="X1165" s="1742" t="s">
        <v>6588</v>
      </c>
      <c r="Y1165" s="2106" t="s">
        <v>6588</v>
      </c>
      <c r="Z1165" s="2106">
        <v>0</v>
      </c>
      <c r="AA1165" s="2106">
        <v>0</v>
      </c>
      <c r="AB1165" s="2106">
        <v>0</v>
      </c>
      <c r="AC1165" s="2106">
        <v>0</v>
      </c>
      <c r="AD1165" s="1744">
        <v>0</v>
      </c>
      <c r="AE1165" s="2126">
        <v>0</v>
      </c>
      <c r="AF1165" s="2126">
        <v>0</v>
      </c>
      <c r="AG1165" s="1212">
        <v>1</v>
      </c>
      <c r="AH1165" s="1212">
        <v>0</v>
      </c>
      <c r="AI1165" s="1212">
        <v>0</v>
      </c>
      <c r="AJ1165" s="1212">
        <v>1</v>
      </c>
      <c r="AK1165" s="2126">
        <v>0</v>
      </c>
      <c r="AL1165" s="2126">
        <v>0</v>
      </c>
      <c r="AM1165" s="2126">
        <v>0</v>
      </c>
      <c r="AN1165" s="2126">
        <v>0</v>
      </c>
      <c r="AO1165" s="1743" t="s">
        <v>85</v>
      </c>
      <c r="AP1165" s="1743"/>
      <c r="AQ1165" s="1764">
        <v>2014</v>
      </c>
      <c r="AR1165" s="1743" t="s">
        <v>87</v>
      </c>
      <c r="AS1165" s="2135"/>
      <c r="AT1165" s="2135"/>
      <c r="AU1165" s="1212">
        <v>0.33333333333333331</v>
      </c>
      <c r="AV1165" s="1212">
        <v>0.33333333333333331</v>
      </c>
      <c r="AW1165" s="1212">
        <v>0.33333333333333331</v>
      </c>
      <c r="AX1165" s="1212"/>
      <c r="AY1165" s="1212"/>
      <c r="AZ1165" s="1212"/>
      <c r="BA1165" s="1212"/>
      <c r="BB1165" s="1212"/>
      <c r="BC1165" s="1212"/>
      <c r="BD1165" s="1212"/>
      <c r="BE1165" s="1212"/>
      <c r="BF1165" s="2126">
        <v>0</v>
      </c>
      <c r="BG1165" s="2126">
        <v>0</v>
      </c>
      <c r="BH1165" s="2126">
        <v>0</v>
      </c>
      <c r="BI1165" s="2126">
        <v>0</v>
      </c>
      <c r="BJ1165" s="2126">
        <v>0</v>
      </c>
      <c r="BK1165" s="2126">
        <v>0</v>
      </c>
      <c r="BL1165" s="2126">
        <v>0</v>
      </c>
      <c r="BM1165" s="2126">
        <v>0</v>
      </c>
      <c r="BN1165" s="2126">
        <v>0</v>
      </c>
      <c r="BO1165" s="2126">
        <v>0</v>
      </c>
      <c r="BP1165" s="2126">
        <v>0</v>
      </c>
      <c r="BQ1165" s="2126">
        <v>0</v>
      </c>
      <c r="BR1165" s="2126">
        <v>0</v>
      </c>
    </row>
    <row r="1166" spans="1:70" s="1765" customFormat="1" ht="33">
      <c r="A1166" s="1272">
        <v>4000</v>
      </c>
      <c r="B1166" s="971" t="s">
        <v>1316</v>
      </c>
      <c r="C1166" s="1272">
        <v>4700</v>
      </c>
      <c r="D1166" s="971" t="s">
        <v>912</v>
      </c>
      <c r="E1166" s="971">
        <v>4750</v>
      </c>
      <c r="F1166" s="971" t="s">
        <v>913</v>
      </c>
      <c r="G1166" s="971">
        <v>4750</v>
      </c>
      <c r="H1166" s="971" t="s">
        <v>913</v>
      </c>
      <c r="I1166" s="1273" t="s">
        <v>2086</v>
      </c>
      <c r="J1166" s="971" t="s">
        <v>124</v>
      </c>
      <c r="K1166" s="971" t="s">
        <v>140</v>
      </c>
      <c r="L1166" s="971" t="s">
        <v>2909</v>
      </c>
      <c r="M1166" s="971" t="s">
        <v>140</v>
      </c>
      <c r="N1166" s="971" t="s">
        <v>141</v>
      </c>
      <c r="O1166" s="971" t="s">
        <v>142</v>
      </c>
      <c r="P1166" s="971"/>
      <c r="Q1166" s="971" t="s">
        <v>1052</v>
      </c>
      <c r="R1166" s="1266" t="s">
        <v>2073</v>
      </c>
      <c r="S1166" s="2106">
        <v>37.174721189591082</v>
      </c>
      <c r="T1166" s="1266" t="s">
        <v>136</v>
      </c>
      <c r="U1166" s="1742">
        <v>0</v>
      </c>
      <c r="V1166" s="1742">
        <v>0</v>
      </c>
      <c r="W1166" s="1742">
        <v>0</v>
      </c>
      <c r="X1166" s="1742">
        <v>0</v>
      </c>
      <c r="Y1166" s="2106">
        <v>0</v>
      </c>
      <c r="Z1166" s="2106">
        <v>0</v>
      </c>
      <c r="AA1166" s="2106">
        <v>0</v>
      </c>
      <c r="AB1166" s="2106">
        <v>0</v>
      </c>
      <c r="AC1166" s="2106">
        <v>0</v>
      </c>
      <c r="AD1166" s="1744">
        <v>0</v>
      </c>
      <c r="AE1166" s="2126">
        <v>0</v>
      </c>
      <c r="AF1166" s="2126">
        <v>0</v>
      </c>
      <c r="AG1166" s="1212">
        <v>1</v>
      </c>
      <c r="AH1166" s="1212">
        <v>0</v>
      </c>
      <c r="AI1166" s="1212">
        <v>0</v>
      </c>
      <c r="AJ1166" s="1212">
        <v>1</v>
      </c>
      <c r="AK1166" s="2126">
        <v>0</v>
      </c>
      <c r="AL1166" s="2126">
        <v>0</v>
      </c>
      <c r="AM1166" s="2126">
        <v>0</v>
      </c>
      <c r="AN1166" s="2126">
        <v>0</v>
      </c>
      <c r="AO1166" s="1743" t="s">
        <v>85</v>
      </c>
      <c r="AP1166" s="1743"/>
      <c r="AQ1166" s="1764">
        <v>2014</v>
      </c>
      <c r="AR1166" s="1743" t="s">
        <v>87</v>
      </c>
      <c r="AS1166" s="2135"/>
      <c r="AT1166" s="2135"/>
      <c r="AU1166" s="1212">
        <v>0.33333333333333331</v>
      </c>
      <c r="AV1166" s="1212">
        <v>0.33333333333333331</v>
      </c>
      <c r="AW1166" s="1212">
        <v>0.33333333333333331</v>
      </c>
      <c r="AX1166" s="1212"/>
      <c r="AY1166" s="1212"/>
      <c r="AZ1166" s="1212"/>
      <c r="BA1166" s="1212"/>
      <c r="BB1166" s="1212"/>
      <c r="BC1166" s="1212"/>
      <c r="BD1166" s="1212"/>
      <c r="BE1166" s="1212"/>
      <c r="BF1166" s="2126">
        <v>0</v>
      </c>
      <c r="BG1166" s="2126">
        <v>0</v>
      </c>
      <c r="BH1166" s="2126">
        <v>0</v>
      </c>
      <c r="BI1166" s="2126">
        <v>0</v>
      </c>
      <c r="BJ1166" s="2126">
        <v>0</v>
      </c>
      <c r="BK1166" s="2126">
        <v>0</v>
      </c>
      <c r="BL1166" s="2126">
        <v>0</v>
      </c>
      <c r="BM1166" s="2126">
        <v>0</v>
      </c>
      <c r="BN1166" s="2126">
        <v>0</v>
      </c>
      <c r="BO1166" s="2126">
        <v>0</v>
      </c>
      <c r="BP1166" s="2126">
        <v>0</v>
      </c>
      <c r="BQ1166" s="2126">
        <v>0</v>
      </c>
      <c r="BR1166" s="2126">
        <v>0</v>
      </c>
    </row>
    <row r="1167" spans="1:70" s="1765" customFormat="1" ht="33">
      <c r="A1167" s="1272">
        <v>4000</v>
      </c>
      <c r="B1167" s="971" t="s">
        <v>1316</v>
      </c>
      <c r="C1167" s="1272">
        <v>4700</v>
      </c>
      <c r="D1167" s="971" t="s">
        <v>912</v>
      </c>
      <c r="E1167" s="971">
        <v>4750</v>
      </c>
      <c r="F1167" s="971" t="s">
        <v>913</v>
      </c>
      <c r="G1167" s="971">
        <v>4750</v>
      </c>
      <c r="H1167" s="971" t="s">
        <v>913</v>
      </c>
      <c r="I1167" s="1273" t="s">
        <v>2087</v>
      </c>
      <c r="J1167" s="971" t="s">
        <v>124</v>
      </c>
      <c r="K1167" s="971"/>
      <c r="L1167" s="971" t="e">
        <v>#N/A</v>
      </c>
      <c r="M1167" s="971" t="s">
        <v>145</v>
      </c>
      <c r="N1167" s="971" t="s">
        <v>141</v>
      </c>
      <c r="O1167" s="971" t="s">
        <v>146</v>
      </c>
      <c r="P1167" s="971"/>
      <c r="Q1167" s="971" t="s">
        <v>1054</v>
      </c>
      <c r="R1167" s="1266" t="s">
        <v>2073</v>
      </c>
      <c r="S1167" s="2106">
        <v>37.174721189591082</v>
      </c>
      <c r="T1167" s="1266" t="s">
        <v>136</v>
      </c>
      <c r="U1167" s="1742" t="s">
        <v>6588</v>
      </c>
      <c r="V1167" s="1742" t="s">
        <v>6588</v>
      </c>
      <c r="W1167" s="1742" t="s">
        <v>6588</v>
      </c>
      <c r="X1167" s="1742" t="s">
        <v>6588</v>
      </c>
      <c r="Y1167" s="2106" t="s">
        <v>6588</v>
      </c>
      <c r="Z1167" s="2106">
        <v>0</v>
      </c>
      <c r="AA1167" s="2106">
        <v>0</v>
      </c>
      <c r="AB1167" s="2106">
        <v>0</v>
      </c>
      <c r="AC1167" s="2106">
        <v>0</v>
      </c>
      <c r="AD1167" s="1744">
        <v>0</v>
      </c>
      <c r="AE1167" s="2126">
        <v>0</v>
      </c>
      <c r="AF1167" s="2126">
        <v>0</v>
      </c>
      <c r="AG1167" s="1212">
        <v>1</v>
      </c>
      <c r="AH1167" s="1212">
        <v>0</v>
      </c>
      <c r="AI1167" s="1212">
        <v>0</v>
      </c>
      <c r="AJ1167" s="1212">
        <v>1</v>
      </c>
      <c r="AK1167" s="2126">
        <v>0</v>
      </c>
      <c r="AL1167" s="2126">
        <v>0</v>
      </c>
      <c r="AM1167" s="2126">
        <v>0</v>
      </c>
      <c r="AN1167" s="2126">
        <v>0</v>
      </c>
      <c r="AO1167" s="1743" t="s">
        <v>85</v>
      </c>
      <c r="AP1167" s="1743"/>
      <c r="AQ1167" s="1764">
        <v>2014</v>
      </c>
      <c r="AR1167" s="1743" t="s">
        <v>87</v>
      </c>
      <c r="AS1167" s="2135"/>
      <c r="AT1167" s="2135"/>
      <c r="AU1167" s="1212">
        <v>0.33333333333333331</v>
      </c>
      <c r="AV1167" s="1212">
        <v>0.33333333333333331</v>
      </c>
      <c r="AW1167" s="1212">
        <v>0.33333333333333331</v>
      </c>
      <c r="AX1167" s="1212"/>
      <c r="AY1167" s="1212"/>
      <c r="AZ1167" s="1212"/>
      <c r="BA1167" s="1212"/>
      <c r="BB1167" s="1212"/>
      <c r="BC1167" s="1212"/>
      <c r="BD1167" s="1212"/>
      <c r="BE1167" s="1212"/>
      <c r="BF1167" s="2126">
        <v>0</v>
      </c>
      <c r="BG1167" s="2126">
        <v>0</v>
      </c>
      <c r="BH1167" s="2126">
        <v>0</v>
      </c>
      <c r="BI1167" s="2126">
        <v>0</v>
      </c>
      <c r="BJ1167" s="2126">
        <v>0</v>
      </c>
      <c r="BK1167" s="2126">
        <v>0</v>
      </c>
      <c r="BL1167" s="2126">
        <v>0</v>
      </c>
      <c r="BM1167" s="2126">
        <v>0</v>
      </c>
      <c r="BN1167" s="2126">
        <v>0</v>
      </c>
      <c r="BO1167" s="2126">
        <v>0</v>
      </c>
      <c r="BP1167" s="2126">
        <v>0</v>
      </c>
      <c r="BQ1167" s="2126">
        <v>0</v>
      </c>
      <c r="BR1167" s="2126">
        <v>0</v>
      </c>
    </row>
    <row r="1168" spans="1:70" s="1765" customFormat="1" ht="33">
      <c r="A1168" s="1272">
        <v>4000</v>
      </c>
      <c r="B1168" s="971" t="s">
        <v>1316</v>
      </c>
      <c r="C1168" s="1272">
        <v>4700</v>
      </c>
      <c r="D1168" s="971" t="s">
        <v>912</v>
      </c>
      <c r="E1168" s="971">
        <v>4750</v>
      </c>
      <c r="F1168" s="971" t="s">
        <v>913</v>
      </c>
      <c r="G1168" s="971">
        <v>4750</v>
      </c>
      <c r="H1168" s="971" t="s">
        <v>913</v>
      </c>
      <c r="I1168" s="1273" t="s">
        <v>2088</v>
      </c>
      <c r="J1168" s="971" t="s">
        <v>124</v>
      </c>
      <c r="K1168" s="971" t="s">
        <v>140</v>
      </c>
      <c r="L1168" s="971" t="s">
        <v>2909</v>
      </c>
      <c r="M1168" s="971" t="s">
        <v>140</v>
      </c>
      <c r="N1168" s="971" t="s">
        <v>141</v>
      </c>
      <c r="O1168" s="971" t="s">
        <v>142</v>
      </c>
      <c r="P1168" s="971"/>
      <c r="Q1168" s="971" t="s">
        <v>1056</v>
      </c>
      <c r="R1168" s="1266" t="s">
        <v>2075</v>
      </c>
      <c r="S1168" s="2106">
        <v>37.174721189591082</v>
      </c>
      <c r="T1168" s="1266" t="s">
        <v>136</v>
      </c>
      <c r="U1168" s="1742">
        <v>0</v>
      </c>
      <c r="V1168" s="1742">
        <v>0</v>
      </c>
      <c r="W1168" s="1742">
        <v>0</v>
      </c>
      <c r="X1168" s="1742">
        <v>0</v>
      </c>
      <c r="Y1168" s="2106">
        <v>0</v>
      </c>
      <c r="Z1168" s="2106">
        <v>0</v>
      </c>
      <c r="AA1168" s="2106">
        <v>0</v>
      </c>
      <c r="AB1168" s="2106">
        <v>0</v>
      </c>
      <c r="AC1168" s="2106">
        <v>0</v>
      </c>
      <c r="AD1168" s="1744">
        <v>0</v>
      </c>
      <c r="AE1168" s="2126">
        <v>0</v>
      </c>
      <c r="AF1168" s="2126">
        <v>0</v>
      </c>
      <c r="AG1168" s="1212">
        <v>1</v>
      </c>
      <c r="AH1168" s="1212">
        <v>0</v>
      </c>
      <c r="AI1168" s="1212">
        <v>0</v>
      </c>
      <c r="AJ1168" s="1212">
        <v>1</v>
      </c>
      <c r="AK1168" s="2126">
        <v>0</v>
      </c>
      <c r="AL1168" s="2126">
        <v>0</v>
      </c>
      <c r="AM1168" s="2126">
        <v>0</v>
      </c>
      <c r="AN1168" s="2126">
        <v>0</v>
      </c>
      <c r="AO1168" s="1743" t="s">
        <v>85</v>
      </c>
      <c r="AP1168" s="1743"/>
      <c r="AQ1168" s="1764">
        <v>2014</v>
      </c>
      <c r="AR1168" s="1743" t="s">
        <v>87</v>
      </c>
      <c r="AS1168" s="2135"/>
      <c r="AT1168" s="2135"/>
      <c r="AU1168" s="1212">
        <v>0.33333333333333331</v>
      </c>
      <c r="AV1168" s="1212">
        <v>0.33333333333333331</v>
      </c>
      <c r="AW1168" s="1212">
        <v>0.33333333333333331</v>
      </c>
      <c r="AX1168" s="1212"/>
      <c r="AY1168" s="1212"/>
      <c r="AZ1168" s="1212"/>
      <c r="BA1168" s="1212"/>
      <c r="BB1168" s="1212"/>
      <c r="BC1168" s="1212"/>
      <c r="BD1168" s="1212"/>
      <c r="BE1168" s="1212"/>
      <c r="BF1168" s="2126">
        <v>0</v>
      </c>
      <c r="BG1168" s="2126">
        <v>0</v>
      </c>
      <c r="BH1168" s="2126">
        <v>0</v>
      </c>
      <c r="BI1168" s="2126">
        <v>0</v>
      </c>
      <c r="BJ1168" s="2126">
        <v>0</v>
      </c>
      <c r="BK1168" s="2126">
        <v>0</v>
      </c>
      <c r="BL1168" s="2126">
        <v>0</v>
      </c>
      <c r="BM1168" s="2126">
        <v>0</v>
      </c>
      <c r="BN1168" s="2126">
        <v>0</v>
      </c>
      <c r="BO1168" s="2126">
        <v>0</v>
      </c>
      <c r="BP1168" s="2126">
        <v>0</v>
      </c>
      <c r="BQ1168" s="2126">
        <v>0</v>
      </c>
      <c r="BR1168" s="2126">
        <v>0</v>
      </c>
    </row>
    <row r="1169" spans="1:70" s="1765" customFormat="1" ht="33">
      <c r="A1169" s="1272">
        <v>4000</v>
      </c>
      <c r="B1169" s="971" t="s">
        <v>1316</v>
      </c>
      <c r="C1169" s="1272">
        <v>4700</v>
      </c>
      <c r="D1169" s="971" t="s">
        <v>912</v>
      </c>
      <c r="E1169" s="971">
        <v>4750</v>
      </c>
      <c r="F1169" s="971" t="s">
        <v>913</v>
      </c>
      <c r="G1169" s="971">
        <v>4750</v>
      </c>
      <c r="H1169" s="971" t="s">
        <v>913</v>
      </c>
      <c r="I1169" s="1273" t="s">
        <v>2089</v>
      </c>
      <c r="J1169" s="971" t="s">
        <v>124</v>
      </c>
      <c r="K1169" s="971"/>
      <c r="L1169" s="971" t="e">
        <v>#N/A</v>
      </c>
      <c r="M1169" s="971" t="s">
        <v>145</v>
      </c>
      <c r="N1169" s="971" t="s">
        <v>141</v>
      </c>
      <c r="O1169" s="971" t="s">
        <v>146</v>
      </c>
      <c r="P1169" s="971"/>
      <c r="Q1169" s="971" t="s">
        <v>1058</v>
      </c>
      <c r="R1169" s="1266" t="s">
        <v>2075</v>
      </c>
      <c r="S1169" s="2106">
        <v>37.174721189591082</v>
      </c>
      <c r="T1169" s="1266" t="s">
        <v>136</v>
      </c>
      <c r="U1169" s="1742" t="s">
        <v>6588</v>
      </c>
      <c r="V1169" s="1742" t="s">
        <v>6588</v>
      </c>
      <c r="W1169" s="1742" t="s">
        <v>6588</v>
      </c>
      <c r="X1169" s="1742" t="s">
        <v>6588</v>
      </c>
      <c r="Y1169" s="2106" t="s">
        <v>6588</v>
      </c>
      <c r="Z1169" s="2106">
        <v>0</v>
      </c>
      <c r="AA1169" s="2106">
        <v>0</v>
      </c>
      <c r="AB1169" s="2106">
        <v>0</v>
      </c>
      <c r="AC1169" s="2106">
        <v>0</v>
      </c>
      <c r="AD1169" s="1744">
        <v>0</v>
      </c>
      <c r="AE1169" s="2126">
        <v>0</v>
      </c>
      <c r="AF1169" s="2126">
        <v>0</v>
      </c>
      <c r="AG1169" s="1212">
        <v>1</v>
      </c>
      <c r="AH1169" s="1212">
        <v>0</v>
      </c>
      <c r="AI1169" s="1212">
        <v>0</v>
      </c>
      <c r="AJ1169" s="1212">
        <v>1</v>
      </c>
      <c r="AK1169" s="2126">
        <v>0</v>
      </c>
      <c r="AL1169" s="2126">
        <v>0</v>
      </c>
      <c r="AM1169" s="2126">
        <v>0</v>
      </c>
      <c r="AN1169" s="2126">
        <v>0</v>
      </c>
      <c r="AO1169" s="1743" t="s">
        <v>85</v>
      </c>
      <c r="AP1169" s="1743"/>
      <c r="AQ1169" s="1764">
        <v>2014</v>
      </c>
      <c r="AR1169" s="1743" t="s">
        <v>87</v>
      </c>
      <c r="AS1169" s="2135"/>
      <c r="AT1169" s="2135"/>
      <c r="AU1169" s="1212">
        <v>0.33333333333333331</v>
      </c>
      <c r="AV1169" s="1212">
        <v>0.33333333333333331</v>
      </c>
      <c r="AW1169" s="1212">
        <v>0.33333333333333331</v>
      </c>
      <c r="AX1169" s="1212"/>
      <c r="AY1169" s="1212"/>
      <c r="AZ1169" s="1212"/>
      <c r="BA1169" s="1212"/>
      <c r="BB1169" s="1212"/>
      <c r="BC1169" s="1212"/>
      <c r="BD1169" s="1212"/>
      <c r="BE1169" s="1212"/>
      <c r="BF1169" s="2126">
        <v>0</v>
      </c>
      <c r="BG1169" s="2126">
        <v>0</v>
      </c>
      <c r="BH1169" s="2126">
        <v>0</v>
      </c>
      <c r="BI1169" s="2126">
        <v>0</v>
      </c>
      <c r="BJ1169" s="2126">
        <v>0</v>
      </c>
      <c r="BK1169" s="2126">
        <v>0</v>
      </c>
      <c r="BL1169" s="2126">
        <v>0</v>
      </c>
      <c r="BM1169" s="2126">
        <v>0</v>
      </c>
      <c r="BN1169" s="2126">
        <v>0</v>
      </c>
      <c r="BO1169" s="2126">
        <v>0</v>
      </c>
      <c r="BP1169" s="2126">
        <v>0</v>
      </c>
      <c r="BQ1169" s="2126">
        <v>0</v>
      </c>
      <c r="BR1169" s="2126">
        <v>0</v>
      </c>
    </row>
    <row r="1170" spans="1:70" s="1765" customFormat="1" ht="33">
      <c r="A1170" s="1272">
        <v>4000</v>
      </c>
      <c r="B1170" s="971" t="s">
        <v>1316</v>
      </c>
      <c r="C1170" s="1272">
        <v>4700</v>
      </c>
      <c r="D1170" s="971" t="s">
        <v>912</v>
      </c>
      <c r="E1170" s="971">
        <v>4750</v>
      </c>
      <c r="F1170" s="971" t="s">
        <v>913</v>
      </c>
      <c r="G1170" s="971">
        <v>4750</v>
      </c>
      <c r="H1170" s="971" t="s">
        <v>913</v>
      </c>
      <c r="I1170" s="1273" t="s">
        <v>2090</v>
      </c>
      <c r="J1170" s="971" t="s">
        <v>124</v>
      </c>
      <c r="K1170" s="971" t="s">
        <v>140</v>
      </c>
      <c r="L1170" s="971" t="s">
        <v>2909</v>
      </c>
      <c r="M1170" s="971" t="s">
        <v>140</v>
      </c>
      <c r="N1170" s="971" t="s">
        <v>141</v>
      </c>
      <c r="O1170" s="971" t="s">
        <v>142</v>
      </c>
      <c r="P1170" s="971"/>
      <c r="Q1170" s="971" t="s">
        <v>1044</v>
      </c>
      <c r="R1170" s="1266" t="s">
        <v>2077</v>
      </c>
      <c r="S1170" s="2106">
        <v>37.174721189591082</v>
      </c>
      <c r="T1170" s="1266" t="s">
        <v>136</v>
      </c>
      <c r="U1170" s="1742">
        <v>0</v>
      </c>
      <c r="V1170" s="1742">
        <v>0</v>
      </c>
      <c r="W1170" s="1742">
        <v>0</v>
      </c>
      <c r="X1170" s="1742">
        <v>0</v>
      </c>
      <c r="Y1170" s="2106">
        <v>0</v>
      </c>
      <c r="Z1170" s="2106">
        <v>0</v>
      </c>
      <c r="AA1170" s="2106">
        <v>0</v>
      </c>
      <c r="AB1170" s="2106">
        <v>0</v>
      </c>
      <c r="AC1170" s="2106">
        <v>0</v>
      </c>
      <c r="AD1170" s="1744">
        <v>0</v>
      </c>
      <c r="AE1170" s="2126">
        <v>0</v>
      </c>
      <c r="AF1170" s="2126">
        <v>0</v>
      </c>
      <c r="AG1170" s="1212">
        <v>1</v>
      </c>
      <c r="AH1170" s="1212">
        <v>0</v>
      </c>
      <c r="AI1170" s="1212">
        <v>0</v>
      </c>
      <c r="AJ1170" s="1212">
        <v>1</v>
      </c>
      <c r="AK1170" s="2126">
        <v>0</v>
      </c>
      <c r="AL1170" s="2126">
        <v>0</v>
      </c>
      <c r="AM1170" s="2126">
        <v>0</v>
      </c>
      <c r="AN1170" s="2126">
        <v>0</v>
      </c>
      <c r="AO1170" s="1743" t="s">
        <v>85</v>
      </c>
      <c r="AP1170" s="1743"/>
      <c r="AQ1170" s="1764">
        <v>2014</v>
      </c>
      <c r="AR1170" s="1743" t="s">
        <v>87</v>
      </c>
      <c r="AS1170" s="2135"/>
      <c r="AT1170" s="2135"/>
      <c r="AU1170" s="1212">
        <v>0.5</v>
      </c>
      <c r="AV1170" s="1212">
        <v>0.5</v>
      </c>
      <c r="AW1170" s="1212"/>
      <c r="AX1170" s="1212"/>
      <c r="AY1170" s="1212"/>
      <c r="AZ1170" s="1212"/>
      <c r="BA1170" s="1212"/>
      <c r="BB1170" s="1212"/>
      <c r="BC1170" s="1212"/>
      <c r="BD1170" s="1212"/>
      <c r="BE1170" s="1212"/>
      <c r="BF1170" s="2126">
        <v>0</v>
      </c>
      <c r="BG1170" s="2126">
        <v>0</v>
      </c>
      <c r="BH1170" s="2126">
        <v>0</v>
      </c>
      <c r="BI1170" s="2126">
        <v>0</v>
      </c>
      <c r="BJ1170" s="2126">
        <v>0</v>
      </c>
      <c r="BK1170" s="2126">
        <v>0</v>
      </c>
      <c r="BL1170" s="2126">
        <v>0</v>
      </c>
      <c r="BM1170" s="2126">
        <v>0</v>
      </c>
      <c r="BN1170" s="2126">
        <v>0</v>
      </c>
      <c r="BO1170" s="2126">
        <v>0</v>
      </c>
      <c r="BP1170" s="2126">
        <v>0</v>
      </c>
      <c r="BQ1170" s="2126">
        <v>0</v>
      </c>
      <c r="BR1170" s="2126">
        <v>0</v>
      </c>
    </row>
    <row r="1171" spans="1:70" s="1765" customFormat="1" ht="33">
      <c r="A1171" s="1272">
        <v>4000</v>
      </c>
      <c r="B1171" s="971" t="s">
        <v>1316</v>
      </c>
      <c r="C1171" s="1272">
        <v>4700</v>
      </c>
      <c r="D1171" s="971" t="s">
        <v>912</v>
      </c>
      <c r="E1171" s="971">
        <v>4750</v>
      </c>
      <c r="F1171" s="971" t="s">
        <v>913</v>
      </c>
      <c r="G1171" s="971">
        <v>4750</v>
      </c>
      <c r="H1171" s="971" t="s">
        <v>913</v>
      </c>
      <c r="I1171" s="1273" t="s">
        <v>2091</v>
      </c>
      <c r="J1171" s="971" t="s">
        <v>124</v>
      </c>
      <c r="K1171" s="971"/>
      <c r="L1171" s="971" t="e">
        <v>#N/A</v>
      </c>
      <c r="M1171" s="971" t="s">
        <v>145</v>
      </c>
      <c r="N1171" s="971" t="s">
        <v>141</v>
      </c>
      <c r="O1171" s="971" t="s">
        <v>146</v>
      </c>
      <c r="P1171" s="971"/>
      <c r="Q1171" s="971" t="s">
        <v>1046</v>
      </c>
      <c r="R1171" s="1266" t="s">
        <v>2077</v>
      </c>
      <c r="S1171" s="2106">
        <v>37.174721189591082</v>
      </c>
      <c r="T1171" s="1266" t="s">
        <v>136</v>
      </c>
      <c r="U1171" s="1742" t="s">
        <v>6588</v>
      </c>
      <c r="V1171" s="1742" t="s">
        <v>6588</v>
      </c>
      <c r="W1171" s="1742" t="s">
        <v>6588</v>
      </c>
      <c r="X1171" s="1742" t="s">
        <v>6588</v>
      </c>
      <c r="Y1171" s="2106" t="s">
        <v>6588</v>
      </c>
      <c r="Z1171" s="2106">
        <v>0</v>
      </c>
      <c r="AA1171" s="2106">
        <v>0</v>
      </c>
      <c r="AB1171" s="2106">
        <v>0</v>
      </c>
      <c r="AC1171" s="2106">
        <v>0</v>
      </c>
      <c r="AD1171" s="1744">
        <v>0</v>
      </c>
      <c r="AE1171" s="2126">
        <v>0</v>
      </c>
      <c r="AF1171" s="2126">
        <v>0</v>
      </c>
      <c r="AG1171" s="1212">
        <v>1</v>
      </c>
      <c r="AH1171" s="1212">
        <v>0</v>
      </c>
      <c r="AI1171" s="1212">
        <v>0</v>
      </c>
      <c r="AJ1171" s="1212">
        <v>1</v>
      </c>
      <c r="AK1171" s="2126">
        <v>0</v>
      </c>
      <c r="AL1171" s="2126">
        <v>0</v>
      </c>
      <c r="AM1171" s="2126">
        <v>0</v>
      </c>
      <c r="AN1171" s="2126">
        <v>0</v>
      </c>
      <c r="AO1171" s="1743" t="s">
        <v>85</v>
      </c>
      <c r="AP1171" s="1743"/>
      <c r="AQ1171" s="1764">
        <v>2014</v>
      </c>
      <c r="AR1171" s="1743" t="s">
        <v>87</v>
      </c>
      <c r="AS1171" s="2135"/>
      <c r="AT1171" s="2135"/>
      <c r="AU1171" s="1212">
        <v>0.5</v>
      </c>
      <c r="AV1171" s="1212">
        <v>0.5</v>
      </c>
      <c r="AW1171" s="1212"/>
      <c r="AX1171" s="1212"/>
      <c r="AY1171" s="1212"/>
      <c r="AZ1171" s="1212"/>
      <c r="BA1171" s="1212"/>
      <c r="BB1171" s="1212"/>
      <c r="BC1171" s="1212"/>
      <c r="BD1171" s="1212"/>
      <c r="BE1171" s="1212"/>
      <c r="BF1171" s="2126">
        <v>0</v>
      </c>
      <c r="BG1171" s="2126">
        <v>0</v>
      </c>
      <c r="BH1171" s="2126">
        <v>0</v>
      </c>
      <c r="BI1171" s="2126">
        <v>0</v>
      </c>
      <c r="BJ1171" s="2126">
        <v>0</v>
      </c>
      <c r="BK1171" s="2126">
        <v>0</v>
      </c>
      <c r="BL1171" s="2126">
        <v>0</v>
      </c>
      <c r="BM1171" s="2126">
        <v>0</v>
      </c>
      <c r="BN1171" s="2126">
        <v>0</v>
      </c>
      <c r="BO1171" s="2126">
        <v>0</v>
      </c>
      <c r="BP1171" s="2126">
        <v>0</v>
      </c>
      <c r="BQ1171" s="2126">
        <v>0</v>
      </c>
      <c r="BR1171" s="2126">
        <v>0</v>
      </c>
    </row>
    <row r="1172" spans="1:70" s="1765" customFormat="1" ht="33">
      <c r="A1172" s="1272">
        <v>4000</v>
      </c>
      <c r="B1172" s="971" t="s">
        <v>1316</v>
      </c>
      <c r="C1172" s="1272">
        <v>4700</v>
      </c>
      <c r="D1172" s="971" t="s">
        <v>912</v>
      </c>
      <c r="E1172" s="971">
        <v>4750</v>
      </c>
      <c r="F1172" s="971" t="s">
        <v>913</v>
      </c>
      <c r="G1172" s="971">
        <v>4750</v>
      </c>
      <c r="H1172" s="971" t="s">
        <v>913</v>
      </c>
      <c r="I1172" s="1273" t="s">
        <v>2092</v>
      </c>
      <c r="J1172" s="971" t="s">
        <v>124</v>
      </c>
      <c r="K1172" s="971" t="s">
        <v>140</v>
      </c>
      <c r="L1172" s="971" t="s">
        <v>2909</v>
      </c>
      <c r="M1172" s="971" t="s">
        <v>140</v>
      </c>
      <c r="N1172" s="971" t="s">
        <v>141</v>
      </c>
      <c r="O1172" s="971" t="s">
        <v>142</v>
      </c>
      <c r="P1172" s="971"/>
      <c r="Q1172" s="971" t="s">
        <v>2093</v>
      </c>
      <c r="R1172" s="1266" t="s">
        <v>2080</v>
      </c>
      <c r="S1172" s="2106">
        <v>37.174721189591082</v>
      </c>
      <c r="T1172" s="1266" t="s">
        <v>136</v>
      </c>
      <c r="U1172" s="1742">
        <v>0</v>
      </c>
      <c r="V1172" s="1742">
        <v>0</v>
      </c>
      <c r="W1172" s="1742">
        <v>0</v>
      </c>
      <c r="X1172" s="1742">
        <v>0</v>
      </c>
      <c r="Y1172" s="2106">
        <v>0</v>
      </c>
      <c r="Z1172" s="2106">
        <v>0</v>
      </c>
      <c r="AA1172" s="2106">
        <v>0</v>
      </c>
      <c r="AB1172" s="2106">
        <v>0</v>
      </c>
      <c r="AC1172" s="2106">
        <v>0</v>
      </c>
      <c r="AD1172" s="1744">
        <v>0</v>
      </c>
      <c r="AE1172" s="2126">
        <v>0</v>
      </c>
      <c r="AF1172" s="2126">
        <v>0</v>
      </c>
      <c r="AG1172" s="1212">
        <v>1</v>
      </c>
      <c r="AH1172" s="1212">
        <v>0</v>
      </c>
      <c r="AI1172" s="1212">
        <v>0</v>
      </c>
      <c r="AJ1172" s="1212">
        <v>1</v>
      </c>
      <c r="AK1172" s="2126">
        <v>0</v>
      </c>
      <c r="AL1172" s="2126">
        <v>0</v>
      </c>
      <c r="AM1172" s="2126">
        <v>0</v>
      </c>
      <c r="AN1172" s="2126">
        <v>0</v>
      </c>
      <c r="AO1172" s="1743" t="s">
        <v>85</v>
      </c>
      <c r="AP1172" s="1743"/>
      <c r="AQ1172" s="1764">
        <v>2014</v>
      </c>
      <c r="AR1172" s="1743" t="s">
        <v>87</v>
      </c>
      <c r="AS1172" s="2135"/>
      <c r="AT1172" s="2135"/>
      <c r="AU1172" s="1212">
        <v>0.33333333333333331</v>
      </c>
      <c r="AV1172" s="1212">
        <v>0.33333333333333331</v>
      </c>
      <c r="AW1172" s="1212">
        <v>0.33333333333333331</v>
      </c>
      <c r="AX1172" s="1212"/>
      <c r="AY1172" s="1212"/>
      <c r="AZ1172" s="1212"/>
      <c r="BA1172" s="1212"/>
      <c r="BB1172" s="1212"/>
      <c r="BC1172" s="1212"/>
      <c r="BD1172" s="1212"/>
      <c r="BE1172" s="1212"/>
      <c r="BF1172" s="2126">
        <v>0</v>
      </c>
      <c r="BG1172" s="2126">
        <v>0</v>
      </c>
      <c r="BH1172" s="2126">
        <v>0</v>
      </c>
      <c r="BI1172" s="2126">
        <v>0</v>
      </c>
      <c r="BJ1172" s="2126">
        <v>0</v>
      </c>
      <c r="BK1172" s="2126">
        <v>0</v>
      </c>
      <c r="BL1172" s="2126">
        <v>0</v>
      </c>
      <c r="BM1172" s="2126">
        <v>0</v>
      </c>
      <c r="BN1172" s="2126">
        <v>0</v>
      </c>
      <c r="BO1172" s="2126">
        <v>0</v>
      </c>
      <c r="BP1172" s="2126">
        <v>0</v>
      </c>
      <c r="BQ1172" s="2126">
        <v>0</v>
      </c>
      <c r="BR1172" s="2126">
        <v>0</v>
      </c>
    </row>
    <row r="1173" spans="1:70" s="1765" customFormat="1" ht="33">
      <c r="A1173" s="1272">
        <v>4000</v>
      </c>
      <c r="B1173" s="971" t="s">
        <v>1316</v>
      </c>
      <c r="C1173" s="1272">
        <v>4700</v>
      </c>
      <c r="D1173" s="971" t="s">
        <v>912</v>
      </c>
      <c r="E1173" s="971">
        <v>4750</v>
      </c>
      <c r="F1173" s="971" t="s">
        <v>913</v>
      </c>
      <c r="G1173" s="971">
        <v>4750</v>
      </c>
      <c r="H1173" s="971" t="s">
        <v>913</v>
      </c>
      <c r="I1173" s="1273" t="s">
        <v>2094</v>
      </c>
      <c r="J1173" s="971" t="s">
        <v>124</v>
      </c>
      <c r="K1173" s="971"/>
      <c r="L1173" s="971" t="e">
        <v>#N/A</v>
      </c>
      <c r="M1173" s="971" t="s">
        <v>145</v>
      </c>
      <c r="N1173" s="971" t="s">
        <v>141</v>
      </c>
      <c r="O1173" s="971" t="s">
        <v>146</v>
      </c>
      <c r="P1173" s="971"/>
      <c r="Q1173" s="971" t="s">
        <v>2095</v>
      </c>
      <c r="R1173" s="1266" t="s">
        <v>2080</v>
      </c>
      <c r="S1173" s="2106">
        <v>37.174721189591082</v>
      </c>
      <c r="T1173" s="1266" t="s">
        <v>136</v>
      </c>
      <c r="U1173" s="1742" t="s">
        <v>6588</v>
      </c>
      <c r="V1173" s="1742" t="s">
        <v>6588</v>
      </c>
      <c r="W1173" s="1742" t="s">
        <v>6588</v>
      </c>
      <c r="X1173" s="1742" t="s">
        <v>6588</v>
      </c>
      <c r="Y1173" s="2106" t="s">
        <v>6588</v>
      </c>
      <c r="Z1173" s="2106">
        <v>0</v>
      </c>
      <c r="AA1173" s="2106">
        <v>0</v>
      </c>
      <c r="AB1173" s="2106">
        <v>0</v>
      </c>
      <c r="AC1173" s="2106">
        <v>0</v>
      </c>
      <c r="AD1173" s="1744">
        <v>0</v>
      </c>
      <c r="AE1173" s="2126">
        <v>0</v>
      </c>
      <c r="AF1173" s="2126">
        <v>0</v>
      </c>
      <c r="AG1173" s="1212">
        <v>1</v>
      </c>
      <c r="AH1173" s="1212">
        <v>0</v>
      </c>
      <c r="AI1173" s="1212">
        <v>0</v>
      </c>
      <c r="AJ1173" s="1212">
        <v>1</v>
      </c>
      <c r="AK1173" s="2126">
        <v>0</v>
      </c>
      <c r="AL1173" s="2126">
        <v>0</v>
      </c>
      <c r="AM1173" s="2126">
        <v>0</v>
      </c>
      <c r="AN1173" s="2126">
        <v>0</v>
      </c>
      <c r="AO1173" s="1743" t="s">
        <v>85</v>
      </c>
      <c r="AP1173" s="1743"/>
      <c r="AQ1173" s="1764">
        <v>2014</v>
      </c>
      <c r="AR1173" s="1743" t="s">
        <v>87</v>
      </c>
      <c r="AS1173" s="2135"/>
      <c r="AT1173" s="2135"/>
      <c r="AU1173" s="1212">
        <v>0.33333333333333331</v>
      </c>
      <c r="AV1173" s="1212">
        <v>0.33333333333333331</v>
      </c>
      <c r="AW1173" s="1212">
        <v>0.33333333333333331</v>
      </c>
      <c r="AX1173" s="1212"/>
      <c r="AY1173" s="1212"/>
      <c r="AZ1173" s="1212"/>
      <c r="BA1173" s="1212"/>
      <c r="BB1173" s="1212"/>
      <c r="BC1173" s="1212"/>
      <c r="BD1173" s="1212"/>
      <c r="BE1173" s="1212"/>
      <c r="BF1173" s="2126">
        <v>0</v>
      </c>
      <c r="BG1173" s="2126">
        <v>0</v>
      </c>
      <c r="BH1173" s="2126">
        <v>0</v>
      </c>
      <c r="BI1173" s="2126">
        <v>0</v>
      </c>
      <c r="BJ1173" s="2126">
        <v>0</v>
      </c>
      <c r="BK1173" s="2126">
        <v>0</v>
      </c>
      <c r="BL1173" s="2126">
        <v>0</v>
      </c>
      <c r="BM1173" s="2126">
        <v>0</v>
      </c>
      <c r="BN1173" s="2126">
        <v>0</v>
      </c>
      <c r="BO1173" s="2126">
        <v>0</v>
      </c>
      <c r="BP1173" s="2126">
        <v>0</v>
      </c>
      <c r="BQ1173" s="2126">
        <v>0</v>
      </c>
      <c r="BR1173" s="2126">
        <v>0</v>
      </c>
    </row>
    <row r="1174" spans="1:70" s="1765" customFormat="1" ht="33">
      <c r="A1174" s="1272">
        <v>4000</v>
      </c>
      <c r="B1174" s="971" t="s">
        <v>1316</v>
      </c>
      <c r="C1174" s="1272">
        <v>4700</v>
      </c>
      <c r="D1174" s="971" t="s">
        <v>912</v>
      </c>
      <c r="E1174" s="971">
        <v>4750</v>
      </c>
      <c r="F1174" s="971" t="s">
        <v>913</v>
      </c>
      <c r="G1174" s="971">
        <v>4750</v>
      </c>
      <c r="H1174" s="971" t="s">
        <v>913</v>
      </c>
      <c r="I1174" s="1273" t="s">
        <v>2096</v>
      </c>
      <c r="J1174" s="971" t="s">
        <v>124</v>
      </c>
      <c r="K1174" s="971" t="s">
        <v>140</v>
      </c>
      <c r="L1174" s="971" t="s">
        <v>2909</v>
      </c>
      <c r="M1174" s="971" t="s">
        <v>140</v>
      </c>
      <c r="N1174" s="971" t="s">
        <v>141</v>
      </c>
      <c r="O1174" s="971" t="s">
        <v>142</v>
      </c>
      <c r="P1174" s="971"/>
      <c r="Q1174" s="971" t="s">
        <v>2097</v>
      </c>
      <c r="R1174" s="1266" t="s">
        <v>2083</v>
      </c>
      <c r="S1174" s="2106">
        <v>37.174721189591082</v>
      </c>
      <c r="T1174" s="1266" t="s">
        <v>136</v>
      </c>
      <c r="U1174" s="1742">
        <v>0</v>
      </c>
      <c r="V1174" s="1742">
        <v>0</v>
      </c>
      <c r="W1174" s="1742">
        <v>0</v>
      </c>
      <c r="X1174" s="1742">
        <v>0</v>
      </c>
      <c r="Y1174" s="2106">
        <v>0</v>
      </c>
      <c r="Z1174" s="2106">
        <v>0</v>
      </c>
      <c r="AA1174" s="2106">
        <v>0</v>
      </c>
      <c r="AB1174" s="2106">
        <v>0</v>
      </c>
      <c r="AC1174" s="2106">
        <v>0</v>
      </c>
      <c r="AD1174" s="1744">
        <v>0</v>
      </c>
      <c r="AE1174" s="2126">
        <v>0</v>
      </c>
      <c r="AF1174" s="2126">
        <v>0</v>
      </c>
      <c r="AG1174" s="1212">
        <v>1</v>
      </c>
      <c r="AH1174" s="1212">
        <v>0</v>
      </c>
      <c r="AI1174" s="1212">
        <v>0</v>
      </c>
      <c r="AJ1174" s="1212">
        <v>1</v>
      </c>
      <c r="AK1174" s="2126">
        <v>0</v>
      </c>
      <c r="AL1174" s="2126">
        <v>0</v>
      </c>
      <c r="AM1174" s="2126">
        <v>0</v>
      </c>
      <c r="AN1174" s="2126">
        <v>0</v>
      </c>
      <c r="AO1174" s="1743" t="s">
        <v>85</v>
      </c>
      <c r="AP1174" s="1743"/>
      <c r="AQ1174" s="1764">
        <v>2014</v>
      </c>
      <c r="AR1174" s="1743" t="s">
        <v>87</v>
      </c>
      <c r="AS1174" s="2135"/>
      <c r="AT1174" s="2135"/>
      <c r="AU1174" s="1212">
        <v>0.33333333333333331</v>
      </c>
      <c r="AV1174" s="1212">
        <v>0.33333333333333331</v>
      </c>
      <c r="AW1174" s="1212">
        <v>0.33333333333333331</v>
      </c>
      <c r="AX1174" s="1212"/>
      <c r="AY1174" s="1212"/>
      <c r="AZ1174" s="1212"/>
      <c r="BA1174" s="1212"/>
      <c r="BB1174" s="1212"/>
      <c r="BC1174" s="1212"/>
      <c r="BD1174" s="1212"/>
      <c r="BE1174" s="1212"/>
      <c r="BF1174" s="2126">
        <v>0</v>
      </c>
      <c r="BG1174" s="2126">
        <v>0</v>
      </c>
      <c r="BH1174" s="2126">
        <v>0</v>
      </c>
      <c r="BI1174" s="2126">
        <v>0</v>
      </c>
      <c r="BJ1174" s="2126">
        <v>0</v>
      </c>
      <c r="BK1174" s="2126">
        <v>0</v>
      </c>
      <c r="BL1174" s="2126">
        <v>0</v>
      </c>
      <c r="BM1174" s="2126">
        <v>0</v>
      </c>
      <c r="BN1174" s="2126">
        <v>0</v>
      </c>
      <c r="BO1174" s="2126">
        <v>0</v>
      </c>
      <c r="BP1174" s="2126">
        <v>0</v>
      </c>
      <c r="BQ1174" s="2126">
        <v>0</v>
      </c>
      <c r="BR1174" s="2126">
        <v>0</v>
      </c>
    </row>
    <row r="1175" spans="1:70" s="1765" customFormat="1" ht="33">
      <c r="A1175" s="1272">
        <v>4000</v>
      </c>
      <c r="B1175" s="971" t="s">
        <v>1316</v>
      </c>
      <c r="C1175" s="1272">
        <v>4700</v>
      </c>
      <c r="D1175" s="971" t="s">
        <v>912</v>
      </c>
      <c r="E1175" s="971">
        <v>4750</v>
      </c>
      <c r="F1175" s="971" t="s">
        <v>913</v>
      </c>
      <c r="G1175" s="971">
        <v>4750</v>
      </c>
      <c r="H1175" s="971" t="s">
        <v>913</v>
      </c>
      <c r="I1175" s="1273" t="s">
        <v>2098</v>
      </c>
      <c r="J1175" s="971" t="s">
        <v>124</v>
      </c>
      <c r="K1175" s="971"/>
      <c r="L1175" s="971" t="e">
        <v>#N/A</v>
      </c>
      <c r="M1175" s="971" t="s">
        <v>145</v>
      </c>
      <c r="N1175" s="971" t="s">
        <v>141</v>
      </c>
      <c r="O1175" s="971" t="s">
        <v>146</v>
      </c>
      <c r="P1175" s="971"/>
      <c r="Q1175" s="971" t="s">
        <v>2099</v>
      </c>
      <c r="R1175" s="1266" t="s">
        <v>2083</v>
      </c>
      <c r="S1175" s="2106">
        <v>37.174721189591082</v>
      </c>
      <c r="T1175" s="1266" t="s">
        <v>136</v>
      </c>
      <c r="U1175" s="1742" t="s">
        <v>6588</v>
      </c>
      <c r="V1175" s="1742" t="s">
        <v>6588</v>
      </c>
      <c r="W1175" s="1742" t="s">
        <v>6588</v>
      </c>
      <c r="X1175" s="1742" t="s">
        <v>6588</v>
      </c>
      <c r="Y1175" s="2106" t="s">
        <v>6588</v>
      </c>
      <c r="Z1175" s="2106">
        <v>0</v>
      </c>
      <c r="AA1175" s="2106">
        <v>0</v>
      </c>
      <c r="AB1175" s="2106">
        <v>0</v>
      </c>
      <c r="AC1175" s="2106">
        <v>0</v>
      </c>
      <c r="AD1175" s="1744">
        <v>0</v>
      </c>
      <c r="AE1175" s="2126">
        <v>0</v>
      </c>
      <c r="AF1175" s="2126">
        <v>0</v>
      </c>
      <c r="AG1175" s="1212">
        <v>1</v>
      </c>
      <c r="AH1175" s="1212">
        <v>0</v>
      </c>
      <c r="AI1175" s="1212">
        <v>0</v>
      </c>
      <c r="AJ1175" s="1212">
        <v>1</v>
      </c>
      <c r="AK1175" s="2126">
        <v>0</v>
      </c>
      <c r="AL1175" s="2126">
        <v>0</v>
      </c>
      <c r="AM1175" s="2126">
        <v>0</v>
      </c>
      <c r="AN1175" s="2126">
        <v>0</v>
      </c>
      <c r="AO1175" s="1743" t="s">
        <v>85</v>
      </c>
      <c r="AP1175" s="1743"/>
      <c r="AQ1175" s="1764">
        <v>2014</v>
      </c>
      <c r="AR1175" s="1743" t="s">
        <v>87</v>
      </c>
      <c r="AS1175" s="2135"/>
      <c r="AT1175" s="2135"/>
      <c r="AU1175" s="1212">
        <v>0.33333333333333331</v>
      </c>
      <c r="AV1175" s="1212">
        <v>0.33333333333333331</v>
      </c>
      <c r="AW1175" s="1212">
        <v>0.33333333333333331</v>
      </c>
      <c r="AX1175" s="1212"/>
      <c r="AY1175" s="1212"/>
      <c r="AZ1175" s="1212"/>
      <c r="BA1175" s="1212"/>
      <c r="BB1175" s="1212"/>
      <c r="BC1175" s="1212"/>
      <c r="BD1175" s="1212"/>
      <c r="BE1175" s="1212"/>
      <c r="BF1175" s="2126">
        <v>0</v>
      </c>
      <c r="BG1175" s="2126">
        <v>0</v>
      </c>
      <c r="BH1175" s="2126">
        <v>0</v>
      </c>
      <c r="BI1175" s="2126">
        <v>0</v>
      </c>
      <c r="BJ1175" s="2126">
        <v>0</v>
      </c>
      <c r="BK1175" s="2126">
        <v>0</v>
      </c>
      <c r="BL1175" s="2126">
        <v>0</v>
      </c>
      <c r="BM1175" s="2126">
        <v>0</v>
      </c>
      <c r="BN1175" s="2126">
        <v>0</v>
      </c>
      <c r="BO1175" s="2126">
        <v>0</v>
      </c>
      <c r="BP1175" s="2126">
        <v>0</v>
      </c>
      <c r="BQ1175" s="2126">
        <v>0</v>
      </c>
      <c r="BR1175" s="2126">
        <v>0</v>
      </c>
    </row>
    <row r="1176" spans="1:70" s="1765" customFormat="1" ht="33">
      <c r="A1176" s="1272">
        <v>4000</v>
      </c>
      <c r="B1176" s="971" t="s">
        <v>1316</v>
      </c>
      <c r="C1176" s="1272">
        <v>4700</v>
      </c>
      <c r="D1176" s="971" t="s">
        <v>912</v>
      </c>
      <c r="E1176" s="971">
        <v>4750</v>
      </c>
      <c r="F1176" s="971" t="s">
        <v>913</v>
      </c>
      <c r="G1176" s="971">
        <v>4750</v>
      </c>
      <c r="H1176" s="971" t="s">
        <v>913</v>
      </c>
      <c r="I1176" s="1273" t="s">
        <v>2100</v>
      </c>
      <c r="J1176" s="971" t="s">
        <v>124</v>
      </c>
      <c r="K1176" s="971" t="s">
        <v>140</v>
      </c>
      <c r="L1176" s="971" t="s">
        <v>2909</v>
      </c>
      <c r="M1176" s="971" t="s">
        <v>140</v>
      </c>
      <c r="N1176" s="971" t="s">
        <v>141</v>
      </c>
      <c r="O1176" s="971" t="s">
        <v>142</v>
      </c>
      <c r="P1176" s="971"/>
      <c r="Q1176" s="971" t="s">
        <v>1060</v>
      </c>
      <c r="R1176" s="1266" t="s">
        <v>2066</v>
      </c>
      <c r="S1176" s="2106">
        <v>59.479553903345725</v>
      </c>
      <c r="T1176" s="1266" t="s">
        <v>136</v>
      </c>
      <c r="U1176" s="1742">
        <v>0</v>
      </c>
      <c r="V1176" s="1742">
        <v>0</v>
      </c>
      <c r="W1176" s="1742">
        <v>0</v>
      </c>
      <c r="X1176" s="1742">
        <v>0</v>
      </c>
      <c r="Y1176" s="2106">
        <v>0</v>
      </c>
      <c r="Z1176" s="2106">
        <v>0</v>
      </c>
      <c r="AA1176" s="2106">
        <v>0</v>
      </c>
      <c r="AB1176" s="2106">
        <v>0</v>
      </c>
      <c r="AC1176" s="2106">
        <v>0</v>
      </c>
      <c r="AD1176" s="1744">
        <v>0</v>
      </c>
      <c r="AE1176" s="2126">
        <v>0</v>
      </c>
      <c r="AF1176" s="2126">
        <v>0</v>
      </c>
      <c r="AG1176" s="1212">
        <v>1</v>
      </c>
      <c r="AH1176" s="1212">
        <v>0</v>
      </c>
      <c r="AI1176" s="1212">
        <v>0</v>
      </c>
      <c r="AJ1176" s="1212">
        <v>1</v>
      </c>
      <c r="AK1176" s="2126">
        <v>0</v>
      </c>
      <c r="AL1176" s="2126">
        <v>0</v>
      </c>
      <c r="AM1176" s="2126">
        <v>0</v>
      </c>
      <c r="AN1176" s="2126">
        <v>0</v>
      </c>
      <c r="AO1176" s="1743" t="s">
        <v>85</v>
      </c>
      <c r="AP1176" s="1743"/>
      <c r="AQ1176" s="1764">
        <v>2014</v>
      </c>
      <c r="AR1176" s="1743" t="s">
        <v>87</v>
      </c>
      <c r="AS1176" s="2135"/>
      <c r="AT1176" s="2135"/>
      <c r="AU1176" s="1212">
        <v>0.33333333333333331</v>
      </c>
      <c r="AV1176" s="1212">
        <v>0.33333333333333331</v>
      </c>
      <c r="AW1176" s="1212">
        <v>0.33333333333333331</v>
      </c>
      <c r="AX1176" s="1212"/>
      <c r="AY1176" s="1212"/>
      <c r="AZ1176" s="1212"/>
      <c r="BA1176" s="1212"/>
      <c r="BB1176" s="1212"/>
      <c r="BC1176" s="1212"/>
      <c r="BD1176" s="1212"/>
      <c r="BE1176" s="1212"/>
      <c r="BF1176" s="2126">
        <v>0</v>
      </c>
      <c r="BG1176" s="2126">
        <v>0</v>
      </c>
      <c r="BH1176" s="2126">
        <v>0</v>
      </c>
      <c r="BI1176" s="2126">
        <v>0</v>
      </c>
      <c r="BJ1176" s="2126">
        <v>0</v>
      </c>
      <c r="BK1176" s="2126">
        <v>0</v>
      </c>
      <c r="BL1176" s="2126">
        <v>0</v>
      </c>
      <c r="BM1176" s="2126">
        <v>0</v>
      </c>
      <c r="BN1176" s="2126">
        <v>0</v>
      </c>
      <c r="BO1176" s="2126">
        <v>0</v>
      </c>
      <c r="BP1176" s="2126">
        <v>0</v>
      </c>
      <c r="BQ1176" s="2126">
        <v>0</v>
      </c>
      <c r="BR1176" s="2126">
        <v>0</v>
      </c>
    </row>
    <row r="1177" spans="1:70" s="1765" customFormat="1" ht="33">
      <c r="A1177" s="1272">
        <v>4000</v>
      </c>
      <c r="B1177" s="971" t="s">
        <v>1316</v>
      </c>
      <c r="C1177" s="1272">
        <v>4700</v>
      </c>
      <c r="D1177" s="971" t="s">
        <v>912</v>
      </c>
      <c r="E1177" s="971">
        <v>4750</v>
      </c>
      <c r="F1177" s="971" t="s">
        <v>913</v>
      </c>
      <c r="G1177" s="971">
        <v>4750</v>
      </c>
      <c r="H1177" s="971" t="s">
        <v>913</v>
      </c>
      <c r="I1177" s="1273" t="s">
        <v>2101</v>
      </c>
      <c r="J1177" s="971" t="s">
        <v>124</v>
      </c>
      <c r="K1177" s="971"/>
      <c r="L1177" s="971" t="e">
        <v>#N/A</v>
      </c>
      <c r="M1177" s="971" t="s">
        <v>145</v>
      </c>
      <c r="N1177" s="971" t="s">
        <v>141</v>
      </c>
      <c r="O1177" s="971" t="s">
        <v>146</v>
      </c>
      <c r="P1177" s="971"/>
      <c r="Q1177" s="971" t="s">
        <v>1062</v>
      </c>
      <c r="R1177" s="1266" t="s">
        <v>2066</v>
      </c>
      <c r="S1177" s="2106">
        <v>59.479553903345725</v>
      </c>
      <c r="T1177" s="1266" t="s">
        <v>136</v>
      </c>
      <c r="U1177" s="1742" t="s">
        <v>6588</v>
      </c>
      <c r="V1177" s="1742" t="s">
        <v>6588</v>
      </c>
      <c r="W1177" s="1742" t="s">
        <v>6588</v>
      </c>
      <c r="X1177" s="1742" t="s">
        <v>6588</v>
      </c>
      <c r="Y1177" s="2106" t="s">
        <v>6588</v>
      </c>
      <c r="Z1177" s="2106">
        <v>0</v>
      </c>
      <c r="AA1177" s="2106">
        <v>0</v>
      </c>
      <c r="AB1177" s="2106">
        <v>0</v>
      </c>
      <c r="AC1177" s="2106">
        <v>0</v>
      </c>
      <c r="AD1177" s="1744">
        <v>0</v>
      </c>
      <c r="AE1177" s="2126">
        <v>0</v>
      </c>
      <c r="AF1177" s="2126">
        <v>0</v>
      </c>
      <c r="AG1177" s="1212">
        <v>1</v>
      </c>
      <c r="AH1177" s="1212">
        <v>0</v>
      </c>
      <c r="AI1177" s="1212">
        <v>0</v>
      </c>
      <c r="AJ1177" s="1212">
        <v>1</v>
      </c>
      <c r="AK1177" s="2126">
        <v>0</v>
      </c>
      <c r="AL1177" s="2126">
        <v>0</v>
      </c>
      <c r="AM1177" s="2126">
        <v>0</v>
      </c>
      <c r="AN1177" s="2126">
        <v>0</v>
      </c>
      <c r="AO1177" s="1743" t="s">
        <v>85</v>
      </c>
      <c r="AP1177" s="1743"/>
      <c r="AQ1177" s="1764">
        <v>2014</v>
      </c>
      <c r="AR1177" s="1743" t="s">
        <v>87</v>
      </c>
      <c r="AS1177" s="2135"/>
      <c r="AT1177" s="2135"/>
      <c r="AU1177" s="1212">
        <v>0.33333333333333331</v>
      </c>
      <c r="AV1177" s="1212">
        <v>0.33333333333333331</v>
      </c>
      <c r="AW1177" s="1212">
        <v>0.33333333333333331</v>
      </c>
      <c r="AX1177" s="1212"/>
      <c r="AY1177" s="1212"/>
      <c r="AZ1177" s="1212"/>
      <c r="BA1177" s="1212"/>
      <c r="BB1177" s="1212"/>
      <c r="BC1177" s="1212"/>
      <c r="BD1177" s="1212"/>
      <c r="BE1177" s="1212"/>
      <c r="BF1177" s="2126">
        <v>0</v>
      </c>
      <c r="BG1177" s="2126">
        <v>0</v>
      </c>
      <c r="BH1177" s="2126">
        <v>0</v>
      </c>
      <c r="BI1177" s="2126">
        <v>0</v>
      </c>
      <c r="BJ1177" s="2126">
        <v>0</v>
      </c>
      <c r="BK1177" s="2126">
        <v>0</v>
      </c>
      <c r="BL1177" s="2126">
        <v>0</v>
      </c>
      <c r="BM1177" s="2126">
        <v>0</v>
      </c>
      <c r="BN1177" s="2126">
        <v>0</v>
      </c>
      <c r="BO1177" s="2126">
        <v>0</v>
      </c>
      <c r="BP1177" s="2126">
        <v>0</v>
      </c>
      <c r="BQ1177" s="2126">
        <v>0</v>
      </c>
      <c r="BR1177" s="2126">
        <v>0</v>
      </c>
    </row>
    <row r="1178" spans="1:70" s="1765" customFormat="1" ht="33">
      <c r="A1178" s="1272">
        <v>4000</v>
      </c>
      <c r="B1178" s="971" t="s">
        <v>1316</v>
      </c>
      <c r="C1178" s="1272">
        <v>4700</v>
      </c>
      <c r="D1178" s="971" t="s">
        <v>912</v>
      </c>
      <c r="E1178" s="971">
        <v>4750</v>
      </c>
      <c r="F1178" s="971" t="s">
        <v>913</v>
      </c>
      <c r="G1178" s="971">
        <v>4750</v>
      </c>
      <c r="H1178" s="971" t="s">
        <v>913</v>
      </c>
      <c r="I1178" s="1273" t="s">
        <v>2102</v>
      </c>
      <c r="J1178" s="971" t="s">
        <v>124</v>
      </c>
      <c r="K1178" s="971" t="s">
        <v>140</v>
      </c>
      <c r="L1178" s="971" t="s">
        <v>2909</v>
      </c>
      <c r="M1178" s="971" t="s">
        <v>140</v>
      </c>
      <c r="N1178" s="971" t="s">
        <v>141</v>
      </c>
      <c r="O1178" s="971" t="s">
        <v>142</v>
      </c>
      <c r="P1178" s="971"/>
      <c r="Q1178" s="971" t="s">
        <v>2103</v>
      </c>
      <c r="R1178" s="1266" t="s">
        <v>2069</v>
      </c>
      <c r="S1178" s="2106">
        <v>59.479553903345725</v>
      </c>
      <c r="T1178" s="1266" t="s">
        <v>136</v>
      </c>
      <c r="U1178" s="1742">
        <v>0</v>
      </c>
      <c r="V1178" s="1742">
        <v>0</v>
      </c>
      <c r="W1178" s="1742">
        <v>0</v>
      </c>
      <c r="X1178" s="1742">
        <v>0</v>
      </c>
      <c r="Y1178" s="2106">
        <v>0</v>
      </c>
      <c r="Z1178" s="2106">
        <v>0</v>
      </c>
      <c r="AA1178" s="2106">
        <v>0</v>
      </c>
      <c r="AB1178" s="2106">
        <v>0</v>
      </c>
      <c r="AC1178" s="2106">
        <v>0</v>
      </c>
      <c r="AD1178" s="1744">
        <v>0</v>
      </c>
      <c r="AE1178" s="2126">
        <v>0</v>
      </c>
      <c r="AF1178" s="2126">
        <v>0</v>
      </c>
      <c r="AG1178" s="1212">
        <v>1</v>
      </c>
      <c r="AH1178" s="1212">
        <v>0</v>
      </c>
      <c r="AI1178" s="1212">
        <v>0</v>
      </c>
      <c r="AJ1178" s="1212">
        <v>1</v>
      </c>
      <c r="AK1178" s="2126">
        <v>0</v>
      </c>
      <c r="AL1178" s="2126">
        <v>0</v>
      </c>
      <c r="AM1178" s="2126">
        <v>0</v>
      </c>
      <c r="AN1178" s="2126">
        <v>0</v>
      </c>
      <c r="AO1178" s="1743" t="s">
        <v>85</v>
      </c>
      <c r="AP1178" s="1743"/>
      <c r="AQ1178" s="1764">
        <v>2014</v>
      </c>
      <c r="AR1178" s="1743" t="s">
        <v>87</v>
      </c>
      <c r="AS1178" s="2135"/>
      <c r="AT1178" s="2135"/>
      <c r="AU1178" s="1212">
        <v>0.33333333333333331</v>
      </c>
      <c r="AV1178" s="1212">
        <v>0.33333333333333331</v>
      </c>
      <c r="AW1178" s="1212">
        <v>0.33333333333333331</v>
      </c>
      <c r="AX1178" s="1212"/>
      <c r="AY1178" s="1212"/>
      <c r="AZ1178" s="1212"/>
      <c r="BA1178" s="1212"/>
      <c r="BB1178" s="1212"/>
      <c r="BC1178" s="1212"/>
      <c r="BD1178" s="1212"/>
      <c r="BE1178" s="1212"/>
      <c r="BF1178" s="2126">
        <v>0</v>
      </c>
      <c r="BG1178" s="2126">
        <v>0</v>
      </c>
      <c r="BH1178" s="2126">
        <v>0</v>
      </c>
      <c r="BI1178" s="2126">
        <v>0</v>
      </c>
      <c r="BJ1178" s="2126">
        <v>0</v>
      </c>
      <c r="BK1178" s="2126">
        <v>0</v>
      </c>
      <c r="BL1178" s="2126">
        <v>0</v>
      </c>
      <c r="BM1178" s="2126">
        <v>0</v>
      </c>
      <c r="BN1178" s="2126">
        <v>0</v>
      </c>
      <c r="BO1178" s="2126">
        <v>0</v>
      </c>
      <c r="BP1178" s="2126">
        <v>0</v>
      </c>
      <c r="BQ1178" s="2126">
        <v>0</v>
      </c>
      <c r="BR1178" s="2126">
        <v>0</v>
      </c>
    </row>
    <row r="1179" spans="1:70" s="1765" customFormat="1" ht="33">
      <c r="A1179" s="1272">
        <v>4000</v>
      </c>
      <c r="B1179" s="971" t="s">
        <v>1316</v>
      </c>
      <c r="C1179" s="1272">
        <v>4700</v>
      </c>
      <c r="D1179" s="971" t="s">
        <v>912</v>
      </c>
      <c r="E1179" s="971">
        <v>4750</v>
      </c>
      <c r="F1179" s="971" t="s">
        <v>913</v>
      </c>
      <c r="G1179" s="971">
        <v>4750</v>
      </c>
      <c r="H1179" s="971" t="s">
        <v>913</v>
      </c>
      <c r="I1179" s="1273" t="s">
        <v>2104</v>
      </c>
      <c r="J1179" s="971" t="s">
        <v>124</v>
      </c>
      <c r="K1179" s="971"/>
      <c r="L1179" s="971" t="e">
        <v>#N/A</v>
      </c>
      <c r="M1179" s="971" t="s">
        <v>145</v>
      </c>
      <c r="N1179" s="971" t="s">
        <v>141</v>
      </c>
      <c r="O1179" s="971" t="s">
        <v>146</v>
      </c>
      <c r="P1179" s="971"/>
      <c r="Q1179" s="971" t="s">
        <v>2105</v>
      </c>
      <c r="R1179" s="1266" t="s">
        <v>2069</v>
      </c>
      <c r="S1179" s="2106">
        <v>59.479553903345725</v>
      </c>
      <c r="T1179" s="1266" t="s">
        <v>136</v>
      </c>
      <c r="U1179" s="1742" t="s">
        <v>6588</v>
      </c>
      <c r="V1179" s="1742" t="s">
        <v>6588</v>
      </c>
      <c r="W1179" s="1742" t="s">
        <v>6588</v>
      </c>
      <c r="X1179" s="1742" t="s">
        <v>6588</v>
      </c>
      <c r="Y1179" s="2106" t="s">
        <v>6588</v>
      </c>
      <c r="Z1179" s="2106">
        <v>0</v>
      </c>
      <c r="AA1179" s="2106">
        <v>0</v>
      </c>
      <c r="AB1179" s="2106">
        <v>0</v>
      </c>
      <c r="AC1179" s="2106">
        <v>0</v>
      </c>
      <c r="AD1179" s="1744">
        <v>0</v>
      </c>
      <c r="AE1179" s="2126">
        <v>0</v>
      </c>
      <c r="AF1179" s="2126">
        <v>0</v>
      </c>
      <c r="AG1179" s="1212">
        <v>1</v>
      </c>
      <c r="AH1179" s="1212">
        <v>0</v>
      </c>
      <c r="AI1179" s="1212">
        <v>0</v>
      </c>
      <c r="AJ1179" s="1212">
        <v>1</v>
      </c>
      <c r="AK1179" s="2126">
        <v>0</v>
      </c>
      <c r="AL1179" s="2126">
        <v>0</v>
      </c>
      <c r="AM1179" s="2126">
        <v>0</v>
      </c>
      <c r="AN1179" s="2126">
        <v>0</v>
      </c>
      <c r="AO1179" s="1743" t="s">
        <v>85</v>
      </c>
      <c r="AP1179" s="1743"/>
      <c r="AQ1179" s="1764">
        <v>2014</v>
      </c>
      <c r="AR1179" s="1743" t="s">
        <v>87</v>
      </c>
      <c r="AS1179" s="2135"/>
      <c r="AT1179" s="2135"/>
      <c r="AU1179" s="1212">
        <v>0.33333333333333331</v>
      </c>
      <c r="AV1179" s="1212">
        <v>0.33333333333333331</v>
      </c>
      <c r="AW1179" s="1212">
        <v>0.33333333333333331</v>
      </c>
      <c r="AX1179" s="1212"/>
      <c r="AY1179" s="1212"/>
      <c r="AZ1179" s="1212"/>
      <c r="BA1179" s="1212"/>
      <c r="BB1179" s="1212"/>
      <c r="BC1179" s="1212"/>
      <c r="BD1179" s="1212"/>
      <c r="BE1179" s="1212"/>
      <c r="BF1179" s="2126">
        <v>0</v>
      </c>
      <c r="BG1179" s="2126">
        <v>0</v>
      </c>
      <c r="BH1179" s="2126">
        <v>0</v>
      </c>
      <c r="BI1179" s="2126">
        <v>0</v>
      </c>
      <c r="BJ1179" s="2126">
        <v>0</v>
      </c>
      <c r="BK1179" s="2126">
        <v>0</v>
      </c>
      <c r="BL1179" s="2126">
        <v>0</v>
      </c>
      <c r="BM1179" s="2126">
        <v>0</v>
      </c>
      <c r="BN1179" s="2126">
        <v>0</v>
      </c>
      <c r="BO1179" s="2126">
        <v>0</v>
      </c>
      <c r="BP1179" s="2126">
        <v>0</v>
      </c>
      <c r="BQ1179" s="2126">
        <v>0</v>
      </c>
      <c r="BR1179" s="2126">
        <v>0</v>
      </c>
    </row>
    <row r="1180" spans="1:70" s="1765" customFormat="1" ht="33">
      <c r="A1180" s="1272">
        <v>4000</v>
      </c>
      <c r="B1180" s="971" t="s">
        <v>1316</v>
      </c>
      <c r="C1180" s="1272">
        <v>4700</v>
      </c>
      <c r="D1180" s="971" t="s">
        <v>912</v>
      </c>
      <c r="E1180" s="971">
        <v>4750</v>
      </c>
      <c r="F1180" s="971" t="s">
        <v>913</v>
      </c>
      <c r="G1180" s="971">
        <v>4750</v>
      </c>
      <c r="H1180" s="971" t="s">
        <v>913</v>
      </c>
      <c r="I1180" s="1273" t="s">
        <v>2055</v>
      </c>
      <c r="J1180" s="971" t="s">
        <v>638</v>
      </c>
      <c r="K1180" s="971" t="s">
        <v>2914</v>
      </c>
      <c r="L1180" s="971" t="s">
        <v>915</v>
      </c>
      <c r="M1180" s="971" t="s">
        <v>915</v>
      </c>
      <c r="N1180" s="971" t="s">
        <v>640</v>
      </c>
      <c r="O1180" s="971" t="s">
        <v>915</v>
      </c>
      <c r="P1180" s="971"/>
      <c r="Q1180" s="971" t="s">
        <v>2106</v>
      </c>
      <c r="R1180" s="1266" t="s">
        <v>2107</v>
      </c>
      <c r="S1180" s="2106">
        <v>600</v>
      </c>
      <c r="T1180" s="1266" t="s">
        <v>991</v>
      </c>
      <c r="U1180" s="1742">
        <v>0.1</v>
      </c>
      <c r="V1180" s="1742">
        <v>1.25</v>
      </c>
      <c r="W1180" s="1742">
        <v>8.8140000000000001</v>
      </c>
      <c r="X1180" s="1742">
        <v>13.787000000000001</v>
      </c>
      <c r="Y1180" s="2106">
        <v>23.850999999999999</v>
      </c>
      <c r="Z1180" s="2106">
        <v>60</v>
      </c>
      <c r="AA1180" s="2106">
        <v>750</v>
      </c>
      <c r="AB1180" s="2106">
        <v>5288.4</v>
      </c>
      <c r="AC1180" s="2106">
        <v>8272.2000000000007</v>
      </c>
      <c r="AD1180" s="1744">
        <v>14310.6</v>
      </c>
      <c r="AE1180" s="2126">
        <v>1.0000000000000002E-2</v>
      </c>
      <c r="AF1180" s="2126">
        <v>6.0000000000000009</v>
      </c>
      <c r="AG1180" s="1212">
        <v>1</v>
      </c>
      <c r="AH1180" s="1212">
        <v>0</v>
      </c>
      <c r="AI1180" s="1212">
        <v>0</v>
      </c>
      <c r="AJ1180" s="1212">
        <v>1</v>
      </c>
      <c r="AK1180" s="2126">
        <v>14310.6</v>
      </c>
      <c r="AL1180" s="2126">
        <v>0</v>
      </c>
      <c r="AM1180" s="2126">
        <v>0</v>
      </c>
      <c r="AN1180" s="2126">
        <v>14310.6</v>
      </c>
      <c r="AO1180" s="1743" t="s">
        <v>85</v>
      </c>
      <c r="AP1180" s="1743" t="s">
        <v>90</v>
      </c>
      <c r="AQ1180" s="1764">
        <v>2020</v>
      </c>
      <c r="AR1180" s="1743" t="s">
        <v>87</v>
      </c>
      <c r="AS1180" s="2135"/>
      <c r="AT1180" s="2135"/>
      <c r="AU1180" s="1212">
        <v>0.33333333333333331</v>
      </c>
      <c r="AV1180" s="1212">
        <v>0.33333333333333331</v>
      </c>
      <c r="AW1180" s="1212">
        <v>0.33333333333333331</v>
      </c>
      <c r="AX1180" s="1212"/>
      <c r="AY1180" s="1212"/>
      <c r="AZ1180" s="1212"/>
      <c r="BA1180" s="1212"/>
      <c r="BB1180" s="1212"/>
      <c r="BC1180" s="1212"/>
      <c r="BD1180" s="1212"/>
      <c r="BE1180" s="1212"/>
      <c r="BF1180" s="2126">
        <v>0</v>
      </c>
      <c r="BG1180" s="2126">
        <v>0</v>
      </c>
      <c r="BH1180" s="2126">
        <v>4770.2</v>
      </c>
      <c r="BI1180" s="2126">
        <v>4770.2</v>
      </c>
      <c r="BJ1180" s="2126">
        <v>4770.2</v>
      </c>
      <c r="BK1180" s="2126">
        <v>0</v>
      </c>
      <c r="BL1180" s="2126">
        <v>0</v>
      </c>
      <c r="BM1180" s="2126">
        <v>0</v>
      </c>
      <c r="BN1180" s="2126">
        <v>0</v>
      </c>
      <c r="BO1180" s="2126">
        <v>0</v>
      </c>
      <c r="BP1180" s="2126">
        <v>0</v>
      </c>
      <c r="BQ1180" s="2126">
        <v>0</v>
      </c>
      <c r="BR1180" s="2126">
        <v>0</v>
      </c>
    </row>
    <row r="1181" spans="1:70" s="1765" customFormat="1" ht="33">
      <c r="A1181" s="1272">
        <v>4000</v>
      </c>
      <c r="B1181" s="971" t="s">
        <v>1316</v>
      </c>
      <c r="C1181" s="1272">
        <v>4700</v>
      </c>
      <c r="D1181" s="971" t="s">
        <v>912</v>
      </c>
      <c r="E1181" s="971">
        <v>4750</v>
      </c>
      <c r="F1181" s="971" t="s">
        <v>913</v>
      </c>
      <c r="G1181" s="971">
        <v>4750</v>
      </c>
      <c r="H1181" s="971" t="s">
        <v>913</v>
      </c>
      <c r="I1181" s="1273" t="s">
        <v>2055</v>
      </c>
      <c r="J1181" s="971" t="s">
        <v>638</v>
      </c>
      <c r="K1181" s="971" t="s">
        <v>2914</v>
      </c>
      <c r="L1181" s="971" t="s">
        <v>915</v>
      </c>
      <c r="M1181" s="971" t="s">
        <v>915</v>
      </c>
      <c r="N1181" s="971" t="s">
        <v>640</v>
      </c>
      <c r="O1181" s="971" t="s">
        <v>915</v>
      </c>
      <c r="P1181" s="971"/>
      <c r="Q1181" s="971" t="s">
        <v>2108</v>
      </c>
      <c r="R1181" s="1266"/>
      <c r="S1181" s="2106">
        <v>3500</v>
      </c>
      <c r="T1181" s="1266" t="s">
        <v>991</v>
      </c>
      <c r="U1181" s="1742">
        <v>0.1</v>
      </c>
      <c r="V1181" s="1742">
        <v>1.25</v>
      </c>
      <c r="W1181" s="1742">
        <v>8.8140000000000001</v>
      </c>
      <c r="X1181" s="1742">
        <v>13.787000000000001</v>
      </c>
      <c r="Y1181" s="2106">
        <v>23.850999999999999</v>
      </c>
      <c r="Z1181" s="2106">
        <v>350</v>
      </c>
      <c r="AA1181" s="2106">
        <v>4375</v>
      </c>
      <c r="AB1181" s="2106">
        <v>30849</v>
      </c>
      <c r="AC1181" s="2106">
        <v>48254.5</v>
      </c>
      <c r="AD1181" s="1744">
        <v>83478.5</v>
      </c>
      <c r="AE1181" s="2126">
        <v>1.0000000000000002E-2</v>
      </c>
      <c r="AF1181" s="2126">
        <v>35.000000000000007</v>
      </c>
      <c r="AG1181" s="1212">
        <v>1</v>
      </c>
      <c r="AH1181" s="1212">
        <v>0</v>
      </c>
      <c r="AI1181" s="1212">
        <v>0</v>
      </c>
      <c r="AJ1181" s="1212">
        <v>1</v>
      </c>
      <c r="AK1181" s="2126">
        <v>83478.5</v>
      </c>
      <c r="AL1181" s="2126">
        <v>0</v>
      </c>
      <c r="AM1181" s="2126">
        <v>0</v>
      </c>
      <c r="AN1181" s="2126">
        <v>83478.5</v>
      </c>
      <c r="AO1181" s="1743" t="s">
        <v>85</v>
      </c>
      <c r="AP1181" s="1743" t="s">
        <v>90</v>
      </c>
      <c r="AQ1181" s="1764">
        <v>2017</v>
      </c>
      <c r="AR1181" s="1743" t="s">
        <v>87</v>
      </c>
      <c r="AS1181" s="2135"/>
      <c r="AT1181" s="2135"/>
      <c r="AU1181" s="1212">
        <v>0.33333333333333331</v>
      </c>
      <c r="AV1181" s="1212">
        <v>0.33333333333333331</v>
      </c>
      <c r="AW1181" s="1212">
        <v>0.33333333333333331</v>
      </c>
      <c r="AX1181" s="1212"/>
      <c r="AY1181" s="1212"/>
      <c r="AZ1181" s="1212"/>
      <c r="BA1181" s="1212"/>
      <c r="BB1181" s="1212"/>
      <c r="BC1181" s="1212"/>
      <c r="BD1181" s="1212"/>
      <c r="BE1181" s="1212"/>
      <c r="BF1181" s="2126">
        <v>0</v>
      </c>
      <c r="BG1181" s="2126">
        <v>0</v>
      </c>
      <c r="BH1181" s="2126">
        <v>27826.166666666664</v>
      </c>
      <c r="BI1181" s="2126">
        <v>27826.166666666664</v>
      </c>
      <c r="BJ1181" s="2126">
        <v>27826.166666666664</v>
      </c>
      <c r="BK1181" s="2126">
        <v>0</v>
      </c>
      <c r="BL1181" s="2126">
        <v>0</v>
      </c>
      <c r="BM1181" s="2126">
        <v>0</v>
      </c>
      <c r="BN1181" s="2126">
        <v>0</v>
      </c>
      <c r="BO1181" s="2126">
        <v>0</v>
      </c>
      <c r="BP1181" s="2126">
        <v>0</v>
      </c>
      <c r="BQ1181" s="2126">
        <v>0</v>
      </c>
      <c r="BR1181" s="2126">
        <v>0</v>
      </c>
    </row>
    <row r="1182" spans="1:70" s="1765" customFormat="1" ht="49.5">
      <c r="A1182" s="1272">
        <v>4000</v>
      </c>
      <c r="B1182" s="971" t="s">
        <v>1316</v>
      </c>
      <c r="C1182" s="1272">
        <v>4700</v>
      </c>
      <c r="D1182" s="971" t="s">
        <v>912</v>
      </c>
      <c r="E1182" s="971">
        <v>4750</v>
      </c>
      <c r="F1182" s="971" t="s">
        <v>913</v>
      </c>
      <c r="G1182" s="971">
        <v>4750</v>
      </c>
      <c r="H1182" s="971" t="s">
        <v>913</v>
      </c>
      <c r="I1182" s="1273" t="s">
        <v>1614</v>
      </c>
      <c r="J1182" s="971" t="s">
        <v>124</v>
      </c>
      <c r="K1182" s="971" t="s">
        <v>784</v>
      </c>
      <c r="L1182" s="971" t="s">
        <v>2852</v>
      </c>
      <c r="M1182" s="971" t="s">
        <v>458</v>
      </c>
      <c r="N1182" s="971" t="s">
        <v>127</v>
      </c>
      <c r="O1182" s="971" t="s">
        <v>459</v>
      </c>
      <c r="P1182" s="971"/>
      <c r="Q1182" s="971" t="s">
        <v>1068</v>
      </c>
      <c r="R1182" s="1266" t="s">
        <v>2109</v>
      </c>
      <c r="S1182" s="2106">
        <v>37.161217438644513</v>
      </c>
      <c r="T1182" s="1266" t="s">
        <v>136</v>
      </c>
      <c r="U1182" s="1742">
        <v>0.22416666666666665</v>
      </c>
      <c r="V1182" s="1742">
        <v>2.8020833333333335</v>
      </c>
      <c r="W1182" s="1742">
        <v>19.758049999999997</v>
      </c>
      <c r="X1182" s="1742">
        <v>30.905858333333335</v>
      </c>
      <c r="Y1182" s="2106">
        <v>53.46599166666666</v>
      </c>
      <c r="Z1182" s="2106">
        <v>8.3303062424961443</v>
      </c>
      <c r="AA1182" s="2106">
        <v>104.12882803120182</v>
      </c>
      <c r="AB1182" s="2106">
        <v>734.2331922136101</v>
      </c>
      <c r="AC1182" s="2106">
        <v>1148.4993216529435</v>
      </c>
      <c r="AD1182" s="1744">
        <v>1986.8613418977554</v>
      </c>
      <c r="AE1182" s="2126">
        <v>1</v>
      </c>
      <c r="AF1182" s="2126">
        <v>37.161217438644513</v>
      </c>
      <c r="AG1182" s="1212">
        <v>1</v>
      </c>
      <c r="AH1182" s="1212">
        <v>0</v>
      </c>
      <c r="AI1182" s="1212">
        <v>0</v>
      </c>
      <c r="AJ1182" s="1212">
        <v>1</v>
      </c>
      <c r="AK1182" s="2126">
        <v>1986.8613418977554</v>
      </c>
      <c r="AL1182" s="2126">
        <v>0</v>
      </c>
      <c r="AM1182" s="2126">
        <v>0</v>
      </c>
      <c r="AN1182" s="2126">
        <v>1986.8613418977554</v>
      </c>
      <c r="AO1182" s="1743" t="s">
        <v>85</v>
      </c>
      <c r="AP1182" s="1743"/>
      <c r="AQ1182" s="1764" t="s">
        <v>107</v>
      </c>
      <c r="AR1182" s="1743" t="s">
        <v>87</v>
      </c>
      <c r="AS1182" s="2135"/>
      <c r="AT1182" s="2135"/>
      <c r="AU1182" s="1212">
        <v>0.33333333333333331</v>
      </c>
      <c r="AV1182" s="1212">
        <v>0.33333333333333331</v>
      </c>
      <c r="AW1182" s="1212">
        <v>0.33333333333333331</v>
      </c>
      <c r="AX1182" s="1212"/>
      <c r="AY1182" s="1212"/>
      <c r="AZ1182" s="1212"/>
      <c r="BA1182" s="1212"/>
      <c r="BB1182" s="1212"/>
      <c r="BC1182" s="1212"/>
      <c r="BD1182" s="1212"/>
      <c r="BE1182" s="1212"/>
      <c r="BF1182" s="2126">
        <v>0</v>
      </c>
      <c r="BG1182" s="2126">
        <v>0</v>
      </c>
      <c r="BH1182" s="2126">
        <v>662.28711396591848</v>
      </c>
      <c r="BI1182" s="2126">
        <v>662.28711396591848</v>
      </c>
      <c r="BJ1182" s="2126">
        <v>662.28711396591848</v>
      </c>
      <c r="BK1182" s="2126">
        <v>0</v>
      </c>
      <c r="BL1182" s="2126">
        <v>0</v>
      </c>
      <c r="BM1182" s="2126">
        <v>0</v>
      </c>
      <c r="BN1182" s="2126">
        <v>0</v>
      </c>
      <c r="BO1182" s="2126">
        <v>0</v>
      </c>
      <c r="BP1182" s="2126">
        <v>0</v>
      </c>
      <c r="BQ1182" s="2126">
        <v>0</v>
      </c>
      <c r="BR1182" s="2126">
        <v>0</v>
      </c>
    </row>
    <row r="1183" spans="1:70" s="1765" customFormat="1" ht="49.5">
      <c r="A1183" s="1272">
        <v>4000</v>
      </c>
      <c r="B1183" s="971" t="s">
        <v>1316</v>
      </c>
      <c r="C1183" s="1272">
        <v>4700</v>
      </c>
      <c r="D1183" s="971" t="s">
        <v>912</v>
      </c>
      <c r="E1183" s="971">
        <v>4750</v>
      </c>
      <c r="F1183" s="971" t="s">
        <v>913</v>
      </c>
      <c r="G1183" s="971">
        <v>4750</v>
      </c>
      <c r="H1183" s="971" t="s">
        <v>913</v>
      </c>
      <c r="I1183" s="1273" t="s">
        <v>503</v>
      </c>
      <c r="J1183" s="971" t="s">
        <v>124</v>
      </c>
      <c r="K1183" s="971" t="s">
        <v>784</v>
      </c>
      <c r="L1183" s="971" t="s">
        <v>2852</v>
      </c>
      <c r="M1183" s="971" t="s">
        <v>458</v>
      </c>
      <c r="N1183" s="971" t="s">
        <v>127</v>
      </c>
      <c r="O1183" s="971" t="s">
        <v>459</v>
      </c>
      <c r="P1183" s="971"/>
      <c r="Q1183" s="971" t="s">
        <v>1063</v>
      </c>
      <c r="R1183" s="1266" t="s">
        <v>2069</v>
      </c>
      <c r="S1183" s="2106">
        <v>0</v>
      </c>
      <c r="T1183" s="1266" t="s">
        <v>136</v>
      </c>
      <c r="U1183" s="1742">
        <v>0.22416666666666665</v>
      </c>
      <c r="V1183" s="1742">
        <v>2.8020833333333335</v>
      </c>
      <c r="W1183" s="1742">
        <v>19.758049999999997</v>
      </c>
      <c r="X1183" s="1742">
        <v>30.905858333333335</v>
      </c>
      <c r="Y1183" s="2106">
        <v>53.46599166666666</v>
      </c>
      <c r="Z1183" s="2106">
        <v>0</v>
      </c>
      <c r="AA1183" s="2106">
        <v>0</v>
      </c>
      <c r="AB1183" s="2106">
        <v>0</v>
      </c>
      <c r="AC1183" s="2106">
        <v>0</v>
      </c>
      <c r="AD1183" s="1744">
        <v>0</v>
      </c>
      <c r="AE1183" s="2126">
        <v>1</v>
      </c>
      <c r="AF1183" s="2126">
        <v>0</v>
      </c>
      <c r="AG1183" s="1212">
        <v>1</v>
      </c>
      <c r="AH1183" s="1212">
        <v>0</v>
      </c>
      <c r="AI1183" s="1212">
        <v>0</v>
      </c>
      <c r="AJ1183" s="1212">
        <v>1</v>
      </c>
      <c r="AK1183" s="2126">
        <v>0</v>
      </c>
      <c r="AL1183" s="2126">
        <v>0</v>
      </c>
      <c r="AM1183" s="2126">
        <v>0</v>
      </c>
      <c r="AN1183" s="2126">
        <v>0</v>
      </c>
      <c r="AO1183" s="1743" t="s">
        <v>85</v>
      </c>
      <c r="AP1183" s="1743" t="s">
        <v>96</v>
      </c>
      <c r="AQ1183" s="1764" t="s">
        <v>107</v>
      </c>
      <c r="AR1183" s="1743" t="s">
        <v>87</v>
      </c>
      <c r="AS1183" s="2135"/>
      <c r="AT1183" s="2135"/>
      <c r="AU1183" s="1212">
        <v>0.33333333333333331</v>
      </c>
      <c r="AV1183" s="1212">
        <v>0.33333333333333331</v>
      </c>
      <c r="AW1183" s="1212">
        <v>0.33333333333333331</v>
      </c>
      <c r="AX1183" s="1212"/>
      <c r="AY1183" s="1212"/>
      <c r="AZ1183" s="1212"/>
      <c r="BA1183" s="1212"/>
      <c r="BB1183" s="1212"/>
      <c r="BC1183" s="1212"/>
      <c r="BD1183" s="1212"/>
      <c r="BE1183" s="1212"/>
      <c r="BF1183" s="2126">
        <v>0</v>
      </c>
      <c r="BG1183" s="2126">
        <v>0</v>
      </c>
      <c r="BH1183" s="2126">
        <v>0</v>
      </c>
      <c r="BI1183" s="2126">
        <v>0</v>
      </c>
      <c r="BJ1183" s="2126">
        <v>0</v>
      </c>
      <c r="BK1183" s="2126">
        <v>0</v>
      </c>
      <c r="BL1183" s="2126">
        <v>0</v>
      </c>
      <c r="BM1183" s="2126">
        <v>0</v>
      </c>
      <c r="BN1183" s="2126">
        <v>0</v>
      </c>
      <c r="BO1183" s="2126">
        <v>0</v>
      </c>
      <c r="BP1183" s="2126">
        <v>0</v>
      </c>
      <c r="BQ1183" s="2126">
        <v>0</v>
      </c>
      <c r="BR1183" s="2126">
        <v>0</v>
      </c>
    </row>
    <row r="1184" spans="1:70" s="1765" customFormat="1" ht="33">
      <c r="A1184" s="1272">
        <v>4000</v>
      </c>
      <c r="B1184" s="971" t="s">
        <v>1316</v>
      </c>
      <c r="C1184" s="1272">
        <v>4700</v>
      </c>
      <c r="D1184" s="971" t="s">
        <v>912</v>
      </c>
      <c r="E1184" s="971">
        <v>4750</v>
      </c>
      <c r="F1184" s="971" t="s">
        <v>913</v>
      </c>
      <c r="G1184" s="971">
        <v>4750</v>
      </c>
      <c r="H1184" s="971" t="s">
        <v>913</v>
      </c>
      <c r="I1184" s="1273" t="s">
        <v>503</v>
      </c>
      <c r="J1184" s="971" t="s">
        <v>124</v>
      </c>
      <c r="K1184" s="971" t="s">
        <v>140</v>
      </c>
      <c r="L1184" s="971" t="s">
        <v>2909</v>
      </c>
      <c r="M1184" s="971" t="s">
        <v>140</v>
      </c>
      <c r="N1184" s="971" t="s">
        <v>141</v>
      </c>
      <c r="O1184" s="971" t="s">
        <v>142</v>
      </c>
      <c r="P1184" s="971"/>
      <c r="Q1184" s="971" t="s">
        <v>1065</v>
      </c>
      <c r="R1184" s="1266" t="s">
        <v>2069</v>
      </c>
      <c r="S1184" s="2106">
        <v>0</v>
      </c>
      <c r="T1184" s="1266" t="s">
        <v>136</v>
      </c>
      <c r="U1184" s="1742">
        <v>0</v>
      </c>
      <c r="V1184" s="1742">
        <v>0</v>
      </c>
      <c r="W1184" s="1742">
        <v>0</v>
      </c>
      <c r="X1184" s="1742">
        <v>0</v>
      </c>
      <c r="Y1184" s="2106">
        <v>0</v>
      </c>
      <c r="Z1184" s="2106">
        <v>0</v>
      </c>
      <c r="AA1184" s="2106">
        <v>0</v>
      </c>
      <c r="AB1184" s="2106">
        <v>0</v>
      </c>
      <c r="AC1184" s="2106">
        <v>0</v>
      </c>
      <c r="AD1184" s="1744">
        <v>0</v>
      </c>
      <c r="AE1184" s="2126">
        <v>0</v>
      </c>
      <c r="AF1184" s="2126">
        <v>0</v>
      </c>
      <c r="AG1184" s="1212">
        <v>1</v>
      </c>
      <c r="AH1184" s="1212">
        <v>0</v>
      </c>
      <c r="AI1184" s="1212">
        <v>0</v>
      </c>
      <c r="AJ1184" s="1212">
        <v>1</v>
      </c>
      <c r="AK1184" s="2126">
        <v>0</v>
      </c>
      <c r="AL1184" s="2126">
        <v>0</v>
      </c>
      <c r="AM1184" s="2126">
        <v>0</v>
      </c>
      <c r="AN1184" s="2126">
        <v>0</v>
      </c>
      <c r="AO1184" s="1743" t="s">
        <v>85</v>
      </c>
      <c r="AP1184" s="1743" t="s">
        <v>96</v>
      </c>
      <c r="AQ1184" s="1764" t="s">
        <v>107</v>
      </c>
      <c r="AR1184" s="1743" t="s">
        <v>87</v>
      </c>
      <c r="AS1184" s="2135"/>
      <c r="AT1184" s="2135"/>
      <c r="AU1184" s="1212">
        <v>0.33333333333333331</v>
      </c>
      <c r="AV1184" s="1212">
        <v>0.33333333333333331</v>
      </c>
      <c r="AW1184" s="1212">
        <v>0.33333333333333331</v>
      </c>
      <c r="AX1184" s="1212"/>
      <c r="AY1184" s="1212"/>
      <c r="AZ1184" s="1212"/>
      <c r="BA1184" s="1212"/>
      <c r="BB1184" s="1212"/>
      <c r="BC1184" s="1212"/>
      <c r="BD1184" s="1212"/>
      <c r="BE1184" s="1212"/>
      <c r="BF1184" s="2126">
        <v>0</v>
      </c>
      <c r="BG1184" s="2126">
        <v>0</v>
      </c>
      <c r="BH1184" s="2126">
        <v>0</v>
      </c>
      <c r="BI1184" s="2126">
        <v>0</v>
      </c>
      <c r="BJ1184" s="2126">
        <v>0</v>
      </c>
      <c r="BK1184" s="2126">
        <v>0</v>
      </c>
      <c r="BL1184" s="2126">
        <v>0</v>
      </c>
      <c r="BM1184" s="2126">
        <v>0</v>
      </c>
      <c r="BN1184" s="2126">
        <v>0</v>
      </c>
      <c r="BO1184" s="2126">
        <v>0</v>
      </c>
      <c r="BP1184" s="2126">
        <v>0</v>
      </c>
      <c r="BQ1184" s="2126">
        <v>0</v>
      </c>
      <c r="BR1184" s="2126">
        <v>0</v>
      </c>
    </row>
    <row r="1185" spans="1:70" s="1765" customFormat="1" ht="33">
      <c r="A1185" s="1272">
        <v>4000</v>
      </c>
      <c r="B1185" s="971" t="s">
        <v>1316</v>
      </c>
      <c r="C1185" s="1272">
        <v>4700</v>
      </c>
      <c r="D1185" s="971" t="s">
        <v>912</v>
      </c>
      <c r="E1185" s="971">
        <v>4750</v>
      </c>
      <c r="F1185" s="971" t="s">
        <v>913</v>
      </c>
      <c r="G1185" s="971">
        <v>4750</v>
      </c>
      <c r="H1185" s="971" t="s">
        <v>913</v>
      </c>
      <c r="I1185" s="1273" t="s">
        <v>503</v>
      </c>
      <c r="J1185" s="971" t="s">
        <v>124</v>
      </c>
      <c r="K1185" s="971"/>
      <c r="L1185" s="971" t="e">
        <v>#N/A</v>
      </c>
      <c r="M1185" s="971" t="s">
        <v>145</v>
      </c>
      <c r="N1185" s="971" t="s">
        <v>141</v>
      </c>
      <c r="O1185" s="971" t="s">
        <v>146</v>
      </c>
      <c r="P1185" s="971"/>
      <c r="Q1185" s="971" t="s">
        <v>1066</v>
      </c>
      <c r="R1185" s="1266" t="s">
        <v>2069</v>
      </c>
      <c r="S1185" s="2106">
        <v>0</v>
      </c>
      <c r="T1185" s="1266" t="s">
        <v>136</v>
      </c>
      <c r="U1185" s="1742" t="s">
        <v>6588</v>
      </c>
      <c r="V1185" s="1742" t="s">
        <v>6588</v>
      </c>
      <c r="W1185" s="1742" t="s">
        <v>6588</v>
      </c>
      <c r="X1185" s="1742" t="s">
        <v>6588</v>
      </c>
      <c r="Y1185" s="2106" t="s">
        <v>6588</v>
      </c>
      <c r="Z1185" s="2106">
        <v>0</v>
      </c>
      <c r="AA1185" s="2106">
        <v>0</v>
      </c>
      <c r="AB1185" s="2106">
        <v>0</v>
      </c>
      <c r="AC1185" s="2106">
        <v>0</v>
      </c>
      <c r="AD1185" s="1744">
        <v>0</v>
      </c>
      <c r="AE1185" s="2126">
        <v>0</v>
      </c>
      <c r="AF1185" s="2126">
        <v>0</v>
      </c>
      <c r="AG1185" s="1212">
        <v>1</v>
      </c>
      <c r="AH1185" s="1212">
        <v>0</v>
      </c>
      <c r="AI1185" s="1212">
        <v>0</v>
      </c>
      <c r="AJ1185" s="1212">
        <v>1</v>
      </c>
      <c r="AK1185" s="2126">
        <v>0</v>
      </c>
      <c r="AL1185" s="2126">
        <v>0</v>
      </c>
      <c r="AM1185" s="2126">
        <v>0</v>
      </c>
      <c r="AN1185" s="2126">
        <v>0</v>
      </c>
      <c r="AO1185" s="1743" t="s">
        <v>85</v>
      </c>
      <c r="AP1185" s="1743" t="s">
        <v>96</v>
      </c>
      <c r="AQ1185" s="1764" t="s">
        <v>107</v>
      </c>
      <c r="AR1185" s="1743" t="s">
        <v>87</v>
      </c>
      <c r="AS1185" s="2135"/>
      <c r="AT1185" s="2135"/>
      <c r="AU1185" s="1212">
        <v>0.33333333333333331</v>
      </c>
      <c r="AV1185" s="1212">
        <v>0.33333333333333331</v>
      </c>
      <c r="AW1185" s="1212">
        <v>0.33333333333333331</v>
      </c>
      <c r="AX1185" s="1212"/>
      <c r="AY1185" s="1212"/>
      <c r="AZ1185" s="1212"/>
      <c r="BA1185" s="1212"/>
      <c r="BB1185" s="1212"/>
      <c r="BC1185" s="1212"/>
      <c r="BD1185" s="1212"/>
      <c r="BE1185" s="1212"/>
      <c r="BF1185" s="2126">
        <v>0</v>
      </c>
      <c r="BG1185" s="2126">
        <v>0</v>
      </c>
      <c r="BH1185" s="2126">
        <v>0</v>
      </c>
      <c r="BI1185" s="2126">
        <v>0</v>
      </c>
      <c r="BJ1185" s="2126">
        <v>0</v>
      </c>
      <c r="BK1185" s="2126">
        <v>0</v>
      </c>
      <c r="BL1185" s="2126">
        <v>0</v>
      </c>
      <c r="BM1185" s="2126">
        <v>0</v>
      </c>
      <c r="BN1185" s="2126">
        <v>0</v>
      </c>
      <c r="BO1185" s="2126">
        <v>0</v>
      </c>
      <c r="BP1185" s="2126">
        <v>0</v>
      </c>
      <c r="BQ1185" s="2126">
        <v>0</v>
      </c>
      <c r="BR1185" s="2126">
        <v>0</v>
      </c>
    </row>
    <row r="1186" spans="1:70" s="1765" customFormat="1" ht="49.5">
      <c r="A1186" s="1272">
        <v>4000</v>
      </c>
      <c r="B1186" s="971" t="s">
        <v>1316</v>
      </c>
      <c r="C1186" s="1272">
        <v>4700</v>
      </c>
      <c r="D1186" s="971" t="s">
        <v>912</v>
      </c>
      <c r="E1186" s="971">
        <v>4750</v>
      </c>
      <c r="F1186" s="971" t="s">
        <v>913</v>
      </c>
      <c r="G1186" s="971">
        <v>4750</v>
      </c>
      <c r="H1186" s="971" t="s">
        <v>913</v>
      </c>
      <c r="I1186" s="1273" t="s">
        <v>1604</v>
      </c>
      <c r="J1186" s="971" t="s">
        <v>124</v>
      </c>
      <c r="K1186" s="971" t="s">
        <v>784</v>
      </c>
      <c r="L1186" s="971" t="s">
        <v>2852</v>
      </c>
      <c r="M1186" s="971" t="s">
        <v>458</v>
      </c>
      <c r="N1186" s="971" t="s">
        <v>127</v>
      </c>
      <c r="O1186" s="971" t="s">
        <v>459</v>
      </c>
      <c r="P1186" s="971"/>
      <c r="Q1186" s="971" t="s">
        <v>2110</v>
      </c>
      <c r="R1186" s="1266" t="s">
        <v>2111</v>
      </c>
      <c r="S1186" s="2106">
        <v>0</v>
      </c>
      <c r="T1186" s="1266" t="s">
        <v>136</v>
      </c>
      <c r="U1186" s="1742">
        <v>0.22416666666666665</v>
      </c>
      <c r="V1186" s="1742">
        <v>2.8020833333333335</v>
      </c>
      <c r="W1186" s="1742">
        <v>19.758049999999997</v>
      </c>
      <c r="X1186" s="1742">
        <v>30.905858333333335</v>
      </c>
      <c r="Y1186" s="2106">
        <v>53.46599166666666</v>
      </c>
      <c r="Z1186" s="2106">
        <v>0</v>
      </c>
      <c r="AA1186" s="2106">
        <v>0</v>
      </c>
      <c r="AB1186" s="2106">
        <v>0</v>
      </c>
      <c r="AC1186" s="2106">
        <v>0</v>
      </c>
      <c r="AD1186" s="1744">
        <v>0</v>
      </c>
      <c r="AE1186" s="2126">
        <v>1</v>
      </c>
      <c r="AF1186" s="2126">
        <v>0</v>
      </c>
      <c r="AG1186" s="1212">
        <v>1</v>
      </c>
      <c r="AH1186" s="1212">
        <v>0</v>
      </c>
      <c r="AI1186" s="1212">
        <v>0</v>
      </c>
      <c r="AJ1186" s="1212">
        <v>1</v>
      </c>
      <c r="AK1186" s="2126">
        <v>0</v>
      </c>
      <c r="AL1186" s="2126">
        <v>0</v>
      </c>
      <c r="AM1186" s="2126">
        <v>0</v>
      </c>
      <c r="AN1186" s="2126">
        <v>0</v>
      </c>
      <c r="AO1186" s="1743" t="s">
        <v>85</v>
      </c>
      <c r="AP1186" s="1743" t="s">
        <v>96</v>
      </c>
      <c r="AQ1186" s="1764" t="s">
        <v>107</v>
      </c>
      <c r="AR1186" s="1743" t="s">
        <v>87</v>
      </c>
      <c r="AS1186" s="2135"/>
      <c r="AT1186" s="2135"/>
      <c r="AU1186" s="1212">
        <v>0.33333333333333331</v>
      </c>
      <c r="AV1186" s="1212">
        <v>0.33333333333333331</v>
      </c>
      <c r="AW1186" s="1212">
        <v>0.33333333333333331</v>
      </c>
      <c r="AX1186" s="1212"/>
      <c r="AY1186" s="1212"/>
      <c r="AZ1186" s="1212"/>
      <c r="BA1186" s="1212"/>
      <c r="BB1186" s="1212"/>
      <c r="BC1186" s="1212"/>
      <c r="BD1186" s="1212"/>
      <c r="BE1186" s="1212"/>
      <c r="BF1186" s="2126">
        <v>0</v>
      </c>
      <c r="BG1186" s="2126">
        <v>0</v>
      </c>
      <c r="BH1186" s="2126">
        <v>0</v>
      </c>
      <c r="BI1186" s="2126">
        <v>0</v>
      </c>
      <c r="BJ1186" s="2126">
        <v>0</v>
      </c>
      <c r="BK1186" s="2126">
        <v>0</v>
      </c>
      <c r="BL1186" s="2126">
        <v>0</v>
      </c>
      <c r="BM1186" s="2126">
        <v>0</v>
      </c>
      <c r="BN1186" s="2126">
        <v>0</v>
      </c>
      <c r="BO1186" s="2126">
        <v>0</v>
      </c>
      <c r="BP1186" s="2126">
        <v>0</v>
      </c>
      <c r="BQ1186" s="2126">
        <v>0</v>
      </c>
      <c r="BR1186" s="2126">
        <v>0</v>
      </c>
    </row>
    <row r="1187" spans="1:70" s="1765" customFormat="1" ht="33">
      <c r="A1187" s="1272">
        <v>4000</v>
      </c>
      <c r="B1187" s="971" t="s">
        <v>1316</v>
      </c>
      <c r="C1187" s="1272">
        <v>4700</v>
      </c>
      <c r="D1187" s="971" t="s">
        <v>912</v>
      </c>
      <c r="E1187" s="971">
        <v>4750</v>
      </c>
      <c r="F1187" s="971" t="s">
        <v>913</v>
      </c>
      <c r="G1187" s="971">
        <v>4750</v>
      </c>
      <c r="H1187" s="971" t="s">
        <v>913</v>
      </c>
      <c r="I1187" s="1273" t="s">
        <v>1604</v>
      </c>
      <c r="J1187" s="971" t="s">
        <v>124</v>
      </c>
      <c r="K1187" s="971"/>
      <c r="L1187" s="971" t="e">
        <v>#N/A</v>
      </c>
      <c r="M1187" s="971" t="s">
        <v>145</v>
      </c>
      <c r="N1187" s="971" t="s">
        <v>141</v>
      </c>
      <c r="O1187" s="971" t="s">
        <v>146</v>
      </c>
      <c r="P1187" s="971"/>
      <c r="Q1187" s="971" t="s">
        <v>2112</v>
      </c>
      <c r="R1187" s="1266" t="s">
        <v>2111</v>
      </c>
      <c r="S1187" s="2106">
        <v>0</v>
      </c>
      <c r="T1187" s="1266" t="s">
        <v>136</v>
      </c>
      <c r="U1187" s="1742" t="s">
        <v>6588</v>
      </c>
      <c r="V1187" s="1742" t="s">
        <v>6588</v>
      </c>
      <c r="W1187" s="1742" t="s">
        <v>6588</v>
      </c>
      <c r="X1187" s="1742" t="s">
        <v>6588</v>
      </c>
      <c r="Y1187" s="2106" t="s">
        <v>6588</v>
      </c>
      <c r="Z1187" s="2106">
        <v>0</v>
      </c>
      <c r="AA1187" s="2106">
        <v>0</v>
      </c>
      <c r="AB1187" s="2106">
        <v>0</v>
      </c>
      <c r="AC1187" s="2106">
        <v>0</v>
      </c>
      <c r="AD1187" s="1744">
        <v>0</v>
      </c>
      <c r="AE1187" s="2126">
        <v>0</v>
      </c>
      <c r="AF1187" s="2126">
        <v>0</v>
      </c>
      <c r="AG1187" s="1212">
        <v>1</v>
      </c>
      <c r="AH1187" s="1212">
        <v>0</v>
      </c>
      <c r="AI1187" s="1212">
        <v>0</v>
      </c>
      <c r="AJ1187" s="1212">
        <v>1</v>
      </c>
      <c r="AK1187" s="2126">
        <v>0</v>
      </c>
      <c r="AL1187" s="2126">
        <v>0</v>
      </c>
      <c r="AM1187" s="2126">
        <v>0</v>
      </c>
      <c r="AN1187" s="2126">
        <v>0</v>
      </c>
      <c r="AO1187" s="1743" t="s">
        <v>85</v>
      </c>
      <c r="AP1187" s="1743" t="s">
        <v>96</v>
      </c>
      <c r="AQ1187" s="1764" t="s">
        <v>107</v>
      </c>
      <c r="AR1187" s="1743" t="s">
        <v>87</v>
      </c>
      <c r="AS1187" s="2135"/>
      <c r="AT1187" s="2135"/>
      <c r="AU1187" s="1212">
        <v>0.33333333333333331</v>
      </c>
      <c r="AV1187" s="1212">
        <v>0.33333333333333331</v>
      </c>
      <c r="AW1187" s="1212">
        <v>0.33333333333333331</v>
      </c>
      <c r="AX1187" s="1212"/>
      <c r="AY1187" s="1212"/>
      <c r="AZ1187" s="1212"/>
      <c r="BA1187" s="1212"/>
      <c r="BB1187" s="1212"/>
      <c r="BC1187" s="1212"/>
      <c r="BD1187" s="1212"/>
      <c r="BE1187" s="1212"/>
      <c r="BF1187" s="2126">
        <v>0</v>
      </c>
      <c r="BG1187" s="2126">
        <v>0</v>
      </c>
      <c r="BH1187" s="2126">
        <v>0</v>
      </c>
      <c r="BI1187" s="2126">
        <v>0</v>
      </c>
      <c r="BJ1187" s="2126">
        <v>0</v>
      </c>
      <c r="BK1187" s="2126">
        <v>0</v>
      </c>
      <c r="BL1187" s="2126">
        <v>0</v>
      </c>
      <c r="BM1187" s="2126">
        <v>0</v>
      </c>
      <c r="BN1187" s="2126">
        <v>0</v>
      </c>
      <c r="BO1187" s="2126">
        <v>0</v>
      </c>
      <c r="BP1187" s="2126">
        <v>0</v>
      </c>
      <c r="BQ1187" s="2126">
        <v>0</v>
      </c>
      <c r="BR1187" s="2126">
        <v>0</v>
      </c>
    </row>
    <row r="1188" spans="1:70" s="1765" customFormat="1" ht="49.5">
      <c r="A1188" s="1272">
        <v>4000</v>
      </c>
      <c r="B1188" s="971" t="s">
        <v>1316</v>
      </c>
      <c r="C1188" s="1272">
        <v>4700</v>
      </c>
      <c r="D1188" s="971" t="s">
        <v>912</v>
      </c>
      <c r="E1188" s="971">
        <v>4750</v>
      </c>
      <c r="F1188" s="971" t="s">
        <v>913</v>
      </c>
      <c r="G1188" s="971">
        <v>4750</v>
      </c>
      <c r="H1188" s="971" t="s">
        <v>913</v>
      </c>
      <c r="I1188" s="1273" t="s">
        <v>1609</v>
      </c>
      <c r="J1188" s="971" t="s">
        <v>124</v>
      </c>
      <c r="K1188" s="971" t="s">
        <v>784</v>
      </c>
      <c r="L1188" s="971" t="s">
        <v>2852</v>
      </c>
      <c r="M1188" s="971" t="s">
        <v>458</v>
      </c>
      <c r="N1188" s="971" t="s">
        <v>127</v>
      </c>
      <c r="O1188" s="971" t="s">
        <v>459</v>
      </c>
      <c r="P1188" s="971"/>
      <c r="Q1188" s="971" t="s">
        <v>2113</v>
      </c>
      <c r="R1188" s="1266" t="s">
        <v>2114</v>
      </c>
      <c r="S1188" s="2106">
        <v>0</v>
      </c>
      <c r="T1188" s="1266" t="s">
        <v>136</v>
      </c>
      <c r="U1188" s="1742">
        <v>0.22416666666666665</v>
      </c>
      <c r="V1188" s="1742">
        <v>2.8020833333333335</v>
      </c>
      <c r="W1188" s="1742">
        <v>19.758049999999997</v>
      </c>
      <c r="X1188" s="1742">
        <v>30.905858333333335</v>
      </c>
      <c r="Y1188" s="2106">
        <v>53.46599166666666</v>
      </c>
      <c r="Z1188" s="2106">
        <v>0</v>
      </c>
      <c r="AA1188" s="2106">
        <v>0</v>
      </c>
      <c r="AB1188" s="2106">
        <v>0</v>
      </c>
      <c r="AC1188" s="2106">
        <v>0</v>
      </c>
      <c r="AD1188" s="1744">
        <v>0</v>
      </c>
      <c r="AE1188" s="2126">
        <v>1</v>
      </c>
      <c r="AF1188" s="2126">
        <v>0</v>
      </c>
      <c r="AG1188" s="1212">
        <v>1</v>
      </c>
      <c r="AH1188" s="1212">
        <v>0</v>
      </c>
      <c r="AI1188" s="1212">
        <v>0</v>
      </c>
      <c r="AJ1188" s="1212">
        <v>1</v>
      </c>
      <c r="AK1188" s="2126">
        <v>0</v>
      </c>
      <c r="AL1188" s="2126">
        <v>0</v>
      </c>
      <c r="AM1188" s="2126">
        <v>0</v>
      </c>
      <c r="AN1188" s="2126">
        <v>0</v>
      </c>
      <c r="AO1188" s="1743" t="s">
        <v>85</v>
      </c>
      <c r="AP1188" s="1743" t="s">
        <v>96</v>
      </c>
      <c r="AQ1188" s="1764" t="s">
        <v>107</v>
      </c>
      <c r="AR1188" s="1743" t="s">
        <v>87</v>
      </c>
      <c r="AS1188" s="2135"/>
      <c r="AT1188" s="2135"/>
      <c r="AU1188" s="1212">
        <v>0.33333333333333331</v>
      </c>
      <c r="AV1188" s="1212">
        <v>0.33333333333333331</v>
      </c>
      <c r="AW1188" s="1212">
        <v>0.33333333333333331</v>
      </c>
      <c r="AX1188" s="1212"/>
      <c r="AY1188" s="1212"/>
      <c r="AZ1188" s="1212"/>
      <c r="BA1188" s="1212"/>
      <c r="BB1188" s="1212"/>
      <c r="BC1188" s="1212"/>
      <c r="BD1188" s="1212"/>
      <c r="BE1188" s="1212"/>
      <c r="BF1188" s="2126">
        <v>0</v>
      </c>
      <c r="BG1188" s="2126">
        <v>0</v>
      </c>
      <c r="BH1188" s="2126">
        <v>0</v>
      </c>
      <c r="BI1188" s="2126">
        <v>0</v>
      </c>
      <c r="BJ1188" s="2126">
        <v>0</v>
      </c>
      <c r="BK1188" s="2126">
        <v>0</v>
      </c>
      <c r="BL1188" s="2126">
        <v>0</v>
      </c>
      <c r="BM1188" s="2126">
        <v>0</v>
      </c>
      <c r="BN1188" s="2126">
        <v>0</v>
      </c>
      <c r="BO1188" s="2126">
        <v>0</v>
      </c>
      <c r="BP1188" s="2126">
        <v>0</v>
      </c>
      <c r="BQ1188" s="2126">
        <v>0</v>
      </c>
      <c r="BR1188" s="2126">
        <v>0</v>
      </c>
    </row>
    <row r="1189" spans="1:70" s="1765" customFormat="1" ht="33">
      <c r="A1189" s="1272">
        <v>4000</v>
      </c>
      <c r="B1189" s="971" t="s">
        <v>1316</v>
      </c>
      <c r="C1189" s="1272">
        <v>4700</v>
      </c>
      <c r="D1189" s="971" t="s">
        <v>912</v>
      </c>
      <c r="E1189" s="971">
        <v>4750</v>
      </c>
      <c r="F1189" s="971" t="s">
        <v>913</v>
      </c>
      <c r="G1189" s="971">
        <v>4750</v>
      </c>
      <c r="H1189" s="971" t="s">
        <v>913</v>
      </c>
      <c r="I1189" s="1273" t="s">
        <v>1609</v>
      </c>
      <c r="J1189" s="971" t="s">
        <v>124</v>
      </c>
      <c r="K1189" s="971" t="s">
        <v>140</v>
      </c>
      <c r="L1189" s="971" t="s">
        <v>2909</v>
      </c>
      <c r="M1189" s="971" t="s">
        <v>140</v>
      </c>
      <c r="N1189" s="971" t="s">
        <v>141</v>
      </c>
      <c r="O1189" s="971" t="s">
        <v>142</v>
      </c>
      <c r="P1189" s="971"/>
      <c r="Q1189" s="971" t="s">
        <v>2115</v>
      </c>
      <c r="R1189" s="1266" t="s">
        <v>2114</v>
      </c>
      <c r="S1189" s="2106">
        <v>0</v>
      </c>
      <c r="T1189" s="1266" t="s">
        <v>136</v>
      </c>
      <c r="U1189" s="1742">
        <v>0</v>
      </c>
      <c r="V1189" s="1742">
        <v>0</v>
      </c>
      <c r="W1189" s="1742">
        <v>0</v>
      </c>
      <c r="X1189" s="1742">
        <v>0</v>
      </c>
      <c r="Y1189" s="2106">
        <v>0</v>
      </c>
      <c r="Z1189" s="2106">
        <v>0</v>
      </c>
      <c r="AA1189" s="2106">
        <v>0</v>
      </c>
      <c r="AB1189" s="2106">
        <v>0</v>
      </c>
      <c r="AC1189" s="2106">
        <v>0</v>
      </c>
      <c r="AD1189" s="1744">
        <v>0</v>
      </c>
      <c r="AE1189" s="2126">
        <v>0</v>
      </c>
      <c r="AF1189" s="2126">
        <v>0</v>
      </c>
      <c r="AG1189" s="1212">
        <v>1</v>
      </c>
      <c r="AH1189" s="1212">
        <v>0</v>
      </c>
      <c r="AI1189" s="1212">
        <v>0</v>
      </c>
      <c r="AJ1189" s="1212">
        <v>1</v>
      </c>
      <c r="AK1189" s="2126">
        <v>0</v>
      </c>
      <c r="AL1189" s="2126">
        <v>0</v>
      </c>
      <c r="AM1189" s="2126">
        <v>0</v>
      </c>
      <c r="AN1189" s="2126">
        <v>0</v>
      </c>
      <c r="AO1189" s="1743" t="s">
        <v>85</v>
      </c>
      <c r="AP1189" s="1743" t="s">
        <v>96</v>
      </c>
      <c r="AQ1189" s="1764" t="s">
        <v>107</v>
      </c>
      <c r="AR1189" s="1743" t="s">
        <v>87</v>
      </c>
      <c r="AS1189" s="2135"/>
      <c r="AT1189" s="2135"/>
      <c r="AU1189" s="1212">
        <v>0.33333333333333331</v>
      </c>
      <c r="AV1189" s="1212">
        <v>0.33333333333333331</v>
      </c>
      <c r="AW1189" s="1212">
        <v>0.33333333333333331</v>
      </c>
      <c r="AX1189" s="1212"/>
      <c r="AY1189" s="1212"/>
      <c r="AZ1189" s="1212"/>
      <c r="BA1189" s="1212"/>
      <c r="BB1189" s="1212"/>
      <c r="BC1189" s="1212"/>
      <c r="BD1189" s="1212"/>
      <c r="BE1189" s="1212"/>
      <c r="BF1189" s="2126">
        <v>0</v>
      </c>
      <c r="BG1189" s="2126">
        <v>0</v>
      </c>
      <c r="BH1189" s="2126">
        <v>0</v>
      </c>
      <c r="BI1189" s="2126">
        <v>0</v>
      </c>
      <c r="BJ1189" s="2126">
        <v>0</v>
      </c>
      <c r="BK1189" s="2126">
        <v>0</v>
      </c>
      <c r="BL1189" s="2126">
        <v>0</v>
      </c>
      <c r="BM1189" s="2126">
        <v>0</v>
      </c>
      <c r="BN1189" s="2126">
        <v>0</v>
      </c>
      <c r="BO1189" s="2126">
        <v>0</v>
      </c>
      <c r="BP1189" s="2126">
        <v>0</v>
      </c>
      <c r="BQ1189" s="2126">
        <v>0</v>
      </c>
      <c r="BR1189" s="2126">
        <v>0</v>
      </c>
    </row>
    <row r="1190" spans="1:70" s="1765" customFormat="1" ht="33">
      <c r="A1190" s="1272">
        <v>4000</v>
      </c>
      <c r="B1190" s="971" t="s">
        <v>1316</v>
      </c>
      <c r="C1190" s="1272">
        <v>4700</v>
      </c>
      <c r="D1190" s="971" t="s">
        <v>912</v>
      </c>
      <c r="E1190" s="971">
        <v>4750</v>
      </c>
      <c r="F1190" s="971" t="s">
        <v>913</v>
      </c>
      <c r="G1190" s="971">
        <v>4750</v>
      </c>
      <c r="H1190" s="971" t="s">
        <v>913</v>
      </c>
      <c r="I1190" s="1273" t="s">
        <v>1614</v>
      </c>
      <c r="J1190" s="971" t="s">
        <v>124</v>
      </c>
      <c r="K1190" s="971" t="s">
        <v>140</v>
      </c>
      <c r="L1190" s="971" t="s">
        <v>2909</v>
      </c>
      <c r="M1190" s="971" t="s">
        <v>140</v>
      </c>
      <c r="N1190" s="971" t="s">
        <v>141</v>
      </c>
      <c r="O1190" s="971" t="s">
        <v>142</v>
      </c>
      <c r="P1190" s="971"/>
      <c r="Q1190" s="971" t="s">
        <v>2116</v>
      </c>
      <c r="R1190" s="1266" t="s">
        <v>2109</v>
      </c>
      <c r="S1190" s="2106">
        <v>37.161217438644513</v>
      </c>
      <c r="T1190" s="1266" t="s">
        <v>136</v>
      </c>
      <c r="U1190" s="1742">
        <v>0</v>
      </c>
      <c r="V1190" s="1742">
        <v>0</v>
      </c>
      <c r="W1190" s="1742">
        <v>0</v>
      </c>
      <c r="X1190" s="1742">
        <v>0</v>
      </c>
      <c r="Y1190" s="2106">
        <v>0</v>
      </c>
      <c r="Z1190" s="2106">
        <v>0</v>
      </c>
      <c r="AA1190" s="2106">
        <v>0</v>
      </c>
      <c r="AB1190" s="2106">
        <v>0</v>
      </c>
      <c r="AC1190" s="2106">
        <v>0</v>
      </c>
      <c r="AD1190" s="1744">
        <v>0</v>
      </c>
      <c r="AE1190" s="2126">
        <v>0</v>
      </c>
      <c r="AF1190" s="2126">
        <v>0</v>
      </c>
      <c r="AG1190" s="1212">
        <v>1</v>
      </c>
      <c r="AH1190" s="1212">
        <v>0</v>
      </c>
      <c r="AI1190" s="1212">
        <v>0</v>
      </c>
      <c r="AJ1190" s="1212">
        <v>1</v>
      </c>
      <c r="AK1190" s="2126">
        <v>0</v>
      </c>
      <c r="AL1190" s="2126">
        <v>0</v>
      </c>
      <c r="AM1190" s="2126">
        <v>0</v>
      </c>
      <c r="AN1190" s="2126">
        <v>0</v>
      </c>
      <c r="AO1190" s="1743" t="s">
        <v>85</v>
      </c>
      <c r="AP1190" s="1743"/>
      <c r="AQ1190" s="1764" t="s">
        <v>107</v>
      </c>
      <c r="AR1190" s="1743" t="s">
        <v>87</v>
      </c>
      <c r="AS1190" s="2135"/>
      <c r="AT1190" s="2135"/>
      <c r="AU1190" s="1212">
        <v>0.33333333333333331</v>
      </c>
      <c r="AV1190" s="1212">
        <v>0.33333333333333331</v>
      </c>
      <c r="AW1190" s="1212">
        <v>0.33333333333333331</v>
      </c>
      <c r="AX1190" s="1212"/>
      <c r="AY1190" s="1212"/>
      <c r="AZ1190" s="1212"/>
      <c r="BA1190" s="1212"/>
      <c r="BB1190" s="1212"/>
      <c r="BC1190" s="1212"/>
      <c r="BD1190" s="1212"/>
      <c r="BE1190" s="1212"/>
      <c r="BF1190" s="2126">
        <v>0</v>
      </c>
      <c r="BG1190" s="2126">
        <v>0</v>
      </c>
      <c r="BH1190" s="2126">
        <v>0</v>
      </c>
      <c r="BI1190" s="2126">
        <v>0</v>
      </c>
      <c r="BJ1190" s="2126">
        <v>0</v>
      </c>
      <c r="BK1190" s="2126">
        <v>0</v>
      </c>
      <c r="BL1190" s="2126">
        <v>0</v>
      </c>
      <c r="BM1190" s="2126">
        <v>0</v>
      </c>
      <c r="BN1190" s="2126">
        <v>0</v>
      </c>
      <c r="BO1190" s="2126">
        <v>0</v>
      </c>
      <c r="BP1190" s="2126">
        <v>0</v>
      </c>
      <c r="BQ1190" s="2126">
        <v>0</v>
      </c>
      <c r="BR1190" s="2126">
        <v>0</v>
      </c>
    </row>
    <row r="1191" spans="1:70" s="1765" customFormat="1" ht="33">
      <c r="A1191" s="1272">
        <v>4000</v>
      </c>
      <c r="B1191" s="971" t="s">
        <v>1316</v>
      </c>
      <c r="C1191" s="1272">
        <v>4700</v>
      </c>
      <c r="D1191" s="971" t="s">
        <v>912</v>
      </c>
      <c r="E1191" s="971">
        <v>4750</v>
      </c>
      <c r="F1191" s="971" t="s">
        <v>913</v>
      </c>
      <c r="G1191" s="971">
        <v>4750</v>
      </c>
      <c r="H1191" s="971" t="s">
        <v>913</v>
      </c>
      <c r="I1191" s="1273" t="s">
        <v>1614</v>
      </c>
      <c r="J1191" s="971" t="s">
        <v>124</v>
      </c>
      <c r="K1191" s="971"/>
      <c r="L1191" s="971" t="e">
        <v>#N/A</v>
      </c>
      <c r="M1191" s="971" t="s">
        <v>145</v>
      </c>
      <c r="N1191" s="971" t="s">
        <v>141</v>
      </c>
      <c r="O1191" s="971" t="s">
        <v>146</v>
      </c>
      <c r="P1191" s="971"/>
      <c r="Q1191" s="971" t="s">
        <v>1071</v>
      </c>
      <c r="R1191" s="1266" t="s">
        <v>2109</v>
      </c>
      <c r="S1191" s="2106">
        <v>37.161217438644513</v>
      </c>
      <c r="T1191" s="1266" t="s">
        <v>136</v>
      </c>
      <c r="U1191" s="1742" t="s">
        <v>6588</v>
      </c>
      <c r="V1191" s="1742" t="s">
        <v>6588</v>
      </c>
      <c r="W1191" s="1742" t="s">
        <v>6588</v>
      </c>
      <c r="X1191" s="1742" t="s">
        <v>6588</v>
      </c>
      <c r="Y1191" s="2106" t="s">
        <v>6588</v>
      </c>
      <c r="Z1191" s="2106">
        <v>0</v>
      </c>
      <c r="AA1191" s="2106">
        <v>0</v>
      </c>
      <c r="AB1191" s="2106">
        <v>0</v>
      </c>
      <c r="AC1191" s="2106">
        <v>0</v>
      </c>
      <c r="AD1191" s="1744">
        <v>0</v>
      </c>
      <c r="AE1191" s="2126">
        <v>0</v>
      </c>
      <c r="AF1191" s="2126">
        <v>0</v>
      </c>
      <c r="AG1191" s="1212">
        <v>1</v>
      </c>
      <c r="AH1191" s="1212">
        <v>0</v>
      </c>
      <c r="AI1191" s="1212">
        <v>0</v>
      </c>
      <c r="AJ1191" s="1212">
        <v>1</v>
      </c>
      <c r="AK1191" s="2126">
        <v>0</v>
      </c>
      <c r="AL1191" s="2126">
        <v>0</v>
      </c>
      <c r="AM1191" s="2126">
        <v>0</v>
      </c>
      <c r="AN1191" s="2126">
        <v>0</v>
      </c>
      <c r="AO1191" s="1743" t="s">
        <v>85</v>
      </c>
      <c r="AP1191" s="1743"/>
      <c r="AQ1191" s="1764" t="s">
        <v>107</v>
      </c>
      <c r="AR1191" s="1743" t="s">
        <v>87</v>
      </c>
      <c r="AS1191" s="2135"/>
      <c r="AT1191" s="2135"/>
      <c r="AU1191" s="1212">
        <v>0.33333333333333331</v>
      </c>
      <c r="AV1191" s="1212">
        <v>0.33333333333333331</v>
      </c>
      <c r="AW1191" s="1212">
        <v>0.33333333333333331</v>
      </c>
      <c r="AX1191" s="1212"/>
      <c r="AY1191" s="1212"/>
      <c r="AZ1191" s="1212"/>
      <c r="BA1191" s="1212"/>
      <c r="BB1191" s="1212"/>
      <c r="BC1191" s="1212"/>
      <c r="BD1191" s="1212"/>
      <c r="BE1191" s="1212"/>
      <c r="BF1191" s="2126">
        <v>0</v>
      </c>
      <c r="BG1191" s="2126">
        <v>0</v>
      </c>
      <c r="BH1191" s="2126">
        <v>0</v>
      </c>
      <c r="BI1191" s="2126">
        <v>0</v>
      </c>
      <c r="BJ1191" s="2126">
        <v>0</v>
      </c>
      <c r="BK1191" s="2126">
        <v>0</v>
      </c>
      <c r="BL1191" s="2126">
        <v>0</v>
      </c>
      <c r="BM1191" s="2126">
        <v>0</v>
      </c>
      <c r="BN1191" s="2126">
        <v>0</v>
      </c>
      <c r="BO1191" s="2126">
        <v>0</v>
      </c>
      <c r="BP1191" s="2126">
        <v>0</v>
      </c>
      <c r="BQ1191" s="2126">
        <v>0</v>
      </c>
      <c r="BR1191" s="2126">
        <v>0</v>
      </c>
    </row>
    <row r="1192" spans="1:70" s="1765" customFormat="1" ht="33">
      <c r="A1192" s="1272">
        <v>4000</v>
      </c>
      <c r="B1192" s="971" t="s">
        <v>1316</v>
      </c>
      <c r="C1192" s="1272">
        <v>4700</v>
      </c>
      <c r="D1192" s="971" t="s">
        <v>912</v>
      </c>
      <c r="E1192" s="971">
        <v>4750</v>
      </c>
      <c r="F1192" s="971" t="s">
        <v>913</v>
      </c>
      <c r="G1192" s="971">
        <v>4750</v>
      </c>
      <c r="H1192" s="971" t="s">
        <v>913</v>
      </c>
      <c r="I1192" s="1273" t="s">
        <v>1604</v>
      </c>
      <c r="J1192" s="971" t="s">
        <v>124</v>
      </c>
      <c r="K1192" s="971" t="s">
        <v>140</v>
      </c>
      <c r="L1192" s="971" t="s">
        <v>2909</v>
      </c>
      <c r="M1192" s="971" t="s">
        <v>140</v>
      </c>
      <c r="N1192" s="971" t="s">
        <v>141</v>
      </c>
      <c r="O1192" s="971" t="s">
        <v>142</v>
      </c>
      <c r="P1192" s="971"/>
      <c r="Q1192" s="971" t="s">
        <v>2117</v>
      </c>
      <c r="R1192" s="1266" t="s">
        <v>2111</v>
      </c>
      <c r="S1192" s="2106">
        <v>59.457947901831218</v>
      </c>
      <c r="T1192" s="1266" t="s">
        <v>136</v>
      </c>
      <c r="U1192" s="1742">
        <v>0</v>
      </c>
      <c r="V1192" s="1742">
        <v>0</v>
      </c>
      <c r="W1192" s="1742">
        <v>0</v>
      </c>
      <c r="X1192" s="1742">
        <v>0</v>
      </c>
      <c r="Y1192" s="2106">
        <v>0</v>
      </c>
      <c r="Z1192" s="2106">
        <v>0</v>
      </c>
      <c r="AA1192" s="2106">
        <v>0</v>
      </c>
      <c r="AB1192" s="2106">
        <v>0</v>
      </c>
      <c r="AC1192" s="2106">
        <v>0</v>
      </c>
      <c r="AD1192" s="1744">
        <v>0</v>
      </c>
      <c r="AE1192" s="2126">
        <v>0</v>
      </c>
      <c r="AF1192" s="2126">
        <v>0</v>
      </c>
      <c r="AG1192" s="1212">
        <v>1</v>
      </c>
      <c r="AH1192" s="1212">
        <v>0</v>
      </c>
      <c r="AI1192" s="1212">
        <v>0</v>
      </c>
      <c r="AJ1192" s="1212">
        <v>1</v>
      </c>
      <c r="AK1192" s="2126">
        <v>0</v>
      </c>
      <c r="AL1192" s="2126">
        <v>0</v>
      </c>
      <c r="AM1192" s="2126">
        <v>0</v>
      </c>
      <c r="AN1192" s="2126">
        <v>0</v>
      </c>
      <c r="AO1192" s="1743" t="s">
        <v>85</v>
      </c>
      <c r="AP1192" s="1743" t="s">
        <v>96</v>
      </c>
      <c r="AQ1192" s="1764" t="s">
        <v>107</v>
      </c>
      <c r="AR1192" s="1743" t="s">
        <v>87</v>
      </c>
      <c r="AS1192" s="2135"/>
      <c r="AT1192" s="2135"/>
      <c r="AU1192" s="1212">
        <v>0.33333333333333331</v>
      </c>
      <c r="AV1192" s="1212">
        <v>0.33333333333333331</v>
      </c>
      <c r="AW1192" s="1212">
        <v>0.33333333333333331</v>
      </c>
      <c r="AX1192" s="1212"/>
      <c r="AY1192" s="1212"/>
      <c r="AZ1192" s="1212"/>
      <c r="BA1192" s="1212"/>
      <c r="BB1192" s="1212"/>
      <c r="BC1192" s="1212"/>
      <c r="BD1192" s="1212"/>
      <c r="BE1192" s="1212"/>
      <c r="BF1192" s="2126">
        <v>0</v>
      </c>
      <c r="BG1192" s="2126">
        <v>0</v>
      </c>
      <c r="BH1192" s="2126">
        <v>0</v>
      </c>
      <c r="BI1192" s="2126">
        <v>0</v>
      </c>
      <c r="BJ1192" s="2126">
        <v>0</v>
      </c>
      <c r="BK1192" s="2126">
        <v>0</v>
      </c>
      <c r="BL1192" s="2126">
        <v>0</v>
      </c>
      <c r="BM1192" s="2126">
        <v>0</v>
      </c>
      <c r="BN1192" s="2126">
        <v>0</v>
      </c>
      <c r="BO1192" s="2126">
        <v>0</v>
      </c>
      <c r="BP1192" s="2126">
        <v>0</v>
      </c>
      <c r="BQ1192" s="2126">
        <v>0</v>
      </c>
      <c r="BR1192" s="2126">
        <v>0</v>
      </c>
    </row>
    <row r="1193" spans="1:70" s="1765" customFormat="1" ht="33">
      <c r="A1193" s="1272">
        <v>4000</v>
      </c>
      <c r="B1193" s="971" t="s">
        <v>1316</v>
      </c>
      <c r="C1193" s="1272">
        <v>4700</v>
      </c>
      <c r="D1193" s="971" t="s">
        <v>912</v>
      </c>
      <c r="E1193" s="971">
        <v>4750</v>
      </c>
      <c r="F1193" s="971" t="s">
        <v>913</v>
      </c>
      <c r="G1193" s="971">
        <v>4750</v>
      </c>
      <c r="H1193" s="971" t="s">
        <v>913</v>
      </c>
      <c r="I1193" s="1273" t="s">
        <v>1609</v>
      </c>
      <c r="J1193" s="971" t="s">
        <v>124</v>
      </c>
      <c r="K1193" s="971"/>
      <c r="L1193" s="971" t="e">
        <v>#N/A</v>
      </c>
      <c r="M1193" s="971" t="s">
        <v>145</v>
      </c>
      <c r="N1193" s="971" t="s">
        <v>141</v>
      </c>
      <c r="O1193" s="971" t="s">
        <v>146</v>
      </c>
      <c r="P1193" s="971"/>
      <c r="Q1193" s="971" t="s">
        <v>2118</v>
      </c>
      <c r="R1193" s="1266" t="s">
        <v>2114</v>
      </c>
      <c r="S1193" s="2106">
        <v>59.457947901831218</v>
      </c>
      <c r="T1193" s="1266" t="s">
        <v>136</v>
      </c>
      <c r="U1193" s="1742" t="s">
        <v>6588</v>
      </c>
      <c r="V1193" s="1742" t="s">
        <v>6588</v>
      </c>
      <c r="W1193" s="1742" t="s">
        <v>6588</v>
      </c>
      <c r="X1193" s="1742" t="s">
        <v>6588</v>
      </c>
      <c r="Y1193" s="2106" t="s">
        <v>6588</v>
      </c>
      <c r="Z1193" s="2106">
        <v>0</v>
      </c>
      <c r="AA1193" s="2106">
        <v>0</v>
      </c>
      <c r="AB1193" s="2106">
        <v>0</v>
      </c>
      <c r="AC1193" s="2106">
        <v>0</v>
      </c>
      <c r="AD1193" s="1744">
        <v>0</v>
      </c>
      <c r="AE1193" s="2126">
        <v>0</v>
      </c>
      <c r="AF1193" s="2126">
        <v>0</v>
      </c>
      <c r="AG1193" s="1212">
        <v>1</v>
      </c>
      <c r="AH1193" s="1212">
        <v>0</v>
      </c>
      <c r="AI1193" s="1212">
        <v>0</v>
      </c>
      <c r="AJ1193" s="1212">
        <v>1</v>
      </c>
      <c r="AK1193" s="2126">
        <v>0</v>
      </c>
      <c r="AL1193" s="2126">
        <v>0</v>
      </c>
      <c r="AM1193" s="2126">
        <v>0</v>
      </c>
      <c r="AN1193" s="2126">
        <v>0</v>
      </c>
      <c r="AO1193" s="1743" t="s">
        <v>85</v>
      </c>
      <c r="AP1193" s="1743" t="s">
        <v>96</v>
      </c>
      <c r="AQ1193" s="1764" t="s">
        <v>107</v>
      </c>
      <c r="AR1193" s="1743" t="s">
        <v>87</v>
      </c>
      <c r="AS1193" s="2135"/>
      <c r="AT1193" s="2135"/>
      <c r="AU1193" s="1212">
        <v>0.33333333333333331</v>
      </c>
      <c r="AV1193" s="1212">
        <v>0.33333333333333331</v>
      </c>
      <c r="AW1193" s="1212">
        <v>0.33333333333333331</v>
      </c>
      <c r="AX1193" s="1212"/>
      <c r="AY1193" s="1212"/>
      <c r="AZ1193" s="1212"/>
      <c r="BA1193" s="1212"/>
      <c r="BB1193" s="1212"/>
      <c r="BC1193" s="1212"/>
      <c r="BD1193" s="1212"/>
      <c r="BE1193" s="1212"/>
      <c r="BF1193" s="2126">
        <v>0</v>
      </c>
      <c r="BG1193" s="2126">
        <v>0</v>
      </c>
      <c r="BH1193" s="2126">
        <v>0</v>
      </c>
      <c r="BI1193" s="2126">
        <v>0</v>
      </c>
      <c r="BJ1193" s="2126">
        <v>0</v>
      </c>
      <c r="BK1193" s="2126">
        <v>0</v>
      </c>
      <c r="BL1193" s="2126">
        <v>0</v>
      </c>
      <c r="BM1193" s="2126">
        <v>0</v>
      </c>
      <c r="BN1193" s="2126">
        <v>0</v>
      </c>
      <c r="BO1193" s="2126">
        <v>0</v>
      </c>
      <c r="BP1193" s="2126">
        <v>0</v>
      </c>
      <c r="BQ1193" s="2126">
        <v>0</v>
      </c>
      <c r="BR1193" s="2126">
        <v>0</v>
      </c>
    </row>
    <row r="1194" spans="1:70" s="1765" customFormat="1">
      <c r="A1194" s="1317">
        <v>5000</v>
      </c>
      <c r="B1194" s="1808" t="s">
        <v>2119</v>
      </c>
      <c r="C1194" s="1317"/>
      <c r="D1194" s="1318"/>
      <c r="E1194" s="1318"/>
      <c r="F1194" s="1318"/>
      <c r="G1194" s="1318"/>
      <c r="H1194" s="1318"/>
      <c r="I1194" s="1318"/>
      <c r="J1194" s="1318" t="s">
        <v>121</v>
      </c>
      <c r="K1194" s="1318"/>
      <c r="L1194" s="1318"/>
      <c r="M1194" s="1318"/>
      <c r="N1194" s="1318"/>
      <c r="O1194" s="1318"/>
      <c r="P1194" s="1318"/>
      <c r="Q1194" s="1318"/>
      <c r="R1194" s="1320"/>
      <c r="S1194" s="2105"/>
      <c r="T1194" s="1320"/>
      <c r="U1194" s="1321"/>
      <c r="V1194" s="1321"/>
      <c r="W1194" s="1321"/>
      <c r="X1194" s="1321"/>
      <c r="Y1194" s="2105"/>
      <c r="Z1194" s="2105"/>
      <c r="AA1194" s="2105"/>
      <c r="AB1194" s="2105"/>
      <c r="AC1194" s="2105"/>
      <c r="AD1194" s="1778"/>
      <c r="AE1194" s="2125"/>
      <c r="AF1194" s="2125"/>
      <c r="AG1194" s="1322"/>
      <c r="AH1194" s="1322"/>
      <c r="AI1194" s="1322"/>
      <c r="AJ1194" s="1322"/>
      <c r="AK1194" s="2125"/>
      <c r="AL1194" s="2125"/>
      <c r="AM1194" s="2125"/>
      <c r="AN1194" s="2125"/>
      <c r="AO1194" s="1319"/>
      <c r="AP1194" s="1319"/>
      <c r="AQ1194" s="1763"/>
      <c r="AR1194" s="1319"/>
      <c r="AS1194" s="1322"/>
      <c r="AT1194" s="1322"/>
      <c r="AU1194" s="1322"/>
      <c r="AV1194" s="1322"/>
      <c r="AW1194" s="1322"/>
      <c r="AX1194" s="1322"/>
      <c r="AY1194" s="1322"/>
      <c r="AZ1194" s="1322"/>
      <c r="BA1194" s="1322"/>
      <c r="BB1194" s="1322"/>
      <c r="BC1194" s="1322"/>
      <c r="BD1194" s="1322"/>
      <c r="BE1194" s="1322"/>
      <c r="BF1194" s="2149"/>
      <c r="BG1194" s="2149"/>
      <c r="BH1194" s="2125"/>
      <c r="BI1194" s="2125"/>
      <c r="BJ1194" s="2125"/>
      <c r="BK1194" s="2125"/>
      <c r="BL1194" s="2125"/>
      <c r="BM1194" s="2125"/>
      <c r="BN1194" s="2125"/>
      <c r="BO1194" s="2125"/>
      <c r="BP1194" s="2125"/>
      <c r="BQ1194" s="2125"/>
      <c r="BR1194" s="2125"/>
    </row>
    <row r="1195" spans="1:70" s="1765" customFormat="1" ht="33">
      <c r="A1195" s="1802">
        <v>5000</v>
      </c>
      <c r="B1195" s="1803" t="s">
        <v>2119</v>
      </c>
      <c r="C1195" s="1802">
        <v>5100</v>
      </c>
      <c r="D1195" s="1803" t="s">
        <v>78</v>
      </c>
      <c r="E1195" s="1803"/>
      <c r="F1195" s="1803"/>
      <c r="G1195" s="1803"/>
      <c r="H1195" s="1803"/>
      <c r="I1195" s="1803"/>
      <c r="J1195" s="1803"/>
      <c r="K1195" s="1803"/>
      <c r="L1195" s="1803"/>
      <c r="M1195" s="1803"/>
      <c r="N1195" s="1803"/>
      <c r="O1195" s="1803"/>
      <c r="P1195" s="1803"/>
      <c r="Q1195" s="1803"/>
      <c r="R1195" s="1774"/>
      <c r="S1195" s="2107"/>
      <c r="T1195" s="1774"/>
      <c r="U1195" s="1776"/>
      <c r="V1195" s="1776"/>
      <c r="W1195" s="1776"/>
      <c r="X1195" s="1776"/>
      <c r="Y1195" s="2107"/>
      <c r="Z1195" s="2107"/>
      <c r="AA1195" s="2107"/>
      <c r="AB1195" s="2107"/>
      <c r="AC1195" s="2107"/>
      <c r="AD1195" s="1775"/>
      <c r="AE1195" s="2127"/>
      <c r="AF1195" s="2127"/>
      <c r="AG1195" s="1777"/>
      <c r="AH1195" s="1777"/>
      <c r="AI1195" s="1777"/>
      <c r="AJ1195" s="1777"/>
      <c r="AK1195" s="2127"/>
      <c r="AL1195" s="2127"/>
      <c r="AM1195" s="2127"/>
      <c r="AN1195" s="2127"/>
      <c r="AO1195" s="1775"/>
      <c r="AP1195" s="1775"/>
      <c r="AQ1195" s="1773"/>
      <c r="AR1195" s="1775"/>
      <c r="AS1195" s="1777"/>
      <c r="AT1195" s="1777"/>
      <c r="AU1195" s="1777"/>
      <c r="AV1195" s="1777"/>
      <c r="AW1195" s="1777"/>
      <c r="AX1195" s="1777"/>
      <c r="AY1195" s="1777"/>
      <c r="AZ1195" s="1777"/>
      <c r="BA1195" s="1777"/>
      <c r="BB1195" s="1777"/>
      <c r="BC1195" s="1777"/>
      <c r="BD1195" s="1777"/>
      <c r="BE1195" s="1777"/>
      <c r="BF1195" s="2127"/>
      <c r="BG1195" s="2127"/>
      <c r="BH1195" s="2127"/>
      <c r="BI1195" s="2127"/>
      <c r="BJ1195" s="2127"/>
      <c r="BK1195" s="2127"/>
      <c r="BL1195" s="2127"/>
      <c r="BM1195" s="2127"/>
      <c r="BN1195" s="2127"/>
      <c r="BO1195" s="2127"/>
      <c r="BP1195" s="2127"/>
      <c r="BQ1195" s="2127"/>
      <c r="BR1195" s="2127"/>
    </row>
    <row r="1196" spans="1:70" s="1765" customFormat="1" ht="33">
      <c r="A1196" s="1272">
        <v>5000</v>
      </c>
      <c r="B1196" s="971" t="s">
        <v>2119</v>
      </c>
      <c r="C1196" s="1272">
        <v>5100</v>
      </c>
      <c r="D1196" s="971" t="s">
        <v>78</v>
      </c>
      <c r="E1196" s="971">
        <v>5140</v>
      </c>
      <c r="F1196" s="971" t="s">
        <v>176</v>
      </c>
      <c r="G1196" s="971">
        <v>5140</v>
      </c>
      <c r="H1196" s="971" t="s">
        <v>176</v>
      </c>
      <c r="I1196" s="1273"/>
      <c r="J1196" s="971"/>
      <c r="K1196" s="971" t="s">
        <v>2120</v>
      </c>
      <c r="L1196" s="971" t="s">
        <v>2121</v>
      </c>
      <c r="M1196" s="971" t="s">
        <v>2120</v>
      </c>
      <c r="N1196" s="971" t="s">
        <v>179</v>
      </c>
      <c r="O1196" s="971" t="s">
        <v>2121</v>
      </c>
      <c r="P1196" s="971"/>
      <c r="Q1196" s="971" t="s">
        <v>2122</v>
      </c>
      <c r="R1196" s="1266"/>
      <c r="S1196" s="2106">
        <v>74</v>
      </c>
      <c r="T1196" s="1266" t="s">
        <v>242</v>
      </c>
      <c r="U1196" s="1742">
        <v>168</v>
      </c>
      <c r="V1196" s="1742">
        <v>1850</v>
      </c>
      <c r="W1196" s="1742">
        <v>14807.519999999999</v>
      </c>
      <c r="X1196" s="1742">
        <v>20404.760000000002</v>
      </c>
      <c r="Y1196" s="2106">
        <v>37062.28</v>
      </c>
      <c r="Z1196" s="2106">
        <v>12432</v>
      </c>
      <c r="AA1196" s="2106">
        <v>136900</v>
      </c>
      <c r="AB1196" s="2106">
        <v>1095756.48</v>
      </c>
      <c r="AC1196" s="2106">
        <v>1509952.2400000002</v>
      </c>
      <c r="AD1196" s="1744">
        <v>2742608.72</v>
      </c>
      <c r="AE1196" s="2126">
        <v>56</v>
      </c>
      <c r="AF1196" s="2126">
        <v>4144</v>
      </c>
      <c r="AG1196" s="1212">
        <v>1</v>
      </c>
      <c r="AH1196" s="1212">
        <v>0</v>
      </c>
      <c r="AI1196" s="1212">
        <v>0</v>
      </c>
      <c r="AJ1196" s="1212">
        <v>1</v>
      </c>
      <c r="AK1196" s="2126">
        <v>2742608.72</v>
      </c>
      <c r="AL1196" s="2126">
        <v>0</v>
      </c>
      <c r="AM1196" s="2126">
        <v>0</v>
      </c>
      <c r="AN1196" s="2126">
        <v>2742608.72</v>
      </c>
      <c r="AO1196" s="1743" t="s">
        <v>85</v>
      </c>
      <c r="AP1196" s="1743" t="s">
        <v>90</v>
      </c>
      <c r="AQ1196" s="1764">
        <v>2019</v>
      </c>
      <c r="AR1196" s="1743" t="s">
        <v>87</v>
      </c>
      <c r="AS1196" s="2135"/>
      <c r="AT1196" s="2135"/>
      <c r="AU1196" s="1212">
        <v>1</v>
      </c>
      <c r="AV1196" s="1212"/>
      <c r="AW1196" s="1212"/>
      <c r="AX1196" s="1212"/>
      <c r="AY1196" s="1212"/>
      <c r="AZ1196" s="1212"/>
      <c r="BA1196" s="1212"/>
      <c r="BB1196" s="1212"/>
      <c r="BC1196" s="1212"/>
      <c r="BD1196" s="1212"/>
      <c r="BE1196" s="1212"/>
      <c r="BF1196" s="2126">
        <v>0</v>
      </c>
      <c r="BG1196" s="2126">
        <v>0</v>
      </c>
      <c r="BH1196" s="2126">
        <v>2742608.72</v>
      </c>
      <c r="BI1196" s="2126">
        <v>0</v>
      </c>
      <c r="BJ1196" s="2126">
        <v>0</v>
      </c>
      <c r="BK1196" s="2126">
        <v>0</v>
      </c>
      <c r="BL1196" s="2126">
        <v>0</v>
      </c>
      <c r="BM1196" s="2126">
        <v>0</v>
      </c>
      <c r="BN1196" s="2126">
        <v>0</v>
      </c>
      <c r="BO1196" s="2126">
        <v>0</v>
      </c>
      <c r="BP1196" s="2126">
        <v>0</v>
      </c>
      <c r="BQ1196" s="2126">
        <v>0</v>
      </c>
      <c r="BR1196" s="2126">
        <v>0</v>
      </c>
    </row>
    <row r="1197" spans="1:70" s="1765" customFormat="1" ht="33">
      <c r="A1197" s="1272">
        <v>5000</v>
      </c>
      <c r="B1197" s="971" t="s">
        <v>2119</v>
      </c>
      <c r="C1197" s="1272">
        <v>5100</v>
      </c>
      <c r="D1197" s="971" t="s">
        <v>78</v>
      </c>
      <c r="E1197" s="971">
        <v>5140</v>
      </c>
      <c r="F1197" s="971" t="s">
        <v>176</v>
      </c>
      <c r="G1197" s="971">
        <v>5140</v>
      </c>
      <c r="H1197" s="971" t="s">
        <v>176</v>
      </c>
      <c r="I1197" s="1273"/>
      <c r="J1197" s="971"/>
      <c r="K1197" s="971" t="s">
        <v>2123</v>
      </c>
      <c r="L1197" s="971" t="s">
        <v>2124</v>
      </c>
      <c r="M1197" s="971" t="s">
        <v>2123</v>
      </c>
      <c r="N1197" s="971" t="s">
        <v>179</v>
      </c>
      <c r="O1197" s="971" t="s">
        <v>2124</v>
      </c>
      <c r="P1197" s="971"/>
      <c r="Q1197" s="971" t="s">
        <v>2122</v>
      </c>
      <c r="R1197" s="1266"/>
      <c r="S1197" s="2106">
        <v>183</v>
      </c>
      <c r="T1197" s="1266" t="s">
        <v>242</v>
      </c>
      <c r="U1197" s="1742">
        <v>19.2</v>
      </c>
      <c r="V1197" s="1742">
        <v>177.5</v>
      </c>
      <c r="W1197" s="1742">
        <v>1692.2879999999998</v>
      </c>
      <c r="X1197" s="1742">
        <v>1957.7540000000001</v>
      </c>
      <c r="Y1197" s="2106">
        <v>3827.5419999999995</v>
      </c>
      <c r="Z1197" s="2106">
        <v>3513.6</v>
      </c>
      <c r="AA1197" s="2106">
        <v>32482.5</v>
      </c>
      <c r="AB1197" s="2106">
        <v>309688.70399999997</v>
      </c>
      <c r="AC1197" s="2106">
        <v>358268.98200000002</v>
      </c>
      <c r="AD1197" s="1744">
        <v>700440.18599999999</v>
      </c>
      <c r="AE1197" s="2126">
        <v>1</v>
      </c>
      <c r="AF1197" s="2126">
        <v>183</v>
      </c>
      <c r="AG1197" s="1212">
        <v>1</v>
      </c>
      <c r="AH1197" s="1212">
        <v>0</v>
      </c>
      <c r="AI1197" s="1212">
        <v>0</v>
      </c>
      <c r="AJ1197" s="1212">
        <v>1</v>
      </c>
      <c r="AK1197" s="2126">
        <v>700440.18599999999</v>
      </c>
      <c r="AL1197" s="2126">
        <v>0</v>
      </c>
      <c r="AM1197" s="2126">
        <v>0</v>
      </c>
      <c r="AN1197" s="2126">
        <v>700440.18599999999</v>
      </c>
      <c r="AO1197" s="1743" t="s">
        <v>85</v>
      </c>
      <c r="AP1197" s="1743" t="s">
        <v>90</v>
      </c>
      <c r="AQ1197" s="1764">
        <v>2019</v>
      </c>
      <c r="AR1197" s="1743" t="s">
        <v>87</v>
      </c>
      <c r="AS1197" s="2135"/>
      <c r="AT1197" s="2135"/>
      <c r="AU1197" s="1212">
        <v>1</v>
      </c>
      <c r="AV1197" s="1212"/>
      <c r="AW1197" s="1212"/>
      <c r="AX1197" s="1212"/>
      <c r="AY1197" s="1212"/>
      <c r="AZ1197" s="1212"/>
      <c r="BA1197" s="1212"/>
      <c r="BB1197" s="1212"/>
      <c r="BC1197" s="1212"/>
      <c r="BD1197" s="1212"/>
      <c r="BE1197" s="1212"/>
      <c r="BF1197" s="2126">
        <v>0</v>
      </c>
      <c r="BG1197" s="2126">
        <v>0</v>
      </c>
      <c r="BH1197" s="2126">
        <v>700440.18599999999</v>
      </c>
      <c r="BI1197" s="2126">
        <v>0</v>
      </c>
      <c r="BJ1197" s="2126">
        <v>0</v>
      </c>
      <c r="BK1197" s="2126">
        <v>0</v>
      </c>
      <c r="BL1197" s="2126">
        <v>0</v>
      </c>
      <c r="BM1197" s="2126">
        <v>0</v>
      </c>
      <c r="BN1197" s="2126">
        <v>0</v>
      </c>
      <c r="BO1197" s="2126">
        <v>0</v>
      </c>
      <c r="BP1197" s="2126">
        <v>0</v>
      </c>
      <c r="BQ1197" s="2126">
        <v>0</v>
      </c>
      <c r="BR1197" s="2126">
        <v>0</v>
      </c>
    </row>
    <row r="1198" spans="1:70" s="1765" customFormat="1" ht="33">
      <c r="A1198" s="1272">
        <v>5000</v>
      </c>
      <c r="B1198" s="971" t="s">
        <v>2119</v>
      </c>
      <c r="C1198" s="1272">
        <v>5100</v>
      </c>
      <c r="D1198" s="971" t="s">
        <v>78</v>
      </c>
      <c r="E1198" s="971">
        <v>5140</v>
      </c>
      <c r="F1198" s="971" t="s">
        <v>176</v>
      </c>
      <c r="G1198" s="971">
        <v>5140</v>
      </c>
      <c r="H1198" s="971" t="s">
        <v>176</v>
      </c>
      <c r="I1198" s="1273"/>
      <c r="J1198" s="971"/>
      <c r="K1198" s="971" t="s">
        <v>1768</v>
      </c>
      <c r="L1198" s="971" t="s">
        <v>1769</v>
      </c>
      <c r="M1198" s="971" t="s">
        <v>1768</v>
      </c>
      <c r="N1198" s="971" t="s">
        <v>179</v>
      </c>
      <c r="O1198" s="971" t="s">
        <v>1769</v>
      </c>
      <c r="P1198" s="971"/>
      <c r="Q1198" s="971" t="s">
        <v>2122</v>
      </c>
      <c r="R1198" s="1266"/>
      <c r="S1198" s="2106">
        <v>220</v>
      </c>
      <c r="T1198" s="1266" t="s">
        <v>242</v>
      </c>
      <c r="U1198" s="1742">
        <v>8.1</v>
      </c>
      <c r="V1198" s="1742">
        <v>88.75</v>
      </c>
      <c r="W1198" s="1742">
        <v>713.93399999999997</v>
      </c>
      <c r="X1198" s="1742">
        <v>978.87700000000007</v>
      </c>
      <c r="Y1198" s="2106">
        <v>1781.5610000000001</v>
      </c>
      <c r="Z1198" s="2106">
        <v>1782</v>
      </c>
      <c r="AA1198" s="2106">
        <v>19525</v>
      </c>
      <c r="AB1198" s="2106">
        <v>157065.47999999998</v>
      </c>
      <c r="AC1198" s="2106">
        <v>215352.94</v>
      </c>
      <c r="AD1198" s="1744">
        <v>391943.42</v>
      </c>
      <c r="AE1198" s="2126">
        <v>0.5</v>
      </c>
      <c r="AF1198" s="2126">
        <v>110</v>
      </c>
      <c r="AG1198" s="1212">
        <v>1</v>
      </c>
      <c r="AH1198" s="1212">
        <v>0</v>
      </c>
      <c r="AI1198" s="1212">
        <v>0</v>
      </c>
      <c r="AJ1198" s="1212">
        <v>1</v>
      </c>
      <c r="AK1198" s="2126">
        <v>391943.42</v>
      </c>
      <c r="AL1198" s="2126">
        <v>0</v>
      </c>
      <c r="AM1198" s="2126">
        <v>0</v>
      </c>
      <c r="AN1198" s="2126">
        <v>391943.42</v>
      </c>
      <c r="AO1198" s="1743" t="s">
        <v>85</v>
      </c>
      <c r="AP1198" s="1743" t="s">
        <v>90</v>
      </c>
      <c r="AQ1198" s="1764">
        <v>2019</v>
      </c>
      <c r="AR1198" s="1743" t="s">
        <v>87</v>
      </c>
      <c r="AS1198" s="2135"/>
      <c r="AT1198" s="2135"/>
      <c r="AU1198" s="1212">
        <v>1</v>
      </c>
      <c r="AV1198" s="1212"/>
      <c r="AW1198" s="1212"/>
      <c r="AX1198" s="1212"/>
      <c r="AY1198" s="1212"/>
      <c r="AZ1198" s="1212"/>
      <c r="BA1198" s="1212"/>
      <c r="BB1198" s="1212"/>
      <c r="BC1198" s="1212"/>
      <c r="BD1198" s="1212"/>
      <c r="BE1198" s="1212"/>
      <c r="BF1198" s="2126">
        <v>0</v>
      </c>
      <c r="BG1198" s="2126">
        <v>0</v>
      </c>
      <c r="BH1198" s="2126">
        <v>391943.42</v>
      </c>
      <c r="BI1198" s="2126">
        <v>0</v>
      </c>
      <c r="BJ1198" s="2126">
        <v>0</v>
      </c>
      <c r="BK1198" s="2126">
        <v>0</v>
      </c>
      <c r="BL1198" s="2126">
        <v>0</v>
      </c>
      <c r="BM1198" s="2126">
        <v>0</v>
      </c>
      <c r="BN1198" s="2126">
        <v>0</v>
      </c>
      <c r="BO1198" s="2126">
        <v>0</v>
      </c>
      <c r="BP1198" s="2126">
        <v>0</v>
      </c>
      <c r="BQ1198" s="2126">
        <v>0</v>
      </c>
      <c r="BR1198" s="2126">
        <v>0</v>
      </c>
    </row>
    <row r="1199" spans="1:70" s="1765" customFormat="1" ht="33">
      <c r="A1199" s="1272">
        <v>5000</v>
      </c>
      <c r="B1199" s="971" t="s">
        <v>2119</v>
      </c>
      <c r="C1199" s="1272">
        <v>5100</v>
      </c>
      <c r="D1199" s="971" t="s">
        <v>78</v>
      </c>
      <c r="E1199" s="971">
        <v>5140</v>
      </c>
      <c r="F1199" s="971" t="s">
        <v>176</v>
      </c>
      <c r="G1199" s="971">
        <v>5140</v>
      </c>
      <c r="H1199" s="971" t="s">
        <v>176</v>
      </c>
      <c r="I1199" s="1273"/>
      <c r="J1199" s="971"/>
      <c r="K1199" s="971" t="s">
        <v>2125</v>
      </c>
      <c r="L1199" s="971" t="s">
        <v>2126</v>
      </c>
      <c r="M1199" s="971" t="s">
        <v>2125</v>
      </c>
      <c r="N1199" s="971" t="s">
        <v>176</v>
      </c>
      <c r="O1199" s="971" t="s">
        <v>2126</v>
      </c>
      <c r="P1199" s="971"/>
      <c r="Q1199" s="971" t="s">
        <v>2122</v>
      </c>
      <c r="R1199" s="1266"/>
      <c r="S1199" s="2106">
        <v>312</v>
      </c>
      <c r="T1199" s="1266" t="s">
        <v>242</v>
      </c>
      <c r="U1199" s="1742">
        <v>13</v>
      </c>
      <c r="V1199" s="1742">
        <v>100</v>
      </c>
      <c r="W1199" s="1742">
        <v>1145.82</v>
      </c>
      <c r="X1199" s="1742">
        <v>1102.96</v>
      </c>
      <c r="Y1199" s="2106">
        <v>2348.7799999999997</v>
      </c>
      <c r="Z1199" s="2106">
        <v>4056</v>
      </c>
      <c r="AA1199" s="2106">
        <v>31200</v>
      </c>
      <c r="AB1199" s="2106">
        <v>357495.83999999997</v>
      </c>
      <c r="AC1199" s="2106">
        <v>344123.52</v>
      </c>
      <c r="AD1199" s="1744">
        <v>732819.36</v>
      </c>
      <c r="AE1199" s="2126">
        <v>96</v>
      </c>
      <c r="AF1199" s="2126">
        <v>29952</v>
      </c>
      <c r="AG1199" s="1212">
        <v>1</v>
      </c>
      <c r="AH1199" s="1212">
        <v>0</v>
      </c>
      <c r="AI1199" s="1212">
        <v>0</v>
      </c>
      <c r="AJ1199" s="1212">
        <v>1</v>
      </c>
      <c r="AK1199" s="2126">
        <v>732819.36</v>
      </c>
      <c r="AL1199" s="2126">
        <v>0</v>
      </c>
      <c r="AM1199" s="2126">
        <v>0</v>
      </c>
      <c r="AN1199" s="2126">
        <v>732819.36</v>
      </c>
      <c r="AO1199" s="1743" t="s">
        <v>85</v>
      </c>
      <c r="AP1199" s="1743" t="s">
        <v>90</v>
      </c>
      <c r="AQ1199" s="1764">
        <v>2019</v>
      </c>
      <c r="AR1199" s="1743" t="s">
        <v>87</v>
      </c>
      <c r="AS1199" s="2135"/>
      <c r="AT1199" s="2135"/>
      <c r="AU1199" s="1212">
        <v>1</v>
      </c>
      <c r="AV1199" s="1212"/>
      <c r="AW1199" s="1212"/>
      <c r="AX1199" s="1212"/>
      <c r="AY1199" s="1212"/>
      <c r="AZ1199" s="1212"/>
      <c r="BA1199" s="1212"/>
      <c r="BB1199" s="1212"/>
      <c r="BC1199" s="1212"/>
      <c r="BD1199" s="1212"/>
      <c r="BE1199" s="1212"/>
      <c r="BF1199" s="2126">
        <v>0</v>
      </c>
      <c r="BG1199" s="2126">
        <v>0</v>
      </c>
      <c r="BH1199" s="2126">
        <v>732819.36</v>
      </c>
      <c r="BI1199" s="2126">
        <v>0</v>
      </c>
      <c r="BJ1199" s="2126">
        <v>0</v>
      </c>
      <c r="BK1199" s="2126">
        <v>0</v>
      </c>
      <c r="BL1199" s="2126">
        <v>0</v>
      </c>
      <c r="BM1199" s="2126">
        <v>0</v>
      </c>
      <c r="BN1199" s="2126">
        <v>0</v>
      </c>
      <c r="BO1199" s="2126">
        <v>0</v>
      </c>
      <c r="BP1199" s="2126">
        <v>0</v>
      </c>
      <c r="BQ1199" s="2126">
        <v>0</v>
      </c>
      <c r="BR1199" s="2126">
        <v>0</v>
      </c>
    </row>
    <row r="1200" spans="1:70" s="1765" customFormat="1" ht="33">
      <c r="A1200" s="1272">
        <v>5000</v>
      </c>
      <c r="B1200" s="971" t="s">
        <v>2119</v>
      </c>
      <c r="C1200" s="1272">
        <v>5100</v>
      </c>
      <c r="D1200" s="971" t="s">
        <v>78</v>
      </c>
      <c r="E1200" s="971">
        <v>5140</v>
      </c>
      <c r="F1200" s="971" t="s">
        <v>176</v>
      </c>
      <c r="G1200" s="971">
        <v>5140</v>
      </c>
      <c r="H1200" s="971" t="s">
        <v>176</v>
      </c>
      <c r="I1200" s="1273"/>
      <c r="J1200" s="971"/>
      <c r="K1200" s="971" t="s">
        <v>2127</v>
      </c>
      <c r="L1200" s="971" t="s">
        <v>2177</v>
      </c>
      <c r="M1200" s="971" t="s">
        <v>2127</v>
      </c>
      <c r="N1200" s="971" t="s">
        <v>176</v>
      </c>
      <c r="O1200" s="971" t="s">
        <v>2128</v>
      </c>
      <c r="P1200" s="971"/>
      <c r="Q1200" s="971" t="s">
        <v>2122</v>
      </c>
      <c r="R1200" s="1266"/>
      <c r="S1200" s="2106">
        <v>326</v>
      </c>
      <c r="T1200" s="1266" t="s">
        <v>242</v>
      </c>
      <c r="U1200" s="1742">
        <v>10</v>
      </c>
      <c r="V1200" s="1742">
        <v>37.5</v>
      </c>
      <c r="W1200" s="1742">
        <v>881.4</v>
      </c>
      <c r="X1200" s="1742">
        <v>413.61</v>
      </c>
      <c r="Y1200" s="2106">
        <v>1332.51</v>
      </c>
      <c r="Z1200" s="2106">
        <v>3260</v>
      </c>
      <c r="AA1200" s="2106">
        <v>12225</v>
      </c>
      <c r="AB1200" s="2106">
        <v>287336.39999999997</v>
      </c>
      <c r="AC1200" s="2106">
        <v>134836.86000000002</v>
      </c>
      <c r="AD1200" s="1744">
        <v>434398.26</v>
      </c>
      <c r="AE1200" s="2126">
        <v>24</v>
      </c>
      <c r="AF1200" s="2126">
        <v>7824</v>
      </c>
      <c r="AG1200" s="1212">
        <v>1</v>
      </c>
      <c r="AH1200" s="1212">
        <v>0</v>
      </c>
      <c r="AI1200" s="1212">
        <v>0</v>
      </c>
      <c r="AJ1200" s="1212">
        <v>1</v>
      </c>
      <c r="AK1200" s="2126">
        <v>434398.26</v>
      </c>
      <c r="AL1200" s="2126">
        <v>0</v>
      </c>
      <c r="AM1200" s="2126">
        <v>0</v>
      </c>
      <c r="AN1200" s="2126">
        <v>434398.26</v>
      </c>
      <c r="AO1200" s="1743" t="s">
        <v>85</v>
      </c>
      <c r="AP1200" s="1743" t="s">
        <v>90</v>
      </c>
      <c r="AQ1200" s="1764">
        <v>2019</v>
      </c>
      <c r="AR1200" s="1743" t="s">
        <v>87</v>
      </c>
      <c r="AS1200" s="2135"/>
      <c r="AT1200" s="2135"/>
      <c r="AU1200" s="1212">
        <v>1</v>
      </c>
      <c r="AV1200" s="1212"/>
      <c r="AW1200" s="1212"/>
      <c r="AX1200" s="1212"/>
      <c r="AY1200" s="1212"/>
      <c r="AZ1200" s="1212"/>
      <c r="BA1200" s="1212"/>
      <c r="BB1200" s="1212"/>
      <c r="BC1200" s="1212"/>
      <c r="BD1200" s="1212"/>
      <c r="BE1200" s="1212"/>
      <c r="BF1200" s="2126">
        <v>0</v>
      </c>
      <c r="BG1200" s="2126">
        <v>0</v>
      </c>
      <c r="BH1200" s="2126">
        <v>434398.26</v>
      </c>
      <c r="BI1200" s="2126">
        <v>0</v>
      </c>
      <c r="BJ1200" s="2126">
        <v>0</v>
      </c>
      <c r="BK1200" s="2126">
        <v>0</v>
      </c>
      <c r="BL1200" s="2126">
        <v>0</v>
      </c>
      <c r="BM1200" s="2126">
        <v>0</v>
      </c>
      <c r="BN1200" s="2126">
        <v>0</v>
      </c>
      <c r="BO1200" s="2126">
        <v>0</v>
      </c>
      <c r="BP1200" s="2126">
        <v>0</v>
      </c>
      <c r="BQ1200" s="2126">
        <v>0</v>
      </c>
      <c r="BR1200" s="2126">
        <v>0</v>
      </c>
    </row>
    <row r="1201" spans="1:70" s="1765" customFormat="1" ht="33">
      <c r="A1201" s="1272">
        <v>5000</v>
      </c>
      <c r="B1201" s="971" t="s">
        <v>2119</v>
      </c>
      <c r="C1201" s="1272">
        <v>5100</v>
      </c>
      <c r="D1201" s="971" t="s">
        <v>78</v>
      </c>
      <c r="E1201" s="971">
        <v>5140</v>
      </c>
      <c r="F1201" s="971" t="s">
        <v>176</v>
      </c>
      <c r="G1201" s="971">
        <v>5140</v>
      </c>
      <c r="H1201" s="971" t="s">
        <v>176</v>
      </c>
      <c r="I1201" s="1273"/>
      <c r="J1201" s="971"/>
      <c r="K1201" s="971" t="s">
        <v>2129</v>
      </c>
      <c r="L1201" s="971" t="s">
        <v>2130</v>
      </c>
      <c r="M1201" s="971" t="s">
        <v>2129</v>
      </c>
      <c r="N1201" s="971" t="s">
        <v>176</v>
      </c>
      <c r="O1201" s="971" t="s">
        <v>2130</v>
      </c>
      <c r="P1201" s="971"/>
      <c r="Q1201" s="971" t="s">
        <v>2122</v>
      </c>
      <c r="R1201" s="1266"/>
      <c r="S1201" s="2106">
        <v>297</v>
      </c>
      <c r="T1201" s="1266" t="s">
        <v>242</v>
      </c>
      <c r="U1201" s="1742">
        <v>6.666666666666667</v>
      </c>
      <c r="V1201" s="1742">
        <v>20.833333333333336</v>
      </c>
      <c r="W1201" s="1742">
        <v>587.6</v>
      </c>
      <c r="X1201" s="1742">
        <v>229.78333333333333</v>
      </c>
      <c r="Y1201" s="2106">
        <v>838.2166666666667</v>
      </c>
      <c r="Z1201" s="2106">
        <v>1980</v>
      </c>
      <c r="AA1201" s="2106">
        <v>6187.5000000000009</v>
      </c>
      <c r="AB1201" s="2106">
        <v>174517.2</v>
      </c>
      <c r="AC1201" s="2106">
        <v>68245.649999999994</v>
      </c>
      <c r="AD1201" s="1744">
        <v>248950.35</v>
      </c>
      <c r="AE1201" s="2126">
        <v>4</v>
      </c>
      <c r="AF1201" s="2126">
        <v>1188</v>
      </c>
      <c r="AG1201" s="1212">
        <v>1</v>
      </c>
      <c r="AH1201" s="1212">
        <v>0</v>
      </c>
      <c r="AI1201" s="1212">
        <v>0</v>
      </c>
      <c r="AJ1201" s="1212">
        <v>1</v>
      </c>
      <c r="AK1201" s="2126">
        <v>248950.35</v>
      </c>
      <c r="AL1201" s="2126">
        <v>0</v>
      </c>
      <c r="AM1201" s="2126">
        <v>0</v>
      </c>
      <c r="AN1201" s="2126">
        <v>248950.35</v>
      </c>
      <c r="AO1201" s="1743" t="s">
        <v>85</v>
      </c>
      <c r="AP1201" s="1743" t="s">
        <v>90</v>
      </c>
      <c r="AQ1201" s="1764">
        <v>2019</v>
      </c>
      <c r="AR1201" s="1743" t="s">
        <v>87</v>
      </c>
      <c r="AS1201" s="2135"/>
      <c r="AT1201" s="2135"/>
      <c r="AU1201" s="1212">
        <v>1</v>
      </c>
      <c r="AV1201" s="1212"/>
      <c r="AW1201" s="1212"/>
      <c r="AX1201" s="1212"/>
      <c r="AY1201" s="1212"/>
      <c r="AZ1201" s="1212"/>
      <c r="BA1201" s="1212"/>
      <c r="BB1201" s="1212"/>
      <c r="BC1201" s="1212"/>
      <c r="BD1201" s="1212"/>
      <c r="BE1201" s="1212"/>
      <c r="BF1201" s="2126">
        <v>0</v>
      </c>
      <c r="BG1201" s="2126">
        <v>0</v>
      </c>
      <c r="BH1201" s="2126">
        <v>248950.35</v>
      </c>
      <c r="BI1201" s="2126">
        <v>0</v>
      </c>
      <c r="BJ1201" s="2126">
        <v>0</v>
      </c>
      <c r="BK1201" s="2126">
        <v>0</v>
      </c>
      <c r="BL1201" s="2126">
        <v>0</v>
      </c>
      <c r="BM1201" s="2126">
        <v>0</v>
      </c>
      <c r="BN1201" s="2126">
        <v>0</v>
      </c>
      <c r="BO1201" s="2126">
        <v>0</v>
      </c>
      <c r="BP1201" s="2126">
        <v>0</v>
      </c>
      <c r="BQ1201" s="2126">
        <v>0</v>
      </c>
      <c r="BR1201" s="2126">
        <v>0</v>
      </c>
    </row>
    <row r="1202" spans="1:70" s="1765" customFormat="1" ht="33">
      <c r="A1202" s="1272">
        <v>5000</v>
      </c>
      <c r="B1202" s="971" t="s">
        <v>2119</v>
      </c>
      <c r="C1202" s="1272">
        <v>5100</v>
      </c>
      <c r="D1202" s="971" t="s">
        <v>78</v>
      </c>
      <c r="E1202" s="971">
        <v>5140</v>
      </c>
      <c r="F1202" s="971" t="s">
        <v>176</v>
      </c>
      <c r="G1202" s="971">
        <v>5140</v>
      </c>
      <c r="H1202" s="971" t="s">
        <v>176</v>
      </c>
      <c r="I1202" s="1273"/>
      <c r="J1202" s="971"/>
      <c r="K1202" s="971" t="s">
        <v>2125</v>
      </c>
      <c r="L1202" s="971" t="s">
        <v>2126</v>
      </c>
      <c r="M1202" s="971" t="s">
        <v>2125</v>
      </c>
      <c r="N1202" s="971" t="s">
        <v>176</v>
      </c>
      <c r="O1202" s="971" t="s">
        <v>2126</v>
      </c>
      <c r="P1202" s="971" t="s">
        <v>190</v>
      </c>
      <c r="Q1202" s="971" t="s">
        <v>2131</v>
      </c>
      <c r="R1202" s="1266"/>
      <c r="S1202" s="2106">
        <v>49</v>
      </c>
      <c r="T1202" s="1266" t="s">
        <v>242</v>
      </c>
      <c r="U1202" s="1742">
        <v>13</v>
      </c>
      <c r="V1202" s="1742">
        <v>100</v>
      </c>
      <c r="W1202" s="1742">
        <v>1145.82</v>
      </c>
      <c r="X1202" s="1742">
        <v>1102.96</v>
      </c>
      <c r="Y1202" s="2106">
        <v>2348.7799999999997</v>
      </c>
      <c r="Z1202" s="2106">
        <v>637</v>
      </c>
      <c r="AA1202" s="2106">
        <v>4900</v>
      </c>
      <c r="AB1202" s="2106">
        <v>56145.18</v>
      </c>
      <c r="AC1202" s="2106">
        <v>54045.04</v>
      </c>
      <c r="AD1202" s="1744">
        <v>115090.22</v>
      </c>
      <c r="AE1202" s="2126">
        <v>96</v>
      </c>
      <c r="AF1202" s="2126">
        <v>4704</v>
      </c>
      <c r="AG1202" s="1212">
        <v>1</v>
      </c>
      <c r="AH1202" s="1212">
        <v>0</v>
      </c>
      <c r="AI1202" s="1212">
        <v>0</v>
      </c>
      <c r="AJ1202" s="1212">
        <v>1</v>
      </c>
      <c r="AK1202" s="2126">
        <v>115090.22</v>
      </c>
      <c r="AL1202" s="2126">
        <v>0</v>
      </c>
      <c r="AM1202" s="2126">
        <v>0</v>
      </c>
      <c r="AN1202" s="2126">
        <v>115090.22</v>
      </c>
      <c r="AO1202" s="1743" t="s">
        <v>85</v>
      </c>
      <c r="AP1202" s="1743" t="s">
        <v>90</v>
      </c>
      <c r="AQ1202" s="1764">
        <v>2020</v>
      </c>
      <c r="AR1202" s="1743" t="s">
        <v>87</v>
      </c>
      <c r="AS1202" s="2135"/>
      <c r="AT1202" s="2135"/>
      <c r="AU1202" s="1212">
        <v>1</v>
      </c>
      <c r="AV1202" s="1212"/>
      <c r="AW1202" s="1212"/>
      <c r="AX1202" s="1212"/>
      <c r="AY1202" s="1212"/>
      <c r="AZ1202" s="1212"/>
      <c r="BA1202" s="1212"/>
      <c r="BB1202" s="1212"/>
      <c r="BC1202" s="1212"/>
      <c r="BD1202" s="1212"/>
      <c r="BE1202" s="1212"/>
      <c r="BF1202" s="2126">
        <v>0</v>
      </c>
      <c r="BG1202" s="2126">
        <v>0</v>
      </c>
      <c r="BH1202" s="2126">
        <v>115090.22</v>
      </c>
      <c r="BI1202" s="2126">
        <v>0</v>
      </c>
      <c r="BJ1202" s="2126">
        <v>0</v>
      </c>
      <c r="BK1202" s="2126">
        <v>0</v>
      </c>
      <c r="BL1202" s="2126">
        <v>0</v>
      </c>
      <c r="BM1202" s="2126">
        <v>0</v>
      </c>
      <c r="BN1202" s="2126">
        <v>0</v>
      </c>
      <c r="BO1202" s="2126">
        <v>0</v>
      </c>
      <c r="BP1202" s="2126">
        <v>0</v>
      </c>
      <c r="BQ1202" s="2126">
        <v>0</v>
      </c>
      <c r="BR1202" s="2126">
        <v>0</v>
      </c>
    </row>
    <row r="1203" spans="1:70" s="1765" customFormat="1" ht="33">
      <c r="A1203" s="1272">
        <v>5000</v>
      </c>
      <c r="B1203" s="971" t="s">
        <v>2119</v>
      </c>
      <c r="C1203" s="1272">
        <v>5100</v>
      </c>
      <c r="D1203" s="971" t="s">
        <v>78</v>
      </c>
      <c r="E1203" s="971">
        <v>5140</v>
      </c>
      <c r="F1203" s="971" t="s">
        <v>176</v>
      </c>
      <c r="G1203" s="971">
        <v>5140</v>
      </c>
      <c r="H1203" s="971" t="s">
        <v>176</v>
      </c>
      <c r="I1203" s="1273"/>
      <c r="J1203" s="971"/>
      <c r="K1203" s="971" t="s">
        <v>2127</v>
      </c>
      <c r="L1203" s="971" t="s">
        <v>2177</v>
      </c>
      <c r="M1203" s="971" t="s">
        <v>2127</v>
      </c>
      <c r="N1203" s="971" t="s">
        <v>176</v>
      </c>
      <c r="O1203" s="971" t="s">
        <v>2128</v>
      </c>
      <c r="P1203" s="971" t="s">
        <v>190</v>
      </c>
      <c r="Q1203" s="971" t="s">
        <v>2132</v>
      </c>
      <c r="R1203" s="1266"/>
      <c r="S1203" s="2106">
        <v>61</v>
      </c>
      <c r="T1203" s="1266" t="s">
        <v>242</v>
      </c>
      <c r="U1203" s="1742">
        <v>10</v>
      </c>
      <c r="V1203" s="1742">
        <v>37.5</v>
      </c>
      <c r="W1203" s="1742">
        <v>881.4</v>
      </c>
      <c r="X1203" s="1742">
        <v>413.61</v>
      </c>
      <c r="Y1203" s="2106">
        <v>1332.51</v>
      </c>
      <c r="Z1203" s="2106">
        <v>610</v>
      </c>
      <c r="AA1203" s="2106">
        <v>2287.5</v>
      </c>
      <c r="AB1203" s="2106">
        <v>53765.4</v>
      </c>
      <c r="AC1203" s="2106">
        <v>25230.21</v>
      </c>
      <c r="AD1203" s="1744">
        <v>81283.11</v>
      </c>
      <c r="AE1203" s="2126">
        <v>24</v>
      </c>
      <c r="AF1203" s="2126">
        <v>1464</v>
      </c>
      <c r="AG1203" s="1212">
        <v>1</v>
      </c>
      <c r="AH1203" s="1212">
        <v>0</v>
      </c>
      <c r="AI1203" s="1212">
        <v>0</v>
      </c>
      <c r="AJ1203" s="1212">
        <v>1</v>
      </c>
      <c r="AK1203" s="2126">
        <v>81283.11</v>
      </c>
      <c r="AL1203" s="2126">
        <v>0</v>
      </c>
      <c r="AM1203" s="2126">
        <v>0</v>
      </c>
      <c r="AN1203" s="2126">
        <v>81283.11</v>
      </c>
      <c r="AO1203" s="1743" t="s">
        <v>85</v>
      </c>
      <c r="AP1203" s="1743" t="s">
        <v>90</v>
      </c>
      <c r="AQ1203" s="1764">
        <v>2020</v>
      </c>
      <c r="AR1203" s="1743" t="s">
        <v>87</v>
      </c>
      <c r="AS1203" s="2135"/>
      <c r="AT1203" s="2135"/>
      <c r="AU1203" s="1212">
        <v>1</v>
      </c>
      <c r="AV1203" s="1212"/>
      <c r="AW1203" s="1212"/>
      <c r="AX1203" s="1212"/>
      <c r="AY1203" s="1212"/>
      <c r="AZ1203" s="1212"/>
      <c r="BA1203" s="1212"/>
      <c r="BB1203" s="1212"/>
      <c r="BC1203" s="1212"/>
      <c r="BD1203" s="1212"/>
      <c r="BE1203" s="1212"/>
      <c r="BF1203" s="2126">
        <v>0</v>
      </c>
      <c r="BG1203" s="2126">
        <v>0</v>
      </c>
      <c r="BH1203" s="2126">
        <v>81283.11</v>
      </c>
      <c r="BI1203" s="2126">
        <v>0</v>
      </c>
      <c r="BJ1203" s="2126">
        <v>0</v>
      </c>
      <c r="BK1203" s="2126">
        <v>0</v>
      </c>
      <c r="BL1203" s="2126">
        <v>0</v>
      </c>
      <c r="BM1203" s="2126">
        <v>0</v>
      </c>
      <c r="BN1203" s="2126">
        <v>0</v>
      </c>
      <c r="BO1203" s="2126">
        <v>0</v>
      </c>
      <c r="BP1203" s="2126">
        <v>0</v>
      </c>
      <c r="BQ1203" s="2126">
        <v>0</v>
      </c>
      <c r="BR1203" s="2126">
        <v>0</v>
      </c>
    </row>
    <row r="1204" spans="1:70" s="1765" customFormat="1" ht="33">
      <c r="A1204" s="1272">
        <v>5000</v>
      </c>
      <c r="B1204" s="971" t="s">
        <v>2119</v>
      </c>
      <c r="C1204" s="1272">
        <v>5100</v>
      </c>
      <c r="D1204" s="971" t="s">
        <v>78</v>
      </c>
      <c r="E1204" s="971">
        <v>5140</v>
      </c>
      <c r="F1204" s="971" t="s">
        <v>176</v>
      </c>
      <c r="G1204" s="971">
        <v>5140</v>
      </c>
      <c r="H1204" s="971" t="s">
        <v>176</v>
      </c>
      <c r="I1204" s="1273"/>
      <c r="J1204" s="971"/>
      <c r="K1204" s="971" t="s">
        <v>2129</v>
      </c>
      <c r="L1204" s="971" t="s">
        <v>2130</v>
      </c>
      <c r="M1204" s="971" t="s">
        <v>2129</v>
      </c>
      <c r="N1204" s="971" t="s">
        <v>176</v>
      </c>
      <c r="O1204" s="971" t="s">
        <v>2130</v>
      </c>
      <c r="P1204" s="971" t="s">
        <v>190</v>
      </c>
      <c r="Q1204" s="971" t="s">
        <v>2133</v>
      </c>
      <c r="R1204" s="1266"/>
      <c r="S1204" s="2106">
        <v>34</v>
      </c>
      <c r="T1204" s="1266" t="s">
        <v>242</v>
      </c>
      <c r="U1204" s="1742">
        <v>6.666666666666667</v>
      </c>
      <c r="V1204" s="1742">
        <v>20.833333333333336</v>
      </c>
      <c r="W1204" s="1742">
        <v>587.6</v>
      </c>
      <c r="X1204" s="1742">
        <v>229.78333333333333</v>
      </c>
      <c r="Y1204" s="2106">
        <v>838.2166666666667</v>
      </c>
      <c r="Z1204" s="2106">
        <v>226.66666666666669</v>
      </c>
      <c r="AA1204" s="2106">
        <v>708.33333333333337</v>
      </c>
      <c r="AB1204" s="2106">
        <v>19978.400000000001</v>
      </c>
      <c r="AC1204" s="2106">
        <v>7812.6333333333332</v>
      </c>
      <c r="AD1204" s="1744">
        <v>28499.366666666669</v>
      </c>
      <c r="AE1204" s="2126">
        <v>4</v>
      </c>
      <c r="AF1204" s="2126">
        <v>136</v>
      </c>
      <c r="AG1204" s="1212">
        <v>1</v>
      </c>
      <c r="AH1204" s="1212">
        <v>0</v>
      </c>
      <c r="AI1204" s="1212">
        <v>0</v>
      </c>
      <c r="AJ1204" s="1212">
        <v>1</v>
      </c>
      <c r="AK1204" s="2126">
        <v>28499.366666666669</v>
      </c>
      <c r="AL1204" s="2126">
        <v>0</v>
      </c>
      <c r="AM1204" s="2126">
        <v>0</v>
      </c>
      <c r="AN1204" s="2126">
        <v>28499.366666666669</v>
      </c>
      <c r="AO1204" s="1743" t="s">
        <v>85</v>
      </c>
      <c r="AP1204" s="1743" t="s">
        <v>90</v>
      </c>
      <c r="AQ1204" s="1764">
        <v>2020</v>
      </c>
      <c r="AR1204" s="1743" t="s">
        <v>87</v>
      </c>
      <c r="AS1204" s="2135"/>
      <c r="AT1204" s="2135"/>
      <c r="AU1204" s="1212">
        <v>1</v>
      </c>
      <c r="AV1204" s="1212"/>
      <c r="AW1204" s="1212"/>
      <c r="AX1204" s="1212"/>
      <c r="AY1204" s="1212"/>
      <c r="AZ1204" s="1212"/>
      <c r="BA1204" s="1212"/>
      <c r="BB1204" s="1212"/>
      <c r="BC1204" s="1212"/>
      <c r="BD1204" s="1212"/>
      <c r="BE1204" s="1212"/>
      <c r="BF1204" s="2126">
        <v>0</v>
      </c>
      <c r="BG1204" s="2126">
        <v>0</v>
      </c>
      <c r="BH1204" s="2126">
        <v>28499.366666666669</v>
      </c>
      <c r="BI1204" s="2126">
        <v>0</v>
      </c>
      <c r="BJ1204" s="2126">
        <v>0</v>
      </c>
      <c r="BK1204" s="2126">
        <v>0</v>
      </c>
      <c r="BL1204" s="2126">
        <v>0</v>
      </c>
      <c r="BM1204" s="2126">
        <v>0</v>
      </c>
      <c r="BN1204" s="2126">
        <v>0</v>
      </c>
      <c r="BO1204" s="2126">
        <v>0</v>
      </c>
      <c r="BP1204" s="2126">
        <v>0</v>
      </c>
      <c r="BQ1204" s="2126">
        <v>0</v>
      </c>
      <c r="BR1204" s="2126">
        <v>0</v>
      </c>
    </row>
    <row r="1205" spans="1:70" s="1765" customFormat="1" ht="33">
      <c r="A1205" s="1272">
        <v>5000</v>
      </c>
      <c r="B1205" s="971" t="s">
        <v>2119</v>
      </c>
      <c r="C1205" s="1272">
        <v>5100</v>
      </c>
      <c r="D1205" s="971" t="s">
        <v>78</v>
      </c>
      <c r="E1205" s="971">
        <v>5140</v>
      </c>
      <c r="F1205" s="971" t="s">
        <v>176</v>
      </c>
      <c r="G1205" s="971">
        <v>5140</v>
      </c>
      <c r="H1205" s="971" t="s">
        <v>176</v>
      </c>
      <c r="I1205" s="1273"/>
      <c r="J1205" s="971"/>
      <c r="K1205" s="971" t="s">
        <v>2125</v>
      </c>
      <c r="L1205" s="971" t="s">
        <v>2126</v>
      </c>
      <c r="M1205" s="971" t="s">
        <v>2125</v>
      </c>
      <c r="N1205" s="971" t="s">
        <v>176</v>
      </c>
      <c r="O1205" s="971" t="s">
        <v>2126</v>
      </c>
      <c r="P1205" s="971" t="s">
        <v>190</v>
      </c>
      <c r="Q1205" s="971" t="s">
        <v>2134</v>
      </c>
      <c r="R1205" s="1266"/>
      <c r="S1205" s="2106">
        <v>-49</v>
      </c>
      <c r="T1205" s="1266" t="s">
        <v>242</v>
      </c>
      <c r="U1205" s="1742">
        <v>13</v>
      </c>
      <c r="V1205" s="1742">
        <v>100</v>
      </c>
      <c r="W1205" s="1742">
        <v>1145.82</v>
      </c>
      <c r="X1205" s="1742">
        <v>1102.96</v>
      </c>
      <c r="Y1205" s="2106">
        <v>2348.7799999999997</v>
      </c>
      <c r="Z1205" s="2106">
        <v>-637</v>
      </c>
      <c r="AA1205" s="2106">
        <v>-4900</v>
      </c>
      <c r="AB1205" s="2106">
        <v>-56145.18</v>
      </c>
      <c r="AC1205" s="2106">
        <v>-54045.04</v>
      </c>
      <c r="AD1205" s="1744">
        <v>-115090.22</v>
      </c>
      <c r="AE1205" s="2126">
        <v>96</v>
      </c>
      <c r="AF1205" s="2126">
        <v>-4704</v>
      </c>
      <c r="AG1205" s="1212">
        <v>1</v>
      </c>
      <c r="AH1205" s="1212">
        <v>0</v>
      </c>
      <c r="AI1205" s="1212">
        <v>0</v>
      </c>
      <c r="AJ1205" s="1212">
        <v>1</v>
      </c>
      <c r="AK1205" s="2126">
        <v>-115090.22</v>
      </c>
      <c r="AL1205" s="2126">
        <v>0</v>
      </c>
      <c r="AM1205" s="2126">
        <v>0</v>
      </c>
      <c r="AN1205" s="2126">
        <v>-115090.22</v>
      </c>
      <c r="AO1205" s="1743" t="s">
        <v>85</v>
      </c>
      <c r="AP1205" s="1743" t="s">
        <v>1430</v>
      </c>
      <c r="AQ1205" s="1764">
        <v>2020</v>
      </c>
      <c r="AR1205" s="1743" t="s">
        <v>87</v>
      </c>
      <c r="AS1205" s="2135"/>
      <c r="AT1205" s="2135"/>
      <c r="AU1205" s="1212">
        <v>1</v>
      </c>
      <c r="AV1205" s="1212"/>
      <c r="AW1205" s="1212"/>
      <c r="AX1205" s="1212"/>
      <c r="AY1205" s="1212"/>
      <c r="AZ1205" s="1212"/>
      <c r="BA1205" s="1212"/>
      <c r="BB1205" s="1212"/>
      <c r="BC1205" s="1212"/>
      <c r="BD1205" s="1212"/>
      <c r="BE1205" s="1212"/>
      <c r="BF1205" s="2126">
        <v>0</v>
      </c>
      <c r="BG1205" s="2126">
        <v>0</v>
      </c>
      <c r="BH1205" s="2126">
        <v>-115090.22</v>
      </c>
      <c r="BI1205" s="2126">
        <v>0</v>
      </c>
      <c r="BJ1205" s="2126">
        <v>0</v>
      </c>
      <c r="BK1205" s="2126">
        <v>0</v>
      </c>
      <c r="BL1205" s="2126">
        <v>0</v>
      </c>
      <c r="BM1205" s="2126">
        <v>0</v>
      </c>
      <c r="BN1205" s="2126">
        <v>0</v>
      </c>
      <c r="BO1205" s="2126">
        <v>0</v>
      </c>
      <c r="BP1205" s="2126">
        <v>0</v>
      </c>
      <c r="BQ1205" s="2126">
        <v>0</v>
      </c>
      <c r="BR1205" s="2126">
        <v>0</v>
      </c>
    </row>
    <row r="1206" spans="1:70" s="1765" customFormat="1" ht="33">
      <c r="A1206" s="1272">
        <v>5000</v>
      </c>
      <c r="B1206" s="971" t="s">
        <v>2119</v>
      </c>
      <c r="C1206" s="1272">
        <v>5100</v>
      </c>
      <c r="D1206" s="971" t="s">
        <v>78</v>
      </c>
      <c r="E1206" s="971">
        <v>5140</v>
      </c>
      <c r="F1206" s="971" t="s">
        <v>176</v>
      </c>
      <c r="G1206" s="971">
        <v>5140</v>
      </c>
      <c r="H1206" s="971" t="s">
        <v>176</v>
      </c>
      <c r="I1206" s="1273"/>
      <c r="J1206" s="971"/>
      <c r="K1206" s="971" t="s">
        <v>2127</v>
      </c>
      <c r="L1206" s="971" t="s">
        <v>2177</v>
      </c>
      <c r="M1206" s="971" t="s">
        <v>2127</v>
      </c>
      <c r="N1206" s="971" t="s">
        <v>176</v>
      </c>
      <c r="O1206" s="971" t="s">
        <v>2128</v>
      </c>
      <c r="P1206" s="971" t="s">
        <v>190</v>
      </c>
      <c r="Q1206" s="971" t="s">
        <v>2135</v>
      </c>
      <c r="R1206" s="1266"/>
      <c r="S1206" s="2106">
        <v>-61</v>
      </c>
      <c r="T1206" s="1266" t="s">
        <v>242</v>
      </c>
      <c r="U1206" s="1742">
        <v>10</v>
      </c>
      <c r="V1206" s="1742">
        <v>37.5</v>
      </c>
      <c r="W1206" s="1742">
        <v>881.4</v>
      </c>
      <c r="X1206" s="1742">
        <v>413.61</v>
      </c>
      <c r="Y1206" s="2106">
        <v>1332.51</v>
      </c>
      <c r="Z1206" s="2106">
        <v>-610</v>
      </c>
      <c r="AA1206" s="2106">
        <v>-2287.5</v>
      </c>
      <c r="AB1206" s="2106">
        <v>-53765.4</v>
      </c>
      <c r="AC1206" s="2106">
        <v>-25230.21</v>
      </c>
      <c r="AD1206" s="1744">
        <v>-81283.11</v>
      </c>
      <c r="AE1206" s="2126">
        <v>24</v>
      </c>
      <c r="AF1206" s="2126">
        <v>-1464</v>
      </c>
      <c r="AG1206" s="1212">
        <v>1</v>
      </c>
      <c r="AH1206" s="1212">
        <v>0</v>
      </c>
      <c r="AI1206" s="1212">
        <v>0</v>
      </c>
      <c r="AJ1206" s="1212">
        <v>1</v>
      </c>
      <c r="AK1206" s="2126">
        <v>-81283.11</v>
      </c>
      <c r="AL1206" s="2126">
        <v>0</v>
      </c>
      <c r="AM1206" s="2126">
        <v>0</v>
      </c>
      <c r="AN1206" s="2126">
        <v>-81283.11</v>
      </c>
      <c r="AO1206" s="1743" t="s">
        <v>85</v>
      </c>
      <c r="AP1206" s="1743" t="s">
        <v>1430</v>
      </c>
      <c r="AQ1206" s="1764">
        <v>2020</v>
      </c>
      <c r="AR1206" s="1743" t="s">
        <v>87</v>
      </c>
      <c r="AS1206" s="2135"/>
      <c r="AT1206" s="2135"/>
      <c r="AU1206" s="1212">
        <v>1</v>
      </c>
      <c r="AV1206" s="1212"/>
      <c r="AW1206" s="1212"/>
      <c r="AX1206" s="1212"/>
      <c r="AY1206" s="1212"/>
      <c r="AZ1206" s="1212"/>
      <c r="BA1206" s="1212"/>
      <c r="BB1206" s="1212"/>
      <c r="BC1206" s="1212"/>
      <c r="BD1206" s="1212"/>
      <c r="BE1206" s="1212"/>
      <c r="BF1206" s="2126">
        <v>0</v>
      </c>
      <c r="BG1206" s="2126">
        <v>0</v>
      </c>
      <c r="BH1206" s="2126">
        <v>-81283.11</v>
      </c>
      <c r="BI1206" s="2126">
        <v>0</v>
      </c>
      <c r="BJ1206" s="2126">
        <v>0</v>
      </c>
      <c r="BK1206" s="2126">
        <v>0</v>
      </c>
      <c r="BL1206" s="2126">
        <v>0</v>
      </c>
      <c r="BM1206" s="2126">
        <v>0</v>
      </c>
      <c r="BN1206" s="2126">
        <v>0</v>
      </c>
      <c r="BO1206" s="2126">
        <v>0</v>
      </c>
      <c r="BP1206" s="2126">
        <v>0</v>
      </c>
      <c r="BQ1206" s="2126">
        <v>0</v>
      </c>
      <c r="BR1206" s="2126">
        <v>0</v>
      </c>
    </row>
    <row r="1207" spans="1:70" s="1765" customFormat="1" ht="33">
      <c r="A1207" s="1272">
        <v>5000</v>
      </c>
      <c r="B1207" s="971" t="s">
        <v>2119</v>
      </c>
      <c r="C1207" s="1272">
        <v>5100</v>
      </c>
      <c r="D1207" s="971" t="s">
        <v>78</v>
      </c>
      <c r="E1207" s="971">
        <v>5140</v>
      </c>
      <c r="F1207" s="971" t="s">
        <v>176</v>
      </c>
      <c r="G1207" s="971">
        <v>5140</v>
      </c>
      <c r="H1207" s="971" t="s">
        <v>176</v>
      </c>
      <c r="I1207" s="1273"/>
      <c r="J1207" s="971"/>
      <c r="K1207" s="971" t="s">
        <v>2129</v>
      </c>
      <c r="L1207" s="971" t="s">
        <v>2130</v>
      </c>
      <c r="M1207" s="971" t="s">
        <v>2129</v>
      </c>
      <c r="N1207" s="971" t="s">
        <v>176</v>
      </c>
      <c r="O1207" s="971" t="s">
        <v>2130</v>
      </c>
      <c r="P1207" s="971" t="s">
        <v>190</v>
      </c>
      <c r="Q1207" s="971" t="s">
        <v>2136</v>
      </c>
      <c r="R1207" s="1266"/>
      <c r="S1207" s="2106">
        <v>-34</v>
      </c>
      <c r="T1207" s="1266" t="s">
        <v>242</v>
      </c>
      <c r="U1207" s="1742">
        <v>6.666666666666667</v>
      </c>
      <c r="V1207" s="1742">
        <v>20.833333333333336</v>
      </c>
      <c r="W1207" s="1742">
        <v>587.6</v>
      </c>
      <c r="X1207" s="1742">
        <v>229.78333333333333</v>
      </c>
      <c r="Y1207" s="2106">
        <v>838.2166666666667</v>
      </c>
      <c r="Z1207" s="2106">
        <v>-226.66666666666669</v>
      </c>
      <c r="AA1207" s="2106">
        <v>-708.33333333333337</v>
      </c>
      <c r="AB1207" s="2106">
        <v>-19978.400000000001</v>
      </c>
      <c r="AC1207" s="2106">
        <v>-7812.6333333333332</v>
      </c>
      <c r="AD1207" s="1744">
        <v>-28499.366666666669</v>
      </c>
      <c r="AE1207" s="2126">
        <v>4</v>
      </c>
      <c r="AF1207" s="2126">
        <v>-136</v>
      </c>
      <c r="AG1207" s="1212">
        <v>1</v>
      </c>
      <c r="AH1207" s="1212">
        <v>0</v>
      </c>
      <c r="AI1207" s="1212">
        <v>0</v>
      </c>
      <c r="AJ1207" s="1212">
        <v>1</v>
      </c>
      <c r="AK1207" s="2126">
        <v>-28499.366666666669</v>
      </c>
      <c r="AL1207" s="2126">
        <v>0</v>
      </c>
      <c r="AM1207" s="2126">
        <v>0</v>
      </c>
      <c r="AN1207" s="2126">
        <v>-28499.366666666669</v>
      </c>
      <c r="AO1207" s="1743" t="s">
        <v>85</v>
      </c>
      <c r="AP1207" s="1743" t="s">
        <v>1430</v>
      </c>
      <c r="AQ1207" s="1764">
        <v>2020</v>
      </c>
      <c r="AR1207" s="1743" t="s">
        <v>87</v>
      </c>
      <c r="AS1207" s="2135"/>
      <c r="AT1207" s="2135"/>
      <c r="AU1207" s="1212">
        <v>1</v>
      </c>
      <c r="AV1207" s="1212"/>
      <c r="AW1207" s="1212"/>
      <c r="AX1207" s="1212"/>
      <c r="AY1207" s="1212"/>
      <c r="AZ1207" s="1212"/>
      <c r="BA1207" s="1212"/>
      <c r="BB1207" s="1212"/>
      <c r="BC1207" s="1212"/>
      <c r="BD1207" s="1212"/>
      <c r="BE1207" s="1212"/>
      <c r="BF1207" s="2126">
        <v>0</v>
      </c>
      <c r="BG1207" s="2126">
        <v>0</v>
      </c>
      <c r="BH1207" s="2126">
        <v>-28499.366666666669</v>
      </c>
      <c r="BI1207" s="2126">
        <v>0</v>
      </c>
      <c r="BJ1207" s="2126">
        <v>0</v>
      </c>
      <c r="BK1207" s="2126">
        <v>0</v>
      </c>
      <c r="BL1207" s="2126">
        <v>0</v>
      </c>
      <c r="BM1207" s="2126">
        <v>0</v>
      </c>
      <c r="BN1207" s="2126">
        <v>0</v>
      </c>
      <c r="BO1207" s="2126">
        <v>0</v>
      </c>
      <c r="BP1207" s="2126">
        <v>0</v>
      </c>
      <c r="BQ1207" s="2126">
        <v>0</v>
      </c>
      <c r="BR1207" s="2126">
        <v>0</v>
      </c>
    </row>
    <row r="1208" spans="1:70" s="1765" customFormat="1" ht="33">
      <c r="A1208" s="1272">
        <v>5000</v>
      </c>
      <c r="B1208" s="971" t="s">
        <v>2119</v>
      </c>
      <c r="C1208" s="1272">
        <v>5100</v>
      </c>
      <c r="D1208" s="971" t="s">
        <v>78</v>
      </c>
      <c r="E1208" s="971">
        <v>5140</v>
      </c>
      <c r="F1208" s="971" t="s">
        <v>176</v>
      </c>
      <c r="G1208" s="971">
        <v>5140</v>
      </c>
      <c r="H1208" s="971" t="s">
        <v>176</v>
      </c>
      <c r="I1208" s="1273" t="s">
        <v>2137</v>
      </c>
      <c r="J1208" s="971" t="s">
        <v>239</v>
      </c>
      <c r="K1208" s="971" t="s">
        <v>1768</v>
      </c>
      <c r="L1208" s="971" t="s">
        <v>1769</v>
      </c>
      <c r="M1208" s="971" t="s">
        <v>1768</v>
      </c>
      <c r="N1208" s="971" t="s">
        <v>179</v>
      </c>
      <c r="O1208" s="971" t="s">
        <v>1769</v>
      </c>
      <c r="P1208" s="971"/>
      <c r="Q1208" s="971" t="s">
        <v>2138</v>
      </c>
      <c r="R1208" s="1266"/>
      <c r="S1208" s="2106">
        <v>-1</v>
      </c>
      <c r="T1208" s="1266" t="s">
        <v>242</v>
      </c>
      <c r="U1208" s="1742">
        <v>8.1</v>
      </c>
      <c r="V1208" s="1742">
        <v>88.75</v>
      </c>
      <c r="W1208" s="1742">
        <v>713.93399999999997</v>
      </c>
      <c r="X1208" s="1742">
        <v>978.87700000000007</v>
      </c>
      <c r="Y1208" s="2106">
        <v>1781.5610000000001</v>
      </c>
      <c r="Z1208" s="2106">
        <v>-8.1</v>
      </c>
      <c r="AA1208" s="2106">
        <v>-88.75</v>
      </c>
      <c r="AB1208" s="2106">
        <v>-713.93399999999997</v>
      </c>
      <c r="AC1208" s="2106">
        <v>-978.87700000000007</v>
      </c>
      <c r="AD1208" s="1744">
        <v>-1781.5610000000001</v>
      </c>
      <c r="AE1208" s="2126">
        <v>0.5</v>
      </c>
      <c r="AF1208" s="2126">
        <v>-0.5</v>
      </c>
      <c r="AG1208" s="1212">
        <v>1</v>
      </c>
      <c r="AH1208" s="1212">
        <v>0</v>
      </c>
      <c r="AI1208" s="1212">
        <v>0</v>
      </c>
      <c r="AJ1208" s="1212">
        <v>1</v>
      </c>
      <c r="AK1208" s="2126">
        <v>-1781.5610000000001</v>
      </c>
      <c r="AL1208" s="2126">
        <v>0</v>
      </c>
      <c r="AM1208" s="2126">
        <v>0</v>
      </c>
      <c r="AN1208" s="2126">
        <v>-1781.5610000000001</v>
      </c>
      <c r="AO1208" s="1743" t="s">
        <v>85</v>
      </c>
      <c r="AP1208" s="1743" t="s">
        <v>90</v>
      </c>
      <c r="AQ1208" s="1764" t="s">
        <v>192</v>
      </c>
      <c r="AR1208" s="1743" t="s">
        <v>87</v>
      </c>
      <c r="AS1208" s="2135"/>
      <c r="AT1208" s="2135"/>
      <c r="AU1208" s="1212">
        <v>1</v>
      </c>
      <c r="AV1208" s="1212"/>
      <c r="AW1208" s="1212"/>
      <c r="AX1208" s="1212"/>
      <c r="AY1208" s="1212"/>
      <c r="AZ1208" s="1212"/>
      <c r="BA1208" s="1212"/>
      <c r="BB1208" s="1212"/>
      <c r="BC1208" s="1212"/>
      <c r="BD1208" s="1212"/>
      <c r="BE1208" s="1212"/>
      <c r="BF1208" s="2126">
        <v>0</v>
      </c>
      <c r="BG1208" s="2126">
        <v>0</v>
      </c>
      <c r="BH1208" s="2126">
        <v>-1781.5610000000001</v>
      </c>
      <c r="BI1208" s="2126">
        <v>0</v>
      </c>
      <c r="BJ1208" s="2126">
        <v>0</v>
      </c>
      <c r="BK1208" s="2126">
        <v>0</v>
      </c>
      <c r="BL1208" s="2126">
        <v>0</v>
      </c>
      <c r="BM1208" s="2126">
        <v>0</v>
      </c>
      <c r="BN1208" s="2126">
        <v>0</v>
      </c>
      <c r="BO1208" s="2126">
        <v>0</v>
      </c>
      <c r="BP1208" s="2126">
        <v>0</v>
      </c>
      <c r="BQ1208" s="2126">
        <v>0</v>
      </c>
      <c r="BR1208" s="2126">
        <v>0</v>
      </c>
    </row>
    <row r="1209" spans="1:70" s="1765" customFormat="1" ht="33">
      <c r="A1209" s="1272">
        <v>5000</v>
      </c>
      <c r="B1209" s="971" t="s">
        <v>2119</v>
      </c>
      <c r="C1209" s="1272">
        <v>5100</v>
      </c>
      <c r="D1209" s="971" t="s">
        <v>78</v>
      </c>
      <c r="E1209" s="971">
        <v>5140</v>
      </c>
      <c r="F1209" s="971" t="s">
        <v>176</v>
      </c>
      <c r="G1209" s="971">
        <v>5140</v>
      </c>
      <c r="H1209" s="971" t="s">
        <v>176</v>
      </c>
      <c r="I1209" s="1273"/>
      <c r="J1209" s="971" t="s">
        <v>2139</v>
      </c>
      <c r="K1209" s="971" t="s">
        <v>1768</v>
      </c>
      <c r="L1209" s="971" t="s">
        <v>1769</v>
      </c>
      <c r="M1209" s="971" t="s">
        <v>1768</v>
      </c>
      <c r="N1209" s="971" t="s">
        <v>179</v>
      </c>
      <c r="O1209" s="971" t="s">
        <v>1769</v>
      </c>
      <c r="P1209" s="971"/>
      <c r="Q1209" s="971" t="s">
        <v>2140</v>
      </c>
      <c r="R1209" s="1266"/>
      <c r="S1209" s="2106">
        <v>-21</v>
      </c>
      <c r="T1209" s="1266" t="s">
        <v>242</v>
      </c>
      <c r="U1209" s="1742">
        <v>8.1</v>
      </c>
      <c r="V1209" s="1742">
        <v>88.75</v>
      </c>
      <c r="W1209" s="1742">
        <v>713.93399999999997</v>
      </c>
      <c r="X1209" s="1742">
        <v>978.87700000000007</v>
      </c>
      <c r="Y1209" s="2106">
        <v>1781.5610000000001</v>
      </c>
      <c r="Z1209" s="2106">
        <v>-170.1</v>
      </c>
      <c r="AA1209" s="2106">
        <v>-1863.75</v>
      </c>
      <c r="AB1209" s="2106">
        <v>-14992.614</v>
      </c>
      <c r="AC1209" s="2106">
        <v>-20556.417000000001</v>
      </c>
      <c r="AD1209" s="1744">
        <v>-37412.781000000003</v>
      </c>
      <c r="AE1209" s="2126">
        <v>0.5</v>
      </c>
      <c r="AF1209" s="2126">
        <v>-10.5</v>
      </c>
      <c r="AG1209" s="1212">
        <v>1</v>
      </c>
      <c r="AH1209" s="1212">
        <v>0</v>
      </c>
      <c r="AI1209" s="1212">
        <v>0</v>
      </c>
      <c r="AJ1209" s="1212">
        <v>1</v>
      </c>
      <c r="AK1209" s="2126">
        <v>-37412.781000000003</v>
      </c>
      <c r="AL1209" s="2126">
        <v>0</v>
      </c>
      <c r="AM1209" s="2126">
        <v>0</v>
      </c>
      <c r="AN1209" s="2126">
        <v>-37412.781000000003</v>
      </c>
      <c r="AO1209" s="1743" t="s">
        <v>85</v>
      </c>
      <c r="AP1209" s="1743" t="s">
        <v>96</v>
      </c>
      <c r="AQ1209" s="1764" t="s">
        <v>192</v>
      </c>
      <c r="AR1209" s="1743" t="s">
        <v>87</v>
      </c>
      <c r="AS1209" s="2135"/>
      <c r="AT1209" s="2135"/>
      <c r="AU1209" s="1212">
        <v>1</v>
      </c>
      <c r="AV1209" s="1212"/>
      <c r="AW1209" s="1212"/>
      <c r="AX1209" s="1212"/>
      <c r="AY1209" s="1212"/>
      <c r="AZ1209" s="1212"/>
      <c r="BA1209" s="1212"/>
      <c r="BB1209" s="1212"/>
      <c r="BC1209" s="1212"/>
      <c r="BD1209" s="1212"/>
      <c r="BE1209" s="1212"/>
      <c r="BF1209" s="2126">
        <v>0</v>
      </c>
      <c r="BG1209" s="2126">
        <v>0</v>
      </c>
      <c r="BH1209" s="2126">
        <v>-37412.781000000003</v>
      </c>
      <c r="BI1209" s="2126">
        <v>0</v>
      </c>
      <c r="BJ1209" s="2126">
        <v>0</v>
      </c>
      <c r="BK1209" s="2126">
        <v>0</v>
      </c>
      <c r="BL1209" s="2126">
        <v>0</v>
      </c>
      <c r="BM1209" s="2126">
        <v>0</v>
      </c>
      <c r="BN1209" s="2126">
        <v>0</v>
      </c>
      <c r="BO1209" s="2126">
        <v>0</v>
      </c>
      <c r="BP1209" s="2126">
        <v>0</v>
      </c>
      <c r="BQ1209" s="2126">
        <v>0</v>
      </c>
      <c r="BR1209" s="2126">
        <v>0</v>
      </c>
    </row>
    <row r="1210" spans="1:70" s="1765" customFormat="1" ht="33">
      <c r="A1210" s="1272">
        <v>5000</v>
      </c>
      <c r="B1210" s="971" t="s">
        <v>2119</v>
      </c>
      <c r="C1210" s="1272">
        <v>5100</v>
      </c>
      <c r="D1210" s="971" t="s">
        <v>78</v>
      </c>
      <c r="E1210" s="971">
        <v>5140</v>
      </c>
      <c r="F1210" s="971" t="s">
        <v>176</v>
      </c>
      <c r="G1210" s="971">
        <v>5140</v>
      </c>
      <c r="H1210" s="971" t="s">
        <v>176</v>
      </c>
      <c r="I1210" s="1273"/>
      <c r="J1210" s="971" t="s">
        <v>2139</v>
      </c>
      <c r="K1210" s="971" t="s">
        <v>1768</v>
      </c>
      <c r="L1210" s="971" t="s">
        <v>1769</v>
      </c>
      <c r="M1210" s="971" t="s">
        <v>1768</v>
      </c>
      <c r="N1210" s="971" t="s">
        <v>179</v>
      </c>
      <c r="O1210" s="971" t="s">
        <v>1769</v>
      </c>
      <c r="P1210" s="971"/>
      <c r="Q1210" s="971" t="s">
        <v>2140</v>
      </c>
      <c r="R1210" s="1266"/>
      <c r="S1210" s="2106">
        <v>-7</v>
      </c>
      <c r="T1210" s="1266" t="s">
        <v>242</v>
      </c>
      <c r="U1210" s="1742">
        <v>8.1</v>
      </c>
      <c r="V1210" s="1742">
        <v>88.75</v>
      </c>
      <c r="W1210" s="1742">
        <v>713.93399999999997</v>
      </c>
      <c r="X1210" s="1742">
        <v>978.87700000000007</v>
      </c>
      <c r="Y1210" s="2106">
        <v>1781.5610000000001</v>
      </c>
      <c r="Z1210" s="2106">
        <v>-56.699999999999996</v>
      </c>
      <c r="AA1210" s="2106">
        <v>-621.25</v>
      </c>
      <c r="AB1210" s="2106">
        <v>-4997.5379999999996</v>
      </c>
      <c r="AC1210" s="2106">
        <v>-6852.1390000000001</v>
      </c>
      <c r="AD1210" s="1744">
        <v>-12470.927</v>
      </c>
      <c r="AE1210" s="2126">
        <v>0.5</v>
      </c>
      <c r="AF1210" s="2126">
        <v>-3.5</v>
      </c>
      <c r="AG1210" s="1212">
        <v>1</v>
      </c>
      <c r="AH1210" s="1212">
        <v>0</v>
      </c>
      <c r="AI1210" s="1212">
        <v>0</v>
      </c>
      <c r="AJ1210" s="1212">
        <v>1</v>
      </c>
      <c r="AK1210" s="2126">
        <v>-12470.927</v>
      </c>
      <c r="AL1210" s="2126">
        <v>0</v>
      </c>
      <c r="AM1210" s="2126">
        <v>0</v>
      </c>
      <c r="AN1210" s="2126">
        <v>-12470.927</v>
      </c>
      <c r="AO1210" s="1743" t="s">
        <v>85</v>
      </c>
      <c r="AP1210" s="1743" t="s">
        <v>96</v>
      </c>
      <c r="AQ1210" s="1764" t="s">
        <v>2141</v>
      </c>
      <c r="AR1210" s="1743" t="s">
        <v>87</v>
      </c>
      <c r="AS1210" s="2135"/>
      <c r="AT1210" s="2135"/>
      <c r="AU1210" s="1212">
        <v>1</v>
      </c>
      <c r="AV1210" s="1212"/>
      <c r="AW1210" s="1212"/>
      <c r="AX1210" s="1212"/>
      <c r="AY1210" s="1212"/>
      <c r="AZ1210" s="1212"/>
      <c r="BA1210" s="1212"/>
      <c r="BB1210" s="1212"/>
      <c r="BC1210" s="1212"/>
      <c r="BD1210" s="1212"/>
      <c r="BE1210" s="1212"/>
      <c r="BF1210" s="2126">
        <v>0</v>
      </c>
      <c r="BG1210" s="2126">
        <v>0</v>
      </c>
      <c r="BH1210" s="2126">
        <v>-12470.927</v>
      </c>
      <c r="BI1210" s="2126">
        <v>0</v>
      </c>
      <c r="BJ1210" s="2126">
        <v>0</v>
      </c>
      <c r="BK1210" s="2126">
        <v>0</v>
      </c>
      <c r="BL1210" s="2126">
        <v>0</v>
      </c>
      <c r="BM1210" s="2126">
        <v>0</v>
      </c>
      <c r="BN1210" s="2126">
        <v>0</v>
      </c>
      <c r="BO1210" s="2126">
        <v>0</v>
      </c>
      <c r="BP1210" s="2126">
        <v>0</v>
      </c>
      <c r="BQ1210" s="2126">
        <v>0</v>
      </c>
      <c r="BR1210" s="2126">
        <v>0</v>
      </c>
    </row>
    <row r="1211" spans="1:70" s="1765" customFormat="1" ht="33">
      <c r="A1211" s="1272">
        <v>5000</v>
      </c>
      <c r="B1211" s="971" t="s">
        <v>2119</v>
      </c>
      <c r="C1211" s="1272">
        <v>5100</v>
      </c>
      <c r="D1211" s="971" t="s">
        <v>78</v>
      </c>
      <c r="E1211" s="971">
        <v>5140</v>
      </c>
      <c r="F1211" s="971" t="s">
        <v>176</v>
      </c>
      <c r="G1211" s="971">
        <v>5140</v>
      </c>
      <c r="H1211" s="971" t="s">
        <v>176</v>
      </c>
      <c r="I1211" s="1273"/>
      <c r="J1211" s="971" t="s">
        <v>2139</v>
      </c>
      <c r="K1211" s="971" t="s">
        <v>1768</v>
      </c>
      <c r="L1211" s="971" t="s">
        <v>1769</v>
      </c>
      <c r="M1211" s="971" t="s">
        <v>1768</v>
      </c>
      <c r="N1211" s="971" t="s">
        <v>179</v>
      </c>
      <c r="O1211" s="971" t="s">
        <v>1769</v>
      </c>
      <c r="P1211" s="971"/>
      <c r="Q1211" s="971" t="s">
        <v>2140</v>
      </c>
      <c r="R1211" s="1266"/>
      <c r="S1211" s="2106">
        <v>10</v>
      </c>
      <c r="T1211" s="1266" t="s">
        <v>242</v>
      </c>
      <c r="U1211" s="1742">
        <v>8.1</v>
      </c>
      <c r="V1211" s="1742">
        <v>88.75</v>
      </c>
      <c r="W1211" s="1742">
        <v>713.93399999999997</v>
      </c>
      <c r="X1211" s="1742">
        <v>978.87700000000007</v>
      </c>
      <c r="Y1211" s="2106">
        <v>1781.5610000000001</v>
      </c>
      <c r="Z1211" s="2106">
        <v>81</v>
      </c>
      <c r="AA1211" s="2106">
        <v>887.5</v>
      </c>
      <c r="AB1211" s="2106">
        <v>7139.34</v>
      </c>
      <c r="AC1211" s="2106">
        <v>9788.77</v>
      </c>
      <c r="AD1211" s="1744">
        <v>17815.61</v>
      </c>
      <c r="AE1211" s="2126">
        <v>0.5</v>
      </c>
      <c r="AF1211" s="2126">
        <v>5</v>
      </c>
      <c r="AG1211" s="1212">
        <v>1</v>
      </c>
      <c r="AH1211" s="1212">
        <v>0</v>
      </c>
      <c r="AI1211" s="1212">
        <v>0</v>
      </c>
      <c r="AJ1211" s="1212">
        <v>1</v>
      </c>
      <c r="AK1211" s="2126">
        <v>17815.61</v>
      </c>
      <c r="AL1211" s="2126">
        <v>0</v>
      </c>
      <c r="AM1211" s="2126">
        <v>0</v>
      </c>
      <c r="AN1211" s="2126">
        <v>17815.61</v>
      </c>
      <c r="AO1211" s="1743" t="s">
        <v>85</v>
      </c>
      <c r="AP1211" s="1743" t="s">
        <v>90</v>
      </c>
      <c r="AQ1211" s="1764">
        <v>2020</v>
      </c>
      <c r="AR1211" s="1743" t="s">
        <v>87</v>
      </c>
      <c r="AS1211" s="2135"/>
      <c r="AT1211" s="2135"/>
      <c r="AU1211" s="1212">
        <v>1</v>
      </c>
      <c r="AV1211" s="1212"/>
      <c r="AW1211" s="1212"/>
      <c r="AX1211" s="1212"/>
      <c r="AY1211" s="1212"/>
      <c r="AZ1211" s="1212"/>
      <c r="BA1211" s="1212"/>
      <c r="BB1211" s="1212"/>
      <c r="BC1211" s="1212"/>
      <c r="BD1211" s="1212"/>
      <c r="BE1211" s="1212"/>
      <c r="BF1211" s="2126">
        <v>0</v>
      </c>
      <c r="BG1211" s="2126">
        <v>0</v>
      </c>
      <c r="BH1211" s="2126">
        <v>17815.61</v>
      </c>
      <c r="BI1211" s="2126">
        <v>0</v>
      </c>
      <c r="BJ1211" s="2126">
        <v>0</v>
      </c>
      <c r="BK1211" s="2126">
        <v>0</v>
      </c>
      <c r="BL1211" s="2126">
        <v>0</v>
      </c>
      <c r="BM1211" s="2126">
        <v>0</v>
      </c>
      <c r="BN1211" s="2126">
        <v>0</v>
      </c>
      <c r="BO1211" s="2126">
        <v>0</v>
      </c>
      <c r="BP1211" s="2126">
        <v>0</v>
      </c>
      <c r="BQ1211" s="2126">
        <v>0</v>
      </c>
      <c r="BR1211" s="2126">
        <v>0</v>
      </c>
    </row>
    <row r="1212" spans="1:70" s="1765" customFormat="1" ht="33">
      <c r="A1212" s="1272">
        <v>5000</v>
      </c>
      <c r="B1212" s="971" t="s">
        <v>2119</v>
      </c>
      <c r="C1212" s="1272">
        <v>5100</v>
      </c>
      <c r="D1212" s="971" t="s">
        <v>78</v>
      </c>
      <c r="E1212" s="971">
        <v>5140</v>
      </c>
      <c r="F1212" s="971" t="s">
        <v>176</v>
      </c>
      <c r="G1212" s="971">
        <v>5140</v>
      </c>
      <c r="H1212" s="971" t="s">
        <v>176</v>
      </c>
      <c r="I1212" s="1273" t="s">
        <v>2142</v>
      </c>
      <c r="J1212" s="971" t="s">
        <v>2143</v>
      </c>
      <c r="K1212" s="971" t="s">
        <v>1768</v>
      </c>
      <c r="L1212" s="971" t="s">
        <v>1769</v>
      </c>
      <c r="M1212" s="971" t="s">
        <v>1768</v>
      </c>
      <c r="N1212" s="971" t="s">
        <v>179</v>
      </c>
      <c r="O1212" s="971" t="s">
        <v>1769</v>
      </c>
      <c r="P1212" s="971"/>
      <c r="Q1212" s="971" t="s">
        <v>2144</v>
      </c>
      <c r="R1212" s="1266" t="s">
        <v>2145</v>
      </c>
      <c r="S1212" s="2106">
        <v>-1</v>
      </c>
      <c r="T1212" s="1266" t="s">
        <v>242</v>
      </c>
      <c r="U1212" s="1742">
        <v>8.1</v>
      </c>
      <c r="V1212" s="1742">
        <v>88.75</v>
      </c>
      <c r="W1212" s="1742">
        <v>713.93399999999997</v>
      </c>
      <c r="X1212" s="1742">
        <v>978.87700000000007</v>
      </c>
      <c r="Y1212" s="2106">
        <v>1781.5610000000001</v>
      </c>
      <c r="Z1212" s="2106">
        <v>-8.1</v>
      </c>
      <c r="AA1212" s="2106">
        <v>-88.75</v>
      </c>
      <c r="AB1212" s="2106">
        <v>-713.93399999999997</v>
      </c>
      <c r="AC1212" s="2106">
        <v>-978.87700000000007</v>
      </c>
      <c r="AD1212" s="1744">
        <v>-1781.5610000000001</v>
      </c>
      <c r="AE1212" s="2126">
        <v>0.5</v>
      </c>
      <c r="AF1212" s="2126">
        <v>0.5</v>
      </c>
      <c r="AG1212" s="1212">
        <v>1</v>
      </c>
      <c r="AH1212" s="1212">
        <v>0</v>
      </c>
      <c r="AI1212" s="1212">
        <v>0</v>
      </c>
      <c r="AJ1212" s="1212">
        <v>1</v>
      </c>
      <c r="AK1212" s="2126">
        <v>-1781.5610000000001</v>
      </c>
      <c r="AL1212" s="2126">
        <v>0</v>
      </c>
      <c r="AM1212" s="2126">
        <v>0</v>
      </c>
      <c r="AN1212" s="2126">
        <v>-1781.5610000000001</v>
      </c>
      <c r="AO1212" s="1743" t="s">
        <v>85</v>
      </c>
      <c r="AP1212" s="1743" t="s">
        <v>96</v>
      </c>
      <c r="AQ1212" s="1764" t="s">
        <v>97</v>
      </c>
      <c r="AR1212" s="1743" t="s">
        <v>87</v>
      </c>
      <c r="AS1212" s="2135"/>
      <c r="AT1212" s="2135"/>
      <c r="AU1212" s="1212">
        <v>1</v>
      </c>
      <c r="AV1212" s="1212"/>
      <c r="AW1212" s="1212"/>
      <c r="AX1212" s="1212"/>
      <c r="AY1212" s="1212"/>
      <c r="AZ1212" s="1212"/>
      <c r="BA1212" s="1212"/>
      <c r="BB1212" s="1212"/>
      <c r="BC1212" s="1212"/>
      <c r="BD1212" s="1212"/>
      <c r="BE1212" s="1212"/>
      <c r="BF1212" s="2126">
        <v>0</v>
      </c>
      <c r="BG1212" s="2126">
        <v>0</v>
      </c>
      <c r="BH1212" s="2126">
        <v>-1781.5610000000001</v>
      </c>
      <c r="BI1212" s="2126">
        <v>0</v>
      </c>
      <c r="BJ1212" s="2126">
        <v>0</v>
      </c>
      <c r="BK1212" s="2126">
        <v>0</v>
      </c>
      <c r="BL1212" s="2126">
        <v>0</v>
      </c>
      <c r="BM1212" s="2126">
        <v>0</v>
      </c>
      <c r="BN1212" s="2126">
        <v>0</v>
      </c>
      <c r="BO1212" s="2126">
        <v>0</v>
      </c>
      <c r="BP1212" s="2126">
        <v>0</v>
      </c>
      <c r="BQ1212" s="2126">
        <v>0</v>
      </c>
      <c r="BR1212" s="2126">
        <v>0</v>
      </c>
    </row>
    <row r="1213" spans="1:70" s="1765" customFormat="1" ht="33">
      <c r="A1213" s="1272">
        <v>5000</v>
      </c>
      <c r="B1213" s="971" t="s">
        <v>2119</v>
      </c>
      <c r="C1213" s="1272">
        <v>5100</v>
      </c>
      <c r="D1213" s="971" t="s">
        <v>78</v>
      </c>
      <c r="E1213" s="971">
        <v>5140</v>
      </c>
      <c r="F1213" s="971" t="s">
        <v>176</v>
      </c>
      <c r="G1213" s="971">
        <v>5140</v>
      </c>
      <c r="H1213" s="971" t="s">
        <v>176</v>
      </c>
      <c r="I1213" s="1273" t="s">
        <v>2142</v>
      </c>
      <c r="J1213" s="971" t="s">
        <v>2143</v>
      </c>
      <c r="K1213" s="971" t="s">
        <v>1768</v>
      </c>
      <c r="L1213" s="971" t="s">
        <v>1769</v>
      </c>
      <c r="M1213" s="971" t="s">
        <v>1768</v>
      </c>
      <c r="N1213" s="971" t="s">
        <v>179</v>
      </c>
      <c r="O1213" s="971" t="s">
        <v>1769</v>
      </c>
      <c r="P1213" s="971"/>
      <c r="Q1213" s="971" t="s">
        <v>2144</v>
      </c>
      <c r="R1213" s="1266" t="s">
        <v>2145</v>
      </c>
      <c r="S1213" s="2106">
        <v>1</v>
      </c>
      <c r="T1213" s="1266" t="s">
        <v>242</v>
      </c>
      <c r="U1213" s="1742">
        <v>8.1</v>
      </c>
      <c r="V1213" s="1742">
        <v>88.75</v>
      </c>
      <c r="W1213" s="1742">
        <v>713.93399999999997</v>
      </c>
      <c r="X1213" s="1742">
        <v>978.87700000000007</v>
      </c>
      <c r="Y1213" s="2106">
        <v>1781.5610000000001</v>
      </c>
      <c r="Z1213" s="2106">
        <v>8.1</v>
      </c>
      <c r="AA1213" s="2106">
        <v>88.75</v>
      </c>
      <c r="AB1213" s="2106">
        <v>713.93399999999997</v>
      </c>
      <c r="AC1213" s="2106">
        <v>978.87700000000007</v>
      </c>
      <c r="AD1213" s="1744">
        <v>1781.5610000000001</v>
      </c>
      <c r="AE1213" s="2126">
        <v>0.5</v>
      </c>
      <c r="AF1213" s="2126">
        <v>0.5</v>
      </c>
      <c r="AG1213" s="1212">
        <v>1</v>
      </c>
      <c r="AH1213" s="1212">
        <v>0</v>
      </c>
      <c r="AI1213" s="1212">
        <v>0</v>
      </c>
      <c r="AJ1213" s="1212">
        <v>1</v>
      </c>
      <c r="AK1213" s="2126">
        <v>1781.5610000000001</v>
      </c>
      <c r="AL1213" s="2126">
        <v>0</v>
      </c>
      <c r="AM1213" s="2126">
        <v>0</v>
      </c>
      <c r="AN1213" s="2126">
        <v>1781.5610000000001</v>
      </c>
      <c r="AO1213" s="1743" t="s">
        <v>85</v>
      </c>
      <c r="AP1213" s="1743" t="s">
        <v>90</v>
      </c>
      <c r="AQ1213" s="1764">
        <v>2021</v>
      </c>
      <c r="AR1213" s="1743" t="s">
        <v>87</v>
      </c>
      <c r="AS1213" s="2135"/>
      <c r="AT1213" s="2135"/>
      <c r="AU1213" s="1212">
        <v>1</v>
      </c>
      <c r="AV1213" s="1212"/>
      <c r="AW1213" s="1212"/>
      <c r="AX1213" s="1212"/>
      <c r="AY1213" s="1212"/>
      <c r="AZ1213" s="1212"/>
      <c r="BA1213" s="1212"/>
      <c r="BB1213" s="1212"/>
      <c r="BC1213" s="1212"/>
      <c r="BD1213" s="1212"/>
      <c r="BE1213" s="1212"/>
      <c r="BF1213" s="2126">
        <v>0</v>
      </c>
      <c r="BG1213" s="2126">
        <v>0</v>
      </c>
      <c r="BH1213" s="2126">
        <v>1781.5610000000001</v>
      </c>
      <c r="BI1213" s="2126">
        <v>0</v>
      </c>
      <c r="BJ1213" s="2126">
        <v>0</v>
      </c>
      <c r="BK1213" s="2126">
        <v>0</v>
      </c>
      <c r="BL1213" s="2126">
        <v>0</v>
      </c>
      <c r="BM1213" s="2126">
        <v>0</v>
      </c>
      <c r="BN1213" s="2126">
        <v>0</v>
      </c>
      <c r="BO1213" s="2126">
        <v>0</v>
      </c>
      <c r="BP1213" s="2126">
        <v>0</v>
      </c>
      <c r="BQ1213" s="2126">
        <v>0</v>
      </c>
      <c r="BR1213" s="2126">
        <v>0</v>
      </c>
    </row>
    <row r="1214" spans="1:70" s="1765" customFormat="1" ht="33">
      <c r="A1214" s="1272">
        <v>5000</v>
      </c>
      <c r="B1214" s="971" t="s">
        <v>2119</v>
      </c>
      <c r="C1214" s="1272">
        <v>5100</v>
      </c>
      <c r="D1214" s="971" t="s">
        <v>78</v>
      </c>
      <c r="E1214" s="971">
        <v>5140</v>
      </c>
      <c r="F1214" s="971" t="s">
        <v>176</v>
      </c>
      <c r="G1214" s="971">
        <v>5140</v>
      </c>
      <c r="H1214" s="971" t="s">
        <v>176</v>
      </c>
      <c r="I1214" s="1273"/>
      <c r="J1214" s="971" t="s">
        <v>2146</v>
      </c>
      <c r="K1214" s="971" t="s">
        <v>2129</v>
      </c>
      <c r="L1214" s="971" t="s">
        <v>2130</v>
      </c>
      <c r="M1214" s="971" t="s">
        <v>2129</v>
      </c>
      <c r="N1214" s="971" t="s">
        <v>176</v>
      </c>
      <c r="O1214" s="971" t="s">
        <v>2130</v>
      </c>
      <c r="P1214" s="971"/>
      <c r="Q1214" s="971" t="s">
        <v>2147</v>
      </c>
      <c r="R1214" s="1266"/>
      <c r="S1214" s="2106">
        <v>1</v>
      </c>
      <c r="T1214" s="1266" t="s">
        <v>242</v>
      </c>
      <c r="U1214" s="1742">
        <v>6.666666666666667</v>
      </c>
      <c r="V1214" s="1742">
        <v>20.833333333333336</v>
      </c>
      <c r="W1214" s="1742">
        <v>587.6</v>
      </c>
      <c r="X1214" s="1742">
        <v>229.78333333333333</v>
      </c>
      <c r="Y1214" s="2106">
        <v>838.2166666666667</v>
      </c>
      <c r="Z1214" s="2106">
        <v>6.666666666666667</v>
      </c>
      <c r="AA1214" s="2106">
        <v>20.833333333333336</v>
      </c>
      <c r="AB1214" s="2106">
        <v>587.6</v>
      </c>
      <c r="AC1214" s="2106">
        <v>229.78333333333333</v>
      </c>
      <c r="AD1214" s="1744">
        <v>838.2166666666667</v>
      </c>
      <c r="AE1214" s="2126">
        <v>4</v>
      </c>
      <c r="AF1214" s="2126">
        <v>4</v>
      </c>
      <c r="AG1214" s="1212">
        <v>1</v>
      </c>
      <c r="AH1214" s="1212">
        <v>0</v>
      </c>
      <c r="AI1214" s="1212">
        <v>0</v>
      </c>
      <c r="AJ1214" s="1212">
        <v>1</v>
      </c>
      <c r="AK1214" s="2126">
        <v>838.2166666666667</v>
      </c>
      <c r="AL1214" s="2126">
        <v>0</v>
      </c>
      <c r="AM1214" s="2126">
        <v>0</v>
      </c>
      <c r="AN1214" s="2126">
        <v>838.2166666666667</v>
      </c>
      <c r="AO1214" s="1743" t="s">
        <v>85</v>
      </c>
      <c r="AP1214" s="1743" t="s">
        <v>90</v>
      </c>
      <c r="AQ1214" s="1764" t="s">
        <v>192</v>
      </c>
      <c r="AR1214" s="1743" t="s">
        <v>87</v>
      </c>
      <c r="AS1214" s="2135"/>
      <c r="AT1214" s="2135"/>
      <c r="AU1214" s="1212">
        <v>1</v>
      </c>
      <c r="AV1214" s="1212"/>
      <c r="AW1214" s="1212"/>
      <c r="AX1214" s="1212"/>
      <c r="AY1214" s="1212"/>
      <c r="AZ1214" s="1212"/>
      <c r="BA1214" s="1212"/>
      <c r="BB1214" s="1212"/>
      <c r="BC1214" s="1212"/>
      <c r="BD1214" s="1212"/>
      <c r="BE1214" s="1212"/>
      <c r="BF1214" s="2126">
        <v>0</v>
      </c>
      <c r="BG1214" s="2126">
        <v>0</v>
      </c>
      <c r="BH1214" s="2126">
        <v>838.2166666666667</v>
      </c>
      <c r="BI1214" s="2126">
        <v>0</v>
      </c>
      <c r="BJ1214" s="2126">
        <v>0</v>
      </c>
      <c r="BK1214" s="2126">
        <v>0</v>
      </c>
      <c r="BL1214" s="2126">
        <v>0</v>
      </c>
      <c r="BM1214" s="2126">
        <v>0</v>
      </c>
      <c r="BN1214" s="2126">
        <v>0</v>
      </c>
      <c r="BO1214" s="2126">
        <v>0</v>
      </c>
      <c r="BP1214" s="2126">
        <v>0</v>
      </c>
      <c r="BQ1214" s="2126">
        <v>0</v>
      </c>
      <c r="BR1214" s="2126">
        <v>0</v>
      </c>
    </row>
    <row r="1215" spans="1:70" s="1765" customFormat="1" ht="33">
      <c r="A1215" s="1272">
        <v>5000</v>
      </c>
      <c r="B1215" s="971" t="s">
        <v>2119</v>
      </c>
      <c r="C1215" s="1272">
        <v>5100</v>
      </c>
      <c r="D1215" s="971" t="s">
        <v>78</v>
      </c>
      <c r="E1215" s="971">
        <v>5140</v>
      </c>
      <c r="F1215" s="971" t="s">
        <v>176</v>
      </c>
      <c r="G1215" s="971">
        <v>5140</v>
      </c>
      <c r="H1215" s="971" t="s">
        <v>176</v>
      </c>
      <c r="I1215" s="1273"/>
      <c r="J1215" s="971" t="s">
        <v>2146</v>
      </c>
      <c r="K1215" s="971" t="s">
        <v>2129</v>
      </c>
      <c r="L1215" s="971" t="s">
        <v>2130</v>
      </c>
      <c r="M1215" s="971" t="s">
        <v>2129</v>
      </c>
      <c r="N1215" s="971" t="s">
        <v>176</v>
      </c>
      <c r="O1215" s="971" t="s">
        <v>2130</v>
      </c>
      <c r="P1215" s="971"/>
      <c r="Q1215" s="971" t="s">
        <v>2148</v>
      </c>
      <c r="R1215" s="1266" t="s">
        <v>2149</v>
      </c>
      <c r="S1215" s="2106">
        <v>-3</v>
      </c>
      <c r="T1215" s="1266" t="s">
        <v>242</v>
      </c>
      <c r="U1215" s="1742">
        <v>6.666666666666667</v>
      </c>
      <c r="V1215" s="1742">
        <v>20.833333333333336</v>
      </c>
      <c r="W1215" s="1742">
        <v>587.6</v>
      </c>
      <c r="X1215" s="1742">
        <v>229.78333333333333</v>
      </c>
      <c r="Y1215" s="2106">
        <v>838.2166666666667</v>
      </c>
      <c r="Z1215" s="2106">
        <v>-20</v>
      </c>
      <c r="AA1215" s="2106">
        <v>-62.500000000000007</v>
      </c>
      <c r="AB1215" s="2106">
        <v>-1762.8000000000002</v>
      </c>
      <c r="AC1215" s="2106">
        <v>-689.35</v>
      </c>
      <c r="AD1215" s="1744">
        <v>-2514.65</v>
      </c>
      <c r="AE1215" s="2126">
        <v>4</v>
      </c>
      <c r="AF1215" s="2126">
        <v>12</v>
      </c>
      <c r="AG1215" s="1212">
        <v>1</v>
      </c>
      <c r="AH1215" s="1212">
        <v>0</v>
      </c>
      <c r="AI1215" s="1212">
        <v>0</v>
      </c>
      <c r="AJ1215" s="1212">
        <v>1</v>
      </c>
      <c r="AK1215" s="2126">
        <v>-2514.65</v>
      </c>
      <c r="AL1215" s="2126">
        <v>0</v>
      </c>
      <c r="AM1215" s="2126">
        <v>0</v>
      </c>
      <c r="AN1215" s="2126">
        <v>-2514.65</v>
      </c>
      <c r="AO1215" s="1743" t="s">
        <v>85</v>
      </c>
      <c r="AP1215" s="1743" t="s">
        <v>96</v>
      </c>
      <c r="AQ1215" s="1764" t="s">
        <v>97</v>
      </c>
      <c r="AR1215" s="1743" t="s">
        <v>87</v>
      </c>
      <c r="AS1215" s="2135"/>
      <c r="AT1215" s="2135"/>
      <c r="AU1215" s="1212">
        <v>1</v>
      </c>
      <c r="AV1215" s="1212"/>
      <c r="AW1215" s="1212"/>
      <c r="AX1215" s="1212"/>
      <c r="AY1215" s="1212"/>
      <c r="AZ1215" s="1212"/>
      <c r="BA1215" s="1212"/>
      <c r="BB1215" s="1212"/>
      <c r="BC1215" s="1212"/>
      <c r="BD1215" s="1212"/>
      <c r="BE1215" s="1212"/>
      <c r="BF1215" s="2126">
        <v>0</v>
      </c>
      <c r="BG1215" s="2126">
        <v>0</v>
      </c>
      <c r="BH1215" s="2126">
        <v>-2514.65</v>
      </c>
      <c r="BI1215" s="2126">
        <v>0</v>
      </c>
      <c r="BJ1215" s="2126">
        <v>0</v>
      </c>
      <c r="BK1215" s="2126">
        <v>0</v>
      </c>
      <c r="BL1215" s="2126">
        <v>0</v>
      </c>
      <c r="BM1215" s="2126">
        <v>0</v>
      </c>
      <c r="BN1215" s="2126">
        <v>0</v>
      </c>
      <c r="BO1215" s="2126">
        <v>0</v>
      </c>
      <c r="BP1215" s="2126">
        <v>0</v>
      </c>
      <c r="BQ1215" s="2126">
        <v>0</v>
      </c>
      <c r="BR1215" s="2126">
        <v>0</v>
      </c>
    </row>
    <row r="1216" spans="1:70" s="1765" customFormat="1" ht="33">
      <c r="A1216" s="1272">
        <v>5000</v>
      </c>
      <c r="B1216" s="971" t="s">
        <v>2119</v>
      </c>
      <c r="C1216" s="1272">
        <v>5100</v>
      </c>
      <c r="D1216" s="971" t="s">
        <v>78</v>
      </c>
      <c r="E1216" s="971">
        <v>5140</v>
      </c>
      <c r="F1216" s="971" t="s">
        <v>176</v>
      </c>
      <c r="G1216" s="971">
        <v>5140</v>
      </c>
      <c r="H1216" s="971" t="s">
        <v>176</v>
      </c>
      <c r="I1216" s="1273"/>
      <c r="J1216" s="971" t="s">
        <v>2146</v>
      </c>
      <c r="K1216" s="971" t="s">
        <v>2129</v>
      </c>
      <c r="L1216" s="971" t="s">
        <v>2130</v>
      </c>
      <c r="M1216" s="971" t="s">
        <v>2129</v>
      </c>
      <c r="N1216" s="971" t="s">
        <v>176</v>
      </c>
      <c r="O1216" s="971" t="s">
        <v>2130</v>
      </c>
      <c r="P1216" s="971"/>
      <c r="Q1216" s="971" t="s">
        <v>2148</v>
      </c>
      <c r="R1216" s="1266" t="s">
        <v>2149</v>
      </c>
      <c r="S1216" s="2106">
        <v>3</v>
      </c>
      <c r="T1216" s="1266" t="s">
        <v>242</v>
      </c>
      <c r="U1216" s="1742">
        <v>6.666666666666667</v>
      </c>
      <c r="V1216" s="1742">
        <v>20.833333333333336</v>
      </c>
      <c r="W1216" s="1742">
        <v>587.6</v>
      </c>
      <c r="X1216" s="1742">
        <v>229.78333333333333</v>
      </c>
      <c r="Y1216" s="2106">
        <v>838.2166666666667</v>
      </c>
      <c r="Z1216" s="2106">
        <v>20</v>
      </c>
      <c r="AA1216" s="2106">
        <v>62.500000000000007</v>
      </c>
      <c r="AB1216" s="2106">
        <v>1762.8000000000002</v>
      </c>
      <c r="AC1216" s="2106">
        <v>689.35</v>
      </c>
      <c r="AD1216" s="1744">
        <v>2514.65</v>
      </c>
      <c r="AE1216" s="2126">
        <v>4</v>
      </c>
      <c r="AF1216" s="2126">
        <v>12</v>
      </c>
      <c r="AG1216" s="1212">
        <v>1</v>
      </c>
      <c r="AH1216" s="1212">
        <v>0</v>
      </c>
      <c r="AI1216" s="1212">
        <v>0</v>
      </c>
      <c r="AJ1216" s="1212">
        <v>1</v>
      </c>
      <c r="AK1216" s="2126">
        <v>2514.65</v>
      </c>
      <c r="AL1216" s="2126">
        <v>0</v>
      </c>
      <c r="AM1216" s="2126">
        <v>0</v>
      </c>
      <c r="AN1216" s="2126">
        <v>2514.65</v>
      </c>
      <c r="AO1216" s="1743" t="s">
        <v>85</v>
      </c>
      <c r="AP1216" s="1743" t="s">
        <v>90</v>
      </c>
      <c r="AQ1216" s="1764">
        <v>2021</v>
      </c>
      <c r="AR1216" s="1743" t="s">
        <v>87</v>
      </c>
      <c r="AS1216" s="2135"/>
      <c r="AT1216" s="2135"/>
      <c r="AU1216" s="1212">
        <v>1</v>
      </c>
      <c r="AV1216" s="1212"/>
      <c r="AW1216" s="1212"/>
      <c r="AX1216" s="1212"/>
      <c r="AY1216" s="1212"/>
      <c r="AZ1216" s="1212"/>
      <c r="BA1216" s="1212"/>
      <c r="BB1216" s="1212"/>
      <c r="BC1216" s="1212"/>
      <c r="BD1216" s="1212"/>
      <c r="BE1216" s="1212"/>
      <c r="BF1216" s="2126">
        <v>0</v>
      </c>
      <c r="BG1216" s="2126">
        <v>0</v>
      </c>
      <c r="BH1216" s="2126">
        <v>2514.65</v>
      </c>
      <c r="BI1216" s="2126">
        <v>0</v>
      </c>
      <c r="BJ1216" s="2126">
        <v>0</v>
      </c>
      <c r="BK1216" s="2126">
        <v>0</v>
      </c>
      <c r="BL1216" s="2126">
        <v>0</v>
      </c>
      <c r="BM1216" s="2126">
        <v>0</v>
      </c>
      <c r="BN1216" s="2126">
        <v>0</v>
      </c>
      <c r="BO1216" s="2126">
        <v>0</v>
      </c>
      <c r="BP1216" s="2126">
        <v>0</v>
      </c>
      <c r="BQ1216" s="2126">
        <v>0</v>
      </c>
      <c r="BR1216" s="2126">
        <v>0</v>
      </c>
    </row>
    <row r="1217" spans="1:70" s="1765" customFormat="1" ht="33">
      <c r="A1217" s="1272">
        <v>5000</v>
      </c>
      <c r="B1217" s="971" t="s">
        <v>2119</v>
      </c>
      <c r="C1217" s="1272">
        <v>5100</v>
      </c>
      <c r="D1217" s="971" t="s">
        <v>78</v>
      </c>
      <c r="E1217" s="971">
        <v>5140</v>
      </c>
      <c r="F1217" s="971" t="s">
        <v>176</v>
      </c>
      <c r="G1217" s="971">
        <v>5140</v>
      </c>
      <c r="H1217" s="971" t="s">
        <v>176</v>
      </c>
      <c r="I1217" s="1273"/>
      <c r="J1217" s="971" t="s">
        <v>2146</v>
      </c>
      <c r="K1217" s="971" t="s">
        <v>2125</v>
      </c>
      <c r="L1217" s="971" t="s">
        <v>2126</v>
      </c>
      <c r="M1217" s="971" t="s">
        <v>2125</v>
      </c>
      <c r="N1217" s="971" t="s">
        <v>176</v>
      </c>
      <c r="O1217" s="971" t="s">
        <v>2126</v>
      </c>
      <c r="P1217" s="971"/>
      <c r="Q1217" s="971" t="s">
        <v>2150</v>
      </c>
      <c r="R1217" s="1266" t="s">
        <v>2151</v>
      </c>
      <c r="S1217" s="2106">
        <v>1</v>
      </c>
      <c r="T1217" s="1266" t="s">
        <v>242</v>
      </c>
      <c r="U1217" s="1742">
        <v>13</v>
      </c>
      <c r="V1217" s="1742">
        <v>100</v>
      </c>
      <c r="W1217" s="1742">
        <v>1145.82</v>
      </c>
      <c r="X1217" s="1742">
        <v>1102.96</v>
      </c>
      <c r="Y1217" s="2106">
        <v>2348.7799999999997</v>
      </c>
      <c r="Z1217" s="2106">
        <v>13</v>
      </c>
      <c r="AA1217" s="2106">
        <v>100</v>
      </c>
      <c r="AB1217" s="2106">
        <v>1145.82</v>
      </c>
      <c r="AC1217" s="2106">
        <v>1102.96</v>
      </c>
      <c r="AD1217" s="1744">
        <v>2348.7799999999997</v>
      </c>
      <c r="AE1217" s="2126">
        <v>96</v>
      </c>
      <c r="AF1217" s="2126">
        <v>96</v>
      </c>
      <c r="AG1217" s="1212">
        <v>1</v>
      </c>
      <c r="AH1217" s="1212">
        <v>0</v>
      </c>
      <c r="AI1217" s="1212">
        <v>0</v>
      </c>
      <c r="AJ1217" s="1212">
        <v>1</v>
      </c>
      <c r="AK1217" s="2126">
        <v>2348.7799999999997</v>
      </c>
      <c r="AL1217" s="2126">
        <v>0</v>
      </c>
      <c r="AM1217" s="2126">
        <v>0</v>
      </c>
      <c r="AN1217" s="2126">
        <v>2348.7799999999997</v>
      </c>
      <c r="AO1217" s="1743" t="s">
        <v>85</v>
      </c>
      <c r="AP1217" s="1743" t="s">
        <v>90</v>
      </c>
      <c r="AQ1217" s="1764">
        <v>2021</v>
      </c>
      <c r="AR1217" s="1743" t="s">
        <v>87</v>
      </c>
      <c r="AS1217" s="2135"/>
      <c r="AT1217" s="2135"/>
      <c r="AU1217" s="1212">
        <v>1</v>
      </c>
      <c r="AV1217" s="1212"/>
      <c r="AW1217" s="1212"/>
      <c r="AX1217" s="1212"/>
      <c r="AY1217" s="1212"/>
      <c r="AZ1217" s="1212"/>
      <c r="BA1217" s="1212"/>
      <c r="BB1217" s="1212"/>
      <c r="BC1217" s="1212"/>
      <c r="BD1217" s="1212"/>
      <c r="BE1217" s="1212"/>
      <c r="BF1217" s="2126">
        <v>0</v>
      </c>
      <c r="BG1217" s="2126">
        <v>0</v>
      </c>
      <c r="BH1217" s="2126">
        <v>2348.7799999999997</v>
      </c>
      <c r="BI1217" s="2126">
        <v>0</v>
      </c>
      <c r="BJ1217" s="2126">
        <v>0</v>
      </c>
      <c r="BK1217" s="2126">
        <v>0</v>
      </c>
      <c r="BL1217" s="2126">
        <v>0</v>
      </c>
      <c r="BM1217" s="2126">
        <v>0</v>
      </c>
      <c r="BN1217" s="2126">
        <v>0</v>
      </c>
      <c r="BO1217" s="2126">
        <v>0</v>
      </c>
      <c r="BP1217" s="2126">
        <v>0</v>
      </c>
      <c r="BQ1217" s="2126">
        <v>0</v>
      </c>
      <c r="BR1217" s="2126">
        <v>0</v>
      </c>
    </row>
    <row r="1218" spans="1:70" s="1765" customFormat="1" ht="33">
      <c r="A1218" s="1272">
        <v>5000</v>
      </c>
      <c r="B1218" s="971" t="s">
        <v>2119</v>
      </c>
      <c r="C1218" s="1272">
        <v>5100</v>
      </c>
      <c r="D1218" s="971" t="s">
        <v>78</v>
      </c>
      <c r="E1218" s="971">
        <v>5140</v>
      </c>
      <c r="F1218" s="971" t="s">
        <v>176</v>
      </c>
      <c r="G1218" s="971">
        <v>5140</v>
      </c>
      <c r="H1218" s="971" t="s">
        <v>176</v>
      </c>
      <c r="I1218" s="1273"/>
      <c r="J1218" s="971" t="s">
        <v>2146</v>
      </c>
      <c r="K1218" s="971" t="s">
        <v>2125</v>
      </c>
      <c r="L1218" s="971" t="s">
        <v>2126</v>
      </c>
      <c r="M1218" s="971" t="s">
        <v>2125</v>
      </c>
      <c r="N1218" s="971" t="s">
        <v>176</v>
      </c>
      <c r="O1218" s="971" t="s">
        <v>2126</v>
      </c>
      <c r="P1218" s="971"/>
      <c r="Q1218" s="971" t="s">
        <v>2152</v>
      </c>
      <c r="R1218" s="1266"/>
      <c r="S1218" s="2106">
        <v>-11</v>
      </c>
      <c r="T1218" s="1266" t="s">
        <v>242</v>
      </c>
      <c r="U1218" s="1742">
        <v>13</v>
      </c>
      <c r="V1218" s="1742">
        <v>100</v>
      </c>
      <c r="W1218" s="1742">
        <v>1145.82</v>
      </c>
      <c r="X1218" s="1742">
        <v>1102.96</v>
      </c>
      <c r="Y1218" s="2106">
        <v>2348.7799999999997</v>
      </c>
      <c r="Z1218" s="2106">
        <v>-143</v>
      </c>
      <c r="AA1218" s="2106">
        <v>-1100</v>
      </c>
      <c r="AB1218" s="2106">
        <v>-12604.019999999999</v>
      </c>
      <c r="AC1218" s="2106">
        <v>-12132.560000000001</v>
      </c>
      <c r="AD1218" s="1744">
        <v>-25836.58</v>
      </c>
      <c r="AE1218" s="2126">
        <v>96</v>
      </c>
      <c r="AF1218" s="2126">
        <v>-1056</v>
      </c>
      <c r="AG1218" s="1212">
        <v>1</v>
      </c>
      <c r="AH1218" s="1212">
        <v>0</v>
      </c>
      <c r="AI1218" s="1212">
        <v>0</v>
      </c>
      <c r="AJ1218" s="1212">
        <v>1</v>
      </c>
      <c r="AK1218" s="2126">
        <v>-25836.58</v>
      </c>
      <c r="AL1218" s="2126">
        <v>0</v>
      </c>
      <c r="AM1218" s="2126">
        <v>0</v>
      </c>
      <c r="AN1218" s="2126">
        <v>-25836.58</v>
      </c>
      <c r="AO1218" s="1743" t="s">
        <v>85</v>
      </c>
      <c r="AP1218" s="1743" t="s">
        <v>1262</v>
      </c>
      <c r="AQ1218" s="1764" t="s">
        <v>2153</v>
      </c>
      <c r="AR1218" s="1743" t="s">
        <v>87</v>
      </c>
      <c r="AS1218" s="2135"/>
      <c r="AT1218" s="2135"/>
      <c r="AU1218" s="1212">
        <v>1</v>
      </c>
      <c r="AV1218" s="1212"/>
      <c r="AW1218" s="1212"/>
      <c r="AX1218" s="1212"/>
      <c r="AY1218" s="1212"/>
      <c r="AZ1218" s="1212"/>
      <c r="BA1218" s="1212"/>
      <c r="BB1218" s="1212"/>
      <c r="BC1218" s="1212"/>
      <c r="BD1218" s="1212"/>
      <c r="BE1218" s="1212"/>
      <c r="BF1218" s="2126">
        <v>0</v>
      </c>
      <c r="BG1218" s="2126">
        <v>0</v>
      </c>
      <c r="BH1218" s="2126">
        <v>-25836.58</v>
      </c>
      <c r="BI1218" s="2126">
        <v>0</v>
      </c>
      <c r="BJ1218" s="2126">
        <v>0</v>
      </c>
      <c r="BK1218" s="2126">
        <v>0</v>
      </c>
      <c r="BL1218" s="2126">
        <v>0</v>
      </c>
      <c r="BM1218" s="2126">
        <v>0</v>
      </c>
      <c r="BN1218" s="2126">
        <v>0</v>
      </c>
      <c r="BO1218" s="2126">
        <v>0</v>
      </c>
      <c r="BP1218" s="2126">
        <v>0</v>
      </c>
      <c r="BQ1218" s="2126">
        <v>0</v>
      </c>
      <c r="BR1218" s="2126">
        <v>0</v>
      </c>
    </row>
    <row r="1219" spans="1:70" s="1765" customFormat="1" ht="33">
      <c r="A1219" s="1272">
        <v>5000</v>
      </c>
      <c r="B1219" s="971" t="s">
        <v>2119</v>
      </c>
      <c r="C1219" s="1272">
        <v>5100</v>
      </c>
      <c r="D1219" s="971" t="s">
        <v>78</v>
      </c>
      <c r="E1219" s="971">
        <v>5140</v>
      </c>
      <c r="F1219" s="971" t="s">
        <v>176</v>
      </c>
      <c r="G1219" s="971">
        <v>5140</v>
      </c>
      <c r="H1219" s="971" t="s">
        <v>176</v>
      </c>
      <c r="I1219" s="1273"/>
      <c r="J1219" s="971" t="s">
        <v>2146</v>
      </c>
      <c r="K1219" s="971" t="s">
        <v>2125</v>
      </c>
      <c r="L1219" s="971" t="s">
        <v>2126</v>
      </c>
      <c r="M1219" s="971" t="s">
        <v>2125</v>
      </c>
      <c r="N1219" s="971" t="s">
        <v>176</v>
      </c>
      <c r="O1219" s="971" t="s">
        <v>2126</v>
      </c>
      <c r="P1219" s="971"/>
      <c r="Q1219" s="971" t="s">
        <v>2154</v>
      </c>
      <c r="R1219" s="1266"/>
      <c r="S1219" s="2106">
        <v>1</v>
      </c>
      <c r="T1219" s="1266" t="s">
        <v>242</v>
      </c>
      <c r="U1219" s="1742">
        <v>13</v>
      </c>
      <c r="V1219" s="1742">
        <v>100</v>
      </c>
      <c r="W1219" s="1742">
        <v>1145.82</v>
      </c>
      <c r="X1219" s="1742">
        <v>1102.96</v>
      </c>
      <c r="Y1219" s="2106">
        <v>2348.7799999999997</v>
      </c>
      <c r="Z1219" s="2106">
        <v>13</v>
      </c>
      <c r="AA1219" s="2106">
        <v>100</v>
      </c>
      <c r="AB1219" s="2106">
        <v>1145.82</v>
      </c>
      <c r="AC1219" s="2106">
        <v>1102.96</v>
      </c>
      <c r="AD1219" s="1744">
        <v>2348.7799999999997</v>
      </c>
      <c r="AE1219" s="2126">
        <v>96</v>
      </c>
      <c r="AF1219" s="2126">
        <v>96</v>
      </c>
      <c r="AG1219" s="1212">
        <v>1</v>
      </c>
      <c r="AH1219" s="1212">
        <v>0</v>
      </c>
      <c r="AI1219" s="1212">
        <v>0</v>
      </c>
      <c r="AJ1219" s="1212">
        <v>1</v>
      </c>
      <c r="AK1219" s="2126">
        <v>2348.7799999999997</v>
      </c>
      <c r="AL1219" s="2126">
        <v>0</v>
      </c>
      <c r="AM1219" s="2126">
        <v>0</v>
      </c>
      <c r="AN1219" s="2126">
        <v>2348.7799999999997</v>
      </c>
      <c r="AO1219" s="1743" t="s">
        <v>85</v>
      </c>
      <c r="AP1219" s="1743" t="s">
        <v>90</v>
      </c>
      <c r="AQ1219" s="1764" t="s">
        <v>2141</v>
      </c>
      <c r="AR1219" s="1743" t="s">
        <v>87</v>
      </c>
      <c r="AS1219" s="2135"/>
      <c r="AT1219" s="2135"/>
      <c r="AU1219" s="1212">
        <v>1</v>
      </c>
      <c r="AV1219" s="1212"/>
      <c r="AW1219" s="1212"/>
      <c r="AX1219" s="1212"/>
      <c r="AY1219" s="1212"/>
      <c r="AZ1219" s="1212"/>
      <c r="BA1219" s="1212"/>
      <c r="BB1219" s="1212"/>
      <c r="BC1219" s="1212"/>
      <c r="BD1219" s="1212"/>
      <c r="BE1219" s="1212"/>
      <c r="BF1219" s="2126">
        <v>0</v>
      </c>
      <c r="BG1219" s="2126">
        <v>0</v>
      </c>
      <c r="BH1219" s="2126">
        <v>2348.7799999999997</v>
      </c>
      <c r="BI1219" s="2126">
        <v>0</v>
      </c>
      <c r="BJ1219" s="2126">
        <v>0</v>
      </c>
      <c r="BK1219" s="2126">
        <v>0</v>
      </c>
      <c r="BL1219" s="2126">
        <v>0</v>
      </c>
      <c r="BM1219" s="2126">
        <v>0</v>
      </c>
      <c r="BN1219" s="2126">
        <v>0</v>
      </c>
      <c r="BO1219" s="2126">
        <v>0</v>
      </c>
      <c r="BP1219" s="2126">
        <v>0</v>
      </c>
      <c r="BQ1219" s="2126">
        <v>0</v>
      </c>
      <c r="BR1219" s="2126">
        <v>0</v>
      </c>
    </row>
    <row r="1220" spans="1:70" s="1765" customFormat="1" ht="33">
      <c r="A1220" s="1272">
        <v>5000</v>
      </c>
      <c r="B1220" s="971" t="s">
        <v>2119</v>
      </c>
      <c r="C1220" s="1272">
        <v>5100</v>
      </c>
      <c r="D1220" s="971" t="s">
        <v>78</v>
      </c>
      <c r="E1220" s="971">
        <v>5140</v>
      </c>
      <c r="F1220" s="971" t="s">
        <v>176</v>
      </c>
      <c r="G1220" s="971">
        <v>5140</v>
      </c>
      <c r="H1220" s="971" t="s">
        <v>176</v>
      </c>
      <c r="I1220" s="1273"/>
      <c r="J1220" s="971" t="s">
        <v>2146</v>
      </c>
      <c r="K1220" s="971" t="s">
        <v>2125</v>
      </c>
      <c r="L1220" s="971" t="s">
        <v>2126</v>
      </c>
      <c r="M1220" s="971" t="s">
        <v>2125</v>
      </c>
      <c r="N1220" s="971" t="s">
        <v>176</v>
      </c>
      <c r="O1220" s="971" t="s">
        <v>2126</v>
      </c>
      <c r="P1220" s="971"/>
      <c r="Q1220" s="971" t="s">
        <v>2155</v>
      </c>
      <c r="R1220" s="1266"/>
      <c r="S1220" s="2106">
        <v>1</v>
      </c>
      <c r="T1220" s="1266" t="s">
        <v>242</v>
      </c>
      <c r="U1220" s="1742">
        <v>13</v>
      </c>
      <c r="V1220" s="1742">
        <v>100</v>
      </c>
      <c r="W1220" s="1742">
        <v>1145.82</v>
      </c>
      <c r="X1220" s="1742">
        <v>1102.96</v>
      </c>
      <c r="Y1220" s="2106">
        <v>2348.7799999999997</v>
      </c>
      <c r="Z1220" s="2106">
        <v>13</v>
      </c>
      <c r="AA1220" s="2106">
        <v>100</v>
      </c>
      <c r="AB1220" s="2106">
        <v>1145.82</v>
      </c>
      <c r="AC1220" s="2106">
        <v>1102.96</v>
      </c>
      <c r="AD1220" s="1744">
        <v>2348.7799999999997</v>
      </c>
      <c r="AE1220" s="2126">
        <v>96</v>
      </c>
      <c r="AF1220" s="2126">
        <v>96</v>
      </c>
      <c r="AG1220" s="1212">
        <v>1</v>
      </c>
      <c r="AH1220" s="1212">
        <v>0</v>
      </c>
      <c r="AI1220" s="1212">
        <v>0</v>
      </c>
      <c r="AJ1220" s="1212">
        <v>1</v>
      </c>
      <c r="AK1220" s="2126">
        <v>2348.7799999999997</v>
      </c>
      <c r="AL1220" s="2126">
        <v>0</v>
      </c>
      <c r="AM1220" s="2126">
        <v>0</v>
      </c>
      <c r="AN1220" s="2126">
        <v>2348.7799999999997</v>
      </c>
      <c r="AO1220" s="1743" t="s">
        <v>85</v>
      </c>
      <c r="AP1220" s="1743" t="s">
        <v>90</v>
      </c>
      <c r="AQ1220" s="1764" t="s">
        <v>2141</v>
      </c>
      <c r="AR1220" s="1743" t="s">
        <v>87</v>
      </c>
      <c r="AS1220" s="2135"/>
      <c r="AT1220" s="2135"/>
      <c r="AU1220" s="1212">
        <v>1</v>
      </c>
      <c r="AV1220" s="1212"/>
      <c r="AW1220" s="1212"/>
      <c r="AX1220" s="1212"/>
      <c r="AY1220" s="1212"/>
      <c r="AZ1220" s="1212"/>
      <c r="BA1220" s="1212"/>
      <c r="BB1220" s="1212"/>
      <c r="BC1220" s="1212"/>
      <c r="BD1220" s="1212"/>
      <c r="BE1220" s="1212"/>
      <c r="BF1220" s="2126">
        <v>0</v>
      </c>
      <c r="BG1220" s="2126">
        <v>0</v>
      </c>
      <c r="BH1220" s="2126">
        <v>2348.7799999999997</v>
      </c>
      <c r="BI1220" s="2126">
        <v>0</v>
      </c>
      <c r="BJ1220" s="2126">
        <v>0</v>
      </c>
      <c r="BK1220" s="2126">
        <v>0</v>
      </c>
      <c r="BL1220" s="2126">
        <v>0</v>
      </c>
      <c r="BM1220" s="2126">
        <v>0</v>
      </c>
      <c r="BN1220" s="2126">
        <v>0</v>
      </c>
      <c r="BO1220" s="2126">
        <v>0</v>
      </c>
      <c r="BP1220" s="2126">
        <v>0</v>
      </c>
      <c r="BQ1220" s="2126">
        <v>0</v>
      </c>
      <c r="BR1220" s="2126">
        <v>0</v>
      </c>
    </row>
    <row r="1221" spans="1:70" s="1765" customFormat="1" ht="33">
      <c r="A1221" s="1272">
        <v>5000</v>
      </c>
      <c r="B1221" s="971" t="s">
        <v>2119</v>
      </c>
      <c r="C1221" s="1272">
        <v>5100</v>
      </c>
      <c r="D1221" s="971" t="s">
        <v>78</v>
      </c>
      <c r="E1221" s="971">
        <v>5140</v>
      </c>
      <c r="F1221" s="971" t="s">
        <v>176</v>
      </c>
      <c r="G1221" s="971">
        <v>5140</v>
      </c>
      <c r="H1221" s="971" t="s">
        <v>176</v>
      </c>
      <c r="I1221" s="1273"/>
      <c r="J1221" s="971" t="s">
        <v>2146</v>
      </c>
      <c r="K1221" s="971" t="s">
        <v>2125</v>
      </c>
      <c r="L1221" s="971" t="s">
        <v>2126</v>
      </c>
      <c r="M1221" s="971" t="s">
        <v>2125</v>
      </c>
      <c r="N1221" s="971" t="s">
        <v>176</v>
      </c>
      <c r="O1221" s="971" t="s">
        <v>2126</v>
      </c>
      <c r="P1221" s="971"/>
      <c r="Q1221" s="971" t="s">
        <v>2156</v>
      </c>
      <c r="R1221" s="1266"/>
      <c r="S1221" s="2106">
        <v>-1</v>
      </c>
      <c r="T1221" s="1266" t="s">
        <v>242</v>
      </c>
      <c r="U1221" s="1742">
        <v>13</v>
      </c>
      <c r="V1221" s="1742">
        <v>100</v>
      </c>
      <c r="W1221" s="1742">
        <v>1145.82</v>
      </c>
      <c r="X1221" s="1742">
        <v>1102.96</v>
      </c>
      <c r="Y1221" s="2106">
        <v>2348.7799999999997</v>
      </c>
      <c r="Z1221" s="2106">
        <v>-13</v>
      </c>
      <c r="AA1221" s="2106">
        <v>-100</v>
      </c>
      <c r="AB1221" s="2106">
        <v>-1145.82</v>
      </c>
      <c r="AC1221" s="2106">
        <v>-1102.96</v>
      </c>
      <c r="AD1221" s="1744">
        <v>-2348.7799999999997</v>
      </c>
      <c r="AE1221" s="2126">
        <v>96</v>
      </c>
      <c r="AF1221" s="2126">
        <v>-96</v>
      </c>
      <c r="AG1221" s="1212">
        <v>1</v>
      </c>
      <c r="AH1221" s="1212">
        <v>0</v>
      </c>
      <c r="AI1221" s="1212">
        <v>0</v>
      </c>
      <c r="AJ1221" s="1212">
        <v>1</v>
      </c>
      <c r="AK1221" s="2126">
        <v>-2348.7799999999997</v>
      </c>
      <c r="AL1221" s="2126">
        <v>0</v>
      </c>
      <c r="AM1221" s="2126">
        <v>0</v>
      </c>
      <c r="AN1221" s="2126">
        <v>-2348.7799999999997</v>
      </c>
      <c r="AO1221" s="1743" t="s">
        <v>85</v>
      </c>
      <c r="AP1221" s="1743" t="s">
        <v>96</v>
      </c>
      <c r="AQ1221" s="1764" t="s">
        <v>2141</v>
      </c>
      <c r="AR1221" s="1743" t="s">
        <v>87</v>
      </c>
      <c r="AS1221" s="2135"/>
      <c r="AT1221" s="2135"/>
      <c r="AU1221" s="1212">
        <v>1</v>
      </c>
      <c r="AV1221" s="1212"/>
      <c r="AW1221" s="1212"/>
      <c r="AX1221" s="1212"/>
      <c r="AY1221" s="1212"/>
      <c r="AZ1221" s="1212"/>
      <c r="BA1221" s="1212"/>
      <c r="BB1221" s="1212"/>
      <c r="BC1221" s="1212"/>
      <c r="BD1221" s="1212"/>
      <c r="BE1221" s="1212"/>
      <c r="BF1221" s="2126">
        <v>0</v>
      </c>
      <c r="BG1221" s="2126">
        <v>0</v>
      </c>
      <c r="BH1221" s="2126">
        <v>-2348.7799999999997</v>
      </c>
      <c r="BI1221" s="2126">
        <v>0</v>
      </c>
      <c r="BJ1221" s="2126">
        <v>0</v>
      </c>
      <c r="BK1221" s="2126">
        <v>0</v>
      </c>
      <c r="BL1221" s="2126">
        <v>0</v>
      </c>
      <c r="BM1221" s="2126">
        <v>0</v>
      </c>
      <c r="BN1221" s="2126">
        <v>0</v>
      </c>
      <c r="BO1221" s="2126">
        <v>0</v>
      </c>
      <c r="BP1221" s="2126">
        <v>0</v>
      </c>
      <c r="BQ1221" s="2126">
        <v>0</v>
      </c>
      <c r="BR1221" s="2126">
        <v>0</v>
      </c>
    </row>
    <row r="1222" spans="1:70" s="1765" customFormat="1" ht="33">
      <c r="A1222" s="1272">
        <v>5000</v>
      </c>
      <c r="B1222" s="971" t="s">
        <v>2119</v>
      </c>
      <c r="C1222" s="1272">
        <v>5100</v>
      </c>
      <c r="D1222" s="971" t="s">
        <v>78</v>
      </c>
      <c r="E1222" s="971">
        <v>5140</v>
      </c>
      <c r="F1222" s="971" t="s">
        <v>176</v>
      </c>
      <c r="G1222" s="971">
        <v>5140</v>
      </c>
      <c r="H1222" s="971" t="s">
        <v>176</v>
      </c>
      <c r="I1222" s="1273"/>
      <c r="J1222" s="971" t="s">
        <v>2146</v>
      </c>
      <c r="K1222" s="971" t="s">
        <v>2125</v>
      </c>
      <c r="L1222" s="971" t="s">
        <v>2126</v>
      </c>
      <c r="M1222" s="971" t="s">
        <v>2125</v>
      </c>
      <c r="N1222" s="971" t="s">
        <v>176</v>
      </c>
      <c r="O1222" s="971" t="s">
        <v>2126</v>
      </c>
      <c r="P1222" s="971"/>
      <c r="Q1222" s="971" t="s">
        <v>2157</v>
      </c>
      <c r="R1222" s="1266"/>
      <c r="S1222" s="2106">
        <v>-2</v>
      </c>
      <c r="T1222" s="1266" t="s">
        <v>242</v>
      </c>
      <c r="U1222" s="1742">
        <v>13</v>
      </c>
      <c r="V1222" s="1742">
        <v>100</v>
      </c>
      <c r="W1222" s="1742">
        <v>1145.82</v>
      </c>
      <c r="X1222" s="1742">
        <v>1102.96</v>
      </c>
      <c r="Y1222" s="2106">
        <v>2348.7799999999997</v>
      </c>
      <c r="Z1222" s="2106">
        <v>-26</v>
      </c>
      <c r="AA1222" s="2106">
        <v>-200</v>
      </c>
      <c r="AB1222" s="2106">
        <v>-2291.64</v>
      </c>
      <c r="AC1222" s="2106">
        <v>-2205.92</v>
      </c>
      <c r="AD1222" s="1744">
        <v>-4697.5599999999995</v>
      </c>
      <c r="AE1222" s="2126">
        <v>96</v>
      </c>
      <c r="AF1222" s="2126">
        <v>-192</v>
      </c>
      <c r="AG1222" s="1212">
        <v>1</v>
      </c>
      <c r="AH1222" s="1212">
        <v>0</v>
      </c>
      <c r="AI1222" s="1212">
        <v>0</v>
      </c>
      <c r="AJ1222" s="1212">
        <v>1</v>
      </c>
      <c r="AK1222" s="2126">
        <v>-4697.5599999999995</v>
      </c>
      <c r="AL1222" s="2126">
        <v>0</v>
      </c>
      <c r="AM1222" s="2126">
        <v>0</v>
      </c>
      <c r="AN1222" s="2126">
        <v>-4697.5599999999995</v>
      </c>
      <c r="AO1222" s="1743" t="s">
        <v>85</v>
      </c>
      <c r="AP1222" s="1743" t="s">
        <v>96</v>
      </c>
      <c r="AQ1222" s="1764" t="s">
        <v>2141</v>
      </c>
      <c r="AR1222" s="1743" t="s">
        <v>87</v>
      </c>
      <c r="AS1222" s="2135"/>
      <c r="AT1222" s="2135"/>
      <c r="AU1222" s="1212">
        <v>1</v>
      </c>
      <c r="AV1222" s="1212"/>
      <c r="AW1222" s="1212"/>
      <c r="AX1222" s="1212"/>
      <c r="AY1222" s="1212"/>
      <c r="AZ1222" s="1212"/>
      <c r="BA1222" s="1212"/>
      <c r="BB1222" s="1212"/>
      <c r="BC1222" s="1212"/>
      <c r="BD1222" s="1212"/>
      <c r="BE1222" s="1212"/>
      <c r="BF1222" s="2126">
        <v>0</v>
      </c>
      <c r="BG1222" s="2126">
        <v>0</v>
      </c>
      <c r="BH1222" s="2126">
        <v>-4697.5599999999995</v>
      </c>
      <c r="BI1222" s="2126">
        <v>0</v>
      </c>
      <c r="BJ1222" s="2126">
        <v>0</v>
      </c>
      <c r="BK1222" s="2126">
        <v>0</v>
      </c>
      <c r="BL1222" s="2126">
        <v>0</v>
      </c>
      <c r="BM1222" s="2126">
        <v>0</v>
      </c>
      <c r="BN1222" s="2126">
        <v>0</v>
      </c>
      <c r="BO1222" s="2126">
        <v>0</v>
      </c>
      <c r="BP1222" s="2126">
        <v>0</v>
      </c>
      <c r="BQ1222" s="2126">
        <v>0</v>
      </c>
      <c r="BR1222" s="2126">
        <v>0</v>
      </c>
    </row>
    <row r="1223" spans="1:70" s="1765" customFormat="1" ht="33">
      <c r="A1223" s="1272">
        <v>5000</v>
      </c>
      <c r="B1223" s="971" t="s">
        <v>2119</v>
      </c>
      <c r="C1223" s="1272">
        <v>5100</v>
      </c>
      <c r="D1223" s="971" t="s">
        <v>78</v>
      </c>
      <c r="E1223" s="971">
        <v>5140</v>
      </c>
      <c r="F1223" s="971" t="s">
        <v>176</v>
      </c>
      <c r="G1223" s="971">
        <v>5140</v>
      </c>
      <c r="H1223" s="971" t="s">
        <v>176</v>
      </c>
      <c r="I1223" s="1273"/>
      <c r="J1223" s="971" t="s">
        <v>2146</v>
      </c>
      <c r="K1223" s="971" t="s">
        <v>2125</v>
      </c>
      <c r="L1223" s="971" t="s">
        <v>2126</v>
      </c>
      <c r="M1223" s="971" t="s">
        <v>2125</v>
      </c>
      <c r="N1223" s="971" t="s">
        <v>176</v>
      </c>
      <c r="O1223" s="971" t="s">
        <v>2126</v>
      </c>
      <c r="P1223" s="971"/>
      <c r="Q1223" s="971" t="s">
        <v>2158</v>
      </c>
      <c r="R1223" s="1266" t="s">
        <v>1789</v>
      </c>
      <c r="S1223" s="2106">
        <v>-2</v>
      </c>
      <c r="T1223" s="1266" t="s">
        <v>242</v>
      </c>
      <c r="U1223" s="1742">
        <v>13</v>
      </c>
      <c r="V1223" s="1742">
        <v>100</v>
      </c>
      <c r="W1223" s="1742">
        <v>1145.82</v>
      </c>
      <c r="X1223" s="1742">
        <v>1102.96</v>
      </c>
      <c r="Y1223" s="2106">
        <v>2348.7799999999997</v>
      </c>
      <c r="Z1223" s="2106">
        <v>-26</v>
      </c>
      <c r="AA1223" s="2106">
        <v>-200</v>
      </c>
      <c r="AB1223" s="2106">
        <v>-2291.64</v>
      </c>
      <c r="AC1223" s="2106">
        <v>-2205.92</v>
      </c>
      <c r="AD1223" s="1744">
        <v>-4697.5599999999995</v>
      </c>
      <c r="AE1223" s="2126">
        <v>96</v>
      </c>
      <c r="AF1223" s="2126">
        <v>-192</v>
      </c>
      <c r="AG1223" s="1212">
        <v>1</v>
      </c>
      <c r="AH1223" s="1212">
        <v>0</v>
      </c>
      <c r="AI1223" s="1212">
        <v>0</v>
      </c>
      <c r="AJ1223" s="1212">
        <v>1</v>
      </c>
      <c r="AK1223" s="2126">
        <v>-4697.5599999999995</v>
      </c>
      <c r="AL1223" s="2126">
        <v>0</v>
      </c>
      <c r="AM1223" s="2126">
        <v>0</v>
      </c>
      <c r="AN1223" s="2126">
        <v>-4697.5599999999995</v>
      </c>
      <c r="AO1223" s="1743" t="s">
        <v>85</v>
      </c>
      <c r="AP1223" s="1743" t="s">
        <v>96</v>
      </c>
      <c r="AQ1223" s="1764" t="s">
        <v>2141</v>
      </c>
      <c r="AR1223" s="1743" t="s">
        <v>87</v>
      </c>
      <c r="AS1223" s="2135"/>
      <c r="AT1223" s="2135"/>
      <c r="AU1223" s="1212">
        <v>1</v>
      </c>
      <c r="AV1223" s="1212"/>
      <c r="AW1223" s="1212"/>
      <c r="AX1223" s="1212"/>
      <c r="AY1223" s="1212"/>
      <c r="AZ1223" s="1212"/>
      <c r="BA1223" s="1212"/>
      <c r="BB1223" s="1212"/>
      <c r="BC1223" s="1212"/>
      <c r="BD1223" s="1212"/>
      <c r="BE1223" s="1212"/>
      <c r="BF1223" s="2126">
        <v>0</v>
      </c>
      <c r="BG1223" s="2126">
        <v>0</v>
      </c>
      <c r="BH1223" s="2126">
        <v>-4697.5599999999995</v>
      </c>
      <c r="BI1223" s="2126">
        <v>0</v>
      </c>
      <c r="BJ1223" s="2126">
        <v>0</v>
      </c>
      <c r="BK1223" s="2126">
        <v>0</v>
      </c>
      <c r="BL1223" s="2126">
        <v>0</v>
      </c>
      <c r="BM1223" s="2126">
        <v>0</v>
      </c>
      <c r="BN1223" s="2126">
        <v>0</v>
      </c>
      <c r="BO1223" s="2126">
        <v>0</v>
      </c>
      <c r="BP1223" s="2126">
        <v>0</v>
      </c>
      <c r="BQ1223" s="2126">
        <v>0</v>
      </c>
      <c r="BR1223" s="2126">
        <v>0</v>
      </c>
    </row>
    <row r="1224" spans="1:70" s="1765" customFormat="1" ht="33">
      <c r="A1224" s="1272">
        <v>5000</v>
      </c>
      <c r="B1224" s="971" t="s">
        <v>2119</v>
      </c>
      <c r="C1224" s="1272">
        <v>5100</v>
      </c>
      <c r="D1224" s="971" t="s">
        <v>78</v>
      </c>
      <c r="E1224" s="971">
        <v>5140</v>
      </c>
      <c r="F1224" s="971" t="s">
        <v>176</v>
      </c>
      <c r="G1224" s="971">
        <v>5140</v>
      </c>
      <c r="H1224" s="971" t="s">
        <v>176</v>
      </c>
      <c r="I1224" s="1273"/>
      <c r="J1224" s="971" t="s">
        <v>2146</v>
      </c>
      <c r="K1224" s="971" t="s">
        <v>2125</v>
      </c>
      <c r="L1224" s="971" t="s">
        <v>2126</v>
      </c>
      <c r="M1224" s="971" t="s">
        <v>2125</v>
      </c>
      <c r="N1224" s="971" t="s">
        <v>176</v>
      </c>
      <c r="O1224" s="971" t="s">
        <v>2126</v>
      </c>
      <c r="P1224" s="971"/>
      <c r="Q1224" s="971" t="s">
        <v>2158</v>
      </c>
      <c r="R1224" s="1266" t="s">
        <v>1789</v>
      </c>
      <c r="S1224" s="2106">
        <v>2</v>
      </c>
      <c r="T1224" s="1266" t="s">
        <v>242</v>
      </c>
      <c r="U1224" s="1742">
        <v>13</v>
      </c>
      <c r="V1224" s="1742">
        <v>100</v>
      </c>
      <c r="W1224" s="1742">
        <v>1145.82</v>
      </c>
      <c r="X1224" s="1742">
        <v>1102.96</v>
      </c>
      <c r="Y1224" s="2106">
        <v>2348.7799999999997</v>
      </c>
      <c r="Z1224" s="2106">
        <v>26</v>
      </c>
      <c r="AA1224" s="2106">
        <v>200</v>
      </c>
      <c r="AB1224" s="2106">
        <v>2291.64</v>
      </c>
      <c r="AC1224" s="2106">
        <v>2205.92</v>
      </c>
      <c r="AD1224" s="1744">
        <v>4697.5599999999995</v>
      </c>
      <c r="AE1224" s="2126">
        <v>96</v>
      </c>
      <c r="AF1224" s="2126">
        <v>192</v>
      </c>
      <c r="AG1224" s="1212">
        <v>1</v>
      </c>
      <c r="AH1224" s="1212">
        <v>0</v>
      </c>
      <c r="AI1224" s="1212">
        <v>0</v>
      </c>
      <c r="AJ1224" s="1212">
        <v>1</v>
      </c>
      <c r="AK1224" s="2126">
        <v>4697.5599999999995</v>
      </c>
      <c r="AL1224" s="2126">
        <v>0</v>
      </c>
      <c r="AM1224" s="2126">
        <v>0</v>
      </c>
      <c r="AN1224" s="2126">
        <v>4697.5599999999995</v>
      </c>
      <c r="AO1224" s="1743" t="s">
        <v>85</v>
      </c>
      <c r="AP1224" s="1743" t="s">
        <v>90</v>
      </c>
      <c r="AQ1224" s="1764">
        <v>2020</v>
      </c>
      <c r="AR1224" s="1743" t="s">
        <v>87</v>
      </c>
      <c r="AS1224" s="2135"/>
      <c r="AT1224" s="2135"/>
      <c r="AU1224" s="1212">
        <v>1</v>
      </c>
      <c r="AV1224" s="1212"/>
      <c r="AW1224" s="1212"/>
      <c r="AX1224" s="1212"/>
      <c r="AY1224" s="1212"/>
      <c r="AZ1224" s="1212"/>
      <c r="BA1224" s="1212"/>
      <c r="BB1224" s="1212"/>
      <c r="BC1224" s="1212"/>
      <c r="BD1224" s="1212"/>
      <c r="BE1224" s="1212"/>
      <c r="BF1224" s="2126">
        <v>0</v>
      </c>
      <c r="BG1224" s="2126">
        <v>0</v>
      </c>
      <c r="BH1224" s="2126">
        <v>4697.5599999999995</v>
      </c>
      <c r="BI1224" s="2126">
        <v>0</v>
      </c>
      <c r="BJ1224" s="2126">
        <v>0</v>
      </c>
      <c r="BK1224" s="2126">
        <v>0</v>
      </c>
      <c r="BL1224" s="2126">
        <v>0</v>
      </c>
      <c r="BM1224" s="2126">
        <v>0</v>
      </c>
      <c r="BN1224" s="2126">
        <v>0</v>
      </c>
      <c r="BO1224" s="2126">
        <v>0</v>
      </c>
      <c r="BP1224" s="2126">
        <v>0</v>
      </c>
      <c r="BQ1224" s="2126">
        <v>0</v>
      </c>
      <c r="BR1224" s="2126">
        <v>0</v>
      </c>
    </row>
    <row r="1225" spans="1:70" s="1765" customFormat="1" ht="33">
      <c r="A1225" s="1272">
        <v>5000</v>
      </c>
      <c r="B1225" s="971" t="s">
        <v>2119</v>
      </c>
      <c r="C1225" s="1272">
        <v>5100</v>
      </c>
      <c r="D1225" s="971" t="s">
        <v>78</v>
      </c>
      <c r="E1225" s="971">
        <v>5140</v>
      </c>
      <c r="F1225" s="971" t="s">
        <v>176</v>
      </c>
      <c r="G1225" s="971">
        <v>5140</v>
      </c>
      <c r="H1225" s="971" t="s">
        <v>176</v>
      </c>
      <c r="I1225" s="1273"/>
      <c r="J1225" s="971" t="s">
        <v>2146</v>
      </c>
      <c r="K1225" s="971" t="s">
        <v>2125</v>
      </c>
      <c r="L1225" s="971" t="s">
        <v>2126</v>
      </c>
      <c r="M1225" s="971" t="s">
        <v>2125</v>
      </c>
      <c r="N1225" s="971" t="s">
        <v>176</v>
      </c>
      <c r="O1225" s="971" t="s">
        <v>2126</v>
      </c>
      <c r="P1225" s="971"/>
      <c r="Q1225" s="971" t="s">
        <v>2159</v>
      </c>
      <c r="R1225" s="1266"/>
      <c r="S1225" s="2106">
        <v>-2</v>
      </c>
      <c r="T1225" s="1266" t="s">
        <v>242</v>
      </c>
      <c r="U1225" s="1742">
        <v>13</v>
      </c>
      <c r="V1225" s="1742">
        <v>100</v>
      </c>
      <c r="W1225" s="1742">
        <v>1145.82</v>
      </c>
      <c r="X1225" s="1742">
        <v>1102.96</v>
      </c>
      <c r="Y1225" s="2106">
        <v>2348.7799999999997</v>
      </c>
      <c r="Z1225" s="2106">
        <v>-26</v>
      </c>
      <c r="AA1225" s="2106">
        <v>-200</v>
      </c>
      <c r="AB1225" s="2106">
        <v>-2291.64</v>
      </c>
      <c r="AC1225" s="2106">
        <v>-2205.92</v>
      </c>
      <c r="AD1225" s="1744">
        <v>-4697.5599999999995</v>
      </c>
      <c r="AE1225" s="2126">
        <v>96</v>
      </c>
      <c r="AF1225" s="2126">
        <v>-192</v>
      </c>
      <c r="AG1225" s="1212">
        <v>1</v>
      </c>
      <c r="AH1225" s="1212">
        <v>0</v>
      </c>
      <c r="AI1225" s="1212">
        <v>0</v>
      </c>
      <c r="AJ1225" s="1212">
        <v>1</v>
      </c>
      <c r="AK1225" s="2126">
        <v>-4697.5599999999995</v>
      </c>
      <c r="AL1225" s="2126">
        <v>0</v>
      </c>
      <c r="AM1225" s="2126">
        <v>0</v>
      </c>
      <c r="AN1225" s="2126">
        <v>-4697.5599999999995</v>
      </c>
      <c r="AO1225" s="1743" t="s">
        <v>85</v>
      </c>
      <c r="AP1225" s="1743" t="s">
        <v>96</v>
      </c>
      <c r="AQ1225" s="1764" t="s">
        <v>2141</v>
      </c>
      <c r="AR1225" s="1743" t="s">
        <v>87</v>
      </c>
      <c r="AS1225" s="2135"/>
      <c r="AT1225" s="2135"/>
      <c r="AU1225" s="1212">
        <v>1</v>
      </c>
      <c r="AV1225" s="1212"/>
      <c r="AW1225" s="1212"/>
      <c r="AX1225" s="1212"/>
      <c r="AY1225" s="1212"/>
      <c r="AZ1225" s="1212"/>
      <c r="BA1225" s="1212"/>
      <c r="BB1225" s="1212"/>
      <c r="BC1225" s="1212"/>
      <c r="BD1225" s="1212"/>
      <c r="BE1225" s="1212"/>
      <c r="BF1225" s="2126">
        <v>0</v>
      </c>
      <c r="BG1225" s="2126">
        <v>0</v>
      </c>
      <c r="BH1225" s="2126">
        <v>-4697.5599999999995</v>
      </c>
      <c r="BI1225" s="2126">
        <v>0</v>
      </c>
      <c r="BJ1225" s="2126">
        <v>0</v>
      </c>
      <c r="BK1225" s="2126">
        <v>0</v>
      </c>
      <c r="BL1225" s="2126">
        <v>0</v>
      </c>
      <c r="BM1225" s="2126">
        <v>0</v>
      </c>
      <c r="BN1225" s="2126">
        <v>0</v>
      </c>
      <c r="BO1225" s="2126">
        <v>0</v>
      </c>
      <c r="BP1225" s="2126">
        <v>0</v>
      </c>
      <c r="BQ1225" s="2126">
        <v>0</v>
      </c>
      <c r="BR1225" s="2126">
        <v>0</v>
      </c>
    </row>
    <row r="1226" spans="1:70" s="1765" customFormat="1" ht="33">
      <c r="A1226" s="1272">
        <v>5000</v>
      </c>
      <c r="B1226" s="971" t="s">
        <v>2119</v>
      </c>
      <c r="C1226" s="1272">
        <v>5100</v>
      </c>
      <c r="D1226" s="971" t="s">
        <v>78</v>
      </c>
      <c r="E1226" s="971">
        <v>5140</v>
      </c>
      <c r="F1226" s="971" t="s">
        <v>176</v>
      </c>
      <c r="G1226" s="971">
        <v>5140</v>
      </c>
      <c r="H1226" s="971" t="s">
        <v>176</v>
      </c>
      <c r="I1226" s="1273"/>
      <c r="J1226" s="971" t="s">
        <v>2146</v>
      </c>
      <c r="K1226" s="971" t="s">
        <v>2125</v>
      </c>
      <c r="L1226" s="971" t="s">
        <v>2126</v>
      </c>
      <c r="M1226" s="971" t="s">
        <v>2125</v>
      </c>
      <c r="N1226" s="971" t="s">
        <v>176</v>
      </c>
      <c r="O1226" s="971" t="s">
        <v>2126</v>
      </c>
      <c r="P1226" s="971"/>
      <c r="Q1226" s="971" t="s">
        <v>2159</v>
      </c>
      <c r="R1226" s="1266"/>
      <c r="S1226" s="2106">
        <v>2</v>
      </c>
      <c r="T1226" s="1266" t="s">
        <v>242</v>
      </c>
      <c r="U1226" s="1742">
        <v>13</v>
      </c>
      <c r="V1226" s="1742">
        <v>100</v>
      </c>
      <c r="W1226" s="1742">
        <v>1145.82</v>
      </c>
      <c r="X1226" s="1742">
        <v>1102.96</v>
      </c>
      <c r="Y1226" s="2106">
        <v>2348.7799999999997</v>
      </c>
      <c r="Z1226" s="2106">
        <v>26</v>
      </c>
      <c r="AA1226" s="2106">
        <v>200</v>
      </c>
      <c r="AB1226" s="2106">
        <v>2291.64</v>
      </c>
      <c r="AC1226" s="2106">
        <v>2205.92</v>
      </c>
      <c r="AD1226" s="1744">
        <v>4697.5599999999995</v>
      </c>
      <c r="AE1226" s="2126">
        <v>96</v>
      </c>
      <c r="AF1226" s="2126">
        <v>192</v>
      </c>
      <c r="AG1226" s="1212">
        <v>1</v>
      </c>
      <c r="AH1226" s="1212">
        <v>0</v>
      </c>
      <c r="AI1226" s="1212">
        <v>0</v>
      </c>
      <c r="AJ1226" s="1212">
        <v>1</v>
      </c>
      <c r="AK1226" s="2126">
        <v>4697.5599999999995</v>
      </c>
      <c r="AL1226" s="2126">
        <v>0</v>
      </c>
      <c r="AM1226" s="2126">
        <v>0</v>
      </c>
      <c r="AN1226" s="2126">
        <v>4697.5599999999995</v>
      </c>
      <c r="AO1226" s="1743" t="s">
        <v>85</v>
      </c>
      <c r="AP1226" s="1743" t="s">
        <v>90</v>
      </c>
      <c r="AQ1226" s="1764">
        <v>2020</v>
      </c>
      <c r="AR1226" s="1743" t="s">
        <v>87</v>
      </c>
      <c r="AS1226" s="2135"/>
      <c r="AT1226" s="2135"/>
      <c r="AU1226" s="1212">
        <v>1</v>
      </c>
      <c r="AV1226" s="1212"/>
      <c r="AW1226" s="1212"/>
      <c r="AX1226" s="1212"/>
      <c r="AY1226" s="1212"/>
      <c r="AZ1226" s="1212"/>
      <c r="BA1226" s="1212"/>
      <c r="BB1226" s="1212"/>
      <c r="BC1226" s="1212"/>
      <c r="BD1226" s="1212"/>
      <c r="BE1226" s="1212"/>
      <c r="BF1226" s="2126">
        <v>0</v>
      </c>
      <c r="BG1226" s="2126">
        <v>0</v>
      </c>
      <c r="BH1226" s="2126">
        <v>4697.5599999999995</v>
      </c>
      <c r="BI1226" s="2126">
        <v>0</v>
      </c>
      <c r="BJ1226" s="2126">
        <v>0</v>
      </c>
      <c r="BK1226" s="2126">
        <v>0</v>
      </c>
      <c r="BL1226" s="2126">
        <v>0</v>
      </c>
      <c r="BM1226" s="2126">
        <v>0</v>
      </c>
      <c r="BN1226" s="2126">
        <v>0</v>
      </c>
      <c r="BO1226" s="2126">
        <v>0</v>
      </c>
      <c r="BP1226" s="2126">
        <v>0</v>
      </c>
      <c r="BQ1226" s="2126">
        <v>0</v>
      </c>
      <c r="BR1226" s="2126">
        <v>0</v>
      </c>
    </row>
    <row r="1227" spans="1:70" s="1765" customFormat="1" ht="33">
      <c r="A1227" s="1272">
        <v>5000</v>
      </c>
      <c r="B1227" s="971" t="s">
        <v>2119</v>
      </c>
      <c r="C1227" s="1272">
        <v>5100</v>
      </c>
      <c r="D1227" s="971" t="s">
        <v>78</v>
      </c>
      <c r="E1227" s="971">
        <v>5140</v>
      </c>
      <c r="F1227" s="971" t="s">
        <v>176</v>
      </c>
      <c r="G1227" s="971">
        <v>5140</v>
      </c>
      <c r="H1227" s="971" t="s">
        <v>176</v>
      </c>
      <c r="I1227" s="1273"/>
      <c r="J1227" s="971" t="s">
        <v>2146</v>
      </c>
      <c r="K1227" s="971" t="s">
        <v>2125</v>
      </c>
      <c r="L1227" s="971" t="s">
        <v>2126</v>
      </c>
      <c r="M1227" s="971" t="s">
        <v>2125</v>
      </c>
      <c r="N1227" s="971" t="s">
        <v>176</v>
      </c>
      <c r="O1227" s="971" t="s">
        <v>2126</v>
      </c>
      <c r="P1227" s="971"/>
      <c r="Q1227" s="971" t="s">
        <v>2160</v>
      </c>
      <c r="R1227" s="1266"/>
      <c r="S1227" s="2106">
        <v>-1</v>
      </c>
      <c r="T1227" s="1266" t="s">
        <v>242</v>
      </c>
      <c r="U1227" s="1742">
        <v>13</v>
      </c>
      <c r="V1227" s="1742">
        <v>100</v>
      </c>
      <c r="W1227" s="1742">
        <v>1145.82</v>
      </c>
      <c r="X1227" s="1742">
        <v>1102.96</v>
      </c>
      <c r="Y1227" s="2106">
        <v>2348.7799999999997</v>
      </c>
      <c r="Z1227" s="2106">
        <v>-13</v>
      </c>
      <c r="AA1227" s="2106">
        <v>-100</v>
      </c>
      <c r="AB1227" s="2106">
        <v>-1145.82</v>
      </c>
      <c r="AC1227" s="2106">
        <v>-1102.96</v>
      </c>
      <c r="AD1227" s="1744">
        <v>-2348.7799999999997</v>
      </c>
      <c r="AE1227" s="2126">
        <v>96</v>
      </c>
      <c r="AF1227" s="2126">
        <v>-96</v>
      </c>
      <c r="AG1227" s="1212">
        <v>1</v>
      </c>
      <c r="AH1227" s="1212">
        <v>0</v>
      </c>
      <c r="AI1227" s="1212">
        <v>0</v>
      </c>
      <c r="AJ1227" s="1212">
        <v>1</v>
      </c>
      <c r="AK1227" s="2126">
        <v>-2348.7799999999997</v>
      </c>
      <c r="AL1227" s="2126">
        <v>0</v>
      </c>
      <c r="AM1227" s="2126">
        <v>0</v>
      </c>
      <c r="AN1227" s="2126">
        <v>-2348.7799999999997</v>
      </c>
      <c r="AO1227" s="1743" t="s">
        <v>85</v>
      </c>
      <c r="AP1227" s="1743" t="s">
        <v>96</v>
      </c>
      <c r="AQ1227" s="1764" t="s">
        <v>2141</v>
      </c>
      <c r="AR1227" s="1743" t="s">
        <v>87</v>
      </c>
      <c r="AS1227" s="2135"/>
      <c r="AT1227" s="2135"/>
      <c r="AU1227" s="1212">
        <v>1</v>
      </c>
      <c r="AV1227" s="1212"/>
      <c r="AW1227" s="1212"/>
      <c r="AX1227" s="1212"/>
      <c r="AY1227" s="1212"/>
      <c r="AZ1227" s="1212"/>
      <c r="BA1227" s="1212"/>
      <c r="BB1227" s="1212"/>
      <c r="BC1227" s="1212"/>
      <c r="BD1227" s="1212"/>
      <c r="BE1227" s="1212"/>
      <c r="BF1227" s="2126">
        <v>0</v>
      </c>
      <c r="BG1227" s="2126">
        <v>0</v>
      </c>
      <c r="BH1227" s="2126">
        <v>-2348.7799999999997</v>
      </c>
      <c r="BI1227" s="2126">
        <v>0</v>
      </c>
      <c r="BJ1227" s="2126">
        <v>0</v>
      </c>
      <c r="BK1227" s="2126">
        <v>0</v>
      </c>
      <c r="BL1227" s="2126">
        <v>0</v>
      </c>
      <c r="BM1227" s="2126">
        <v>0</v>
      </c>
      <c r="BN1227" s="2126">
        <v>0</v>
      </c>
      <c r="BO1227" s="2126">
        <v>0</v>
      </c>
      <c r="BP1227" s="2126">
        <v>0</v>
      </c>
      <c r="BQ1227" s="2126">
        <v>0</v>
      </c>
      <c r="BR1227" s="2126">
        <v>0</v>
      </c>
    </row>
    <row r="1228" spans="1:70" s="1765" customFormat="1" ht="33">
      <c r="A1228" s="1272">
        <v>5000</v>
      </c>
      <c r="B1228" s="971" t="s">
        <v>2119</v>
      </c>
      <c r="C1228" s="1272">
        <v>5100</v>
      </c>
      <c r="D1228" s="971" t="s">
        <v>78</v>
      </c>
      <c r="E1228" s="971">
        <v>5140</v>
      </c>
      <c r="F1228" s="971" t="s">
        <v>176</v>
      </c>
      <c r="G1228" s="971">
        <v>5140</v>
      </c>
      <c r="H1228" s="971" t="s">
        <v>176</v>
      </c>
      <c r="I1228" s="1273"/>
      <c r="J1228" s="971" t="s">
        <v>2146</v>
      </c>
      <c r="K1228" s="971" t="s">
        <v>2125</v>
      </c>
      <c r="L1228" s="971" t="s">
        <v>2126</v>
      </c>
      <c r="M1228" s="971" t="s">
        <v>2125</v>
      </c>
      <c r="N1228" s="971" t="s">
        <v>176</v>
      </c>
      <c r="O1228" s="971" t="s">
        <v>2126</v>
      </c>
      <c r="P1228" s="971"/>
      <c r="Q1228" s="971" t="s">
        <v>2160</v>
      </c>
      <c r="R1228" s="1266"/>
      <c r="S1228" s="2106">
        <v>1</v>
      </c>
      <c r="T1228" s="1266" t="s">
        <v>242</v>
      </c>
      <c r="U1228" s="1742">
        <v>13</v>
      </c>
      <c r="V1228" s="1742">
        <v>100</v>
      </c>
      <c r="W1228" s="1742">
        <v>1145.82</v>
      </c>
      <c r="X1228" s="1742">
        <v>1102.96</v>
      </c>
      <c r="Y1228" s="2106">
        <v>2348.7799999999997</v>
      </c>
      <c r="Z1228" s="2106">
        <v>13</v>
      </c>
      <c r="AA1228" s="2106">
        <v>100</v>
      </c>
      <c r="AB1228" s="2106">
        <v>1145.82</v>
      </c>
      <c r="AC1228" s="2106">
        <v>1102.96</v>
      </c>
      <c r="AD1228" s="1744">
        <v>2348.7799999999997</v>
      </c>
      <c r="AE1228" s="2126">
        <v>96</v>
      </c>
      <c r="AF1228" s="2126">
        <v>96</v>
      </c>
      <c r="AG1228" s="1212">
        <v>1</v>
      </c>
      <c r="AH1228" s="1212">
        <v>0</v>
      </c>
      <c r="AI1228" s="1212">
        <v>0</v>
      </c>
      <c r="AJ1228" s="1212">
        <v>1</v>
      </c>
      <c r="AK1228" s="2126">
        <v>2348.7799999999997</v>
      </c>
      <c r="AL1228" s="2126">
        <v>0</v>
      </c>
      <c r="AM1228" s="2126">
        <v>0</v>
      </c>
      <c r="AN1228" s="2126">
        <v>2348.7799999999997</v>
      </c>
      <c r="AO1228" s="1743" t="s">
        <v>85</v>
      </c>
      <c r="AP1228" s="1743" t="s">
        <v>90</v>
      </c>
      <c r="AQ1228" s="1764">
        <v>2020</v>
      </c>
      <c r="AR1228" s="1743" t="s">
        <v>87</v>
      </c>
      <c r="AS1228" s="2135"/>
      <c r="AT1228" s="2135"/>
      <c r="AU1228" s="1212">
        <v>1</v>
      </c>
      <c r="AV1228" s="1212"/>
      <c r="AW1228" s="1212"/>
      <c r="AX1228" s="1212"/>
      <c r="AY1228" s="1212"/>
      <c r="AZ1228" s="1212"/>
      <c r="BA1228" s="1212"/>
      <c r="BB1228" s="1212"/>
      <c r="BC1228" s="1212"/>
      <c r="BD1228" s="1212"/>
      <c r="BE1228" s="1212"/>
      <c r="BF1228" s="2126">
        <v>0</v>
      </c>
      <c r="BG1228" s="2126">
        <v>0</v>
      </c>
      <c r="BH1228" s="2126">
        <v>2348.7799999999997</v>
      </c>
      <c r="BI1228" s="2126">
        <v>0</v>
      </c>
      <c r="BJ1228" s="2126">
        <v>0</v>
      </c>
      <c r="BK1228" s="2126">
        <v>0</v>
      </c>
      <c r="BL1228" s="2126">
        <v>0</v>
      </c>
      <c r="BM1228" s="2126">
        <v>0</v>
      </c>
      <c r="BN1228" s="2126">
        <v>0</v>
      </c>
      <c r="BO1228" s="2126">
        <v>0</v>
      </c>
      <c r="BP1228" s="2126">
        <v>0</v>
      </c>
      <c r="BQ1228" s="2126">
        <v>0</v>
      </c>
      <c r="BR1228" s="2126">
        <v>0</v>
      </c>
    </row>
    <row r="1229" spans="1:70" s="1765" customFormat="1" ht="33">
      <c r="A1229" s="1272">
        <v>5000</v>
      </c>
      <c r="B1229" s="971" t="s">
        <v>2119</v>
      </c>
      <c r="C1229" s="1272">
        <v>5100</v>
      </c>
      <c r="D1229" s="971" t="s">
        <v>78</v>
      </c>
      <c r="E1229" s="971">
        <v>5140</v>
      </c>
      <c r="F1229" s="971" t="s">
        <v>176</v>
      </c>
      <c r="G1229" s="971">
        <v>5140</v>
      </c>
      <c r="H1229" s="971" t="s">
        <v>176</v>
      </c>
      <c r="I1229" s="1273"/>
      <c r="J1229" s="971" t="s">
        <v>2146</v>
      </c>
      <c r="K1229" s="971" t="s">
        <v>2125</v>
      </c>
      <c r="L1229" s="971" t="s">
        <v>2126</v>
      </c>
      <c r="M1229" s="971" t="s">
        <v>2125</v>
      </c>
      <c r="N1229" s="971" t="s">
        <v>176</v>
      </c>
      <c r="O1229" s="971" t="s">
        <v>2126</v>
      </c>
      <c r="P1229" s="971"/>
      <c r="Q1229" s="971" t="s">
        <v>2160</v>
      </c>
      <c r="R1229" s="1266"/>
      <c r="S1229" s="2106">
        <v>-2</v>
      </c>
      <c r="T1229" s="1266" t="s">
        <v>242</v>
      </c>
      <c r="U1229" s="1742">
        <v>13</v>
      </c>
      <c r="V1229" s="1742">
        <v>100</v>
      </c>
      <c r="W1229" s="1742">
        <v>1145.82</v>
      </c>
      <c r="X1229" s="1742">
        <v>1102.96</v>
      </c>
      <c r="Y1229" s="2106">
        <v>2348.7799999999997</v>
      </c>
      <c r="Z1229" s="2106">
        <v>-26</v>
      </c>
      <c r="AA1229" s="2106">
        <v>-200</v>
      </c>
      <c r="AB1229" s="2106">
        <v>-2291.64</v>
      </c>
      <c r="AC1229" s="2106">
        <v>-2205.92</v>
      </c>
      <c r="AD1229" s="1744">
        <v>-4697.5599999999995</v>
      </c>
      <c r="AE1229" s="2126">
        <v>96</v>
      </c>
      <c r="AF1229" s="2126">
        <v>192</v>
      </c>
      <c r="AG1229" s="1212">
        <v>1</v>
      </c>
      <c r="AH1229" s="1212">
        <v>0</v>
      </c>
      <c r="AI1229" s="1212">
        <v>0</v>
      </c>
      <c r="AJ1229" s="1212">
        <v>1</v>
      </c>
      <c r="AK1229" s="2126">
        <v>-4697.5599999999995</v>
      </c>
      <c r="AL1229" s="2126">
        <v>0</v>
      </c>
      <c r="AM1229" s="2126">
        <v>0</v>
      </c>
      <c r="AN1229" s="2126">
        <v>-4697.5599999999995</v>
      </c>
      <c r="AO1229" s="1743" t="s">
        <v>85</v>
      </c>
      <c r="AP1229" s="1743" t="s">
        <v>96</v>
      </c>
      <c r="AQ1229" s="1764" t="s">
        <v>97</v>
      </c>
      <c r="AR1229" s="1743" t="s">
        <v>87</v>
      </c>
      <c r="AS1229" s="2135"/>
      <c r="AT1229" s="2135"/>
      <c r="AU1229" s="1212">
        <v>1</v>
      </c>
      <c r="AV1229" s="1212"/>
      <c r="AW1229" s="1212"/>
      <c r="AX1229" s="1212"/>
      <c r="AY1229" s="1212"/>
      <c r="AZ1229" s="1212"/>
      <c r="BA1229" s="1212"/>
      <c r="BB1229" s="1212"/>
      <c r="BC1229" s="1212"/>
      <c r="BD1229" s="1212"/>
      <c r="BE1229" s="1212"/>
      <c r="BF1229" s="2126">
        <v>0</v>
      </c>
      <c r="BG1229" s="2126">
        <v>0</v>
      </c>
      <c r="BH1229" s="2126">
        <v>-4697.5599999999995</v>
      </c>
      <c r="BI1229" s="2126">
        <v>0</v>
      </c>
      <c r="BJ1229" s="2126">
        <v>0</v>
      </c>
      <c r="BK1229" s="2126">
        <v>0</v>
      </c>
      <c r="BL1229" s="2126">
        <v>0</v>
      </c>
      <c r="BM1229" s="2126">
        <v>0</v>
      </c>
      <c r="BN1229" s="2126">
        <v>0</v>
      </c>
      <c r="BO1229" s="2126">
        <v>0</v>
      </c>
      <c r="BP1229" s="2126">
        <v>0</v>
      </c>
      <c r="BQ1229" s="2126">
        <v>0</v>
      </c>
      <c r="BR1229" s="2126">
        <v>0</v>
      </c>
    </row>
    <row r="1230" spans="1:70" s="1765" customFormat="1" ht="33">
      <c r="A1230" s="1272">
        <v>5000</v>
      </c>
      <c r="B1230" s="971" t="s">
        <v>2119</v>
      </c>
      <c r="C1230" s="1272">
        <v>5100</v>
      </c>
      <c r="D1230" s="971" t="s">
        <v>78</v>
      </c>
      <c r="E1230" s="971">
        <v>5140</v>
      </c>
      <c r="F1230" s="971" t="s">
        <v>176</v>
      </c>
      <c r="G1230" s="971">
        <v>5140</v>
      </c>
      <c r="H1230" s="971" t="s">
        <v>176</v>
      </c>
      <c r="I1230" s="1273"/>
      <c r="J1230" s="971" t="s">
        <v>2146</v>
      </c>
      <c r="K1230" s="971" t="s">
        <v>2125</v>
      </c>
      <c r="L1230" s="971" t="s">
        <v>2126</v>
      </c>
      <c r="M1230" s="971" t="s">
        <v>2125</v>
      </c>
      <c r="N1230" s="971" t="s">
        <v>176</v>
      </c>
      <c r="O1230" s="971" t="s">
        <v>2126</v>
      </c>
      <c r="P1230" s="971"/>
      <c r="Q1230" s="971" t="s">
        <v>2160</v>
      </c>
      <c r="R1230" s="1266"/>
      <c r="S1230" s="2106">
        <v>2</v>
      </c>
      <c r="T1230" s="1266" t="s">
        <v>242</v>
      </c>
      <c r="U1230" s="1742">
        <v>13</v>
      </c>
      <c r="V1230" s="1742">
        <v>100</v>
      </c>
      <c r="W1230" s="1742">
        <v>1145.82</v>
      </c>
      <c r="X1230" s="1742">
        <v>1102.96</v>
      </c>
      <c r="Y1230" s="2106">
        <v>2348.7799999999997</v>
      </c>
      <c r="Z1230" s="2106">
        <v>26</v>
      </c>
      <c r="AA1230" s="2106">
        <v>200</v>
      </c>
      <c r="AB1230" s="2106">
        <v>2291.64</v>
      </c>
      <c r="AC1230" s="2106">
        <v>2205.92</v>
      </c>
      <c r="AD1230" s="1744">
        <v>4697.5599999999995</v>
      </c>
      <c r="AE1230" s="2126">
        <v>96</v>
      </c>
      <c r="AF1230" s="2126">
        <v>192</v>
      </c>
      <c r="AG1230" s="1212">
        <v>1</v>
      </c>
      <c r="AH1230" s="1212">
        <v>0</v>
      </c>
      <c r="AI1230" s="1212">
        <v>0</v>
      </c>
      <c r="AJ1230" s="1212">
        <v>1</v>
      </c>
      <c r="AK1230" s="2126">
        <v>4697.5599999999995</v>
      </c>
      <c r="AL1230" s="2126">
        <v>0</v>
      </c>
      <c r="AM1230" s="2126">
        <v>0</v>
      </c>
      <c r="AN1230" s="2126">
        <v>4697.5599999999995</v>
      </c>
      <c r="AO1230" s="1743" t="s">
        <v>85</v>
      </c>
      <c r="AP1230" s="1743" t="s">
        <v>90</v>
      </c>
      <c r="AQ1230" s="1764">
        <v>2021</v>
      </c>
      <c r="AR1230" s="1743" t="s">
        <v>87</v>
      </c>
      <c r="AS1230" s="2135"/>
      <c r="AT1230" s="2135"/>
      <c r="AU1230" s="1212">
        <v>1</v>
      </c>
      <c r="AV1230" s="1212"/>
      <c r="AW1230" s="1212"/>
      <c r="AX1230" s="1212"/>
      <c r="AY1230" s="1212"/>
      <c r="AZ1230" s="1212"/>
      <c r="BA1230" s="1212"/>
      <c r="BB1230" s="1212"/>
      <c r="BC1230" s="1212"/>
      <c r="BD1230" s="1212"/>
      <c r="BE1230" s="1212"/>
      <c r="BF1230" s="2126">
        <v>0</v>
      </c>
      <c r="BG1230" s="2126">
        <v>0</v>
      </c>
      <c r="BH1230" s="2126">
        <v>4697.5599999999995</v>
      </c>
      <c r="BI1230" s="2126">
        <v>0</v>
      </c>
      <c r="BJ1230" s="2126">
        <v>0</v>
      </c>
      <c r="BK1230" s="2126">
        <v>0</v>
      </c>
      <c r="BL1230" s="2126">
        <v>0</v>
      </c>
      <c r="BM1230" s="2126">
        <v>0</v>
      </c>
      <c r="BN1230" s="2126">
        <v>0</v>
      </c>
      <c r="BO1230" s="2126">
        <v>0</v>
      </c>
      <c r="BP1230" s="2126">
        <v>0</v>
      </c>
      <c r="BQ1230" s="2126">
        <v>0</v>
      </c>
      <c r="BR1230" s="2126">
        <v>0</v>
      </c>
    </row>
    <row r="1231" spans="1:70" s="1765" customFormat="1" ht="33">
      <c r="A1231" s="1272">
        <v>5000</v>
      </c>
      <c r="B1231" s="971" t="s">
        <v>2119</v>
      </c>
      <c r="C1231" s="1272">
        <v>5100</v>
      </c>
      <c r="D1231" s="971" t="s">
        <v>78</v>
      </c>
      <c r="E1231" s="971">
        <v>5140</v>
      </c>
      <c r="F1231" s="971" t="s">
        <v>176</v>
      </c>
      <c r="G1231" s="971">
        <v>5140</v>
      </c>
      <c r="H1231" s="971" t="s">
        <v>176</v>
      </c>
      <c r="I1231" s="1273"/>
      <c r="J1231" s="971" t="s">
        <v>2146</v>
      </c>
      <c r="K1231" s="971" t="s">
        <v>2125</v>
      </c>
      <c r="L1231" s="971" t="s">
        <v>2126</v>
      </c>
      <c r="M1231" s="971" t="s">
        <v>2125</v>
      </c>
      <c r="N1231" s="971" t="s">
        <v>176</v>
      </c>
      <c r="O1231" s="971" t="s">
        <v>2126</v>
      </c>
      <c r="P1231" s="971"/>
      <c r="Q1231" s="971" t="s">
        <v>2161</v>
      </c>
      <c r="R1231" s="1266"/>
      <c r="S1231" s="2106">
        <v>-4</v>
      </c>
      <c r="T1231" s="1266" t="s">
        <v>242</v>
      </c>
      <c r="U1231" s="1742">
        <v>13</v>
      </c>
      <c r="V1231" s="1742">
        <v>100</v>
      </c>
      <c r="W1231" s="1742">
        <v>1145.82</v>
      </c>
      <c r="X1231" s="1742">
        <v>1102.96</v>
      </c>
      <c r="Y1231" s="2106">
        <v>2348.7799999999997</v>
      </c>
      <c r="Z1231" s="2106">
        <v>-52</v>
      </c>
      <c r="AA1231" s="2106">
        <v>-400</v>
      </c>
      <c r="AB1231" s="2106">
        <v>-4583.28</v>
      </c>
      <c r="AC1231" s="2106">
        <v>-4411.84</v>
      </c>
      <c r="AD1231" s="1744">
        <v>-9395.119999999999</v>
      </c>
      <c r="AE1231" s="2126">
        <v>96</v>
      </c>
      <c r="AF1231" s="2126">
        <v>-384</v>
      </c>
      <c r="AG1231" s="1212">
        <v>1</v>
      </c>
      <c r="AH1231" s="1212">
        <v>0</v>
      </c>
      <c r="AI1231" s="1212">
        <v>0</v>
      </c>
      <c r="AJ1231" s="1212">
        <v>1</v>
      </c>
      <c r="AK1231" s="2126">
        <v>-9395.119999999999</v>
      </c>
      <c r="AL1231" s="2126">
        <v>0</v>
      </c>
      <c r="AM1231" s="2126">
        <v>0</v>
      </c>
      <c r="AN1231" s="2126">
        <v>-9395.119999999999</v>
      </c>
      <c r="AO1231" s="1743" t="s">
        <v>85</v>
      </c>
      <c r="AP1231" s="1743" t="s">
        <v>96</v>
      </c>
      <c r="AQ1231" s="1764" t="s">
        <v>2141</v>
      </c>
      <c r="AR1231" s="1743" t="s">
        <v>87</v>
      </c>
      <c r="AS1231" s="2135"/>
      <c r="AT1231" s="2135"/>
      <c r="AU1231" s="1212">
        <v>1</v>
      </c>
      <c r="AV1231" s="1212"/>
      <c r="AW1231" s="1212"/>
      <c r="AX1231" s="1212"/>
      <c r="AY1231" s="1212"/>
      <c r="AZ1231" s="1212"/>
      <c r="BA1231" s="1212"/>
      <c r="BB1231" s="1212"/>
      <c r="BC1231" s="1212"/>
      <c r="BD1231" s="1212"/>
      <c r="BE1231" s="1212"/>
      <c r="BF1231" s="2126">
        <v>0</v>
      </c>
      <c r="BG1231" s="2126">
        <v>0</v>
      </c>
      <c r="BH1231" s="2126">
        <v>-9395.119999999999</v>
      </c>
      <c r="BI1231" s="2126">
        <v>0</v>
      </c>
      <c r="BJ1231" s="2126">
        <v>0</v>
      </c>
      <c r="BK1231" s="2126">
        <v>0</v>
      </c>
      <c r="BL1231" s="2126">
        <v>0</v>
      </c>
      <c r="BM1231" s="2126">
        <v>0</v>
      </c>
      <c r="BN1231" s="2126">
        <v>0</v>
      </c>
      <c r="BO1231" s="2126">
        <v>0</v>
      </c>
      <c r="BP1231" s="2126">
        <v>0</v>
      </c>
      <c r="BQ1231" s="2126">
        <v>0</v>
      </c>
      <c r="BR1231" s="2126">
        <v>0</v>
      </c>
    </row>
    <row r="1232" spans="1:70" s="1765" customFormat="1" ht="33">
      <c r="A1232" s="1272">
        <v>5000</v>
      </c>
      <c r="B1232" s="971" t="s">
        <v>2119</v>
      </c>
      <c r="C1232" s="1272">
        <v>5100</v>
      </c>
      <c r="D1232" s="971" t="s">
        <v>78</v>
      </c>
      <c r="E1232" s="971">
        <v>5140</v>
      </c>
      <c r="F1232" s="971" t="s">
        <v>176</v>
      </c>
      <c r="G1232" s="971">
        <v>5140</v>
      </c>
      <c r="H1232" s="971" t="s">
        <v>176</v>
      </c>
      <c r="I1232" s="1273"/>
      <c r="J1232" s="971" t="s">
        <v>2146</v>
      </c>
      <c r="K1232" s="971" t="s">
        <v>2125</v>
      </c>
      <c r="L1232" s="971" t="s">
        <v>2126</v>
      </c>
      <c r="M1232" s="971" t="s">
        <v>2125</v>
      </c>
      <c r="N1232" s="971" t="s">
        <v>176</v>
      </c>
      <c r="O1232" s="971" t="s">
        <v>2126</v>
      </c>
      <c r="P1232" s="971"/>
      <c r="Q1232" s="971" t="s">
        <v>2161</v>
      </c>
      <c r="R1232" s="1266"/>
      <c r="S1232" s="2106">
        <v>4</v>
      </c>
      <c r="T1232" s="1266" t="s">
        <v>242</v>
      </c>
      <c r="U1232" s="1742">
        <v>13</v>
      </c>
      <c r="V1232" s="1742">
        <v>100</v>
      </c>
      <c r="W1232" s="1742">
        <v>1145.82</v>
      </c>
      <c r="X1232" s="1742">
        <v>1102.96</v>
      </c>
      <c r="Y1232" s="2106">
        <v>2348.7799999999997</v>
      </c>
      <c r="Z1232" s="2106">
        <v>52</v>
      </c>
      <c r="AA1232" s="2106">
        <v>400</v>
      </c>
      <c r="AB1232" s="2106">
        <v>4583.28</v>
      </c>
      <c r="AC1232" s="2106">
        <v>4411.84</v>
      </c>
      <c r="AD1232" s="1744">
        <v>9395.119999999999</v>
      </c>
      <c r="AE1232" s="2126">
        <v>96</v>
      </c>
      <c r="AF1232" s="2126">
        <v>384</v>
      </c>
      <c r="AG1232" s="1212">
        <v>1</v>
      </c>
      <c r="AH1232" s="1212">
        <v>0</v>
      </c>
      <c r="AI1232" s="1212">
        <v>0</v>
      </c>
      <c r="AJ1232" s="1212">
        <v>1</v>
      </c>
      <c r="AK1232" s="2126">
        <v>9395.119999999999</v>
      </c>
      <c r="AL1232" s="2126">
        <v>0</v>
      </c>
      <c r="AM1232" s="2126">
        <v>0</v>
      </c>
      <c r="AN1232" s="2126">
        <v>9395.119999999999</v>
      </c>
      <c r="AO1232" s="1743" t="s">
        <v>85</v>
      </c>
      <c r="AP1232" s="1743" t="s">
        <v>90</v>
      </c>
      <c r="AQ1232" s="1764">
        <v>2020</v>
      </c>
      <c r="AR1232" s="1743" t="s">
        <v>87</v>
      </c>
      <c r="AS1232" s="2135"/>
      <c r="AT1232" s="2135"/>
      <c r="AU1232" s="1212">
        <v>1</v>
      </c>
      <c r="AV1232" s="1212"/>
      <c r="AW1232" s="1212"/>
      <c r="AX1232" s="1212"/>
      <c r="AY1232" s="1212"/>
      <c r="AZ1232" s="1212"/>
      <c r="BA1232" s="1212"/>
      <c r="BB1232" s="1212"/>
      <c r="BC1232" s="1212"/>
      <c r="BD1232" s="1212"/>
      <c r="BE1232" s="1212"/>
      <c r="BF1232" s="2126">
        <v>0</v>
      </c>
      <c r="BG1232" s="2126">
        <v>0</v>
      </c>
      <c r="BH1232" s="2126">
        <v>9395.119999999999</v>
      </c>
      <c r="BI1232" s="2126">
        <v>0</v>
      </c>
      <c r="BJ1232" s="2126">
        <v>0</v>
      </c>
      <c r="BK1232" s="2126">
        <v>0</v>
      </c>
      <c r="BL1232" s="2126">
        <v>0</v>
      </c>
      <c r="BM1232" s="2126">
        <v>0</v>
      </c>
      <c r="BN1232" s="2126">
        <v>0</v>
      </c>
      <c r="BO1232" s="2126">
        <v>0</v>
      </c>
      <c r="BP1232" s="2126">
        <v>0</v>
      </c>
      <c r="BQ1232" s="2126">
        <v>0</v>
      </c>
      <c r="BR1232" s="2126">
        <v>0</v>
      </c>
    </row>
    <row r="1233" spans="1:70" s="1765" customFormat="1" ht="33">
      <c r="A1233" s="1272">
        <v>5000</v>
      </c>
      <c r="B1233" s="971" t="s">
        <v>2119</v>
      </c>
      <c r="C1233" s="1272">
        <v>5100</v>
      </c>
      <c r="D1233" s="971" t="s">
        <v>78</v>
      </c>
      <c r="E1233" s="971">
        <v>5140</v>
      </c>
      <c r="F1233" s="971" t="s">
        <v>176</v>
      </c>
      <c r="G1233" s="971">
        <v>5140</v>
      </c>
      <c r="H1233" s="971" t="s">
        <v>176</v>
      </c>
      <c r="I1233" s="1273"/>
      <c r="J1233" s="971" t="s">
        <v>2146</v>
      </c>
      <c r="K1233" s="971" t="s">
        <v>2125</v>
      </c>
      <c r="L1233" s="971" t="s">
        <v>2126</v>
      </c>
      <c r="M1233" s="971" t="s">
        <v>2125</v>
      </c>
      <c r="N1233" s="971" t="s">
        <v>176</v>
      </c>
      <c r="O1233" s="971" t="s">
        <v>2126</v>
      </c>
      <c r="P1233" s="971"/>
      <c r="Q1233" s="971" t="s">
        <v>2162</v>
      </c>
      <c r="R1233" s="1266" t="s">
        <v>2163</v>
      </c>
      <c r="S1233" s="2106">
        <v>1</v>
      </c>
      <c r="T1233" s="1266" t="s">
        <v>242</v>
      </c>
      <c r="U1233" s="1742">
        <v>13</v>
      </c>
      <c r="V1233" s="1742">
        <v>100</v>
      </c>
      <c r="W1233" s="1742">
        <v>1145.82</v>
      </c>
      <c r="X1233" s="1742">
        <v>1102.96</v>
      </c>
      <c r="Y1233" s="2106">
        <v>2348.7799999999997</v>
      </c>
      <c r="Z1233" s="2106">
        <v>13</v>
      </c>
      <c r="AA1233" s="2106">
        <v>100</v>
      </c>
      <c r="AB1233" s="2106">
        <v>1145.82</v>
      </c>
      <c r="AC1233" s="2106">
        <v>1102.96</v>
      </c>
      <c r="AD1233" s="1744">
        <v>2348.7799999999997</v>
      </c>
      <c r="AE1233" s="2126">
        <v>96</v>
      </c>
      <c r="AF1233" s="2126">
        <v>96</v>
      </c>
      <c r="AG1233" s="1212">
        <v>1</v>
      </c>
      <c r="AH1233" s="1212">
        <v>0</v>
      </c>
      <c r="AI1233" s="1212">
        <v>0</v>
      </c>
      <c r="AJ1233" s="1212">
        <v>1</v>
      </c>
      <c r="AK1233" s="2126">
        <v>2348.7799999999997</v>
      </c>
      <c r="AL1233" s="2126">
        <v>0</v>
      </c>
      <c r="AM1233" s="2126">
        <v>0</v>
      </c>
      <c r="AN1233" s="2126">
        <v>2348.7799999999997</v>
      </c>
      <c r="AO1233" s="1743" t="s">
        <v>85</v>
      </c>
      <c r="AP1233" s="1743" t="s">
        <v>90</v>
      </c>
      <c r="AQ1233" s="1764">
        <v>2021</v>
      </c>
      <c r="AR1233" s="1743" t="s">
        <v>87</v>
      </c>
      <c r="AS1233" s="2135"/>
      <c r="AT1233" s="2135"/>
      <c r="AU1233" s="1212">
        <v>1</v>
      </c>
      <c r="AV1233" s="1212"/>
      <c r="AW1233" s="1212"/>
      <c r="AX1233" s="1212"/>
      <c r="AY1233" s="1212"/>
      <c r="AZ1233" s="1212"/>
      <c r="BA1233" s="1212"/>
      <c r="BB1233" s="1212"/>
      <c r="BC1233" s="1212"/>
      <c r="BD1233" s="1212"/>
      <c r="BE1233" s="1212"/>
      <c r="BF1233" s="2126">
        <v>0</v>
      </c>
      <c r="BG1233" s="2126">
        <v>0</v>
      </c>
      <c r="BH1233" s="2126">
        <v>2348.7799999999997</v>
      </c>
      <c r="BI1233" s="2126">
        <v>0</v>
      </c>
      <c r="BJ1233" s="2126">
        <v>0</v>
      </c>
      <c r="BK1233" s="2126">
        <v>0</v>
      </c>
      <c r="BL1233" s="2126">
        <v>0</v>
      </c>
      <c r="BM1233" s="2126">
        <v>0</v>
      </c>
      <c r="BN1233" s="2126">
        <v>0</v>
      </c>
      <c r="BO1233" s="2126">
        <v>0</v>
      </c>
      <c r="BP1233" s="2126">
        <v>0</v>
      </c>
      <c r="BQ1233" s="2126">
        <v>0</v>
      </c>
      <c r="BR1233" s="2126">
        <v>0</v>
      </c>
    </row>
    <row r="1234" spans="1:70" s="1765" customFormat="1" ht="33">
      <c r="A1234" s="1272">
        <v>5000</v>
      </c>
      <c r="B1234" s="971" t="s">
        <v>2119</v>
      </c>
      <c r="C1234" s="1272">
        <v>5100</v>
      </c>
      <c r="D1234" s="971" t="s">
        <v>78</v>
      </c>
      <c r="E1234" s="971">
        <v>5140</v>
      </c>
      <c r="F1234" s="971" t="s">
        <v>176</v>
      </c>
      <c r="G1234" s="971">
        <v>5140</v>
      </c>
      <c r="H1234" s="971" t="s">
        <v>176</v>
      </c>
      <c r="I1234" s="1273"/>
      <c r="J1234" s="971" t="s">
        <v>2146</v>
      </c>
      <c r="K1234" s="971" t="s">
        <v>2125</v>
      </c>
      <c r="L1234" s="971" t="s">
        <v>2126</v>
      </c>
      <c r="M1234" s="971" t="s">
        <v>2125</v>
      </c>
      <c r="N1234" s="971" t="s">
        <v>176</v>
      </c>
      <c r="O1234" s="971" t="s">
        <v>2126</v>
      </c>
      <c r="P1234" s="971"/>
      <c r="Q1234" s="971" t="s">
        <v>2162</v>
      </c>
      <c r="R1234" s="1266" t="s">
        <v>2163</v>
      </c>
      <c r="S1234" s="2106">
        <v>-1</v>
      </c>
      <c r="T1234" s="1266" t="s">
        <v>242</v>
      </c>
      <c r="U1234" s="1742">
        <v>13</v>
      </c>
      <c r="V1234" s="1742">
        <v>100</v>
      </c>
      <c r="W1234" s="1742">
        <v>1145.82</v>
      </c>
      <c r="X1234" s="1742">
        <v>1102.96</v>
      </c>
      <c r="Y1234" s="2106">
        <v>2348.7799999999997</v>
      </c>
      <c r="Z1234" s="2106">
        <v>-13</v>
      </c>
      <c r="AA1234" s="2106">
        <v>-100</v>
      </c>
      <c r="AB1234" s="2106">
        <v>-1145.82</v>
      </c>
      <c r="AC1234" s="2106">
        <v>-1102.96</v>
      </c>
      <c r="AD1234" s="1744">
        <v>-2348.7799999999997</v>
      </c>
      <c r="AE1234" s="2126">
        <v>96</v>
      </c>
      <c r="AF1234" s="2126">
        <v>-96</v>
      </c>
      <c r="AG1234" s="1212">
        <v>1</v>
      </c>
      <c r="AH1234" s="1212">
        <v>0</v>
      </c>
      <c r="AI1234" s="1212">
        <v>0</v>
      </c>
      <c r="AJ1234" s="1212">
        <v>1</v>
      </c>
      <c r="AK1234" s="2126">
        <v>-2348.7799999999997</v>
      </c>
      <c r="AL1234" s="2126">
        <v>0</v>
      </c>
      <c r="AM1234" s="2126">
        <v>0</v>
      </c>
      <c r="AN1234" s="2126">
        <v>-2348.7799999999997</v>
      </c>
      <c r="AO1234" s="1743" t="s">
        <v>85</v>
      </c>
      <c r="AP1234" s="1743" t="s">
        <v>96</v>
      </c>
      <c r="AQ1234" s="1764" t="s">
        <v>115</v>
      </c>
      <c r="AR1234" s="1743" t="s">
        <v>87</v>
      </c>
      <c r="AS1234" s="2135"/>
      <c r="AT1234" s="2135"/>
      <c r="AU1234" s="1212">
        <v>1</v>
      </c>
      <c r="AV1234" s="1212"/>
      <c r="AW1234" s="1212"/>
      <c r="AX1234" s="1212"/>
      <c r="AY1234" s="1212"/>
      <c r="AZ1234" s="1212"/>
      <c r="BA1234" s="1212"/>
      <c r="BB1234" s="1212"/>
      <c r="BC1234" s="1212"/>
      <c r="BD1234" s="1212"/>
      <c r="BE1234" s="1212"/>
      <c r="BF1234" s="2126">
        <v>0</v>
      </c>
      <c r="BG1234" s="2126">
        <v>0</v>
      </c>
      <c r="BH1234" s="2126">
        <v>-2348.7799999999997</v>
      </c>
      <c r="BI1234" s="2126">
        <v>0</v>
      </c>
      <c r="BJ1234" s="2126">
        <v>0</v>
      </c>
      <c r="BK1234" s="2126">
        <v>0</v>
      </c>
      <c r="BL1234" s="2126">
        <v>0</v>
      </c>
      <c r="BM1234" s="2126">
        <v>0</v>
      </c>
      <c r="BN1234" s="2126">
        <v>0</v>
      </c>
      <c r="BO1234" s="2126">
        <v>0</v>
      </c>
      <c r="BP1234" s="2126">
        <v>0</v>
      </c>
      <c r="BQ1234" s="2126">
        <v>0</v>
      </c>
      <c r="BR1234" s="2126">
        <v>0</v>
      </c>
    </row>
    <row r="1235" spans="1:70" s="1765" customFormat="1" ht="33">
      <c r="A1235" s="1272">
        <v>5000</v>
      </c>
      <c r="B1235" s="971" t="s">
        <v>2119</v>
      </c>
      <c r="C1235" s="1272">
        <v>5100</v>
      </c>
      <c r="D1235" s="971" t="s">
        <v>78</v>
      </c>
      <c r="E1235" s="971">
        <v>5140</v>
      </c>
      <c r="F1235" s="971" t="s">
        <v>176</v>
      </c>
      <c r="G1235" s="971">
        <v>5140</v>
      </c>
      <c r="H1235" s="971" t="s">
        <v>176</v>
      </c>
      <c r="I1235" s="1273"/>
      <c r="J1235" s="971" t="s">
        <v>2146</v>
      </c>
      <c r="K1235" s="971" t="s">
        <v>2125</v>
      </c>
      <c r="L1235" s="971" t="s">
        <v>2126</v>
      </c>
      <c r="M1235" s="971" t="s">
        <v>2125</v>
      </c>
      <c r="N1235" s="971" t="s">
        <v>176</v>
      </c>
      <c r="O1235" s="971" t="s">
        <v>2126</v>
      </c>
      <c r="P1235" s="971"/>
      <c r="Q1235" s="971" t="s">
        <v>2164</v>
      </c>
      <c r="R1235" s="1266"/>
      <c r="S1235" s="2106">
        <v>4</v>
      </c>
      <c r="T1235" s="1266" t="s">
        <v>242</v>
      </c>
      <c r="U1235" s="1742">
        <v>13</v>
      </c>
      <c r="V1235" s="1742">
        <v>100</v>
      </c>
      <c r="W1235" s="1742">
        <v>1145.82</v>
      </c>
      <c r="X1235" s="1742">
        <v>1102.96</v>
      </c>
      <c r="Y1235" s="2106">
        <v>2348.7799999999997</v>
      </c>
      <c r="Z1235" s="2106">
        <v>52</v>
      </c>
      <c r="AA1235" s="2106">
        <v>400</v>
      </c>
      <c r="AB1235" s="2106">
        <v>4583.28</v>
      </c>
      <c r="AC1235" s="2106">
        <v>4411.84</v>
      </c>
      <c r="AD1235" s="1744">
        <v>9395.119999999999</v>
      </c>
      <c r="AE1235" s="2126">
        <v>96</v>
      </c>
      <c r="AF1235" s="2126">
        <v>384</v>
      </c>
      <c r="AG1235" s="1212">
        <v>1</v>
      </c>
      <c r="AH1235" s="1212">
        <v>0</v>
      </c>
      <c r="AI1235" s="1212">
        <v>0</v>
      </c>
      <c r="AJ1235" s="1212">
        <v>1</v>
      </c>
      <c r="AK1235" s="2126">
        <v>9395.119999999999</v>
      </c>
      <c r="AL1235" s="2126">
        <v>0</v>
      </c>
      <c r="AM1235" s="2126">
        <v>0</v>
      </c>
      <c r="AN1235" s="2126">
        <v>9395.119999999999</v>
      </c>
      <c r="AO1235" s="1743" t="s">
        <v>85</v>
      </c>
      <c r="AP1235" s="1743" t="s">
        <v>90</v>
      </c>
      <c r="AQ1235" s="1764" t="s">
        <v>192</v>
      </c>
      <c r="AR1235" s="1743" t="s">
        <v>87</v>
      </c>
      <c r="AS1235" s="2135"/>
      <c r="AT1235" s="2135"/>
      <c r="AU1235" s="1212">
        <v>1</v>
      </c>
      <c r="AV1235" s="1212"/>
      <c r="AW1235" s="1212"/>
      <c r="AX1235" s="1212"/>
      <c r="AY1235" s="1212"/>
      <c r="AZ1235" s="1212"/>
      <c r="BA1235" s="1212"/>
      <c r="BB1235" s="1212"/>
      <c r="BC1235" s="1212"/>
      <c r="BD1235" s="1212"/>
      <c r="BE1235" s="1212"/>
      <c r="BF1235" s="2126">
        <v>0</v>
      </c>
      <c r="BG1235" s="2126">
        <v>0</v>
      </c>
      <c r="BH1235" s="2126">
        <v>9395.119999999999</v>
      </c>
      <c r="BI1235" s="2126">
        <v>0</v>
      </c>
      <c r="BJ1235" s="2126">
        <v>0</v>
      </c>
      <c r="BK1235" s="2126">
        <v>0</v>
      </c>
      <c r="BL1235" s="2126">
        <v>0</v>
      </c>
      <c r="BM1235" s="2126">
        <v>0</v>
      </c>
      <c r="BN1235" s="2126">
        <v>0</v>
      </c>
      <c r="BO1235" s="2126">
        <v>0</v>
      </c>
      <c r="BP1235" s="2126">
        <v>0</v>
      </c>
      <c r="BQ1235" s="2126">
        <v>0</v>
      </c>
      <c r="BR1235" s="2126">
        <v>0</v>
      </c>
    </row>
    <row r="1236" spans="1:70" s="1765" customFormat="1" ht="33">
      <c r="A1236" s="1272">
        <v>5000</v>
      </c>
      <c r="B1236" s="971" t="s">
        <v>2119</v>
      </c>
      <c r="C1236" s="1272">
        <v>5100</v>
      </c>
      <c r="D1236" s="971" t="s">
        <v>78</v>
      </c>
      <c r="E1236" s="971">
        <v>5140</v>
      </c>
      <c r="F1236" s="971" t="s">
        <v>176</v>
      </c>
      <c r="G1236" s="971">
        <v>5140</v>
      </c>
      <c r="H1236" s="971" t="s">
        <v>176</v>
      </c>
      <c r="I1236" s="1273"/>
      <c r="J1236" s="971" t="s">
        <v>2146</v>
      </c>
      <c r="K1236" s="971" t="s">
        <v>2125</v>
      </c>
      <c r="L1236" s="971" t="s">
        <v>2126</v>
      </c>
      <c r="M1236" s="971" t="s">
        <v>2125</v>
      </c>
      <c r="N1236" s="971" t="s">
        <v>176</v>
      </c>
      <c r="O1236" s="971" t="s">
        <v>2126</v>
      </c>
      <c r="P1236" s="971"/>
      <c r="Q1236" s="971" t="s">
        <v>2165</v>
      </c>
      <c r="R1236" s="1266"/>
      <c r="S1236" s="2106">
        <v>1</v>
      </c>
      <c r="T1236" s="1266" t="s">
        <v>242</v>
      </c>
      <c r="U1236" s="1742">
        <v>13</v>
      </c>
      <c r="V1236" s="1742">
        <v>100</v>
      </c>
      <c r="W1236" s="1742">
        <v>1145.82</v>
      </c>
      <c r="X1236" s="1742">
        <v>1102.96</v>
      </c>
      <c r="Y1236" s="2106">
        <v>2348.7799999999997</v>
      </c>
      <c r="Z1236" s="2106">
        <v>13</v>
      </c>
      <c r="AA1236" s="2106">
        <v>100</v>
      </c>
      <c r="AB1236" s="2106">
        <v>1145.82</v>
      </c>
      <c r="AC1236" s="2106">
        <v>1102.96</v>
      </c>
      <c r="AD1236" s="1744">
        <v>2348.7799999999997</v>
      </c>
      <c r="AE1236" s="2126">
        <v>96</v>
      </c>
      <c r="AF1236" s="2126">
        <v>96</v>
      </c>
      <c r="AG1236" s="1212">
        <v>1</v>
      </c>
      <c r="AH1236" s="1212">
        <v>0</v>
      </c>
      <c r="AI1236" s="1212">
        <v>0</v>
      </c>
      <c r="AJ1236" s="1212">
        <v>1</v>
      </c>
      <c r="AK1236" s="2126">
        <v>2348.7799999999997</v>
      </c>
      <c r="AL1236" s="2126">
        <v>0</v>
      </c>
      <c r="AM1236" s="2126">
        <v>0</v>
      </c>
      <c r="AN1236" s="2126">
        <v>2348.7799999999997</v>
      </c>
      <c r="AO1236" s="1743" t="s">
        <v>85</v>
      </c>
      <c r="AP1236" s="1743" t="s">
        <v>90</v>
      </c>
      <c r="AQ1236" s="1764" t="s">
        <v>192</v>
      </c>
      <c r="AR1236" s="1743" t="s">
        <v>87</v>
      </c>
      <c r="AS1236" s="2135"/>
      <c r="AT1236" s="2135"/>
      <c r="AU1236" s="1212">
        <v>1</v>
      </c>
      <c r="AV1236" s="1212"/>
      <c r="AW1236" s="1212"/>
      <c r="AX1236" s="1212"/>
      <c r="AY1236" s="1212"/>
      <c r="AZ1236" s="1212"/>
      <c r="BA1236" s="1212"/>
      <c r="BB1236" s="1212"/>
      <c r="BC1236" s="1212"/>
      <c r="BD1236" s="1212"/>
      <c r="BE1236" s="1212"/>
      <c r="BF1236" s="2126">
        <v>0</v>
      </c>
      <c r="BG1236" s="2126">
        <v>0</v>
      </c>
      <c r="BH1236" s="2126">
        <v>2348.7799999999997</v>
      </c>
      <c r="BI1236" s="2126">
        <v>0</v>
      </c>
      <c r="BJ1236" s="2126">
        <v>0</v>
      </c>
      <c r="BK1236" s="2126">
        <v>0</v>
      </c>
      <c r="BL1236" s="2126">
        <v>0</v>
      </c>
      <c r="BM1236" s="2126">
        <v>0</v>
      </c>
      <c r="BN1236" s="2126">
        <v>0</v>
      </c>
      <c r="BO1236" s="2126">
        <v>0</v>
      </c>
      <c r="BP1236" s="2126">
        <v>0</v>
      </c>
      <c r="BQ1236" s="2126">
        <v>0</v>
      </c>
      <c r="BR1236" s="2126">
        <v>0</v>
      </c>
    </row>
    <row r="1237" spans="1:70" s="1765" customFormat="1" ht="33">
      <c r="A1237" s="1272">
        <v>5000</v>
      </c>
      <c r="B1237" s="971" t="s">
        <v>2119</v>
      </c>
      <c r="C1237" s="1272">
        <v>5100</v>
      </c>
      <c r="D1237" s="971" t="s">
        <v>78</v>
      </c>
      <c r="E1237" s="971">
        <v>5140</v>
      </c>
      <c r="F1237" s="971" t="s">
        <v>176</v>
      </c>
      <c r="G1237" s="971">
        <v>5140</v>
      </c>
      <c r="H1237" s="971" t="s">
        <v>176</v>
      </c>
      <c r="I1237" s="1273"/>
      <c r="J1237" s="971" t="s">
        <v>2146</v>
      </c>
      <c r="K1237" s="971" t="s">
        <v>2125</v>
      </c>
      <c r="L1237" s="971" t="s">
        <v>2126</v>
      </c>
      <c r="M1237" s="971" t="s">
        <v>2125</v>
      </c>
      <c r="N1237" s="971" t="s">
        <v>176</v>
      </c>
      <c r="O1237" s="971" t="s">
        <v>2126</v>
      </c>
      <c r="P1237" s="971"/>
      <c r="Q1237" s="971" t="s">
        <v>2166</v>
      </c>
      <c r="R1237" s="1266"/>
      <c r="S1237" s="2106">
        <v>-1</v>
      </c>
      <c r="T1237" s="1266" t="s">
        <v>242</v>
      </c>
      <c r="U1237" s="1742">
        <v>13</v>
      </c>
      <c r="V1237" s="1742">
        <v>100</v>
      </c>
      <c r="W1237" s="1742">
        <v>1145.82</v>
      </c>
      <c r="X1237" s="1742">
        <v>1102.96</v>
      </c>
      <c r="Y1237" s="2106">
        <v>2348.7799999999997</v>
      </c>
      <c r="Z1237" s="2106">
        <v>-13</v>
      </c>
      <c r="AA1237" s="2106">
        <v>-100</v>
      </c>
      <c r="AB1237" s="2106">
        <v>-1145.82</v>
      </c>
      <c r="AC1237" s="2106">
        <v>-1102.96</v>
      </c>
      <c r="AD1237" s="1744">
        <v>-2348.7799999999997</v>
      </c>
      <c r="AE1237" s="2126">
        <v>96</v>
      </c>
      <c r="AF1237" s="2126">
        <v>-96</v>
      </c>
      <c r="AG1237" s="1212">
        <v>1</v>
      </c>
      <c r="AH1237" s="1212">
        <v>0</v>
      </c>
      <c r="AI1237" s="1212">
        <v>0</v>
      </c>
      <c r="AJ1237" s="1212">
        <v>1</v>
      </c>
      <c r="AK1237" s="2126">
        <v>-2348.7799999999997</v>
      </c>
      <c r="AL1237" s="2126">
        <v>0</v>
      </c>
      <c r="AM1237" s="2126">
        <v>0</v>
      </c>
      <c r="AN1237" s="2126">
        <v>-2348.7799999999997</v>
      </c>
      <c r="AO1237" s="1743" t="s">
        <v>85</v>
      </c>
      <c r="AP1237" s="1743" t="s">
        <v>96</v>
      </c>
      <c r="AQ1237" s="1764" t="s">
        <v>192</v>
      </c>
      <c r="AR1237" s="1743" t="s">
        <v>87</v>
      </c>
      <c r="AS1237" s="2135"/>
      <c r="AT1237" s="2135"/>
      <c r="AU1237" s="1212">
        <v>1</v>
      </c>
      <c r="AV1237" s="1212"/>
      <c r="AW1237" s="1212"/>
      <c r="AX1237" s="1212"/>
      <c r="AY1237" s="1212"/>
      <c r="AZ1237" s="1212"/>
      <c r="BA1237" s="1212"/>
      <c r="BB1237" s="1212"/>
      <c r="BC1237" s="1212"/>
      <c r="BD1237" s="1212"/>
      <c r="BE1237" s="1212"/>
      <c r="BF1237" s="2126">
        <v>0</v>
      </c>
      <c r="BG1237" s="2126">
        <v>0</v>
      </c>
      <c r="BH1237" s="2126">
        <v>-2348.7799999999997</v>
      </c>
      <c r="BI1237" s="2126">
        <v>0</v>
      </c>
      <c r="BJ1237" s="2126">
        <v>0</v>
      </c>
      <c r="BK1237" s="2126">
        <v>0</v>
      </c>
      <c r="BL1237" s="2126">
        <v>0</v>
      </c>
      <c r="BM1237" s="2126">
        <v>0</v>
      </c>
      <c r="BN1237" s="2126">
        <v>0</v>
      </c>
      <c r="BO1237" s="2126">
        <v>0</v>
      </c>
      <c r="BP1237" s="2126">
        <v>0</v>
      </c>
      <c r="BQ1237" s="2126">
        <v>0</v>
      </c>
      <c r="BR1237" s="2126">
        <v>0</v>
      </c>
    </row>
    <row r="1238" spans="1:70" s="1765" customFormat="1" ht="33">
      <c r="A1238" s="1272">
        <v>5000</v>
      </c>
      <c r="B1238" s="971" t="s">
        <v>2119</v>
      </c>
      <c r="C1238" s="1272">
        <v>5100</v>
      </c>
      <c r="D1238" s="971" t="s">
        <v>78</v>
      </c>
      <c r="E1238" s="971">
        <v>5140</v>
      </c>
      <c r="F1238" s="971" t="s">
        <v>176</v>
      </c>
      <c r="G1238" s="971">
        <v>5140</v>
      </c>
      <c r="H1238" s="971" t="s">
        <v>176</v>
      </c>
      <c r="I1238" s="1273"/>
      <c r="J1238" s="971" t="s">
        <v>2146</v>
      </c>
      <c r="K1238" s="971" t="s">
        <v>2125</v>
      </c>
      <c r="L1238" s="971" t="s">
        <v>2126</v>
      </c>
      <c r="M1238" s="971" t="s">
        <v>2125</v>
      </c>
      <c r="N1238" s="971" t="s">
        <v>176</v>
      </c>
      <c r="O1238" s="971" t="s">
        <v>2126</v>
      </c>
      <c r="P1238" s="971"/>
      <c r="Q1238" s="971" t="s">
        <v>2167</v>
      </c>
      <c r="R1238" s="1266"/>
      <c r="S1238" s="2106">
        <v>-1</v>
      </c>
      <c r="T1238" s="1266" t="s">
        <v>242</v>
      </c>
      <c r="U1238" s="1742">
        <v>13</v>
      </c>
      <c r="V1238" s="1742">
        <v>100</v>
      </c>
      <c r="W1238" s="1742">
        <v>1145.82</v>
      </c>
      <c r="X1238" s="1742">
        <v>1102.96</v>
      </c>
      <c r="Y1238" s="2106">
        <v>2348.7799999999997</v>
      </c>
      <c r="Z1238" s="2106">
        <v>-13</v>
      </c>
      <c r="AA1238" s="2106">
        <v>-100</v>
      </c>
      <c r="AB1238" s="2106">
        <v>-1145.82</v>
      </c>
      <c r="AC1238" s="2106">
        <v>-1102.96</v>
      </c>
      <c r="AD1238" s="1744">
        <v>-2348.7799999999997</v>
      </c>
      <c r="AE1238" s="2126">
        <v>96</v>
      </c>
      <c r="AF1238" s="2126">
        <v>-96</v>
      </c>
      <c r="AG1238" s="1212">
        <v>1</v>
      </c>
      <c r="AH1238" s="1212">
        <v>0</v>
      </c>
      <c r="AI1238" s="1212">
        <v>0</v>
      </c>
      <c r="AJ1238" s="1212">
        <v>1</v>
      </c>
      <c r="AK1238" s="2126">
        <v>-2348.7799999999997</v>
      </c>
      <c r="AL1238" s="2126">
        <v>0</v>
      </c>
      <c r="AM1238" s="2126">
        <v>0</v>
      </c>
      <c r="AN1238" s="2126">
        <v>-2348.7799999999997</v>
      </c>
      <c r="AO1238" s="1743" t="s">
        <v>85</v>
      </c>
      <c r="AP1238" s="1743" t="s">
        <v>1430</v>
      </c>
      <c r="AQ1238" s="1764" t="s">
        <v>192</v>
      </c>
      <c r="AR1238" s="1743" t="s">
        <v>87</v>
      </c>
      <c r="AS1238" s="2135"/>
      <c r="AT1238" s="2135"/>
      <c r="AU1238" s="1212">
        <v>1</v>
      </c>
      <c r="AV1238" s="1212"/>
      <c r="AW1238" s="1212"/>
      <c r="AX1238" s="1212"/>
      <c r="AY1238" s="1212"/>
      <c r="AZ1238" s="1212"/>
      <c r="BA1238" s="1212"/>
      <c r="BB1238" s="1212"/>
      <c r="BC1238" s="1212"/>
      <c r="BD1238" s="1212"/>
      <c r="BE1238" s="1212"/>
      <c r="BF1238" s="2126">
        <v>0</v>
      </c>
      <c r="BG1238" s="2126">
        <v>0</v>
      </c>
      <c r="BH1238" s="2126">
        <v>-2348.7799999999997</v>
      </c>
      <c r="BI1238" s="2126">
        <v>0</v>
      </c>
      <c r="BJ1238" s="2126">
        <v>0</v>
      </c>
      <c r="BK1238" s="2126">
        <v>0</v>
      </c>
      <c r="BL1238" s="2126">
        <v>0</v>
      </c>
      <c r="BM1238" s="2126">
        <v>0</v>
      </c>
      <c r="BN1238" s="2126">
        <v>0</v>
      </c>
      <c r="BO1238" s="2126">
        <v>0</v>
      </c>
      <c r="BP1238" s="2126">
        <v>0</v>
      </c>
      <c r="BQ1238" s="2126">
        <v>0</v>
      </c>
      <c r="BR1238" s="2126">
        <v>0</v>
      </c>
    </row>
    <row r="1239" spans="1:70" s="1765" customFormat="1" ht="33">
      <c r="A1239" s="1272">
        <v>5000</v>
      </c>
      <c r="B1239" s="971" t="s">
        <v>2119</v>
      </c>
      <c r="C1239" s="1272">
        <v>5100</v>
      </c>
      <c r="D1239" s="971" t="s">
        <v>78</v>
      </c>
      <c r="E1239" s="971">
        <v>5140</v>
      </c>
      <c r="F1239" s="971" t="s">
        <v>176</v>
      </c>
      <c r="G1239" s="971">
        <v>5140</v>
      </c>
      <c r="H1239" s="971" t="s">
        <v>176</v>
      </c>
      <c r="I1239" s="1273"/>
      <c r="J1239" s="971" t="s">
        <v>2146</v>
      </c>
      <c r="K1239" s="971" t="s">
        <v>2125</v>
      </c>
      <c r="L1239" s="971" t="s">
        <v>2126</v>
      </c>
      <c r="M1239" s="971" t="s">
        <v>2125</v>
      </c>
      <c r="N1239" s="971" t="s">
        <v>176</v>
      </c>
      <c r="O1239" s="971" t="s">
        <v>2126</v>
      </c>
      <c r="P1239" s="971"/>
      <c r="Q1239" s="971" t="s">
        <v>2168</v>
      </c>
      <c r="R1239" s="1266"/>
      <c r="S1239" s="2106">
        <v>-1</v>
      </c>
      <c r="T1239" s="1266" t="s">
        <v>242</v>
      </c>
      <c r="U1239" s="1742">
        <v>13</v>
      </c>
      <c r="V1239" s="1742">
        <v>100</v>
      </c>
      <c r="W1239" s="1742">
        <v>1145.82</v>
      </c>
      <c r="X1239" s="1742">
        <v>1102.96</v>
      </c>
      <c r="Y1239" s="2106">
        <v>2348.7799999999997</v>
      </c>
      <c r="Z1239" s="2106">
        <v>-13</v>
      </c>
      <c r="AA1239" s="2106">
        <v>-100</v>
      </c>
      <c r="AB1239" s="2106">
        <v>-1145.82</v>
      </c>
      <c r="AC1239" s="2106">
        <v>-1102.96</v>
      </c>
      <c r="AD1239" s="1744">
        <v>-2348.7799999999997</v>
      </c>
      <c r="AE1239" s="2126">
        <v>96</v>
      </c>
      <c r="AF1239" s="2126">
        <v>-96</v>
      </c>
      <c r="AG1239" s="1212">
        <v>1</v>
      </c>
      <c r="AH1239" s="1212">
        <v>0</v>
      </c>
      <c r="AI1239" s="1212">
        <v>0</v>
      </c>
      <c r="AJ1239" s="1212">
        <v>1</v>
      </c>
      <c r="AK1239" s="2126">
        <v>-2348.7799999999997</v>
      </c>
      <c r="AL1239" s="2126">
        <v>0</v>
      </c>
      <c r="AM1239" s="2126">
        <v>0</v>
      </c>
      <c r="AN1239" s="2126">
        <v>-2348.7799999999997</v>
      </c>
      <c r="AO1239" s="1743" t="s">
        <v>85</v>
      </c>
      <c r="AP1239" s="1743" t="s">
        <v>1430</v>
      </c>
      <c r="AQ1239" s="1764" t="s">
        <v>192</v>
      </c>
      <c r="AR1239" s="1743" t="s">
        <v>87</v>
      </c>
      <c r="AS1239" s="2135"/>
      <c r="AT1239" s="2135"/>
      <c r="AU1239" s="1212">
        <v>1</v>
      </c>
      <c r="AV1239" s="1212"/>
      <c r="AW1239" s="1212"/>
      <c r="AX1239" s="1212"/>
      <c r="AY1239" s="1212"/>
      <c r="AZ1239" s="1212"/>
      <c r="BA1239" s="1212"/>
      <c r="BB1239" s="1212"/>
      <c r="BC1239" s="1212"/>
      <c r="BD1239" s="1212"/>
      <c r="BE1239" s="1212"/>
      <c r="BF1239" s="2126">
        <v>0</v>
      </c>
      <c r="BG1239" s="2126">
        <v>0</v>
      </c>
      <c r="BH1239" s="2126">
        <v>-2348.7799999999997</v>
      </c>
      <c r="BI1239" s="2126">
        <v>0</v>
      </c>
      <c r="BJ1239" s="2126">
        <v>0</v>
      </c>
      <c r="BK1239" s="2126">
        <v>0</v>
      </c>
      <c r="BL1239" s="2126">
        <v>0</v>
      </c>
      <c r="BM1239" s="2126">
        <v>0</v>
      </c>
      <c r="BN1239" s="2126">
        <v>0</v>
      </c>
      <c r="BO1239" s="2126">
        <v>0</v>
      </c>
      <c r="BP1239" s="2126">
        <v>0</v>
      </c>
      <c r="BQ1239" s="2126">
        <v>0</v>
      </c>
      <c r="BR1239" s="2126">
        <v>0</v>
      </c>
    </row>
    <row r="1240" spans="1:70" s="1765" customFormat="1" ht="33">
      <c r="A1240" s="1272">
        <v>5000</v>
      </c>
      <c r="B1240" s="971" t="s">
        <v>2119</v>
      </c>
      <c r="C1240" s="1272">
        <v>5100</v>
      </c>
      <c r="D1240" s="971" t="s">
        <v>78</v>
      </c>
      <c r="E1240" s="971">
        <v>5140</v>
      </c>
      <c r="F1240" s="971" t="s">
        <v>176</v>
      </c>
      <c r="G1240" s="971">
        <v>5140</v>
      </c>
      <c r="H1240" s="971" t="s">
        <v>176</v>
      </c>
      <c r="I1240" s="1273"/>
      <c r="J1240" s="971" t="s">
        <v>2146</v>
      </c>
      <c r="K1240" s="971" t="s">
        <v>2125</v>
      </c>
      <c r="L1240" s="971" t="s">
        <v>2126</v>
      </c>
      <c r="M1240" s="971" t="s">
        <v>2125</v>
      </c>
      <c r="N1240" s="971" t="s">
        <v>176</v>
      </c>
      <c r="O1240" s="971" t="s">
        <v>2126</v>
      </c>
      <c r="P1240" s="971"/>
      <c r="Q1240" s="971" t="s">
        <v>2169</v>
      </c>
      <c r="R1240" s="1266"/>
      <c r="S1240" s="2106">
        <v>-1</v>
      </c>
      <c r="T1240" s="1266" t="s">
        <v>242</v>
      </c>
      <c r="U1240" s="1742">
        <v>13</v>
      </c>
      <c r="V1240" s="1742">
        <v>100</v>
      </c>
      <c r="W1240" s="1742">
        <v>1145.82</v>
      </c>
      <c r="X1240" s="1742">
        <v>1102.96</v>
      </c>
      <c r="Y1240" s="2106">
        <v>2348.7799999999997</v>
      </c>
      <c r="Z1240" s="2106">
        <v>-13</v>
      </c>
      <c r="AA1240" s="2106">
        <v>-100</v>
      </c>
      <c r="AB1240" s="2106">
        <v>-1145.82</v>
      </c>
      <c r="AC1240" s="2106">
        <v>-1102.96</v>
      </c>
      <c r="AD1240" s="1744">
        <v>-2348.7799999999997</v>
      </c>
      <c r="AE1240" s="2126">
        <v>96</v>
      </c>
      <c r="AF1240" s="2126">
        <v>-96</v>
      </c>
      <c r="AG1240" s="1212">
        <v>1</v>
      </c>
      <c r="AH1240" s="1212">
        <v>0</v>
      </c>
      <c r="AI1240" s="1212">
        <v>0</v>
      </c>
      <c r="AJ1240" s="1212">
        <v>1</v>
      </c>
      <c r="AK1240" s="2126">
        <v>-2348.7799999999997</v>
      </c>
      <c r="AL1240" s="2126">
        <v>0</v>
      </c>
      <c r="AM1240" s="2126">
        <v>0</v>
      </c>
      <c r="AN1240" s="2126">
        <v>-2348.7799999999997</v>
      </c>
      <c r="AO1240" s="1743" t="s">
        <v>85</v>
      </c>
      <c r="AP1240" s="1743" t="s">
        <v>96</v>
      </c>
      <c r="AQ1240" s="1764" t="s">
        <v>192</v>
      </c>
      <c r="AR1240" s="1743" t="s">
        <v>87</v>
      </c>
      <c r="AS1240" s="2135"/>
      <c r="AT1240" s="2135"/>
      <c r="AU1240" s="1212">
        <v>1</v>
      </c>
      <c r="AV1240" s="1212"/>
      <c r="AW1240" s="1212"/>
      <c r="AX1240" s="1212"/>
      <c r="AY1240" s="1212"/>
      <c r="AZ1240" s="1212"/>
      <c r="BA1240" s="1212"/>
      <c r="BB1240" s="1212"/>
      <c r="BC1240" s="1212"/>
      <c r="BD1240" s="1212"/>
      <c r="BE1240" s="1212"/>
      <c r="BF1240" s="2126">
        <v>0</v>
      </c>
      <c r="BG1240" s="2126">
        <v>0</v>
      </c>
      <c r="BH1240" s="2126">
        <v>-2348.7799999999997</v>
      </c>
      <c r="BI1240" s="2126">
        <v>0</v>
      </c>
      <c r="BJ1240" s="2126">
        <v>0</v>
      </c>
      <c r="BK1240" s="2126">
        <v>0</v>
      </c>
      <c r="BL1240" s="2126">
        <v>0</v>
      </c>
      <c r="BM1240" s="2126">
        <v>0</v>
      </c>
      <c r="BN1240" s="2126">
        <v>0</v>
      </c>
      <c r="BO1240" s="2126">
        <v>0</v>
      </c>
      <c r="BP1240" s="2126">
        <v>0</v>
      </c>
      <c r="BQ1240" s="2126">
        <v>0</v>
      </c>
      <c r="BR1240" s="2126">
        <v>0</v>
      </c>
    </row>
    <row r="1241" spans="1:70" s="1765" customFormat="1" ht="33">
      <c r="A1241" s="1272">
        <v>5000</v>
      </c>
      <c r="B1241" s="971" t="s">
        <v>2119</v>
      </c>
      <c r="C1241" s="1272">
        <v>5100</v>
      </c>
      <c r="D1241" s="971" t="s">
        <v>78</v>
      </c>
      <c r="E1241" s="971">
        <v>5140</v>
      </c>
      <c r="F1241" s="971" t="s">
        <v>176</v>
      </c>
      <c r="G1241" s="971">
        <v>5140</v>
      </c>
      <c r="H1241" s="971" t="s">
        <v>176</v>
      </c>
      <c r="I1241" s="1273"/>
      <c r="J1241" s="971" t="s">
        <v>2146</v>
      </c>
      <c r="K1241" s="971" t="s">
        <v>2129</v>
      </c>
      <c r="L1241" s="971" t="s">
        <v>2130</v>
      </c>
      <c r="M1241" s="971" t="s">
        <v>2129</v>
      </c>
      <c r="N1241" s="971" t="s">
        <v>176</v>
      </c>
      <c r="O1241" s="971" t="s">
        <v>2130</v>
      </c>
      <c r="P1241" s="971"/>
      <c r="Q1241" s="971" t="s">
        <v>2170</v>
      </c>
      <c r="R1241" s="1266"/>
      <c r="S1241" s="2106">
        <v>1</v>
      </c>
      <c r="T1241" s="1266" t="s">
        <v>242</v>
      </c>
      <c r="U1241" s="1742">
        <v>6.666666666666667</v>
      </c>
      <c r="V1241" s="1742">
        <v>20.833333333333336</v>
      </c>
      <c r="W1241" s="1742">
        <v>587.6</v>
      </c>
      <c r="X1241" s="1742">
        <v>229.78333333333333</v>
      </c>
      <c r="Y1241" s="2106">
        <v>838.2166666666667</v>
      </c>
      <c r="Z1241" s="2106">
        <v>6.666666666666667</v>
      </c>
      <c r="AA1241" s="2106">
        <v>20.833333333333336</v>
      </c>
      <c r="AB1241" s="2106">
        <v>587.6</v>
      </c>
      <c r="AC1241" s="2106">
        <v>229.78333333333333</v>
      </c>
      <c r="AD1241" s="1744">
        <v>838.2166666666667</v>
      </c>
      <c r="AE1241" s="2126">
        <v>4</v>
      </c>
      <c r="AF1241" s="2126">
        <v>4</v>
      </c>
      <c r="AG1241" s="1212">
        <v>1</v>
      </c>
      <c r="AH1241" s="1212">
        <v>0</v>
      </c>
      <c r="AI1241" s="1212">
        <v>0</v>
      </c>
      <c r="AJ1241" s="1212">
        <v>1</v>
      </c>
      <c r="AK1241" s="2126">
        <v>838.2166666666667</v>
      </c>
      <c r="AL1241" s="2126">
        <v>0</v>
      </c>
      <c r="AM1241" s="2126">
        <v>0</v>
      </c>
      <c r="AN1241" s="2126">
        <v>838.2166666666667</v>
      </c>
      <c r="AO1241" s="1743" t="s">
        <v>85</v>
      </c>
      <c r="AP1241" s="1743" t="s">
        <v>90</v>
      </c>
      <c r="AQ1241" s="1764" t="s">
        <v>2141</v>
      </c>
      <c r="AR1241" s="1743" t="s">
        <v>87</v>
      </c>
      <c r="AS1241" s="2135"/>
      <c r="AT1241" s="2135"/>
      <c r="AU1241" s="1212">
        <v>1</v>
      </c>
      <c r="AV1241" s="1212"/>
      <c r="AW1241" s="1212"/>
      <c r="AX1241" s="1212"/>
      <c r="AY1241" s="1212"/>
      <c r="AZ1241" s="1212"/>
      <c r="BA1241" s="1212"/>
      <c r="BB1241" s="1212"/>
      <c r="BC1241" s="1212"/>
      <c r="BD1241" s="1212"/>
      <c r="BE1241" s="1212"/>
      <c r="BF1241" s="2126">
        <v>0</v>
      </c>
      <c r="BG1241" s="2126">
        <v>0</v>
      </c>
      <c r="BH1241" s="2126">
        <v>838.2166666666667</v>
      </c>
      <c r="BI1241" s="2126">
        <v>0</v>
      </c>
      <c r="BJ1241" s="2126">
        <v>0</v>
      </c>
      <c r="BK1241" s="2126">
        <v>0</v>
      </c>
      <c r="BL1241" s="2126">
        <v>0</v>
      </c>
      <c r="BM1241" s="2126">
        <v>0</v>
      </c>
      <c r="BN1241" s="2126">
        <v>0</v>
      </c>
      <c r="BO1241" s="2126">
        <v>0</v>
      </c>
      <c r="BP1241" s="2126">
        <v>0</v>
      </c>
      <c r="BQ1241" s="2126">
        <v>0</v>
      </c>
      <c r="BR1241" s="2126">
        <v>0</v>
      </c>
    </row>
    <row r="1242" spans="1:70" s="1765" customFormat="1" ht="33">
      <c r="A1242" s="1272">
        <v>5000</v>
      </c>
      <c r="B1242" s="971" t="s">
        <v>2119</v>
      </c>
      <c r="C1242" s="1272">
        <v>5100</v>
      </c>
      <c r="D1242" s="971" t="s">
        <v>78</v>
      </c>
      <c r="E1242" s="971">
        <v>5140</v>
      </c>
      <c r="F1242" s="971" t="s">
        <v>176</v>
      </c>
      <c r="G1242" s="971">
        <v>5140</v>
      </c>
      <c r="H1242" s="971" t="s">
        <v>176</v>
      </c>
      <c r="I1242" s="1273"/>
      <c r="J1242" s="971" t="s">
        <v>2146</v>
      </c>
      <c r="K1242" s="971" t="s">
        <v>2129</v>
      </c>
      <c r="L1242" s="971" t="s">
        <v>2130</v>
      </c>
      <c r="M1242" s="971" t="s">
        <v>2129</v>
      </c>
      <c r="N1242" s="971" t="s">
        <v>176</v>
      </c>
      <c r="O1242" s="971" t="s">
        <v>2130</v>
      </c>
      <c r="P1242" s="971"/>
      <c r="Q1242" s="971" t="s">
        <v>2171</v>
      </c>
      <c r="R1242" s="1266"/>
      <c r="S1242" s="2106">
        <v>-1</v>
      </c>
      <c r="T1242" s="1266" t="s">
        <v>242</v>
      </c>
      <c r="U1242" s="1742">
        <v>6.666666666666667</v>
      </c>
      <c r="V1242" s="1742">
        <v>20.833333333333336</v>
      </c>
      <c r="W1242" s="1742">
        <v>587.6</v>
      </c>
      <c r="X1242" s="1742">
        <v>229.78333333333333</v>
      </c>
      <c r="Y1242" s="2106">
        <v>838.2166666666667</v>
      </c>
      <c r="Z1242" s="2106">
        <v>-6.666666666666667</v>
      </c>
      <c r="AA1242" s="2106">
        <v>-20.833333333333336</v>
      </c>
      <c r="AB1242" s="2106">
        <v>-587.6</v>
      </c>
      <c r="AC1242" s="2106">
        <v>-229.78333333333333</v>
      </c>
      <c r="AD1242" s="1744">
        <v>-838.2166666666667</v>
      </c>
      <c r="AE1242" s="2126">
        <v>4</v>
      </c>
      <c r="AF1242" s="2126">
        <v>-4</v>
      </c>
      <c r="AG1242" s="1212">
        <v>1</v>
      </c>
      <c r="AH1242" s="1212">
        <v>0</v>
      </c>
      <c r="AI1242" s="1212">
        <v>0</v>
      </c>
      <c r="AJ1242" s="1212">
        <v>1</v>
      </c>
      <c r="AK1242" s="2126">
        <v>-838.2166666666667</v>
      </c>
      <c r="AL1242" s="2126">
        <v>0</v>
      </c>
      <c r="AM1242" s="2126">
        <v>0</v>
      </c>
      <c r="AN1242" s="2126">
        <v>-838.2166666666667</v>
      </c>
      <c r="AO1242" s="1743" t="s">
        <v>85</v>
      </c>
      <c r="AP1242" s="1743" t="s">
        <v>96</v>
      </c>
      <c r="AQ1242" s="1764" t="s">
        <v>2141</v>
      </c>
      <c r="AR1242" s="1743" t="s">
        <v>87</v>
      </c>
      <c r="AS1242" s="2135"/>
      <c r="AT1242" s="2135"/>
      <c r="AU1242" s="1212">
        <v>1</v>
      </c>
      <c r="AV1242" s="1212"/>
      <c r="AW1242" s="1212"/>
      <c r="AX1242" s="1212"/>
      <c r="AY1242" s="1212"/>
      <c r="AZ1242" s="1212"/>
      <c r="BA1242" s="1212"/>
      <c r="BB1242" s="1212"/>
      <c r="BC1242" s="1212"/>
      <c r="BD1242" s="1212"/>
      <c r="BE1242" s="1212"/>
      <c r="BF1242" s="2126">
        <v>0</v>
      </c>
      <c r="BG1242" s="2126">
        <v>0</v>
      </c>
      <c r="BH1242" s="2126">
        <v>-838.2166666666667</v>
      </c>
      <c r="BI1242" s="2126">
        <v>0</v>
      </c>
      <c r="BJ1242" s="2126">
        <v>0</v>
      </c>
      <c r="BK1242" s="2126">
        <v>0</v>
      </c>
      <c r="BL1242" s="2126">
        <v>0</v>
      </c>
      <c r="BM1242" s="2126">
        <v>0</v>
      </c>
      <c r="BN1242" s="2126">
        <v>0</v>
      </c>
      <c r="BO1242" s="2126">
        <v>0</v>
      </c>
      <c r="BP1242" s="2126">
        <v>0</v>
      </c>
      <c r="BQ1242" s="2126">
        <v>0</v>
      </c>
      <c r="BR1242" s="2126">
        <v>0</v>
      </c>
    </row>
    <row r="1243" spans="1:70" s="1765" customFormat="1" ht="33">
      <c r="A1243" s="1272">
        <v>5000</v>
      </c>
      <c r="B1243" s="971" t="s">
        <v>2119</v>
      </c>
      <c r="C1243" s="1272">
        <v>5100</v>
      </c>
      <c r="D1243" s="971" t="s">
        <v>78</v>
      </c>
      <c r="E1243" s="971">
        <v>5140</v>
      </c>
      <c r="F1243" s="971" t="s">
        <v>176</v>
      </c>
      <c r="G1243" s="971">
        <v>5140</v>
      </c>
      <c r="H1243" s="971" t="s">
        <v>176</v>
      </c>
      <c r="I1243" s="1273"/>
      <c r="J1243" s="971" t="s">
        <v>2146</v>
      </c>
      <c r="K1243" s="971" t="s">
        <v>2129</v>
      </c>
      <c r="L1243" s="971" t="s">
        <v>2130</v>
      </c>
      <c r="M1243" s="971" t="s">
        <v>2129</v>
      </c>
      <c r="N1243" s="971" t="s">
        <v>176</v>
      </c>
      <c r="O1243" s="971" t="s">
        <v>2130</v>
      </c>
      <c r="P1243" s="971"/>
      <c r="Q1243" s="971" t="s">
        <v>2172</v>
      </c>
      <c r="R1243" s="1266"/>
      <c r="S1243" s="2106">
        <v>-2</v>
      </c>
      <c r="T1243" s="1266" t="s">
        <v>242</v>
      </c>
      <c r="U1243" s="1742">
        <v>6.666666666666667</v>
      </c>
      <c r="V1243" s="1742">
        <v>20.833333333333336</v>
      </c>
      <c r="W1243" s="1742">
        <v>587.6</v>
      </c>
      <c r="X1243" s="1742">
        <v>229.78333333333333</v>
      </c>
      <c r="Y1243" s="2106">
        <v>838.2166666666667</v>
      </c>
      <c r="Z1243" s="2106">
        <v>-13.333333333333334</v>
      </c>
      <c r="AA1243" s="2106">
        <v>-41.666666666666671</v>
      </c>
      <c r="AB1243" s="2106">
        <v>-1175.2</v>
      </c>
      <c r="AC1243" s="2106">
        <v>-459.56666666666666</v>
      </c>
      <c r="AD1243" s="1744">
        <v>-1676.4333333333334</v>
      </c>
      <c r="AE1243" s="2126">
        <v>4</v>
      </c>
      <c r="AF1243" s="2126">
        <v>-8</v>
      </c>
      <c r="AG1243" s="1212">
        <v>1</v>
      </c>
      <c r="AH1243" s="1212">
        <v>0</v>
      </c>
      <c r="AI1243" s="1212">
        <v>0</v>
      </c>
      <c r="AJ1243" s="1212">
        <v>1</v>
      </c>
      <c r="AK1243" s="2126">
        <v>-1676.4333333333334</v>
      </c>
      <c r="AL1243" s="2126">
        <v>0</v>
      </c>
      <c r="AM1243" s="2126">
        <v>0</v>
      </c>
      <c r="AN1243" s="2126">
        <v>-1676.4333333333334</v>
      </c>
      <c r="AO1243" s="1743" t="s">
        <v>85</v>
      </c>
      <c r="AP1243" s="1743" t="s">
        <v>96</v>
      </c>
      <c r="AQ1243" s="1764" t="s">
        <v>2141</v>
      </c>
      <c r="AR1243" s="1743" t="s">
        <v>87</v>
      </c>
      <c r="AS1243" s="2135"/>
      <c r="AT1243" s="2135"/>
      <c r="AU1243" s="1212">
        <v>1</v>
      </c>
      <c r="AV1243" s="1212"/>
      <c r="AW1243" s="1212"/>
      <c r="AX1243" s="1212"/>
      <c r="AY1243" s="1212"/>
      <c r="AZ1243" s="1212"/>
      <c r="BA1243" s="1212"/>
      <c r="BB1243" s="1212"/>
      <c r="BC1243" s="1212"/>
      <c r="BD1243" s="1212"/>
      <c r="BE1243" s="1212"/>
      <c r="BF1243" s="2126">
        <v>0</v>
      </c>
      <c r="BG1243" s="2126">
        <v>0</v>
      </c>
      <c r="BH1243" s="2126">
        <v>-1676.4333333333334</v>
      </c>
      <c r="BI1243" s="2126">
        <v>0</v>
      </c>
      <c r="BJ1243" s="2126">
        <v>0</v>
      </c>
      <c r="BK1243" s="2126">
        <v>0</v>
      </c>
      <c r="BL1243" s="2126">
        <v>0</v>
      </c>
      <c r="BM1243" s="2126">
        <v>0</v>
      </c>
      <c r="BN1243" s="2126">
        <v>0</v>
      </c>
      <c r="BO1243" s="2126">
        <v>0</v>
      </c>
      <c r="BP1243" s="2126">
        <v>0</v>
      </c>
      <c r="BQ1243" s="2126">
        <v>0</v>
      </c>
      <c r="BR1243" s="2126">
        <v>0</v>
      </c>
    </row>
    <row r="1244" spans="1:70" s="1765" customFormat="1" ht="33">
      <c r="A1244" s="1272">
        <v>5000</v>
      </c>
      <c r="B1244" s="971" t="s">
        <v>2119</v>
      </c>
      <c r="C1244" s="1272">
        <v>5100</v>
      </c>
      <c r="D1244" s="971" t="s">
        <v>78</v>
      </c>
      <c r="E1244" s="971">
        <v>5140</v>
      </c>
      <c r="F1244" s="971" t="s">
        <v>176</v>
      </c>
      <c r="G1244" s="971">
        <v>5140</v>
      </c>
      <c r="H1244" s="971" t="s">
        <v>176</v>
      </c>
      <c r="I1244" s="1273"/>
      <c r="J1244" s="971" t="s">
        <v>2146</v>
      </c>
      <c r="K1244" s="971" t="s">
        <v>2129</v>
      </c>
      <c r="L1244" s="971" t="s">
        <v>2130</v>
      </c>
      <c r="M1244" s="971" t="s">
        <v>2129</v>
      </c>
      <c r="N1244" s="971" t="s">
        <v>176</v>
      </c>
      <c r="O1244" s="971" t="s">
        <v>2130</v>
      </c>
      <c r="P1244" s="971"/>
      <c r="Q1244" s="971" t="s">
        <v>2173</v>
      </c>
      <c r="R1244" s="1266"/>
      <c r="S1244" s="2106">
        <v>-1</v>
      </c>
      <c r="T1244" s="1266" t="s">
        <v>242</v>
      </c>
      <c r="U1244" s="1742">
        <v>6.666666666666667</v>
      </c>
      <c r="V1244" s="1742">
        <v>20.833333333333336</v>
      </c>
      <c r="W1244" s="1742">
        <v>587.6</v>
      </c>
      <c r="X1244" s="1742">
        <v>229.78333333333333</v>
      </c>
      <c r="Y1244" s="2106">
        <v>838.2166666666667</v>
      </c>
      <c r="Z1244" s="2106">
        <v>-6.666666666666667</v>
      </c>
      <c r="AA1244" s="2106">
        <v>-20.833333333333336</v>
      </c>
      <c r="AB1244" s="2106">
        <v>-587.6</v>
      </c>
      <c r="AC1244" s="2106">
        <v>-229.78333333333333</v>
      </c>
      <c r="AD1244" s="1744">
        <v>-838.2166666666667</v>
      </c>
      <c r="AE1244" s="2126">
        <v>4</v>
      </c>
      <c r="AF1244" s="2126">
        <v>-4</v>
      </c>
      <c r="AG1244" s="1212">
        <v>1</v>
      </c>
      <c r="AH1244" s="1212">
        <v>0</v>
      </c>
      <c r="AI1244" s="1212">
        <v>0</v>
      </c>
      <c r="AJ1244" s="1212">
        <v>1</v>
      </c>
      <c r="AK1244" s="2126">
        <v>-838.2166666666667</v>
      </c>
      <c r="AL1244" s="2126">
        <v>0</v>
      </c>
      <c r="AM1244" s="2126">
        <v>0</v>
      </c>
      <c r="AN1244" s="2126">
        <v>-838.2166666666667</v>
      </c>
      <c r="AO1244" s="1743" t="s">
        <v>85</v>
      </c>
      <c r="AP1244" s="1743" t="s">
        <v>96</v>
      </c>
      <c r="AQ1244" s="1764" t="s">
        <v>2141</v>
      </c>
      <c r="AR1244" s="1743" t="s">
        <v>87</v>
      </c>
      <c r="AS1244" s="2135"/>
      <c r="AT1244" s="2135"/>
      <c r="AU1244" s="1212">
        <v>1</v>
      </c>
      <c r="AV1244" s="1212"/>
      <c r="AW1244" s="1212"/>
      <c r="AX1244" s="1212"/>
      <c r="AY1244" s="1212"/>
      <c r="AZ1244" s="1212"/>
      <c r="BA1244" s="1212"/>
      <c r="BB1244" s="1212"/>
      <c r="BC1244" s="1212"/>
      <c r="BD1244" s="1212"/>
      <c r="BE1244" s="1212"/>
      <c r="BF1244" s="2126">
        <v>0</v>
      </c>
      <c r="BG1244" s="2126">
        <v>0</v>
      </c>
      <c r="BH1244" s="2126">
        <v>-838.2166666666667</v>
      </c>
      <c r="BI1244" s="2126">
        <v>0</v>
      </c>
      <c r="BJ1244" s="2126">
        <v>0</v>
      </c>
      <c r="BK1244" s="2126">
        <v>0</v>
      </c>
      <c r="BL1244" s="2126">
        <v>0</v>
      </c>
      <c r="BM1244" s="2126">
        <v>0</v>
      </c>
      <c r="BN1244" s="2126">
        <v>0</v>
      </c>
      <c r="BO1244" s="2126">
        <v>0</v>
      </c>
      <c r="BP1244" s="2126">
        <v>0</v>
      </c>
      <c r="BQ1244" s="2126">
        <v>0</v>
      </c>
      <c r="BR1244" s="2126">
        <v>0</v>
      </c>
    </row>
    <row r="1245" spans="1:70" s="1765" customFormat="1" ht="33">
      <c r="A1245" s="1272">
        <v>5000</v>
      </c>
      <c r="B1245" s="971" t="s">
        <v>2119</v>
      </c>
      <c r="C1245" s="1272">
        <v>5100</v>
      </c>
      <c r="D1245" s="971" t="s">
        <v>78</v>
      </c>
      <c r="E1245" s="971">
        <v>5140</v>
      </c>
      <c r="F1245" s="971" t="s">
        <v>176</v>
      </c>
      <c r="G1245" s="971">
        <v>5140</v>
      </c>
      <c r="H1245" s="971" t="s">
        <v>176</v>
      </c>
      <c r="I1245" s="1273"/>
      <c r="J1245" s="971" t="s">
        <v>2146</v>
      </c>
      <c r="K1245" s="971" t="s">
        <v>2129</v>
      </c>
      <c r="L1245" s="971" t="s">
        <v>2130</v>
      </c>
      <c r="M1245" s="971" t="s">
        <v>2129</v>
      </c>
      <c r="N1245" s="971" t="s">
        <v>176</v>
      </c>
      <c r="O1245" s="971" t="s">
        <v>2130</v>
      </c>
      <c r="P1245" s="971"/>
      <c r="Q1245" s="971" t="s">
        <v>2173</v>
      </c>
      <c r="R1245" s="1266"/>
      <c r="S1245" s="2106">
        <v>1</v>
      </c>
      <c r="T1245" s="1266" t="s">
        <v>242</v>
      </c>
      <c r="U1245" s="1742">
        <v>6.666666666666667</v>
      </c>
      <c r="V1245" s="1742">
        <v>20.833333333333336</v>
      </c>
      <c r="W1245" s="1742">
        <v>587.6</v>
      </c>
      <c r="X1245" s="1742">
        <v>229.78333333333333</v>
      </c>
      <c r="Y1245" s="2106">
        <v>838.2166666666667</v>
      </c>
      <c r="Z1245" s="2106">
        <v>6.666666666666667</v>
      </c>
      <c r="AA1245" s="2106">
        <v>20.833333333333336</v>
      </c>
      <c r="AB1245" s="2106">
        <v>587.6</v>
      </c>
      <c r="AC1245" s="2106">
        <v>229.78333333333333</v>
      </c>
      <c r="AD1245" s="1744">
        <v>838.2166666666667</v>
      </c>
      <c r="AE1245" s="2126">
        <v>4</v>
      </c>
      <c r="AF1245" s="2126">
        <v>4</v>
      </c>
      <c r="AG1245" s="1212">
        <v>1</v>
      </c>
      <c r="AH1245" s="1212">
        <v>0</v>
      </c>
      <c r="AI1245" s="1212">
        <v>0</v>
      </c>
      <c r="AJ1245" s="1212">
        <v>1</v>
      </c>
      <c r="AK1245" s="2126">
        <v>838.2166666666667</v>
      </c>
      <c r="AL1245" s="2126">
        <v>0</v>
      </c>
      <c r="AM1245" s="2126">
        <v>0</v>
      </c>
      <c r="AN1245" s="2126">
        <v>838.2166666666667</v>
      </c>
      <c r="AO1245" s="1743" t="s">
        <v>85</v>
      </c>
      <c r="AP1245" s="1743" t="s">
        <v>90</v>
      </c>
      <c r="AQ1245" s="1764">
        <v>2020</v>
      </c>
      <c r="AR1245" s="1743" t="s">
        <v>87</v>
      </c>
      <c r="AS1245" s="2135"/>
      <c r="AT1245" s="2135"/>
      <c r="AU1245" s="1212">
        <v>1</v>
      </c>
      <c r="AV1245" s="1212"/>
      <c r="AW1245" s="1212"/>
      <c r="AX1245" s="1212"/>
      <c r="AY1245" s="1212"/>
      <c r="AZ1245" s="1212"/>
      <c r="BA1245" s="1212"/>
      <c r="BB1245" s="1212"/>
      <c r="BC1245" s="1212"/>
      <c r="BD1245" s="1212"/>
      <c r="BE1245" s="1212"/>
      <c r="BF1245" s="2126">
        <v>0</v>
      </c>
      <c r="BG1245" s="2126">
        <v>0</v>
      </c>
      <c r="BH1245" s="2126">
        <v>838.2166666666667</v>
      </c>
      <c r="BI1245" s="2126">
        <v>0</v>
      </c>
      <c r="BJ1245" s="2126">
        <v>0</v>
      </c>
      <c r="BK1245" s="2126">
        <v>0</v>
      </c>
      <c r="BL1245" s="2126">
        <v>0</v>
      </c>
      <c r="BM1245" s="2126">
        <v>0</v>
      </c>
      <c r="BN1245" s="2126">
        <v>0</v>
      </c>
      <c r="BO1245" s="2126">
        <v>0</v>
      </c>
      <c r="BP1245" s="2126">
        <v>0</v>
      </c>
      <c r="BQ1245" s="2126">
        <v>0</v>
      </c>
      <c r="BR1245" s="2126">
        <v>0</v>
      </c>
    </row>
    <row r="1246" spans="1:70" s="1765" customFormat="1" ht="33">
      <c r="A1246" s="1272">
        <v>5000</v>
      </c>
      <c r="B1246" s="971" t="s">
        <v>2119</v>
      </c>
      <c r="C1246" s="1272">
        <v>5100</v>
      </c>
      <c r="D1246" s="971" t="s">
        <v>78</v>
      </c>
      <c r="E1246" s="971">
        <v>5140</v>
      </c>
      <c r="F1246" s="971" t="s">
        <v>176</v>
      </c>
      <c r="G1246" s="971">
        <v>5140</v>
      </c>
      <c r="H1246" s="971" t="s">
        <v>176</v>
      </c>
      <c r="I1246" s="1273"/>
      <c r="J1246" s="971" t="s">
        <v>2146</v>
      </c>
      <c r="K1246" s="971" t="s">
        <v>2129</v>
      </c>
      <c r="L1246" s="971" t="s">
        <v>2130</v>
      </c>
      <c r="M1246" s="971" t="s">
        <v>2129</v>
      </c>
      <c r="N1246" s="971" t="s">
        <v>176</v>
      </c>
      <c r="O1246" s="971" t="s">
        <v>2130</v>
      </c>
      <c r="P1246" s="971"/>
      <c r="Q1246" s="971" t="s">
        <v>2174</v>
      </c>
      <c r="R1246" s="1266"/>
      <c r="S1246" s="2106">
        <v>-2</v>
      </c>
      <c r="T1246" s="1266" t="s">
        <v>242</v>
      </c>
      <c r="U1246" s="1742">
        <v>6.666666666666667</v>
      </c>
      <c r="V1246" s="1742">
        <v>20.833333333333336</v>
      </c>
      <c r="W1246" s="1742">
        <v>587.6</v>
      </c>
      <c r="X1246" s="1742">
        <v>229.78333333333333</v>
      </c>
      <c r="Y1246" s="2106">
        <v>838.2166666666667</v>
      </c>
      <c r="Z1246" s="2106">
        <v>-13.333333333333334</v>
      </c>
      <c r="AA1246" s="2106">
        <v>-41.666666666666671</v>
      </c>
      <c r="AB1246" s="2106">
        <v>-1175.2</v>
      </c>
      <c r="AC1246" s="2106">
        <v>-459.56666666666666</v>
      </c>
      <c r="AD1246" s="1744">
        <v>-1676.4333333333334</v>
      </c>
      <c r="AE1246" s="2126">
        <v>4</v>
      </c>
      <c r="AF1246" s="2126">
        <v>-8</v>
      </c>
      <c r="AG1246" s="1212">
        <v>1</v>
      </c>
      <c r="AH1246" s="1212">
        <v>0</v>
      </c>
      <c r="AI1246" s="1212">
        <v>0</v>
      </c>
      <c r="AJ1246" s="1212">
        <v>1</v>
      </c>
      <c r="AK1246" s="2126">
        <v>-1676.4333333333334</v>
      </c>
      <c r="AL1246" s="2126">
        <v>0</v>
      </c>
      <c r="AM1246" s="2126">
        <v>0</v>
      </c>
      <c r="AN1246" s="2126">
        <v>-1676.4333333333334</v>
      </c>
      <c r="AO1246" s="1743" t="s">
        <v>85</v>
      </c>
      <c r="AP1246" s="1743" t="s">
        <v>96</v>
      </c>
      <c r="AQ1246" s="1764" t="s">
        <v>2141</v>
      </c>
      <c r="AR1246" s="1743" t="s">
        <v>87</v>
      </c>
      <c r="AS1246" s="2135"/>
      <c r="AT1246" s="2135"/>
      <c r="AU1246" s="1212">
        <v>1</v>
      </c>
      <c r="AV1246" s="1212"/>
      <c r="AW1246" s="1212"/>
      <c r="AX1246" s="1212"/>
      <c r="AY1246" s="1212"/>
      <c r="AZ1246" s="1212"/>
      <c r="BA1246" s="1212"/>
      <c r="BB1246" s="1212"/>
      <c r="BC1246" s="1212"/>
      <c r="BD1246" s="1212"/>
      <c r="BE1246" s="1212"/>
      <c r="BF1246" s="2126">
        <v>0</v>
      </c>
      <c r="BG1246" s="2126">
        <v>0</v>
      </c>
      <c r="BH1246" s="2126">
        <v>-1676.4333333333334</v>
      </c>
      <c r="BI1246" s="2126">
        <v>0</v>
      </c>
      <c r="BJ1246" s="2126">
        <v>0</v>
      </c>
      <c r="BK1246" s="2126">
        <v>0</v>
      </c>
      <c r="BL1246" s="2126">
        <v>0</v>
      </c>
      <c r="BM1246" s="2126">
        <v>0</v>
      </c>
      <c r="BN1246" s="2126">
        <v>0</v>
      </c>
      <c r="BO1246" s="2126">
        <v>0</v>
      </c>
      <c r="BP1246" s="2126">
        <v>0</v>
      </c>
      <c r="BQ1246" s="2126">
        <v>0</v>
      </c>
      <c r="BR1246" s="2126">
        <v>0</v>
      </c>
    </row>
    <row r="1247" spans="1:70" s="1765" customFormat="1" ht="33">
      <c r="A1247" s="1272">
        <v>5000</v>
      </c>
      <c r="B1247" s="971" t="s">
        <v>2119</v>
      </c>
      <c r="C1247" s="1272">
        <v>5100</v>
      </c>
      <c r="D1247" s="971" t="s">
        <v>78</v>
      </c>
      <c r="E1247" s="971">
        <v>5140</v>
      </c>
      <c r="F1247" s="971" t="s">
        <v>176</v>
      </c>
      <c r="G1247" s="971">
        <v>5140</v>
      </c>
      <c r="H1247" s="971" t="s">
        <v>176</v>
      </c>
      <c r="I1247" s="1273"/>
      <c r="J1247" s="971" t="s">
        <v>2146</v>
      </c>
      <c r="K1247" s="971" t="s">
        <v>2129</v>
      </c>
      <c r="L1247" s="971" t="s">
        <v>2130</v>
      </c>
      <c r="M1247" s="971" t="s">
        <v>2129</v>
      </c>
      <c r="N1247" s="971" t="s">
        <v>176</v>
      </c>
      <c r="O1247" s="971" t="s">
        <v>2130</v>
      </c>
      <c r="P1247" s="971"/>
      <c r="Q1247" s="971" t="s">
        <v>2174</v>
      </c>
      <c r="R1247" s="1266"/>
      <c r="S1247" s="2106">
        <v>2</v>
      </c>
      <c r="T1247" s="1266" t="s">
        <v>242</v>
      </c>
      <c r="U1247" s="1742">
        <v>6.666666666666667</v>
      </c>
      <c r="V1247" s="1742">
        <v>20.833333333333336</v>
      </c>
      <c r="W1247" s="1742">
        <v>587.6</v>
      </c>
      <c r="X1247" s="1742">
        <v>229.78333333333333</v>
      </c>
      <c r="Y1247" s="2106">
        <v>838.2166666666667</v>
      </c>
      <c r="Z1247" s="2106">
        <v>13.333333333333334</v>
      </c>
      <c r="AA1247" s="2106">
        <v>41.666666666666671</v>
      </c>
      <c r="AB1247" s="2106">
        <v>1175.2</v>
      </c>
      <c r="AC1247" s="2106">
        <v>459.56666666666666</v>
      </c>
      <c r="AD1247" s="1744">
        <v>1676.4333333333334</v>
      </c>
      <c r="AE1247" s="2126">
        <v>4</v>
      </c>
      <c r="AF1247" s="2126">
        <v>8</v>
      </c>
      <c r="AG1247" s="1212">
        <v>1</v>
      </c>
      <c r="AH1247" s="1212">
        <v>0</v>
      </c>
      <c r="AI1247" s="1212">
        <v>0</v>
      </c>
      <c r="AJ1247" s="1212">
        <v>1</v>
      </c>
      <c r="AK1247" s="2126">
        <v>1676.4333333333334</v>
      </c>
      <c r="AL1247" s="2126">
        <v>0</v>
      </c>
      <c r="AM1247" s="2126">
        <v>0</v>
      </c>
      <c r="AN1247" s="2126">
        <v>1676.4333333333334</v>
      </c>
      <c r="AO1247" s="1743" t="s">
        <v>85</v>
      </c>
      <c r="AP1247" s="1743" t="s">
        <v>90</v>
      </c>
      <c r="AQ1247" s="1764">
        <v>2020</v>
      </c>
      <c r="AR1247" s="1743" t="s">
        <v>87</v>
      </c>
      <c r="AS1247" s="2135"/>
      <c r="AT1247" s="2135"/>
      <c r="AU1247" s="1212">
        <v>1</v>
      </c>
      <c r="AV1247" s="1212"/>
      <c r="AW1247" s="1212"/>
      <c r="AX1247" s="1212"/>
      <c r="AY1247" s="1212"/>
      <c r="AZ1247" s="1212"/>
      <c r="BA1247" s="1212"/>
      <c r="BB1247" s="1212"/>
      <c r="BC1247" s="1212"/>
      <c r="BD1247" s="1212"/>
      <c r="BE1247" s="1212"/>
      <c r="BF1247" s="2126">
        <v>0</v>
      </c>
      <c r="BG1247" s="2126">
        <v>0</v>
      </c>
      <c r="BH1247" s="2126">
        <v>1676.4333333333334</v>
      </c>
      <c r="BI1247" s="2126">
        <v>0</v>
      </c>
      <c r="BJ1247" s="2126">
        <v>0</v>
      </c>
      <c r="BK1247" s="2126">
        <v>0</v>
      </c>
      <c r="BL1247" s="2126">
        <v>0</v>
      </c>
      <c r="BM1247" s="2126">
        <v>0</v>
      </c>
      <c r="BN1247" s="2126">
        <v>0</v>
      </c>
      <c r="BO1247" s="2126">
        <v>0</v>
      </c>
      <c r="BP1247" s="2126">
        <v>0</v>
      </c>
      <c r="BQ1247" s="2126">
        <v>0</v>
      </c>
      <c r="BR1247" s="2126">
        <v>0</v>
      </c>
    </row>
    <row r="1248" spans="1:70" s="1765" customFormat="1" ht="33">
      <c r="A1248" s="1272">
        <v>5000</v>
      </c>
      <c r="B1248" s="971" t="s">
        <v>2119</v>
      </c>
      <c r="C1248" s="1272">
        <v>5100</v>
      </c>
      <c r="D1248" s="971" t="s">
        <v>78</v>
      </c>
      <c r="E1248" s="971">
        <v>5140</v>
      </c>
      <c r="F1248" s="971" t="s">
        <v>176</v>
      </c>
      <c r="G1248" s="971">
        <v>5140</v>
      </c>
      <c r="H1248" s="971" t="s">
        <v>176</v>
      </c>
      <c r="I1248" s="1273"/>
      <c r="J1248" s="971" t="s">
        <v>2146</v>
      </c>
      <c r="K1248" s="971" t="s">
        <v>2129</v>
      </c>
      <c r="L1248" s="971" t="s">
        <v>2130</v>
      </c>
      <c r="M1248" s="971" t="s">
        <v>2129</v>
      </c>
      <c r="N1248" s="971" t="s">
        <v>176</v>
      </c>
      <c r="O1248" s="971" t="s">
        <v>2130</v>
      </c>
      <c r="P1248" s="971"/>
      <c r="Q1248" s="971" t="s">
        <v>2175</v>
      </c>
      <c r="R1248" s="1266"/>
      <c r="S1248" s="2106">
        <v>-2</v>
      </c>
      <c r="T1248" s="1266" t="s">
        <v>242</v>
      </c>
      <c r="U1248" s="1742">
        <v>6.666666666666667</v>
      </c>
      <c r="V1248" s="1742">
        <v>20.833333333333336</v>
      </c>
      <c r="W1248" s="1742">
        <v>587.6</v>
      </c>
      <c r="X1248" s="1742">
        <v>229.78333333333333</v>
      </c>
      <c r="Y1248" s="2106">
        <v>838.2166666666667</v>
      </c>
      <c r="Z1248" s="2106">
        <v>-13.333333333333334</v>
      </c>
      <c r="AA1248" s="2106">
        <v>-41.666666666666671</v>
      </c>
      <c r="AB1248" s="2106">
        <v>-1175.2</v>
      </c>
      <c r="AC1248" s="2106">
        <v>-459.56666666666666</v>
      </c>
      <c r="AD1248" s="1744">
        <v>-1676.4333333333334</v>
      </c>
      <c r="AE1248" s="2126">
        <v>4</v>
      </c>
      <c r="AF1248" s="2126">
        <v>-8</v>
      </c>
      <c r="AG1248" s="1212">
        <v>1</v>
      </c>
      <c r="AH1248" s="1212">
        <v>0</v>
      </c>
      <c r="AI1248" s="1212">
        <v>0</v>
      </c>
      <c r="AJ1248" s="1212">
        <v>1</v>
      </c>
      <c r="AK1248" s="2126">
        <v>-1676.4333333333334</v>
      </c>
      <c r="AL1248" s="2126">
        <v>0</v>
      </c>
      <c r="AM1248" s="2126">
        <v>0</v>
      </c>
      <c r="AN1248" s="2126">
        <v>-1676.4333333333334</v>
      </c>
      <c r="AO1248" s="1743" t="s">
        <v>85</v>
      </c>
      <c r="AP1248" s="1743" t="s">
        <v>96</v>
      </c>
      <c r="AQ1248" s="1764" t="s">
        <v>2141</v>
      </c>
      <c r="AR1248" s="1743" t="s">
        <v>87</v>
      </c>
      <c r="AS1248" s="2135"/>
      <c r="AT1248" s="2135"/>
      <c r="AU1248" s="1212">
        <v>1</v>
      </c>
      <c r="AV1248" s="1212"/>
      <c r="AW1248" s="1212"/>
      <c r="AX1248" s="1212"/>
      <c r="AY1248" s="1212"/>
      <c r="AZ1248" s="1212"/>
      <c r="BA1248" s="1212"/>
      <c r="BB1248" s="1212"/>
      <c r="BC1248" s="1212"/>
      <c r="BD1248" s="1212"/>
      <c r="BE1248" s="1212"/>
      <c r="BF1248" s="2126">
        <v>0</v>
      </c>
      <c r="BG1248" s="2126">
        <v>0</v>
      </c>
      <c r="BH1248" s="2126">
        <v>-1676.4333333333334</v>
      </c>
      <c r="BI1248" s="2126">
        <v>0</v>
      </c>
      <c r="BJ1248" s="2126">
        <v>0</v>
      </c>
      <c r="BK1248" s="2126">
        <v>0</v>
      </c>
      <c r="BL1248" s="2126">
        <v>0</v>
      </c>
      <c r="BM1248" s="2126">
        <v>0</v>
      </c>
      <c r="BN1248" s="2126">
        <v>0</v>
      </c>
      <c r="BO1248" s="2126">
        <v>0</v>
      </c>
      <c r="BP1248" s="2126">
        <v>0</v>
      </c>
      <c r="BQ1248" s="2126">
        <v>0</v>
      </c>
      <c r="BR1248" s="2126">
        <v>0</v>
      </c>
    </row>
    <row r="1249" spans="1:70" s="1765" customFormat="1" ht="33">
      <c r="A1249" s="1272">
        <v>5000</v>
      </c>
      <c r="B1249" s="971" t="s">
        <v>2119</v>
      </c>
      <c r="C1249" s="1272">
        <v>5100</v>
      </c>
      <c r="D1249" s="971" t="s">
        <v>78</v>
      </c>
      <c r="E1249" s="971">
        <v>5140</v>
      </c>
      <c r="F1249" s="971" t="s">
        <v>176</v>
      </c>
      <c r="G1249" s="971">
        <v>5140</v>
      </c>
      <c r="H1249" s="971" t="s">
        <v>176</v>
      </c>
      <c r="I1249" s="1273"/>
      <c r="J1249" s="971" t="s">
        <v>2146</v>
      </c>
      <c r="K1249" s="971" t="s">
        <v>2129</v>
      </c>
      <c r="L1249" s="971" t="s">
        <v>2130</v>
      </c>
      <c r="M1249" s="971" t="s">
        <v>2129</v>
      </c>
      <c r="N1249" s="971" t="s">
        <v>176</v>
      </c>
      <c r="O1249" s="971" t="s">
        <v>2130</v>
      </c>
      <c r="P1249" s="971"/>
      <c r="Q1249" s="971" t="s">
        <v>2175</v>
      </c>
      <c r="R1249" s="1266"/>
      <c r="S1249" s="2106">
        <v>2</v>
      </c>
      <c r="T1249" s="1266" t="s">
        <v>242</v>
      </c>
      <c r="U1249" s="1742">
        <v>6.666666666666667</v>
      </c>
      <c r="V1249" s="1742">
        <v>20.833333333333336</v>
      </c>
      <c r="W1249" s="1742">
        <v>587.6</v>
      </c>
      <c r="X1249" s="1742">
        <v>229.78333333333333</v>
      </c>
      <c r="Y1249" s="2106">
        <v>838.2166666666667</v>
      </c>
      <c r="Z1249" s="2106">
        <v>13.333333333333334</v>
      </c>
      <c r="AA1249" s="2106">
        <v>41.666666666666671</v>
      </c>
      <c r="AB1249" s="2106">
        <v>1175.2</v>
      </c>
      <c r="AC1249" s="2106">
        <v>459.56666666666666</v>
      </c>
      <c r="AD1249" s="1744">
        <v>1676.4333333333334</v>
      </c>
      <c r="AE1249" s="2126">
        <v>4</v>
      </c>
      <c r="AF1249" s="2126">
        <v>8</v>
      </c>
      <c r="AG1249" s="1212">
        <v>1</v>
      </c>
      <c r="AH1249" s="1212">
        <v>0</v>
      </c>
      <c r="AI1249" s="1212">
        <v>0</v>
      </c>
      <c r="AJ1249" s="1212">
        <v>1</v>
      </c>
      <c r="AK1249" s="2126">
        <v>1676.4333333333334</v>
      </c>
      <c r="AL1249" s="2126">
        <v>0</v>
      </c>
      <c r="AM1249" s="2126">
        <v>0</v>
      </c>
      <c r="AN1249" s="2126">
        <v>1676.4333333333334</v>
      </c>
      <c r="AO1249" s="1743" t="s">
        <v>85</v>
      </c>
      <c r="AP1249" s="1743" t="s">
        <v>90</v>
      </c>
      <c r="AQ1249" s="1764">
        <v>2020</v>
      </c>
      <c r="AR1249" s="1743" t="s">
        <v>87</v>
      </c>
      <c r="AS1249" s="2135"/>
      <c r="AT1249" s="2135"/>
      <c r="AU1249" s="1212">
        <v>1</v>
      </c>
      <c r="AV1249" s="1212"/>
      <c r="AW1249" s="1212"/>
      <c r="AX1249" s="1212"/>
      <c r="AY1249" s="1212"/>
      <c r="AZ1249" s="1212"/>
      <c r="BA1249" s="1212"/>
      <c r="BB1249" s="1212"/>
      <c r="BC1249" s="1212"/>
      <c r="BD1249" s="1212"/>
      <c r="BE1249" s="1212"/>
      <c r="BF1249" s="2126">
        <v>0</v>
      </c>
      <c r="BG1249" s="2126">
        <v>0</v>
      </c>
      <c r="BH1249" s="2126">
        <v>1676.4333333333334</v>
      </c>
      <c r="BI1249" s="2126">
        <v>0</v>
      </c>
      <c r="BJ1249" s="2126">
        <v>0</v>
      </c>
      <c r="BK1249" s="2126">
        <v>0</v>
      </c>
      <c r="BL1249" s="2126">
        <v>0</v>
      </c>
      <c r="BM1249" s="2126">
        <v>0</v>
      </c>
      <c r="BN1249" s="2126">
        <v>0</v>
      </c>
      <c r="BO1249" s="2126">
        <v>0</v>
      </c>
      <c r="BP1249" s="2126">
        <v>0</v>
      </c>
      <c r="BQ1249" s="2126">
        <v>0</v>
      </c>
      <c r="BR1249" s="2126">
        <v>0</v>
      </c>
    </row>
    <row r="1250" spans="1:70" s="1765" customFormat="1" ht="33">
      <c r="A1250" s="1272">
        <v>5000</v>
      </c>
      <c r="B1250" s="971" t="s">
        <v>2119</v>
      </c>
      <c r="C1250" s="1272">
        <v>5100</v>
      </c>
      <c r="D1250" s="971" t="s">
        <v>78</v>
      </c>
      <c r="E1250" s="971">
        <v>5140</v>
      </c>
      <c r="F1250" s="971" t="s">
        <v>176</v>
      </c>
      <c r="G1250" s="971">
        <v>5140</v>
      </c>
      <c r="H1250" s="971" t="s">
        <v>176</v>
      </c>
      <c r="I1250" s="1273"/>
      <c r="J1250" s="971" t="s">
        <v>2146</v>
      </c>
      <c r="K1250" s="971" t="s">
        <v>2127</v>
      </c>
      <c r="L1250" s="971" t="s">
        <v>2177</v>
      </c>
      <c r="M1250" s="971" t="s">
        <v>2127</v>
      </c>
      <c r="N1250" s="971" t="s">
        <v>176</v>
      </c>
      <c r="O1250" s="971" t="s">
        <v>2128</v>
      </c>
      <c r="P1250" s="971"/>
      <c r="Q1250" s="971" t="s">
        <v>2176</v>
      </c>
      <c r="R1250" s="1266" t="s">
        <v>934</v>
      </c>
      <c r="S1250" s="2106">
        <v>1</v>
      </c>
      <c r="T1250" s="1266" t="s">
        <v>242</v>
      </c>
      <c r="U1250" s="1742">
        <v>10</v>
      </c>
      <c r="V1250" s="1742">
        <v>37.5</v>
      </c>
      <c r="W1250" s="1742">
        <v>881.4</v>
      </c>
      <c r="X1250" s="1742">
        <v>413.61</v>
      </c>
      <c r="Y1250" s="2106">
        <v>1332.51</v>
      </c>
      <c r="Z1250" s="2106">
        <v>10</v>
      </c>
      <c r="AA1250" s="2106">
        <v>37.5</v>
      </c>
      <c r="AB1250" s="2106">
        <v>881.4</v>
      </c>
      <c r="AC1250" s="2106">
        <v>413.61</v>
      </c>
      <c r="AD1250" s="1744">
        <v>1332.51</v>
      </c>
      <c r="AE1250" s="2126">
        <v>24</v>
      </c>
      <c r="AF1250" s="2126">
        <v>24</v>
      </c>
      <c r="AG1250" s="1212">
        <v>1</v>
      </c>
      <c r="AH1250" s="1212">
        <v>0</v>
      </c>
      <c r="AI1250" s="1212">
        <v>0</v>
      </c>
      <c r="AJ1250" s="1212">
        <v>1</v>
      </c>
      <c r="AK1250" s="2126">
        <v>1332.51</v>
      </c>
      <c r="AL1250" s="2126">
        <v>0</v>
      </c>
      <c r="AM1250" s="2126">
        <v>0</v>
      </c>
      <c r="AN1250" s="2126">
        <v>1332.51</v>
      </c>
      <c r="AO1250" s="1743" t="s">
        <v>85</v>
      </c>
      <c r="AP1250" s="1743" t="s">
        <v>90</v>
      </c>
      <c r="AQ1250" s="1764">
        <v>2021</v>
      </c>
      <c r="AR1250" s="1743" t="s">
        <v>87</v>
      </c>
      <c r="AS1250" s="2135"/>
      <c r="AT1250" s="2135"/>
      <c r="AU1250" s="1212">
        <v>1</v>
      </c>
      <c r="AV1250" s="1212"/>
      <c r="AW1250" s="1212"/>
      <c r="AX1250" s="1212"/>
      <c r="AY1250" s="1212"/>
      <c r="AZ1250" s="1212"/>
      <c r="BA1250" s="1212"/>
      <c r="BB1250" s="1212"/>
      <c r="BC1250" s="1212"/>
      <c r="BD1250" s="1212"/>
      <c r="BE1250" s="1212"/>
      <c r="BF1250" s="2126">
        <v>0</v>
      </c>
      <c r="BG1250" s="2126">
        <v>0</v>
      </c>
      <c r="BH1250" s="2126">
        <v>1332.51</v>
      </c>
      <c r="BI1250" s="2126">
        <v>0</v>
      </c>
      <c r="BJ1250" s="2126">
        <v>0</v>
      </c>
      <c r="BK1250" s="2126">
        <v>0</v>
      </c>
      <c r="BL1250" s="2126">
        <v>0</v>
      </c>
      <c r="BM1250" s="2126">
        <v>0</v>
      </c>
      <c r="BN1250" s="2126">
        <v>0</v>
      </c>
      <c r="BO1250" s="2126">
        <v>0</v>
      </c>
      <c r="BP1250" s="2126">
        <v>0</v>
      </c>
      <c r="BQ1250" s="2126">
        <v>0</v>
      </c>
      <c r="BR1250" s="2126">
        <v>0</v>
      </c>
    </row>
    <row r="1251" spans="1:70" s="1765" customFormat="1" ht="33">
      <c r="A1251" s="1272">
        <v>5000</v>
      </c>
      <c r="B1251" s="971" t="s">
        <v>2119</v>
      </c>
      <c r="C1251" s="1272">
        <v>5100</v>
      </c>
      <c r="D1251" s="971" t="s">
        <v>78</v>
      </c>
      <c r="E1251" s="971">
        <v>5140</v>
      </c>
      <c r="F1251" s="971" t="s">
        <v>176</v>
      </c>
      <c r="G1251" s="971">
        <v>5140</v>
      </c>
      <c r="H1251" s="971" t="s">
        <v>176</v>
      </c>
      <c r="I1251" s="1273"/>
      <c r="J1251" s="971" t="s">
        <v>2146</v>
      </c>
      <c r="K1251" s="971" t="s">
        <v>2127</v>
      </c>
      <c r="L1251" s="971" t="s">
        <v>2177</v>
      </c>
      <c r="M1251" s="971" t="s">
        <v>2127</v>
      </c>
      <c r="N1251" s="971" t="s">
        <v>176</v>
      </c>
      <c r="O1251" s="971" t="s">
        <v>2177</v>
      </c>
      <c r="P1251" s="971"/>
      <c r="Q1251" s="971" t="s">
        <v>2178</v>
      </c>
      <c r="R1251" s="1266"/>
      <c r="S1251" s="2106">
        <v>-1</v>
      </c>
      <c r="T1251" s="1266" t="s">
        <v>242</v>
      </c>
      <c r="U1251" s="1742">
        <v>10</v>
      </c>
      <c r="V1251" s="1742">
        <v>37.5</v>
      </c>
      <c r="W1251" s="1742">
        <v>881.4</v>
      </c>
      <c r="X1251" s="1742">
        <v>413.61</v>
      </c>
      <c r="Y1251" s="2106">
        <v>1332.51</v>
      </c>
      <c r="Z1251" s="2106">
        <v>-10</v>
      </c>
      <c r="AA1251" s="2106">
        <v>-37.5</v>
      </c>
      <c r="AB1251" s="2106">
        <v>-881.4</v>
      </c>
      <c r="AC1251" s="2106">
        <v>-413.61</v>
      </c>
      <c r="AD1251" s="1744">
        <v>-1332.51</v>
      </c>
      <c r="AE1251" s="2126">
        <v>24</v>
      </c>
      <c r="AF1251" s="2126">
        <v>-24</v>
      </c>
      <c r="AG1251" s="1212">
        <v>1</v>
      </c>
      <c r="AH1251" s="1212">
        <v>0</v>
      </c>
      <c r="AI1251" s="1212">
        <v>0</v>
      </c>
      <c r="AJ1251" s="1212">
        <v>1</v>
      </c>
      <c r="AK1251" s="2126">
        <v>-1332.51</v>
      </c>
      <c r="AL1251" s="2126">
        <v>0</v>
      </c>
      <c r="AM1251" s="2126">
        <v>0</v>
      </c>
      <c r="AN1251" s="2126">
        <v>-1332.51</v>
      </c>
      <c r="AO1251" s="1743" t="s">
        <v>85</v>
      </c>
      <c r="AP1251" s="1743" t="s">
        <v>96</v>
      </c>
      <c r="AQ1251" s="1764" t="s">
        <v>2141</v>
      </c>
      <c r="AR1251" s="1743" t="s">
        <v>87</v>
      </c>
      <c r="AS1251" s="2135"/>
      <c r="AT1251" s="2135"/>
      <c r="AU1251" s="1212">
        <v>1</v>
      </c>
      <c r="AV1251" s="1212"/>
      <c r="AW1251" s="1212"/>
      <c r="AX1251" s="1212"/>
      <c r="AY1251" s="1212"/>
      <c r="AZ1251" s="1212"/>
      <c r="BA1251" s="1212"/>
      <c r="BB1251" s="1212"/>
      <c r="BC1251" s="1212"/>
      <c r="BD1251" s="1212"/>
      <c r="BE1251" s="1212"/>
      <c r="BF1251" s="2126">
        <v>0</v>
      </c>
      <c r="BG1251" s="2126">
        <v>0</v>
      </c>
      <c r="BH1251" s="2126">
        <v>-1332.51</v>
      </c>
      <c r="BI1251" s="2126">
        <v>0</v>
      </c>
      <c r="BJ1251" s="2126">
        <v>0</v>
      </c>
      <c r="BK1251" s="2126">
        <v>0</v>
      </c>
      <c r="BL1251" s="2126">
        <v>0</v>
      </c>
      <c r="BM1251" s="2126">
        <v>0</v>
      </c>
      <c r="BN1251" s="2126">
        <v>0</v>
      </c>
      <c r="BO1251" s="2126">
        <v>0</v>
      </c>
      <c r="BP1251" s="2126">
        <v>0</v>
      </c>
      <c r="BQ1251" s="2126">
        <v>0</v>
      </c>
      <c r="BR1251" s="2126">
        <v>0</v>
      </c>
    </row>
    <row r="1252" spans="1:70" s="1765" customFormat="1" ht="33">
      <c r="A1252" s="1272">
        <v>5000</v>
      </c>
      <c r="B1252" s="971" t="s">
        <v>2119</v>
      </c>
      <c r="C1252" s="1272">
        <v>5100</v>
      </c>
      <c r="D1252" s="971" t="s">
        <v>78</v>
      </c>
      <c r="E1252" s="971">
        <v>5140</v>
      </c>
      <c r="F1252" s="971" t="s">
        <v>176</v>
      </c>
      <c r="G1252" s="971">
        <v>5140</v>
      </c>
      <c r="H1252" s="971" t="s">
        <v>176</v>
      </c>
      <c r="I1252" s="1273"/>
      <c r="J1252" s="971" t="s">
        <v>2146</v>
      </c>
      <c r="K1252" s="971" t="s">
        <v>2127</v>
      </c>
      <c r="L1252" s="971" t="s">
        <v>2177</v>
      </c>
      <c r="M1252" s="971" t="s">
        <v>2127</v>
      </c>
      <c r="N1252" s="971" t="s">
        <v>176</v>
      </c>
      <c r="O1252" s="971" t="s">
        <v>2177</v>
      </c>
      <c r="P1252" s="971"/>
      <c r="Q1252" s="971" t="s">
        <v>2179</v>
      </c>
      <c r="R1252" s="1266" t="s">
        <v>2180</v>
      </c>
      <c r="S1252" s="2106">
        <v>-1</v>
      </c>
      <c r="T1252" s="1266" t="s">
        <v>242</v>
      </c>
      <c r="U1252" s="1742">
        <v>10</v>
      </c>
      <c r="V1252" s="1742">
        <v>37.5</v>
      </c>
      <c r="W1252" s="1742">
        <v>881.4</v>
      </c>
      <c r="X1252" s="1742">
        <v>413.61</v>
      </c>
      <c r="Y1252" s="2106">
        <v>1332.51</v>
      </c>
      <c r="Z1252" s="2106">
        <v>-10</v>
      </c>
      <c r="AA1252" s="2106">
        <v>-37.5</v>
      </c>
      <c r="AB1252" s="2106">
        <v>-881.4</v>
      </c>
      <c r="AC1252" s="2106">
        <v>-413.61</v>
      </c>
      <c r="AD1252" s="1744">
        <v>-1332.51</v>
      </c>
      <c r="AE1252" s="2126">
        <v>24</v>
      </c>
      <c r="AF1252" s="2126">
        <v>-24</v>
      </c>
      <c r="AG1252" s="1212">
        <v>1</v>
      </c>
      <c r="AH1252" s="1212">
        <v>0</v>
      </c>
      <c r="AI1252" s="1212">
        <v>0</v>
      </c>
      <c r="AJ1252" s="1212">
        <v>1</v>
      </c>
      <c r="AK1252" s="2126">
        <v>-1332.51</v>
      </c>
      <c r="AL1252" s="2126">
        <v>0</v>
      </c>
      <c r="AM1252" s="2126">
        <v>0</v>
      </c>
      <c r="AN1252" s="2126">
        <v>-1332.51</v>
      </c>
      <c r="AO1252" s="1743" t="s">
        <v>85</v>
      </c>
      <c r="AP1252" s="1743" t="s">
        <v>96</v>
      </c>
      <c r="AQ1252" s="1764" t="s">
        <v>2141</v>
      </c>
      <c r="AR1252" s="1743" t="s">
        <v>87</v>
      </c>
      <c r="AS1252" s="2135"/>
      <c r="AT1252" s="2135"/>
      <c r="AU1252" s="1212">
        <v>1</v>
      </c>
      <c r="AV1252" s="1212"/>
      <c r="AW1252" s="1212"/>
      <c r="AX1252" s="1212"/>
      <c r="AY1252" s="1212"/>
      <c r="AZ1252" s="1212"/>
      <c r="BA1252" s="1212"/>
      <c r="BB1252" s="1212"/>
      <c r="BC1252" s="1212"/>
      <c r="BD1252" s="1212"/>
      <c r="BE1252" s="1212"/>
      <c r="BF1252" s="2126">
        <v>0</v>
      </c>
      <c r="BG1252" s="2126">
        <v>0</v>
      </c>
      <c r="BH1252" s="2126">
        <v>-1332.51</v>
      </c>
      <c r="BI1252" s="2126">
        <v>0</v>
      </c>
      <c r="BJ1252" s="2126">
        <v>0</v>
      </c>
      <c r="BK1252" s="2126">
        <v>0</v>
      </c>
      <c r="BL1252" s="2126">
        <v>0</v>
      </c>
      <c r="BM1252" s="2126">
        <v>0</v>
      </c>
      <c r="BN1252" s="2126">
        <v>0</v>
      </c>
      <c r="BO1252" s="2126">
        <v>0</v>
      </c>
      <c r="BP1252" s="2126">
        <v>0</v>
      </c>
      <c r="BQ1252" s="2126">
        <v>0</v>
      </c>
      <c r="BR1252" s="2126">
        <v>0</v>
      </c>
    </row>
    <row r="1253" spans="1:70" s="1765" customFormat="1" ht="33">
      <c r="A1253" s="1272">
        <v>5000</v>
      </c>
      <c r="B1253" s="971" t="s">
        <v>2119</v>
      </c>
      <c r="C1253" s="1272">
        <v>5100</v>
      </c>
      <c r="D1253" s="971" t="s">
        <v>78</v>
      </c>
      <c r="E1253" s="971">
        <v>5140</v>
      </c>
      <c r="F1253" s="971" t="s">
        <v>176</v>
      </c>
      <c r="G1253" s="971">
        <v>5140</v>
      </c>
      <c r="H1253" s="971" t="s">
        <v>176</v>
      </c>
      <c r="I1253" s="1273"/>
      <c r="J1253" s="971" t="s">
        <v>2146</v>
      </c>
      <c r="K1253" s="971" t="s">
        <v>2127</v>
      </c>
      <c r="L1253" s="971" t="s">
        <v>2177</v>
      </c>
      <c r="M1253" s="971" t="s">
        <v>2127</v>
      </c>
      <c r="N1253" s="971" t="s">
        <v>176</v>
      </c>
      <c r="O1253" s="971" t="s">
        <v>2177</v>
      </c>
      <c r="P1253" s="971"/>
      <c r="Q1253" s="971" t="s">
        <v>2181</v>
      </c>
      <c r="R1253" s="1266" t="s">
        <v>2182</v>
      </c>
      <c r="S1253" s="2106">
        <v>-1</v>
      </c>
      <c r="T1253" s="1266" t="s">
        <v>242</v>
      </c>
      <c r="U1253" s="1742">
        <v>10</v>
      </c>
      <c r="V1253" s="1742">
        <v>37.5</v>
      </c>
      <c r="W1253" s="1742">
        <v>881.4</v>
      </c>
      <c r="X1253" s="1742">
        <v>413.61</v>
      </c>
      <c r="Y1253" s="2106">
        <v>1332.51</v>
      </c>
      <c r="Z1253" s="2106">
        <v>-10</v>
      </c>
      <c r="AA1253" s="2106">
        <v>-37.5</v>
      </c>
      <c r="AB1253" s="2106">
        <v>-881.4</v>
      </c>
      <c r="AC1253" s="2106">
        <v>-413.61</v>
      </c>
      <c r="AD1253" s="1744">
        <v>-1332.51</v>
      </c>
      <c r="AE1253" s="2126">
        <v>24</v>
      </c>
      <c r="AF1253" s="2126">
        <v>-24</v>
      </c>
      <c r="AG1253" s="1212">
        <v>1</v>
      </c>
      <c r="AH1253" s="1212">
        <v>0</v>
      </c>
      <c r="AI1253" s="1212">
        <v>0</v>
      </c>
      <c r="AJ1253" s="1212">
        <v>1</v>
      </c>
      <c r="AK1253" s="2126">
        <v>-1332.51</v>
      </c>
      <c r="AL1253" s="2126">
        <v>0</v>
      </c>
      <c r="AM1253" s="2126">
        <v>0</v>
      </c>
      <c r="AN1253" s="2126">
        <v>-1332.51</v>
      </c>
      <c r="AO1253" s="1743" t="s">
        <v>85</v>
      </c>
      <c r="AP1253" s="1743" t="s">
        <v>96</v>
      </c>
      <c r="AQ1253" s="1764" t="s">
        <v>2141</v>
      </c>
      <c r="AR1253" s="1743" t="s">
        <v>87</v>
      </c>
      <c r="AS1253" s="2135"/>
      <c r="AT1253" s="2135"/>
      <c r="AU1253" s="1212">
        <v>1</v>
      </c>
      <c r="AV1253" s="1212"/>
      <c r="AW1253" s="1212"/>
      <c r="AX1253" s="1212"/>
      <c r="AY1253" s="1212"/>
      <c r="AZ1253" s="1212"/>
      <c r="BA1253" s="1212"/>
      <c r="BB1253" s="1212"/>
      <c r="BC1253" s="1212"/>
      <c r="BD1253" s="1212"/>
      <c r="BE1253" s="1212"/>
      <c r="BF1253" s="2126">
        <v>0</v>
      </c>
      <c r="BG1253" s="2126">
        <v>0</v>
      </c>
      <c r="BH1253" s="2126">
        <v>-1332.51</v>
      </c>
      <c r="BI1253" s="2126">
        <v>0</v>
      </c>
      <c r="BJ1253" s="2126">
        <v>0</v>
      </c>
      <c r="BK1253" s="2126">
        <v>0</v>
      </c>
      <c r="BL1253" s="2126">
        <v>0</v>
      </c>
      <c r="BM1253" s="2126">
        <v>0</v>
      </c>
      <c r="BN1253" s="2126">
        <v>0</v>
      </c>
      <c r="BO1253" s="2126">
        <v>0</v>
      </c>
      <c r="BP1253" s="2126">
        <v>0</v>
      </c>
      <c r="BQ1253" s="2126">
        <v>0</v>
      </c>
      <c r="BR1253" s="2126">
        <v>0</v>
      </c>
    </row>
    <row r="1254" spans="1:70" s="1765" customFormat="1" ht="33">
      <c r="A1254" s="1272">
        <v>5000</v>
      </c>
      <c r="B1254" s="971" t="s">
        <v>2119</v>
      </c>
      <c r="C1254" s="1272">
        <v>5100</v>
      </c>
      <c r="D1254" s="971" t="s">
        <v>78</v>
      </c>
      <c r="E1254" s="971">
        <v>5140</v>
      </c>
      <c r="F1254" s="971" t="s">
        <v>176</v>
      </c>
      <c r="G1254" s="971">
        <v>5140</v>
      </c>
      <c r="H1254" s="971" t="s">
        <v>176</v>
      </c>
      <c r="I1254" s="1273"/>
      <c r="J1254" s="971" t="s">
        <v>2146</v>
      </c>
      <c r="K1254" s="971" t="s">
        <v>2127</v>
      </c>
      <c r="L1254" s="971" t="s">
        <v>2177</v>
      </c>
      <c r="M1254" s="971" t="s">
        <v>2127</v>
      </c>
      <c r="N1254" s="971" t="s">
        <v>176</v>
      </c>
      <c r="O1254" s="971" t="s">
        <v>2177</v>
      </c>
      <c r="P1254" s="971"/>
      <c r="Q1254" s="971" t="s">
        <v>2183</v>
      </c>
      <c r="R1254" s="1266" t="s">
        <v>2184</v>
      </c>
      <c r="S1254" s="2106">
        <v>-1</v>
      </c>
      <c r="T1254" s="1266" t="s">
        <v>242</v>
      </c>
      <c r="U1254" s="1742">
        <v>10</v>
      </c>
      <c r="V1254" s="1742">
        <v>37.5</v>
      </c>
      <c r="W1254" s="1742">
        <v>881.4</v>
      </c>
      <c r="X1254" s="1742">
        <v>413.61</v>
      </c>
      <c r="Y1254" s="2106">
        <v>1332.51</v>
      </c>
      <c r="Z1254" s="2106">
        <v>-10</v>
      </c>
      <c r="AA1254" s="2106">
        <v>-37.5</v>
      </c>
      <c r="AB1254" s="2106">
        <v>-881.4</v>
      </c>
      <c r="AC1254" s="2106">
        <v>-413.61</v>
      </c>
      <c r="AD1254" s="1744">
        <v>-1332.51</v>
      </c>
      <c r="AE1254" s="2126">
        <v>24</v>
      </c>
      <c r="AF1254" s="2126">
        <v>-24</v>
      </c>
      <c r="AG1254" s="1212">
        <v>1</v>
      </c>
      <c r="AH1254" s="1212">
        <v>0</v>
      </c>
      <c r="AI1254" s="1212">
        <v>0</v>
      </c>
      <c r="AJ1254" s="1212">
        <v>1</v>
      </c>
      <c r="AK1254" s="2126">
        <v>-1332.51</v>
      </c>
      <c r="AL1254" s="2126">
        <v>0</v>
      </c>
      <c r="AM1254" s="2126">
        <v>0</v>
      </c>
      <c r="AN1254" s="2126">
        <v>-1332.51</v>
      </c>
      <c r="AO1254" s="1743" t="s">
        <v>85</v>
      </c>
      <c r="AP1254" s="1743" t="s">
        <v>96</v>
      </c>
      <c r="AQ1254" s="1764" t="s">
        <v>2141</v>
      </c>
      <c r="AR1254" s="1743" t="s">
        <v>87</v>
      </c>
      <c r="AS1254" s="2135"/>
      <c r="AT1254" s="2135"/>
      <c r="AU1254" s="1212">
        <v>1</v>
      </c>
      <c r="AV1254" s="1212"/>
      <c r="AW1254" s="1212"/>
      <c r="AX1254" s="1212"/>
      <c r="AY1254" s="1212"/>
      <c r="AZ1254" s="1212"/>
      <c r="BA1254" s="1212"/>
      <c r="BB1254" s="1212"/>
      <c r="BC1254" s="1212"/>
      <c r="BD1254" s="1212"/>
      <c r="BE1254" s="1212"/>
      <c r="BF1254" s="2126">
        <v>0</v>
      </c>
      <c r="BG1254" s="2126">
        <v>0</v>
      </c>
      <c r="BH1254" s="2126">
        <v>-1332.51</v>
      </c>
      <c r="BI1254" s="2126">
        <v>0</v>
      </c>
      <c r="BJ1254" s="2126">
        <v>0</v>
      </c>
      <c r="BK1254" s="2126">
        <v>0</v>
      </c>
      <c r="BL1254" s="2126">
        <v>0</v>
      </c>
      <c r="BM1254" s="2126">
        <v>0</v>
      </c>
      <c r="BN1254" s="2126">
        <v>0</v>
      </c>
      <c r="BO1254" s="2126">
        <v>0</v>
      </c>
      <c r="BP1254" s="2126">
        <v>0</v>
      </c>
      <c r="BQ1254" s="2126">
        <v>0</v>
      </c>
      <c r="BR1254" s="2126">
        <v>0</v>
      </c>
    </row>
    <row r="1255" spans="1:70" s="1765" customFormat="1" ht="33">
      <c r="A1255" s="1272">
        <v>5000</v>
      </c>
      <c r="B1255" s="971" t="s">
        <v>2119</v>
      </c>
      <c r="C1255" s="1272">
        <v>5100</v>
      </c>
      <c r="D1255" s="971" t="s">
        <v>78</v>
      </c>
      <c r="E1255" s="971">
        <v>5140</v>
      </c>
      <c r="F1255" s="971" t="s">
        <v>176</v>
      </c>
      <c r="G1255" s="971">
        <v>5140</v>
      </c>
      <c r="H1255" s="971" t="s">
        <v>176</v>
      </c>
      <c r="I1255" s="1273"/>
      <c r="J1255" s="971" t="s">
        <v>2146</v>
      </c>
      <c r="K1255" s="971" t="s">
        <v>2127</v>
      </c>
      <c r="L1255" s="971" t="s">
        <v>2177</v>
      </c>
      <c r="M1255" s="971" t="s">
        <v>2127</v>
      </c>
      <c r="N1255" s="971" t="s">
        <v>176</v>
      </c>
      <c r="O1255" s="971" t="s">
        <v>2177</v>
      </c>
      <c r="P1255" s="971"/>
      <c r="Q1255" s="971" t="s">
        <v>2185</v>
      </c>
      <c r="R1255" s="1266"/>
      <c r="S1255" s="2106">
        <v>-2</v>
      </c>
      <c r="T1255" s="1266" t="s">
        <v>242</v>
      </c>
      <c r="U1255" s="1742">
        <v>10</v>
      </c>
      <c r="V1255" s="1742">
        <v>37.5</v>
      </c>
      <c r="W1255" s="1742">
        <v>881.4</v>
      </c>
      <c r="X1255" s="1742">
        <v>413.61</v>
      </c>
      <c r="Y1255" s="2106">
        <v>1332.51</v>
      </c>
      <c r="Z1255" s="2106">
        <v>-20</v>
      </c>
      <c r="AA1255" s="2106">
        <v>-75</v>
      </c>
      <c r="AB1255" s="2106">
        <v>-1762.8</v>
      </c>
      <c r="AC1255" s="2106">
        <v>-827.22</v>
      </c>
      <c r="AD1255" s="1744">
        <v>-2665.02</v>
      </c>
      <c r="AE1255" s="2126">
        <v>24</v>
      </c>
      <c r="AF1255" s="2126">
        <v>-48</v>
      </c>
      <c r="AG1255" s="1212">
        <v>1</v>
      </c>
      <c r="AH1255" s="1212">
        <v>0</v>
      </c>
      <c r="AI1255" s="1212">
        <v>0</v>
      </c>
      <c r="AJ1255" s="1212">
        <v>1</v>
      </c>
      <c r="AK1255" s="2126">
        <v>-2665.02</v>
      </c>
      <c r="AL1255" s="2126">
        <v>0</v>
      </c>
      <c r="AM1255" s="2126">
        <v>0</v>
      </c>
      <c r="AN1255" s="2126">
        <v>-2665.02</v>
      </c>
      <c r="AO1255" s="1743" t="s">
        <v>85</v>
      </c>
      <c r="AP1255" s="1743" t="s">
        <v>96</v>
      </c>
      <c r="AQ1255" s="1764" t="s">
        <v>2141</v>
      </c>
      <c r="AR1255" s="1743" t="s">
        <v>87</v>
      </c>
      <c r="AS1255" s="2135"/>
      <c r="AT1255" s="2135"/>
      <c r="AU1255" s="1212">
        <v>1</v>
      </c>
      <c r="AV1255" s="1212"/>
      <c r="AW1255" s="1212"/>
      <c r="AX1255" s="1212"/>
      <c r="AY1255" s="1212"/>
      <c r="AZ1255" s="1212"/>
      <c r="BA1255" s="1212"/>
      <c r="BB1255" s="1212"/>
      <c r="BC1255" s="1212"/>
      <c r="BD1255" s="1212"/>
      <c r="BE1255" s="1212"/>
      <c r="BF1255" s="2126">
        <v>0</v>
      </c>
      <c r="BG1255" s="2126">
        <v>0</v>
      </c>
      <c r="BH1255" s="2126">
        <v>-2665.02</v>
      </c>
      <c r="BI1255" s="2126">
        <v>0</v>
      </c>
      <c r="BJ1255" s="2126">
        <v>0</v>
      </c>
      <c r="BK1255" s="2126">
        <v>0</v>
      </c>
      <c r="BL1255" s="2126">
        <v>0</v>
      </c>
      <c r="BM1255" s="2126">
        <v>0</v>
      </c>
      <c r="BN1255" s="2126">
        <v>0</v>
      </c>
      <c r="BO1255" s="2126">
        <v>0</v>
      </c>
      <c r="BP1255" s="2126">
        <v>0</v>
      </c>
      <c r="BQ1255" s="2126">
        <v>0</v>
      </c>
      <c r="BR1255" s="2126">
        <v>0</v>
      </c>
    </row>
    <row r="1256" spans="1:70" s="1765" customFormat="1" ht="33">
      <c r="A1256" s="1272">
        <v>5000</v>
      </c>
      <c r="B1256" s="971" t="s">
        <v>2119</v>
      </c>
      <c r="C1256" s="1272">
        <v>5100</v>
      </c>
      <c r="D1256" s="971" t="s">
        <v>78</v>
      </c>
      <c r="E1256" s="971">
        <v>5140</v>
      </c>
      <c r="F1256" s="971" t="s">
        <v>176</v>
      </c>
      <c r="G1256" s="971">
        <v>5140</v>
      </c>
      <c r="H1256" s="971" t="s">
        <v>176</v>
      </c>
      <c r="I1256" s="1273"/>
      <c r="J1256" s="971" t="s">
        <v>2146</v>
      </c>
      <c r="K1256" s="971" t="s">
        <v>2127</v>
      </c>
      <c r="L1256" s="971" t="s">
        <v>2177</v>
      </c>
      <c r="M1256" s="971" t="s">
        <v>2127</v>
      </c>
      <c r="N1256" s="971" t="s">
        <v>176</v>
      </c>
      <c r="O1256" s="971" t="s">
        <v>2177</v>
      </c>
      <c r="P1256" s="971"/>
      <c r="Q1256" s="971" t="s">
        <v>2186</v>
      </c>
      <c r="R1256" s="1266"/>
      <c r="S1256" s="2106">
        <v>-1</v>
      </c>
      <c r="T1256" s="1266" t="s">
        <v>242</v>
      </c>
      <c r="U1256" s="1742">
        <v>10</v>
      </c>
      <c r="V1256" s="1742">
        <v>37.5</v>
      </c>
      <c r="W1256" s="1742">
        <v>881.4</v>
      </c>
      <c r="X1256" s="1742">
        <v>413.61</v>
      </c>
      <c r="Y1256" s="2106">
        <v>1332.51</v>
      </c>
      <c r="Z1256" s="2106">
        <v>-10</v>
      </c>
      <c r="AA1256" s="2106">
        <v>-37.5</v>
      </c>
      <c r="AB1256" s="2106">
        <v>-881.4</v>
      </c>
      <c r="AC1256" s="2106">
        <v>-413.61</v>
      </c>
      <c r="AD1256" s="1744">
        <v>-1332.51</v>
      </c>
      <c r="AE1256" s="2126">
        <v>24</v>
      </c>
      <c r="AF1256" s="2126">
        <v>-24</v>
      </c>
      <c r="AG1256" s="1212">
        <v>1</v>
      </c>
      <c r="AH1256" s="1212">
        <v>0</v>
      </c>
      <c r="AI1256" s="1212">
        <v>0</v>
      </c>
      <c r="AJ1256" s="1212">
        <v>1</v>
      </c>
      <c r="AK1256" s="2126">
        <v>-1332.51</v>
      </c>
      <c r="AL1256" s="2126">
        <v>0</v>
      </c>
      <c r="AM1256" s="2126">
        <v>0</v>
      </c>
      <c r="AN1256" s="2126">
        <v>-1332.51</v>
      </c>
      <c r="AO1256" s="1743" t="s">
        <v>85</v>
      </c>
      <c r="AP1256" s="1743" t="s">
        <v>96</v>
      </c>
      <c r="AQ1256" s="1764" t="s">
        <v>2141</v>
      </c>
      <c r="AR1256" s="1743" t="s">
        <v>87</v>
      </c>
      <c r="AS1256" s="2135"/>
      <c r="AT1256" s="2135"/>
      <c r="AU1256" s="1212">
        <v>1</v>
      </c>
      <c r="AV1256" s="1212"/>
      <c r="AW1256" s="1212"/>
      <c r="AX1256" s="1212"/>
      <c r="AY1256" s="1212"/>
      <c r="AZ1256" s="1212"/>
      <c r="BA1256" s="1212"/>
      <c r="BB1256" s="1212"/>
      <c r="BC1256" s="1212"/>
      <c r="BD1256" s="1212"/>
      <c r="BE1256" s="1212"/>
      <c r="BF1256" s="2126">
        <v>0</v>
      </c>
      <c r="BG1256" s="2126">
        <v>0</v>
      </c>
      <c r="BH1256" s="2126">
        <v>-1332.51</v>
      </c>
      <c r="BI1256" s="2126">
        <v>0</v>
      </c>
      <c r="BJ1256" s="2126">
        <v>0</v>
      </c>
      <c r="BK1256" s="2126">
        <v>0</v>
      </c>
      <c r="BL1256" s="2126">
        <v>0</v>
      </c>
      <c r="BM1256" s="2126">
        <v>0</v>
      </c>
      <c r="BN1256" s="2126">
        <v>0</v>
      </c>
      <c r="BO1256" s="2126">
        <v>0</v>
      </c>
      <c r="BP1256" s="2126">
        <v>0</v>
      </c>
      <c r="BQ1256" s="2126">
        <v>0</v>
      </c>
      <c r="BR1256" s="2126">
        <v>0</v>
      </c>
    </row>
    <row r="1257" spans="1:70" s="1765" customFormat="1" ht="33">
      <c r="A1257" s="1272">
        <v>5000</v>
      </c>
      <c r="B1257" s="971" t="s">
        <v>2119</v>
      </c>
      <c r="C1257" s="1272">
        <v>5100</v>
      </c>
      <c r="D1257" s="971" t="s">
        <v>78</v>
      </c>
      <c r="E1257" s="971">
        <v>5140</v>
      </c>
      <c r="F1257" s="971" t="s">
        <v>176</v>
      </c>
      <c r="G1257" s="971">
        <v>5140</v>
      </c>
      <c r="H1257" s="971" t="s">
        <v>176</v>
      </c>
      <c r="I1257" s="1273"/>
      <c r="J1257" s="971" t="s">
        <v>2146</v>
      </c>
      <c r="K1257" s="971" t="s">
        <v>2127</v>
      </c>
      <c r="L1257" s="971" t="s">
        <v>2177</v>
      </c>
      <c r="M1257" s="971" t="s">
        <v>2127</v>
      </c>
      <c r="N1257" s="971" t="s">
        <v>176</v>
      </c>
      <c r="O1257" s="971" t="s">
        <v>2177</v>
      </c>
      <c r="P1257" s="971"/>
      <c r="Q1257" s="971" t="s">
        <v>2187</v>
      </c>
      <c r="R1257" s="1266"/>
      <c r="S1257" s="2106">
        <v>-2</v>
      </c>
      <c r="T1257" s="1266" t="s">
        <v>242</v>
      </c>
      <c r="U1257" s="1742">
        <v>10</v>
      </c>
      <c r="V1257" s="1742">
        <v>37.5</v>
      </c>
      <c r="W1257" s="1742">
        <v>881.4</v>
      </c>
      <c r="X1257" s="1742">
        <v>413.61</v>
      </c>
      <c r="Y1257" s="2106">
        <v>1332.51</v>
      </c>
      <c r="Z1257" s="2106">
        <v>-20</v>
      </c>
      <c r="AA1257" s="2106">
        <v>-75</v>
      </c>
      <c r="AB1257" s="2106">
        <v>-1762.8</v>
      </c>
      <c r="AC1257" s="2106">
        <v>-827.22</v>
      </c>
      <c r="AD1257" s="1744">
        <v>-2665.02</v>
      </c>
      <c r="AE1257" s="2126">
        <v>24</v>
      </c>
      <c r="AF1257" s="2126">
        <v>-48</v>
      </c>
      <c r="AG1257" s="1212">
        <v>1</v>
      </c>
      <c r="AH1257" s="1212">
        <v>0</v>
      </c>
      <c r="AI1257" s="1212">
        <v>0</v>
      </c>
      <c r="AJ1257" s="1212">
        <v>1</v>
      </c>
      <c r="AK1257" s="2126">
        <v>-2665.02</v>
      </c>
      <c r="AL1257" s="2126">
        <v>0</v>
      </c>
      <c r="AM1257" s="2126">
        <v>0</v>
      </c>
      <c r="AN1257" s="2126">
        <v>-2665.02</v>
      </c>
      <c r="AO1257" s="1743" t="s">
        <v>85</v>
      </c>
      <c r="AP1257" s="1743" t="s">
        <v>96</v>
      </c>
      <c r="AQ1257" s="1764" t="s">
        <v>2141</v>
      </c>
      <c r="AR1257" s="1743" t="s">
        <v>87</v>
      </c>
      <c r="AS1257" s="2135"/>
      <c r="AT1257" s="2135"/>
      <c r="AU1257" s="1212">
        <v>1</v>
      </c>
      <c r="AV1257" s="1212"/>
      <c r="AW1257" s="1212"/>
      <c r="AX1257" s="1212"/>
      <c r="AY1257" s="1212"/>
      <c r="AZ1257" s="1212"/>
      <c r="BA1257" s="1212"/>
      <c r="BB1257" s="1212"/>
      <c r="BC1257" s="1212"/>
      <c r="BD1257" s="1212"/>
      <c r="BE1257" s="1212"/>
      <c r="BF1257" s="2126">
        <v>0</v>
      </c>
      <c r="BG1257" s="2126">
        <v>0</v>
      </c>
      <c r="BH1257" s="2126">
        <v>-2665.02</v>
      </c>
      <c r="BI1257" s="2126">
        <v>0</v>
      </c>
      <c r="BJ1257" s="2126">
        <v>0</v>
      </c>
      <c r="BK1257" s="2126">
        <v>0</v>
      </c>
      <c r="BL1257" s="2126">
        <v>0</v>
      </c>
      <c r="BM1257" s="2126">
        <v>0</v>
      </c>
      <c r="BN1257" s="2126">
        <v>0</v>
      </c>
      <c r="BO1257" s="2126">
        <v>0</v>
      </c>
      <c r="BP1257" s="2126">
        <v>0</v>
      </c>
      <c r="BQ1257" s="2126">
        <v>0</v>
      </c>
      <c r="BR1257" s="2126">
        <v>0</v>
      </c>
    </row>
    <row r="1258" spans="1:70" s="1765" customFormat="1" ht="33">
      <c r="A1258" s="1272">
        <v>5000</v>
      </c>
      <c r="B1258" s="971" t="s">
        <v>2119</v>
      </c>
      <c r="C1258" s="1272">
        <v>5100</v>
      </c>
      <c r="D1258" s="971" t="s">
        <v>78</v>
      </c>
      <c r="E1258" s="971">
        <v>5140</v>
      </c>
      <c r="F1258" s="971" t="s">
        <v>176</v>
      </c>
      <c r="G1258" s="971">
        <v>5140</v>
      </c>
      <c r="H1258" s="971" t="s">
        <v>176</v>
      </c>
      <c r="I1258" s="1273"/>
      <c r="J1258" s="971" t="s">
        <v>2146</v>
      </c>
      <c r="K1258" s="971" t="s">
        <v>2127</v>
      </c>
      <c r="L1258" s="971" t="s">
        <v>2177</v>
      </c>
      <c r="M1258" s="971" t="s">
        <v>2127</v>
      </c>
      <c r="N1258" s="971" t="s">
        <v>176</v>
      </c>
      <c r="O1258" s="971" t="s">
        <v>2177</v>
      </c>
      <c r="P1258" s="971"/>
      <c r="Q1258" s="971" t="s">
        <v>2188</v>
      </c>
      <c r="R1258" s="1266"/>
      <c r="S1258" s="2106">
        <v>-2</v>
      </c>
      <c r="T1258" s="1266" t="s">
        <v>242</v>
      </c>
      <c r="U1258" s="1742">
        <v>10</v>
      </c>
      <c r="V1258" s="1742">
        <v>37.5</v>
      </c>
      <c r="W1258" s="1742">
        <v>881.4</v>
      </c>
      <c r="X1258" s="1742">
        <v>413.61</v>
      </c>
      <c r="Y1258" s="2106">
        <v>1332.51</v>
      </c>
      <c r="Z1258" s="2106">
        <v>-20</v>
      </c>
      <c r="AA1258" s="2106">
        <v>-75</v>
      </c>
      <c r="AB1258" s="2106">
        <v>-1762.8</v>
      </c>
      <c r="AC1258" s="2106">
        <v>-827.22</v>
      </c>
      <c r="AD1258" s="1744">
        <v>-2665.02</v>
      </c>
      <c r="AE1258" s="2126">
        <v>24</v>
      </c>
      <c r="AF1258" s="2126">
        <v>-48</v>
      </c>
      <c r="AG1258" s="1212">
        <v>1</v>
      </c>
      <c r="AH1258" s="1212">
        <v>0</v>
      </c>
      <c r="AI1258" s="1212">
        <v>0</v>
      </c>
      <c r="AJ1258" s="1212">
        <v>1</v>
      </c>
      <c r="AK1258" s="2126">
        <v>-2665.02</v>
      </c>
      <c r="AL1258" s="2126">
        <v>0</v>
      </c>
      <c r="AM1258" s="2126">
        <v>0</v>
      </c>
      <c r="AN1258" s="2126">
        <v>-2665.02</v>
      </c>
      <c r="AO1258" s="1743" t="s">
        <v>85</v>
      </c>
      <c r="AP1258" s="1743" t="s">
        <v>96</v>
      </c>
      <c r="AQ1258" s="1764" t="s">
        <v>2141</v>
      </c>
      <c r="AR1258" s="1743" t="s">
        <v>87</v>
      </c>
      <c r="AS1258" s="2135"/>
      <c r="AT1258" s="2135"/>
      <c r="AU1258" s="1212">
        <v>1</v>
      </c>
      <c r="AV1258" s="1212"/>
      <c r="AW1258" s="1212"/>
      <c r="AX1258" s="1212"/>
      <c r="AY1258" s="1212"/>
      <c r="AZ1258" s="1212"/>
      <c r="BA1258" s="1212"/>
      <c r="BB1258" s="1212"/>
      <c r="BC1258" s="1212"/>
      <c r="BD1258" s="1212"/>
      <c r="BE1258" s="1212"/>
      <c r="BF1258" s="2126">
        <v>0</v>
      </c>
      <c r="BG1258" s="2126">
        <v>0</v>
      </c>
      <c r="BH1258" s="2126">
        <v>-2665.02</v>
      </c>
      <c r="BI1258" s="2126">
        <v>0</v>
      </c>
      <c r="BJ1258" s="2126">
        <v>0</v>
      </c>
      <c r="BK1258" s="2126">
        <v>0</v>
      </c>
      <c r="BL1258" s="2126">
        <v>0</v>
      </c>
      <c r="BM1258" s="2126">
        <v>0</v>
      </c>
      <c r="BN1258" s="2126">
        <v>0</v>
      </c>
      <c r="BO1258" s="2126">
        <v>0</v>
      </c>
      <c r="BP1258" s="2126">
        <v>0</v>
      </c>
      <c r="BQ1258" s="2126">
        <v>0</v>
      </c>
      <c r="BR1258" s="2126">
        <v>0</v>
      </c>
    </row>
    <row r="1259" spans="1:70" s="1765" customFormat="1" ht="33">
      <c r="A1259" s="1272">
        <v>5000</v>
      </c>
      <c r="B1259" s="971" t="s">
        <v>2119</v>
      </c>
      <c r="C1259" s="1272">
        <v>5100</v>
      </c>
      <c r="D1259" s="971" t="s">
        <v>78</v>
      </c>
      <c r="E1259" s="971">
        <v>5140</v>
      </c>
      <c r="F1259" s="971" t="s">
        <v>176</v>
      </c>
      <c r="G1259" s="971">
        <v>5140</v>
      </c>
      <c r="H1259" s="971" t="s">
        <v>176</v>
      </c>
      <c r="I1259" s="1273"/>
      <c r="J1259" s="971" t="s">
        <v>2146</v>
      </c>
      <c r="K1259" s="971" t="s">
        <v>2127</v>
      </c>
      <c r="L1259" s="971" t="s">
        <v>2177</v>
      </c>
      <c r="M1259" s="971" t="s">
        <v>2127</v>
      </c>
      <c r="N1259" s="971" t="s">
        <v>176</v>
      </c>
      <c r="O1259" s="971" t="s">
        <v>2177</v>
      </c>
      <c r="P1259" s="971"/>
      <c r="Q1259" s="971" t="s">
        <v>2178</v>
      </c>
      <c r="R1259" s="1266"/>
      <c r="S1259" s="2106">
        <v>1</v>
      </c>
      <c r="T1259" s="1266" t="s">
        <v>242</v>
      </c>
      <c r="U1259" s="1742">
        <v>10</v>
      </c>
      <c r="V1259" s="1742">
        <v>37.5</v>
      </c>
      <c r="W1259" s="1742">
        <v>881.4</v>
      </c>
      <c r="X1259" s="1742">
        <v>413.61</v>
      </c>
      <c r="Y1259" s="2106">
        <v>1332.51</v>
      </c>
      <c r="Z1259" s="2106">
        <v>10</v>
      </c>
      <c r="AA1259" s="2106">
        <v>37.5</v>
      </c>
      <c r="AB1259" s="2106">
        <v>881.4</v>
      </c>
      <c r="AC1259" s="2106">
        <v>413.61</v>
      </c>
      <c r="AD1259" s="1744">
        <v>1332.51</v>
      </c>
      <c r="AE1259" s="2126">
        <v>24</v>
      </c>
      <c r="AF1259" s="2126">
        <v>24</v>
      </c>
      <c r="AG1259" s="1212">
        <v>1</v>
      </c>
      <c r="AH1259" s="1212">
        <v>0</v>
      </c>
      <c r="AI1259" s="1212">
        <v>0</v>
      </c>
      <c r="AJ1259" s="1212">
        <v>1</v>
      </c>
      <c r="AK1259" s="2126">
        <v>1332.51</v>
      </c>
      <c r="AL1259" s="2126">
        <v>0</v>
      </c>
      <c r="AM1259" s="2126">
        <v>0</v>
      </c>
      <c r="AN1259" s="2126">
        <v>1332.51</v>
      </c>
      <c r="AO1259" s="1743" t="s">
        <v>85</v>
      </c>
      <c r="AP1259" s="1743" t="s">
        <v>90</v>
      </c>
      <c r="AQ1259" s="1764">
        <v>2020</v>
      </c>
      <c r="AR1259" s="1743" t="s">
        <v>87</v>
      </c>
      <c r="AS1259" s="2135"/>
      <c r="AT1259" s="2135"/>
      <c r="AU1259" s="1212">
        <v>1</v>
      </c>
      <c r="AV1259" s="1212"/>
      <c r="AW1259" s="1212"/>
      <c r="AX1259" s="1212"/>
      <c r="AY1259" s="1212"/>
      <c r="AZ1259" s="1212"/>
      <c r="BA1259" s="1212"/>
      <c r="BB1259" s="1212"/>
      <c r="BC1259" s="1212"/>
      <c r="BD1259" s="1212"/>
      <c r="BE1259" s="1212"/>
      <c r="BF1259" s="2126">
        <v>0</v>
      </c>
      <c r="BG1259" s="2126">
        <v>0</v>
      </c>
      <c r="BH1259" s="2126">
        <v>1332.51</v>
      </c>
      <c r="BI1259" s="2126">
        <v>0</v>
      </c>
      <c r="BJ1259" s="2126">
        <v>0</v>
      </c>
      <c r="BK1259" s="2126">
        <v>0</v>
      </c>
      <c r="BL1259" s="2126">
        <v>0</v>
      </c>
      <c r="BM1259" s="2126">
        <v>0</v>
      </c>
      <c r="BN1259" s="2126">
        <v>0</v>
      </c>
      <c r="BO1259" s="2126">
        <v>0</v>
      </c>
      <c r="BP1259" s="2126">
        <v>0</v>
      </c>
      <c r="BQ1259" s="2126">
        <v>0</v>
      </c>
      <c r="BR1259" s="2126">
        <v>0</v>
      </c>
    </row>
    <row r="1260" spans="1:70" s="1765" customFormat="1" ht="33">
      <c r="A1260" s="1272">
        <v>5000</v>
      </c>
      <c r="B1260" s="971" t="s">
        <v>2119</v>
      </c>
      <c r="C1260" s="1272">
        <v>5100</v>
      </c>
      <c r="D1260" s="971" t="s">
        <v>78</v>
      </c>
      <c r="E1260" s="971">
        <v>5140</v>
      </c>
      <c r="F1260" s="971" t="s">
        <v>176</v>
      </c>
      <c r="G1260" s="971">
        <v>5140</v>
      </c>
      <c r="H1260" s="971" t="s">
        <v>176</v>
      </c>
      <c r="I1260" s="1273"/>
      <c r="J1260" s="971" t="s">
        <v>2146</v>
      </c>
      <c r="K1260" s="971" t="s">
        <v>2127</v>
      </c>
      <c r="L1260" s="971" t="s">
        <v>2177</v>
      </c>
      <c r="M1260" s="971" t="s">
        <v>2127</v>
      </c>
      <c r="N1260" s="971" t="s">
        <v>176</v>
      </c>
      <c r="O1260" s="971" t="s">
        <v>2177</v>
      </c>
      <c r="P1260" s="971"/>
      <c r="Q1260" s="971" t="s">
        <v>2179</v>
      </c>
      <c r="R1260" s="1266" t="s">
        <v>2180</v>
      </c>
      <c r="S1260" s="2106">
        <v>1</v>
      </c>
      <c r="T1260" s="1266" t="s">
        <v>242</v>
      </c>
      <c r="U1260" s="1742">
        <v>10</v>
      </c>
      <c r="V1260" s="1742">
        <v>37.5</v>
      </c>
      <c r="W1260" s="1742">
        <v>881.4</v>
      </c>
      <c r="X1260" s="1742">
        <v>413.61</v>
      </c>
      <c r="Y1260" s="2106">
        <v>1332.51</v>
      </c>
      <c r="Z1260" s="2106">
        <v>10</v>
      </c>
      <c r="AA1260" s="2106">
        <v>37.5</v>
      </c>
      <c r="AB1260" s="2106">
        <v>881.4</v>
      </c>
      <c r="AC1260" s="2106">
        <v>413.61</v>
      </c>
      <c r="AD1260" s="1744">
        <v>1332.51</v>
      </c>
      <c r="AE1260" s="2126">
        <v>24</v>
      </c>
      <c r="AF1260" s="2126">
        <v>24</v>
      </c>
      <c r="AG1260" s="1212">
        <v>1</v>
      </c>
      <c r="AH1260" s="1212">
        <v>0</v>
      </c>
      <c r="AI1260" s="1212">
        <v>0</v>
      </c>
      <c r="AJ1260" s="1212">
        <v>1</v>
      </c>
      <c r="AK1260" s="2126">
        <v>1332.51</v>
      </c>
      <c r="AL1260" s="2126">
        <v>0</v>
      </c>
      <c r="AM1260" s="2126">
        <v>0</v>
      </c>
      <c r="AN1260" s="2126">
        <v>1332.51</v>
      </c>
      <c r="AO1260" s="1743" t="s">
        <v>85</v>
      </c>
      <c r="AP1260" s="1743" t="s">
        <v>90</v>
      </c>
      <c r="AQ1260" s="1764">
        <v>2020</v>
      </c>
      <c r="AR1260" s="1743" t="s">
        <v>87</v>
      </c>
      <c r="AS1260" s="2135"/>
      <c r="AT1260" s="2135"/>
      <c r="AU1260" s="1212">
        <v>1</v>
      </c>
      <c r="AV1260" s="1212"/>
      <c r="AW1260" s="1212"/>
      <c r="AX1260" s="1212"/>
      <c r="AY1260" s="1212"/>
      <c r="AZ1260" s="1212"/>
      <c r="BA1260" s="1212"/>
      <c r="BB1260" s="1212"/>
      <c r="BC1260" s="1212"/>
      <c r="BD1260" s="1212"/>
      <c r="BE1260" s="1212"/>
      <c r="BF1260" s="2126">
        <v>0</v>
      </c>
      <c r="BG1260" s="2126">
        <v>0</v>
      </c>
      <c r="BH1260" s="2126">
        <v>1332.51</v>
      </c>
      <c r="BI1260" s="2126">
        <v>0</v>
      </c>
      <c r="BJ1260" s="2126">
        <v>0</v>
      </c>
      <c r="BK1260" s="2126">
        <v>0</v>
      </c>
      <c r="BL1260" s="2126">
        <v>0</v>
      </c>
      <c r="BM1260" s="2126">
        <v>0</v>
      </c>
      <c r="BN1260" s="2126">
        <v>0</v>
      </c>
      <c r="BO1260" s="2126">
        <v>0</v>
      </c>
      <c r="BP1260" s="2126">
        <v>0</v>
      </c>
      <c r="BQ1260" s="2126">
        <v>0</v>
      </c>
      <c r="BR1260" s="2126">
        <v>0</v>
      </c>
    </row>
    <row r="1261" spans="1:70" s="1765" customFormat="1" ht="33">
      <c r="A1261" s="1272">
        <v>5000</v>
      </c>
      <c r="B1261" s="971" t="s">
        <v>2119</v>
      </c>
      <c r="C1261" s="1272">
        <v>5100</v>
      </c>
      <c r="D1261" s="971" t="s">
        <v>78</v>
      </c>
      <c r="E1261" s="971">
        <v>5140</v>
      </c>
      <c r="F1261" s="971" t="s">
        <v>176</v>
      </c>
      <c r="G1261" s="971">
        <v>5140</v>
      </c>
      <c r="H1261" s="971" t="s">
        <v>176</v>
      </c>
      <c r="I1261" s="1273"/>
      <c r="J1261" s="971" t="s">
        <v>2146</v>
      </c>
      <c r="K1261" s="971" t="s">
        <v>2127</v>
      </c>
      <c r="L1261" s="971" t="s">
        <v>2177</v>
      </c>
      <c r="M1261" s="971" t="s">
        <v>2127</v>
      </c>
      <c r="N1261" s="971" t="s">
        <v>176</v>
      </c>
      <c r="O1261" s="971" t="s">
        <v>2177</v>
      </c>
      <c r="P1261" s="971"/>
      <c r="Q1261" s="971" t="s">
        <v>2181</v>
      </c>
      <c r="R1261" s="1266" t="s">
        <v>2182</v>
      </c>
      <c r="S1261" s="2106">
        <v>1</v>
      </c>
      <c r="T1261" s="1266" t="s">
        <v>242</v>
      </c>
      <c r="U1261" s="1742">
        <v>10</v>
      </c>
      <c r="V1261" s="1742">
        <v>37.5</v>
      </c>
      <c r="W1261" s="1742">
        <v>881.4</v>
      </c>
      <c r="X1261" s="1742">
        <v>413.61</v>
      </c>
      <c r="Y1261" s="2106">
        <v>1332.51</v>
      </c>
      <c r="Z1261" s="2106">
        <v>10</v>
      </c>
      <c r="AA1261" s="2106">
        <v>37.5</v>
      </c>
      <c r="AB1261" s="2106">
        <v>881.4</v>
      </c>
      <c r="AC1261" s="2106">
        <v>413.61</v>
      </c>
      <c r="AD1261" s="1744">
        <v>1332.51</v>
      </c>
      <c r="AE1261" s="2126">
        <v>24</v>
      </c>
      <c r="AF1261" s="2126">
        <v>24</v>
      </c>
      <c r="AG1261" s="1212">
        <v>1</v>
      </c>
      <c r="AH1261" s="1212">
        <v>0</v>
      </c>
      <c r="AI1261" s="1212">
        <v>0</v>
      </c>
      <c r="AJ1261" s="1212">
        <v>1</v>
      </c>
      <c r="AK1261" s="2126">
        <v>1332.51</v>
      </c>
      <c r="AL1261" s="2126">
        <v>0</v>
      </c>
      <c r="AM1261" s="2126">
        <v>0</v>
      </c>
      <c r="AN1261" s="2126">
        <v>1332.51</v>
      </c>
      <c r="AO1261" s="1743" t="s">
        <v>85</v>
      </c>
      <c r="AP1261" s="1743" t="s">
        <v>90</v>
      </c>
      <c r="AQ1261" s="1764">
        <v>2020</v>
      </c>
      <c r="AR1261" s="1743" t="s">
        <v>87</v>
      </c>
      <c r="AS1261" s="2135"/>
      <c r="AT1261" s="2135"/>
      <c r="AU1261" s="1212">
        <v>1</v>
      </c>
      <c r="AV1261" s="1212"/>
      <c r="AW1261" s="1212"/>
      <c r="AX1261" s="1212"/>
      <c r="AY1261" s="1212"/>
      <c r="AZ1261" s="1212"/>
      <c r="BA1261" s="1212"/>
      <c r="BB1261" s="1212"/>
      <c r="BC1261" s="1212"/>
      <c r="BD1261" s="1212"/>
      <c r="BE1261" s="1212"/>
      <c r="BF1261" s="2126">
        <v>0</v>
      </c>
      <c r="BG1261" s="2126">
        <v>0</v>
      </c>
      <c r="BH1261" s="2126">
        <v>1332.51</v>
      </c>
      <c r="BI1261" s="2126">
        <v>0</v>
      </c>
      <c r="BJ1261" s="2126">
        <v>0</v>
      </c>
      <c r="BK1261" s="2126">
        <v>0</v>
      </c>
      <c r="BL1261" s="2126">
        <v>0</v>
      </c>
      <c r="BM1261" s="2126">
        <v>0</v>
      </c>
      <c r="BN1261" s="2126">
        <v>0</v>
      </c>
      <c r="BO1261" s="2126">
        <v>0</v>
      </c>
      <c r="BP1261" s="2126">
        <v>0</v>
      </c>
      <c r="BQ1261" s="2126">
        <v>0</v>
      </c>
      <c r="BR1261" s="2126">
        <v>0</v>
      </c>
    </row>
    <row r="1262" spans="1:70" s="1765" customFormat="1" ht="33">
      <c r="A1262" s="1272">
        <v>5000</v>
      </c>
      <c r="B1262" s="971" t="s">
        <v>2119</v>
      </c>
      <c r="C1262" s="1272">
        <v>5100</v>
      </c>
      <c r="D1262" s="971" t="s">
        <v>78</v>
      </c>
      <c r="E1262" s="971">
        <v>5140</v>
      </c>
      <c r="F1262" s="971" t="s">
        <v>176</v>
      </c>
      <c r="G1262" s="971">
        <v>5140</v>
      </c>
      <c r="H1262" s="971" t="s">
        <v>176</v>
      </c>
      <c r="I1262" s="1273"/>
      <c r="J1262" s="971" t="s">
        <v>2146</v>
      </c>
      <c r="K1262" s="971" t="s">
        <v>2127</v>
      </c>
      <c r="L1262" s="971" t="s">
        <v>2177</v>
      </c>
      <c r="M1262" s="971" t="s">
        <v>2127</v>
      </c>
      <c r="N1262" s="971" t="s">
        <v>176</v>
      </c>
      <c r="O1262" s="971" t="s">
        <v>2177</v>
      </c>
      <c r="P1262" s="971"/>
      <c r="Q1262" s="971" t="s">
        <v>2183</v>
      </c>
      <c r="R1262" s="1266" t="s">
        <v>2184</v>
      </c>
      <c r="S1262" s="2106">
        <v>1</v>
      </c>
      <c r="T1262" s="1266" t="s">
        <v>242</v>
      </c>
      <c r="U1262" s="1742">
        <v>10</v>
      </c>
      <c r="V1262" s="1742">
        <v>37.5</v>
      </c>
      <c r="W1262" s="1742">
        <v>881.4</v>
      </c>
      <c r="X1262" s="1742">
        <v>413.61</v>
      </c>
      <c r="Y1262" s="2106">
        <v>1332.51</v>
      </c>
      <c r="Z1262" s="2106">
        <v>10</v>
      </c>
      <c r="AA1262" s="2106">
        <v>37.5</v>
      </c>
      <c r="AB1262" s="2106">
        <v>881.4</v>
      </c>
      <c r="AC1262" s="2106">
        <v>413.61</v>
      </c>
      <c r="AD1262" s="1744">
        <v>1332.51</v>
      </c>
      <c r="AE1262" s="2126">
        <v>24</v>
      </c>
      <c r="AF1262" s="2126">
        <v>24</v>
      </c>
      <c r="AG1262" s="1212">
        <v>1</v>
      </c>
      <c r="AH1262" s="1212">
        <v>0</v>
      </c>
      <c r="AI1262" s="1212">
        <v>0</v>
      </c>
      <c r="AJ1262" s="1212">
        <v>1</v>
      </c>
      <c r="AK1262" s="2126">
        <v>1332.51</v>
      </c>
      <c r="AL1262" s="2126">
        <v>0</v>
      </c>
      <c r="AM1262" s="2126">
        <v>0</v>
      </c>
      <c r="AN1262" s="2126">
        <v>1332.51</v>
      </c>
      <c r="AO1262" s="1743" t="s">
        <v>85</v>
      </c>
      <c r="AP1262" s="1743" t="s">
        <v>90</v>
      </c>
      <c r="AQ1262" s="1764">
        <v>2020</v>
      </c>
      <c r="AR1262" s="1743" t="s">
        <v>87</v>
      </c>
      <c r="AS1262" s="2135"/>
      <c r="AT1262" s="2135"/>
      <c r="AU1262" s="1212">
        <v>1</v>
      </c>
      <c r="AV1262" s="1212"/>
      <c r="AW1262" s="1212"/>
      <c r="AX1262" s="1212"/>
      <c r="AY1262" s="1212"/>
      <c r="AZ1262" s="1212"/>
      <c r="BA1262" s="1212"/>
      <c r="BB1262" s="1212"/>
      <c r="BC1262" s="1212"/>
      <c r="BD1262" s="1212"/>
      <c r="BE1262" s="1212"/>
      <c r="BF1262" s="2126">
        <v>0</v>
      </c>
      <c r="BG1262" s="2126">
        <v>0</v>
      </c>
      <c r="BH1262" s="2126">
        <v>1332.51</v>
      </c>
      <c r="BI1262" s="2126">
        <v>0</v>
      </c>
      <c r="BJ1262" s="2126">
        <v>0</v>
      </c>
      <c r="BK1262" s="2126">
        <v>0</v>
      </c>
      <c r="BL1262" s="2126">
        <v>0</v>
      </c>
      <c r="BM1262" s="2126">
        <v>0</v>
      </c>
      <c r="BN1262" s="2126">
        <v>0</v>
      </c>
      <c r="BO1262" s="2126">
        <v>0</v>
      </c>
      <c r="BP1262" s="2126">
        <v>0</v>
      </c>
      <c r="BQ1262" s="2126">
        <v>0</v>
      </c>
      <c r="BR1262" s="2126">
        <v>0</v>
      </c>
    </row>
    <row r="1263" spans="1:70" s="1765" customFormat="1" ht="33">
      <c r="A1263" s="1272">
        <v>5000</v>
      </c>
      <c r="B1263" s="971" t="s">
        <v>2119</v>
      </c>
      <c r="C1263" s="1272">
        <v>5100</v>
      </c>
      <c r="D1263" s="971" t="s">
        <v>78</v>
      </c>
      <c r="E1263" s="971">
        <v>5140</v>
      </c>
      <c r="F1263" s="971" t="s">
        <v>176</v>
      </c>
      <c r="G1263" s="971">
        <v>5140</v>
      </c>
      <c r="H1263" s="971" t="s">
        <v>176</v>
      </c>
      <c r="I1263" s="1273"/>
      <c r="J1263" s="971" t="s">
        <v>2146</v>
      </c>
      <c r="K1263" s="971" t="s">
        <v>2127</v>
      </c>
      <c r="L1263" s="971" t="s">
        <v>2177</v>
      </c>
      <c r="M1263" s="971" t="s">
        <v>2127</v>
      </c>
      <c r="N1263" s="971" t="s">
        <v>176</v>
      </c>
      <c r="O1263" s="971" t="s">
        <v>2177</v>
      </c>
      <c r="P1263" s="971"/>
      <c r="Q1263" s="971" t="s">
        <v>2185</v>
      </c>
      <c r="R1263" s="1266"/>
      <c r="S1263" s="2106">
        <v>2</v>
      </c>
      <c r="T1263" s="1266" t="s">
        <v>242</v>
      </c>
      <c r="U1263" s="1742">
        <v>10</v>
      </c>
      <c r="V1263" s="1742">
        <v>37.5</v>
      </c>
      <c r="W1263" s="1742">
        <v>881.4</v>
      </c>
      <c r="X1263" s="1742">
        <v>413.61</v>
      </c>
      <c r="Y1263" s="2106">
        <v>1332.51</v>
      </c>
      <c r="Z1263" s="2106">
        <v>20</v>
      </c>
      <c r="AA1263" s="2106">
        <v>75</v>
      </c>
      <c r="AB1263" s="2106">
        <v>1762.8</v>
      </c>
      <c r="AC1263" s="2106">
        <v>827.22</v>
      </c>
      <c r="AD1263" s="1744">
        <v>2665.02</v>
      </c>
      <c r="AE1263" s="2126">
        <v>24</v>
      </c>
      <c r="AF1263" s="2126">
        <v>48</v>
      </c>
      <c r="AG1263" s="1212">
        <v>1</v>
      </c>
      <c r="AH1263" s="1212">
        <v>0</v>
      </c>
      <c r="AI1263" s="1212">
        <v>0</v>
      </c>
      <c r="AJ1263" s="1212">
        <v>1</v>
      </c>
      <c r="AK1263" s="2126">
        <v>2665.02</v>
      </c>
      <c r="AL1263" s="2126">
        <v>0</v>
      </c>
      <c r="AM1263" s="2126">
        <v>0</v>
      </c>
      <c r="AN1263" s="2126">
        <v>2665.02</v>
      </c>
      <c r="AO1263" s="1743" t="s">
        <v>85</v>
      </c>
      <c r="AP1263" s="1743" t="s">
        <v>90</v>
      </c>
      <c r="AQ1263" s="1764">
        <v>2020</v>
      </c>
      <c r="AR1263" s="1743" t="s">
        <v>87</v>
      </c>
      <c r="AS1263" s="2135"/>
      <c r="AT1263" s="2135"/>
      <c r="AU1263" s="1212">
        <v>1</v>
      </c>
      <c r="AV1263" s="1212"/>
      <c r="AW1263" s="1212"/>
      <c r="AX1263" s="1212"/>
      <c r="AY1263" s="1212"/>
      <c r="AZ1263" s="1212"/>
      <c r="BA1263" s="1212"/>
      <c r="BB1263" s="1212"/>
      <c r="BC1263" s="1212"/>
      <c r="BD1263" s="1212"/>
      <c r="BE1263" s="1212"/>
      <c r="BF1263" s="2126">
        <v>0</v>
      </c>
      <c r="BG1263" s="2126">
        <v>0</v>
      </c>
      <c r="BH1263" s="2126">
        <v>2665.02</v>
      </c>
      <c r="BI1263" s="2126">
        <v>0</v>
      </c>
      <c r="BJ1263" s="2126">
        <v>0</v>
      </c>
      <c r="BK1263" s="2126">
        <v>0</v>
      </c>
      <c r="BL1263" s="2126">
        <v>0</v>
      </c>
      <c r="BM1263" s="2126">
        <v>0</v>
      </c>
      <c r="BN1263" s="2126">
        <v>0</v>
      </c>
      <c r="BO1263" s="2126">
        <v>0</v>
      </c>
      <c r="BP1263" s="2126">
        <v>0</v>
      </c>
      <c r="BQ1263" s="2126">
        <v>0</v>
      </c>
      <c r="BR1263" s="2126">
        <v>0</v>
      </c>
    </row>
    <row r="1264" spans="1:70" s="1765" customFormat="1" ht="33">
      <c r="A1264" s="1272">
        <v>5000</v>
      </c>
      <c r="B1264" s="971" t="s">
        <v>2119</v>
      </c>
      <c r="C1264" s="1272">
        <v>5100</v>
      </c>
      <c r="D1264" s="971" t="s">
        <v>78</v>
      </c>
      <c r="E1264" s="971">
        <v>5140</v>
      </c>
      <c r="F1264" s="971" t="s">
        <v>176</v>
      </c>
      <c r="G1264" s="971">
        <v>5140</v>
      </c>
      <c r="H1264" s="971" t="s">
        <v>176</v>
      </c>
      <c r="I1264" s="1273"/>
      <c r="J1264" s="971" t="s">
        <v>2146</v>
      </c>
      <c r="K1264" s="971" t="s">
        <v>2127</v>
      </c>
      <c r="L1264" s="971" t="s">
        <v>2177</v>
      </c>
      <c r="M1264" s="971" t="s">
        <v>2127</v>
      </c>
      <c r="N1264" s="971" t="s">
        <v>176</v>
      </c>
      <c r="O1264" s="971" t="s">
        <v>2177</v>
      </c>
      <c r="P1264" s="971"/>
      <c r="Q1264" s="971" t="s">
        <v>2189</v>
      </c>
      <c r="R1264" s="1266"/>
      <c r="S1264" s="2106">
        <v>-1</v>
      </c>
      <c r="T1264" s="1266" t="s">
        <v>242</v>
      </c>
      <c r="U1264" s="1742">
        <v>10</v>
      </c>
      <c r="V1264" s="1742">
        <v>37.5</v>
      </c>
      <c r="W1264" s="1742">
        <v>881.4</v>
      </c>
      <c r="X1264" s="1742">
        <v>413.61</v>
      </c>
      <c r="Y1264" s="2106">
        <v>1332.51</v>
      </c>
      <c r="Z1264" s="2106">
        <v>-10</v>
      </c>
      <c r="AA1264" s="2106">
        <v>-37.5</v>
      </c>
      <c r="AB1264" s="2106">
        <v>-881.4</v>
      </c>
      <c r="AC1264" s="2106">
        <v>-413.61</v>
      </c>
      <c r="AD1264" s="1744">
        <v>-1332.51</v>
      </c>
      <c r="AE1264" s="2126">
        <v>24</v>
      </c>
      <c r="AF1264" s="2126">
        <v>-24</v>
      </c>
      <c r="AG1264" s="1212">
        <v>1</v>
      </c>
      <c r="AH1264" s="1212">
        <v>0</v>
      </c>
      <c r="AI1264" s="1212">
        <v>0</v>
      </c>
      <c r="AJ1264" s="1212">
        <v>1</v>
      </c>
      <c r="AK1264" s="2126">
        <v>-1332.51</v>
      </c>
      <c r="AL1264" s="2126">
        <v>0</v>
      </c>
      <c r="AM1264" s="2126">
        <v>0</v>
      </c>
      <c r="AN1264" s="2126">
        <v>-1332.51</v>
      </c>
      <c r="AO1264" s="1743" t="s">
        <v>85</v>
      </c>
      <c r="AP1264" s="1743" t="s">
        <v>96</v>
      </c>
      <c r="AQ1264" s="1764" t="s">
        <v>2141</v>
      </c>
      <c r="AR1264" s="1743" t="s">
        <v>87</v>
      </c>
      <c r="AS1264" s="2135"/>
      <c r="AT1264" s="2135"/>
      <c r="AU1264" s="1212">
        <v>1</v>
      </c>
      <c r="AV1264" s="1212"/>
      <c r="AW1264" s="1212"/>
      <c r="AX1264" s="1212"/>
      <c r="AY1264" s="1212"/>
      <c r="AZ1264" s="1212"/>
      <c r="BA1264" s="1212"/>
      <c r="BB1264" s="1212"/>
      <c r="BC1264" s="1212"/>
      <c r="BD1264" s="1212"/>
      <c r="BE1264" s="1212"/>
      <c r="BF1264" s="2126">
        <v>0</v>
      </c>
      <c r="BG1264" s="2126">
        <v>0</v>
      </c>
      <c r="BH1264" s="2126">
        <v>-1332.51</v>
      </c>
      <c r="BI1264" s="2126">
        <v>0</v>
      </c>
      <c r="BJ1264" s="2126">
        <v>0</v>
      </c>
      <c r="BK1264" s="2126">
        <v>0</v>
      </c>
      <c r="BL1264" s="2126">
        <v>0</v>
      </c>
      <c r="BM1264" s="2126">
        <v>0</v>
      </c>
      <c r="BN1264" s="2126">
        <v>0</v>
      </c>
      <c r="BO1264" s="2126">
        <v>0</v>
      </c>
      <c r="BP1264" s="2126">
        <v>0</v>
      </c>
      <c r="BQ1264" s="2126">
        <v>0</v>
      </c>
      <c r="BR1264" s="2126">
        <v>0</v>
      </c>
    </row>
    <row r="1265" spans="1:70" s="1765" customFormat="1" ht="33">
      <c r="A1265" s="1272">
        <v>5000</v>
      </c>
      <c r="B1265" s="971" t="s">
        <v>2119</v>
      </c>
      <c r="C1265" s="1272">
        <v>5100</v>
      </c>
      <c r="D1265" s="971" t="s">
        <v>78</v>
      </c>
      <c r="E1265" s="971">
        <v>5140</v>
      </c>
      <c r="F1265" s="971" t="s">
        <v>176</v>
      </c>
      <c r="G1265" s="971">
        <v>5140</v>
      </c>
      <c r="H1265" s="971" t="s">
        <v>176</v>
      </c>
      <c r="I1265" s="1273"/>
      <c r="J1265" s="971" t="s">
        <v>2146</v>
      </c>
      <c r="K1265" s="971" t="s">
        <v>2127</v>
      </c>
      <c r="L1265" s="971" t="s">
        <v>2177</v>
      </c>
      <c r="M1265" s="971" t="s">
        <v>2127</v>
      </c>
      <c r="N1265" s="971" t="s">
        <v>176</v>
      </c>
      <c r="O1265" s="971" t="s">
        <v>2177</v>
      </c>
      <c r="P1265" s="971"/>
      <c r="Q1265" s="971" t="s">
        <v>2190</v>
      </c>
      <c r="R1265" s="1266"/>
      <c r="S1265" s="2106">
        <v>-1</v>
      </c>
      <c r="T1265" s="1266" t="s">
        <v>242</v>
      </c>
      <c r="U1265" s="1742">
        <v>10</v>
      </c>
      <c r="V1265" s="1742">
        <v>37.5</v>
      </c>
      <c r="W1265" s="1742">
        <v>881.4</v>
      </c>
      <c r="X1265" s="1742">
        <v>413.61</v>
      </c>
      <c r="Y1265" s="2106">
        <v>1332.51</v>
      </c>
      <c r="Z1265" s="2106">
        <v>-10</v>
      </c>
      <c r="AA1265" s="2106">
        <v>-37.5</v>
      </c>
      <c r="AB1265" s="2106">
        <v>-881.4</v>
      </c>
      <c r="AC1265" s="2106">
        <v>-413.61</v>
      </c>
      <c r="AD1265" s="1744">
        <v>-1332.51</v>
      </c>
      <c r="AE1265" s="2126">
        <v>24</v>
      </c>
      <c r="AF1265" s="2126">
        <v>-24</v>
      </c>
      <c r="AG1265" s="1212">
        <v>1</v>
      </c>
      <c r="AH1265" s="1212">
        <v>0</v>
      </c>
      <c r="AI1265" s="1212">
        <v>0</v>
      </c>
      <c r="AJ1265" s="1212">
        <v>1</v>
      </c>
      <c r="AK1265" s="2126">
        <v>-1332.51</v>
      </c>
      <c r="AL1265" s="2126">
        <v>0</v>
      </c>
      <c r="AM1265" s="2126">
        <v>0</v>
      </c>
      <c r="AN1265" s="2126">
        <v>-1332.51</v>
      </c>
      <c r="AO1265" s="1743" t="s">
        <v>85</v>
      </c>
      <c r="AP1265" s="1743" t="s">
        <v>96</v>
      </c>
      <c r="AQ1265" s="1764" t="s">
        <v>2141</v>
      </c>
      <c r="AR1265" s="1743" t="s">
        <v>87</v>
      </c>
      <c r="AS1265" s="2135"/>
      <c r="AT1265" s="2135"/>
      <c r="AU1265" s="1212">
        <v>1</v>
      </c>
      <c r="AV1265" s="1212"/>
      <c r="AW1265" s="1212"/>
      <c r="AX1265" s="1212"/>
      <c r="AY1265" s="1212"/>
      <c r="AZ1265" s="1212"/>
      <c r="BA1265" s="1212"/>
      <c r="BB1265" s="1212"/>
      <c r="BC1265" s="1212"/>
      <c r="BD1265" s="1212"/>
      <c r="BE1265" s="1212"/>
      <c r="BF1265" s="2126">
        <v>0</v>
      </c>
      <c r="BG1265" s="2126">
        <v>0</v>
      </c>
      <c r="BH1265" s="2126">
        <v>-1332.51</v>
      </c>
      <c r="BI1265" s="2126">
        <v>0</v>
      </c>
      <c r="BJ1265" s="2126">
        <v>0</v>
      </c>
      <c r="BK1265" s="2126">
        <v>0</v>
      </c>
      <c r="BL1265" s="2126">
        <v>0</v>
      </c>
      <c r="BM1265" s="2126">
        <v>0</v>
      </c>
      <c r="BN1265" s="2126">
        <v>0</v>
      </c>
      <c r="BO1265" s="2126">
        <v>0</v>
      </c>
      <c r="BP1265" s="2126">
        <v>0</v>
      </c>
      <c r="BQ1265" s="2126">
        <v>0</v>
      </c>
      <c r="BR1265" s="2126">
        <v>0</v>
      </c>
    </row>
    <row r="1266" spans="1:70" s="1765" customFormat="1" ht="33">
      <c r="A1266" s="1272">
        <v>5000</v>
      </c>
      <c r="B1266" s="971" t="s">
        <v>2119</v>
      </c>
      <c r="C1266" s="1272">
        <v>5100</v>
      </c>
      <c r="D1266" s="971" t="s">
        <v>78</v>
      </c>
      <c r="E1266" s="971">
        <v>5140</v>
      </c>
      <c r="F1266" s="971" t="s">
        <v>176</v>
      </c>
      <c r="G1266" s="971">
        <v>5140</v>
      </c>
      <c r="H1266" s="971" t="s">
        <v>176</v>
      </c>
      <c r="I1266" s="1273"/>
      <c r="J1266" s="971" t="s">
        <v>2146</v>
      </c>
      <c r="K1266" s="971" t="s">
        <v>2127</v>
      </c>
      <c r="L1266" s="971" t="s">
        <v>2177</v>
      </c>
      <c r="M1266" s="971" t="s">
        <v>2127</v>
      </c>
      <c r="N1266" s="971" t="s">
        <v>176</v>
      </c>
      <c r="O1266" s="971" t="s">
        <v>2177</v>
      </c>
      <c r="P1266" s="971"/>
      <c r="Q1266" s="971" t="s">
        <v>2190</v>
      </c>
      <c r="R1266" s="1266"/>
      <c r="S1266" s="2106">
        <v>2</v>
      </c>
      <c r="T1266" s="1266" t="s">
        <v>242</v>
      </c>
      <c r="U1266" s="1742">
        <v>10</v>
      </c>
      <c r="V1266" s="1742">
        <v>37.5</v>
      </c>
      <c r="W1266" s="1742">
        <v>881.4</v>
      </c>
      <c r="X1266" s="1742">
        <v>413.61</v>
      </c>
      <c r="Y1266" s="2106">
        <v>1332.51</v>
      </c>
      <c r="Z1266" s="2106">
        <v>20</v>
      </c>
      <c r="AA1266" s="2106">
        <v>75</v>
      </c>
      <c r="AB1266" s="2106">
        <v>1762.8</v>
      </c>
      <c r="AC1266" s="2106">
        <v>827.22</v>
      </c>
      <c r="AD1266" s="1744">
        <v>2665.02</v>
      </c>
      <c r="AE1266" s="2126">
        <v>24</v>
      </c>
      <c r="AF1266" s="2126">
        <v>48</v>
      </c>
      <c r="AG1266" s="1212">
        <v>1</v>
      </c>
      <c r="AH1266" s="1212">
        <v>0</v>
      </c>
      <c r="AI1266" s="1212">
        <v>0</v>
      </c>
      <c r="AJ1266" s="1212">
        <v>1</v>
      </c>
      <c r="AK1266" s="2126">
        <v>2665.02</v>
      </c>
      <c r="AL1266" s="2126">
        <v>0</v>
      </c>
      <c r="AM1266" s="2126">
        <v>0</v>
      </c>
      <c r="AN1266" s="2126">
        <v>2665.02</v>
      </c>
      <c r="AO1266" s="1743" t="s">
        <v>85</v>
      </c>
      <c r="AP1266" s="1743" t="s">
        <v>90</v>
      </c>
      <c r="AQ1266" s="1764">
        <v>2020</v>
      </c>
      <c r="AR1266" s="1743" t="s">
        <v>87</v>
      </c>
      <c r="AS1266" s="2135"/>
      <c r="AT1266" s="2135"/>
      <c r="AU1266" s="1212">
        <v>1</v>
      </c>
      <c r="AV1266" s="1212"/>
      <c r="AW1266" s="1212"/>
      <c r="AX1266" s="1212"/>
      <c r="AY1266" s="1212"/>
      <c r="AZ1266" s="1212"/>
      <c r="BA1266" s="1212"/>
      <c r="BB1266" s="1212"/>
      <c r="BC1266" s="1212"/>
      <c r="BD1266" s="1212"/>
      <c r="BE1266" s="1212"/>
      <c r="BF1266" s="2126">
        <v>0</v>
      </c>
      <c r="BG1266" s="2126">
        <v>0</v>
      </c>
      <c r="BH1266" s="2126">
        <v>2665.02</v>
      </c>
      <c r="BI1266" s="2126">
        <v>0</v>
      </c>
      <c r="BJ1266" s="2126">
        <v>0</v>
      </c>
      <c r="BK1266" s="2126">
        <v>0</v>
      </c>
      <c r="BL1266" s="2126">
        <v>0</v>
      </c>
      <c r="BM1266" s="2126">
        <v>0</v>
      </c>
      <c r="BN1266" s="2126">
        <v>0</v>
      </c>
      <c r="BO1266" s="2126">
        <v>0</v>
      </c>
      <c r="BP1266" s="2126">
        <v>0</v>
      </c>
      <c r="BQ1266" s="2126">
        <v>0</v>
      </c>
      <c r="BR1266" s="2126">
        <v>0</v>
      </c>
    </row>
    <row r="1267" spans="1:70" s="1765" customFormat="1" ht="33">
      <c r="A1267" s="1272">
        <v>5000</v>
      </c>
      <c r="B1267" s="971" t="s">
        <v>2119</v>
      </c>
      <c r="C1267" s="1272">
        <v>5100</v>
      </c>
      <c r="D1267" s="971" t="s">
        <v>78</v>
      </c>
      <c r="E1267" s="971">
        <v>5140</v>
      </c>
      <c r="F1267" s="971" t="s">
        <v>176</v>
      </c>
      <c r="G1267" s="971">
        <v>5140</v>
      </c>
      <c r="H1267" s="971" t="s">
        <v>176</v>
      </c>
      <c r="I1267" s="1273"/>
      <c r="J1267" s="971" t="s">
        <v>2146</v>
      </c>
      <c r="K1267" s="971" t="s">
        <v>2127</v>
      </c>
      <c r="L1267" s="971" t="s">
        <v>2177</v>
      </c>
      <c r="M1267" s="971" t="s">
        <v>2127</v>
      </c>
      <c r="N1267" s="971" t="s">
        <v>176</v>
      </c>
      <c r="O1267" s="971" t="s">
        <v>2177</v>
      </c>
      <c r="P1267" s="971"/>
      <c r="Q1267" s="971" t="s">
        <v>2186</v>
      </c>
      <c r="R1267" s="1266"/>
      <c r="S1267" s="2106">
        <v>1</v>
      </c>
      <c r="T1267" s="1266" t="s">
        <v>242</v>
      </c>
      <c r="U1267" s="1742">
        <v>10</v>
      </c>
      <c r="V1267" s="1742">
        <v>37.5</v>
      </c>
      <c r="W1267" s="1742">
        <v>881.4</v>
      </c>
      <c r="X1267" s="1742">
        <v>413.61</v>
      </c>
      <c r="Y1267" s="2106">
        <v>1332.51</v>
      </c>
      <c r="Z1267" s="2106">
        <v>10</v>
      </c>
      <c r="AA1267" s="2106">
        <v>37.5</v>
      </c>
      <c r="AB1267" s="2106">
        <v>881.4</v>
      </c>
      <c r="AC1267" s="2106">
        <v>413.61</v>
      </c>
      <c r="AD1267" s="1744">
        <v>1332.51</v>
      </c>
      <c r="AE1267" s="2126">
        <v>24</v>
      </c>
      <c r="AF1267" s="2126">
        <v>24</v>
      </c>
      <c r="AG1267" s="1212">
        <v>1</v>
      </c>
      <c r="AH1267" s="1212">
        <v>0</v>
      </c>
      <c r="AI1267" s="1212">
        <v>0</v>
      </c>
      <c r="AJ1267" s="1212">
        <v>1</v>
      </c>
      <c r="AK1267" s="2126">
        <v>1332.51</v>
      </c>
      <c r="AL1267" s="2126">
        <v>0</v>
      </c>
      <c r="AM1267" s="2126">
        <v>0</v>
      </c>
      <c r="AN1267" s="2126">
        <v>1332.51</v>
      </c>
      <c r="AO1267" s="1743" t="s">
        <v>85</v>
      </c>
      <c r="AP1267" s="1743" t="s">
        <v>90</v>
      </c>
      <c r="AQ1267" s="1764">
        <v>2020</v>
      </c>
      <c r="AR1267" s="1743" t="s">
        <v>87</v>
      </c>
      <c r="AS1267" s="2135"/>
      <c r="AT1267" s="2135"/>
      <c r="AU1267" s="1212">
        <v>1</v>
      </c>
      <c r="AV1267" s="1212"/>
      <c r="AW1267" s="1212"/>
      <c r="AX1267" s="1212"/>
      <c r="AY1267" s="1212"/>
      <c r="AZ1267" s="1212"/>
      <c r="BA1267" s="1212"/>
      <c r="BB1267" s="1212"/>
      <c r="BC1267" s="1212"/>
      <c r="BD1267" s="1212"/>
      <c r="BE1267" s="1212"/>
      <c r="BF1267" s="2126">
        <v>0</v>
      </c>
      <c r="BG1267" s="2126">
        <v>0</v>
      </c>
      <c r="BH1267" s="2126">
        <v>1332.51</v>
      </c>
      <c r="BI1267" s="2126">
        <v>0</v>
      </c>
      <c r="BJ1267" s="2126">
        <v>0</v>
      </c>
      <c r="BK1267" s="2126">
        <v>0</v>
      </c>
      <c r="BL1267" s="2126">
        <v>0</v>
      </c>
      <c r="BM1267" s="2126">
        <v>0</v>
      </c>
      <c r="BN1267" s="2126">
        <v>0</v>
      </c>
      <c r="BO1267" s="2126">
        <v>0</v>
      </c>
      <c r="BP1267" s="2126">
        <v>0</v>
      </c>
      <c r="BQ1267" s="2126">
        <v>0</v>
      </c>
      <c r="BR1267" s="2126">
        <v>0</v>
      </c>
    </row>
    <row r="1268" spans="1:70" s="1765" customFormat="1" ht="33">
      <c r="A1268" s="1272">
        <v>5000</v>
      </c>
      <c r="B1268" s="971" t="s">
        <v>2119</v>
      </c>
      <c r="C1268" s="1272">
        <v>5100</v>
      </c>
      <c r="D1268" s="971" t="s">
        <v>78</v>
      </c>
      <c r="E1268" s="971">
        <v>5140</v>
      </c>
      <c r="F1268" s="971" t="s">
        <v>176</v>
      </c>
      <c r="G1268" s="971">
        <v>5140</v>
      </c>
      <c r="H1268" s="971" t="s">
        <v>176</v>
      </c>
      <c r="I1268" s="1273"/>
      <c r="J1268" s="971" t="s">
        <v>2146</v>
      </c>
      <c r="K1268" s="971" t="s">
        <v>2127</v>
      </c>
      <c r="L1268" s="971" t="s">
        <v>2177</v>
      </c>
      <c r="M1268" s="971" t="s">
        <v>2127</v>
      </c>
      <c r="N1268" s="971" t="s">
        <v>176</v>
      </c>
      <c r="O1268" s="971" t="s">
        <v>2177</v>
      </c>
      <c r="P1268" s="971"/>
      <c r="Q1268" s="971" t="s">
        <v>2187</v>
      </c>
      <c r="R1268" s="1266"/>
      <c r="S1268" s="2106">
        <v>2</v>
      </c>
      <c r="T1268" s="1266" t="s">
        <v>242</v>
      </c>
      <c r="U1268" s="1742">
        <v>10</v>
      </c>
      <c r="V1268" s="1742">
        <v>37.5</v>
      </c>
      <c r="W1268" s="1742">
        <v>881.4</v>
      </c>
      <c r="X1268" s="1742">
        <v>413.61</v>
      </c>
      <c r="Y1268" s="2106">
        <v>1332.51</v>
      </c>
      <c r="Z1268" s="2106">
        <v>20</v>
      </c>
      <c r="AA1268" s="2106">
        <v>75</v>
      </c>
      <c r="AB1268" s="2106">
        <v>1762.8</v>
      </c>
      <c r="AC1268" s="2106">
        <v>827.22</v>
      </c>
      <c r="AD1268" s="1744">
        <v>2665.02</v>
      </c>
      <c r="AE1268" s="2126">
        <v>24</v>
      </c>
      <c r="AF1268" s="2126">
        <v>48</v>
      </c>
      <c r="AG1268" s="1212">
        <v>1</v>
      </c>
      <c r="AH1268" s="1212">
        <v>0</v>
      </c>
      <c r="AI1268" s="1212">
        <v>0</v>
      </c>
      <c r="AJ1268" s="1212">
        <v>1</v>
      </c>
      <c r="AK1268" s="2126">
        <v>2665.02</v>
      </c>
      <c r="AL1268" s="2126">
        <v>0</v>
      </c>
      <c r="AM1268" s="2126">
        <v>0</v>
      </c>
      <c r="AN1268" s="2126">
        <v>2665.02</v>
      </c>
      <c r="AO1268" s="1743" t="s">
        <v>85</v>
      </c>
      <c r="AP1268" s="1743" t="s">
        <v>90</v>
      </c>
      <c r="AQ1268" s="1764">
        <v>2020</v>
      </c>
      <c r="AR1268" s="1743" t="s">
        <v>87</v>
      </c>
      <c r="AS1268" s="2135"/>
      <c r="AT1268" s="2135"/>
      <c r="AU1268" s="1212">
        <v>1</v>
      </c>
      <c r="AV1268" s="1212"/>
      <c r="AW1268" s="1212"/>
      <c r="AX1268" s="1212"/>
      <c r="AY1268" s="1212"/>
      <c r="AZ1268" s="1212"/>
      <c r="BA1268" s="1212"/>
      <c r="BB1268" s="1212"/>
      <c r="BC1268" s="1212"/>
      <c r="BD1268" s="1212"/>
      <c r="BE1268" s="1212"/>
      <c r="BF1268" s="2126">
        <v>0</v>
      </c>
      <c r="BG1268" s="2126">
        <v>0</v>
      </c>
      <c r="BH1268" s="2126">
        <v>2665.02</v>
      </c>
      <c r="BI1268" s="2126">
        <v>0</v>
      </c>
      <c r="BJ1268" s="2126">
        <v>0</v>
      </c>
      <c r="BK1268" s="2126">
        <v>0</v>
      </c>
      <c r="BL1268" s="2126">
        <v>0</v>
      </c>
      <c r="BM1268" s="2126">
        <v>0</v>
      </c>
      <c r="BN1268" s="2126">
        <v>0</v>
      </c>
      <c r="BO1268" s="2126">
        <v>0</v>
      </c>
      <c r="BP1268" s="2126">
        <v>0</v>
      </c>
      <c r="BQ1268" s="2126">
        <v>0</v>
      </c>
      <c r="BR1268" s="2126">
        <v>0</v>
      </c>
    </row>
    <row r="1269" spans="1:70" s="1765" customFormat="1" ht="33">
      <c r="A1269" s="1272">
        <v>5000</v>
      </c>
      <c r="B1269" s="971" t="s">
        <v>2119</v>
      </c>
      <c r="C1269" s="1272">
        <v>5100</v>
      </c>
      <c r="D1269" s="971" t="s">
        <v>78</v>
      </c>
      <c r="E1269" s="971">
        <v>5140</v>
      </c>
      <c r="F1269" s="971" t="s">
        <v>176</v>
      </c>
      <c r="G1269" s="971">
        <v>5140</v>
      </c>
      <c r="H1269" s="971" t="s">
        <v>176</v>
      </c>
      <c r="I1269" s="1273"/>
      <c r="J1269" s="971" t="s">
        <v>2146</v>
      </c>
      <c r="K1269" s="971" t="s">
        <v>2127</v>
      </c>
      <c r="L1269" s="971" t="s">
        <v>2177</v>
      </c>
      <c r="M1269" s="971" t="s">
        <v>2127</v>
      </c>
      <c r="N1269" s="971" t="s">
        <v>176</v>
      </c>
      <c r="O1269" s="971" t="s">
        <v>2177</v>
      </c>
      <c r="P1269" s="971"/>
      <c r="Q1269" s="971" t="s">
        <v>2188</v>
      </c>
      <c r="R1269" s="1266"/>
      <c r="S1269" s="2106">
        <v>2</v>
      </c>
      <c r="T1269" s="1266" t="s">
        <v>242</v>
      </c>
      <c r="U1269" s="1742">
        <v>10</v>
      </c>
      <c r="V1269" s="1742">
        <v>37.5</v>
      </c>
      <c r="W1269" s="1742">
        <v>881.4</v>
      </c>
      <c r="X1269" s="1742">
        <v>413.61</v>
      </c>
      <c r="Y1269" s="2106">
        <v>1332.51</v>
      </c>
      <c r="Z1269" s="2106">
        <v>20</v>
      </c>
      <c r="AA1269" s="2106">
        <v>75</v>
      </c>
      <c r="AB1269" s="2106">
        <v>1762.8</v>
      </c>
      <c r="AC1269" s="2106">
        <v>827.22</v>
      </c>
      <c r="AD1269" s="1744">
        <v>2665.02</v>
      </c>
      <c r="AE1269" s="2126">
        <v>24</v>
      </c>
      <c r="AF1269" s="2126">
        <v>48</v>
      </c>
      <c r="AG1269" s="1212">
        <v>1</v>
      </c>
      <c r="AH1269" s="1212">
        <v>0</v>
      </c>
      <c r="AI1269" s="1212">
        <v>0</v>
      </c>
      <c r="AJ1269" s="1212">
        <v>1</v>
      </c>
      <c r="AK1269" s="2126">
        <v>2665.02</v>
      </c>
      <c r="AL1269" s="2126">
        <v>0</v>
      </c>
      <c r="AM1269" s="2126">
        <v>0</v>
      </c>
      <c r="AN1269" s="2126">
        <v>2665.02</v>
      </c>
      <c r="AO1269" s="1743" t="s">
        <v>85</v>
      </c>
      <c r="AP1269" s="1743" t="s">
        <v>90</v>
      </c>
      <c r="AQ1269" s="1764">
        <v>2020</v>
      </c>
      <c r="AR1269" s="1743" t="s">
        <v>87</v>
      </c>
      <c r="AS1269" s="2135"/>
      <c r="AT1269" s="2135"/>
      <c r="AU1269" s="1212">
        <v>1</v>
      </c>
      <c r="AV1269" s="1212"/>
      <c r="AW1269" s="1212"/>
      <c r="AX1269" s="1212"/>
      <c r="AY1269" s="1212"/>
      <c r="AZ1269" s="1212"/>
      <c r="BA1269" s="1212"/>
      <c r="BB1269" s="1212"/>
      <c r="BC1269" s="1212"/>
      <c r="BD1269" s="1212"/>
      <c r="BE1269" s="1212"/>
      <c r="BF1269" s="2126">
        <v>0</v>
      </c>
      <c r="BG1269" s="2126">
        <v>0</v>
      </c>
      <c r="BH1269" s="2126">
        <v>2665.02</v>
      </c>
      <c r="BI1269" s="2126">
        <v>0</v>
      </c>
      <c r="BJ1269" s="2126">
        <v>0</v>
      </c>
      <c r="BK1269" s="2126">
        <v>0</v>
      </c>
      <c r="BL1269" s="2126">
        <v>0</v>
      </c>
      <c r="BM1269" s="2126">
        <v>0</v>
      </c>
      <c r="BN1269" s="2126">
        <v>0</v>
      </c>
      <c r="BO1269" s="2126">
        <v>0</v>
      </c>
      <c r="BP1269" s="2126">
        <v>0</v>
      </c>
      <c r="BQ1269" s="2126">
        <v>0</v>
      </c>
      <c r="BR1269" s="2126">
        <v>0</v>
      </c>
    </row>
    <row r="1270" spans="1:70" s="1765" customFormat="1" ht="33">
      <c r="A1270" s="1272">
        <v>5000</v>
      </c>
      <c r="B1270" s="971" t="s">
        <v>2119</v>
      </c>
      <c r="C1270" s="1272">
        <v>5100</v>
      </c>
      <c r="D1270" s="971" t="s">
        <v>78</v>
      </c>
      <c r="E1270" s="971">
        <v>5140</v>
      </c>
      <c r="F1270" s="971" t="s">
        <v>176</v>
      </c>
      <c r="G1270" s="971">
        <v>5140</v>
      </c>
      <c r="H1270" s="971" t="s">
        <v>176</v>
      </c>
      <c r="I1270" s="1273"/>
      <c r="J1270" s="971" t="s">
        <v>2146</v>
      </c>
      <c r="K1270" s="971" t="s">
        <v>2127</v>
      </c>
      <c r="L1270" s="971" t="s">
        <v>2177</v>
      </c>
      <c r="M1270" s="971" t="s">
        <v>2127</v>
      </c>
      <c r="N1270" s="971" t="s">
        <v>176</v>
      </c>
      <c r="O1270" s="971" t="s">
        <v>2177</v>
      </c>
      <c r="P1270" s="971"/>
      <c r="Q1270" s="971" t="s">
        <v>2191</v>
      </c>
      <c r="R1270" s="1266" t="s">
        <v>2192</v>
      </c>
      <c r="S1270" s="2106">
        <v>-1</v>
      </c>
      <c r="T1270" s="1266" t="s">
        <v>242</v>
      </c>
      <c r="U1270" s="1742">
        <v>10</v>
      </c>
      <c r="V1270" s="1742">
        <v>37.5</v>
      </c>
      <c r="W1270" s="1742">
        <v>881.4</v>
      </c>
      <c r="X1270" s="1742">
        <v>413.61</v>
      </c>
      <c r="Y1270" s="2106">
        <v>1332.51</v>
      </c>
      <c r="Z1270" s="2106">
        <v>-10</v>
      </c>
      <c r="AA1270" s="2106">
        <v>-37.5</v>
      </c>
      <c r="AB1270" s="2106">
        <v>-881.4</v>
      </c>
      <c r="AC1270" s="2106">
        <v>-413.61</v>
      </c>
      <c r="AD1270" s="1744">
        <v>-1332.51</v>
      </c>
      <c r="AE1270" s="2126">
        <v>24</v>
      </c>
      <c r="AF1270" s="2126">
        <v>24</v>
      </c>
      <c r="AG1270" s="1212">
        <v>1</v>
      </c>
      <c r="AH1270" s="1212">
        <v>0</v>
      </c>
      <c r="AI1270" s="1212">
        <v>0</v>
      </c>
      <c r="AJ1270" s="1212">
        <v>1</v>
      </c>
      <c r="AK1270" s="2126">
        <v>-1332.51</v>
      </c>
      <c r="AL1270" s="2126">
        <v>0</v>
      </c>
      <c r="AM1270" s="2126">
        <v>0</v>
      </c>
      <c r="AN1270" s="2126">
        <v>-1332.51</v>
      </c>
      <c r="AO1270" s="1743" t="s">
        <v>85</v>
      </c>
      <c r="AP1270" s="1743" t="s">
        <v>96</v>
      </c>
      <c r="AQ1270" s="1764" t="s">
        <v>97</v>
      </c>
      <c r="AR1270" s="1743" t="s">
        <v>87</v>
      </c>
      <c r="AS1270" s="2135"/>
      <c r="AT1270" s="2135"/>
      <c r="AU1270" s="1212">
        <v>1</v>
      </c>
      <c r="AV1270" s="1212"/>
      <c r="AW1270" s="1212"/>
      <c r="AX1270" s="1212"/>
      <c r="AY1270" s="1212"/>
      <c r="AZ1270" s="1212"/>
      <c r="BA1270" s="1212"/>
      <c r="BB1270" s="1212"/>
      <c r="BC1270" s="1212"/>
      <c r="BD1270" s="1212"/>
      <c r="BE1270" s="1212"/>
      <c r="BF1270" s="2126">
        <v>0</v>
      </c>
      <c r="BG1270" s="2126">
        <v>0</v>
      </c>
      <c r="BH1270" s="2126">
        <v>-1332.51</v>
      </c>
      <c r="BI1270" s="2126">
        <v>0</v>
      </c>
      <c r="BJ1270" s="2126">
        <v>0</v>
      </c>
      <c r="BK1270" s="2126">
        <v>0</v>
      </c>
      <c r="BL1270" s="2126">
        <v>0</v>
      </c>
      <c r="BM1270" s="2126">
        <v>0</v>
      </c>
      <c r="BN1270" s="2126">
        <v>0</v>
      </c>
      <c r="BO1270" s="2126">
        <v>0</v>
      </c>
      <c r="BP1270" s="2126">
        <v>0</v>
      </c>
      <c r="BQ1270" s="2126">
        <v>0</v>
      </c>
      <c r="BR1270" s="2126">
        <v>0</v>
      </c>
    </row>
    <row r="1271" spans="1:70" s="1765" customFormat="1" ht="33">
      <c r="A1271" s="1272">
        <v>5000</v>
      </c>
      <c r="B1271" s="971" t="s">
        <v>2119</v>
      </c>
      <c r="C1271" s="1272">
        <v>5100</v>
      </c>
      <c r="D1271" s="971" t="s">
        <v>78</v>
      </c>
      <c r="E1271" s="971">
        <v>5140</v>
      </c>
      <c r="F1271" s="971" t="s">
        <v>176</v>
      </c>
      <c r="G1271" s="971">
        <v>5140</v>
      </c>
      <c r="H1271" s="971" t="s">
        <v>176</v>
      </c>
      <c r="I1271" s="1273"/>
      <c r="J1271" s="971" t="s">
        <v>2146</v>
      </c>
      <c r="K1271" s="971" t="s">
        <v>2127</v>
      </c>
      <c r="L1271" s="971" t="s">
        <v>2177</v>
      </c>
      <c r="M1271" s="971" t="s">
        <v>2127</v>
      </c>
      <c r="N1271" s="971" t="s">
        <v>176</v>
      </c>
      <c r="O1271" s="971" t="s">
        <v>2177</v>
      </c>
      <c r="P1271" s="971"/>
      <c r="Q1271" s="971" t="s">
        <v>2191</v>
      </c>
      <c r="R1271" s="1266" t="s">
        <v>2192</v>
      </c>
      <c r="S1271" s="2106">
        <v>1</v>
      </c>
      <c r="T1271" s="1266" t="s">
        <v>242</v>
      </c>
      <c r="U1271" s="1742">
        <v>10</v>
      </c>
      <c r="V1271" s="1742">
        <v>37.5</v>
      </c>
      <c r="W1271" s="1742">
        <v>881.4</v>
      </c>
      <c r="X1271" s="1742">
        <v>413.61</v>
      </c>
      <c r="Y1271" s="2106">
        <v>1332.51</v>
      </c>
      <c r="Z1271" s="2106">
        <v>10</v>
      </c>
      <c r="AA1271" s="2106">
        <v>37.5</v>
      </c>
      <c r="AB1271" s="2106">
        <v>881.4</v>
      </c>
      <c r="AC1271" s="2106">
        <v>413.61</v>
      </c>
      <c r="AD1271" s="1744">
        <v>1332.51</v>
      </c>
      <c r="AE1271" s="2126">
        <v>24</v>
      </c>
      <c r="AF1271" s="2126">
        <v>24</v>
      </c>
      <c r="AG1271" s="1212">
        <v>1</v>
      </c>
      <c r="AH1271" s="1212">
        <v>0</v>
      </c>
      <c r="AI1271" s="1212">
        <v>0</v>
      </c>
      <c r="AJ1271" s="1212">
        <v>1</v>
      </c>
      <c r="AK1271" s="2126">
        <v>1332.51</v>
      </c>
      <c r="AL1271" s="2126">
        <v>0</v>
      </c>
      <c r="AM1271" s="2126">
        <v>0</v>
      </c>
      <c r="AN1271" s="2126">
        <v>1332.51</v>
      </c>
      <c r="AO1271" s="1743" t="s">
        <v>85</v>
      </c>
      <c r="AP1271" s="1743" t="s">
        <v>90</v>
      </c>
      <c r="AQ1271" s="1764">
        <v>2021</v>
      </c>
      <c r="AR1271" s="1743" t="s">
        <v>87</v>
      </c>
      <c r="AS1271" s="2135"/>
      <c r="AT1271" s="2135"/>
      <c r="AU1271" s="1212">
        <v>1</v>
      </c>
      <c r="AV1271" s="1212"/>
      <c r="AW1271" s="1212"/>
      <c r="AX1271" s="1212"/>
      <c r="AY1271" s="1212"/>
      <c r="AZ1271" s="1212"/>
      <c r="BA1271" s="1212"/>
      <c r="BB1271" s="1212"/>
      <c r="BC1271" s="1212"/>
      <c r="BD1271" s="1212"/>
      <c r="BE1271" s="1212"/>
      <c r="BF1271" s="2126">
        <v>0</v>
      </c>
      <c r="BG1271" s="2126">
        <v>0</v>
      </c>
      <c r="BH1271" s="2126">
        <v>1332.51</v>
      </c>
      <c r="BI1271" s="2126">
        <v>0</v>
      </c>
      <c r="BJ1271" s="2126">
        <v>0</v>
      </c>
      <c r="BK1271" s="2126">
        <v>0</v>
      </c>
      <c r="BL1271" s="2126">
        <v>0</v>
      </c>
      <c r="BM1271" s="2126">
        <v>0</v>
      </c>
      <c r="BN1271" s="2126">
        <v>0</v>
      </c>
      <c r="BO1271" s="2126">
        <v>0</v>
      </c>
      <c r="BP1271" s="2126">
        <v>0</v>
      </c>
      <c r="BQ1271" s="2126">
        <v>0</v>
      </c>
      <c r="BR1271" s="2126">
        <v>0</v>
      </c>
    </row>
    <row r="1272" spans="1:70" s="1765" customFormat="1" ht="33">
      <c r="A1272" s="1272">
        <v>5000</v>
      </c>
      <c r="B1272" s="971" t="s">
        <v>2119</v>
      </c>
      <c r="C1272" s="1272">
        <v>5100</v>
      </c>
      <c r="D1272" s="971" t="s">
        <v>78</v>
      </c>
      <c r="E1272" s="971">
        <v>5140</v>
      </c>
      <c r="F1272" s="971" t="s">
        <v>176</v>
      </c>
      <c r="G1272" s="971">
        <v>5140</v>
      </c>
      <c r="H1272" s="971" t="s">
        <v>176</v>
      </c>
      <c r="I1272" s="1273"/>
      <c r="J1272" s="971" t="s">
        <v>2146</v>
      </c>
      <c r="K1272" s="971" t="s">
        <v>2127</v>
      </c>
      <c r="L1272" s="971" t="s">
        <v>2177</v>
      </c>
      <c r="M1272" s="971" t="s">
        <v>2127</v>
      </c>
      <c r="N1272" s="971" t="s">
        <v>176</v>
      </c>
      <c r="O1272" s="971" t="s">
        <v>2177</v>
      </c>
      <c r="P1272" s="971"/>
      <c r="Q1272" s="971" t="s">
        <v>2193</v>
      </c>
      <c r="R1272" s="1266"/>
      <c r="S1272" s="2106">
        <v>1</v>
      </c>
      <c r="T1272" s="1266" t="s">
        <v>242</v>
      </c>
      <c r="U1272" s="1742">
        <v>10</v>
      </c>
      <c r="V1272" s="1742">
        <v>37.5</v>
      </c>
      <c r="W1272" s="1742">
        <v>881.4</v>
      </c>
      <c r="X1272" s="1742">
        <v>413.61</v>
      </c>
      <c r="Y1272" s="2106">
        <v>1332.51</v>
      </c>
      <c r="Z1272" s="2106">
        <v>10</v>
      </c>
      <c r="AA1272" s="2106">
        <v>37.5</v>
      </c>
      <c r="AB1272" s="2106">
        <v>881.4</v>
      </c>
      <c r="AC1272" s="2106">
        <v>413.61</v>
      </c>
      <c r="AD1272" s="1744">
        <v>1332.51</v>
      </c>
      <c r="AE1272" s="2126">
        <v>24</v>
      </c>
      <c r="AF1272" s="2126">
        <v>24</v>
      </c>
      <c r="AG1272" s="1212">
        <v>1</v>
      </c>
      <c r="AH1272" s="1212">
        <v>0</v>
      </c>
      <c r="AI1272" s="1212">
        <v>0</v>
      </c>
      <c r="AJ1272" s="1212">
        <v>1</v>
      </c>
      <c r="AK1272" s="2126">
        <v>1332.51</v>
      </c>
      <c r="AL1272" s="2126">
        <v>0</v>
      </c>
      <c r="AM1272" s="2126">
        <v>0</v>
      </c>
      <c r="AN1272" s="2126">
        <v>1332.51</v>
      </c>
      <c r="AO1272" s="1743" t="s">
        <v>85</v>
      </c>
      <c r="AP1272" s="1743" t="s">
        <v>90</v>
      </c>
      <c r="AQ1272" s="1764" t="s">
        <v>2141</v>
      </c>
      <c r="AR1272" s="1743" t="s">
        <v>87</v>
      </c>
      <c r="AS1272" s="2135"/>
      <c r="AT1272" s="2135"/>
      <c r="AU1272" s="1212">
        <v>1</v>
      </c>
      <c r="AV1272" s="1212"/>
      <c r="AW1272" s="1212"/>
      <c r="AX1272" s="1212"/>
      <c r="AY1272" s="1212"/>
      <c r="AZ1272" s="1212"/>
      <c r="BA1272" s="1212"/>
      <c r="BB1272" s="1212"/>
      <c r="BC1272" s="1212"/>
      <c r="BD1272" s="1212"/>
      <c r="BE1272" s="1212"/>
      <c r="BF1272" s="2126">
        <v>0</v>
      </c>
      <c r="BG1272" s="2126">
        <v>0</v>
      </c>
      <c r="BH1272" s="2126">
        <v>1332.51</v>
      </c>
      <c r="BI1272" s="2126">
        <v>0</v>
      </c>
      <c r="BJ1272" s="2126">
        <v>0</v>
      </c>
      <c r="BK1272" s="2126">
        <v>0</v>
      </c>
      <c r="BL1272" s="2126">
        <v>0</v>
      </c>
      <c r="BM1272" s="2126">
        <v>0</v>
      </c>
      <c r="BN1272" s="2126">
        <v>0</v>
      </c>
      <c r="BO1272" s="2126">
        <v>0</v>
      </c>
      <c r="BP1272" s="2126">
        <v>0</v>
      </c>
      <c r="BQ1272" s="2126">
        <v>0</v>
      </c>
      <c r="BR1272" s="2126">
        <v>0</v>
      </c>
    </row>
    <row r="1273" spans="1:70" s="1765" customFormat="1" ht="33">
      <c r="A1273" s="1272">
        <v>5000</v>
      </c>
      <c r="B1273" s="971" t="s">
        <v>2119</v>
      </c>
      <c r="C1273" s="1272">
        <v>5100</v>
      </c>
      <c r="D1273" s="971" t="s">
        <v>78</v>
      </c>
      <c r="E1273" s="971">
        <v>5140</v>
      </c>
      <c r="F1273" s="971" t="s">
        <v>176</v>
      </c>
      <c r="G1273" s="971">
        <v>5140</v>
      </c>
      <c r="H1273" s="971" t="s">
        <v>176</v>
      </c>
      <c r="I1273" s="1273"/>
      <c r="J1273" s="971" t="s">
        <v>2146</v>
      </c>
      <c r="K1273" s="971" t="s">
        <v>2127</v>
      </c>
      <c r="L1273" s="971" t="s">
        <v>2177</v>
      </c>
      <c r="M1273" s="971" t="s">
        <v>2127</v>
      </c>
      <c r="N1273" s="971" t="s">
        <v>176</v>
      </c>
      <c r="O1273" s="971" t="s">
        <v>2177</v>
      </c>
      <c r="P1273" s="971"/>
      <c r="Q1273" s="971" t="s">
        <v>2194</v>
      </c>
      <c r="R1273" s="1266"/>
      <c r="S1273" s="2106">
        <v>1</v>
      </c>
      <c r="T1273" s="1266" t="s">
        <v>242</v>
      </c>
      <c r="U1273" s="1742">
        <v>10</v>
      </c>
      <c r="V1273" s="1742">
        <v>37.5</v>
      </c>
      <c r="W1273" s="1742">
        <v>881.4</v>
      </c>
      <c r="X1273" s="1742">
        <v>413.61</v>
      </c>
      <c r="Y1273" s="2106">
        <v>1332.51</v>
      </c>
      <c r="Z1273" s="2106">
        <v>10</v>
      </c>
      <c r="AA1273" s="2106">
        <v>37.5</v>
      </c>
      <c r="AB1273" s="2106">
        <v>881.4</v>
      </c>
      <c r="AC1273" s="2106">
        <v>413.61</v>
      </c>
      <c r="AD1273" s="1744">
        <v>1332.51</v>
      </c>
      <c r="AE1273" s="2126">
        <v>24</v>
      </c>
      <c r="AF1273" s="2126">
        <v>24</v>
      </c>
      <c r="AG1273" s="1212">
        <v>1</v>
      </c>
      <c r="AH1273" s="1212">
        <v>0</v>
      </c>
      <c r="AI1273" s="1212">
        <v>0</v>
      </c>
      <c r="AJ1273" s="1212">
        <v>1</v>
      </c>
      <c r="AK1273" s="2126">
        <v>1332.51</v>
      </c>
      <c r="AL1273" s="2126">
        <v>0</v>
      </c>
      <c r="AM1273" s="2126">
        <v>0</v>
      </c>
      <c r="AN1273" s="2126">
        <v>1332.51</v>
      </c>
      <c r="AO1273" s="1743" t="s">
        <v>85</v>
      </c>
      <c r="AP1273" s="1743" t="s">
        <v>90</v>
      </c>
      <c r="AQ1273" s="1764" t="s">
        <v>2141</v>
      </c>
      <c r="AR1273" s="1743" t="s">
        <v>87</v>
      </c>
      <c r="AS1273" s="2135"/>
      <c r="AT1273" s="2135"/>
      <c r="AU1273" s="1212">
        <v>1</v>
      </c>
      <c r="AV1273" s="1212"/>
      <c r="AW1273" s="1212"/>
      <c r="AX1273" s="1212"/>
      <c r="AY1273" s="1212"/>
      <c r="AZ1273" s="1212"/>
      <c r="BA1273" s="1212"/>
      <c r="BB1273" s="1212"/>
      <c r="BC1273" s="1212"/>
      <c r="BD1273" s="1212"/>
      <c r="BE1273" s="1212"/>
      <c r="BF1273" s="2126">
        <v>0</v>
      </c>
      <c r="BG1273" s="2126">
        <v>0</v>
      </c>
      <c r="BH1273" s="2126">
        <v>1332.51</v>
      </c>
      <c r="BI1273" s="2126">
        <v>0</v>
      </c>
      <c r="BJ1273" s="2126">
        <v>0</v>
      </c>
      <c r="BK1273" s="2126">
        <v>0</v>
      </c>
      <c r="BL1273" s="2126">
        <v>0</v>
      </c>
      <c r="BM1273" s="2126">
        <v>0</v>
      </c>
      <c r="BN1273" s="2126">
        <v>0</v>
      </c>
      <c r="BO1273" s="2126">
        <v>0</v>
      </c>
      <c r="BP1273" s="2126">
        <v>0</v>
      </c>
      <c r="BQ1273" s="2126">
        <v>0</v>
      </c>
      <c r="BR1273" s="2126">
        <v>0</v>
      </c>
    </row>
    <row r="1274" spans="1:70" s="1765" customFormat="1" ht="33">
      <c r="A1274" s="1272">
        <v>5000</v>
      </c>
      <c r="B1274" s="971" t="s">
        <v>2119</v>
      </c>
      <c r="C1274" s="1272">
        <v>5100</v>
      </c>
      <c r="D1274" s="971" t="s">
        <v>78</v>
      </c>
      <c r="E1274" s="971">
        <v>5140</v>
      </c>
      <c r="F1274" s="971" t="s">
        <v>176</v>
      </c>
      <c r="G1274" s="971">
        <v>5140</v>
      </c>
      <c r="H1274" s="971" t="s">
        <v>176</v>
      </c>
      <c r="I1274" s="1273"/>
      <c r="J1274" s="971" t="s">
        <v>2146</v>
      </c>
      <c r="K1274" s="971" t="s">
        <v>2127</v>
      </c>
      <c r="L1274" s="971" t="s">
        <v>2177</v>
      </c>
      <c r="M1274" s="971" t="s">
        <v>2127</v>
      </c>
      <c r="N1274" s="971" t="s">
        <v>176</v>
      </c>
      <c r="O1274" s="971" t="s">
        <v>2177</v>
      </c>
      <c r="P1274" s="971"/>
      <c r="Q1274" s="971" t="s">
        <v>2194</v>
      </c>
      <c r="R1274" s="1266"/>
      <c r="S1274" s="2106">
        <v>1</v>
      </c>
      <c r="T1274" s="1266" t="s">
        <v>242</v>
      </c>
      <c r="U1274" s="1742">
        <v>10</v>
      </c>
      <c r="V1274" s="1742">
        <v>37.5</v>
      </c>
      <c r="W1274" s="1742">
        <v>881.4</v>
      </c>
      <c r="X1274" s="1742">
        <v>413.61</v>
      </c>
      <c r="Y1274" s="2106">
        <v>1332.51</v>
      </c>
      <c r="Z1274" s="2106">
        <v>10</v>
      </c>
      <c r="AA1274" s="2106">
        <v>37.5</v>
      </c>
      <c r="AB1274" s="2106">
        <v>881.4</v>
      </c>
      <c r="AC1274" s="2106">
        <v>413.61</v>
      </c>
      <c r="AD1274" s="1744">
        <v>1332.51</v>
      </c>
      <c r="AE1274" s="2126">
        <v>24</v>
      </c>
      <c r="AF1274" s="2126">
        <v>24</v>
      </c>
      <c r="AG1274" s="1212">
        <v>1</v>
      </c>
      <c r="AH1274" s="1212">
        <v>0</v>
      </c>
      <c r="AI1274" s="1212">
        <v>0</v>
      </c>
      <c r="AJ1274" s="1212">
        <v>1</v>
      </c>
      <c r="AK1274" s="2126">
        <v>1332.51</v>
      </c>
      <c r="AL1274" s="2126">
        <v>0</v>
      </c>
      <c r="AM1274" s="2126">
        <v>0</v>
      </c>
      <c r="AN1274" s="2126">
        <v>1332.51</v>
      </c>
      <c r="AO1274" s="1743" t="s">
        <v>85</v>
      </c>
      <c r="AP1274" s="1743" t="s">
        <v>90</v>
      </c>
      <c r="AQ1274" s="1764">
        <v>2020</v>
      </c>
      <c r="AR1274" s="1743" t="s">
        <v>87</v>
      </c>
      <c r="AS1274" s="2135"/>
      <c r="AT1274" s="2135"/>
      <c r="AU1274" s="1212">
        <v>1</v>
      </c>
      <c r="AV1274" s="1212"/>
      <c r="AW1274" s="1212"/>
      <c r="AX1274" s="1212"/>
      <c r="AY1274" s="1212"/>
      <c r="AZ1274" s="1212"/>
      <c r="BA1274" s="1212"/>
      <c r="BB1274" s="1212"/>
      <c r="BC1274" s="1212"/>
      <c r="BD1274" s="1212"/>
      <c r="BE1274" s="1212"/>
      <c r="BF1274" s="2126">
        <v>0</v>
      </c>
      <c r="BG1274" s="2126">
        <v>0</v>
      </c>
      <c r="BH1274" s="2126">
        <v>1332.51</v>
      </c>
      <c r="BI1274" s="2126">
        <v>0</v>
      </c>
      <c r="BJ1274" s="2126">
        <v>0</v>
      </c>
      <c r="BK1274" s="2126">
        <v>0</v>
      </c>
      <c r="BL1274" s="2126">
        <v>0</v>
      </c>
      <c r="BM1274" s="2126">
        <v>0</v>
      </c>
      <c r="BN1274" s="2126">
        <v>0</v>
      </c>
      <c r="BO1274" s="2126">
        <v>0</v>
      </c>
      <c r="BP1274" s="2126">
        <v>0</v>
      </c>
      <c r="BQ1274" s="2126">
        <v>0</v>
      </c>
      <c r="BR1274" s="2126">
        <v>0</v>
      </c>
    </row>
    <row r="1275" spans="1:70" s="1765" customFormat="1" ht="33">
      <c r="A1275" s="1272">
        <v>5000</v>
      </c>
      <c r="B1275" s="971" t="s">
        <v>2119</v>
      </c>
      <c r="C1275" s="1272">
        <v>5100</v>
      </c>
      <c r="D1275" s="971" t="s">
        <v>78</v>
      </c>
      <c r="E1275" s="971">
        <v>5140</v>
      </c>
      <c r="F1275" s="971" t="s">
        <v>176</v>
      </c>
      <c r="G1275" s="971">
        <v>5140</v>
      </c>
      <c r="H1275" s="971" t="s">
        <v>176</v>
      </c>
      <c r="I1275" s="1273"/>
      <c r="J1275" s="971" t="s">
        <v>2146</v>
      </c>
      <c r="K1275" s="971" t="s">
        <v>2127</v>
      </c>
      <c r="L1275" s="971" t="s">
        <v>2177</v>
      </c>
      <c r="M1275" s="971" t="s">
        <v>2127</v>
      </c>
      <c r="N1275" s="971" t="s">
        <v>176</v>
      </c>
      <c r="O1275" s="971" t="s">
        <v>2177</v>
      </c>
      <c r="P1275" s="971"/>
      <c r="Q1275" s="971" t="s">
        <v>2195</v>
      </c>
      <c r="R1275" s="1266" t="s">
        <v>2196</v>
      </c>
      <c r="S1275" s="2106">
        <v>-1</v>
      </c>
      <c r="T1275" s="1266" t="s">
        <v>242</v>
      </c>
      <c r="U1275" s="1742">
        <v>10</v>
      </c>
      <c r="V1275" s="1742">
        <v>37.5</v>
      </c>
      <c r="W1275" s="1742">
        <v>881.4</v>
      </c>
      <c r="X1275" s="1742">
        <v>413.61</v>
      </c>
      <c r="Y1275" s="2106">
        <v>1332.51</v>
      </c>
      <c r="Z1275" s="2106">
        <v>-10</v>
      </c>
      <c r="AA1275" s="2106">
        <v>-37.5</v>
      </c>
      <c r="AB1275" s="2106">
        <v>-881.4</v>
      </c>
      <c r="AC1275" s="2106">
        <v>-413.61</v>
      </c>
      <c r="AD1275" s="1744">
        <v>-1332.51</v>
      </c>
      <c r="AE1275" s="2126">
        <v>24</v>
      </c>
      <c r="AF1275" s="2126">
        <v>-24</v>
      </c>
      <c r="AG1275" s="1212">
        <v>1</v>
      </c>
      <c r="AH1275" s="1212">
        <v>0</v>
      </c>
      <c r="AI1275" s="1212">
        <v>0</v>
      </c>
      <c r="AJ1275" s="1212">
        <v>1</v>
      </c>
      <c r="AK1275" s="2126">
        <v>-1332.51</v>
      </c>
      <c r="AL1275" s="2126">
        <v>0</v>
      </c>
      <c r="AM1275" s="2126">
        <v>0</v>
      </c>
      <c r="AN1275" s="2126">
        <v>-1332.51</v>
      </c>
      <c r="AO1275" s="1743" t="s">
        <v>85</v>
      </c>
      <c r="AP1275" s="1743" t="s">
        <v>96</v>
      </c>
      <c r="AQ1275" s="1764" t="s">
        <v>2141</v>
      </c>
      <c r="AR1275" s="1743" t="s">
        <v>87</v>
      </c>
      <c r="AS1275" s="2135"/>
      <c r="AT1275" s="2135"/>
      <c r="AU1275" s="1212">
        <v>1</v>
      </c>
      <c r="AV1275" s="1212"/>
      <c r="AW1275" s="1212"/>
      <c r="AX1275" s="1212"/>
      <c r="AY1275" s="1212"/>
      <c r="AZ1275" s="1212"/>
      <c r="BA1275" s="1212"/>
      <c r="BB1275" s="1212"/>
      <c r="BC1275" s="1212"/>
      <c r="BD1275" s="1212"/>
      <c r="BE1275" s="1212"/>
      <c r="BF1275" s="2126">
        <v>0</v>
      </c>
      <c r="BG1275" s="2126">
        <v>0</v>
      </c>
      <c r="BH1275" s="2126">
        <v>-1332.51</v>
      </c>
      <c r="BI1275" s="2126">
        <v>0</v>
      </c>
      <c r="BJ1275" s="2126">
        <v>0</v>
      </c>
      <c r="BK1275" s="2126">
        <v>0</v>
      </c>
      <c r="BL1275" s="2126">
        <v>0</v>
      </c>
      <c r="BM1275" s="2126">
        <v>0</v>
      </c>
      <c r="BN1275" s="2126">
        <v>0</v>
      </c>
      <c r="BO1275" s="2126">
        <v>0</v>
      </c>
      <c r="BP1275" s="2126">
        <v>0</v>
      </c>
      <c r="BQ1275" s="2126">
        <v>0</v>
      </c>
      <c r="BR1275" s="2126">
        <v>0</v>
      </c>
    </row>
    <row r="1276" spans="1:70" s="1765" customFormat="1" ht="33">
      <c r="A1276" s="1272">
        <v>5000</v>
      </c>
      <c r="B1276" s="971" t="s">
        <v>2119</v>
      </c>
      <c r="C1276" s="1272">
        <v>5100</v>
      </c>
      <c r="D1276" s="971" t="s">
        <v>78</v>
      </c>
      <c r="E1276" s="971">
        <v>5140</v>
      </c>
      <c r="F1276" s="971" t="s">
        <v>176</v>
      </c>
      <c r="G1276" s="971">
        <v>5140</v>
      </c>
      <c r="H1276" s="971" t="s">
        <v>176</v>
      </c>
      <c r="I1276" s="1273"/>
      <c r="J1276" s="971" t="s">
        <v>2146</v>
      </c>
      <c r="K1276" s="971" t="s">
        <v>2127</v>
      </c>
      <c r="L1276" s="971" t="s">
        <v>2177</v>
      </c>
      <c r="M1276" s="971" t="s">
        <v>2127</v>
      </c>
      <c r="N1276" s="971" t="s">
        <v>176</v>
      </c>
      <c r="O1276" s="971" t="s">
        <v>2177</v>
      </c>
      <c r="P1276" s="971"/>
      <c r="Q1276" s="971" t="s">
        <v>2197</v>
      </c>
      <c r="R1276" s="1266"/>
      <c r="S1276" s="2106">
        <v>-1</v>
      </c>
      <c r="T1276" s="1266" t="s">
        <v>242</v>
      </c>
      <c r="U1276" s="1742">
        <v>10</v>
      </c>
      <c r="V1276" s="1742">
        <v>37.5</v>
      </c>
      <c r="W1276" s="1742">
        <v>881.4</v>
      </c>
      <c r="X1276" s="1742">
        <v>413.61</v>
      </c>
      <c r="Y1276" s="2106">
        <v>1332.51</v>
      </c>
      <c r="Z1276" s="2106">
        <v>-10</v>
      </c>
      <c r="AA1276" s="2106">
        <v>-37.5</v>
      </c>
      <c r="AB1276" s="2106">
        <v>-881.4</v>
      </c>
      <c r="AC1276" s="2106">
        <v>-413.61</v>
      </c>
      <c r="AD1276" s="1744">
        <v>-1332.51</v>
      </c>
      <c r="AE1276" s="2126">
        <v>24</v>
      </c>
      <c r="AF1276" s="2126">
        <v>-24</v>
      </c>
      <c r="AG1276" s="1212">
        <v>1</v>
      </c>
      <c r="AH1276" s="1212">
        <v>0</v>
      </c>
      <c r="AI1276" s="1212">
        <v>0</v>
      </c>
      <c r="AJ1276" s="1212">
        <v>1</v>
      </c>
      <c r="AK1276" s="2126">
        <v>-1332.51</v>
      </c>
      <c r="AL1276" s="2126">
        <v>0</v>
      </c>
      <c r="AM1276" s="2126">
        <v>0</v>
      </c>
      <c r="AN1276" s="2126">
        <v>-1332.51</v>
      </c>
      <c r="AO1276" s="1743" t="s">
        <v>85</v>
      </c>
      <c r="AP1276" s="1743" t="s">
        <v>96</v>
      </c>
      <c r="AQ1276" s="1764" t="s">
        <v>2141</v>
      </c>
      <c r="AR1276" s="1743" t="s">
        <v>87</v>
      </c>
      <c r="AS1276" s="2135"/>
      <c r="AT1276" s="2135"/>
      <c r="AU1276" s="1212">
        <v>1</v>
      </c>
      <c r="AV1276" s="1212"/>
      <c r="AW1276" s="1212"/>
      <c r="AX1276" s="1212"/>
      <c r="AY1276" s="1212"/>
      <c r="AZ1276" s="1212"/>
      <c r="BA1276" s="1212"/>
      <c r="BB1276" s="1212"/>
      <c r="BC1276" s="1212"/>
      <c r="BD1276" s="1212"/>
      <c r="BE1276" s="1212"/>
      <c r="BF1276" s="2126">
        <v>0</v>
      </c>
      <c r="BG1276" s="2126">
        <v>0</v>
      </c>
      <c r="BH1276" s="2126">
        <v>-1332.51</v>
      </c>
      <c r="BI1276" s="2126">
        <v>0</v>
      </c>
      <c r="BJ1276" s="2126">
        <v>0</v>
      </c>
      <c r="BK1276" s="2126">
        <v>0</v>
      </c>
      <c r="BL1276" s="2126">
        <v>0</v>
      </c>
      <c r="BM1276" s="2126">
        <v>0</v>
      </c>
      <c r="BN1276" s="2126">
        <v>0</v>
      </c>
      <c r="BO1276" s="2126">
        <v>0</v>
      </c>
      <c r="BP1276" s="2126">
        <v>0</v>
      </c>
      <c r="BQ1276" s="2126">
        <v>0</v>
      </c>
      <c r="BR1276" s="2126">
        <v>0</v>
      </c>
    </row>
    <row r="1277" spans="1:70" s="1765" customFormat="1" ht="33">
      <c r="A1277" s="1272">
        <v>5000</v>
      </c>
      <c r="B1277" s="971" t="s">
        <v>2119</v>
      </c>
      <c r="C1277" s="1272">
        <v>5100</v>
      </c>
      <c r="D1277" s="971" t="s">
        <v>78</v>
      </c>
      <c r="E1277" s="971">
        <v>5140</v>
      </c>
      <c r="F1277" s="971" t="s">
        <v>176</v>
      </c>
      <c r="G1277" s="971">
        <v>5140</v>
      </c>
      <c r="H1277" s="971" t="s">
        <v>176</v>
      </c>
      <c r="I1277" s="1273"/>
      <c r="J1277" s="971" t="s">
        <v>2146</v>
      </c>
      <c r="K1277" s="971" t="s">
        <v>2127</v>
      </c>
      <c r="L1277" s="971" t="s">
        <v>2177</v>
      </c>
      <c r="M1277" s="971" t="s">
        <v>2127</v>
      </c>
      <c r="N1277" s="971" t="s">
        <v>176</v>
      </c>
      <c r="O1277" s="971" t="s">
        <v>2177</v>
      </c>
      <c r="P1277" s="971"/>
      <c r="Q1277" s="971" t="s">
        <v>2197</v>
      </c>
      <c r="R1277" s="1266" t="s">
        <v>2198</v>
      </c>
      <c r="S1277" s="2106">
        <v>1</v>
      </c>
      <c r="T1277" s="1266" t="s">
        <v>242</v>
      </c>
      <c r="U1277" s="1742">
        <v>10</v>
      </c>
      <c r="V1277" s="1742">
        <v>37.5</v>
      </c>
      <c r="W1277" s="1742">
        <v>881.4</v>
      </c>
      <c r="X1277" s="1742">
        <v>413.61</v>
      </c>
      <c r="Y1277" s="2106">
        <v>1332.51</v>
      </c>
      <c r="Z1277" s="2106">
        <v>10</v>
      </c>
      <c r="AA1277" s="2106">
        <v>37.5</v>
      </c>
      <c r="AB1277" s="2106">
        <v>881.4</v>
      </c>
      <c r="AC1277" s="2106">
        <v>413.61</v>
      </c>
      <c r="AD1277" s="1744">
        <v>1332.51</v>
      </c>
      <c r="AE1277" s="2126">
        <v>24</v>
      </c>
      <c r="AF1277" s="2126">
        <v>96</v>
      </c>
      <c r="AG1277" s="1212">
        <v>1</v>
      </c>
      <c r="AH1277" s="1212">
        <v>0</v>
      </c>
      <c r="AI1277" s="1212">
        <v>0</v>
      </c>
      <c r="AJ1277" s="1212">
        <v>1</v>
      </c>
      <c r="AK1277" s="2126">
        <v>1332.51</v>
      </c>
      <c r="AL1277" s="2126">
        <v>0</v>
      </c>
      <c r="AM1277" s="2126">
        <v>0</v>
      </c>
      <c r="AN1277" s="2126">
        <v>1332.51</v>
      </c>
      <c r="AO1277" s="1743" t="s">
        <v>85</v>
      </c>
      <c r="AP1277" s="1743" t="s">
        <v>90</v>
      </c>
      <c r="AQ1277" s="1764" t="s">
        <v>115</v>
      </c>
      <c r="AR1277" s="1743" t="s">
        <v>87</v>
      </c>
      <c r="AS1277" s="2135"/>
      <c r="AT1277" s="2135"/>
      <c r="AU1277" s="1212">
        <v>1</v>
      </c>
      <c r="AV1277" s="1212"/>
      <c r="AW1277" s="1212"/>
      <c r="AX1277" s="1212"/>
      <c r="AY1277" s="1212"/>
      <c r="AZ1277" s="1212"/>
      <c r="BA1277" s="1212"/>
      <c r="BB1277" s="1212"/>
      <c r="BC1277" s="1212"/>
      <c r="BD1277" s="1212"/>
      <c r="BE1277" s="1212"/>
      <c r="BF1277" s="2126">
        <v>0</v>
      </c>
      <c r="BG1277" s="2126">
        <v>0</v>
      </c>
      <c r="BH1277" s="2126">
        <v>1332.51</v>
      </c>
      <c r="BI1277" s="2126">
        <v>0</v>
      </c>
      <c r="BJ1277" s="2126">
        <v>0</v>
      </c>
      <c r="BK1277" s="2126">
        <v>0</v>
      </c>
      <c r="BL1277" s="2126">
        <v>0</v>
      </c>
      <c r="BM1277" s="2126">
        <v>0</v>
      </c>
      <c r="BN1277" s="2126">
        <v>0</v>
      </c>
      <c r="BO1277" s="2126">
        <v>0</v>
      </c>
      <c r="BP1277" s="2126">
        <v>0</v>
      </c>
      <c r="BQ1277" s="2126">
        <v>0</v>
      </c>
      <c r="BR1277" s="2126">
        <v>0</v>
      </c>
    </row>
    <row r="1278" spans="1:70" s="1765" customFormat="1" ht="33">
      <c r="A1278" s="1272">
        <v>5000</v>
      </c>
      <c r="B1278" s="971" t="s">
        <v>2119</v>
      </c>
      <c r="C1278" s="1272">
        <v>5100</v>
      </c>
      <c r="D1278" s="971" t="s">
        <v>78</v>
      </c>
      <c r="E1278" s="971">
        <v>5140</v>
      </c>
      <c r="F1278" s="971" t="s">
        <v>176</v>
      </c>
      <c r="G1278" s="971">
        <v>5140</v>
      </c>
      <c r="H1278" s="971" t="s">
        <v>176</v>
      </c>
      <c r="I1278" s="1273"/>
      <c r="J1278" s="971" t="s">
        <v>2146</v>
      </c>
      <c r="K1278" s="971" t="s">
        <v>2127</v>
      </c>
      <c r="L1278" s="971" t="s">
        <v>2177</v>
      </c>
      <c r="M1278" s="971" t="s">
        <v>2127</v>
      </c>
      <c r="N1278" s="971" t="s">
        <v>176</v>
      </c>
      <c r="O1278" s="971" t="s">
        <v>2177</v>
      </c>
      <c r="P1278" s="971"/>
      <c r="Q1278" s="971" t="s">
        <v>2195</v>
      </c>
      <c r="R1278" s="1266"/>
      <c r="S1278" s="2106">
        <v>1</v>
      </c>
      <c r="T1278" s="1266" t="s">
        <v>242</v>
      </c>
      <c r="U1278" s="1742">
        <v>10</v>
      </c>
      <c r="V1278" s="1742">
        <v>37.5</v>
      </c>
      <c r="W1278" s="1742">
        <v>881.4</v>
      </c>
      <c r="X1278" s="1742">
        <v>413.61</v>
      </c>
      <c r="Y1278" s="2106">
        <v>1332.51</v>
      </c>
      <c r="Z1278" s="2106">
        <v>10</v>
      </c>
      <c r="AA1278" s="2106">
        <v>37.5</v>
      </c>
      <c r="AB1278" s="2106">
        <v>881.4</v>
      </c>
      <c r="AC1278" s="2106">
        <v>413.61</v>
      </c>
      <c r="AD1278" s="1744">
        <v>1332.51</v>
      </c>
      <c r="AE1278" s="2126">
        <v>24</v>
      </c>
      <c r="AF1278" s="2126">
        <v>24</v>
      </c>
      <c r="AG1278" s="1212">
        <v>1</v>
      </c>
      <c r="AH1278" s="1212">
        <v>0</v>
      </c>
      <c r="AI1278" s="1212">
        <v>0</v>
      </c>
      <c r="AJ1278" s="1212">
        <v>1</v>
      </c>
      <c r="AK1278" s="2126">
        <v>1332.51</v>
      </c>
      <c r="AL1278" s="2126">
        <v>0</v>
      </c>
      <c r="AM1278" s="2126">
        <v>0</v>
      </c>
      <c r="AN1278" s="2126">
        <v>1332.51</v>
      </c>
      <c r="AO1278" s="1743" t="s">
        <v>85</v>
      </c>
      <c r="AP1278" s="1743" t="s">
        <v>90</v>
      </c>
      <c r="AQ1278" s="1764">
        <v>2020</v>
      </c>
      <c r="AR1278" s="1743" t="s">
        <v>87</v>
      </c>
      <c r="AS1278" s="2135"/>
      <c r="AT1278" s="2135"/>
      <c r="AU1278" s="1212">
        <v>1</v>
      </c>
      <c r="AV1278" s="1212"/>
      <c r="AW1278" s="1212"/>
      <c r="AX1278" s="1212"/>
      <c r="AY1278" s="1212"/>
      <c r="AZ1278" s="1212"/>
      <c r="BA1278" s="1212"/>
      <c r="BB1278" s="1212"/>
      <c r="BC1278" s="1212"/>
      <c r="BD1278" s="1212"/>
      <c r="BE1278" s="1212"/>
      <c r="BF1278" s="2126">
        <v>0</v>
      </c>
      <c r="BG1278" s="2126">
        <v>0</v>
      </c>
      <c r="BH1278" s="2126">
        <v>1332.51</v>
      </c>
      <c r="BI1278" s="2126">
        <v>0</v>
      </c>
      <c r="BJ1278" s="2126">
        <v>0</v>
      </c>
      <c r="BK1278" s="2126">
        <v>0</v>
      </c>
      <c r="BL1278" s="2126">
        <v>0</v>
      </c>
      <c r="BM1278" s="2126">
        <v>0</v>
      </c>
      <c r="BN1278" s="2126">
        <v>0</v>
      </c>
      <c r="BO1278" s="2126">
        <v>0</v>
      </c>
      <c r="BP1278" s="2126">
        <v>0</v>
      </c>
      <c r="BQ1278" s="2126">
        <v>0</v>
      </c>
      <c r="BR1278" s="2126">
        <v>0</v>
      </c>
    </row>
    <row r="1279" spans="1:70" s="1765" customFormat="1" ht="33">
      <c r="A1279" s="1272">
        <v>5000</v>
      </c>
      <c r="B1279" s="971" t="s">
        <v>2119</v>
      </c>
      <c r="C1279" s="1272">
        <v>5100</v>
      </c>
      <c r="D1279" s="971" t="s">
        <v>78</v>
      </c>
      <c r="E1279" s="971">
        <v>5140</v>
      </c>
      <c r="F1279" s="971" t="s">
        <v>176</v>
      </c>
      <c r="G1279" s="971">
        <v>5140</v>
      </c>
      <c r="H1279" s="971" t="s">
        <v>176</v>
      </c>
      <c r="I1279" s="1273"/>
      <c r="J1279" s="971" t="s">
        <v>2146</v>
      </c>
      <c r="K1279" s="971" t="s">
        <v>2127</v>
      </c>
      <c r="L1279" s="971" t="s">
        <v>2177</v>
      </c>
      <c r="M1279" s="971" t="s">
        <v>2127</v>
      </c>
      <c r="N1279" s="971" t="s">
        <v>176</v>
      </c>
      <c r="O1279" s="971" t="s">
        <v>2177</v>
      </c>
      <c r="P1279" s="971"/>
      <c r="Q1279" s="971" t="s">
        <v>2197</v>
      </c>
      <c r="R1279" s="1266"/>
      <c r="S1279" s="2106">
        <v>1</v>
      </c>
      <c r="T1279" s="1266" t="s">
        <v>242</v>
      </c>
      <c r="U1279" s="1742">
        <v>10</v>
      </c>
      <c r="V1279" s="1742">
        <v>37.5</v>
      </c>
      <c r="W1279" s="1742">
        <v>881.4</v>
      </c>
      <c r="X1279" s="1742">
        <v>413.61</v>
      </c>
      <c r="Y1279" s="2106">
        <v>1332.51</v>
      </c>
      <c r="Z1279" s="2106">
        <v>10</v>
      </c>
      <c r="AA1279" s="2106">
        <v>37.5</v>
      </c>
      <c r="AB1279" s="2106">
        <v>881.4</v>
      </c>
      <c r="AC1279" s="2106">
        <v>413.61</v>
      </c>
      <c r="AD1279" s="1744">
        <v>1332.51</v>
      </c>
      <c r="AE1279" s="2126">
        <v>24</v>
      </c>
      <c r="AF1279" s="2126">
        <v>24</v>
      </c>
      <c r="AG1279" s="1212">
        <v>1</v>
      </c>
      <c r="AH1279" s="1212">
        <v>0</v>
      </c>
      <c r="AI1279" s="1212">
        <v>0</v>
      </c>
      <c r="AJ1279" s="1212">
        <v>1</v>
      </c>
      <c r="AK1279" s="2126">
        <v>1332.51</v>
      </c>
      <c r="AL1279" s="2126">
        <v>0</v>
      </c>
      <c r="AM1279" s="2126">
        <v>0</v>
      </c>
      <c r="AN1279" s="2126">
        <v>1332.51</v>
      </c>
      <c r="AO1279" s="1743" t="s">
        <v>85</v>
      </c>
      <c r="AP1279" s="1743" t="s">
        <v>90</v>
      </c>
      <c r="AQ1279" s="1764">
        <v>2020</v>
      </c>
      <c r="AR1279" s="1743" t="s">
        <v>87</v>
      </c>
      <c r="AS1279" s="2135"/>
      <c r="AT1279" s="2135"/>
      <c r="AU1279" s="1212">
        <v>1</v>
      </c>
      <c r="AV1279" s="1212"/>
      <c r="AW1279" s="1212"/>
      <c r="AX1279" s="1212"/>
      <c r="AY1279" s="1212"/>
      <c r="AZ1279" s="1212"/>
      <c r="BA1279" s="1212"/>
      <c r="BB1279" s="1212"/>
      <c r="BC1279" s="1212"/>
      <c r="BD1279" s="1212"/>
      <c r="BE1279" s="1212"/>
      <c r="BF1279" s="2126">
        <v>0</v>
      </c>
      <c r="BG1279" s="2126">
        <v>0</v>
      </c>
      <c r="BH1279" s="2126">
        <v>1332.51</v>
      </c>
      <c r="BI1279" s="2126">
        <v>0</v>
      </c>
      <c r="BJ1279" s="2126">
        <v>0</v>
      </c>
      <c r="BK1279" s="2126">
        <v>0</v>
      </c>
      <c r="BL1279" s="2126">
        <v>0</v>
      </c>
      <c r="BM1279" s="2126">
        <v>0</v>
      </c>
      <c r="BN1279" s="2126">
        <v>0</v>
      </c>
      <c r="BO1279" s="2126">
        <v>0</v>
      </c>
      <c r="BP1279" s="2126">
        <v>0</v>
      </c>
      <c r="BQ1279" s="2126">
        <v>0</v>
      </c>
      <c r="BR1279" s="2126">
        <v>0</v>
      </c>
    </row>
    <row r="1280" spans="1:70" s="1765" customFormat="1" ht="33">
      <c r="A1280" s="1272">
        <v>5000</v>
      </c>
      <c r="B1280" s="971" t="s">
        <v>2119</v>
      </c>
      <c r="C1280" s="1272">
        <v>5100</v>
      </c>
      <c r="D1280" s="971" t="s">
        <v>78</v>
      </c>
      <c r="E1280" s="971">
        <v>5140</v>
      </c>
      <c r="F1280" s="971" t="s">
        <v>176</v>
      </c>
      <c r="G1280" s="971">
        <v>5140</v>
      </c>
      <c r="H1280" s="971" t="s">
        <v>176</v>
      </c>
      <c r="I1280" s="1273"/>
      <c r="J1280" s="971" t="s">
        <v>2146</v>
      </c>
      <c r="K1280" s="971" t="s">
        <v>2129</v>
      </c>
      <c r="L1280" s="971" t="s">
        <v>2130</v>
      </c>
      <c r="M1280" s="971" t="s">
        <v>2129</v>
      </c>
      <c r="N1280" s="971" t="s">
        <v>176</v>
      </c>
      <c r="O1280" s="971" t="s">
        <v>2130</v>
      </c>
      <c r="P1280" s="971"/>
      <c r="Q1280" s="971" t="s">
        <v>2199</v>
      </c>
      <c r="R1280" s="1266" t="s">
        <v>1422</v>
      </c>
      <c r="S1280" s="2106">
        <v>-1</v>
      </c>
      <c r="T1280" s="1266" t="s">
        <v>242</v>
      </c>
      <c r="U1280" s="1742">
        <v>6.666666666666667</v>
      </c>
      <c r="V1280" s="1742">
        <v>20.833333333333336</v>
      </c>
      <c r="W1280" s="1742">
        <v>587.6</v>
      </c>
      <c r="X1280" s="1742">
        <v>229.78333333333333</v>
      </c>
      <c r="Y1280" s="2106">
        <v>838.2166666666667</v>
      </c>
      <c r="Z1280" s="2106">
        <v>-6.666666666666667</v>
      </c>
      <c r="AA1280" s="2106">
        <v>-20.833333333333336</v>
      </c>
      <c r="AB1280" s="2106">
        <v>-587.6</v>
      </c>
      <c r="AC1280" s="2106">
        <v>-229.78333333333333</v>
      </c>
      <c r="AD1280" s="1744">
        <v>-838.2166666666667</v>
      </c>
      <c r="AE1280" s="2126">
        <v>4</v>
      </c>
      <c r="AF1280" s="2126">
        <v>4</v>
      </c>
      <c r="AG1280" s="1212">
        <v>1</v>
      </c>
      <c r="AH1280" s="1212">
        <v>0</v>
      </c>
      <c r="AI1280" s="1212">
        <v>0</v>
      </c>
      <c r="AJ1280" s="1212">
        <v>1</v>
      </c>
      <c r="AK1280" s="2126">
        <v>-838.2166666666667</v>
      </c>
      <c r="AL1280" s="2126">
        <v>0</v>
      </c>
      <c r="AM1280" s="2126">
        <v>0</v>
      </c>
      <c r="AN1280" s="2126">
        <v>-838.2166666666667</v>
      </c>
      <c r="AO1280" s="1743" t="s">
        <v>85</v>
      </c>
      <c r="AP1280" s="1743" t="s">
        <v>96</v>
      </c>
      <c r="AQ1280" s="1764" t="s">
        <v>97</v>
      </c>
      <c r="AR1280" s="1743" t="s">
        <v>87</v>
      </c>
      <c r="AS1280" s="2135"/>
      <c r="AT1280" s="2135"/>
      <c r="AU1280" s="1212">
        <v>1</v>
      </c>
      <c r="AV1280" s="1212"/>
      <c r="AW1280" s="1212"/>
      <c r="AX1280" s="1212"/>
      <c r="AY1280" s="1212"/>
      <c r="AZ1280" s="1212"/>
      <c r="BA1280" s="1212"/>
      <c r="BB1280" s="1212"/>
      <c r="BC1280" s="1212"/>
      <c r="BD1280" s="1212"/>
      <c r="BE1280" s="1212"/>
      <c r="BF1280" s="2126">
        <v>0</v>
      </c>
      <c r="BG1280" s="2126">
        <v>0</v>
      </c>
      <c r="BH1280" s="2126">
        <v>-838.2166666666667</v>
      </c>
      <c r="BI1280" s="2126">
        <v>0</v>
      </c>
      <c r="BJ1280" s="2126">
        <v>0</v>
      </c>
      <c r="BK1280" s="2126">
        <v>0</v>
      </c>
      <c r="BL1280" s="2126">
        <v>0</v>
      </c>
      <c r="BM1280" s="2126">
        <v>0</v>
      </c>
      <c r="BN1280" s="2126">
        <v>0</v>
      </c>
      <c r="BO1280" s="2126">
        <v>0</v>
      </c>
      <c r="BP1280" s="2126">
        <v>0</v>
      </c>
      <c r="BQ1280" s="2126">
        <v>0</v>
      </c>
      <c r="BR1280" s="2126">
        <v>0</v>
      </c>
    </row>
    <row r="1281" spans="1:70" s="1765" customFormat="1" ht="33">
      <c r="A1281" s="1272">
        <v>5000</v>
      </c>
      <c r="B1281" s="971" t="s">
        <v>2119</v>
      </c>
      <c r="C1281" s="1272">
        <v>5100</v>
      </c>
      <c r="D1281" s="971" t="s">
        <v>78</v>
      </c>
      <c r="E1281" s="971">
        <v>5140</v>
      </c>
      <c r="F1281" s="971" t="s">
        <v>176</v>
      </c>
      <c r="G1281" s="971">
        <v>5140</v>
      </c>
      <c r="H1281" s="971" t="s">
        <v>176</v>
      </c>
      <c r="I1281" s="1273"/>
      <c r="J1281" s="971" t="s">
        <v>2146</v>
      </c>
      <c r="K1281" s="971" t="s">
        <v>2129</v>
      </c>
      <c r="L1281" s="971" t="s">
        <v>2130</v>
      </c>
      <c r="M1281" s="971" t="s">
        <v>2129</v>
      </c>
      <c r="N1281" s="971" t="s">
        <v>176</v>
      </c>
      <c r="O1281" s="971" t="s">
        <v>2130</v>
      </c>
      <c r="P1281" s="971"/>
      <c r="Q1281" s="971" t="s">
        <v>2199</v>
      </c>
      <c r="R1281" s="1266" t="s">
        <v>1422</v>
      </c>
      <c r="S1281" s="2106">
        <v>1</v>
      </c>
      <c r="T1281" s="1266" t="s">
        <v>242</v>
      </c>
      <c r="U1281" s="1742">
        <v>6.666666666666667</v>
      </c>
      <c r="V1281" s="1742">
        <v>20.833333333333336</v>
      </c>
      <c r="W1281" s="1742">
        <v>587.6</v>
      </c>
      <c r="X1281" s="1742">
        <v>229.78333333333333</v>
      </c>
      <c r="Y1281" s="2106">
        <v>838.2166666666667</v>
      </c>
      <c r="Z1281" s="2106">
        <v>6.666666666666667</v>
      </c>
      <c r="AA1281" s="2106">
        <v>20.833333333333336</v>
      </c>
      <c r="AB1281" s="2106">
        <v>587.6</v>
      </c>
      <c r="AC1281" s="2106">
        <v>229.78333333333333</v>
      </c>
      <c r="AD1281" s="1744">
        <v>838.2166666666667</v>
      </c>
      <c r="AE1281" s="2126">
        <v>4</v>
      </c>
      <c r="AF1281" s="2126">
        <v>4</v>
      </c>
      <c r="AG1281" s="1212">
        <v>1</v>
      </c>
      <c r="AH1281" s="1212">
        <v>0</v>
      </c>
      <c r="AI1281" s="1212">
        <v>0</v>
      </c>
      <c r="AJ1281" s="1212">
        <v>1</v>
      </c>
      <c r="AK1281" s="2126">
        <v>838.2166666666667</v>
      </c>
      <c r="AL1281" s="2126">
        <v>0</v>
      </c>
      <c r="AM1281" s="2126">
        <v>0</v>
      </c>
      <c r="AN1281" s="2126">
        <v>838.2166666666667</v>
      </c>
      <c r="AO1281" s="1743" t="s">
        <v>85</v>
      </c>
      <c r="AP1281" s="1743" t="s">
        <v>90</v>
      </c>
      <c r="AQ1281" s="1764">
        <v>2021</v>
      </c>
      <c r="AR1281" s="1743" t="s">
        <v>87</v>
      </c>
      <c r="AS1281" s="2135"/>
      <c r="AT1281" s="2135"/>
      <c r="AU1281" s="1212">
        <v>1</v>
      </c>
      <c r="AV1281" s="1212"/>
      <c r="AW1281" s="1212"/>
      <c r="AX1281" s="1212"/>
      <c r="AY1281" s="1212"/>
      <c r="AZ1281" s="1212"/>
      <c r="BA1281" s="1212"/>
      <c r="BB1281" s="1212"/>
      <c r="BC1281" s="1212"/>
      <c r="BD1281" s="1212"/>
      <c r="BE1281" s="1212"/>
      <c r="BF1281" s="2126">
        <v>0</v>
      </c>
      <c r="BG1281" s="2126">
        <v>0</v>
      </c>
      <c r="BH1281" s="2126">
        <v>838.2166666666667</v>
      </c>
      <c r="BI1281" s="2126">
        <v>0</v>
      </c>
      <c r="BJ1281" s="2126">
        <v>0</v>
      </c>
      <c r="BK1281" s="2126">
        <v>0</v>
      </c>
      <c r="BL1281" s="2126">
        <v>0</v>
      </c>
      <c r="BM1281" s="2126">
        <v>0</v>
      </c>
      <c r="BN1281" s="2126">
        <v>0</v>
      </c>
      <c r="BO1281" s="2126">
        <v>0</v>
      </c>
      <c r="BP1281" s="2126">
        <v>0</v>
      </c>
      <c r="BQ1281" s="2126">
        <v>0</v>
      </c>
      <c r="BR1281" s="2126">
        <v>0</v>
      </c>
    </row>
    <row r="1282" spans="1:70" s="1765" customFormat="1" ht="33">
      <c r="A1282" s="1272">
        <v>5000</v>
      </c>
      <c r="B1282" s="971" t="s">
        <v>2119</v>
      </c>
      <c r="C1282" s="1272">
        <v>5100</v>
      </c>
      <c r="D1282" s="971" t="s">
        <v>78</v>
      </c>
      <c r="E1282" s="971">
        <v>5140</v>
      </c>
      <c r="F1282" s="971" t="s">
        <v>176</v>
      </c>
      <c r="G1282" s="971">
        <v>5140</v>
      </c>
      <c r="H1282" s="971" t="s">
        <v>176</v>
      </c>
      <c r="I1282" s="1273"/>
      <c r="J1282" s="971" t="s">
        <v>2146</v>
      </c>
      <c r="K1282" s="971" t="s">
        <v>2127</v>
      </c>
      <c r="L1282" s="971" t="s">
        <v>2177</v>
      </c>
      <c r="M1282" s="971" t="s">
        <v>2127</v>
      </c>
      <c r="N1282" s="971" t="s">
        <v>176</v>
      </c>
      <c r="O1282" s="971" t="s">
        <v>2177</v>
      </c>
      <c r="P1282" s="971"/>
      <c r="Q1282" s="971" t="s">
        <v>2200</v>
      </c>
      <c r="R1282" s="1266"/>
      <c r="S1282" s="2106">
        <v>3</v>
      </c>
      <c r="T1282" s="1266" t="s">
        <v>242</v>
      </c>
      <c r="U1282" s="1742">
        <v>10</v>
      </c>
      <c r="V1282" s="1742">
        <v>37.5</v>
      </c>
      <c r="W1282" s="1742">
        <v>881.4</v>
      </c>
      <c r="X1282" s="1742">
        <v>413.61</v>
      </c>
      <c r="Y1282" s="2106">
        <v>1332.51</v>
      </c>
      <c r="Z1282" s="2106">
        <v>30</v>
      </c>
      <c r="AA1282" s="2106">
        <v>112.5</v>
      </c>
      <c r="AB1282" s="2106">
        <v>2644.2</v>
      </c>
      <c r="AC1282" s="2106">
        <v>1240.83</v>
      </c>
      <c r="AD1282" s="1744">
        <v>3997.5299999999997</v>
      </c>
      <c r="AE1282" s="2126">
        <v>24</v>
      </c>
      <c r="AF1282" s="2126">
        <v>72</v>
      </c>
      <c r="AG1282" s="1212">
        <v>1</v>
      </c>
      <c r="AH1282" s="1212">
        <v>0</v>
      </c>
      <c r="AI1282" s="1212">
        <v>0</v>
      </c>
      <c r="AJ1282" s="1212">
        <v>1</v>
      </c>
      <c r="AK1282" s="2126">
        <v>3997.5299999999997</v>
      </c>
      <c r="AL1282" s="2126">
        <v>0</v>
      </c>
      <c r="AM1282" s="2126">
        <v>0</v>
      </c>
      <c r="AN1282" s="2126">
        <v>3997.5299999999997</v>
      </c>
      <c r="AO1282" s="1743" t="s">
        <v>85</v>
      </c>
      <c r="AP1282" s="1743" t="s">
        <v>90</v>
      </c>
      <c r="AQ1282" s="1764" t="s">
        <v>192</v>
      </c>
      <c r="AR1282" s="1743" t="s">
        <v>87</v>
      </c>
      <c r="AS1282" s="2135"/>
      <c r="AT1282" s="2135"/>
      <c r="AU1282" s="1212">
        <v>1</v>
      </c>
      <c r="AV1282" s="1212"/>
      <c r="AW1282" s="1212"/>
      <c r="AX1282" s="1212"/>
      <c r="AY1282" s="1212"/>
      <c r="AZ1282" s="1212"/>
      <c r="BA1282" s="1212"/>
      <c r="BB1282" s="1212"/>
      <c r="BC1282" s="1212"/>
      <c r="BD1282" s="1212"/>
      <c r="BE1282" s="1212"/>
      <c r="BF1282" s="2126">
        <v>0</v>
      </c>
      <c r="BG1282" s="2126">
        <v>0</v>
      </c>
      <c r="BH1282" s="2126">
        <v>3997.5299999999997</v>
      </c>
      <c r="BI1282" s="2126">
        <v>0</v>
      </c>
      <c r="BJ1282" s="2126">
        <v>0</v>
      </c>
      <c r="BK1282" s="2126">
        <v>0</v>
      </c>
      <c r="BL1282" s="2126">
        <v>0</v>
      </c>
      <c r="BM1282" s="2126">
        <v>0</v>
      </c>
      <c r="BN1282" s="2126">
        <v>0</v>
      </c>
      <c r="BO1282" s="2126">
        <v>0</v>
      </c>
      <c r="BP1282" s="2126">
        <v>0</v>
      </c>
      <c r="BQ1282" s="2126">
        <v>0</v>
      </c>
      <c r="BR1282" s="2126">
        <v>0</v>
      </c>
    </row>
    <row r="1283" spans="1:70" s="1765" customFormat="1" ht="33">
      <c r="A1283" s="1272">
        <v>5000</v>
      </c>
      <c r="B1283" s="971" t="s">
        <v>2119</v>
      </c>
      <c r="C1283" s="1272">
        <v>5100</v>
      </c>
      <c r="D1283" s="971" t="s">
        <v>78</v>
      </c>
      <c r="E1283" s="971">
        <v>5140</v>
      </c>
      <c r="F1283" s="971" t="s">
        <v>176</v>
      </c>
      <c r="G1283" s="971">
        <v>5140</v>
      </c>
      <c r="H1283" s="971" t="s">
        <v>176</v>
      </c>
      <c r="I1283" s="1273"/>
      <c r="J1283" s="971" t="s">
        <v>2146</v>
      </c>
      <c r="K1283" s="971" t="s">
        <v>2127</v>
      </c>
      <c r="L1283" s="971" t="s">
        <v>2177</v>
      </c>
      <c r="M1283" s="971" t="s">
        <v>2127</v>
      </c>
      <c r="N1283" s="971" t="s">
        <v>176</v>
      </c>
      <c r="O1283" s="971" t="s">
        <v>2177</v>
      </c>
      <c r="P1283" s="971"/>
      <c r="Q1283" s="971" t="s">
        <v>2201</v>
      </c>
      <c r="R1283" s="1266"/>
      <c r="S1283" s="2106">
        <v>1</v>
      </c>
      <c r="T1283" s="1266" t="s">
        <v>242</v>
      </c>
      <c r="U1283" s="1742">
        <v>10</v>
      </c>
      <c r="V1283" s="1742">
        <v>37.5</v>
      </c>
      <c r="W1283" s="1742">
        <v>881.4</v>
      </c>
      <c r="X1283" s="1742">
        <v>413.61</v>
      </c>
      <c r="Y1283" s="2106">
        <v>1332.51</v>
      </c>
      <c r="Z1283" s="2106">
        <v>10</v>
      </c>
      <c r="AA1283" s="2106">
        <v>37.5</v>
      </c>
      <c r="AB1283" s="2106">
        <v>881.4</v>
      </c>
      <c r="AC1283" s="2106">
        <v>413.61</v>
      </c>
      <c r="AD1283" s="1744">
        <v>1332.51</v>
      </c>
      <c r="AE1283" s="2126">
        <v>24</v>
      </c>
      <c r="AF1283" s="2126">
        <v>24</v>
      </c>
      <c r="AG1283" s="1212">
        <v>1</v>
      </c>
      <c r="AH1283" s="1212">
        <v>0</v>
      </c>
      <c r="AI1283" s="1212">
        <v>0</v>
      </c>
      <c r="AJ1283" s="1212">
        <v>1</v>
      </c>
      <c r="AK1283" s="2126">
        <v>1332.51</v>
      </c>
      <c r="AL1283" s="2126">
        <v>0</v>
      </c>
      <c r="AM1283" s="2126">
        <v>0</v>
      </c>
      <c r="AN1283" s="2126">
        <v>1332.51</v>
      </c>
      <c r="AO1283" s="1743" t="s">
        <v>85</v>
      </c>
      <c r="AP1283" s="1743" t="s">
        <v>90</v>
      </c>
      <c r="AQ1283" s="1764" t="s">
        <v>192</v>
      </c>
      <c r="AR1283" s="1743" t="s">
        <v>87</v>
      </c>
      <c r="AS1283" s="2135"/>
      <c r="AT1283" s="2135"/>
      <c r="AU1283" s="1212">
        <v>1</v>
      </c>
      <c r="AV1283" s="1212"/>
      <c r="AW1283" s="1212"/>
      <c r="AX1283" s="1212"/>
      <c r="AY1283" s="1212"/>
      <c r="AZ1283" s="1212"/>
      <c r="BA1283" s="1212"/>
      <c r="BB1283" s="1212"/>
      <c r="BC1283" s="1212"/>
      <c r="BD1283" s="1212"/>
      <c r="BE1283" s="1212"/>
      <c r="BF1283" s="2126">
        <v>0</v>
      </c>
      <c r="BG1283" s="2126">
        <v>0</v>
      </c>
      <c r="BH1283" s="2126">
        <v>1332.51</v>
      </c>
      <c r="BI1283" s="2126">
        <v>0</v>
      </c>
      <c r="BJ1283" s="2126">
        <v>0</v>
      </c>
      <c r="BK1283" s="2126">
        <v>0</v>
      </c>
      <c r="BL1283" s="2126">
        <v>0</v>
      </c>
      <c r="BM1283" s="2126">
        <v>0</v>
      </c>
      <c r="BN1283" s="2126">
        <v>0</v>
      </c>
      <c r="BO1283" s="2126">
        <v>0</v>
      </c>
      <c r="BP1283" s="2126">
        <v>0</v>
      </c>
      <c r="BQ1283" s="2126">
        <v>0</v>
      </c>
      <c r="BR1283" s="2126">
        <v>0</v>
      </c>
    </row>
    <row r="1284" spans="1:70" s="1765" customFormat="1" ht="33">
      <c r="A1284" s="1272">
        <v>5000</v>
      </c>
      <c r="B1284" s="971" t="s">
        <v>2119</v>
      </c>
      <c r="C1284" s="1272">
        <v>5100</v>
      </c>
      <c r="D1284" s="971" t="s">
        <v>78</v>
      </c>
      <c r="E1284" s="971">
        <v>5140</v>
      </c>
      <c r="F1284" s="971" t="s">
        <v>176</v>
      </c>
      <c r="G1284" s="971">
        <v>5140</v>
      </c>
      <c r="H1284" s="971" t="s">
        <v>176</v>
      </c>
      <c r="I1284" s="1273"/>
      <c r="J1284" s="971" t="s">
        <v>2146</v>
      </c>
      <c r="K1284" s="971" t="s">
        <v>2127</v>
      </c>
      <c r="L1284" s="971" t="s">
        <v>2177</v>
      </c>
      <c r="M1284" s="971" t="s">
        <v>2127</v>
      </c>
      <c r="N1284" s="971" t="s">
        <v>176</v>
      </c>
      <c r="O1284" s="971" t="s">
        <v>2177</v>
      </c>
      <c r="P1284" s="971"/>
      <c r="Q1284" s="971" t="s">
        <v>2202</v>
      </c>
      <c r="R1284" s="1266"/>
      <c r="S1284" s="2106">
        <v>1</v>
      </c>
      <c r="T1284" s="1266" t="s">
        <v>242</v>
      </c>
      <c r="U1284" s="1742">
        <v>10</v>
      </c>
      <c r="V1284" s="1742">
        <v>37.5</v>
      </c>
      <c r="W1284" s="1742">
        <v>881.4</v>
      </c>
      <c r="X1284" s="1742">
        <v>413.61</v>
      </c>
      <c r="Y1284" s="2106">
        <v>1332.51</v>
      </c>
      <c r="Z1284" s="2106">
        <v>10</v>
      </c>
      <c r="AA1284" s="2106">
        <v>37.5</v>
      </c>
      <c r="AB1284" s="2106">
        <v>881.4</v>
      </c>
      <c r="AC1284" s="2106">
        <v>413.61</v>
      </c>
      <c r="AD1284" s="1744">
        <v>1332.51</v>
      </c>
      <c r="AE1284" s="2126">
        <v>24</v>
      </c>
      <c r="AF1284" s="2126">
        <v>24</v>
      </c>
      <c r="AG1284" s="1212">
        <v>1</v>
      </c>
      <c r="AH1284" s="1212">
        <v>0</v>
      </c>
      <c r="AI1284" s="1212">
        <v>0</v>
      </c>
      <c r="AJ1284" s="1212">
        <v>1</v>
      </c>
      <c r="AK1284" s="2126">
        <v>1332.51</v>
      </c>
      <c r="AL1284" s="2126">
        <v>0</v>
      </c>
      <c r="AM1284" s="2126">
        <v>0</v>
      </c>
      <c r="AN1284" s="2126">
        <v>1332.51</v>
      </c>
      <c r="AO1284" s="1743" t="s">
        <v>85</v>
      </c>
      <c r="AP1284" s="1743" t="s">
        <v>90</v>
      </c>
      <c r="AQ1284" s="1764" t="s">
        <v>192</v>
      </c>
      <c r="AR1284" s="1743" t="s">
        <v>87</v>
      </c>
      <c r="AS1284" s="2135"/>
      <c r="AT1284" s="2135"/>
      <c r="AU1284" s="1212">
        <v>1</v>
      </c>
      <c r="AV1284" s="1212"/>
      <c r="AW1284" s="1212"/>
      <c r="AX1284" s="1212"/>
      <c r="AY1284" s="1212"/>
      <c r="AZ1284" s="1212"/>
      <c r="BA1284" s="1212"/>
      <c r="BB1284" s="1212"/>
      <c r="BC1284" s="1212"/>
      <c r="BD1284" s="1212"/>
      <c r="BE1284" s="1212"/>
      <c r="BF1284" s="2126">
        <v>0</v>
      </c>
      <c r="BG1284" s="2126">
        <v>0</v>
      </c>
      <c r="BH1284" s="2126">
        <v>1332.51</v>
      </c>
      <c r="BI1284" s="2126">
        <v>0</v>
      </c>
      <c r="BJ1284" s="2126">
        <v>0</v>
      </c>
      <c r="BK1284" s="2126">
        <v>0</v>
      </c>
      <c r="BL1284" s="2126">
        <v>0</v>
      </c>
      <c r="BM1284" s="2126">
        <v>0</v>
      </c>
      <c r="BN1284" s="2126">
        <v>0</v>
      </c>
      <c r="BO1284" s="2126">
        <v>0</v>
      </c>
      <c r="BP1284" s="2126">
        <v>0</v>
      </c>
      <c r="BQ1284" s="2126">
        <v>0</v>
      </c>
      <c r="BR1284" s="2126">
        <v>0</v>
      </c>
    </row>
    <row r="1285" spans="1:70" s="1765" customFormat="1" ht="33">
      <c r="A1285" s="1272">
        <v>5000</v>
      </c>
      <c r="B1285" s="971" t="s">
        <v>2119</v>
      </c>
      <c r="C1285" s="1272">
        <v>5100</v>
      </c>
      <c r="D1285" s="971" t="s">
        <v>78</v>
      </c>
      <c r="E1285" s="971">
        <v>5140</v>
      </c>
      <c r="F1285" s="971" t="s">
        <v>176</v>
      </c>
      <c r="G1285" s="971">
        <v>5140</v>
      </c>
      <c r="H1285" s="971" t="s">
        <v>176</v>
      </c>
      <c r="I1285" s="1273"/>
      <c r="J1285" s="971" t="s">
        <v>2146</v>
      </c>
      <c r="K1285" s="971" t="s">
        <v>2127</v>
      </c>
      <c r="L1285" s="971" t="s">
        <v>2177</v>
      </c>
      <c r="M1285" s="971" t="s">
        <v>2127</v>
      </c>
      <c r="N1285" s="971" t="s">
        <v>176</v>
      </c>
      <c r="O1285" s="971" t="s">
        <v>2177</v>
      </c>
      <c r="P1285" s="971"/>
      <c r="Q1285" s="971" t="s">
        <v>2203</v>
      </c>
      <c r="R1285" s="1266"/>
      <c r="S1285" s="2106">
        <v>-1</v>
      </c>
      <c r="T1285" s="1266" t="s">
        <v>242</v>
      </c>
      <c r="U1285" s="1742">
        <v>10</v>
      </c>
      <c r="V1285" s="1742">
        <v>37.5</v>
      </c>
      <c r="W1285" s="1742">
        <v>881.4</v>
      </c>
      <c r="X1285" s="1742">
        <v>413.61</v>
      </c>
      <c r="Y1285" s="2106">
        <v>1332.51</v>
      </c>
      <c r="Z1285" s="2106">
        <v>-10</v>
      </c>
      <c r="AA1285" s="2106">
        <v>-37.5</v>
      </c>
      <c r="AB1285" s="2106">
        <v>-881.4</v>
      </c>
      <c r="AC1285" s="2106">
        <v>-413.61</v>
      </c>
      <c r="AD1285" s="1744">
        <v>-1332.51</v>
      </c>
      <c r="AE1285" s="2126">
        <v>24</v>
      </c>
      <c r="AF1285" s="2126">
        <v>-24</v>
      </c>
      <c r="AG1285" s="1212">
        <v>1</v>
      </c>
      <c r="AH1285" s="1212">
        <v>0</v>
      </c>
      <c r="AI1285" s="1212">
        <v>0</v>
      </c>
      <c r="AJ1285" s="1212">
        <v>1</v>
      </c>
      <c r="AK1285" s="2126">
        <v>-1332.51</v>
      </c>
      <c r="AL1285" s="2126">
        <v>0</v>
      </c>
      <c r="AM1285" s="2126">
        <v>0</v>
      </c>
      <c r="AN1285" s="2126">
        <v>-1332.51</v>
      </c>
      <c r="AO1285" s="1743" t="s">
        <v>85</v>
      </c>
      <c r="AP1285" s="1743" t="s">
        <v>1430</v>
      </c>
      <c r="AQ1285" s="1764" t="s">
        <v>192</v>
      </c>
      <c r="AR1285" s="1743" t="s">
        <v>87</v>
      </c>
      <c r="AS1285" s="2135"/>
      <c r="AT1285" s="2135"/>
      <c r="AU1285" s="1212">
        <v>1</v>
      </c>
      <c r="AV1285" s="1212"/>
      <c r="AW1285" s="1212"/>
      <c r="AX1285" s="1212"/>
      <c r="AY1285" s="1212"/>
      <c r="AZ1285" s="1212"/>
      <c r="BA1285" s="1212"/>
      <c r="BB1285" s="1212"/>
      <c r="BC1285" s="1212"/>
      <c r="BD1285" s="1212"/>
      <c r="BE1285" s="1212"/>
      <c r="BF1285" s="2126">
        <v>0</v>
      </c>
      <c r="BG1285" s="2126">
        <v>0</v>
      </c>
      <c r="BH1285" s="2126">
        <v>-1332.51</v>
      </c>
      <c r="BI1285" s="2126">
        <v>0</v>
      </c>
      <c r="BJ1285" s="2126">
        <v>0</v>
      </c>
      <c r="BK1285" s="2126">
        <v>0</v>
      </c>
      <c r="BL1285" s="2126">
        <v>0</v>
      </c>
      <c r="BM1285" s="2126">
        <v>0</v>
      </c>
      <c r="BN1285" s="2126">
        <v>0</v>
      </c>
      <c r="BO1285" s="2126">
        <v>0</v>
      </c>
      <c r="BP1285" s="2126">
        <v>0</v>
      </c>
      <c r="BQ1285" s="2126">
        <v>0</v>
      </c>
      <c r="BR1285" s="2126">
        <v>0</v>
      </c>
    </row>
    <row r="1286" spans="1:70" s="1765" customFormat="1" ht="33">
      <c r="A1286" s="1272">
        <v>5000</v>
      </c>
      <c r="B1286" s="971" t="s">
        <v>2119</v>
      </c>
      <c r="C1286" s="1272">
        <v>5100</v>
      </c>
      <c r="D1286" s="971" t="s">
        <v>78</v>
      </c>
      <c r="E1286" s="971">
        <v>5140</v>
      </c>
      <c r="F1286" s="971" t="s">
        <v>176</v>
      </c>
      <c r="G1286" s="971">
        <v>5140</v>
      </c>
      <c r="H1286" s="971" t="s">
        <v>176</v>
      </c>
      <c r="I1286" s="1273"/>
      <c r="J1286" s="971" t="s">
        <v>2146</v>
      </c>
      <c r="K1286" s="971" t="s">
        <v>2129</v>
      </c>
      <c r="L1286" s="971" t="s">
        <v>2130</v>
      </c>
      <c r="M1286" s="971" t="s">
        <v>2129</v>
      </c>
      <c r="N1286" s="971" t="s">
        <v>176</v>
      </c>
      <c r="O1286" s="971" t="s">
        <v>2130</v>
      </c>
      <c r="P1286" s="971"/>
      <c r="Q1286" s="971" t="s">
        <v>2204</v>
      </c>
      <c r="R1286" s="1266" t="s">
        <v>1340</v>
      </c>
      <c r="S1286" s="2106">
        <v>1</v>
      </c>
      <c r="T1286" s="1266" t="s">
        <v>242</v>
      </c>
      <c r="U1286" s="1742">
        <v>6.666666666666667</v>
      </c>
      <c r="V1286" s="1742">
        <v>20.833333333333336</v>
      </c>
      <c r="W1286" s="1742">
        <v>587.6</v>
      </c>
      <c r="X1286" s="1742">
        <v>229.78333333333333</v>
      </c>
      <c r="Y1286" s="2106">
        <v>838.2166666666667</v>
      </c>
      <c r="Z1286" s="2106">
        <v>6.666666666666667</v>
      </c>
      <c r="AA1286" s="2106">
        <v>20.833333333333336</v>
      </c>
      <c r="AB1286" s="2106">
        <v>587.6</v>
      </c>
      <c r="AC1286" s="2106">
        <v>229.78333333333333</v>
      </c>
      <c r="AD1286" s="1744">
        <v>838.2166666666667</v>
      </c>
      <c r="AE1286" s="2126">
        <v>4</v>
      </c>
      <c r="AF1286" s="2126">
        <v>4</v>
      </c>
      <c r="AG1286" s="1212">
        <v>1</v>
      </c>
      <c r="AH1286" s="1212">
        <v>0</v>
      </c>
      <c r="AI1286" s="1212">
        <v>0</v>
      </c>
      <c r="AJ1286" s="1212">
        <v>1</v>
      </c>
      <c r="AK1286" s="2126">
        <v>838.2166666666667</v>
      </c>
      <c r="AL1286" s="2126">
        <v>0</v>
      </c>
      <c r="AM1286" s="2126">
        <v>0</v>
      </c>
      <c r="AN1286" s="2126">
        <v>838.2166666666667</v>
      </c>
      <c r="AO1286" s="1743" t="s">
        <v>85</v>
      </c>
      <c r="AP1286" s="1743" t="s">
        <v>90</v>
      </c>
      <c r="AQ1286" s="1764">
        <v>2021</v>
      </c>
      <c r="AR1286" s="1743" t="s">
        <v>87</v>
      </c>
      <c r="AS1286" s="2135"/>
      <c r="AT1286" s="2135"/>
      <c r="AU1286" s="1212">
        <v>1</v>
      </c>
      <c r="AV1286" s="1212"/>
      <c r="AW1286" s="1212"/>
      <c r="AX1286" s="1212"/>
      <c r="AY1286" s="1212"/>
      <c r="AZ1286" s="1212"/>
      <c r="BA1286" s="1212"/>
      <c r="BB1286" s="1212"/>
      <c r="BC1286" s="1212"/>
      <c r="BD1286" s="1212"/>
      <c r="BE1286" s="1212"/>
      <c r="BF1286" s="2126">
        <v>0</v>
      </c>
      <c r="BG1286" s="2126">
        <v>0</v>
      </c>
      <c r="BH1286" s="2126">
        <v>838.2166666666667</v>
      </c>
      <c r="BI1286" s="2126">
        <v>0</v>
      </c>
      <c r="BJ1286" s="2126">
        <v>0</v>
      </c>
      <c r="BK1286" s="2126">
        <v>0</v>
      </c>
      <c r="BL1286" s="2126">
        <v>0</v>
      </c>
      <c r="BM1286" s="2126">
        <v>0</v>
      </c>
      <c r="BN1286" s="2126">
        <v>0</v>
      </c>
      <c r="BO1286" s="2126">
        <v>0</v>
      </c>
      <c r="BP1286" s="2126">
        <v>0</v>
      </c>
      <c r="BQ1286" s="2126">
        <v>0</v>
      </c>
      <c r="BR1286" s="2126">
        <v>0</v>
      </c>
    </row>
    <row r="1287" spans="1:70" s="1765" customFormat="1" ht="33">
      <c r="A1287" s="1272">
        <v>5000</v>
      </c>
      <c r="B1287" s="971" t="s">
        <v>2119</v>
      </c>
      <c r="C1287" s="1272">
        <v>5100</v>
      </c>
      <c r="D1287" s="971" t="s">
        <v>78</v>
      </c>
      <c r="E1287" s="971">
        <v>5140</v>
      </c>
      <c r="F1287" s="971" t="s">
        <v>176</v>
      </c>
      <c r="G1287" s="971">
        <v>5140</v>
      </c>
      <c r="H1287" s="971" t="s">
        <v>176</v>
      </c>
      <c r="I1287" s="1273"/>
      <c r="J1287" s="971" t="s">
        <v>2146</v>
      </c>
      <c r="K1287" s="971" t="s">
        <v>2125</v>
      </c>
      <c r="L1287" s="971" t="s">
        <v>2126</v>
      </c>
      <c r="M1287" s="971" t="s">
        <v>2125</v>
      </c>
      <c r="N1287" s="971" t="s">
        <v>176</v>
      </c>
      <c r="O1287" s="971" t="s">
        <v>2126</v>
      </c>
      <c r="P1287" s="971"/>
      <c r="Q1287" s="971" t="s">
        <v>2205</v>
      </c>
      <c r="R1287" s="1266" t="s">
        <v>2206</v>
      </c>
      <c r="S1287" s="2106">
        <v>-1</v>
      </c>
      <c r="T1287" s="1266" t="s">
        <v>242</v>
      </c>
      <c r="U1287" s="1742">
        <v>13</v>
      </c>
      <c r="V1287" s="1742">
        <v>100</v>
      </c>
      <c r="W1287" s="1742">
        <v>1145.82</v>
      </c>
      <c r="X1287" s="1742">
        <v>1102.96</v>
      </c>
      <c r="Y1287" s="2106">
        <v>2348.7799999999997</v>
      </c>
      <c r="Z1287" s="2106">
        <v>-13</v>
      </c>
      <c r="AA1287" s="2106">
        <v>-100</v>
      </c>
      <c r="AB1287" s="2106">
        <v>-1145.82</v>
      </c>
      <c r="AC1287" s="2106">
        <v>-1102.96</v>
      </c>
      <c r="AD1287" s="1744">
        <v>-2348.7799999999997</v>
      </c>
      <c r="AE1287" s="2126">
        <v>96</v>
      </c>
      <c r="AF1287" s="2126">
        <v>96</v>
      </c>
      <c r="AG1287" s="1212">
        <v>1</v>
      </c>
      <c r="AH1287" s="1212">
        <v>0</v>
      </c>
      <c r="AI1287" s="1212">
        <v>0</v>
      </c>
      <c r="AJ1287" s="1212">
        <v>1</v>
      </c>
      <c r="AK1287" s="2126">
        <v>-2348.7799999999997</v>
      </c>
      <c r="AL1287" s="2126">
        <v>0</v>
      </c>
      <c r="AM1287" s="2126">
        <v>0</v>
      </c>
      <c r="AN1287" s="2126">
        <v>-2348.7799999999997</v>
      </c>
      <c r="AO1287" s="1743" t="s">
        <v>85</v>
      </c>
      <c r="AP1287" s="1743" t="s">
        <v>96</v>
      </c>
      <c r="AQ1287" s="1764" t="s">
        <v>97</v>
      </c>
      <c r="AR1287" s="1743" t="s">
        <v>87</v>
      </c>
      <c r="AS1287" s="2135"/>
      <c r="AT1287" s="2135"/>
      <c r="AU1287" s="1212">
        <v>1</v>
      </c>
      <c r="AV1287" s="1212"/>
      <c r="AW1287" s="1212"/>
      <c r="AX1287" s="1212"/>
      <c r="AY1287" s="1212"/>
      <c r="AZ1287" s="1212"/>
      <c r="BA1287" s="1212"/>
      <c r="BB1287" s="1212"/>
      <c r="BC1287" s="1212"/>
      <c r="BD1287" s="1212"/>
      <c r="BE1287" s="1212"/>
      <c r="BF1287" s="2126">
        <v>0</v>
      </c>
      <c r="BG1287" s="2126">
        <v>0</v>
      </c>
      <c r="BH1287" s="2126">
        <v>-2348.7799999999997</v>
      </c>
      <c r="BI1287" s="2126">
        <v>0</v>
      </c>
      <c r="BJ1287" s="2126">
        <v>0</v>
      </c>
      <c r="BK1287" s="2126">
        <v>0</v>
      </c>
      <c r="BL1287" s="2126">
        <v>0</v>
      </c>
      <c r="BM1287" s="2126">
        <v>0</v>
      </c>
      <c r="BN1287" s="2126">
        <v>0</v>
      </c>
      <c r="BO1287" s="2126">
        <v>0</v>
      </c>
      <c r="BP1287" s="2126">
        <v>0</v>
      </c>
      <c r="BQ1287" s="2126">
        <v>0</v>
      </c>
      <c r="BR1287" s="2126">
        <v>0</v>
      </c>
    </row>
    <row r="1288" spans="1:70" s="1765" customFormat="1" ht="33">
      <c r="A1288" s="1272">
        <v>5000</v>
      </c>
      <c r="B1288" s="971" t="s">
        <v>2119</v>
      </c>
      <c r="C1288" s="1272">
        <v>5100</v>
      </c>
      <c r="D1288" s="971" t="s">
        <v>78</v>
      </c>
      <c r="E1288" s="971">
        <v>5140</v>
      </c>
      <c r="F1288" s="971" t="s">
        <v>176</v>
      </c>
      <c r="G1288" s="971">
        <v>5140</v>
      </c>
      <c r="H1288" s="971" t="s">
        <v>176</v>
      </c>
      <c r="I1288" s="1273"/>
      <c r="J1288" s="971" t="s">
        <v>2146</v>
      </c>
      <c r="K1288" s="971" t="s">
        <v>2125</v>
      </c>
      <c r="L1288" s="971" t="s">
        <v>2126</v>
      </c>
      <c r="M1288" s="971" t="s">
        <v>2125</v>
      </c>
      <c r="N1288" s="971" t="s">
        <v>176</v>
      </c>
      <c r="O1288" s="971" t="s">
        <v>2126</v>
      </c>
      <c r="P1288" s="971"/>
      <c r="Q1288" s="971" t="s">
        <v>2205</v>
      </c>
      <c r="R1288" s="1266" t="s">
        <v>2206</v>
      </c>
      <c r="S1288" s="2106">
        <v>1</v>
      </c>
      <c r="T1288" s="1266" t="s">
        <v>242</v>
      </c>
      <c r="U1288" s="1742">
        <v>13</v>
      </c>
      <c r="V1288" s="1742">
        <v>100</v>
      </c>
      <c r="W1288" s="1742">
        <v>1145.82</v>
      </c>
      <c r="X1288" s="1742">
        <v>1102.96</v>
      </c>
      <c r="Y1288" s="2106">
        <v>2348.7799999999997</v>
      </c>
      <c r="Z1288" s="2106">
        <v>13</v>
      </c>
      <c r="AA1288" s="2106">
        <v>100</v>
      </c>
      <c r="AB1288" s="2106">
        <v>1145.82</v>
      </c>
      <c r="AC1288" s="2106">
        <v>1102.96</v>
      </c>
      <c r="AD1288" s="1744">
        <v>2348.7799999999997</v>
      </c>
      <c r="AE1288" s="2126">
        <v>96</v>
      </c>
      <c r="AF1288" s="2126">
        <v>96</v>
      </c>
      <c r="AG1288" s="1212">
        <v>1</v>
      </c>
      <c r="AH1288" s="1212">
        <v>0</v>
      </c>
      <c r="AI1288" s="1212">
        <v>0</v>
      </c>
      <c r="AJ1288" s="1212">
        <v>1</v>
      </c>
      <c r="AK1288" s="2126">
        <v>2348.7799999999997</v>
      </c>
      <c r="AL1288" s="2126">
        <v>0</v>
      </c>
      <c r="AM1288" s="2126">
        <v>0</v>
      </c>
      <c r="AN1288" s="2126">
        <v>2348.7799999999997</v>
      </c>
      <c r="AO1288" s="1743" t="s">
        <v>85</v>
      </c>
      <c r="AP1288" s="1743" t="s">
        <v>90</v>
      </c>
      <c r="AQ1288" s="1764">
        <v>2021</v>
      </c>
      <c r="AR1288" s="1743" t="s">
        <v>87</v>
      </c>
      <c r="AS1288" s="2135"/>
      <c r="AT1288" s="2135"/>
      <c r="AU1288" s="1212">
        <v>1</v>
      </c>
      <c r="AV1288" s="1212"/>
      <c r="AW1288" s="1212"/>
      <c r="AX1288" s="1212"/>
      <c r="AY1288" s="1212"/>
      <c r="AZ1288" s="1212"/>
      <c r="BA1288" s="1212"/>
      <c r="BB1288" s="1212"/>
      <c r="BC1288" s="1212"/>
      <c r="BD1288" s="1212"/>
      <c r="BE1288" s="1212"/>
      <c r="BF1288" s="2126">
        <v>0</v>
      </c>
      <c r="BG1288" s="2126">
        <v>0</v>
      </c>
      <c r="BH1288" s="2126">
        <v>2348.7799999999997</v>
      </c>
      <c r="BI1288" s="2126">
        <v>0</v>
      </c>
      <c r="BJ1288" s="2126">
        <v>0</v>
      </c>
      <c r="BK1288" s="2126">
        <v>0</v>
      </c>
      <c r="BL1288" s="2126">
        <v>0</v>
      </c>
      <c r="BM1288" s="2126">
        <v>0</v>
      </c>
      <c r="BN1288" s="2126">
        <v>0</v>
      </c>
      <c r="BO1288" s="2126">
        <v>0</v>
      </c>
      <c r="BP1288" s="2126">
        <v>0</v>
      </c>
      <c r="BQ1288" s="2126">
        <v>0</v>
      </c>
      <c r="BR1288" s="2126">
        <v>0</v>
      </c>
    </row>
    <row r="1289" spans="1:70" s="1765" customFormat="1" ht="33">
      <c r="A1289" s="1272">
        <v>5000</v>
      </c>
      <c r="B1289" s="971" t="s">
        <v>2119</v>
      </c>
      <c r="C1289" s="1272">
        <v>5100</v>
      </c>
      <c r="D1289" s="971" t="s">
        <v>78</v>
      </c>
      <c r="E1289" s="971">
        <v>5140</v>
      </c>
      <c r="F1289" s="971" t="s">
        <v>176</v>
      </c>
      <c r="G1289" s="971">
        <v>5140</v>
      </c>
      <c r="H1289" s="971" t="s">
        <v>176</v>
      </c>
      <c r="I1289" s="1273"/>
      <c r="J1289" s="971" t="s">
        <v>2146</v>
      </c>
      <c r="K1289" s="971" t="s">
        <v>2125</v>
      </c>
      <c r="L1289" s="971" t="s">
        <v>2126</v>
      </c>
      <c r="M1289" s="971" t="s">
        <v>2125</v>
      </c>
      <c r="N1289" s="971" t="s">
        <v>176</v>
      </c>
      <c r="O1289" s="971" t="s">
        <v>2126</v>
      </c>
      <c r="P1289" s="971"/>
      <c r="Q1289" s="971" t="s">
        <v>2207</v>
      </c>
      <c r="R1289" s="1266" t="s">
        <v>1803</v>
      </c>
      <c r="S1289" s="2106">
        <v>-1</v>
      </c>
      <c r="T1289" s="1266" t="s">
        <v>242</v>
      </c>
      <c r="U1289" s="1742">
        <v>13</v>
      </c>
      <c r="V1289" s="1742">
        <v>100</v>
      </c>
      <c r="W1289" s="1742">
        <v>1145.82</v>
      </c>
      <c r="X1289" s="1742">
        <v>1102.96</v>
      </c>
      <c r="Y1289" s="2106">
        <v>2348.7799999999997</v>
      </c>
      <c r="Z1289" s="2106">
        <v>-13</v>
      </c>
      <c r="AA1289" s="2106">
        <v>-100</v>
      </c>
      <c r="AB1289" s="2106">
        <v>-1145.82</v>
      </c>
      <c r="AC1289" s="2106">
        <v>-1102.96</v>
      </c>
      <c r="AD1289" s="1744">
        <v>-2348.7799999999997</v>
      </c>
      <c r="AE1289" s="2126">
        <v>96</v>
      </c>
      <c r="AF1289" s="2126">
        <v>96</v>
      </c>
      <c r="AG1289" s="1212">
        <v>1</v>
      </c>
      <c r="AH1289" s="1212">
        <v>0</v>
      </c>
      <c r="AI1289" s="1212">
        <v>0</v>
      </c>
      <c r="AJ1289" s="1212">
        <v>1</v>
      </c>
      <c r="AK1289" s="2126">
        <v>-2348.7799999999997</v>
      </c>
      <c r="AL1289" s="2126">
        <v>0</v>
      </c>
      <c r="AM1289" s="2126">
        <v>0</v>
      </c>
      <c r="AN1289" s="2126">
        <v>-2348.7799999999997</v>
      </c>
      <c r="AO1289" s="1743" t="s">
        <v>85</v>
      </c>
      <c r="AP1289" s="1743" t="s">
        <v>96</v>
      </c>
      <c r="AQ1289" s="1764" t="s">
        <v>97</v>
      </c>
      <c r="AR1289" s="1743" t="s">
        <v>87</v>
      </c>
      <c r="AS1289" s="2135"/>
      <c r="AT1289" s="2135"/>
      <c r="AU1289" s="1212">
        <v>1</v>
      </c>
      <c r="AV1289" s="1212"/>
      <c r="AW1289" s="1212"/>
      <c r="AX1289" s="1212"/>
      <c r="AY1289" s="1212"/>
      <c r="AZ1289" s="1212"/>
      <c r="BA1289" s="1212"/>
      <c r="BB1289" s="1212"/>
      <c r="BC1289" s="1212"/>
      <c r="BD1289" s="1212"/>
      <c r="BE1289" s="1212"/>
      <c r="BF1289" s="2126">
        <v>0</v>
      </c>
      <c r="BG1289" s="2126">
        <v>0</v>
      </c>
      <c r="BH1289" s="2126">
        <v>-2348.7799999999997</v>
      </c>
      <c r="BI1289" s="2126">
        <v>0</v>
      </c>
      <c r="BJ1289" s="2126">
        <v>0</v>
      </c>
      <c r="BK1289" s="2126">
        <v>0</v>
      </c>
      <c r="BL1289" s="2126">
        <v>0</v>
      </c>
      <c r="BM1289" s="2126">
        <v>0</v>
      </c>
      <c r="BN1289" s="2126">
        <v>0</v>
      </c>
      <c r="BO1289" s="2126">
        <v>0</v>
      </c>
      <c r="BP1289" s="2126">
        <v>0</v>
      </c>
      <c r="BQ1289" s="2126">
        <v>0</v>
      </c>
      <c r="BR1289" s="2126">
        <v>0</v>
      </c>
    </row>
    <row r="1290" spans="1:70" s="1765" customFormat="1" ht="33">
      <c r="A1290" s="1272">
        <v>5000</v>
      </c>
      <c r="B1290" s="971" t="s">
        <v>2119</v>
      </c>
      <c r="C1290" s="1272">
        <v>5100</v>
      </c>
      <c r="D1290" s="971" t="s">
        <v>78</v>
      </c>
      <c r="E1290" s="971">
        <v>5140</v>
      </c>
      <c r="F1290" s="971" t="s">
        <v>176</v>
      </c>
      <c r="G1290" s="971">
        <v>5140</v>
      </c>
      <c r="H1290" s="971" t="s">
        <v>176</v>
      </c>
      <c r="I1290" s="1273"/>
      <c r="J1290" s="971" t="s">
        <v>2146</v>
      </c>
      <c r="K1290" s="971" t="s">
        <v>2125</v>
      </c>
      <c r="L1290" s="971" t="s">
        <v>2126</v>
      </c>
      <c r="M1290" s="971" t="s">
        <v>2125</v>
      </c>
      <c r="N1290" s="971" t="s">
        <v>176</v>
      </c>
      <c r="O1290" s="971" t="s">
        <v>2126</v>
      </c>
      <c r="P1290" s="971"/>
      <c r="Q1290" s="971" t="s">
        <v>2207</v>
      </c>
      <c r="R1290" s="1266" t="s">
        <v>1803</v>
      </c>
      <c r="S1290" s="2106">
        <v>1</v>
      </c>
      <c r="T1290" s="1266" t="s">
        <v>242</v>
      </c>
      <c r="U1290" s="1742">
        <v>13</v>
      </c>
      <c r="V1290" s="1742">
        <v>100</v>
      </c>
      <c r="W1290" s="1742">
        <v>1145.82</v>
      </c>
      <c r="X1290" s="1742">
        <v>1102.96</v>
      </c>
      <c r="Y1290" s="2106">
        <v>2348.7799999999997</v>
      </c>
      <c r="Z1290" s="2106">
        <v>13</v>
      </c>
      <c r="AA1290" s="2106">
        <v>100</v>
      </c>
      <c r="AB1290" s="2106">
        <v>1145.82</v>
      </c>
      <c r="AC1290" s="2106">
        <v>1102.96</v>
      </c>
      <c r="AD1290" s="1744">
        <v>2348.7799999999997</v>
      </c>
      <c r="AE1290" s="2126">
        <v>96</v>
      </c>
      <c r="AF1290" s="2126">
        <v>96</v>
      </c>
      <c r="AG1290" s="1212">
        <v>1</v>
      </c>
      <c r="AH1290" s="1212">
        <v>0</v>
      </c>
      <c r="AI1290" s="1212">
        <v>0</v>
      </c>
      <c r="AJ1290" s="1212">
        <v>1</v>
      </c>
      <c r="AK1290" s="2126">
        <v>2348.7799999999997</v>
      </c>
      <c r="AL1290" s="2126">
        <v>0</v>
      </c>
      <c r="AM1290" s="2126">
        <v>0</v>
      </c>
      <c r="AN1290" s="2126">
        <v>2348.7799999999997</v>
      </c>
      <c r="AO1290" s="1743" t="s">
        <v>85</v>
      </c>
      <c r="AP1290" s="1743" t="s">
        <v>90</v>
      </c>
      <c r="AQ1290" s="1764">
        <v>2021</v>
      </c>
      <c r="AR1290" s="1743" t="s">
        <v>87</v>
      </c>
      <c r="AS1290" s="2135"/>
      <c r="AT1290" s="2135"/>
      <c r="AU1290" s="1212">
        <v>1</v>
      </c>
      <c r="AV1290" s="1212"/>
      <c r="AW1290" s="1212"/>
      <c r="AX1290" s="1212"/>
      <c r="AY1290" s="1212"/>
      <c r="AZ1290" s="1212"/>
      <c r="BA1290" s="1212"/>
      <c r="BB1290" s="1212"/>
      <c r="BC1290" s="1212"/>
      <c r="BD1290" s="1212"/>
      <c r="BE1290" s="1212"/>
      <c r="BF1290" s="2126">
        <v>0</v>
      </c>
      <c r="BG1290" s="2126">
        <v>0</v>
      </c>
      <c r="BH1290" s="2126">
        <v>2348.7799999999997</v>
      </c>
      <c r="BI1290" s="2126">
        <v>0</v>
      </c>
      <c r="BJ1290" s="2126">
        <v>0</v>
      </c>
      <c r="BK1290" s="2126">
        <v>0</v>
      </c>
      <c r="BL1290" s="2126">
        <v>0</v>
      </c>
      <c r="BM1290" s="2126">
        <v>0</v>
      </c>
      <c r="BN1290" s="2126">
        <v>0</v>
      </c>
      <c r="BO1290" s="2126">
        <v>0</v>
      </c>
      <c r="BP1290" s="2126">
        <v>0</v>
      </c>
      <c r="BQ1290" s="2126">
        <v>0</v>
      </c>
      <c r="BR1290" s="2126">
        <v>0</v>
      </c>
    </row>
    <row r="1291" spans="1:70" s="1765" customFormat="1" ht="33">
      <c r="A1291" s="1272">
        <v>5000</v>
      </c>
      <c r="B1291" s="971" t="s">
        <v>2119</v>
      </c>
      <c r="C1291" s="1272">
        <v>5100</v>
      </c>
      <c r="D1291" s="971" t="s">
        <v>78</v>
      </c>
      <c r="E1291" s="971">
        <v>5140</v>
      </c>
      <c r="F1291" s="971" t="s">
        <v>176</v>
      </c>
      <c r="G1291" s="971">
        <v>5140</v>
      </c>
      <c r="H1291" s="971" t="s">
        <v>176</v>
      </c>
      <c r="I1291" s="1273"/>
      <c r="J1291" s="971" t="s">
        <v>2146</v>
      </c>
      <c r="K1291" s="971" t="s">
        <v>2127</v>
      </c>
      <c r="L1291" s="971" t="s">
        <v>2177</v>
      </c>
      <c r="M1291" s="971" t="s">
        <v>2127</v>
      </c>
      <c r="N1291" s="971" t="s">
        <v>176</v>
      </c>
      <c r="O1291" s="971" t="s">
        <v>2177</v>
      </c>
      <c r="P1291" s="971"/>
      <c r="Q1291" s="971" t="s">
        <v>2208</v>
      </c>
      <c r="R1291" s="1266" t="s">
        <v>1628</v>
      </c>
      <c r="S1291" s="2106">
        <v>1</v>
      </c>
      <c r="T1291" s="1266" t="s">
        <v>242</v>
      </c>
      <c r="U1291" s="1742">
        <v>10</v>
      </c>
      <c r="V1291" s="1742">
        <v>37.5</v>
      </c>
      <c r="W1291" s="1742">
        <v>881.4</v>
      </c>
      <c r="X1291" s="1742">
        <v>413.61</v>
      </c>
      <c r="Y1291" s="2106">
        <v>1332.51</v>
      </c>
      <c r="Z1291" s="2106">
        <v>10</v>
      </c>
      <c r="AA1291" s="2106">
        <v>37.5</v>
      </c>
      <c r="AB1291" s="2106">
        <v>881.4</v>
      </c>
      <c r="AC1291" s="2106">
        <v>413.61</v>
      </c>
      <c r="AD1291" s="1744">
        <v>1332.51</v>
      </c>
      <c r="AE1291" s="2126">
        <v>24</v>
      </c>
      <c r="AF1291" s="2126">
        <v>24</v>
      </c>
      <c r="AG1291" s="1212">
        <v>1</v>
      </c>
      <c r="AH1291" s="1212">
        <v>0</v>
      </c>
      <c r="AI1291" s="1212">
        <v>0</v>
      </c>
      <c r="AJ1291" s="1212">
        <v>1</v>
      </c>
      <c r="AK1291" s="2126">
        <v>1332.51</v>
      </c>
      <c r="AL1291" s="2126">
        <v>0</v>
      </c>
      <c r="AM1291" s="2126">
        <v>0</v>
      </c>
      <c r="AN1291" s="2126">
        <v>1332.51</v>
      </c>
      <c r="AO1291" s="1743" t="s">
        <v>85</v>
      </c>
      <c r="AP1291" s="1743" t="s">
        <v>90</v>
      </c>
      <c r="AQ1291" s="1764">
        <v>2021</v>
      </c>
      <c r="AR1291" s="1743" t="s">
        <v>87</v>
      </c>
      <c r="AS1291" s="2135"/>
      <c r="AT1291" s="2135"/>
      <c r="AU1291" s="1212">
        <v>1</v>
      </c>
      <c r="AV1291" s="1212"/>
      <c r="AW1291" s="1212"/>
      <c r="AX1291" s="1212"/>
      <c r="AY1291" s="1212"/>
      <c r="AZ1291" s="1212"/>
      <c r="BA1291" s="1212"/>
      <c r="BB1291" s="1212"/>
      <c r="BC1291" s="1212"/>
      <c r="BD1291" s="1212"/>
      <c r="BE1291" s="1212"/>
      <c r="BF1291" s="2126">
        <v>0</v>
      </c>
      <c r="BG1291" s="2126">
        <v>0</v>
      </c>
      <c r="BH1291" s="2126">
        <v>1332.51</v>
      </c>
      <c r="BI1291" s="2126">
        <v>0</v>
      </c>
      <c r="BJ1291" s="2126">
        <v>0</v>
      </c>
      <c r="BK1291" s="2126">
        <v>0</v>
      </c>
      <c r="BL1291" s="2126">
        <v>0</v>
      </c>
      <c r="BM1291" s="2126">
        <v>0</v>
      </c>
      <c r="BN1291" s="2126">
        <v>0</v>
      </c>
      <c r="BO1291" s="2126">
        <v>0</v>
      </c>
      <c r="BP1291" s="2126">
        <v>0</v>
      </c>
      <c r="BQ1291" s="2126">
        <v>0</v>
      </c>
      <c r="BR1291" s="2126">
        <v>0</v>
      </c>
    </row>
    <row r="1292" spans="1:70" s="1765" customFormat="1" ht="33">
      <c r="A1292" s="1272">
        <v>5000</v>
      </c>
      <c r="B1292" s="971" t="s">
        <v>2119</v>
      </c>
      <c r="C1292" s="1272">
        <v>5100</v>
      </c>
      <c r="D1292" s="971" t="s">
        <v>78</v>
      </c>
      <c r="E1292" s="971">
        <v>5140</v>
      </c>
      <c r="F1292" s="971" t="s">
        <v>176</v>
      </c>
      <c r="G1292" s="971">
        <v>5140</v>
      </c>
      <c r="H1292" s="971" t="s">
        <v>176</v>
      </c>
      <c r="I1292" s="1273" t="s">
        <v>2209</v>
      </c>
      <c r="J1292" s="971" t="s">
        <v>228</v>
      </c>
      <c r="K1292" s="971" t="s">
        <v>2125</v>
      </c>
      <c r="L1292" s="971" t="s">
        <v>2126</v>
      </c>
      <c r="M1292" s="971" t="s">
        <v>2125</v>
      </c>
      <c r="N1292" s="971" t="s">
        <v>176</v>
      </c>
      <c r="O1292" s="971" t="s">
        <v>2126</v>
      </c>
      <c r="P1292" s="971"/>
      <c r="Q1292" s="971" t="s">
        <v>2210</v>
      </c>
      <c r="R1292" s="1266"/>
      <c r="S1292" s="2106">
        <v>-1</v>
      </c>
      <c r="T1292" s="1266" t="s">
        <v>242</v>
      </c>
      <c r="U1292" s="1742">
        <v>13</v>
      </c>
      <c r="V1292" s="1742">
        <v>100</v>
      </c>
      <c r="W1292" s="1742">
        <v>1145.82</v>
      </c>
      <c r="X1292" s="1742">
        <v>1102.96</v>
      </c>
      <c r="Y1292" s="2106">
        <v>2348.7799999999997</v>
      </c>
      <c r="Z1292" s="2106">
        <v>-13</v>
      </c>
      <c r="AA1292" s="2106">
        <v>-100</v>
      </c>
      <c r="AB1292" s="2106">
        <v>-1145.82</v>
      </c>
      <c r="AC1292" s="2106">
        <v>-1102.96</v>
      </c>
      <c r="AD1292" s="1744">
        <v>-2348.7799999999997</v>
      </c>
      <c r="AE1292" s="2126">
        <v>96</v>
      </c>
      <c r="AF1292" s="2126">
        <v>-96</v>
      </c>
      <c r="AG1292" s="1212">
        <v>1</v>
      </c>
      <c r="AH1292" s="1212">
        <v>0</v>
      </c>
      <c r="AI1292" s="1212">
        <v>0</v>
      </c>
      <c r="AJ1292" s="1212">
        <v>1</v>
      </c>
      <c r="AK1292" s="2126">
        <v>-2348.7799999999997</v>
      </c>
      <c r="AL1292" s="2126">
        <v>0</v>
      </c>
      <c r="AM1292" s="2126">
        <v>0</v>
      </c>
      <c r="AN1292" s="2126">
        <v>-2348.7799999999997</v>
      </c>
      <c r="AO1292" s="1743" t="s">
        <v>85</v>
      </c>
      <c r="AP1292" s="1743" t="s">
        <v>96</v>
      </c>
      <c r="AQ1292" s="1764" t="s">
        <v>192</v>
      </c>
      <c r="AR1292" s="1743" t="s">
        <v>87</v>
      </c>
      <c r="AS1292" s="2135"/>
      <c r="AT1292" s="2135"/>
      <c r="AU1292" s="1212">
        <v>1</v>
      </c>
      <c r="AV1292" s="1212"/>
      <c r="AW1292" s="1212"/>
      <c r="AX1292" s="1212"/>
      <c r="AY1292" s="1212"/>
      <c r="AZ1292" s="1212"/>
      <c r="BA1292" s="1212"/>
      <c r="BB1292" s="1212"/>
      <c r="BC1292" s="1212"/>
      <c r="BD1292" s="1212"/>
      <c r="BE1292" s="1212"/>
      <c r="BF1292" s="2126">
        <v>0</v>
      </c>
      <c r="BG1292" s="2126">
        <v>0</v>
      </c>
      <c r="BH1292" s="2126">
        <v>-2348.7799999999997</v>
      </c>
      <c r="BI1292" s="2126">
        <v>0</v>
      </c>
      <c r="BJ1292" s="2126">
        <v>0</v>
      </c>
      <c r="BK1292" s="2126">
        <v>0</v>
      </c>
      <c r="BL1292" s="2126">
        <v>0</v>
      </c>
      <c r="BM1292" s="2126">
        <v>0</v>
      </c>
      <c r="BN1292" s="2126">
        <v>0</v>
      </c>
      <c r="BO1292" s="2126">
        <v>0</v>
      </c>
      <c r="BP1292" s="2126">
        <v>0</v>
      </c>
      <c r="BQ1292" s="2126">
        <v>0</v>
      </c>
      <c r="BR1292" s="2126">
        <v>0</v>
      </c>
    </row>
    <row r="1293" spans="1:70" s="1765" customFormat="1" ht="33">
      <c r="A1293" s="1272">
        <v>5000</v>
      </c>
      <c r="B1293" s="971" t="s">
        <v>2119</v>
      </c>
      <c r="C1293" s="1272">
        <v>5100</v>
      </c>
      <c r="D1293" s="971" t="s">
        <v>78</v>
      </c>
      <c r="E1293" s="971">
        <v>5140</v>
      </c>
      <c r="F1293" s="971" t="s">
        <v>176</v>
      </c>
      <c r="G1293" s="971">
        <v>5140</v>
      </c>
      <c r="H1293" s="971" t="s">
        <v>176</v>
      </c>
      <c r="I1293" s="1273" t="s">
        <v>2209</v>
      </c>
      <c r="J1293" s="971" t="s">
        <v>228</v>
      </c>
      <c r="K1293" s="971" t="s">
        <v>2125</v>
      </c>
      <c r="L1293" s="971" t="s">
        <v>2126</v>
      </c>
      <c r="M1293" s="971" t="s">
        <v>2125</v>
      </c>
      <c r="N1293" s="971" t="s">
        <v>176</v>
      </c>
      <c r="O1293" s="971" t="s">
        <v>2126</v>
      </c>
      <c r="P1293" s="971"/>
      <c r="Q1293" s="971" t="s">
        <v>2211</v>
      </c>
      <c r="R1293" s="1266"/>
      <c r="S1293" s="2106">
        <v>-1</v>
      </c>
      <c r="T1293" s="1266" t="s">
        <v>242</v>
      </c>
      <c r="U1293" s="1742">
        <v>13</v>
      </c>
      <c r="V1293" s="1742">
        <v>100</v>
      </c>
      <c r="W1293" s="1742">
        <v>1145.82</v>
      </c>
      <c r="X1293" s="1742">
        <v>1102.96</v>
      </c>
      <c r="Y1293" s="2106">
        <v>2348.7799999999997</v>
      </c>
      <c r="Z1293" s="2106">
        <v>-13</v>
      </c>
      <c r="AA1293" s="2106">
        <v>-100</v>
      </c>
      <c r="AB1293" s="2106">
        <v>-1145.82</v>
      </c>
      <c r="AC1293" s="2106">
        <v>-1102.96</v>
      </c>
      <c r="AD1293" s="1744">
        <v>-2348.7799999999997</v>
      </c>
      <c r="AE1293" s="2126">
        <v>96</v>
      </c>
      <c r="AF1293" s="2126">
        <v>-96</v>
      </c>
      <c r="AG1293" s="1212">
        <v>1</v>
      </c>
      <c r="AH1293" s="1212">
        <v>0</v>
      </c>
      <c r="AI1293" s="1212">
        <v>0</v>
      </c>
      <c r="AJ1293" s="1212">
        <v>1</v>
      </c>
      <c r="AK1293" s="2126">
        <v>-2348.7799999999997</v>
      </c>
      <c r="AL1293" s="2126">
        <v>0</v>
      </c>
      <c r="AM1293" s="2126">
        <v>0</v>
      </c>
      <c r="AN1293" s="2126">
        <v>-2348.7799999999997</v>
      </c>
      <c r="AO1293" s="1743" t="s">
        <v>85</v>
      </c>
      <c r="AP1293" s="1743" t="s">
        <v>96</v>
      </c>
      <c r="AQ1293" s="1764" t="s">
        <v>192</v>
      </c>
      <c r="AR1293" s="1743" t="s">
        <v>87</v>
      </c>
      <c r="AS1293" s="2135"/>
      <c r="AT1293" s="2135"/>
      <c r="AU1293" s="1212">
        <v>1</v>
      </c>
      <c r="AV1293" s="1212"/>
      <c r="AW1293" s="1212"/>
      <c r="AX1293" s="1212"/>
      <c r="AY1293" s="1212"/>
      <c r="AZ1293" s="1212"/>
      <c r="BA1293" s="1212"/>
      <c r="BB1293" s="1212"/>
      <c r="BC1293" s="1212"/>
      <c r="BD1293" s="1212"/>
      <c r="BE1293" s="1212"/>
      <c r="BF1293" s="2126">
        <v>0</v>
      </c>
      <c r="BG1293" s="2126">
        <v>0</v>
      </c>
      <c r="BH1293" s="2126">
        <v>-2348.7799999999997</v>
      </c>
      <c r="BI1293" s="2126">
        <v>0</v>
      </c>
      <c r="BJ1293" s="2126">
        <v>0</v>
      </c>
      <c r="BK1293" s="2126">
        <v>0</v>
      </c>
      <c r="BL1293" s="2126">
        <v>0</v>
      </c>
      <c r="BM1293" s="2126">
        <v>0</v>
      </c>
      <c r="BN1293" s="2126">
        <v>0</v>
      </c>
      <c r="BO1293" s="2126">
        <v>0</v>
      </c>
      <c r="BP1293" s="2126">
        <v>0</v>
      </c>
      <c r="BQ1293" s="2126">
        <v>0</v>
      </c>
      <c r="BR1293" s="2126">
        <v>0</v>
      </c>
    </row>
    <row r="1294" spans="1:70" s="1765" customFormat="1" ht="33">
      <c r="A1294" s="1272">
        <v>5000</v>
      </c>
      <c r="B1294" s="971" t="s">
        <v>2119</v>
      </c>
      <c r="C1294" s="1272">
        <v>5100</v>
      </c>
      <c r="D1294" s="971" t="s">
        <v>78</v>
      </c>
      <c r="E1294" s="971">
        <v>5140</v>
      </c>
      <c r="F1294" s="971" t="s">
        <v>176</v>
      </c>
      <c r="G1294" s="971">
        <v>5140</v>
      </c>
      <c r="H1294" s="971" t="s">
        <v>176</v>
      </c>
      <c r="I1294" s="1273"/>
      <c r="J1294" s="971" t="s">
        <v>2212</v>
      </c>
      <c r="K1294" s="971" t="s">
        <v>2120</v>
      </c>
      <c r="L1294" s="971" t="s">
        <v>2121</v>
      </c>
      <c r="M1294" s="971" t="s">
        <v>2120</v>
      </c>
      <c r="N1294" s="971" t="s">
        <v>179</v>
      </c>
      <c r="O1294" s="971" t="s">
        <v>2121</v>
      </c>
      <c r="P1294" s="971"/>
      <c r="Q1294" s="971" t="s">
        <v>2213</v>
      </c>
      <c r="R1294" s="1266"/>
      <c r="S1294" s="2106">
        <v>4</v>
      </c>
      <c r="T1294" s="1266" t="s">
        <v>242</v>
      </c>
      <c r="U1294" s="1742">
        <v>168</v>
      </c>
      <c r="V1294" s="1742">
        <v>1850</v>
      </c>
      <c r="W1294" s="1742">
        <v>14807.519999999999</v>
      </c>
      <c r="X1294" s="1742">
        <v>20404.760000000002</v>
      </c>
      <c r="Y1294" s="2106">
        <v>37062.28</v>
      </c>
      <c r="Z1294" s="2106">
        <v>672</v>
      </c>
      <c r="AA1294" s="2106">
        <v>7400</v>
      </c>
      <c r="AB1294" s="2106">
        <v>59230.079999999994</v>
      </c>
      <c r="AC1294" s="2106">
        <v>81619.040000000008</v>
      </c>
      <c r="AD1294" s="1744">
        <v>148249.12</v>
      </c>
      <c r="AE1294" s="2126">
        <v>56</v>
      </c>
      <c r="AF1294" s="2126">
        <v>224</v>
      </c>
      <c r="AG1294" s="1212">
        <v>1</v>
      </c>
      <c r="AH1294" s="1212">
        <v>0</v>
      </c>
      <c r="AI1294" s="1212">
        <v>0</v>
      </c>
      <c r="AJ1294" s="1212">
        <v>1</v>
      </c>
      <c r="AK1294" s="2126">
        <v>148249.12</v>
      </c>
      <c r="AL1294" s="2126">
        <v>0</v>
      </c>
      <c r="AM1294" s="2126">
        <v>0</v>
      </c>
      <c r="AN1294" s="2126">
        <v>148249.12</v>
      </c>
      <c r="AO1294" s="1743" t="s">
        <v>85</v>
      </c>
      <c r="AP1294" s="1743" t="s">
        <v>90</v>
      </c>
      <c r="AQ1294" s="1764" t="s">
        <v>2141</v>
      </c>
      <c r="AR1294" s="1743" t="s">
        <v>87</v>
      </c>
      <c r="AS1294" s="2135"/>
      <c r="AT1294" s="2135"/>
      <c r="AU1294" s="1212">
        <v>1</v>
      </c>
      <c r="AV1294" s="1212"/>
      <c r="AW1294" s="1212"/>
      <c r="AX1294" s="1212"/>
      <c r="AY1294" s="1212"/>
      <c r="AZ1294" s="1212"/>
      <c r="BA1294" s="1212"/>
      <c r="BB1294" s="1212"/>
      <c r="BC1294" s="1212"/>
      <c r="BD1294" s="1212"/>
      <c r="BE1294" s="1212"/>
      <c r="BF1294" s="2126">
        <v>0</v>
      </c>
      <c r="BG1294" s="2126">
        <v>0</v>
      </c>
      <c r="BH1294" s="2126">
        <v>148249.12</v>
      </c>
      <c r="BI1294" s="2126">
        <v>0</v>
      </c>
      <c r="BJ1294" s="2126">
        <v>0</v>
      </c>
      <c r="BK1294" s="2126">
        <v>0</v>
      </c>
      <c r="BL1294" s="2126">
        <v>0</v>
      </c>
      <c r="BM1294" s="2126">
        <v>0</v>
      </c>
      <c r="BN1294" s="2126">
        <v>0</v>
      </c>
      <c r="BO1294" s="2126">
        <v>0</v>
      </c>
      <c r="BP1294" s="2126">
        <v>0</v>
      </c>
      <c r="BQ1294" s="2126">
        <v>0</v>
      </c>
      <c r="BR1294" s="2126">
        <v>0</v>
      </c>
    </row>
    <row r="1295" spans="1:70" s="1765" customFormat="1" ht="33">
      <c r="A1295" s="1272">
        <v>5000</v>
      </c>
      <c r="B1295" s="971" t="s">
        <v>2119</v>
      </c>
      <c r="C1295" s="1272">
        <v>5100</v>
      </c>
      <c r="D1295" s="971" t="s">
        <v>78</v>
      </c>
      <c r="E1295" s="971">
        <v>5140</v>
      </c>
      <c r="F1295" s="971" t="s">
        <v>176</v>
      </c>
      <c r="G1295" s="971">
        <v>5140</v>
      </c>
      <c r="H1295" s="971" t="s">
        <v>176</v>
      </c>
      <c r="I1295" s="1273"/>
      <c r="J1295" s="971" t="s">
        <v>2212</v>
      </c>
      <c r="K1295" s="971" t="s">
        <v>2120</v>
      </c>
      <c r="L1295" s="971" t="s">
        <v>2121</v>
      </c>
      <c r="M1295" s="971" t="s">
        <v>2120</v>
      </c>
      <c r="N1295" s="971" t="s">
        <v>179</v>
      </c>
      <c r="O1295" s="971" t="s">
        <v>2121</v>
      </c>
      <c r="P1295" s="971" t="s">
        <v>1</v>
      </c>
      <c r="Q1295" s="971" t="s">
        <v>2214</v>
      </c>
      <c r="R1295" s="1266"/>
      <c r="S1295" s="2106">
        <v>4</v>
      </c>
      <c r="T1295" s="1266" t="s">
        <v>242</v>
      </c>
      <c r="U1295" s="1742">
        <v>168</v>
      </c>
      <c r="V1295" s="1742">
        <v>1850</v>
      </c>
      <c r="W1295" s="1742">
        <v>14807.519999999999</v>
      </c>
      <c r="X1295" s="1742">
        <v>20404.760000000002</v>
      </c>
      <c r="Y1295" s="2106">
        <v>37062.28</v>
      </c>
      <c r="Z1295" s="2106">
        <v>672</v>
      </c>
      <c r="AA1295" s="2106">
        <v>7400</v>
      </c>
      <c r="AB1295" s="2106">
        <v>59230.079999999994</v>
      </c>
      <c r="AC1295" s="2106">
        <v>81619.040000000008</v>
      </c>
      <c r="AD1295" s="1744">
        <v>148249.12</v>
      </c>
      <c r="AE1295" s="2126">
        <v>56</v>
      </c>
      <c r="AF1295" s="2126">
        <v>224</v>
      </c>
      <c r="AG1295" s="1212">
        <v>1</v>
      </c>
      <c r="AH1295" s="1212">
        <v>0</v>
      </c>
      <c r="AI1295" s="1212">
        <v>0</v>
      </c>
      <c r="AJ1295" s="1212">
        <v>1</v>
      </c>
      <c r="AK1295" s="2126">
        <v>148249.12</v>
      </c>
      <c r="AL1295" s="2126">
        <v>0</v>
      </c>
      <c r="AM1295" s="2126">
        <v>0</v>
      </c>
      <c r="AN1295" s="2126">
        <v>148249.12</v>
      </c>
      <c r="AO1295" s="1743" t="s">
        <v>85</v>
      </c>
      <c r="AP1295" s="1743" t="s">
        <v>90</v>
      </c>
      <c r="AQ1295" s="1764" t="s">
        <v>2141</v>
      </c>
      <c r="AR1295" s="1743" t="s">
        <v>87</v>
      </c>
      <c r="AS1295" s="2135"/>
      <c r="AT1295" s="2135"/>
      <c r="AU1295" s="1212">
        <v>1</v>
      </c>
      <c r="AV1295" s="1212"/>
      <c r="AW1295" s="1212"/>
      <c r="AX1295" s="1212"/>
      <c r="AY1295" s="1212"/>
      <c r="AZ1295" s="1212"/>
      <c r="BA1295" s="1212"/>
      <c r="BB1295" s="1212"/>
      <c r="BC1295" s="1212"/>
      <c r="BD1295" s="1212"/>
      <c r="BE1295" s="1212"/>
      <c r="BF1295" s="2126">
        <v>0</v>
      </c>
      <c r="BG1295" s="2126">
        <v>0</v>
      </c>
      <c r="BH1295" s="2126">
        <v>148249.12</v>
      </c>
      <c r="BI1295" s="2126">
        <v>0</v>
      </c>
      <c r="BJ1295" s="2126">
        <v>0</v>
      </c>
      <c r="BK1295" s="2126">
        <v>0</v>
      </c>
      <c r="BL1295" s="2126">
        <v>0</v>
      </c>
      <c r="BM1295" s="2126">
        <v>0</v>
      </c>
      <c r="BN1295" s="2126">
        <v>0</v>
      </c>
      <c r="BO1295" s="2126">
        <v>0</v>
      </c>
      <c r="BP1295" s="2126">
        <v>0</v>
      </c>
      <c r="BQ1295" s="2126">
        <v>0</v>
      </c>
      <c r="BR1295" s="2126">
        <v>0</v>
      </c>
    </row>
    <row r="1296" spans="1:70" s="1765" customFormat="1" ht="33">
      <c r="A1296" s="1272">
        <v>5000</v>
      </c>
      <c r="B1296" s="971" t="s">
        <v>2119</v>
      </c>
      <c r="C1296" s="1272">
        <v>5100</v>
      </c>
      <c r="D1296" s="971" t="s">
        <v>78</v>
      </c>
      <c r="E1296" s="971">
        <v>5140</v>
      </c>
      <c r="F1296" s="971" t="s">
        <v>176</v>
      </c>
      <c r="G1296" s="971">
        <v>5140</v>
      </c>
      <c r="H1296" s="971" t="s">
        <v>176</v>
      </c>
      <c r="I1296" s="1273"/>
      <c r="J1296" s="971" t="s">
        <v>2212</v>
      </c>
      <c r="K1296" s="971" t="s">
        <v>2120</v>
      </c>
      <c r="L1296" s="971" t="s">
        <v>2121</v>
      </c>
      <c r="M1296" s="971" t="s">
        <v>2120</v>
      </c>
      <c r="N1296" s="971" t="s">
        <v>179</v>
      </c>
      <c r="O1296" s="971" t="s">
        <v>2121</v>
      </c>
      <c r="P1296" s="971"/>
      <c r="Q1296" s="971" t="s">
        <v>2215</v>
      </c>
      <c r="R1296" s="1266"/>
      <c r="S1296" s="2106">
        <v>1</v>
      </c>
      <c r="T1296" s="1266" t="s">
        <v>242</v>
      </c>
      <c r="U1296" s="1742">
        <v>168</v>
      </c>
      <c r="V1296" s="1742">
        <v>1850</v>
      </c>
      <c r="W1296" s="1742">
        <v>14807.519999999999</v>
      </c>
      <c r="X1296" s="1742">
        <v>20404.760000000002</v>
      </c>
      <c r="Y1296" s="2106">
        <v>37062.28</v>
      </c>
      <c r="Z1296" s="2106">
        <v>168</v>
      </c>
      <c r="AA1296" s="2106">
        <v>1850</v>
      </c>
      <c r="AB1296" s="2106">
        <v>14807.519999999999</v>
      </c>
      <c r="AC1296" s="2106">
        <v>20404.760000000002</v>
      </c>
      <c r="AD1296" s="1744">
        <v>37062.28</v>
      </c>
      <c r="AE1296" s="2126">
        <v>56</v>
      </c>
      <c r="AF1296" s="2126">
        <v>56</v>
      </c>
      <c r="AG1296" s="1212">
        <v>1</v>
      </c>
      <c r="AH1296" s="1212">
        <v>0</v>
      </c>
      <c r="AI1296" s="1212">
        <v>0</v>
      </c>
      <c r="AJ1296" s="1212">
        <v>1</v>
      </c>
      <c r="AK1296" s="2126">
        <v>37062.28</v>
      </c>
      <c r="AL1296" s="2126">
        <v>0</v>
      </c>
      <c r="AM1296" s="2126">
        <v>0</v>
      </c>
      <c r="AN1296" s="2126">
        <v>37062.28</v>
      </c>
      <c r="AO1296" s="1743" t="s">
        <v>85</v>
      </c>
      <c r="AP1296" s="1743" t="s">
        <v>90</v>
      </c>
      <c r="AQ1296" s="1764">
        <v>2020</v>
      </c>
      <c r="AR1296" s="1743" t="s">
        <v>87</v>
      </c>
      <c r="AS1296" s="2135"/>
      <c r="AT1296" s="2135"/>
      <c r="AU1296" s="1212">
        <v>1</v>
      </c>
      <c r="AV1296" s="1212"/>
      <c r="AW1296" s="1212"/>
      <c r="AX1296" s="1212"/>
      <c r="AY1296" s="1212"/>
      <c r="AZ1296" s="1212"/>
      <c r="BA1296" s="1212"/>
      <c r="BB1296" s="1212"/>
      <c r="BC1296" s="1212"/>
      <c r="BD1296" s="1212"/>
      <c r="BE1296" s="1212"/>
      <c r="BF1296" s="2126">
        <v>0</v>
      </c>
      <c r="BG1296" s="2126">
        <v>0</v>
      </c>
      <c r="BH1296" s="2126">
        <v>37062.28</v>
      </c>
      <c r="BI1296" s="2126">
        <v>0</v>
      </c>
      <c r="BJ1296" s="2126">
        <v>0</v>
      </c>
      <c r="BK1296" s="2126">
        <v>0</v>
      </c>
      <c r="BL1296" s="2126">
        <v>0</v>
      </c>
      <c r="BM1296" s="2126">
        <v>0</v>
      </c>
      <c r="BN1296" s="2126">
        <v>0</v>
      </c>
      <c r="BO1296" s="2126">
        <v>0</v>
      </c>
      <c r="BP1296" s="2126">
        <v>0</v>
      </c>
      <c r="BQ1296" s="2126">
        <v>0</v>
      </c>
      <c r="BR1296" s="2126">
        <v>0</v>
      </c>
    </row>
    <row r="1297" spans="1:70" s="1765" customFormat="1" ht="33">
      <c r="A1297" s="1272">
        <v>5000</v>
      </c>
      <c r="B1297" s="971" t="s">
        <v>2119</v>
      </c>
      <c r="C1297" s="1272">
        <v>5100</v>
      </c>
      <c r="D1297" s="971" t="s">
        <v>78</v>
      </c>
      <c r="E1297" s="971">
        <v>5140</v>
      </c>
      <c r="F1297" s="971" t="s">
        <v>176</v>
      </c>
      <c r="G1297" s="971">
        <v>5140</v>
      </c>
      <c r="H1297" s="971" t="s">
        <v>176</v>
      </c>
      <c r="I1297" s="1273"/>
      <c r="J1297" s="971" t="s">
        <v>2212</v>
      </c>
      <c r="K1297" s="971" t="s">
        <v>2120</v>
      </c>
      <c r="L1297" s="971" t="s">
        <v>2121</v>
      </c>
      <c r="M1297" s="971" t="s">
        <v>2120</v>
      </c>
      <c r="N1297" s="971" t="s">
        <v>179</v>
      </c>
      <c r="O1297" s="971" t="s">
        <v>2121</v>
      </c>
      <c r="P1297" s="971"/>
      <c r="Q1297" s="971" t="s">
        <v>2216</v>
      </c>
      <c r="R1297" s="1266"/>
      <c r="S1297" s="2106">
        <v>-1</v>
      </c>
      <c r="T1297" s="1266" t="s">
        <v>242</v>
      </c>
      <c r="U1297" s="1742">
        <v>168</v>
      </c>
      <c r="V1297" s="1742">
        <v>1850</v>
      </c>
      <c r="W1297" s="1742">
        <v>14807.519999999999</v>
      </c>
      <c r="X1297" s="1742">
        <v>20404.760000000002</v>
      </c>
      <c r="Y1297" s="2106">
        <v>37062.28</v>
      </c>
      <c r="Z1297" s="2106">
        <v>-168</v>
      </c>
      <c r="AA1297" s="2106">
        <v>-1850</v>
      </c>
      <c r="AB1297" s="2106">
        <v>-14807.519999999999</v>
      </c>
      <c r="AC1297" s="2106">
        <v>-20404.760000000002</v>
      </c>
      <c r="AD1297" s="1744">
        <v>-37062.28</v>
      </c>
      <c r="AE1297" s="2126">
        <v>56</v>
      </c>
      <c r="AF1297" s="2126">
        <v>-56</v>
      </c>
      <c r="AG1297" s="1212">
        <v>1</v>
      </c>
      <c r="AH1297" s="1212">
        <v>0</v>
      </c>
      <c r="AI1297" s="1212">
        <v>0</v>
      </c>
      <c r="AJ1297" s="1212">
        <v>1</v>
      </c>
      <c r="AK1297" s="2126">
        <v>-37062.28</v>
      </c>
      <c r="AL1297" s="2126">
        <v>0</v>
      </c>
      <c r="AM1297" s="2126">
        <v>0</v>
      </c>
      <c r="AN1297" s="2126">
        <v>-37062.28</v>
      </c>
      <c r="AO1297" s="1743" t="s">
        <v>85</v>
      </c>
      <c r="AP1297" s="1743" t="s">
        <v>96</v>
      </c>
      <c r="AQ1297" s="1764" t="s">
        <v>2141</v>
      </c>
      <c r="AR1297" s="1743" t="s">
        <v>87</v>
      </c>
      <c r="AS1297" s="2135"/>
      <c r="AT1297" s="2135"/>
      <c r="AU1297" s="1212">
        <v>1</v>
      </c>
      <c r="AV1297" s="1212"/>
      <c r="AW1297" s="1212"/>
      <c r="AX1297" s="1212"/>
      <c r="AY1297" s="1212"/>
      <c r="AZ1297" s="1212"/>
      <c r="BA1297" s="1212"/>
      <c r="BB1297" s="1212"/>
      <c r="BC1297" s="1212"/>
      <c r="BD1297" s="1212"/>
      <c r="BE1297" s="1212"/>
      <c r="BF1297" s="2126">
        <v>0</v>
      </c>
      <c r="BG1297" s="2126">
        <v>0</v>
      </c>
      <c r="BH1297" s="2126">
        <v>-37062.28</v>
      </c>
      <c r="BI1297" s="2126">
        <v>0</v>
      </c>
      <c r="BJ1297" s="2126">
        <v>0</v>
      </c>
      <c r="BK1297" s="2126">
        <v>0</v>
      </c>
      <c r="BL1297" s="2126">
        <v>0</v>
      </c>
      <c r="BM1297" s="2126">
        <v>0</v>
      </c>
      <c r="BN1297" s="2126">
        <v>0</v>
      </c>
      <c r="BO1297" s="2126">
        <v>0</v>
      </c>
      <c r="BP1297" s="2126">
        <v>0</v>
      </c>
      <c r="BQ1297" s="2126">
        <v>0</v>
      </c>
      <c r="BR1297" s="2126">
        <v>0</v>
      </c>
    </row>
    <row r="1298" spans="1:70" s="1765" customFormat="1" ht="33">
      <c r="A1298" s="1272">
        <v>5000</v>
      </c>
      <c r="B1298" s="971" t="s">
        <v>2119</v>
      </c>
      <c r="C1298" s="1272">
        <v>5100</v>
      </c>
      <c r="D1298" s="971" t="s">
        <v>78</v>
      </c>
      <c r="E1298" s="971">
        <v>5140</v>
      </c>
      <c r="F1298" s="971" t="s">
        <v>176</v>
      </c>
      <c r="G1298" s="971">
        <v>5140</v>
      </c>
      <c r="H1298" s="971" t="s">
        <v>176</v>
      </c>
      <c r="I1298" s="1273"/>
      <c r="J1298" s="971" t="s">
        <v>2212</v>
      </c>
      <c r="K1298" s="971" t="s">
        <v>2120</v>
      </c>
      <c r="L1298" s="971" t="s">
        <v>2121</v>
      </c>
      <c r="M1298" s="971" t="s">
        <v>2120</v>
      </c>
      <c r="N1298" s="971" t="s">
        <v>179</v>
      </c>
      <c r="O1298" s="971" t="s">
        <v>2121</v>
      </c>
      <c r="P1298" s="971"/>
      <c r="Q1298" s="971" t="s">
        <v>2216</v>
      </c>
      <c r="R1298" s="1266"/>
      <c r="S1298" s="2106">
        <v>1</v>
      </c>
      <c r="T1298" s="1266" t="s">
        <v>242</v>
      </c>
      <c r="U1298" s="1742">
        <v>168</v>
      </c>
      <c r="V1298" s="1742">
        <v>1850</v>
      </c>
      <c r="W1298" s="1742">
        <v>14807.519999999999</v>
      </c>
      <c r="X1298" s="1742">
        <v>20404.760000000002</v>
      </c>
      <c r="Y1298" s="2106">
        <v>37062.28</v>
      </c>
      <c r="Z1298" s="2106">
        <v>168</v>
      </c>
      <c r="AA1298" s="2106">
        <v>1850</v>
      </c>
      <c r="AB1298" s="2106">
        <v>14807.519999999999</v>
      </c>
      <c r="AC1298" s="2106">
        <v>20404.760000000002</v>
      </c>
      <c r="AD1298" s="1744">
        <v>37062.28</v>
      </c>
      <c r="AE1298" s="2126">
        <v>56</v>
      </c>
      <c r="AF1298" s="2126">
        <v>56</v>
      </c>
      <c r="AG1298" s="1212">
        <v>1</v>
      </c>
      <c r="AH1298" s="1212">
        <v>0</v>
      </c>
      <c r="AI1298" s="1212">
        <v>0</v>
      </c>
      <c r="AJ1298" s="1212">
        <v>1</v>
      </c>
      <c r="AK1298" s="2126">
        <v>37062.28</v>
      </c>
      <c r="AL1298" s="2126">
        <v>0</v>
      </c>
      <c r="AM1298" s="2126">
        <v>0</v>
      </c>
      <c r="AN1298" s="2126">
        <v>37062.28</v>
      </c>
      <c r="AO1298" s="1743" t="s">
        <v>85</v>
      </c>
      <c r="AP1298" s="1743" t="s">
        <v>90</v>
      </c>
      <c r="AQ1298" s="1764">
        <v>2020</v>
      </c>
      <c r="AR1298" s="1743" t="s">
        <v>87</v>
      </c>
      <c r="AS1298" s="2135"/>
      <c r="AT1298" s="2135"/>
      <c r="AU1298" s="1212">
        <v>1</v>
      </c>
      <c r="AV1298" s="1212"/>
      <c r="AW1298" s="1212"/>
      <c r="AX1298" s="1212"/>
      <c r="AY1298" s="1212"/>
      <c r="AZ1298" s="1212"/>
      <c r="BA1298" s="1212"/>
      <c r="BB1298" s="1212"/>
      <c r="BC1298" s="1212"/>
      <c r="BD1298" s="1212"/>
      <c r="BE1298" s="1212"/>
      <c r="BF1298" s="2126">
        <v>0</v>
      </c>
      <c r="BG1298" s="2126">
        <v>0</v>
      </c>
      <c r="BH1298" s="2126">
        <v>37062.28</v>
      </c>
      <c r="BI1298" s="2126">
        <v>0</v>
      </c>
      <c r="BJ1298" s="2126">
        <v>0</v>
      </c>
      <c r="BK1298" s="2126">
        <v>0</v>
      </c>
      <c r="BL1298" s="2126">
        <v>0</v>
      </c>
      <c r="BM1298" s="2126">
        <v>0</v>
      </c>
      <c r="BN1298" s="2126">
        <v>0</v>
      </c>
      <c r="BO1298" s="2126">
        <v>0</v>
      </c>
      <c r="BP1298" s="2126">
        <v>0</v>
      </c>
      <c r="BQ1298" s="2126">
        <v>0</v>
      </c>
      <c r="BR1298" s="2126">
        <v>0</v>
      </c>
    </row>
    <row r="1299" spans="1:70" s="1765" customFormat="1" ht="33">
      <c r="A1299" s="1272">
        <v>5000</v>
      </c>
      <c r="B1299" s="971" t="s">
        <v>2119</v>
      </c>
      <c r="C1299" s="1272">
        <v>5100</v>
      </c>
      <c r="D1299" s="971" t="s">
        <v>78</v>
      </c>
      <c r="E1299" s="971">
        <v>5140</v>
      </c>
      <c r="F1299" s="971" t="s">
        <v>176</v>
      </c>
      <c r="G1299" s="971">
        <v>5140</v>
      </c>
      <c r="H1299" s="971" t="s">
        <v>176</v>
      </c>
      <c r="I1299" s="1273"/>
      <c r="J1299" s="971" t="s">
        <v>2212</v>
      </c>
      <c r="K1299" s="971" t="s">
        <v>2120</v>
      </c>
      <c r="L1299" s="971" t="s">
        <v>2121</v>
      </c>
      <c r="M1299" s="971" t="s">
        <v>2120</v>
      </c>
      <c r="N1299" s="971" t="s">
        <v>179</v>
      </c>
      <c r="O1299" s="971" t="s">
        <v>2121</v>
      </c>
      <c r="P1299" s="971"/>
      <c r="Q1299" s="971" t="s">
        <v>2217</v>
      </c>
      <c r="R1299" s="1266"/>
      <c r="S1299" s="2106">
        <v>3</v>
      </c>
      <c r="T1299" s="1266" t="s">
        <v>242</v>
      </c>
      <c r="U1299" s="1742">
        <v>168</v>
      </c>
      <c r="V1299" s="1742">
        <v>1850</v>
      </c>
      <c r="W1299" s="1742">
        <v>14807.519999999999</v>
      </c>
      <c r="X1299" s="1742">
        <v>20404.760000000002</v>
      </c>
      <c r="Y1299" s="2106">
        <v>37062.28</v>
      </c>
      <c r="Z1299" s="2106">
        <v>504</v>
      </c>
      <c r="AA1299" s="2106">
        <v>5550</v>
      </c>
      <c r="AB1299" s="2106">
        <v>44422.559999999998</v>
      </c>
      <c r="AC1299" s="2106">
        <v>61214.280000000006</v>
      </c>
      <c r="AD1299" s="1744">
        <v>111186.84</v>
      </c>
      <c r="AE1299" s="2126">
        <v>56</v>
      </c>
      <c r="AF1299" s="2126">
        <v>168</v>
      </c>
      <c r="AG1299" s="1212">
        <v>1</v>
      </c>
      <c r="AH1299" s="1212">
        <v>0</v>
      </c>
      <c r="AI1299" s="1212">
        <v>0</v>
      </c>
      <c r="AJ1299" s="1212">
        <v>1</v>
      </c>
      <c r="AK1299" s="2126">
        <v>111186.84</v>
      </c>
      <c r="AL1299" s="2126">
        <v>0</v>
      </c>
      <c r="AM1299" s="2126">
        <v>0</v>
      </c>
      <c r="AN1299" s="2126">
        <v>111186.84</v>
      </c>
      <c r="AO1299" s="1743" t="s">
        <v>85</v>
      </c>
      <c r="AP1299" s="1743" t="s">
        <v>90</v>
      </c>
      <c r="AQ1299" s="1764">
        <v>2020</v>
      </c>
      <c r="AR1299" s="1743" t="s">
        <v>87</v>
      </c>
      <c r="AS1299" s="2135"/>
      <c r="AT1299" s="2135"/>
      <c r="AU1299" s="1212">
        <v>1</v>
      </c>
      <c r="AV1299" s="1212"/>
      <c r="AW1299" s="1212"/>
      <c r="AX1299" s="1212"/>
      <c r="AY1299" s="1212"/>
      <c r="AZ1299" s="1212"/>
      <c r="BA1299" s="1212"/>
      <c r="BB1299" s="1212"/>
      <c r="BC1299" s="1212"/>
      <c r="BD1299" s="1212"/>
      <c r="BE1299" s="1212"/>
      <c r="BF1299" s="2126">
        <v>0</v>
      </c>
      <c r="BG1299" s="2126">
        <v>0</v>
      </c>
      <c r="BH1299" s="2126">
        <v>111186.84</v>
      </c>
      <c r="BI1299" s="2126">
        <v>0</v>
      </c>
      <c r="BJ1299" s="2126">
        <v>0</v>
      </c>
      <c r="BK1299" s="2126">
        <v>0</v>
      </c>
      <c r="BL1299" s="2126">
        <v>0</v>
      </c>
      <c r="BM1299" s="2126">
        <v>0</v>
      </c>
      <c r="BN1299" s="2126">
        <v>0</v>
      </c>
      <c r="BO1299" s="2126">
        <v>0</v>
      </c>
      <c r="BP1299" s="2126">
        <v>0</v>
      </c>
      <c r="BQ1299" s="2126">
        <v>0</v>
      </c>
      <c r="BR1299" s="2126">
        <v>0</v>
      </c>
    </row>
    <row r="1300" spans="1:70" s="1765" customFormat="1" ht="33">
      <c r="A1300" s="1272">
        <v>5000</v>
      </c>
      <c r="B1300" s="971" t="s">
        <v>2119</v>
      </c>
      <c r="C1300" s="1272">
        <v>5100</v>
      </c>
      <c r="D1300" s="971" t="s">
        <v>78</v>
      </c>
      <c r="E1300" s="971">
        <v>5140</v>
      </c>
      <c r="F1300" s="971" t="s">
        <v>176</v>
      </c>
      <c r="G1300" s="971">
        <v>5140</v>
      </c>
      <c r="H1300" s="971" t="s">
        <v>176</v>
      </c>
      <c r="I1300" s="1273"/>
      <c r="J1300" s="971" t="s">
        <v>2212</v>
      </c>
      <c r="K1300" s="971" t="s">
        <v>2120</v>
      </c>
      <c r="L1300" s="971" t="s">
        <v>2121</v>
      </c>
      <c r="M1300" s="971" t="s">
        <v>2120</v>
      </c>
      <c r="N1300" s="971" t="s">
        <v>179</v>
      </c>
      <c r="O1300" s="971" t="s">
        <v>2121</v>
      </c>
      <c r="P1300" s="971"/>
      <c r="Q1300" s="971" t="s">
        <v>2218</v>
      </c>
      <c r="R1300" s="1266"/>
      <c r="S1300" s="2106">
        <v>-1</v>
      </c>
      <c r="T1300" s="1266" t="s">
        <v>242</v>
      </c>
      <c r="U1300" s="1742">
        <v>168</v>
      </c>
      <c r="V1300" s="1742">
        <v>1850</v>
      </c>
      <c r="W1300" s="1742">
        <v>14807.519999999999</v>
      </c>
      <c r="X1300" s="1742">
        <v>20404.760000000002</v>
      </c>
      <c r="Y1300" s="2106">
        <v>37062.28</v>
      </c>
      <c r="Z1300" s="2106">
        <v>-168</v>
      </c>
      <c r="AA1300" s="2106">
        <v>-1850</v>
      </c>
      <c r="AB1300" s="2106">
        <v>-14807.519999999999</v>
      </c>
      <c r="AC1300" s="2106">
        <v>-20404.760000000002</v>
      </c>
      <c r="AD1300" s="1744">
        <v>-37062.28</v>
      </c>
      <c r="AE1300" s="2126">
        <v>56</v>
      </c>
      <c r="AF1300" s="2126">
        <v>-56</v>
      </c>
      <c r="AG1300" s="1212">
        <v>1</v>
      </c>
      <c r="AH1300" s="1212">
        <v>0</v>
      </c>
      <c r="AI1300" s="1212">
        <v>0</v>
      </c>
      <c r="AJ1300" s="1212">
        <v>1</v>
      </c>
      <c r="AK1300" s="2126">
        <v>-37062.28</v>
      </c>
      <c r="AL1300" s="2126">
        <v>0</v>
      </c>
      <c r="AM1300" s="2126">
        <v>0</v>
      </c>
      <c r="AN1300" s="2126">
        <v>-37062.28</v>
      </c>
      <c r="AO1300" s="1743" t="s">
        <v>85</v>
      </c>
      <c r="AP1300" s="1743" t="s">
        <v>96</v>
      </c>
      <c r="AQ1300" s="1764" t="s">
        <v>2141</v>
      </c>
      <c r="AR1300" s="1743" t="s">
        <v>87</v>
      </c>
      <c r="AS1300" s="2135"/>
      <c r="AT1300" s="2135"/>
      <c r="AU1300" s="1212">
        <v>1</v>
      </c>
      <c r="AV1300" s="1212"/>
      <c r="AW1300" s="1212"/>
      <c r="AX1300" s="1212"/>
      <c r="AY1300" s="1212"/>
      <c r="AZ1300" s="1212"/>
      <c r="BA1300" s="1212"/>
      <c r="BB1300" s="1212"/>
      <c r="BC1300" s="1212"/>
      <c r="BD1300" s="1212"/>
      <c r="BE1300" s="1212"/>
      <c r="BF1300" s="2126">
        <v>0</v>
      </c>
      <c r="BG1300" s="2126">
        <v>0</v>
      </c>
      <c r="BH1300" s="2126">
        <v>-37062.28</v>
      </c>
      <c r="BI1300" s="2126">
        <v>0</v>
      </c>
      <c r="BJ1300" s="2126">
        <v>0</v>
      </c>
      <c r="BK1300" s="2126">
        <v>0</v>
      </c>
      <c r="BL1300" s="2126">
        <v>0</v>
      </c>
      <c r="BM1300" s="2126">
        <v>0</v>
      </c>
      <c r="BN1300" s="2126">
        <v>0</v>
      </c>
      <c r="BO1300" s="2126">
        <v>0</v>
      </c>
      <c r="BP1300" s="2126">
        <v>0</v>
      </c>
      <c r="BQ1300" s="2126">
        <v>0</v>
      </c>
      <c r="BR1300" s="2126">
        <v>0</v>
      </c>
    </row>
    <row r="1301" spans="1:70" s="1765" customFormat="1" ht="33">
      <c r="A1301" s="1272">
        <v>5000</v>
      </c>
      <c r="B1301" s="971" t="s">
        <v>2119</v>
      </c>
      <c r="C1301" s="1272">
        <v>5100</v>
      </c>
      <c r="D1301" s="971" t="s">
        <v>78</v>
      </c>
      <c r="E1301" s="971">
        <v>5140</v>
      </c>
      <c r="F1301" s="971" t="s">
        <v>176</v>
      </c>
      <c r="G1301" s="971">
        <v>5140</v>
      </c>
      <c r="H1301" s="971" t="s">
        <v>176</v>
      </c>
      <c r="I1301" s="1273"/>
      <c r="J1301" s="971" t="s">
        <v>2212</v>
      </c>
      <c r="K1301" s="971" t="s">
        <v>2120</v>
      </c>
      <c r="L1301" s="971" t="s">
        <v>2121</v>
      </c>
      <c r="M1301" s="971" t="s">
        <v>2120</v>
      </c>
      <c r="N1301" s="971" t="s">
        <v>179</v>
      </c>
      <c r="O1301" s="971" t="s">
        <v>2121</v>
      </c>
      <c r="P1301" s="971"/>
      <c r="Q1301" s="971" t="s">
        <v>2218</v>
      </c>
      <c r="R1301" s="1266"/>
      <c r="S1301" s="2106">
        <v>1</v>
      </c>
      <c r="T1301" s="1266" t="s">
        <v>242</v>
      </c>
      <c r="U1301" s="1742">
        <v>168</v>
      </c>
      <c r="V1301" s="1742">
        <v>1850</v>
      </c>
      <c r="W1301" s="1742">
        <v>14807.519999999999</v>
      </c>
      <c r="X1301" s="1742">
        <v>20404.760000000002</v>
      </c>
      <c r="Y1301" s="2106">
        <v>37062.28</v>
      </c>
      <c r="Z1301" s="2106">
        <v>168</v>
      </c>
      <c r="AA1301" s="2106">
        <v>1850</v>
      </c>
      <c r="AB1301" s="2106">
        <v>14807.519999999999</v>
      </c>
      <c r="AC1301" s="2106">
        <v>20404.760000000002</v>
      </c>
      <c r="AD1301" s="1744">
        <v>37062.28</v>
      </c>
      <c r="AE1301" s="2126">
        <v>56</v>
      </c>
      <c r="AF1301" s="2126">
        <v>56</v>
      </c>
      <c r="AG1301" s="1212">
        <v>1</v>
      </c>
      <c r="AH1301" s="1212">
        <v>0</v>
      </c>
      <c r="AI1301" s="1212">
        <v>0</v>
      </c>
      <c r="AJ1301" s="1212">
        <v>1</v>
      </c>
      <c r="AK1301" s="2126">
        <v>37062.28</v>
      </c>
      <c r="AL1301" s="2126">
        <v>0</v>
      </c>
      <c r="AM1301" s="2126">
        <v>0</v>
      </c>
      <c r="AN1301" s="2126">
        <v>37062.28</v>
      </c>
      <c r="AO1301" s="1743" t="s">
        <v>85</v>
      </c>
      <c r="AP1301" s="1743" t="s">
        <v>90</v>
      </c>
      <c r="AQ1301" s="1764">
        <v>2020</v>
      </c>
      <c r="AR1301" s="1743" t="s">
        <v>87</v>
      </c>
      <c r="AS1301" s="2135"/>
      <c r="AT1301" s="2135"/>
      <c r="AU1301" s="1212">
        <v>1</v>
      </c>
      <c r="AV1301" s="1212"/>
      <c r="AW1301" s="1212"/>
      <c r="AX1301" s="1212"/>
      <c r="AY1301" s="1212"/>
      <c r="AZ1301" s="1212"/>
      <c r="BA1301" s="1212"/>
      <c r="BB1301" s="1212"/>
      <c r="BC1301" s="1212"/>
      <c r="BD1301" s="1212"/>
      <c r="BE1301" s="1212"/>
      <c r="BF1301" s="2126">
        <v>0</v>
      </c>
      <c r="BG1301" s="2126">
        <v>0</v>
      </c>
      <c r="BH1301" s="2126">
        <v>37062.28</v>
      </c>
      <c r="BI1301" s="2126">
        <v>0</v>
      </c>
      <c r="BJ1301" s="2126">
        <v>0</v>
      </c>
      <c r="BK1301" s="2126">
        <v>0</v>
      </c>
      <c r="BL1301" s="2126">
        <v>0</v>
      </c>
      <c r="BM1301" s="2126">
        <v>0</v>
      </c>
      <c r="BN1301" s="2126">
        <v>0</v>
      </c>
      <c r="BO1301" s="2126">
        <v>0</v>
      </c>
      <c r="BP1301" s="2126">
        <v>0</v>
      </c>
      <c r="BQ1301" s="2126">
        <v>0</v>
      </c>
      <c r="BR1301" s="2126">
        <v>0</v>
      </c>
    </row>
    <row r="1302" spans="1:70" s="1765" customFormat="1" ht="33">
      <c r="A1302" s="1272">
        <v>5000</v>
      </c>
      <c r="B1302" s="971" t="s">
        <v>2119</v>
      </c>
      <c r="C1302" s="1272">
        <v>5100</v>
      </c>
      <c r="D1302" s="971" t="s">
        <v>78</v>
      </c>
      <c r="E1302" s="971">
        <v>5140</v>
      </c>
      <c r="F1302" s="971" t="s">
        <v>176</v>
      </c>
      <c r="G1302" s="971">
        <v>5140</v>
      </c>
      <c r="H1302" s="971" t="s">
        <v>176</v>
      </c>
      <c r="I1302" s="1273"/>
      <c r="J1302" s="971" t="s">
        <v>2212</v>
      </c>
      <c r="K1302" s="971" t="s">
        <v>2120</v>
      </c>
      <c r="L1302" s="971" t="s">
        <v>2121</v>
      </c>
      <c r="M1302" s="971" t="s">
        <v>2120</v>
      </c>
      <c r="N1302" s="971" t="s">
        <v>179</v>
      </c>
      <c r="O1302" s="971" t="s">
        <v>2121</v>
      </c>
      <c r="P1302" s="971"/>
      <c r="Q1302" s="971" t="s">
        <v>2219</v>
      </c>
      <c r="R1302" s="1266"/>
      <c r="S1302" s="2106">
        <v>1</v>
      </c>
      <c r="T1302" s="1266" t="s">
        <v>242</v>
      </c>
      <c r="U1302" s="1742">
        <v>168</v>
      </c>
      <c r="V1302" s="1742">
        <v>1850</v>
      </c>
      <c r="W1302" s="1742">
        <v>14807.519999999999</v>
      </c>
      <c r="X1302" s="1742">
        <v>20404.760000000002</v>
      </c>
      <c r="Y1302" s="2106">
        <v>37062.28</v>
      </c>
      <c r="Z1302" s="2106">
        <v>168</v>
      </c>
      <c r="AA1302" s="2106">
        <v>1850</v>
      </c>
      <c r="AB1302" s="2106">
        <v>14807.519999999999</v>
      </c>
      <c r="AC1302" s="2106">
        <v>20404.760000000002</v>
      </c>
      <c r="AD1302" s="1744">
        <v>37062.28</v>
      </c>
      <c r="AE1302" s="2126">
        <v>56</v>
      </c>
      <c r="AF1302" s="2126">
        <v>56</v>
      </c>
      <c r="AG1302" s="1212">
        <v>1</v>
      </c>
      <c r="AH1302" s="1212">
        <v>0</v>
      </c>
      <c r="AI1302" s="1212">
        <v>0</v>
      </c>
      <c r="AJ1302" s="1212">
        <v>1</v>
      </c>
      <c r="AK1302" s="2126">
        <v>37062.28</v>
      </c>
      <c r="AL1302" s="2126">
        <v>0</v>
      </c>
      <c r="AM1302" s="2126">
        <v>0</v>
      </c>
      <c r="AN1302" s="2126">
        <v>37062.28</v>
      </c>
      <c r="AO1302" s="1743" t="s">
        <v>85</v>
      </c>
      <c r="AP1302" s="1743" t="s">
        <v>90</v>
      </c>
      <c r="AQ1302" s="1764">
        <v>2020</v>
      </c>
      <c r="AR1302" s="1743" t="s">
        <v>87</v>
      </c>
      <c r="AS1302" s="2135"/>
      <c r="AT1302" s="2135"/>
      <c r="AU1302" s="1212">
        <v>1</v>
      </c>
      <c r="AV1302" s="1212"/>
      <c r="AW1302" s="1212"/>
      <c r="AX1302" s="1212"/>
      <c r="AY1302" s="1212"/>
      <c r="AZ1302" s="1212"/>
      <c r="BA1302" s="1212"/>
      <c r="BB1302" s="1212"/>
      <c r="BC1302" s="1212"/>
      <c r="BD1302" s="1212"/>
      <c r="BE1302" s="1212"/>
      <c r="BF1302" s="2126">
        <v>0</v>
      </c>
      <c r="BG1302" s="2126">
        <v>0</v>
      </c>
      <c r="BH1302" s="2126">
        <v>37062.28</v>
      </c>
      <c r="BI1302" s="2126">
        <v>0</v>
      </c>
      <c r="BJ1302" s="2126">
        <v>0</v>
      </c>
      <c r="BK1302" s="2126">
        <v>0</v>
      </c>
      <c r="BL1302" s="2126">
        <v>0</v>
      </c>
      <c r="BM1302" s="2126">
        <v>0</v>
      </c>
      <c r="BN1302" s="2126">
        <v>0</v>
      </c>
      <c r="BO1302" s="2126">
        <v>0</v>
      </c>
      <c r="BP1302" s="2126">
        <v>0</v>
      </c>
      <c r="BQ1302" s="2126">
        <v>0</v>
      </c>
      <c r="BR1302" s="2126">
        <v>0</v>
      </c>
    </row>
    <row r="1303" spans="1:70" s="1765" customFormat="1" ht="33">
      <c r="A1303" s="1272">
        <v>5000</v>
      </c>
      <c r="B1303" s="971" t="s">
        <v>2119</v>
      </c>
      <c r="C1303" s="1272">
        <v>5100</v>
      </c>
      <c r="D1303" s="971" t="s">
        <v>78</v>
      </c>
      <c r="E1303" s="971">
        <v>5140</v>
      </c>
      <c r="F1303" s="971" t="s">
        <v>176</v>
      </c>
      <c r="G1303" s="971">
        <v>5140</v>
      </c>
      <c r="H1303" s="971" t="s">
        <v>176</v>
      </c>
      <c r="I1303" s="1273"/>
      <c r="J1303" s="971" t="s">
        <v>2212</v>
      </c>
      <c r="K1303" s="971" t="s">
        <v>2120</v>
      </c>
      <c r="L1303" s="971" t="s">
        <v>2121</v>
      </c>
      <c r="M1303" s="971" t="s">
        <v>2120</v>
      </c>
      <c r="N1303" s="971" t="s">
        <v>179</v>
      </c>
      <c r="O1303" s="971" t="s">
        <v>2121</v>
      </c>
      <c r="P1303" s="971"/>
      <c r="Q1303" s="971" t="s">
        <v>2220</v>
      </c>
      <c r="R1303" s="1266"/>
      <c r="S1303" s="2106">
        <v>1</v>
      </c>
      <c r="T1303" s="1266" t="s">
        <v>242</v>
      </c>
      <c r="U1303" s="1742">
        <v>168</v>
      </c>
      <c r="V1303" s="1742">
        <v>1850</v>
      </c>
      <c r="W1303" s="1742">
        <v>14807.519999999999</v>
      </c>
      <c r="X1303" s="1742">
        <v>20404.760000000002</v>
      </c>
      <c r="Y1303" s="2106">
        <v>37062.28</v>
      </c>
      <c r="Z1303" s="2106">
        <v>168</v>
      </c>
      <c r="AA1303" s="2106">
        <v>1850</v>
      </c>
      <c r="AB1303" s="2106">
        <v>14807.519999999999</v>
      </c>
      <c r="AC1303" s="2106">
        <v>20404.760000000002</v>
      </c>
      <c r="AD1303" s="1744">
        <v>37062.28</v>
      </c>
      <c r="AE1303" s="2126">
        <v>56</v>
      </c>
      <c r="AF1303" s="2126">
        <v>56</v>
      </c>
      <c r="AG1303" s="1212">
        <v>1</v>
      </c>
      <c r="AH1303" s="1212">
        <v>0</v>
      </c>
      <c r="AI1303" s="1212">
        <v>0</v>
      </c>
      <c r="AJ1303" s="1212">
        <v>1</v>
      </c>
      <c r="AK1303" s="2126">
        <v>37062.28</v>
      </c>
      <c r="AL1303" s="2126">
        <v>0</v>
      </c>
      <c r="AM1303" s="2126">
        <v>0</v>
      </c>
      <c r="AN1303" s="2126">
        <v>37062.28</v>
      </c>
      <c r="AO1303" s="1743" t="s">
        <v>85</v>
      </c>
      <c r="AP1303" s="1743" t="s">
        <v>90</v>
      </c>
      <c r="AQ1303" s="1764" t="s">
        <v>192</v>
      </c>
      <c r="AR1303" s="1743" t="s">
        <v>87</v>
      </c>
      <c r="AS1303" s="2135"/>
      <c r="AT1303" s="2135"/>
      <c r="AU1303" s="1212">
        <v>1</v>
      </c>
      <c r="AV1303" s="1212"/>
      <c r="AW1303" s="1212"/>
      <c r="AX1303" s="1212"/>
      <c r="AY1303" s="1212"/>
      <c r="AZ1303" s="1212"/>
      <c r="BA1303" s="1212"/>
      <c r="BB1303" s="1212"/>
      <c r="BC1303" s="1212"/>
      <c r="BD1303" s="1212"/>
      <c r="BE1303" s="1212"/>
      <c r="BF1303" s="2126">
        <v>0</v>
      </c>
      <c r="BG1303" s="2126">
        <v>0</v>
      </c>
      <c r="BH1303" s="2126">
        <v>37062.28</v>
      </c>
      <c r="BI1303" s="2126">
        <v>0</v>
      </c>
      <c r="BJ1303" s="2126">
        <v>0</v>
      </c>
      <c r="BK1303" s="2126">
        <v>0</v>
      </c>
      <c r="BL1303" s="2126">
        <v>0</v>
      </c>
      <c r="BM1303" s="2126">
        <v>0</v>
      </c>
      <c r="BN1303" s="2126">
        <v>0</v>
      </c>
      <c r="BO1303" s="2126">
        <v>0</v>
      </c>
      <c r="BP1303" s="2126">
        <v>0</v>
      </c>
      <c r="BQ1303" s="2126">
        <v>0</v>
      </c>
      <c r="BR1303" s="2126">
        <v>0</v>
      </c>
    </row>
    <row r="1304" spans="1:70" s="1765" customFormat="1" ht="33">
      <c r="A1304" s="1272">
        <v>5000</v>
      </c>
      <c r="B1304" s="971" t="s">
        <v>2119</v>
      </c>
      <c r="C1304" s="1272">
        <v>5100</v>
      </c>
      <c r="D1304" s="971" t="s">
        <v>78</v>
      </c>
      <c r="E1304" s="971">
        <v>5140</v>
      </c>
      <c r="F1304" s="971" t="s">
        <v>176</v>
      </c>
      <c r="G1304" s="971">
        <v>5140</v>
      </c>
      <c r="H1304" s="971" t="s">
        <v>176</v>
      </c>
      <c r="I1304" s="1273" t="s">
        <v>2221</v>
      </c>
      <c r="J1304" s="971" t="s">
        <v>2222</v>
      </c>
      <c r="K1304" s="971" t="s">
        <v>2120</v>
      </c>
      <c r="L1304" s="971" t="s">
        <v>2121</v>
      </c>
      <c r="M1304" s="971" t="s">
        <v>2120</v>
      </c>
      <c r="N1304" s="971" t="s">
        <v>179</v>
      </c>
      <c r="O1304" s="971" t="s">
        <v>2121</v>
      </c>
      <c r="P1304" s="971"/>
      <c r="Q1304" s="971" t="s">
        <v>2223</v>
      </c>
      <c r="R1304" s="1266"/>
      <c r="S1304" s="2106">
        <v>-2</v>
      </c>
      <c r="T1304" s="1266" t="s">
        <v>242</v>
      </c>
      <c r="U1304" s="1742">
        <v>168</v>
      </c>
      <c r="V1304" s="1742">
        <v>1850</v>
      </c>
      <c r="W1304" s="1742">
        <v>14807.519999999999</v>
      </c>
      <c r="X1304" s="1742">
        <v>20404.760000000002</v>
      </c>
      <c r="Y1304" s="2106">
        <v>37062.28</v>
      </c>
      <c r="Z1304" s="2106">
        <v>-336</v>
      </c>
      <c r="AA1304" s="2106">
        <v>-3700</v>
      </c>
      <c r="AB1304" s="2106">
        <v>-29615.039999999997</v>
      </c>
      <c r="AC1304" s="2106">
        <v>-40809.520000000004</v>
      </c>
      <c r="AD1304" s="1744">
        <v>-74124.56</v>
      </c>
      <c r="AE1304" s="2126">
        <v>56</v>
      </c>
      <c r="AF1304" s="2126">
        <v>-112</v>
      </c>
      <c r="AG1304" s="1212">
        <v>1</v>
      </c>
      <c r="AH1304" s="1212">
        <v>0</v>
      </c>
      <c r="AI1304" s="1212">
        <v>0</v>
      </c>
      <c r="AJ1304" s="1212">
        <v>1</v>
      </c>
      <c r="AK1304" s="2126">
        <v>-74124.56</v>
      </c>
      <c r="AL1304" s="2126">
        <v>0</v>
      </c>
      <c r="AM1304" s="2126">
        <v>0</v>
      </c>
      <c r="AN1304" s="2126">
        <v>-74124.56</v>
      </c>
      <c r="AO1304" s="1743" t="s">
        <v>85</v>
      </c>
      <c r="AP1304" s="1743" t="s">
        <v>96</v>
      </c>
      <c r="AQ1304" s="1764" t="s">
        <v>192</v>
      </c>
      <c r="AR1304" s="1743" t="s">
        <v>87</v>
      </c>
      <c r="AS1304" s="2135"/>
      <c r="AT1304" s="2135"/>
      <c r="AU1304" s="1212">
        <v>1</v>
      </c>
      <c r="AV1304" s="1212"/>
      <c r="AW1304" s="1212"/>
      <c r="AX1304" s="1212"/>
      <c r="AY1304" s="1212"/>
      <c r="AZ1304" s="1212"/>
      <c r="BA1304" s="1212"/>
      <c r="BB1304" s="1212"/>
      <c r="BC1304" s="1212"/>
      <c r="BD1304" s="1212"/>
      <c r="BE1304" s="1212"/>
      <c r="BF1304" s="2126">
        <v>0</v>
      </c>
      <c r="BG1304" s="2126">
        <v>0</v>
      </c>
      <c r="BH1304" s="2126">
        <v>-74124.56</v>
      </c>
      <c r="BI1304" s="2126">
        <v>0</v>
      </c>
      <c r="BJ1304" s="2126">
        <v>0</v>
      </c>
      <c r="BK1304" s="2126">
        <v>0</v>
      </c>
      <c r="BL1304" s="2126">
        <v>0</v>
      </c>
      <c r="BM1304" s="2126">
        <v>0</v>
      </c>
      <c r="BN1304" s="2126">
        <v>0</v>
      </c>
      <c r="BO1304" s="2126">
        <v>0</v>
      </c>
      <c r="BP1304" s="2126">
        <v>0</v>
      </c>
      <c r="BQ1304" s="2126">
        <v>0</v>
      </c>
      <c r="BR1304" s="2126">
        <v>0</v>
      </c>
    </row>
    <row r="1305" spans="1:70" s="1765" customFormat="1" ht="33">
      <c r="A1305" s="1272">
        <v>5000</v>
      </c>
      <c r="B1305" s="971" t="s">
        <v>2119</v>
      </c>
      <c r="C1305" s="1272">
        <v>5100</v>
      </c>
      <c r="D1305" s="971" t="s">
        <v>78</v>
      </c>
      <c r="E1305" s="971">
        <v>5140</v>
      </c>
      <c r="F1305" s="971" t="s">
        <v>176</v>
      </c>
      <c r="G1305" s="971">
        <v>5140</v>
      </c>
      <c r="H1305" s="971" t="s">
        <v>176</v>
      </c>
      <c r="I1305" s="1273" t="s">
        <v>2224</v>
      </c>
      <c r="J1305" s="971" t="s">
        <v>686</v>
      </c>
      <c r="K1305" s="971" t="s">
        <v>2123</v>
      </c>
      <c r="L1305" s="971" t="s">
        <v>2124</v>
      </c>
      <c r="M1305" s="971" t="s">
        <v>2123</v>
      </c>
      <c r="N1305" s="971" t="s">
        <v>179</v>
      </c>
      <c r="O1305" s="971" t="s">
        <v>2124</v>
      </c>
      <c r="P1305" s="971"/>
      <c r="Q1305" s="971" t="s">
        <v>2225</v>
      </c>
      <c r="R1305" s="1266"/>
      <c r="S1305" s="2106">
        <v>-2</v>
      </c>
      <c r="T1305" s="1266" t="s">
        <v>242</v>
      </c>
      <c r="U1305" s="1742">
        <v>19.2</v>
      </c>
      <c r="V1305" s="1742">
        <v>177.5</v>
      </c>
      <c r="W1305" s="1742">
        <v>1692.2879999999998</v>
      </c>
      <c r="X1305" s="1742">
        <v>1957.7540000000001</v>
      </c>
      <c r="Y1305" s="2106">
        <v>3827.5419999999995</v>
      </c>
      <c r="Z1305" s="2106">
        <v>-38.4</v>
      </c>
      <c r="AA1305" s="2106">
        <v>-355</v>
      </c>
      <c r="AB1305" s="2106">
        <v>-3384.5759999999996</v>
      </c>
      <c r="AC1305" s="2106">
        <v>-3915.5080000000003</v>
      </c>
      <c r="AD1305" s="1744">
        <v>-7655.0839999999998</v>
      </c>
      <c r="AE1305" s="2126">
        <v>1</v>
      </c>
      <c r="AF1305" s="2126">
        <v>-2</v>
      </c>
      <c r="AG1305" s="1212">
        <v>1</v>
      </c>
      <c r="AH1305" s="1212">
        <v>0</v>
      </c>
      <c r="AI1305" s="1212">
        <v>0</v>
      </c>
      <c r="AJ1305" s="1212">
        <v>1</v>
      </c>
      <c r="AK1305" s="2126">
        <v>-7655.0839999999998</v>
      </c>
      <c r="AL1305" s="2126">
        <v>0</v>
      </c>
      <c r="AM1305" s="2126">
        <v>0</v>
      </c>
      <c r="AN1305" s="2126">
        <v>-7655.0839999999998</v>
      </c>
      <c r="AO1305" s="1743" t="s">
        <v>85</v>
      </c>
      <c r="AP1305" s="1743" t="s">
        <v>96</v>
      </c>
      <c r="AQ1305" s="1764" t="s">
        <v>2141</v>
      </c>
      <c r="AR1305" s="1743" t="s">
        <v>87</v>
      </c>
      <c r="AS1305" s="2135"/>
      <c r="AT1305" s="2135"/>
      <c r="AU1305" s="1212">
        <v>1</v>
      </c>
      <c r="AV1305" s="1212"/>
      <c r="AW1305" s="1212"/>
      <c r="AX1305" s="1212"/>
      <c r="AY1305" s="1212"/>
      <c r="AZ1305" s="1212"/>
      <c r="BA1305" s="1212"/>
      <c r="BB1305" s="1212"/>
      <c r="BC1305" s="1212"/>
      <c r="BD1305" s="1212"/>
      <c r="BE1305" s="1212"/>
      <c r="BF1305" s="2126">
        <v>0</v>
      </c>
      <c r="BG1305" s="2126">
        <v>0</v>
      </c>
      <c r="BH1305" s="2126">
        <v>-7655.0839999999998</v>
      </c>
      <c r="BI1305" s="2126">
        <v>0</v>
      </c>
      <c r="BJ1305" s="2126">
        <v>0</v>
      </c>
      <c r="BK1305" s="2126">
        <v>0</v>
      </c>
      <c r="BL1305" s="2126">
        <v>0</v>
      </c>
      <c r="BM1305" s="2126">
        <v>0</v>
      </c>
      <c r="BN1305" s="2126">
        <v>0</v>
      </c>
      <c r="BO1305" s="2126">
        <v>0</v>
      </c>
      <c r="BP1305" s="2126">
        <v>0</v>
      </c>
      <c r="BQ1305" s="2126">
        <v>0</v>
      </c>
      <c r="BR1305" s="2126">
        <v>0</v>
      </c>
    </row>
    <row r="1306" spans="1:70" s="1765" customFormat="1" ht="33">
      <c r="A1306" s="1272">
        <v>5000</v>
      </c>
      <c r="B1306" s="971" t="s">
        <v>2119</v>
      </c>
      <c r="C1306" s="1272">
        <v>5100</v>
      </c>
      <c r="D1306" s="971" t="s">
        <v>78</v>
      </c>
      <c r="E1306" s="971">
        <v>5140</v>
      </c>
      <c r="F1306" s="971" t="s">
        <v>176</v>
      </c>
      <c r="G1306" s="971">
        <v>5140</v>
      </c>
      <c r="H1306" s="971" t="s">
        <v>176</v>
      </c>
      <c r="I1306" s="1273" t="s">
        <v>2224</v>
      </c>
      <c r="J1306" s="971" t="s">
        <v>686</v>
      </c>
      <c r="K1306" s="971" t="s">
        <v>2123</v>
      </c>
      <c r="L1306" s="971" t="s">
        <v>2124</v>
      </c>
      <c r="M1306" s="971" t="s">
        <v>2123</v>
      </c>
      <c r="N1306" s="971" t="s">
        <v>179</v>
      </c>
      <c r="O1306" s="971" t="s">
        <v>2124</v>
      </c>
      <c r="P1306" s="971"/>
      <c r="Q1306" s="971" t="s">
        <v>2226</v>
      </c>
      <c r="R1306" s="1266"/>
      <c r="S1306" s="2106">
        <v>-3</v>
      </c>
      <c r="T1306" s="1266" t="s">
        <v>242</v>
      </c>
      <c r="U1306" s="1742">
        <v>19.2</v>
      </c>
      <c r="V1306" s="1742">
        <v>177.5</v>
      </c>
      <c r="W1306" s="1742">
        <v>1692.2879999999998</v>
      </c>
      <c r="X1306" s="1742">
        <v>1957.7540000000001</v>
      </c>
      <c r="Y1306" s="2106">
        <v>3827.5419999999995</v>
      </c>
      <c r="Z1306" s="2106">
        <v>-57.599999999999994</v>
      </c>
      <c r="AA1306" s="2106">
        <v>-532.5</v>
      </c>
      <c r="AB1306" s="2106">
        <v>-5076.8639999999996</v>
      </c>
      <c r="AC1306" s="2106">
        <v>-5873.2620000000006</v>
      </c>
      <c r="AD1306" s="1744">
        <v>-11482.626</v>
      </c>
      <c r="AE1306" s="2126">
        <v>1</v>
      </c>
      <c r="AF1306" s="2126">
        <v>-3</v>
      </c>
      <c r="AG1306" s="1212">
        <v>1</v>
      </c>
      <c r="AH1306" s="1212">
        <v>0</v>
      </c>
      <c r="AI1306" s="1212">
        <v>0</v>
      </c>
      <c r="AJ1306" s="1212">
        <v>1</v>
      </c>
      <c r="AK1306" s="2126">
        <v>-11482.626</v>
      </c>
      <c r="AL1306" s="2126">
        <v>0</v>
      </c>
      <c r="AM1306" s="2126">
        <v>0</v>
      </c>
      <c r="AN1306" s="2126">
        <v>-11482.626</v>
      </c>
      <c r="AO1306" s="1743" t="s">
        <v>85</v>
      </c>
      <c r="AP1306" s="1743" t="s">
        <v>96</v>
      </c>
      <c r="AQ1306" s="1764" t="s">
        <v>2141</v>
      </c>
      <c r="AR1306" s="1743" t="s">
        <v>87</v>
      </c>
      <c r="AS1306" s="2135"/>
      <c r="AT1306" s="2135"/>
      <c r="AU1306" s="1212">
        <v>1</v>
      </c>
      <c r="AV1306" s="1212"/>
      <c r="AW1306" s="1212"/>
      <c r="AX1306" s="1212"/>
      <c r="AY1306" s="1212"/>
      <c r="AZ1306" s="1212"/>
      <c r="BA1306" s="1212"/>
      <c r="BB1306" s="1212"/>
      <c r="BC1306" s="1212"/>
      <c r="BD1306" s="1212"/>
      <c r="BE1306" s="1212"/>
      <c r="BF1306" s="2126">
        <v>0</v>
      </c>
      <c r="BG1306" s="2126">
        <v>0</v>
      </c>
      <c r="BH1306" s="2126">
        <v>-11482.626</v>
      </c>
      <c r="BI1306" s="2126">
        <v>0</v>
      </c>
      <c r="BJ1306" s="2126">
        <v>0</v>
      </c>
      <c r="BK1306" s="2126">
        <v>0</v>
      </c>
      <c r="BL1306" s="2126">
        <v>0</v>
      </c>
      <c r="BM1306" s="2126">
        <v>0</v>
      </c>
      <c r="BN1306" s="2126">
        <v>0</v>
      </c>
      <c r="BO1306" s="2126">
        <v>0</v>
      </c>
      <c r="BP1306" s="2126">
        <v>0</v>
      </c>
      <c r="BQ1306" s="2126">
        <v>0</v>
      </c>
      <c r="BR1306" s="2126">
        <v>0</v>
      </c>
    </row>
    <row r="1307" spans="1:70" s="1765" customFormat="1" ht="33">
      <c r="A1307" s="1272">
        <v>5000</v>
      </c>
      <c r="B1307" s="971" t="s">
        <v>2119</v>
      </c>
      <c r="C1307" s="1272">
        <v>5100</v>
      </c>
      <c r="D1307" s="971" t="s">
        <v>78</v>
      </c>
      <c r="E1307" s="971">
        <v>5140</v>
      </c>
      <c r="F1307" s="971" t="s">
        <v>176</v>
      </c>
      <c r="G1307" s="971">
        <v>5140</v>
      </c>
      <c r="H1307" s="971" t="s">
        <v>176</v>
      </c>
      <c r="I1307" s="1273" t="s">
        <v>2224</v>
      </c>
      <c r="J1307" s="971" t="s">
        <v>686</v>
      </c>
      <c r="K1307" s="971" t="s">
        <v>2123</v>
      </c>
      <c r="L1307" s="971" t="s">
        <v>2124</v>
      </c>
      <c r="M1307" s="971" t="s">
        <v>2123</v>
      </c>
      <c r="N1307" s="971" t="s">
        <v>179</v>
      </c>
      <c r="O1307" s="971" t="s">
        <v>2124</v>
      </c>
      <c r="P1307" s="971"/>
      <c r="Q1307" s="971" t="s">
        <v>2227</v>
      </c>
      <c r="R1307" s="1266"/>
      <c r="S1307" s="2106">
        <v>-4</v>
      </c>
      <c r="T1307" s="1266" t="s">
        <v>242</v>
      </c>
      <c r="U1307" s="1742">
        <v>19.2</v>
      </c>
      <c r="V1307" s="1742">
        <v>177.5</v>
      </c>
      <c r="W1307" s="1742">
        <v>1692.2879999999998</v>
      </c>
      <c r="X1307" s="1742">
        <v>1957.7540000000001</v>
      </c>
      <c r="Y1307" s="2106">
        <v>3827.5419999999995</v>
      </c>
      <c r="Z1307" s="2106">
        <v>-76.8</v>
      </c>
      <c r="AA1307" s="2106">
        <v>-710</v>
      </c>
      <c r="AB1307" s="2106">
        <v>-6769.1519999999991</v>
      </c>
      <c r="AC1307" s="2106">
        <v>-7831.0160000000005</v>
      </c>
      <c r="AD1307" s="1744">
        <v>-15310.168</v>
      </c>
      <c r="AE1307" s="2126">
        <v>1</v>
      </c>
      <c r="AF1307" s="2126">
        <v>-4</v>
      </c>
      <c r="AG1307" s="1212">
        <v>1</v>
      </c>
      <c r="AH1307" s="1212">
        <v>0</v>
      </c>
      <c r="AI1307" s="1212">
        <v>0</v>
      </c>
      <c r="AJ1307" s="1212">
        <v>1</v>
      </c>
      <c r="AK1307" s="2126">
        <v>-15310.168</v>
      </c>
      <c r="AL1307" s="2126">
        <v>0</v>
      </c>
      <c r="AM1307" s="2126">
        <v>0</v>
      </c>
      <c r="AN1307" s="2126">
        <v>-15310.168</v>
      </c>
      <c r="AO1307" s="1743" t="s">
        <v>85</v>
      </c>
      <c r="AP1307" s="1743" t="s">
        <v>96</v>
      </c>
      <c r="AQ1307" s="1764" t="s">
        <v>2141</v>
      </c>
      <c r="AR1307" s="1743" t="s">
        <v>87</v>
      </c>
      <c r="AS1307" s="2135"/>
      <c r="AT1307" s="2135"/>
      <c r="AU1307" s="1212">
        <v>1</v>
      </c>
      <c r="AV1307" s="1212"/>
      <c r="AW1307" s="1212"/>
      <c r="AX1307" s="1212"/>
      <c r="AY1307" s="1212"/>
      <c r="AZ1307" s="1212"/>
      <c r="BA1307" s="1212"/>
      <c r="BB1307" s="1212"/>
      <c r="BC1307" s="1212"/>
      <c r="BD1307" s="1212"/>
      <c r="BE1307" s="1212"/>
      <c r="BF1307" s="2126">
        <v>0</v>
      </c>
      <c r="BG1307" s="2126">
        <v>0</v>
      </c>
      <c r="BH1307" s="2126">
        <v>-15310.168</v>
      </c>
      <c r="BI1307" s="2126">
        <v>0</v>
      </c>
      <c r="BJ1307" s="2126">
        <v>0</v>
      </c>
      <c r="BK1307" s="2126">
        <v>0</v>
      </c>
      <c r="BL1307" s="2126">
        <v>0</v>
      </c>
      <c r="BM1307" s="2126">
        <v>0</v>
      </c>
      <c r="BN1307" s="2126">
        <v>0</v>
      </c>
      <c r="BO1307" s="2126">
        <v>0</v>
      </c>
      <c r="BP1307" s="2126">
        <v>0</v>
      </c>
      <c r="BQ1307" s="2126">
        <v>0</v>
      </c>
      <c r="BR1307" s="2126">
        <v>0</v>
      </c>
    </row>
    <row r="1308" spans="1:70" s="1765" customFormat="1" ht="33">
      <c r="A1308" s="1272">
        <v>5000</v>
      </c>
      <c r="B1308" s="971" t="s">
        <v>2119</v>
      </c>
      <c r="C1308" s="1272">
        <v>5100</v>
      </c>
      <c r="D1308" s="971" t="s">
        <v>78</v>
      </c>
      <c r="E1308" s="971">
        <v>5140</v>
      </c>
      <c r="F1308" s="971" t="s">
        <v>176</v>
      </c>
      <c r="G1308" s="971">
        <v>5140</v>
      </c>
      <c r="H1308" s="971" t="s">
        <v>176</v>
      </c>
      <c r="I1308" s="1273" t="s">
        <v>2224</v>
      </c>
      <c r="J1308" s="971" t="s">
        <v>686</v>
      </c>
      <c r="K1308" s="971" t="s">
        <v>2123</v>
      </c>
      <c r="L1308" s="971" t="s">
        <v>2124</v>
      </c>
      <c r="M1308" s="971" t="s">
        <v>2123</v>
      </c>
      <c r="N1308" s="971" t="s">
        <v>179</v>
      </c>
      <c r="O1308" s="971" t="s">
        <v>2124</v>
      </c>
      <c r="P1308" s="971"/>
      <c r="Q1308" s="971" t="s">
        <v>2225</v>
      </c>
      <c r="R1308" s="1266"/>
      <c r="S1308" s="2106">
        <v>2</v>
      </c>
      <c r="T1308" s="1266" t="s">
        <v>242</v>
      </c>
      <c r="U1308" s="1742">
        <v>19.2</v>
      </c>
      <c r="V1308" s="1742">
        <v>177.5</v>
      </c>
      <c r="W1308" s="1742">
        <v>1692.2879999999998</v>
      </c>
      <c r="X1308" s="1742">
        <v>1957.7540000000001</v>
      </c>
      <c r="Y1308" s="2106">
        <v>3827.5419999999995</v>
      </c>
      <c r="Z1308" s="2106">
        <v>38.4</v>
      </c>
      <c r="AA1308" s="2106">
        <v>355</v>
      </c>
      <c r="AB1308" s="2106">
        <v>3384.5759999999996</v>
      </c>
      <c r="AC1308" s="2106">
        <v>3915.5080000000003</v>
      </c>
      <c r="AD1308" s="1744">
        <v>7655.0839999999998</v>
      </c>
      <c r="AE1308" s="2126">
        <v>1</v>
      </c>
      <c r="AF1308" s="2126">
        <v>2</v>
      </c>
      <c r="AG1308" s="1212">
        <v>1</v>
      </c>
      <c r="AH1308" s="1212">
        <v>0</v>
      </c>
      <c r="AI1308" s="1212">
        <v>0</v>
      </c>
      <c r="AJ1308" s="1212">
        <v>1</v>
      </c>
      <c r="AK1308" s="2126">
        <v>7655.0839999999998</v>
      </c>
      <c r="AL1308" s="2126">
        <v>0</v>
      </c>
      <c r="AM1308" s="2126">
        <v>0</v>
      </c>
      <c r="AN1308" s="2126">
        <v>7655.0839999999998</v>
      </c>
      <c r="AO1308" s="1743" t="s">
        <v>85</v>
      </c>
      <c r="AP1308" s="1743" t="s">
        <v>90</v>
      </c>
      <c r="AQ1308" s="1764">
        <v>2020</v>
      </c>
      <c r="AR1308" s="1743" t="s">
        <v>87</v>
      </c>
      <c r="AS1308" s="2135"/>
      <c r="AT1308" s="2135"/>
      <c r="AU1308" s="1212">
        <v>1</v>
      </c>
      <c r="AV1308" s="1212"/>
      <c r="AW1308" s="1212"/>
      <c r="AX1308" s="1212"/>
      <c r="AY1308" s="1212"/>
      <c r="AZ1308" s="1212"/>
      <c r="BA1308" s="1212"/>
      <c r="BB1308" s="1212"/>
      <c r="BC1308" s="1212"/>
      <c r="BD1308" s="1212"/>
      <c r="BE1308" s="1212"/>
      <c r="BF1308" s="2126">
        <v>0</v>
      </c>
      <c r="BG1308" s="2126">
        <v>0</v>
      </c>
      <c r="BH1308" s="2126">
        <v>7655.0839999999998</v>
      </c>
      <c r="BI1308" s="2126">
        <v>0</v>
      </c>
      <c r="BJ1308" s="2126">
        <v>0</v>
      </c>
      <c r="BK1308" s="2126">
        <v>0</v>
      </c>
      <c r="BL1308" s="2126">
        <v>0</v>
      </c>
      <c r="BM1308" s="2126">
        <v>0</v>
      </c>
      <c r="BN1308" s="2126">
        <v>0</v>
      </c>
      <c r="BO1308" s="2126">
        <v>0</v>
      </c>
      <c r="BP1308" s="2126">
        <v>0</v>
      </c>
      <c r="BQ1308" s="2126">
        <v>0</v>
      </c>
      <c r="BR1308" s="2126">
        <v>0</v>
      </c>
    </row>
    <row r="1309" spans="1:70" s="1765" customFormat="1" ht="33">
      <c r="A1309" s="1272">
        <v>5000</v>
      </c>
      <c r="B1309" s="971" t="s">
        <v>2119</v>
      </c>
      <c r="C1309" s="1272">
        <v>5100</v>
      </c>
      <c r="D1309" s="971" t="s">
        <v>78</v>
      </c>
      <c r="E1309" s="971">
        <v>5140</v>
      </c>
      <c r="F1309" s="971" t="s">
        <v>176</v>
      </c>
      <c r="G1309" s="971">
        <v>5140</v>
      </c>
      <c r="H1309" s="971" t="s">
        <v>176</v>
      </c>
      <c r="I1309" s="1273" t="s">
        <v>2224</v>
      </c>
      <c r="J1309" s="971" t="s">
        <v>686</v>
      </c>
      <c r="K1309" s="971" t="s">
        <v>2123</v>
      </c>
      <c r="L1309" s="971" t="s">
        <v>2124</v>
      </c>
      <c r="M1309" s="971" t="s">
        <v>2123</v>
      </c>
      <c r="N1309" s="971" t="s">
        <v>179</v>
      </c>
      <c r="O1309" s="971" t="s">
        <v>2124</v>
      </c>
      <c r="P1309" s="971"/>
      <c r="Q1309" s="971" t="s">
        <v>2226</v>
      </c>
      <c r="R1309" s="1266"/>
      <c r="S1309" s="2106">
        <v>3</v>
      </c>
      <c r="T1309" s="1266" t="s">
        <v>242</v>
      </c>
      <c r="U1309" s="1742">
        <v>19.2</v>
      </c>
      <c r="V1309" s="1742">
        <v>177.5</v>
      </c>
      <c r="W1309" s="1742">
        <v>1692.2879999999998</v>
      </c>
      <c r="X1309" s="1742">
        <v>1957.7540000000001</v>
      </c>
      <c r="Y1309" s="2106">
        <v>3827.5419999999995</v>
      </c>
      <c r="Z1309" s="2106">
        <v>57.599999999999994</v>
      </c>
      <c r="AA1309" s="2106">
        <v>532.5</v>
      </c>
      <c r="AB1309" s="2106">
        <v>5076.8639999999996</v>
      </c>
      <c r="AC1309" s="2106">
        <v>5873.2620000000006</v>
      </c>
      <c r="AD1309" s="1744">
        <v>11482.626</v>
      </c>
      <c r="AE1309" s="2126">
        <v>1</v>
      </c>
      <c r="AF1309" s="2126">
        <v>3</v>
      </c>
      <c r="AG1309" s="1212">
        <v>1</v>
      </c>
      <c r="AH1309" s="1212">
        <v>0</v>
      </c>
      <c r="AI1309" s="1212">
        <v>0</v>
      </c>
      <c r="AJ1309" s="1212">
        <v>1</v>
      </c>
      <c r="AK1309" s="2126">
        <v>11482.626</v>
      </c>
      <c r="AL1309" s="2126">
        <v>0</v>
      </c>
      <c r="AM1309" s="2126">
        <v>0</v>
      </c>
      <c r="AN1309" s="2126">
        <v>11482.626</v>
      </c>
      <c r="AO1309" s="1743" t="s">
        <v>85</v>
      </c>
      <c r="AP1309" s="1743" t="s">
        <v>90</v>
      </c>
      <c r="AQ1309" s="1764">
        <v>2020</v>
      </c>
      <c r="AR1309" s="1743" t="s">
        <v>87</v>
      </c>
      <c r="AS1309" s="2135"/>
      <c r="AT1309" s="2135"/>
      <c r="AU1309" s="1212">
        <v>1</v>
      </c>
      <c r="AV1309" s="1212"/>
      <c r="AW1309" s="1212"/>
      <c r="AX1309" s="1212"/>
      <c r="AY1309" s="1212"/>
      <c r="AZ1309" s="1212"/>
      <c r="BA1309" s="1212"/>
      <c r="BB1309" s="1212"/>
      <c r="BC1309" s="1212"/>
      <c r="BD1309" s="1212"/>
      <c r="BE1309" s="1212"/>
      <c r="BF1309" s="2126">
        <v>0</v>
      </c>
      <c r="BG1309" s="2126">
        <v>0</v>
      </c>
      <c r="BH1309" s="2126">
        <v>11482.626</v>
      </c>
      <c r="BI1309" s="2126">
        <v>0</v>
      </c>
      <c r="BJ1309" s="2126">
        <v>0</v>
      </c>
      <c r="BK1309" s="2126">
        <v>0</v>
      </c>
      <c r="BL1309" s="2126">
        <v>0</v>
      </c>
      <c r="BM1309" s="2126">
        <v>0</v>
      </c>
      <c r="BN1309" s="2126">
        <v>0</v>
      </c>
      <c r="BO1309" s="2126">
        <v>0</v>
      </c>
      <c r="BP1309" s="2126">
        <v>0</v>
      </c>
      <c r="BQ1309" s="2126">
        <v>0</v>
      </c>
      <c r="BR1309" s="2126">
        <v>0</v>
      </c>
    </row>
    <row r="1310" spans="1:70" s="1765" customFormat="1" ht="33">
      <c r="A1310" s="1272">
        <v>5000</v>
      </c>
      <c r="B1310" s="971" t="s">
        <v>2119</v>
      </c>
      <c r="C1310" s="1272">
        <v>5100</v>
      </c>
      <c r="D1310" s="971" t="s">
        <v>78</v>
      </c>
      <c r="E1310" s="971">
        <v>5140</v>
      </c>
      <c r="F1310" s="971" t="s">
        <v>176</v>
      </c>
      <c r="G1310" s="971">
        <v>5140</v>
      </c>
      <c r="H1310" s="971" t="s">
        <v>176</v>
      </c>
      <c r="I1310" s="1273" t="s">
        <v>2224</v>
      </c>
      <c r="J1310" s="971" t="s">
        <v>686</v>
      </c>
      <c r="K1310" s="971" t="s">
        <v>2123</v>
      </c>
      <c r="L1310" s="971" t="s">
        <v>2124</v>
      </c>
      <c r="M1310" s="971" t="s">
        <v>2123</v>
      </c>
      <c r="N1310" s="971" t="s">
        <v>179</v>
      </c>
      <c r="O1310" s="971" t="s">
        <v>2124</v>
      </c>
      <c r="P1310" s="971"/>
      <c r="Q1310" s="971" t="s">
        <v>2227</v>
      </c>
      <c r="R1310" s="1266"/>
      <c r="S1310" s="2106">
        <v>4</v>
      </c>
      <c r="T1310" s="1266" t="s">
        <v>242</v>
      </c>
      <c r="U1310" s="1742">
        <v>19.2</v>
      </c>
      <c r="V1310" s="1742">
        <v>177.5</v>
      </c>
      <c r="W1310" s="1742">
        <v>1692.2879999999998</v>
      </c>
      <c r="X1310" s="1742">
        <v>1957.7540000000001</v>
      </c>
      <c r="Y1310" s="2106">
        <v>3827.5419999999995</v>
      </c>
      <c r="Z1310" s="2106">
        <v>76.8</v>
      </c>
      <c r="AA1310" s="2106">
        <v>710</v>
      </c>
      <c r="AB1310" s="2106">
        <v>6769.1519999999991</v>
      </c>
      <c r="AC1310" s="2106">
        <v>7831.0160000000005</v>
      </c>
      <c r="AD1310" s="1744">
        <v>15310.168</v>
      </c>
      <c r="AE1310" s="2126">
        <v>1</v>
      </c>
      <c r="AF1310" s="2126">
        <v>4</v>
      </c>
      <c r="AG1310" s="1212">
        <v>1</v>
      </c>
      <c r="AH1310" s="1212">
        <v>0</v>
      </c>
      <c r="AI1310" s="1212">
        <v>0</v>
      </c>
      <c r="AJ1310" s="1212">
        <v>1</v>
      </c>
      <c r="AK1310" s="2126">
        <v>15310.168</v>
      </c>
      <c r="AL1310" s="2126">
        <v>0</v>
      </c>
      <c r="AM1310" s="2126">
        <v>0</v>
      </c>
      <c r="AN1310" s="2126">
        <v>15310.168</v>
      </c>
      <c r="AO1310" s="1743" t="s">
        <v>85</v>
      </c>
      <c r="AP1310" s="1743" t="s">
        <v>90</v>
      </c>
      <c r="AQ1310" s="1764">
        <v>2020</v>
      </c>
      <c r="AR1310" s="1743" t="s">
        <v>87</v>
      </c>
      <c r="AS1310" s="2135"/>
      <c r="AT1310" s="2135"/>
      <c r="AU1310" s="1212">
        <v>1</v>
      </c>
      <c r="AV1310" s="1212"/>
      <c r="AW1310" s="1212"/>
      <c r="AX1310" s="1212"/>
      <c r="AY1310" s="1212"/>
      <c r="AZ1310" s="1212"/>
      <c r="BA1310" s="1212"/>
      <c r="BB1310" s="1212"/>
      <c r="BC1310" s="1212"/>
      <c r="BD1310" s="1212"/>
      <c r="BE1310" s="1212"/>
      <c r="BF1310" s="2126">
        <v>0</v>
      </c>
      <c r="BG1310" s="2126">
        <v>0</v>
      </c>
      <c r="BH1310" s="2126">
        <v>15310.168</v>
      </c>
      <c r="BI1310" s="2126">
        <v>0</v>
      </c>
      <c r="BJ1310" s="2126">
        <v>0</v>
      </c>
      <c r="BK1310" s="2126">
        <v>0</v>
      </c>
      <c r="BL1310" s="2126">
        <v>0</v>
      </c>
      <c r="BM1310" s="2126">
        <v>0</v>
      </c>
      <c r="BN1310" s="2126">
        <v>0</v>
      </c>
      <c r="BO1310" s="2126">
        <v>0</v>
      </c>
      <c r="BP1310" s="2126">
        <v>0</v>
      </c>
      <c r="BQ1310" s="2126">
        <v>0</v>
      </c>
      <c r="BR1310" s="2126">
        <v>0</v>
      </c>
    </row>
    <row r="1311" spans="1:70" s="1765" customFormat="1" ht="33">
      <c r="A1311" s="1272">
        <v>5000</v>
      </c>
      <c r="B1311" s="971" t="s">
        <v>2119</v>
      </c>
      <c r="C1311" s="1272">
        <v>5100</v>
      </c>
      <c r="D1311" s="971" t="s">
        <v>78</v>
      </c>
      <c r="E1311" s="971">
        <v>5140</v>
      </c>
      <c r="F1311" s="971" t="s">
        <v>176</v>
      </c>
      <c r="G1311" s="971">
        <v>5140</v>
      </c>
      <c r="H1311" s="971" t="s">
        <v>176</v>
      </c>
      <c r="I1311" s="1273"/>
      <c r="J1311" s="971" t="s">
        <v>2146</v>
      </c>
      <c r="K1311" s="971" t="s">
        <v>2129</v>
      </c>
      <c r="L1311" s="971" t="s">
        <v>2130</v>
      </c>
      <c r="M1311" s="971" t="s">
        <v>2129</v>
      </c>
      <c r="N1311" s="971" t="s">
        <v>176</v>
      </c>
      <c r="O1311" s="971" t="s">
        <v>2130</v>
      </c>
      <c r="P1311" s="971"/>
      <c r="Q1311" s="971" t="s">
        <v>2228</v>
      </c>
      <c r="R1311" s="1266"/>
      <c r="S1311" s="2106">
        <v>-1</v>
      </c>
      <c r="T1311" s="1266" t="s">
        <v>242</v>
      </c>
      <c r="U1311" s="1742">
        <v>6.666666666666667</v>
      </c>
      <c r="V1311" s="1742">
        <v>20.833333333333336</v>
      </c>
      <c r="W1311" s="1742">
        <v>587.6</v>
      </c>
      <c r="X1311" s="1742">
        <v>229.78333333333333</v>
      </c>
      <c r="Y1311" s="2106">
        <v>838.2166666666667</v>
      </c>
      <c r="Z1311" s="2106">
        <v>-6.666666666666667</v>
      </c>
      <c r="AA1311" s="2106">
        <v>-20.833333333333336</v>
      </c>
      <c r="AB1311" s="2106">
        <v>-587.6</v>
      </c>
      <c r="AC1311" s="2106">
        <v>-229.78333333333333</v>
      </c>
      <c r="AD1311" s="1744">
        <v>-838.2166666666667</v>
      </c>
      <c r="AE1311" s="2126">
        <v>4</v>
      </c>
      <c r="AF1311" s="2126">
        <v>-4</v>
      </c>
      <c r="AG1311" s="1212">
        <v>1</v>
      </c>
      <c r="AH1311" s="1212">
        <v>0</v>
      </c>
      <c r="AI1311" s="1212">
        <v>0</v>
      </c>
      <c r="AJ1311" s="1212">
        <v>1</v>
      </c>
      <c r="AK1311" s="2126">
        <v>-838.2166666666667</v>
      </c>
      <c r="AL1311" s="2126">
        <v>0</v>
      </c>
      <c r="AM1311" s="2126">
        <v>0</v>
      </c>
      <c r="AN1311" s="2126">
        <v>-838.2166666666667</v>
      </c>
      <c r="AO1311" s="1743" t="s">
        <v>85</v>
      </c>
      <c r="AP1311" s="1743" t="s">
        <v>96</v>
      </c>
      <c r="AQ1311" s="1764" t="s">
        <v>192</v>
      </c>
      <c r="AR1311" s="1743" t="s">
        <v>87</v>
      </c>
      <c r="AS1311" s="2135"/>
      <c r="AT1311" s="2135"/>
      <c r="AU1311" s="1212">
        <v>1</v>
      </c>
      <c r="AV1311" s="1212"/>
      <c r="AW1311" s="1212"/>
      <c r="AX1311" s="1212"/>
      <c r="AY1311" s="1212"/>
      <c r="AZ1311" s="1212"/>
      <c r="BA1311" s="1212"/>
      <c r="BB1311" s="1212"/>
      <c r="BC1311" s="1212"/>
      <c r="BD1311" s="1212"/>
      <c r="BE1311" s="1212"/>
      <c r="BF1311" s="2126">
        <v>0</v>
      </c>
      <c r="BG1311" s="2126">
        <v>0</v>
      </c>
      <c r="BH1311" s="2126">
        <v>-838.2166666666667</v>
      </c>
      <c r="BI1311" s="2126">
        <v>0</v>
      </c>
      <c r="BJ1311" s="2126">
        <v>0</v>
      </c>
      <c r="BK1311" s="2126">
        <v>0</v>
      </c>
      <c r="BL1311" s="2126">
        <v>0</v>
      </c>
      <c r="BM1311" s="2126">
        <v>0</v>
      </c>
      <c r="BN1311" s="2126">
        <v>0</v>
      </c>
      <c r="BO1311" s="2126">
        <v>0</v>
      </c>
      <c r="BP1311" s="2126">
        <v>0</v>
      </c>
      <c r="BQ1311" s="2126">
        <v>0</v>
      </c>
      <c r="BR1311" s="2126">
        <v>0</v>
      </c>
    </row>
    <row r="1312" spans="1:70" s="1765" customFormat="1" ht="33">
      <c r="A1312" s="1272">
        <v>5000</v>
      </c>
      <c r="B1312" s="971" t="s">
        <v>2119</v>
      </c>
      <c r="C1312" s="1272">
        <v>5100</v>
      </c>
      <c r="D1312" s="971" t="s">
        <v>78</v>
      </c>
      <c r="E1312" s="971">
        <v>5140</v>
      </c>
      <c r="F1312" s="971" t="s">
        <v>176</v>
      </c>
      <c r="G1312" s="971">
        <v>5140</v>
      </c>
      <c r="H1312" s="971" t="s">
        <v>176</v>
      </c>
      <c r="I1312" s="1273"/>
      <c r="J1312" s="971" t="s">
        <v>2146</v>
      </c>
      <c r="K1312" s="971" t="s">
        <v>2129</v>
      </c>
      <c r="L1312" s="971" t="s">
        <v>2130</v>
      </c>
      <c r="M1312" s="971" t="s">
        <v>2129</v>
      </c>
      <c r="N1312" s="971" t="s">
        <v>176</v>
      </c>
      <c r="O1312" s="971" t="s">
        <v>2130</v>
      </c>
      <c r="P1312" s="971"/>
      <c r="Q1312" s="971" t="s">
        <v>2229</v>
      </c>
      <c r="R1312" s="1266"/>
      <c r="S1312" s="2106">
        <v>-2</v>
      </c>
      <c r="T1312" s="1266" t="s">
        <v>242</v>
      </c>
      <c r="U1312" s="1742">
        <v>6.666666666666667</v>
      </c>
      <c r="V1312" s="1742">
        <v>20.833333333333336</v>
      </c>
      <c r="W1312" s="1742">
        <v>587.6</v>
      </c>
      <c r="X1312" s="1742">
        <v>229.78333333333333</v>
      </c>
      <c r="Y1312" s="2106">
        <v>838.2166666666667</v>
      </c>
      <c r="Z1312" s="2106">
        <v>-13.333333333333334</v>
      </c>
      <c r="AA1312" s="2106">
        <v>-41.666666666666671</v>
      </c>
      <c r="AB1312" s="2106">
        <v>-1175.2</v>
      </c>
      <c r="AC1312" s="2106">
        <v>-459.56666666666666</v>
      </c>
      <c r="AD1312" s="1744">
        <v>-1676.4333333333334</v>
      </c>
      <c r="AE1312" s="2126">
        <v>4</v>
      </c>
      <c r="AF1312" s="2126">
        <v>-8</v>
      </c>
      <c r="AG1312" s="1212">
        <v>1</v>
      </c>
      <c r="AH1312" s="1212">
        <v>0</v>
      </c>
      <c r="AI1312" s="1212">
        <v>0</v>
      </c>
      <c r="AJ1312" s="1212">
        <v>1</v>
      </c>
      <c r="AK1312" s="2126">
        <v>-1676.4333333333334</v>
      </c>
      <c r="AL1312" s="2126">
        <v>0</v>
      </c>
      <c r="AM1312" s="2126">
        <v>0</v>
      </c>
      <c r="AN1312" s="2126">
        <v>-1676.4333333333334</v>
      </c>
      <c r="AO1312" s="1743" t="s">
        <v>85</v>
      </c>
      <c r="AP1312" s="1743" t="s">
        <v>1262</v>
      </c>
      <c r="AQ1312" s="1764" t="s">
        <v>192</v>
      </c>
      <c r="AR1312" s="1743" t="s">
        <v>87</v>
      </c>
      <c r="AS1312" s="2135"/>
      <c r="AT1312" s="2135"/>
      <c r="AU1312" s="1212">
        <v>1</v>
      </c>
      <c r="AV1312" s="1212"/>
      <c r="AW1312" s="1212"/>
      <c r="AX1312" s="1212"/>
      <c r="AY1312" s="1212"/>
      <c r="AZ1312" s="1212"/>
      <c r="BA1312" s="1212"/>
      <c r="BB1312" s="1212"/>
      <c r="BC1312" s="1212"/>
      <c r="BD1312" s="1212"/>
      <c r="BE1312" s="1212"/>
      <c r="BF1312" s="2126">
        <v>0</v>
      </c>
      <c r="BG1312" s="2126">
        <v>0</v>
      </c>
      <c r="BH1312" s="2126">
        <v>-1676.4333333333334</v>
      </c>
      <c r="BI1312" s="2126">
        <v>0</v>
      </c>
      <c r="BJ1312" s="2126">
        <v>0</v>
      </c>
      <c r="BK1312" s="2126">
        <v>0</v>
      </c>
      <c r="BL1312" s="2126">
        <v>0</v>
      </c>
      <c r="BM1312" s="2126">
        <v>0</v>
      </c>
      <c r="BN1312" s="2126">
        <v>0</v>
      </c>
      <c r="BO1312" s="2126">
        <v>0</v>
      </c>
      <c r="BP1312" s="2126">
        <v>0</v>
      </c>
      <c r="BQ1312" s="2126">
        <v>0</v>
      </c>
      <c r="BR1312" s="2126">
        <v>0</v>
      </c>
    </row>
    <row r="1313" spans="1:70" s="1765" customFormat="1" ht="33">
      <c r="A1313" s="1272">
        <v>5000</v>
      </c>
      <c r="B1313" s="971" t="s">
        <v>2119</v>
      </c>
      <c r="C1313" s="1272">
        <v>5100</v>
      </c>
      <c r="D1313" s="971" t="s">
        <v>78</v>
      </c>
      <c r="E1313" s="971">
        <v>5140</v>
      </c>
      <c r="F1313" s="971" t="s">
        <v>176</v>
      </c>
      <c r="G1313" s="971">
        <v>5140</v>
      </c>
      <c r="H1313" s="971" t="s">
        <v>176</v>
      </c>
      <c r="I1313" s="1273"/>
      <c r="J1313" s="971" t="s">
        <v>2146</v>
      </c>
      <c r="K1313" s="971" t="s">
        <v>2129</v>
      </c>
      <c r="L1313" s="971" t="s">
        <v>2130</v>
      </c>
      <c r="M1313" s="971" t="s">
        <v>2129</v>
      </c>
      <c r="N1313" s="971" t="s">
        <v>176</v>
      </c>
      <c r="O1313" s="971" t="s">
        <v>2130</v>
      </c>
      <c r="P1313" s="971"/>
      <c r="Q1313" s="971" t="s">
        <v>2230</v>
      </c>
      <c r="R1313" s="1266"/>
      <c r="S1313" s="2106">
        <v>-7</v>
      </c>
      <c r="T1313" s="1266" t="s">
        <v>242</v>
      </c>
      <c r="U1313" s="1742">
        <v>6.666666666666667</v>
      </c>
      <c r="V1313" s="1742">
        <v>20.833333333333336</v>
      </c>
      <c r="W1313" s="1742">
        <v>587.6</v>
      </c>
      <c r="X1313" s="1742">
        <v>229.78333333333333</v>
      </c>
      <c r="Y1313" s="2106">
        <v>838.2166666666667</v>
      </c>
      <c r="Z1313" s="2106">
        <v>-46.666666666666671</v>
      </c>
      <c r="AA1313" s="2106">
        <v>-145.83333333333334</v>
      </c>
      <c r="AB1313" s="2106">
        <v>-4113.2</v>
      </c>
      <c r="AC1313" s="2106">
        <v>-1608.4833333333333</v>
      </c>
      <c r="AD1313" s="1744">
        <v>-5867.5166666666664</v>
      </c>
      <c r="AE1313" s="2126">
        <v>4</v>
      </c>
      <c r="AF1313" s="2126">
        <v>-28</v>
      </c>
      <c r="AG1313" s="1212">
        <v>1</v>
      </c>
      <c r="AH1313" s="1212">
        <v>0</v>
      </c>
      <c r="AI1313" s="1212">
        <v>0</v>
      </c>
      <c r="AJ1313" s="1212">
        <v>1</v>
      </c>
      <c r="AK1313" s="2126">
        <v>-5867.5166666666664</v>
      </c>
      <c r="AL1313" s="2126">
        <v>0</v>
      </c>
      <c r="AM1313" s="2126">
        <v>0</v>
      </c>
      <c r="AN1313" s="2126">
        <v>-5867.5166666666664</v>
      </c>
      <c r="AO1313" s="1743" t="s">
        <v>85</v>
      </c>
      <c r="AP1313" s="1743" t="s">
        <v>96</v>
      </c>
      <c r="AQ1313" s="1764" t="s">
        <v>192</v>
      </c>
      <c r="AR1313" s="1743" t="s">
        <v>87</v>
      </c>
      <c r="AS1313" s="2135"/>
      <c r="AT1313" s="2135"/>
      <c r="AU1313" s="1212">
        <v>1</v>
      </c>
      <c r="AV1313" s="1212"/>
      <c r="AW1313" s="1212"/>
      <c r="AX1313" s="1212"/>
      <c r="AY1313" s="1212"/>
      <c r="AZ1313" s="1212"/>
      <c r="BA1313" s="1212"/>
      <c r="BB1313" s="1212"/>
      <c r="BC1313" s="1212"/>
      <c r="BD1313" s="1212"/>
      <c r="BE1313" s="1212"/>
      <c r="BF1313" s="2126">
        <v>0</v>
      </c>
      <c r="BG1313" s="2126">
        <v>0</v>
      </c>
      <c r="BH1313" s="2126">
        <v>-5867.5166666666664</v>
      </c>
      <c r="BI1313" s="2126">
        <v>0</v>
      </c>
      <c r="BJ1313" s="2126">
        <v>0</v>
      </c>
      <c r="BK1313" s="2126">
        <v>0</v>
      </c>
      <c r="BL1313" s="2126">
        <v>0</v>
      </c>
      <c r="BM1313" s="2126">
        <v>0</v>
      </c>
      <c r="BN1313" s="2126">
        <v>0</v>
      </c>
      <c r="BO1313" s="2126">
        <v>0</v>
      </c>
      <c r="BP1313" s="2126">
        <v>0</v>
      </c>
      <c r="BQ1313" s="2126">
        <v>0</v>
      </c>
      <c r="BR1313" s="2126">
        <v>0</v>
      </c>
    </row>
    <row r="1314" spans="1:70" s="1765" customFormat="1" ht="33">
      <c r="A1314" s="1272">
        <v>5000</v>
      </c>
      <c r="B1314" s="971" t="s">
        <v>2119</v>
      </c>
      <c r="C1314" s="1272">
        <v>5100</v>
      </c>
      <c r="D1314" s="971" t="s">
        <v>78</v>
      </c>
      <c r="E1314" s="971">
        <v>5140</v>
      </c>
      <c r="F1314" s="971" t="s">
        <v>176</v>
      </c>
      <c r="G1314" s="971">
        <v>5140</v>
      </c>
      <c r="H1314" s="971" t="s">
        <v>176</v>
      </c>
      <c r="I1314" s="1273"/>
      <c r="J1314" s="971" t="s">
        <v>2146</v>
      </c>
      <c r="K1314" s="971" t="s">
        <v>2129</v>
      </c>
      <c r="L1314" s="971" t="s">
        <v>2130</v>
      </c>
      <c r="M1314" s="971" t="s">
        <v>2129</v>
      </c>
      <c r="N1314" s="971" t="s">
        <v>176</v>
      </c>
      <c r="O1314" s="971" t="s">
        <v>2130</v>
      </c>
      <c r="P1314" s="971"/>
      <c r="Q1314" s="971" t="s">
        <v>2231</v>
      </c>
      <c r="R1314" s="1266" t="s">
        <v>1792</v>
      </c>
      <c r="S1314" s="2106">
        <v>2</v>
      </c>
      <c r="T1314" s="1266" t="s">
        <v>242</v>
      </c>
      <c r="U1314" s="1742">
        <v>6.666666666666667</v>
      </c>
      <c r="V1314" s="1742">
        <v>20.833333333333336</v>
      </c>
      <c r="W1314" s="1742">
        <v>587.6</v>
      </c>
      <c r="X1314" s="1742">
        <v>229.78333333333333</v>
      </c>
      <c r="Y1314" s="2106">
        <v>838.2166666666667</v>
      </c>
      <c r="Z1314" s="2106">
        <v>13.333333333333334</v>
      </c>
      <c r="AA1314" s="2106">
        <v>41.666666666666671</v>
      </c>
      <c r="AB1314" s="2106">
        <v>1175.2</v>
      </c>
      <c r="AC1314" s="2106">
        <v>459.56666666666666</v>
      </c>
      <c r="AD1314" s="1744">
        <v>1676.4333333333334</v>
      </c>
      <c r="AE1314" s="2126">
        <v>4</v>
      </c>
      <c r="AF1314" s="2126">
        <v>8</v>
      </c>
      <c r="AG1314" s="1212">
        <v>1</v>
      </c>
      <c r="AH1314" s="1212">
        <v>0</v>
      </c>
      <c r="AI1314" s="1212">
        <v>0</v>
      </c>
      <c r="AJ1314" s="1212">
        <v>1</v>
      </c>
      <c r="AK1314" s="2126">
        <v>1676.4333333333334</v>
      </c>
      <c r="AL1314" s="2126">
        <v>0</v>
      </c>
      <c r="AM1314" s="2126">
        <v>0</v>
      </c>
      <c r="AN1314" s="2126">
        <v>1676.4333333333334</v>
      </c>
      <c r="AO1314" s="1743" t="s">
        <v>85</v>
      </c>
      <c r="AP1314" s="1743" t="s">
        <v>90</v>
      </c>
      <c r="AQ1314" s="1764">
        <v>2021</v>
      </c>
      <c r="AR1314" s="1743" t="s">
        <v>87</v>
      </c>
      <c r="AS1314" s="2135"/>
      <c r="AT1314" s="2135"/>
      <c r="AU1314" s="1212">
        <v>1</v>
      </c>
      <c r="AV1314" s="1212"/>
      <c r="AW1314" s="1212"/>
      <c r="AX1314" s="1212"/>
      <c r="AY1314" s="1212"/>
      <c r="AZ1314" s="1212"/>
      <c r="BA1314" s="1212"/>
      <c r="BB1314" s="1212"/>
      <c r="BC1314" s="1212"/>
      <c r="BD1314" s="1212"/>
      <c r="BE1314" s="1212"/>
      <c r="BF1314" s="2126">
        <v>0</v>
      </c>
      <c r="BG1314" s="2126">
        <v>0</v>
      </c>
      <c r="BH1314" s="2126">
        <v>1676.4333333333334</v>
      </c>
      <c r="BI1314" s="2126">
        <v>0</v>
      </c>
      <c r="BJ1314" s="2126">
        <v>0</v>
      </c>
      <c r="BK1314" s="2126">
        <v>0</v>
      </c>
      <c r="BL1314" s="2126">
        <v>0</v>
      </c>
      <c r="BM1314" s="2126">
        <v>0</v>
      </c>
      <c r="BN1314" s="2126">
        <v>0</v>
      </c>
      <c r="BO1314" s="2126">
        <v>0</v>
      </c>
      <c r="BP1314" s="2126">
        <v>0</v>
      </c>
      <c r="BQ1314" s="2126">
        <v>0</v>
      </c>
      <c r="BR1314" s="2126">
        <v>0</v>
      </c>
    </row>
    <row r="1315" spans="1:70" s="1765" customFormat="1" ht="33">
      <c r="A1315" s="1272">
        <v>5000</v>
      </c>
      <c r="B1315" s="971" t="s">
        <v>2119</v>
      </c>
      <c r="C1315" s="1272">
        <v>5100</v>
      </c>
      <c r="D1315" s="971" t="s">
        <v>78</v>
      </c>
      <c r="E1315" s="971">
        <v>5140</v>
      </c>
      <c r="F1315" s="971" t="s">
        <v>176</v>
      </c>
      <c r="G1315" s="971">
        <v>5140</v>
      </c>
      <c r="H1315" s="971" t="s">
        <v>176</v>
      </c>
      <c r="I1315" s="1273"/>
      <c r="J1315" s="971" t="s">
        <v>2146</v>
      </c>
      <c r="K1315" s="971" t="s">
        <v>2129</v>
      </c>
      <c r="L1315" s="971" t="s">
        <v>2130</v>
      </c>
      <c r="M1315" s="971" t="s">
        <v>2129</v>
      </c>
      <c r="N1315" s="971" t="s">
        <v>176</v>
      </c>
      <c r="O1315" s="971" t="s">
        <v>2130</v>
      </c>
      <c r="P1315" s="971"/>
      <c r="Q1315" s="971" t="s">
        <v>2231</v>
      </c>
      <c r="R1315" s="1266" t="s">
        <v>2232</v>
      </c>
      <c r="S1315" s="2106">
        <v>2</v>
      </c>
      <c r="T1315" s="1266" t="s">
        <v>242</v>
      </c>
      <c r="U1315" s="1742">
        <v>6.666666666666667</v>
      </c>
      <c r="V1315" s="1742">
        <v>20.833333333333336</v>
      </c>
      <c r="W1315" s="1742">
        <v>587.6</v>
      </c>
      <c r="X1315" s="1742">
        <v>229.78333333333333</v>
      </c>
      <c r="Y1315" s="2106">
        <v>838.2166666666667</v>
      </c>
      <c r="Z1315" s="2106">
        <v>13.333333333333334</v>
      </c>
      <c r="AA1315" s="2106">
        <v>41.666666666666671</v>
      </c>
      <c r="AB1315" s="2106">
        <v>1175.2</v>
      </c>
      <c r="AC1315" s="2106">
        <v>459.56666666666666</v>
      </c>
      <c r="AD1315" s="1744">
        <v>1676.4333333333334</v>
      </c>
      <c r="AE1315" s="2126">
        <v>4</v>
      </c>
      <c r="AF1315" s="2126">
        <v>8</v>
      </c>
      <c r="AG1315" s="1212">
        <v>1</v>
      </c>
      <c r="AH1315" s="1212">
        <v>0</v>
      </c>
      <c r="AI1315" s="1212">
        <v>0</v>
      </c>
      <c r="AJ1315" s="1212">
        <v>1</v>
      </c>
      <c r="AK1315" s="2126">
        <v>1676.4333333333334</v>
      </c>
      <c r="AL1315" s="2126">
        <v>0</v>
      </c>
      <c r="AM1315" s="2126">
        <v>0</v>
      </c>
      <c r="AN1315" s="2126">
        <v>1676.4333333333334</v>
      </c>
      <c r="AO1315" s="1743" t="s">
        <v>85</v>
      </c>
      <c r="AP1315" s="1743" t="s">
        <v>90</v>
      </c>
      <c r="AQ1315" s="1764">
        <v>2021</v>
      </c>
      <c r="AR1315" s="1743" t="s">
        <v>87</v>
      </c>
      <c r="AS1315" s="2135"/>
      <c r="AT1315" s="2135"/>
      <c r="AU1315" s="1212">
        <v>1</v>
      </c>
      <c r="AV1315" s="1212"/>
      <c r="AW1315" s="1212"/>
      <c r="AX1315" s="1212"/>
      <c r="AY1315" s="1212"/>
      <c r="AZ1315" s="1212"/>
      <c r="BA1315" s="1212"/>
      <c r="BB1315" s="1212"/>
      <c r="BC1315" s="1212"/>
      <c r="BD1315" s="1212"/>
      <c r="BE1315" s="1212"/>
      <c r="BF1315" s="2126">
        <v>0</v>
      </c>
      <c r="BG1315" s="2126">
        <v>0</v>
      </c>
      <c r="BH1315" s="2126">
        <v>1676.4333333333334</v>
      </c>
      <c r="BI1315" s="2126">
        <v>0</v>
      </c>
      <c r="BJ1315" s="2126">
        <v>0</v>
      </c>
      <c r="BK1315" s="2126">
        <v>0</v>
      </c>
      <c r="BL1315" s="2126">
        <v>0</v>
      </c>
      <c r="BM1315" s="2126">
        <v>0</v>
      </c>
      <c r="BN1315" s="2126">
        <v>0</v>
      </c>
      <c r="BO1315" s="2126">
        <v>0</v>
      </c>
      <c r="BP1315" s="2126">
        <v>0</v>
      </c>
      <c r="BQ1315" s="2126">
        <v>0</v>
      </c>
      <c r="BR1315" s="2126">
        <v>0</v>
      </c>
    </row>
    <row r="1316" spans="1:70" s="1765" customFormat="1" ht="33">
      <c r="A1316" s="1272">
        <v>5000</v>
      </c>
      <c r="B1316" s="971" t="s">
        <v>2119</v>
      </c>
      <c r="C1316" s="1272">
        <v>5100</v>
      </c>
      <c r="D1316" s="971" t="s">
        <v>78</v>
      </c>
      <c r="E1316" s="971">
        <v>5140</v>
      </c>
      <c r="F1316" s="971" t="s">
        <v>176</v>
      </c>
      <c r="G1316" s="971">
        <v>5140</v>
      </c>
      <c r="H1316" s="971" t="s">
        <v>176</v>
      </c>
      <c r="I1316" s="1273"/>
      <c r="J1316" s="971" t="s">
        <v>2146</v>
      </c>
      <c r="K1316" s="971" t="s">
        <v>2129</v>
      </c>
      <c r="L1316" s="971" t="s">
        <v>2130</v>
      </c>
      <c r="M1316" s="971" t="s">
        <v>2129</v>
      </c>
      <c r="N1316" s="971" t="s">
        <v>176</v>
      </c>
      <c r="O1316" s="971" t="s">
        <v>2130</v>
      </c>
      <c r="P1316" s="971"/>
      <c r="Q1316" s="971" t="s">
        <v>2231</v>
      </c>
      <c r="R1316" s="1266" t="s">
        <v>2233</v>
      </c>
      <c r="S1316" s="2106">
        <v>4</v>
      </c>
      <c r="T1316" s="1266" t="s">
        <v>242</v>
      </c>
      <c r="U1316" s="1742">
        <v>6.666666666666667</v>
      </c>
      <c r="V1316" s="1742">
        <v>20.833333333333336</v>
      </c>
      <c r="W1316" s="1742">
        <v>587.6</v>
      </c>
      <c r="X1316" s="1742">
        <v>229.78333333333333</v>
      </c>
      <c r="Y1316" s="2106">
        <v>838.2166666666667</v>
      </c>
      <c r="Z1316" s="2106">
        <v>26.666666666666668</v>
      </c>
      <c r="AA1316" s="2106">
        <v>83.333333333333343</v>
      </c>
      <c r="AB1316" s="2106">
        <v>2350.4</v>
      </c>
      <c r="AC1316" s="2106">
        <v>919.13333333333333</v>
      </c>
      <c r="AD1316" s="1744">
        <v>3352.8666666666668</v>
      </c>
      <c r="AE1316" s="2126">
        <v>4</v>
      </c>
      <c r="AF1316" s="2126">
        <v>8</v>
      </c>
      <c r="AG1316" s="1212">
        <v>1</v>
      </c>
      <c r="AH1316" s="1212">
        <v>0</v>
      </c>
      <c r="AI1316" s="1212">
        <v>0</v>
      </c>
      <c r="AJ1316" s="1212">
        <v>1</v>
      </c>
      <c r="AK1316" s="2126">
        <v>3352.8666666666668</v>
      </c>
      <c r="AL1316" s="2126">
        <v>0</v>
      </c>
      <c r="AM1316" s="2126">
        <v>0</v>
      </c>
      <c r="AN1316" s="2126">
        <v>3352.8666666666668</v>
      </c>
      <c r="AO1316" s="1743" t="s">
        <v>85</v>
      </c>
      <c r="AP1316" s="1743" t="s">
        <v>90</v>
      </c>
      <c r="AQ1316" s="1764" t="s">
        <v>115</v>
      </c>
      <c r="AR1316" s="1743" t="s">
        <v>87</v>
      </c>
      <c r="AS1316" s="2135"/>
      <c r="AT1316" s="2135"/>
      <c r="AU1316" s="1212">
        <v>1</v>
      </c>
      <c r="AV1316" s="1212"/>
      <c r="AW1316" s="1212"/>
      <c r="AX1316" s="1212"/>
      <c r="AY1316" s="1212"/>
      <c r="AZ1316" s="1212"/>
      <c r="BA1316" s="1212"/>
      <c r="BB1316" s="1212"/>
      <c r="BC1316" s="1212"/>
      <c r="BD1316" s="1212"/>
      <c r="BE1316" s="1212"/>
      <c r="BF1316" s="2126">
        <v>0</v>
      </c>
      <c r="BG1316" s="2126">
        <v>0</v>
      </c>
      <c r="BH1316" s="2126">
        <v>3352.8666666666668</v>
      </c>
      <c r="BI1316" s="2126">
        <v>0</v>
      </c>
      <c r="BJ1316" s="2126">
        <v>0</v>
      </c>
      <c r="BK1316" s="2126">
        <v>0</v>
      </c>
      <c r="BL1316" s="2126">
        <v>0</v>
      </c>
      <c r="BM1316" s="2126">
        <v>0</v>
      </c>
      <c r="BN1316" s="2126">
        <v>0</v>
      </c>
      <c r="BO1316" s="2126">
        <v>0</v>
      </c>
      <c r="BP1316" s="2126">
        <v>0</v>
      </c>
      <c r="BQ1316" s="2126">
        <v>0</v>
      </c>
      <c r="BR1316" s="2126">
        <v>0</v>
      </c>
    </row>
    <row r="1317" spans="1:70" s="1765" customFormat="1" ht="33">
      <c r="A1317" s="1272">
        <v>5000</v>
      </c>
      <c r="B1317" s="971" t="s">
        <v>2119</v>
      </c>
      <c r="C1317" s="1272">
        <v>5100</v>
      </c>
      <c r="D1317" s="971" t="s">
        <v>78</v>
      </c>
      <c r="E1317" s="971">
        <v>5140</v>
      </c>
      <c r="F1317" s="971" t="s">
        <v>176</v>
      </c>
      <c r="G1317" s="971">
        <v>5140</v>
      </c>
      <c r="H1317" s="971" t="s">
        <v>176</v>
      </c>
      <c r="I1317" s="1273"/>
      <c r="J1317" s="971" t="s">
        <v>2146</v>
      </c>
      <c r="K1317" s="971" t="s">
        <v>2129</v>
      </c>
      <c r="L1317" s="971" t="s">
        <v>2130</v>
      </c>
      <c r="M1317" s="971" t="s">
        <v>2129</v>
      </c>
      <c r="N1317" s="971" t="s">
        <v>176</v>
      </c>
      <c r="O1317" s="971" t="s">
        <v>2130</v>
      </c>
      <c r="P1317" s="971"/>
      <c r="Q1317" s="971" t="s">
        <v>2234</v>
      </c>
      <c r="R1317" s="1266"/>
      <c r="S1317" s="2106">
        <v>-2</v>
      </c>
      <c r="T1317" s="1266" t="s">
        <v>242</v>
      </c>
      <c r="U1317" s="1742">
        <v>6.666666666666667</v>
      </c>
      <c r="V1317" s="1742">
        <v>20.833333333333336</v>
      </c>
      <c r="W1317" s="1742">
        <v>587.6</v>
      </c>
      <c r="X1317" s="1742">
        <v>229.78333333333333</v>
      </c>
      <c r="Y1317" s="2106">
        <v>838.2166666666667</v>
      </c>
      <c r="Z1317" s="2106">
        <v>-13.333333333333334</v>
      </c>
      <c r="AA1317" s="2106">
        <v>-41.666666666666671</v>
      </c>
      <c r="AB1317" s="2106">
        <v>-1175.2</v>
      </c>
      <c r="AC1317" s="2106">
        <v>-459.56666666666666</v>
      </c>
      <c r="AD1317" s="1744">
        <v>-1676.4333333333334</v>
      </c>
      <c r="AE1317" s="2126">
        <v>4</v>
      </c>
      <c r="AF1317" s="2126">
        <v>-8</v>
      </c>
      <c r="AG1317" s="1212">
        <v>1</v>
      </c>
      <c r="AH1317" s="1212">
        <v>0</v>
      </c>
      <c r="AI1317" s="1212">
        <v>0</v>
      </c>
      <c r="AJ1317" s="1212">
        <v>1</v>
      </c>
      <c r="AK1317" s="2126">
        <v>-1676.4333333333334</v>
      </c>
      <c r="AL1317" s="2126">
        <v>0</v>
      </c>
      <c r="AM1317" s="2126">
        <v>0</v>
      </c>
      <c r="AN1317" s="2126">
        <v>-1676.4333333333334</v>
      </c>
      <c r="AO1317" s="1743" t="s">
        <v>85</v>
      </c>
      <c r="AP1317" s="1743" t="s">
        <v>90</v>
      </c>
      <c r="AQ1317" s="1764" t="s">
        <v>192</v>
      </c>
      <c r="AR1317" s="1743" t="s">
        <v>87</v>
      </c>
      <c r="AS1317" s="2135"/>
      <c r="AT1317" s="2135"/>
      <c r="AU1317" s="1212">
        <v>1</v>
      </c>
      <c r="AV1317" s="1212"/>
      <c r="AW1317" s="1212"/>
      <c r="AX1317" s="1212"/>
      <c r="AY1317" s="1212"/>
      <c r="AZ1317" s="1212"/>
      <c r="BA1317" s="1212"/>
      <c r="BB1317" s="1212"/>
      <c r="BC1317" s="1212"/>
      <c r="BD1317" s="1212"/>
      <c r="BE1317" s="1212"/>
      <c r="BF1317" s="2126">
        <v>0</v>
      </c>
      <c r="BG1317" s="2126">
        <v>0</v>
      </c>
      <c r="BH1317" s="2126">
        <v>-1676.4333333333334</v>
      </c>
      <c r="BI1317" s="2126">
        <v>0</v>
      </c>
      <c r="BJ1317" s="2126">
        <v>0</v>
      </c>
      <c r="BK1317" s="2126">
        <v>0</v>
      </c>
      <c r="BL1317" s="2126">
        <v>0</v>
      </c>
      <c r="BM1317" s="2126">
        <v>0</v>
      </c>
      <c r="BN1317" s="2126">
        <v>0</v>
      </c>
      <c r="BO1317" s="2126">
        <v>0</v>
      </c>
      <c r="BP1317" s="2126">
        <v>0</v>
      </c>
      <c r="BQ1317" s="2126">
        <v>0</v>
      </c>
      <c r="BR1317" s="2126">
        <v>0</v>
      </c>
    </row>
    <row r="1318" spans="1:70" s="1765" customFormat="1" ht="33">
      <c r="A1318" s="1272">
        <v>5000</v>
      </c>
      <c r="B1318" s="971" t="s">
        <v>2119</v>
      </c>
      <c r="C1318" s="1272">
        <v>5100</v>
      </c>
      <c r="D1318" s="971" t="s">
        <v>78</v>
      </c>
      <c r="E1318" s="971">
        <v>5140</v>
      </c>
      <c r="F1318" s="971" t="s">
        <v>176</v>
      </c>
      <c r="G1318" s="971">
        <v>5140</v>
      </c>
      <c r="H1318" s="971" t="s">
        <v>176</v>
      </c>
      <c r="I1318" s="1273"/>
      <c r="J1318" s="971" t="s">
        <v>2146</v>
      </c>
      <c r="K1318" s="971" t="s">
        <v>2129</v>
      </c>
      <c r="L1318" s="971" t="s">
        <v>2130</v>
      </c>
      <c r="M1318" s="971" t="s">
        <v>2129</v>
      </c>
      <c r="N1318" s="971" t="s">
        <v>176</v>
      </c>
      <c r="O1318" s="971" t="s">
        <v>2130</v>
      </c>
      <c r="P1318" s="971"/>
      <c r="Q1318" s="971" t="s">
        <v>2235</v>
      </c>
      <c r="R1318" s="1266"/>
      <c r="S1318" s="2106">
        <v>-3</v>
      </c>
      <c r="T1318" s="1266" t="s">
        <v>242</v>
      </c>
      <c r="U1318" s="1742">
        <v>6.666666666666667</v>
      </c>
      <c r="V1318" s="1742">
        <v>20.833333333333336</v>
      </c>
      <c r="W1318" s="1742">
        <v>587.6</v>
      </c>
      <c r="X1318" s="1742">
        <v>229.78333333333333</v>
      </c>
      <c r="Y1318" s="2106">
        <v>838.2166666666667</v>
      </c>
      <c r="Z1318" s="2106">
        <v>-20</v>
      </c>
      <c r="AA1318" s="2106">
        <v>-62.500000000000007</v>
      </c>
      <c r="AB1318" s="2106">
        <v>-1762.8000000000002</v>
      </c>
      <c r="AC1318" s="2106">
        <v>-689.35</v>
      </c>
      <c r="AD1318" s="1744">
        <v>-2514.65</v>
      </c>
      <c r="AE1318" s="2126">
        <v>4</v>
      </c>
      <c r="AF1318" s="2126">
        <v>-12</v>
      </c>
      <c r="AG1318" s="1212">
        <v>1</v>
      </c>
      <c r="AH1318" s="1212">
        <v>0</v>
      </c>
      <c r="AI1318" s="1212">
        <v>0</v>
      </c>
      <c r="AJ1318" s="1212">
        <v>1</v>
      </c>
      <c r="AK1318" s="2126">
        <v>-2514.65</v>
      </c>
      <c r="AL1318" s="2126">
        <v>0</v>
      </c>
      <c r="AM1318" s="2126">
        <v>0</v>
      </c>
      <c r="AN1318" s="2126">
        <v>-2514.65</v>
      </c>
      <c r="AO1318" s="1743" t="s">
        <v>85</v>
      </c>
      <c r="AP1318" s="1743" t="s">
        <v>90</v>
      </c>
      <c r="AQ1318" s="1764" t="s">
        <v>192</v>
      </c>
      <c r="AR1318" s="1743" t="s">
        <v>87</v>
      </c>
      <c r="AS1318" s="2135"/>
      <c r="AT1318" s="2135"/>
      <c r="AU1318" s="1212">
        <v>1</v>
      </c>
      <c r="AV1318" s="1212"/>
      <c r="AW1318" s="1212"/>
      <c r="AX1318" s="1212"/>
      <c r="AY1318" s="1212"/>
      <c r="AZ1318" s="1212"/>
      <c r="BA1318" s="1212"/>
      <c r="BB1318" s="1212"/>
      <c r="BC1318" s="1212"/>
      <c r="BD1318" s="1212"/>
      <c r="BE1318" s="1212"/>
      <c r="BF1318" s="2126">
        <v>0</v>
      </c>
      <c r="BG1318" s="2126">
        <v>0</v>
      </c>
      <c r="BH1318" s="2126">
        <v>-2514.65</v>
      </c>
      <c r="BI1318" s="2126">
        <v>0</v>
      </c>
      <c r="BJ1318" s="2126">
        <v>0</v>
      </c>
      <c r="BK1318" s="2126">
        <v>0</v>
      </c>
      <c r="BL1318" s="2126">
        <v>0</v>
      </c>
      <c r="BM1318" s="2126">
        <v>0</v>
      </c>
      <c r="BN1318" s="2126">
        <v>0</v>
      </c>
      <c r="BO1318" s="2126">
        <v>0</v>
      </c>
      <c r="BP1318" s="2126">
        <v>0</v>
      </c>
      <c r="BQ1318" s="2126">
        <v>0</v>
      </c>
      <c r="BR1318" s="2126">
        <v>0</v>
      </c>
    </row>
    <row r="1319" spans="1:70" s="1765" customFormat="1" ht="33">
      <c r="A1319" s="1272">
        <v>5000</v>
      </c>
      <c r="B1319" s="971" t="s">
        <v>2119</v>
      </c>
      <c r="C1319" s="1272">
        <v>5100</v>
      </c>
      <c r="D1319" s="971" t="s">
        <v>78</v>
      </c>
      <c r="E1319" s="971">
        <v>5140</v>
      </c>
      <c r="F1319" s="971" t="s">
        <v>176</v>
      </c>
      <c r="G1319" s="971">
        <v>5140</v>
      </c>
      <c r="H1319" s="971" t="s">
        <v>176</v>
      </c>
      <c r="I1319" s="1273"/>
      <c r="J1319" s="971" t="s">
        <v>2146</v>
      </c>
      <c r="K1319" s="971" t="s">
        <v>2127</v>
      </c>
      <c r="L1319" s="971" t="s">
        <v>2177</v>
      </c>
      <c r="M1319" s="971" t="s">
        <v>2127</v>
      </c>
      <c r="N1319" s="971" t="s">
        <v>176</v>
      </c>
      <c r="O1319" s="971" t="s">
        <v>2128</v>
      </c>
      <c r="P1319" s="971"/>
      <c r="Q1319" s="971" t="s">
        <v>2236</v>
      </c>
      <c r="R1319" s="1266" t="s">
        <v>2237</v>
      </c>
      <c r="S1319" s="2106">
        <v>1</v>
      </c>
      <c r="T1319" s="1266" t="s">
        <v>242</v>
      </c>
      <c r="U1319" s="1742">
        <v>10</v>
      </c>
      <c r="V1319" s="1742">
        <v>37.5</v>
      </c>
      <c r="W1319" s="1742">
        <v>881.4</v>
      </c>
      <c r="X1319" s="1742">
        <v>413.61</v>
      </c>
      <c r="Y1319" s="2106">
        <v>1332.51</v>
      </c>
      <c r="Z1319" s="2106">
        <v>10</v>
      </c>
      <c r="AA1319" s="2106">
        <v>37.5</v>
      </c>
      <c r="AB1319" s="2106">
        <v>881.4</v>
      </c>
      <c r="AC1319" s="2106">
        <v>413.61</v>
      </c>
      <c r="AD1319" s="1744">
        <v>1332.51</v>
      </c>
      <c r="AE1319" s="2126">
        <v>24</v>
      </c>
      <c r="AF1319" s="2126">
        <v>24</v>
      </c>
      <c r="AG1319" s="1212">
        <v>1</v>
      </c>
      <c r="AH1319" s="1212">
        <v>0</v>
      </c>
      <c r="AI1319" s="1212">
        <v>0</v>
      </c>
      <c r="AJ1319" s="1212">
        <v>1</v>
      </c>
      <c r="AK1319" s="2126">
        <v>1332.51</v>
      </c>
      <c r="AL1319" s="2126">
        <v>0</v>
      </c>
      <c r="AM1319" s="2126">
        <v>0</v>
      </c>
      <c r="AN1319" s="2126">
        <v>1332.51</v>
      </c>
      <c r="AO1319" s="1743" t="s">
        <v>85</v>
      </c>
      <c r="AP1319" s="1743" t="s">
        <v>90</v>
      </c>
      <c r="AQ1319" s="1764">
        <v>2021</v>
      </c>
      <c r="AR1319" s="1743" t="s">
        <v>87</v>
      </c>
      <c r="AS1319" s="2135"/>
      <c r="AT1319" s="2135"/>
      <c r="AU1319" s="1212">
        <v>1</v>
      </c>
      <c r="AV1319" s="1212"/>
      <c r="AW1319" s="1212"/>
      <c r="AX1319" s="1212"/>
      <c r="AY1319" s="1212"/>
      <c r="AZ1319" s="1212"/>
      <c r="BA1319" s="1212"/>
      <c r="BB1319" s="1212"/>
      <c r="BC1319" s="1212"/>
      <c r="BD1319" s="1212"/>
      <c r="BE1319" s="1212"/>
      <c r="BF1319" s="2126">
        <v>0</v>
      </c>
      <c r="BG1319" s="2126">
        <v>0</v>
      </c>
      <c r="BH1319" s="2126">
        <v>1332.51</v>
      </c>
      <c r="BI1319" s="2126">
        <v>0</v>
      </c>
      <c r="BJ1319" s="2126">
        <v>0</v>
      </c>
      <c r="BK1319" s="2126">
        <v>0</v>
      </c>
      <c r="BL1319" s="2126">
        <v>0</v>
      </c>
      <c r="BM1319" s="2126">
        <v>0</v>
      </c>
      <c r="BN1319" s="2126">
        <v>0</v>
      </c>
      <c r="BO1319" s="2126">
        <v>0</v>
      </c>
      <c r="BP1319" s="2126">
        <v>0</v>
      </c>
      <c r="BQ1319" s="2126">
        <v>0</v>
      </c>
      <c r="BR1319" s="2126">
        <v>0</v>
      </c>
    </row>
    <row r="1320" spans="1:70" s="1765" customFormat="1" ht="33">
      <c r="A1320" s="1272">
        <v>5000</v>
      </c>
      <c r="B1320" s="971" t="s">
        <v>2119</v>
      </c>
      <c r="C1320" s="1272">
        <v>5100</v>
      </c>
      <c r="D1320" s="971" t="s">
        <v>78</v>
      </c>
      <c r="E1320" s="971">
        <v>5140</v>
      </c>
      <c r="F1320" s="971" t="s">
        <v>176</v>
      </c>
      <c r="G1320" s="971">
        <v>5140</v>
      </c>
      <c r="H1320" s="971" t="s">
        <v>176</v>
      </c>
      <c r="I1320" s="1273"/>
      <c r="J1320" s="971" t="s">
        <v>2146</v>
      </c>
      <c r="K1320" s="971" t="s">
        <v>2127</v>
      </c>
      <c r="L1320" s="971" t="s">
        <v>2177</v>
      </c>
      <c r="M1320" s="971" t="s">
        <v>2127</v>
      </c>
      <c r="N1320" s="971" t="s">
        <v>176</v>
      </c>
      <c r="O1320" s="971" t="s">
        <v>2128</v>
      </c>
      <c r="P1320" s="971"/>
      <c r="Q1320" s="971" t="s">
        <v>2238</v>
      </c>
      <c r="R1320" s="1266" t="s">
        <v>2239</v>
      </c>
      <c r="S1320" s="2106">
        <v>1</v>
      </c>
      <c r="T1320" s="1266" t="s">
        <v>242</v>
      </c>
      <c r="U1320" s="1742">
        <v>10</v>
      </c>
      <c r="V1320" s="1742">
        <v>37.5</v>
      </c>
      <c r="W1320" s="1742">
        <v>881.4</v>
      </c>
      <c r="X1320" s="1742">
        <v>413.61</v>
      </c>
      <c r="Y1320" s="2106">
        <v>1332.51</v>
      </c>
      <c r="Z1320" s="2106">
        <v>10</v>
      </c>
      <c r="AA1320" s="2106">
        <v>37.5</v>
      </c>
      <c r="AB1320" s="2106">
        <v>881.4</v>
      </c>
      <c r="AC1320" s="2106">
        <v>413.61</v>
      </c>
      <c r="AD1320" s="1744">
        <v>1332.51</v>
      </c>
      <c r="AE1320" s="2126">
        <v>24</v>
      </c>
      <c r="AF1320" s="2126">
        <v>24</v>
      </c>
      <c r="AG1320" s="1212">
        <v>1</v>
      </c>
      <c r="AH1320" s="1212">
        <v>0</v>
      </c>
      <c r="AI1320" s="1212">
        <v>0</v>
      </c>
      <c r="AJ1320" s="1212">
        <v>1</v>
      </c>
      <c r="AK1320" s="2126">
        <v>1332.51</v>
      </c>
      <c r="AL1320" s="2126">
        <v>0</v>
      </c>
      <c r="AM1320" s="2126">
        <v>0</v>
      </c>
      <c r="AN1320" s="2126">
        <v>1332.51</v>
      </c>
      <c r="AO1320" s="1743" t="s">
        <v>85</v>
      </c>
      <c r="AP1320" s="1743" t="s">
        <v>90</v>
      </c>
      <c r="AQ1320" s="1764">
        <v>2021</v>
      </c>
      <c r="AR1320" s="1743" t="s">
        <v>87</v>
      </c>
      <c r="AS1320" s="2135"/>
      <c r="AT1320" s="2135"/>
      <c r="AU1320" s="1212">
        <v>1</v>
      </c>
      <c r="AV1320" s="1212"/>
      <c r="AW1320" s="1212"/>
      <c r="AX1320" s="1212"/>
      <c r="AY1320" s="1212"/>
      <c r="AZ1320" s="1212"/>
      <c r="BA1320" s="1212"/>
      <c r="BB1320" s="1212"/>
      <c r="BC1320" s="1212"/>
      <c r="BD1320" s="1212"/>
      <c r="BE1320" s="1212"/>
      <c r="BF1320" s="2126">
        <v>0</v>
      </c>
      <c r="BG1320" s="2126">
        <v>0</v>
      </c>
      <c r="BH1320" s="2126">
        <v>1332.51</v>
      </c>
      <c r="BI1320" s="2126">
        <v>0</v>
      </c>
      <c r="BJ1320" s="2126">
        <v>0</v>
      </c>
      <c r="BK1320" s="2126">
        <v>0</v>
      </c>
      <c r="BL1320" s="2126">
        <v>0</v>
      </c>
      <c r="BM1320" s="2126">
        <v>0</v>
      </c>
      <c r="BN1320" s="2126">
        <v>0</v>
      </c>
      <c r="BO1320" s="2126">
        <v>0</v>
      </c>
      <c r="BP1320" s="2126">
        <v>0</v>
      </c>
      <c r="BQ1320" s="2126">
        <v>0</v>
      </c>
      <c r="BR1320" s="2126">
        <v>0</v>
      </c>
    </row>
    <row r="1321" spans="1:70" s="1765" customFormat="1" ht="33">
      <c r="A1321" s="1272">
        <v>5000</v>
      </c>
      <c r="B1321" s="971" t="s">
        <v>2119</v>
      </c>
      <c r="C1321" s="1272">
        <v>5100</v>
      </c>
      <c r="D1321" s="971" t="s">
        <v>78</v>
      </c>
      <c r="E1321" s="971">
        <v>5140</v>
      </c>
      <c r="F1321" s="971" t="s">
        <v>176</v>
      </c>
      <c r="G1321" s="971">
        <v>5140</v>
      </c>
      <c r="H1321" s="971" t="s">
        <v>176</v>
      </c>
      <c r="I1321" s="1273"/>
      <c r="J1321" s="971" t="s">
        <v>2146</v>
      </c>
      <c r="K1321" s="971" t="s">
        <v>2125</v>
      </c>
      <c r="L1321" s="971" t="s">
        <v>2126</v>
      </c>
      <c r="M1321" s="971" t="s">
        <v>2125</v>
      </c>
      <c r="N1321" s="971" t="s">
        <v>176</v>
      </c>
      <c r="O1321" s="971" t="s">
        <v>2126</v>
      </c>
      <c r="P1321" s="971"/>
      <c r="Q1321" s="971" t="s">
        <v>2240</v>
      </c>
      <c r="R1321" s="1266"/>
      <c r="S1321" s="2106">
        <v>-1</v>
      </c>
      <c r="T1321" s="1266" t="s">
        <v>242</v>
      </c>
      <c r="U1321" s="1742">
        <v>13</v>
      </c>
      <c r="V1321" s="1742">
        <v>100</v>
      </c>
      <c r="W1321" s="1742">
        <v>1145.82</v>
      </c>
      <c r="X1321" s="1742">
        <v>1102.96</v>
      </c>
      <c r="Y1321" s="2106">
        <v>2348.7799999999997</v>
      </c>
      <c r="Z1321" s="2106">
        <v>-13</v>
      </c>
      <c r="AA1321" s="2106">
        <v>-100</v>
      </c>
      <c r="AB1321" s="2106">
        <v>-1145.82</v>
      </c>
      <c r="AC1321" s="2106">
        <v>-1102.96</v>
      </c>
      <c r="AD1321" s="1744">
        <v>-2348.7799999999997</v>
      </c>
      <c r="AE1321" s="2126">
        <v>96</v>
      </c>
      <c r="AF1321" s="2126">
        <v>-96</v>
      </c>
      <c r="AG1321" s="1212">
        <v>1</v>
      </c>
      <c r="AH1321" s="1212">
        <v>0</v>
      </c>
      <c r="AI1321" s="1212">
        <v>0</v>
      </c>
      <c r="AJ1321" s="1212">
        <v>1</v>
      </c>
      <c r="AK1321" s="2126">
        <v>-2348.7799999999997</v>
      </c>
      <c r="AL1321" s="2126">
        <v>0</v>
      </c>
      <c r="AM1321" s="2126">
        <v>0</v>
      </c>
      <c r="AN1321" s="2126">
        <v>-2348.7799999999997</v>
      </c>
      <c r="AO1321" s="1743" t="s">
        <v>85</v>
      </c>
      <c r="AP1321" s="1743" t="s">
        <v>96</v>
      </c>
      <c r="AQ1321" s="1764" t="s">
        <v>192</v>
      </c>
      <c r="AR1321" s="1743" t="s">
        <v>87</v>
      </c>
      <c r="AS1321" s="2135"/>
      <c r="AT1321" s="2135"/>
      <c r="AU1321" s="1212">
        <v>1</v>
      </c>
      <c r="AV1321" s="1212"/>
      <c r="AW1321" s="1212"/>
      <c r="AX1321" s="1212"/>
      <c r="AY1321" s="1212"/>
      <c r="AZ1321" s="1212"/>
      <c r="BA1321" s="1212"/>
      <c r="BB1321" s="1212"/>
      <c r="BC1321" s="1212"/>
      <c r="BD1321" s="1212"/>
      <c r="BE1321" s="1212"/>
      <c r="BF1321" s="2126">
        <v>0</v>
      </c>
      <c r="BG1321" s="2126">
        <v>0</v>
      </c>
      <c r="BH1321" s="2126">
        <v>-2348.7799999999997</v>
      </c>
      <c r="BI1321" s="2126">
        <v>0</v>
      </c>
      <c r="BJ1321" s="2126">
        <v>0</v>
      </c>
      <c r="BK1321" s="2126">
        <v>0</v>
      </c>
      <c r="BL1321" s="2126">
        <v>0</v>
      </c>
      <c r="BM1321" s="2126">
        <v>0</v>
      </c>
      <c r="BN1321" s="2126">
        <v>0</v>
      </c>
      <c r="BO1321" s="2126">
        <v>0</v>
      </c>
      <c r="BP1321" s="2126">
        <v>0</v>
      </c>
      <c r="BQ1321" s="2126">
        <v>0</v>
      </c>
      <c r="BR1321" s="2126">
        <v>0</v>
      </c>
    </row>
    <row r="1322" spans="1:70" s="1765" customFormat="1" ht="33">
      <c r="A1322" s="1272">
        <v>5000</v>
      </c>
      <c r="B1322" s="971" t="s">
        <v>2119</v>
      </c>
      <c r="C1322" s="1272">
        <v>5100</v>
      </c>
      <c r="D1322" s="971" t="s">
        <v>78</v>
      </c>
      <c r="E1322" s="971">
        <v>5140</v>
      </c>
      <c r="F1322" s="971" t="s">
        <v>176</v>
      </c>
      <c r="G1322" s="971">
        <v>5140</v>
      </c>
      <c r="H1322" s="971" t="s">
        <v>176</v>
      </c>
      <c r="I1322" s="1273"/>
      <c r="J1322" s="971" t="s">
        <v>2146</v>
      </c>
      <c r="K1322" s="971" t="s">
        <v>2125</v>
      </c>
      <c r="L1322" s="971" t="s">
        <v>2126</v>
      </c>
      <c r="M1322" s="971" t="s">
        <v>2125</v>
      </c>
      <c r="N1322" s="971" t="s">
        <v>176</v>
      </c>
      <c r="O1322" s="971" t="s">
        <v>2126</v>
      </c>
      <c r="P1322" s="971"/>
      <c r="Q1322" s="971" t="s">
        <v>2241</v>
      </c>
      <c r="R1322" s="1266"/>
      <c r="S1322" s="2106">
        <v>-1</v>
      </c>
      <c r="T1322" s="1266" t="s">
        <v>242</v>
      </c>
      <c r="U1322" s="1742">
        <v>13</v>
      </c>
      <c r="V1322" s="1742">
        <v>100</v>
      </c>
      <c r="W1322" s="1742">
        <v>1145.82</v>
      </c>
      <c r="X1322" s="1742">
        <v>1102.96</v>
      </c>
      <c r="Y1322" s="2106">
        <v>2348.7799999999997</v>
      </c>
      <c r="Z1322" s="2106">
        <v>-13</v>
      </c>
      <c r="AA1322" s="2106">
        <v>-100</v>
      </c>
      <c r="AB1322" s="2106">
        <v>-1145.82</v>
      </c>
      <c r="AC1322" s="2106">
        <v>-1102.96</v>
      </c>
      <c r="AD1322" s="1744">
        <v>-2348.7799999999997</v>
      </c>
      <c r="AE1322" s="2126">
        <v>96</v>
      </c>
      <c r="AF1322" s="2126">
        <v>-96</v>
      </c>
      <c r="AG1322" s="1212">
        <v>1</v>
      </c>
      <c r="AH1322" s="1212">
        <v>0</v>
      </c>
      <c r="AI1322" s="1212">
        <v>0</v>
      </c>
      <c r="AJ1322" s="1212">
        <v>1</v>
      </c>
      <c r="AK1322" s="2126">
        <v>-2348.7799999999997</v>
      </c>
      <c r="AL1322" s="2126">
        <v>0</v>
      </c>
      <c r="AM1322" s="2126">
        <v>0</v>
      </c>
      <c r="AN1322" s="2126">
        <v>-2348.7799999999997</v>
      </c>
      <c r="AO1322" s="1743" t="s">
        <v>85</v>
      </c>
      <c r="AP1322" s="1743" t="s">
        <v>96</v>
      </c>
      <c r="AQ1322" s="1764" t="s">
        <v>192</v>
      </c>
      <c r="AR1322" s="1743" t="s">
        <v>87</v>
      </c>
      <c r="AS1322" s="2135"/>
      <c r="AT1322" s="2135"/>
      <c r="AU1322" s="1212">
        <v>1</v>
      </c>
      <c r="AV1322" s="1212"/>
      <c r="AW1322" s="1212"/>
      <c r="AX1322" s="1212"/>
      <c r="AY1322" s="1212"/>
      <c r="AZ1322" s="1212"/>
      <c r="BA1322" s="1212"/>
      <c r="BB1322" s="1212"/>
      <c r="BC1322" s="1212"/>
      <c r="BD1322" s="1212"/>
      <c r="BE1322" s="1212"/>
      <c r="BF1322" s="2126">
        <v>0</v>
      </c>
      <c r="BG1322" s="2126">
        <v>0</v>
      </c>
      <c r="BH1322" s="2126">
        <v>-2348.7799999999997</v>
      </c>
      <c r="BI1322" s="2126">
        <v>0</v>
      </c>
      <c r="BJ1322" s="2126">
        <v>0</v>
      </c>
      <c r="BK1322" s="2126">
        <v>0</v>
      </c>
      <c r="BL1322" s="2126">
        <v>0</v>
      </c>
      <c r="BM1322" s="2126">
        <v>0</v>
      </c>
      <c r="BN1322" s="2126">
        <v>0</v>
      </c>
      <c r="BO1322" s="2126">
        <v>0</v>
      </c>
      <c r="BP1322" s="2126">
        <v>0</v>
      </c>
      <c r="BQ1322" s="2126">
        <v>0</v>
      </c>
      <c r="BR1322" s="2126">
        <v>0</v>
      </c>
    </row>
    <row r="1323" spans="1:70" s="1765" customFormat="1" ht="33">
      <c r="A1323" s="1272">
        <v>5000</v>
      </c>
      <c r="B1323" s="971" t="s">
        <v>2119</v>
      </c>
      <c r="C1323" s="1272">
        <v>5100</v>
      </c>
      <c r="D1323" s="971" t="s">
        <v>78</v>
      </c>
      <c r="E1323" s="971">
        <v>5140</v>
      </c>
      <c r="F1323" s="971" t="s">
        <v>176</v>
      </c>
      <c r="G1323" s="971">
        <v>5140</v>
      </c>
      <c r="H1323" s="971" t="s">
        <v>176</v>
      </c>
      <c r="I1323" s="1273"/>
      <c r="J1323" s="971" t="s">
        <v>2146</v>
      </c>
      <c r="K1323" s="971" t="s">
        <v>2125</v>
      </c>
      <c r="L1323" s="971" t="s">
        <v>2126</v>
      </c>
      <c r="M1323" s="971" t="s">
        <v>2125</v>
      </c>
      <c r="N1323" s="971" t="s">
        <v>176</v>
      </c>
      <c r="O1323" s="971" t="s">
        <v>2126</v>
      </c>
      <c r="P1323" s="971"/>
      <c r="Q1323" s="971" t="s">
        <v>2242</v>
      </c>
      <c r="R1323" s="1266"/>
      <c r="S1323" s="2106">
        <v>-1</v>
      </c>
      <c r="T1323" s="1266" t="s">
        <v>242</v>
      </c>
      <c r="U1323" s="1742">
        <v>13</v>
      </c>
      <c r="V1323" s="1742">
        <v>100</v>
      </c>
      <c r="W1323" s="1742">
        <v>1145.82</v>
      </c>
      <c r="X1323" s="1742">
        <v>1102.96</v>
      </c>
      <c r="Y1323" s="2106">
        <v>2348.7799999999997</v>
      </c>
      <c r="Z1323" s="2106">
        <v>-13</v>
      </c>
      <c r="AA1323" s="2106">
        <v>-100</v>
      </c>
      <c r="AB1323" s="2106">
        <v>-1145.82</v>
      </c>
      <c r="AC1323" s="2106">
        <v>-1102.96</v>
      </c>
      <c r="AD1323" s="1744">
        <v>-2348.7799999999997</v>
      </c>
      <c r="AE1323" s="2126">
        <v>96</v>
      </c>
      <c r="AF1323" s="2126">
        <v>-96</v>
      </c>
      <c r="AG1323" s="1212">
        <v>1</v>
      </c>
      <c r="AH1323" s="1212">
        <v>0</v>
      </c>
      <c r="AI1323" s="1212">
        <v>0</v>
      </c>
      <c r="AJ1323" s="1212">
        <v>1</v>
      </c>
      <c r="AK1323" s="2126">
        <v>-2348.7799999999997</v>
      </c>
      <c r="AL1323" s="2126">
        <v>0</v>
      </c>
      <c r="AM1323" s="2126">
        <v>0</v>
      </c>
      <c r="AN1323" s="2126">
        <v>-2348.7799999999997</v>
      </c>
      <c r="AO1323" s="1743" t="s">
        <v>85</v>
      </c>
      <c r="AP1323" s="1743" t="s">
        <v>96</v>
      </c>
      <c r="AQ1323" s="1764" t="s">
        <v>192</v>
      </c>
      <c r="AR1323" s="1743" t="s">
        <v>87</v>
      </c>
      <c r="AS1323" s="2135"/>
      <c r="AT1323" s="2135"/>
      <c r="AU1323" s="1212">
        <v>1</v>
      </c>
      <c r="AV1323" s="1212"/>
      <c r="AW1323" s="1212"/>
      <c r="AX1323" s="1212"/>
      <c r="AY1323" s="1212"/>
      <c r="AZ1323" s="1212"/>
      <c r="BA1323" s="1212"/>
      <c r="BB1323" s="1212"/>
      <c r="BC1323" s="1212"/>
      <c r="BD1323" s="1212"/>
      <c r="BE1323" s="1212"/>
      <c r="BF1323" s="2126">
        <v>0</v>
      </c>
      <c r="BG1323" s="2126">
        <v>0</v>
      </c>
      <c r="BH1323" s="2126">
        <v>-2348.7799999999997</v>
      </c>
      <c r="BI1323" s="2126">
        <v>0</v>
      </c>
      <c r="BJ1323" s="2126">
        <v>0</v>
      </c>
      <c r="BK1323" s="2126">
        <v>0</v>
      </c>
      <c r="BL1323" s="2126">
        <v>0</v>
      </c>
      <c r="BM1323" s="2126">
        <v>0</v>
      </c>
      <c r="BN1323" s="2126">
        <v>0</v>
      </c>
      <c r="BO1323" s="2126">
        <v>0</v>
      </c>
      <c r="BP1323" s="2126">
        <v>0</v>
      </c>
      <c r="BQ1323" s="2126">
        <v>0</v>
      </c>
      <c r="BR1323" s="2126">
        <v>0</v>
      </c>
    </row>
    <row r="1324" spans="1:70" s="1765" customFormat="1" ht="33">
      <c r="A1324" s="1272">
        <v>5000</v>
      </c>
      <c r="B1324" s="971" t="s">
        <v>2119</v>
      </c>
      <c r="C1324" s="1272">
        <v>5100</v>
      </c>
      <c r="D1324" s="971" t="s">
        <v>78</v>
      </c>
      <c r="E1324" s="971">
        <v>5140</v>
      </c>
      <c r="F1324" s="971" t="s">
        <v>176</v>
      </c>
      <c r="G1324" s="971">
        <v>5140</v>
      </c>
      <c r="H1324" s="971" t="s">
        <v>176</v>
      </c>
      <c r="I1324" s="1273"/>
      <c r="J1324" s="971" t="s">
        <v>2146</v>
      </c>
      <c r="K1324" s="971" t="s">
        <v>2125</v>
      </c>
      <c r="L1324" s="971" t="s">
        <v>2126</v>
      </c>
      <c r="M1324" s="971" t="s">
        <v>2125</v>
      </c>
      <c r="N1324" s="971" t="s">
        <v>176</v>
      </c>
      <c r="O1324" s="971" t="s">
        <v>2126</v>
      </c>
      <c r="P1324" s="971"/>
      <c r="Q1324" s="971" t="s">
        <v>2243</v>
      </c>
      <c r="R1324" s="1266" t="s">
        <v>2244</v>
      </c>
      <c r="S1324" s="2106">
        <v>-1</v>
      </c>
      <c r="T1324" s="1266" t="s">
        <v>242</v>
      </c>
      <c r="U1324" s="1742">
        <v>13</v>
      </c>
      <c r="V1324" s="1742">
        <v>100</v>
      </c>
      <c r="W1324" s="1742">
        <v>1145.82</v>
      </c>
      <c r="X1324" s="1742">
        <v>1102.96</v>
      </c>
      <c r="Y1324" s="2106">
        <v>2348.7799999999997</v>
      </c>
      <c r="Z1324" s="2106">
        <v>-13</v>
      </c>
      <c r="AA1324" s="2106">
        <v>-100</v>
      </c>
      <c r="AB1324" s="2106">
        <v>-1145.82</v>
      </c>
      <c r="AC1324" s="2106">
        <v>-1102.96</v>
      </c>
      <c r="AD1324" s="1744">
        <v>-2348.7799999999997</v>
      </c>
      <c r="AE1324" s="2126">
        <v>96</v>
      </c>
      <c r="AF1324" s="2126">
        <v>96</v>
      </c>
      <c r="AG1324" s="1212">
        <v>1</v>
      </c>
      <c r="AH1324" s="1212">
        <v>0</v>
      </c>
      <c r="AI1324" s="1212">
        <v>0</v>
      </c>
      <c r="AJ1324" s="1212">
        <v>1</v>
      </c>
      <c r="AK1324" s="2126">
        <v>-2348.7799999999997</v>
      </c>
      <c r="AL1324" s="2126">
        <v>0</v>
      </c>
      <c r="AM1324" s="2126">
        <v>0</v>
      </c>
      <c r="AN1324" s="2126">
        <v>-2348.7799999999997</v>
      </c>
      <c r="AO1324" s="1743" t="s">
        <v>85</v>
      </c>
      <c r="AP1324" s="1743" t="s">
        <v>96</v>
      </c>
      <c r="AQ1324" s="1764" t="s">
        <v>97</v>
      </c>
      <c r="AR1324" s="1743" t="s">
        <v>87</v>
      </c>
      <c r="AS1324" s="2135"/>
      <c r="AT1324" s="2135"/>
      <c r="AU1324" s="1212">
        <v>1</v>
      </c>
      <c r="AV1324" s="1212"/>
      <c r="AW1324" s="1212"/>
      <c r="AX1324" s="1212"/>
      <c r="AY1324" s="1212"/>
      <c r="AZ1324" s="1212"/>
      <c r="BA1324" s="1212"/>
      <c r="BB1324" s="1212"/>
      <c r="BC1324" s="1212"/>
      <c r="BD1324" s="1212"/>
      <c r="BE1324" s="1212"/>
      <c r="BF1324" s="2126">
        <v>0</v>
      </c>
      <c r="BG1324" s="2126">
        <v>0</v>
      </c>
      <c r="BH1324" s="2126">
        <v>-2348.7799999999997</v>
      </c>
      <c r="BI1324" s="2126">
        <v>0</v>
      </c>
      <c r="BJ1324" s="2126">
        <v>0</v>
      </c>
      <c r="BK1324" s="2126">
        <v>0</v>
      </c>
      <c r="BL1324" s="2126">
        <v>0</v>
      </c>
      <c r="BM1324" s="2126">
        <v>0</v>
      </c>
      <c r="BN1324" s="2126">
        <v>0</v>
      </c>
      <c r="BO1324" s="2126">
        <v>0</v>
      </c>
      <c r="BP1324" s="2126">
        <v>0</v>
      </c>
      <c r="BQ1324" s="2126">
        <v>0</v>
      </c>
      <c r="BR1324" s="2126">
        <v>0</v>
      </c>
    </row>
    <row r="1325" spans="1:70" s="1765" customFormat="1" ht="33">
      <c r="A1325" s="1272">
        <v>5000</v>
      </c>
      <c r="B1325" s="971" t="s">
        <v>2119</v>
      </c>
      <c r="C1325" s="1272">
        <v>5100</v>
      </c>
      <c r="D1325" s="971" t="s">
        <v>78</v>
      </c>
      <c r="E1325" s="971">
        <v>5140</v>
      </c>
      <c r="F1325" s="971" t="s">
        <v>176</v>
      </c>
      <c r="G1325" s="971">
        <v>5140</v>
      </c>
      <c r="H1325" s="971" t="s">
        <v>176</v>
      </c>
      <c r="I1325" s="1273"/>
      <c r="J1325" s="971" t="s">
        <v>2146</v>
      </c>
      <c r="K1325" s="971" t="s">
        <v>2125</v>
      </c>
      <c r="L1325" s="971" t="s">
        <v>2126</v>
      </c>
      <c r="M1325" s="971" t="s">
        <v>2125</v>
      </c>
      <c r="N1325" s="971" t="s">
        <v>176</v>
      </c>
      <c r="O1325" s="971" t="s">
        <v>2126</v>
      </c>
      <c r="P1325" s="971"/>
      <c r="Q1325" s="971" t="s">
        <v>2243</v>
      </c>
      <c r="R1325" s="1266" t="s">
        <v>2244</v>
      </c>
      <c r="S1325" s="2106">
        <v>1</v>
      </c>
      <c r="T1325" s="1266" t="s">
        <v>242</v>
      </c>
      <c r="U1325" s="1742">
        <v>13</v>
      </c>
      <c r="V1325" s="1742">
        <v>100</v>
      </c>
      <c r="W1325" s="1742">
        <v>1145.82</v>
      </c>
      <c r="X1325" s="1742">
        <v>1102.96</v>
      </c>
      <c r="Y1325" s="2106">
        <v>2348.7799999999997</v>
      </c>
      <c r="Z1325" s="2106">
        <v>13</v>
      </c>
      <c r="AA1325" s="2106">
        <v>100</v>
      </c>
      <c r="AB1325" s="2106">
        <v>1145.82</v>
      </c>
      <c r="AC1325" s="2106">
        <v>1102.96</v>
      </c>
      <c r="AD1325" s="1744">
        <v>2348.7799999999997</v>
      </c>
      <c r="AE1325" s="2126">
        <v>96</v>
      </c>
      <c r="AF1325" s="2126">
        <v>96</v>
      </c>
      <c r="AG1325" s="1212">
        <v>1</v>
      </c>
      <c r="AH1325" s="1212">
        <v>0</v>
      </c>
      <c r="AI1325" s="1212">
        <v>0</v>
      </c>
      <c r="AJ1325" s="1212">
        <v>1</v>
      </c>
      <c r="AK1325" s="2126">
        <v>2348.7799999999997</v>
      </c>
      <c r="AL1325" s="2126">
        <v>0</v>
      </c>
      <c r="AM1325" s="2126">
        <v>0</v>
      </c>
      <c r="AN1325" s="2126">
        <v>2348.7799999999997</v>
      </c>
      <c r="AO1325" s="1743" t="s">
        <v>85</v>
      </c>
      <c r="AP1325" s="1743" t="s">
        <v>90</v>
      </c>
      <c r="AQ1325" s="1764">
        <v>2021</v>
      </c>
      <c r="AR1325" s="1743" t="s">
        <v>87</v>
      </c>
      <c r="AS1325" s="2135"/>
      <c r="AT1325" s="2135"/>
      <c r="AU1325" s="1212">
        <v>1</v>
      </c>
      <c r="AV1325" s="1212"/>
      <c r="AW1325" s="1212"/>
      <c r="AX1325" s="1212"/>
      <c r="AY1325" s="1212"/>
      <c r="AZ1325" s="1212"/>
      <c r="BA1325" s="1212"/>
      <c r="BB1325" s="1212"/>
      <c r="BC1325" s="1212"/>
      <c r="BD1325" s="1212"/>
      <c r="BE1325" s="1212"/>
      <c r="BF1325" s="2126">
        <v>0</v>
      </c>
      <c r="BG1325" s="2126">
        <v>0</v>
      </c>
      <c r="BH1325" s="2126">
        <v>2348.7799999999997</v>
      </c>
      <c r="BI1325" s="2126">
        <v>0</v>
      </c>
      <c r="BJ1325" s="2126">
        <v>0</v>
      </c>
      <c r="BK1325" s="2126">
        <v>0</v>
      </c>
      <c r="BL1325" s="2126">
        <v>0</v>
      </c>
      <c r="BM1325" s="2126">
        <v>0</v>
      </c>
      <c r="BN1325" s="2126">
        <v>0</v>
      </c>
      <c r="BO1325" s="2126">
        <v>0</v>
      </c>
      <c r="BP1325" s="2126">
        <v>0</v>
      </c>
      <c r="BQ1325" s="2126">
        <v>0</v>
      </c>
      <c r="BR1325" s="2126">
        <v>0</v>
      </c>
    </row>
    <row r="1326" spans="1:70" s="1765" customFormat="1" ht="33">
      <c r="A1326" s="1272">
        <v>5000</v>
      </c>
      <c r="B1326" s="971" t="s">
        <v>2119</v>
      </c>
      <c r="C1326" s="1272">
        <v>5100</v>
      </c>
      <c r="D1326" s="971" t="s">
        <v>78</v>
      </c>
      <c r="E1326" s="971">
        <v>5140</v>
      </c>
      <c r="F1326" s="971" t="s">
        <v>176</v>
      </c>
      <c r="G1326" s="971">
        <v>5140</v>
      </c>
      <c r="H1326" s="971" t="s">
        <v>176</v>
      </c>
      <c r="I1326" s="1273"/>
      <c r="J1326" s="971" t="s">
        <v>2146</v>
      </c>
      <c r="K1326" s="971" t="s">
        <v>2125</v>
      </c>
      <c r="L1326" s="971" t="s">
        <v>2126</v>
      </c>
      <c r="M1326" s="971" t="s">
        <v>2125</v>
      </c>
      <c r="N1326" s="971" t="s">
        <v>176</v>
      </c>
      <c r="O1326" s="971" t="s">
        <v>2126</v>
      </c>
      <c r="P1326" s="971"/>
      <c r="Q1326" s="971" t="s">
        <v>2245</v>
      </c>
      <c r="R1326" s="1266" t="s">
        <v>2246</v>
      </c>
      <c r="S1326" s="2106">
        <v>-1</v>
      </c>
      <c r="T1326" s="1266" t="s">
        <v>242</v>
      </c>
      <c r="U1326" s="1742">
        <v>13</v>
      </c>
      <c r="V1326" s="1742">
        <v>100</v>
      </c>
      <c r="W1326" s="1742">
        <v>1145.82</v>
      </c>
      <c r="X1326" s="1742">
        <v>1102.96</v>
      </c>
      <c r="Y1326" s="2106">
        <v>2348.7799999999997</v>
      </c>
      <c r="Z1326" s="2106">
        <v>-13</v>
      </c>
      <c r="AA1326" s="2106">
        <v>-100</v>
      </c>
      <c r="AB1326" s="2106">
        <v>-1145.82</v>
      </c>
      <c r="AC1326" s="2106">
        <v>-1102.96</v>
      </c>
      <c r="AD1326" s="1744">
        <v>-2348.7799999999997</v>
      </c>
      <c r="AE1326" s="2126">
        <v>96</v>
      </c>
      <c r="AF1326" s="2126">
        <v>96</v>
      </c>
      <c r="AG1326" s="1212">
        <v>1</v>
      </c>
      <c r="AH1326" s="1212">
        <v>0</v>
      </c>
      <c r="AI1326" s="1212">
        <v>0</v>
      </c>
      <c r="AJ1326" s="1212">
        <v>1</v>
      </c>
      <c r="AK1326" s="2126">
        <v>-2348.7799999999997</v>
      </c>
      <c r="AL1326" s="2126">
        <v>0</v>
      </c>
      <c r="AM1326" s="2126">
        <v>0</v>
      </c>
      <c r="AN1326" s="2126">
        <v>-2348.7799999999997</v>
      </c>
      <c r="AO1326" s="1743" t="s">
        <v>85</v>
      </c>
      <c r="AP1326" s="1743" t="s">
        <v>96</v>
      </c>
      <c r="AQ1326" s="1764" t="s">
        <v>97</v>
      </c>
      <c r="AR1326" s="1743" t="s">
        <v>87</v>
      </c>
      <c r="AS1326" s="2135"/>
      <c r="AT1326" s="2135"/>
      <c r="AU1326" s="1212">
        <v>1</v>
      </c>
      <c r="AV1326" s="1212"/>
      <c r="AW1326" s="1212"/>
      <c r="AX1326" s="1212"/>
      <c r="AY1326" s="1212"/>
      <c r="AZ1326" s="1212"/>
      <c r="BA1326" s="1212"/>
      <c r="BB1326" s="1212"/>
      <c r="BC1326" s="1212"/>
      <c r="BD1326" s="1212"/>
      <c r="BE1326" s="1212"/>
      <c r="BF1326" s="2126">
        <v>0</v>
      </c>
      <c r="BG1326" s="2126">
        <v>0</v>
      </c>
      <c r="BH1326" s="2126">
        <v>-2348.7799999999997</v>
      </c>
      <c r="BI1326" s="2126">
        <v>0</v>
      </c>
      <c r="BJ1326" s="2126">
        <v>0</v>
      </c>
      <c r="BK1326" s="2126">
        <v>0</v>
      </c>
      <c r="BL1326" s="2126">
        <v>0</v>
      </c>
      <c r="BM1326" s="2126">
        <v>0</v>
      </c>
      <c r="BN1326" s="2126">
        <v>0</v>
      </c>
      <c r="BO1326" s="2126">
        <v>0</v>
      </c>
      <c r="BP1326" s="2126">
        <v>0</v>
      </c>
      <c r="BQ1326" s="2126">
        <v>0</v>
      </c>
      <c r="BR1326" s="2126">
        <v>0</v>
      </c>
    </row>
    <row r="1327" spans="1:70" s="1765" customFormat="1" ht="33">
      <c r="A1327" s="1272">
        <v>5000</v>
      </c>
      <c r="B1327" s="971" t="s">
        <v>2119</v>
      </c>
      <c r="C1327" s="1272">
        <v>5100</v>
      </c>
      <c r="D1327" s="971" t="s">
        <v>78</v>
      </c>
      <c r="E1327" s="971">
        <v>5140</v>
      </c>
      <c r="F1327" s="971" t="s">
        <v>176</v>
      </c>
      <c r="G1327" s="971">
        <v>5140</v>
      </c>
      <c r="H1327" s="971" t="s">
        <v>176</v>
      </c>
      <c r="I1327" s="1273"/>
      <c r="J1327" s="971" t="s">
        <v>2146</v>
      </c>
      <c r="K1327" s="971" t="s">
        <v>2125</v>
      </c>
      <c r="L1327" s="971" t="s">
        <v>2126</v>
      </c>
      <c r="M1327" s="971" t="s">
        <v>2125</v>
      </c>
      <c r="N1327" s="971" t="s">
        <v>176</v>
      </c>
      <c r="O1327" s="971" t="s">
        <v>2126</v>
      </c>
      <c r="P1327" s="971"/>
      <c r="Q1327" s="971" t="s">
        <v>2245</v>
      </c>
      <c r="R1327" s="1266" t="s">
        <v>2246</v>
      </c>
      <c r="S1327" s="2106">
        <v>1</v>
      </c>
      <c r="T1327" s="1266" t="s">
        <v>242</v>
      </c>
      <c r="U1327" s="1742">
        <v>13</v>
      </c>
      <c r="V1327" s="1742">
        <v>100</v>
      </c>
      <c r="W1327" s="1742">
        <v>1145.82</v>
      </c>
      <c r="X1327" s="1742">
        <v>1102.96</v>
      </c>
      <c r="Y1327" s="2106">
        <v>2348.7799999999997</v>
      </c>
      <c r="Z1327" s="2106">
        <v>13</v>
      </c>
      <c r="AA1327" s="2106">
        <v>100</v>
      </c>
      <c r="AB1327" s="2106">
        <v>1145.82</v>
      </c>
      <c r="AC1327" s="2106">
        <v>1102.96</v>
      </c>
      <c r="AD1327" s="1744">
        <v>2348.7799999999997</v>
      </c>
      <c r="AE1327" s="2126">
        <v>96</v>
      </c>
      <c r="AF1327" s="2126">
        <v>96</v>
      </c>
      <c r="AG1327" s="1212">
        <v>1</v>
      </c>
      <c r="AH1327" s="1212">
        <v>0</v>
      </c>
      <c r="AI1327" s="1212">
        <v>0</v>
      </c>
      <c r="AJ1327" s="1212">
        <v>1</v>
      </c>
      <c r="AK1327" s="2126">
        <v>2348.7799999999997</v>
      </c>
      <c r="AL1327" s="2126">
        <v>0</v>
      </c>
      <c r="AM1327" s="2126">
        <v>0</v>
      </c>
      <c r="AN1327" s="2126">
        <v>2348.7799999999997</v>
      </c>
      <c r="AO1327" s="1743" t="s">
        <v>85</v>
      </c>
      <c r="AP1327" s="1743" t="s">
        <v>90</v>
      </c>
      <c r="AQ1327" s="1764">
        <v>2021</v>
      </c>
      <c r="AR1327" s="1743" t="s">
        <v>87</v>
      </c>
      <c r="AS1327" s="2135"/>
      <c r="AT1327" s="2135"/>
      <c r="AU1327" s="1212">
        <v>1</v>
      </c>
      <c r="AV1327" s="1212"/>
      <c r="AW1327" s="1212"/>
      <c r="AX1327" s="1212"/>
      <c r="AY1327" s="1212"/>
      <c r="AZ1327" s="1212"/>
      <c r="BA1327" s="1212"/>
      <c r="BB1327" s="1212"/>
      <c r="BC1327" s="1212"/>
      <c r="BD1327" s="1212"/>
      <c r="BE1327" s="1212"/>
      <c r="BF1327" s="2126">
        <v>0</v>
      </c>
      <c r="BG1327" s="2126">
        <v>0</v>
      </c>
      <c r="BH1327" s="2126">
        <v>2348.7799999999997</v>
      </c>
      <c r="BI1327" s="2126">
        <v>0</v>
      </c>
      <c r="BJ1327" s="2126">
        <v>0</v>
      </c>
      <c r="BK1327" s="2126">
        <v>0</v>
      </c>
      <c r="BL1327" s="2126">
        <v>0</v>
      </c>
      <c r="BM1327" s="2126">
        <v>0</v>
      </c>
      <c r="BN1327" s="2126">
        <v>0</v>
      </c>
      <c r="BO1327" s="2126">
        <v>0</v>
      </c>
      <c r="BP1327" s="2126">
        <v>0</v>
      </c>
      <c r="BQ1327" s="2126">
        <v>0</v>
      </c>
      <c r="BR1327" s="2126">
        <v>0</v>
      </c>
    </row>
    <row r="1328" spans="1:70" s="1765" customFormat="1" ht="33">
      <c r="A1328" s="1272">
        <v>5000</v>
      </c>
      <c r="B1328" s="971" t="s">
        <v>2119</v>
      </c>
      <c r="C1328" s="1272">
        <v>5100</v>
      </c>
      <c r="D1328" s="971" t="s">
        <v>78</v>
      </c>
      <c r="E1328" s="971">
        <v>5140</v>
      </c>
      <c r="F1328" s="971" t="s">
        <v>176</v>
      </c>
      <c r="G1328" s="971">
        <v>5140</v>
      </c>
      <c r="H1328" s="971" t="s">
        <v>176</v>
      </c>
      <c r="I1328" s="1273"/>
      <c r="J1328" s="971" t="s">
        <v>2146</v>
      </c>
      <c r="K1328" s="971" t="s">
        <v>2125</v>
      </c>
      <c r="L1328" s="971" t="s">
        <v>2126</v>
      </c>
      <c r="M1328" s="971" t="s">
        <v>2125</v>
      </c>
      <c r="N1328" s="971" t="s">
        <v>176</v>
      </c>
      <c r="O1328" s="971" t="s">
        <v>2126</v>
      </c>
      <c r="P1328" s="971"/>
      <c r="Q1328" s="971" t="s">
        <v>2181</v>
      </c>
      <c r="R1328" s="1266" t="s">
        <v>2182</v>
      </c>
      <c r="S1328" s="2106">
        <v>-1</v>
      </c>
      <c r="T1328" s="1266" t="s">
        <v>242</v>
      </c>
      <c r="U1328" s="1742">
        <v>13</v>
      </c>
      <c r="V1328" s="1742">
        <v>100</v>
      </c>
      <c r="W1328" s="1742">
        <v>1145.82</v>
      </c>
      <c r="X1328" s="1742">
        <v>1102.96</v>
      </c>
      <c r="Y1328" s="2106">
        <v>2348.7799999999997</v>
      </c>
      <c r="Z1328" s="2106">
        <v>-13</v>
      </c>
      <c r="AA1328" s="2106">
        <v>-100</v>
      </c>
      <c r="AB1328" s="2106">
        <v>-1145.82</v>
      </c>
      <c r="AC1328" s="2106">
        <v>-1102.96</v>
      </c>
      <c r="AD1328" s="1744">
        <v>-2348.7799999999997</v>
      </c>
      <c r="AE1328" s="2126">
        <v>96</v>
      </c>
      <c r="AF1328" s="2126">
        <v>96</v>
      </c>
      <c r="AG1328" s="1212">
        <v>1</v>
      </c>
      <c r="AH1328" s="1212">
        <v>0</v>
      </c>
      <c r="AI1328" s="1212">
        <v>0</v>
      </c>
      <c r="AJ1328" s="1212">
        <v>1</v>
      </c>
      <c r="AK1328" s="2126">
        <v>-2348.7799999999997</v>
      </c>
      <c r="AL1328" s="2126">
        <v>0</v>
      </c>
      <c r="AM1328" s="2126">
        <v>0</v>
      </c>
      <c r="AN1328" s="2126">
        <v>-2348.7799999999997</v>
      </c>
      <c r="AO1328" s="1743" t="s">
        <v>85</v>
      </c>
      <c r="AP1328" s="1743" t="s">
        <v>96</v>
      </c>
      <c r="AQ1328" s="1764" t="s">
        <v>97</v>
      </c>
      <c r="AR1328" s="1743" t="s">
        <v>87</v>
      </c>
      <c r="AS1328" s="2135"/>
      <c r="AT1328" s="2135"/>
      <c r="AU1328" s="1212">
        <v>1</v>
      </c>
      <c r="AV1328" s="1212"/>
      <c r="AW1328" s="1212"/>
      <c r="AX1328" s="1212"/>
      <c r="AY1328" s="1212"/>
      <c r="AZ1328" s="1212"/>
      <c r="BA1328" s="1212"/>
      <c r="BB1328" s="1212"/>
      <c r="BC1328" s="1212"/>
      <c r="BD1328" s="1212"/>
      <c r="BE1328" s="1212"/>
      <c r="BF1328" s="2126">
        <v>0</v>
      </c>
      <c r="BG1328" s="2126">
        <v>0</v>
      </c>
      <c r="BH1328" s="2126">
        <v>-2348.7799999999997</v>
      </c>
      <c r="BI1328" s="2126">
        <v>0</v>
      </c>
      <c r="BJ1328" s="2126">
        <v>0</v>
      </c>
      <c r="BK1328" s="2126">
        <v>0</v>
      </c>
      <c r="BL1328" s="2126">
        <v>0</v>
      </c>
      <c r="BM1328" s="2126">
        <v>0</v>
      </c>
      <c r="BN1328" s="2126">
        <v>0</v>
      </c>
      <c r="BO1328" s="2126">
        <v>0</v>
      </c>
      <c r="BP1328" s="2126">
        <v>0</v>
      </c>
      <c r="BQ1328" s="2126">
        <v>0</v>
      </c>
      <c r="BR1328" s="2126">
        <v>0</v>
      </c>
    </row>
    <row r="1329" spans="1:70" s="1765" customFormat="1" ht="33">
      <c r="A1329" s="1272">
        <v>5000</v>
      </c>
      <c r="B1329" s="971" t="s">
        <v>2119</v>
      </c>
      <c r="C1329" s="1272">
        <v>5100</v>
      </c>
      <c r="D1329" s="971" t="s">
        <v>78</v>
      </c>
      <c r="E1329" s="971">
        <v>5140</v>
      </c>
      <c r="F1329" s="971" t="s">
        <v>176</v>
      </c>
      <c r="G1329" s="971">
        <v>5140</v>
      </c>
      <c r="H1329" s="971" t="s">
        <v>176</v>
      </c>
      <c r="I1329" s="1273"/>
      <c r="J1329" s="971" t="s">
        <v>2146</v>
      </c>
      <c r="K1329" s="971" t="s">
        <v>2125</v>
      </c>
      <c r="L1329" s="971" t="s">
        <v>2126</v>
      </c>
      <c r="M1329" s="971" t="s">
        <v>2125</v>
      </c>
      <c r="N1329" s="971" t="s">
        <v>176</v>
      </c>
      <c r="O1329" s="971" t="s">
        <v>2126</v>
      </c>
      <c r="P1329" s="971"/>
      <c r="Q1329" s="971" t="s">
        <v>2181</v>
      </c>
      <c r="R1329" s="1266" t="s">
        <v>2182</v>
      </c>
      <c r="S1329" s="2106">
        <v>1</v>
      </c>
      <c r="T1329" s="1266" t="s">
        <v>242</v>
      </c>
      <c r="U1329" s="1742">
        <v>13</v>
      </c>
      <c r="V1329" s="1742">
        <v>100</v>
      </c>
      <c r="W1329" s="1742">
        <v>1145.82</v>
      </c>
      <c r="X1329" s="1742">
        <v>1102.96</v>
      </c>
      <c r="Y1329" s="2106">
        <v>2348.7799999999997</v>
      </c>
      <c r="Z1329" s="2106">
        <v>13</v>
      </c>
      <c r="AA1329" s="2106">
        <v>100</v>
      </c>
      <c r="AB1329" s="2106">
        <v>1145.82</v>
      </c>
      <c r="AC1329" s="2106">
        <v>1102.96</v>
      </c>
      <c r="AD1329" s="1744">
        <v>2348.7799999999997</v>
      </c>
      <c r="AE1329" s="2126">
        <v>96</v>
      </c>
      <c r="AF1329" s="2126">
        <v>96</v>
      </c>
      <c r="AG1329" s="1212">
        <v>1</v>
      </c>
      <c r="AH1329" s="1212">
        <v>0</v>
      </c>
      <c r="AI1329" s="1212">
        <v>0</v>
      </c>
      <c r="AJ1329" s="1212">
        <v>1</v>
      </c>
      <c r="AK1329" s="2126">
        <v>2348.7799999999997</v>
      </c>
      <c r="AL1329" s="2126">
        <v>0</v>
      </c>
      <c r="AM1329" s="2126">
        <v>0</v>
      </c>
      <c r="AN1329" s="2126">
        <v>2348.7799999999997</v>
      </c>
      <c r="AO1329" s="1743" t="s">
        <v>85</v>
      </c>
      <c r="AP1329" s="1743" t="s">
        <v>90</v>
      </c>
      <c r="AQ1329" s="1764">
        <v>2021</v>
      </c>
      <c r="AR1329" s="1743" t="s">
        <v>87</v>
      </c>
      <c r="AS1329" s="2135"/>
      <c r="AT1329" s="2135"/>
      <c r="AU1329" s="1212">
        <v>1</v>
      </c>
      <c r="AV1329" s="1212"/>
      <c r="AW1329" s="1212"/>
      <c r="AX1329" s="1212"/>
      <c r="AY1329" s="1212"/>
      <c r="AZ1329" s="1212"/>
      <c r="BA1329" s="1212"/>
      <c r="BB1329" s="1212"/>
      <c r="BC1329" s="1212"/>
      <c r="BD1329" s="1212"/>
      <c r="BE1329" s="1212"/>
      <c r="BF1329" s="2126">
        <v>0</v>
      </c>
      <c r="BG1329" s="2126">
        <v>0</v>
      </c>
      <c r="BH1329" s="2126">
        <v>2348.7799999999997</v>
      </c>
      <c r="BI1329" s="2126">
        <v>0</v>
      </c>
      <c r="BJ1329" s="2126">
        <v>0</v>
      </c>
      <c r="BK1329" s="2126">
        <v>0</v>
      </c>
      <c r="BL1329" s="2126">
        <v>0</v>
      </c>
      <c r="BM1329" s="2126">
        <v>0</v>
      </c>
      <c r="BN1329" s="2126">
        <v>0</v>
      </c>
      <c r="BO1329" s="2126">
        <v>0</v>
      </c>
      <c r="BP1329" s="2126">
        <v>0</v>
      </c>
      <c r="BQ1329" s="2126">
        <v>0</v>
      </c>
      <c r="BR1329" s="2126">
        <v>0</v>
      </c>
    </row>
    <row r="1330" spans="1:70" s="1765" customFormat="1" ht="33">
      <c r="A1330" s="1272">
        <v>5000</v>
      </c>
      <c r="B1330" s="971" t="s">
        <v>2119</v>
      </c>
      <c r="C1330" s="1272">
        <v>5100</v>
      </c>
      <c r="D1330" s="971" t="s">
        <v>78</v>
      </c>
      <c r="E1330" s="971">
        <v>5140</v>
      </c>
      <c r="F1330" s="971" t="s">
        <v>176</v>
      </c>
      <c r="G1330" s="971">
        <v>5140</v>
      </c>
      <c r="H1330" s="971" t="s">
        <v>176</v>
      </c>
      <c r="I1330" s="1273"/>
      <c r="J1330" s="971" t="s">
        <v>2146</v>
      </c>
      <c r="K1330" s="971" t="s">
        <v>2125</v>
      </c>
      <c r="L1330" s="971" t="s">
        <v>2126</v>
      </c>
      <c r="M1330" s="971" t="s">
        <v>2125</v>
      </c>
      <c r="N1330" s="971" t="s">
        <v>176</v>
      </c>
      <c r="O1330" s="971" t="s">
        <v>2126</v>
      </c>
      <c r="P1330" s="971"/>
      <c r="Q1330" s="971" t="s">
        <v>2183</v>
      </c>
      <c r="R1330" s="1266" t="s">
        <v>2184</v>
      </c>
      <c r="S1330" s="2106">
        <v>-1</v>
      </c>
      <c r="T1330" s="1266" t="s">
        <v>242</v>
      </c>
      <c r="U1330" s="1742">
        <v>13</v>
      </c>
      <c r="V1330" s="1742">
        <v>100</v>
      </c>
      <c r="W1330" s="1742">
        <v>1145.82</v>
      </c>
      <c r="X1330" s="1742">
        <v>1102.96</v>
      </c>
      <c r="Y1330" s="2106">
        <v>2348.7799999999997</v>
      </c>
      <c r="Z1330" s="2106">
        <v>-13</v>
      </c>
      <c r="AA1330" s="2106">
        <v>-100</v>
      </c>
      <c r="AB1330" s="2106">
        <v>-1145.82</v>
      </c>
      <c r="AC1330" s="2106">
        <v>-1102.96</v>
      </c>
      <c r="AD1330" s="1744">
        <v>-2348.7799999999997</v>
      </c>
      <c r="AE1330" s="2126">
        <v>96</v>
      </c>
      <c r="AF1330" s="2126">
        <v>-96</v>
      </c>
      <c r="AG1330" s="1212">
        <v>1</v>
      </c>
      <c r="AH1330" s="1212">
        <v>0</v>
      </c>
      <c r="AI1330" s="1212">
        <v>0</v>
      </c>
      <c r="AJ1330" s="1212">
        <v>1</v>
      </c>
      <c r="AK1330" s="2126">
        <v>-2348.7799999999997</v>
      </c>
      <c r="AL1330" s="2126">
        <v>0</v>
      </c>
      <c r="AM1330" s="2126">
        <v>0</v>
      </c>
      <c r="AN1330" s="2126">
        <v>-2348.7799999999997</v>
      </c>
      <c r="AO1330" s="1743" t="s">
        <v>85</v>
      </c>
      <c r="AP1330" s="1743" t="s">
        <v>1430</v>
      </c>
      <c r="AQ1330" s="1764" t="s">
        <v>192</v>
      </c>
      <c r="AR1330" s="1743" t="s">
        <v>87</v>
      </c>
      <c r="AS1330" s="2135"/>
      <c r="AT1330" s="2135"/>
      <c r="AU1330" s="1212">
        <v>1</v>
      </c>
      <c r="AV1330" s="1212"/>
      <c r="AW1330" s="1212"/>
      <c r="AX1330" s="1212"/>
      <c r="AY1330" s="1212"/>
      <c r="AZ1330" s="1212"/>
      <c r="BA1330" s="1212"/>
      <c r="BB1330" s="1212"/>
      <c r="BC1330" s="1212"/>
      <c r="BD1330" s="1212"/>
      <c r="BE1330" s="1212"/>
      <c r="BF1330" s="2126">
        <v>0</v>
      </c>
      <c r="BG1330" s="2126">
        <v>0</v>
      </c>
      <c r="BH1330" s="2126">
        <v>-2348.7799999999997</v>
      </c>
      <c r="BI1330" s="2126">
        <v>0</v>
      </c>
      <c r="BJ1330" s="2126">
        <v>0</v>
      </c>
      <c r="BK1330" s="2126">
        <v>0</v>
      </c>
      <c r="BL1330" s="2126">
        <v>0</v>
      </c>
      <c r="BM1330" s="2126">
        <v>0</v>
      </c>
      <c r="BN1330" s="2126">
        <v>0</v>
      </c>
      <c r="BO1330" s="2126">
        <v>0</v>
      </c>
      <c r="BP1330" s="2126">
        <v>0</v>
      </c>
      <c r="BQ1330" s="2126">
        <v>0</v>
      </c>
      <c r="BR1330" s="2126">
        <v>0</v>
      </c>
    </row>
    <row r="1331" spans="1:70" s="1765" customFormat="1" ht="33">
      <c r="A1331" s="1272">
        <v>5000</v>
      </c>
      <c r="B1331" s="971" t="s">
        <v>2119</v>
      </c>
      <c r="C1331" s="1272">
        <v>5100</v>
      </c>
      <c r="D1331" s="971" t="s">
        <v>78</v>
      </c>
      <c r="E1331" s="971">
        <v>5140</v>
      </c>
      <c r="F1331" s="971" t="s">
        <v>176</v>
      </c>
      <c r="G1331" s="971">
        <v>5140</v>
      </c>
      <c r="H1331" s="971" t="s">
        <v>176</v>
      </c>
      <c r="I1331" s="1273"/>
      <c r="J1331" s="971" t="s">
        <v>2146</v>
      </c>
      <c r="K1331" s="971" t="s">
        <v>2125</v>
      </c>
      <c r="L1331" s="971" t="s">
        <v>2126</v>
      </c>
      <c r="M1331" s="971" t="s">
        <v>2125</v>
      </c>
      <c r="N1331" s="971" t="s">
        <v>176</v>
      </c>
      <c r="O1331" s="971" t="s">
        <v>2126</v>
      </c>
      <c r="P1331" s="971"/>
      <c r="Q1331" s="971" t="s">
        <v>2183</v>
      </c>
      <c r="R1331" s="1266" t="s">
        <v>2184</v>
      </c>
      <c r="S1331" s="2106">
        <v>1</v>
      </c>
      <c r="T1331" s="1266" t="s">
        <v>242</v>
      </c>
      <c r="U1331" s="1742">
        <v>13</v>
      </c>
      <c r="V1331" s="1742">
        <v>100</v>
      </c>
      <c r="W1331" s="1742">
        <v>1145.82</v>
      </c>
      <c r="X1331" s="1742">
        <v>1102.96</v>
      </c>
      <c r="Y1331" s="2106">
        <v>2348.7799999999997</v>
      </c>
      <c r="Z1331" s="2106">
        <v>13</v>
      </c>
      <c r="AA1331" s="2106">
        <v>100</v>
      </c>
      <c r="AB1331" s="2106">
        <v>1145.82</v>
      </c>
      <c r="AC1331" s="2106">
        <v>1102.96</v>
      </c>
      <c r="AD1331" s="1744">
        <v>2348.7799999999997</v>
      </c>
      <c r="AE1331" s="2126">
        <v>96</v>
      </c>
      <c r="AF1331" s="2126">
        <v>96</v>
      </c>
      <c r="AG1331" s="1212">
        <v>1</v>
      </c>
      <c r="AH1331" s="1212">
        <v>0</v>
      </c>
      <c r="AI1331" s="1212">
        <v>0</v>
      </c>
      <c r="AJ1331" s="1212">
        <v>1</v>
      </c>
      <c r="AK1331" s="2126">
        <v>2348.7799999999997</v>
      </c>
      <c r="AL1331" s="2126">
        <v>0</v>
      </c>
      <c r="AM1331" s="2126">
        <v>0</v>
      </c>
      <c r="AN1331" s="2126">
        <v>2348.7799999999997</v>
      </c>
      <c r="AO1331" s="1743" t="s">
        <v>85</v>
      </c>
      <c r="AP1331" s="1743" t="s">
        <v>90</v>
      </c>
      <c r="AQ1331" s="1764">
        <v>2021</v>
      </c>
      <c r="AR1331" s="1743" t="s">
        <v>87</v>
      </c>
      <c r="AS1331" s="2135"/>
      <c r="AT1331" s="2135"/>
      <c r="AU1331" s="1212">
        <v>1</v>
      </c>
      <c r="AV1331" s="1212"/>
      <c r="AW1331" s="1212"/>
      <c r="AX1331" s="1212"/>
      <c r="AY1331" s="1212"/>
      <c r="AZ1331" s="1212"/>
      <c r="BA1331" s="1212"/>
      <c r="BB1331" s="1212"/>
      <c r="BC1331" s="1212"/>
      <c r="BD1331" s="1212"/>
      <c r="BE1331" s="1212"/>
      <c r="BF1331" s="2126">
        <v>0</v>
      </c>
      <c r="BG1331" s="2126">
        <v>0</v>
      </c>
      <c r="BH1331" s="2126">
        <v>2348.7799999999997</v>
      </c>
      <c r="BI1331" s="2126">
        <v>0</v>
      </c>
      <c r="BJ1331" s="2126">
        <v>0</v>
      </c>
      <c r="BK1331" s="2126">
        <v>0</v>
      </c>
      <c r="BL1331" s="2126">
        <v>0</v>
      </c>
      <c r="BM1331" s="2126">
        <v>0</v>
      </c>
      <c r="BN1331" s="2126">
        <v>0</v>
      </c>
      <c r="BO1331" s="2126">
        <v>0</v>
      </c>
      <c r="BP1331" s="2126">
        <v>0</v>
      </c>
      <c r="BQ1331" s="2126">
        <v>0</v>
      </c>
      <c r="BR1331" s="2126">
        <v>0</v>
      </c>
    </row>
    <row r="1332" spans="1:70" s="1765" customFormat="1" ht="33">
      <c r="A1332" s="1272">
        <v>5000</v>
      </c>
      <c r="B1332" s="971" t="s">
        <v>2119</v>
      </c>
      <c r="C1332" s="1272">
        <v>5100</v>
      </c>
      <c r="D1332" s="971" t="s">
        <v>78</v>
      </c>
      <c r="E1332" s="971">
        <v>5140</v>
      </c>
      <c r="F1332" s="971" t="s">
        <v>176</v>
      </c>
      <c r="G1332" s="971">
        <v>5140</v>
      </c>
      <c r="H1332" s="971" t="s">
        <v>176</v>
      </c>
      <c r="I1332" s="1273"/>
      <c r="J1332" s="971" t="s">
        <v>2146</v>
      </c>
      <c r="K1332" s="971" t="s">
        <v>2125</v>
      </c>
      <c r="L1332" s="971" t="s">
        <v>2126</v>
      </c>
      <c r="M1332" s="971" t="s">
        <v>2125</v>
      </c>
      <c r="N1332" s="971" t="s">
        <v>176</v>
      </c>
      <c r="O1332" s="971" t="s">
        <v>2126</v>
      </c>
      <c r="P1332" s="971"/>
      <c r="Q1332" s="971" t="s">
        <v>2247</v>
      </c>
      <c r="R1332" s="1266" t="s">
        <v>2248</v>
      </c>
      <c r="S1332" s="2106">
        <v>3</v>
      </c>
      <c r="T1332" s="1266" t="s">
        <v>242</v>
      </c>
      <c r="U1332" s="1742">
        <v>13</v>
      </c>
      <c r="V1332" s="1742">
        <v>100</v>
      </c>
      <c r="W1332" s="1742">
        <v>1145.82</v>
      </c>
      <c r="X1332" s="1742">
        <v>1102.96</v>
      </c>
      <c r="Y1332" s="2106">
        <v>2348.7799999999997</v>
      </c>
      <c r="Z1332" s="2106">
        <v>39</v>
      </c>
      <c r="AA1332" s="2106">
        <v>300</v>
      </c>
      <c r="AB1332" s="2106">
        <v>3437.46</v>
      </c>
      <c r="AC1332" s="2106">
        <v>3308.88</v>
      </c>
      <c r="AD1332" s="1744">
        <v>7046.34</v>
      </c>
      <c r="AE1332" s="2126">
        <v>96</v>
      </c>
      <c r="AF1332" s="2126">
        <v>288</v>
      </c>
      <c r="AG1332" s="1212">
        <v>1</v>
      </c>
      <c r="AH1332" s="1212">
        <v>0</v>
      </c>
      <c r="AI1332" s="1212">
        <v>0</v>
      </c>
      <c r="AJ1332" s="1212">
        <v>1</v>
      </c>
      <c r="AK1332" s="2126">
        <v>7046.34</v>
      </c>
      <c r="AL1332" s="2126">
        <v>0</v>
      </c>
      <c r="AM1332" s="2126">
        <v>0</v>
      </c>
      <c r="AN1332" s="2126">
        <v>7046.34</v>
      </c>
      <c r="AO1332" s="1743" t="s">
        <v>85</v>
      </c>
      <c r="AP1332" s="1743" t="s">
        <v>90</v>
      </c>
      <c r="AQ1332" s="1764">
        <v>2021</v>
      </c>
      <c r="AR1332" s="1743" t="s">
        <v>87</v>
      </c>
      <c r="AS1332" s="2135"/>
      <c r="AT1332" s="2135"/>
      <c r="AU1332" s="1212">
        <v>1</v>
      </c>
      <c r="AV1332" s="1212"/>
      <c r="AW1332" s="1212"/>
      <c r="AX1332" s="1212"/>
      <c r="AY1332" s="1212"/>
      <c r="AZ1332" s="1212"/>
      <c r="BA1332" s="1212"/>
      <c r="BB1332" s="1212"/>
      <c r="BC1332" s="1212"/>
      <c r="BD1332" s="1212"/>
      <c r="BE1332" s="1212"/>
      <c r="BF1332" s="2126">
        <v>0</v>
      </c>
      <c r="BG1332" s="2126">
        <v>0</v>
      </c>
      <c r="BH1332" s="2126">
        <v>7046.34</v>
      </c>
      <c r="BI1332" s="2126">
        <v>0</v>
      </c>
      <c r="BJ1332" s="2126">
        <v>0</v>
      </c>
      <c r="BK1332" s="2126">
        <v>0</v>
      </c>
      <c r="BL1332" s="2126">
        <v>0</v>
      </c>
      <c r="BM1332" s="2126">
        <v>0</v>
      </c>
      <c r="BN1332" s="2126">
        <v>0</v>
      </c>
      <c r="BO1332" s="2126">
        <v>0</v>
      </c>
      <c r="BP1332" s="2126">
        <v>0</v>
      </c>
      <c r="BQ1332" s="2126">
        <v>0</v>
      </c>
      <c r="BR1332" s="2126">
        <v>0</v>
      </c>
    </row>
    <row r="1333" spans="1:70" s="1765" customFormat="1" ht="33">
      <c r="A1333" s="1272">
        <v>5000</v>
      </c>
      <c r="B1333" s="971" t="s">
        <v>2119</v>
      </c>
      <c r="C1333" s="1272">
        <v>5100</v>
      </c>
      <c r="D1333" s="971" t="s">
        <v>78</v>
      </c>
      <c r="E1333" s="971">
        <v>5140</v>
      </c>
      <c r="F1333" s="971" t="s">
        <v>176</v>
      </c>
      <c r="G1333" s="971">
        <v>5140</v>
      </c>
      <c r="H1333" s="971" t="s">
        <v>176</v>
      </c>
      <c r="I1333" s="1273"/>
      <c r="J1333" s="971" t="s">
        <v>2146</v>
      </c>
      <c r="K1333" s="971" t="s">
        <v>2125</v>
      </c>
      <c r="L1333" s="971" t="s">
        <v>2126</v>
      </c>
      <c r="M1333" s="971" t="s">
        <v>2125</v>
      </c>
      <c r="N1333" s="971" t="s">
        <v>176</v>
      </c>
      <c r="O1333" s="971" t="s">
        <v>2126</v>
      </c>
      <c r="P1333" s="971"/>
      <c r="Q1333" s="971" t="s">
        <v>2247</v>
      </c>
      <c r="R1333" s="1266" t="s">
        <v>2248</v>
      </c>
      <c r="S1333" s="2106">
        <v>-1</v>
      </c>
      <c r="T1333" s="1266" t="s">
        <v>242</v>
      </c>
      <c r="U1333" s="1742">
        <v>13</v>
      </c>
      <c r="V1333" s="1742">
        <v>100</v>
      </c>
      <c r="W1333" s="1742">
        <v>1145.82</v>
      </c>
      <c r="X1333" s="1742">
        <v>1102.96</v>
      </c>
      <c r="Y1333" s="2106">
        <v>2348.7799999999997</v>
      </c>
      <c r="Z1333" s="2106">
        <v>-13</v>
      </c>
      <c r="AA1333" s="2106">
        <v>-100</v>
      </c>
      <c r="AB1333" s="2106">
        <v>-1145.82</v>
      </c>
      <c r="AC1333" s="2106">
        <v>-1102.96</v>
      </c>
      <c r="AD1333" s="1744">
        <v>-2348.7799999999997</v>
      </c>
      <c r="AE1333" s="2126">
        <v>96</v>
      </c>
      <c r="AF1333" s="2126">
        <v>-96</v>
      </c>
      <c r="AG1333" s="1212">
        <v>1</v>
      </c>
      <c r="AH1333" s="1212">
        <v>0</v>
      </c>
      <c r="AI1333" s="1212">
        <v>0</v>
      </c>
      <c r="AJ1333" s="1212">
        <v>1</v>
      </c>
      <c r="AK1333" s="2126">
        <v>-2348.7799999999997</v>
      </c>
      <c r="AL1333" s="2126">
        <v>0</v>
      </c>
      <c r="AM1333" s="2126">
        <v>0</v>
      </c>
      <c r="AN1333" s="2126">
        <v>-2348.7799999999997</v>
      </c>
      <c r="AO1333" s="1743" t="s">
        <v>85</v>
      </c>
      <c r="AP1333" s="1743" t="s">
        <v>96</v>
      </c>
      <c r="AQ1333" s="1764">
        <v>2021</v>
      </c>
      <c r="AR1333" s="1743" t="s">
        <v>87</v>
      </c>
      <c r="AS1333" s="2135"/>
      <c r="AT1333" s="2135"/>
      <c r="AU1333" s="1212">
        <v>1</v>
      </c>
      <c r="AV1333" s="1212"/>
      <c r="AW1333" s="1212"/>
      <c r="AX1333" s="1212"/>
      <c r="AY1333" s="1212"/>
      <c r="AZ1333" s="1212"/>
      <c r="BA1333" s="1212"/>
      <c r="BB1333" s="1212"/>
      <c r="BC1333" s="1212"/>
      <c r="BD1333" s="1212"/>
      <c r="BE1333" s="1212"/>
      <c r="BF1333" s="2126">
        <v>0</v>
      </c>
      <c r="BG1333" s="2126">
        <v>0</v>
      </c>
      <c r="BH1333" s="2126">
        <v>-2348.7799999999997</v>
      </c>
      <c r="BI1333" s="2126">
        <v>0</v>
      </c>
      <c r="BJ1333" s="2126">
        <v>0</v>
      </c>
      <c r="BK1333" s="2126">
        <v>0</v>
      </c>
      <c r="BL1333" s="2126">
        <v>0</v>
      </c>
      <c r="BM1333" s="2126">
        <v>0</v>
      </c>
      <c r="BN1333" s="2126">
        <v>0</v>
      </c>
      <c r="BO1333" s="2126">
        <v>0</v>
      </c>
      <c r="BP1333" s="2126">
        <v>0</v>
      </c>
      <c r="BQ1333" s="2126">
        <v>0</v>
      </c>
      <c r="BR1333" s="2126">
        <v>0</v>
      </c>
    </row>
    <row r="1334" spans="1:70" s="1765" customFormat="1" ht="33">
      <c r="A1334" s="1272">
        <v>5000</v>
      </c>
      <c r="B1334" s="971" t="s">
        <v>2119</v>
      </c>
      <c r="C1334" s="1272">
        <v>5100</v>
      </c>
      <c r="D1334" s="971" t="s">
        <v>78</v>
      </c>
      <c r="E1334" s="971">
        <v>5140</v>
      </c>
      <c r="F1334" s="971" t="s">
        <v>176</v>
      </c>
      <c r="G1334" s="971">
        <v>5140</v>
      </c>
      <c r="H1334" s="971" t="s">
        <v>176</v>
      </c>
      <c r="I1334" s="1273"/>
      <c r="J1334" s="971" t="s">
        <v>2146</v>
      </c>
      <c r="K1334" s="971" t="s">
        <v>2125</v>
      </c>
      <c r="L1334" s="971" t="s">
        <v>2126</v>
      </c>
      <c r="M1334" s="971" t="s">
        <v>2125</v>
      </c>
      <c r="N1334" s="971" t="s">
        <v>176</v>
      </c>
      <c r="O1334" s="971" t="s">
        <v>2126</v>
      </c>
      <c r="P1334" s="971"/>
      <c r="Q1334" s="971" t="s">
        <v>2160</v>
      </c>
      <c r="R1334" s="1266"/>
      <c r="S1334" s="2106">
        <v>-1</v>
      </c>
      <c r="T1334" s="1266" t="s">
        <v>242</v>
      </c>
      <c r="U1334" s="1742">
        <v>13</v>
      </c>
      <c r="V1334" s="1742">
        <v>100</v>
      </c>
      <c r="W1334" s="1742">
        <v>1145.82</v>
      </c>
      <c r="X1334" s="1742">
        <v>1102.96</v>
      </c>
      <c r="Y1334" s="2106">
        <v>2348.7799999999997</v>
      </c>
      <c r="Z1334" s="2106">
        <v>-13</v>
      </c>
      <c r="AA1334" s="2106">
        <v>-100</v>
      </c>
      <c r="AB1334" s="2106">
        <v>-1145.82</v>
      </c>
      <c r="AC1334" s="2106">
        <v>-1102.96</v>
      </c>
      <c r="AD1334" s="1744">
        <v>-2348.7799999999997</v>
      </c>
      <c r="AE1334" s="2126">
        <v>96</v>
      </c>
      <c r="AF1334" s="2126">
        <v>-96</v>
      </c>
      <c r="AG1334" s="1212">
        <v>1</v>
      </c>
      <c r="AH1334" s="1212">
        <v>0</v>
      </c>
      <c r="AI1334" s="1212">
        <v>0</v>
      </c>
      <c r="AJ1334" s="1212">
        <v>1</v>
      </c>
      <c r="AK1334" s="2126">
        <v>-2348.7799999999997</v>
      </c>
      <c r="AL1334" s="2126">
        <v>0</v>
      </c>
      <c r="AM1334" s="2126">
        <v>0</v>
      </c>
      <c r="AN1334" s="2126">
        <v>-2348.7799999999997</v>
      </c>
      <c r="AO1334" s="1743" t="s">
        <v>85</v>
      </c>
      <c r="AP1334" s="1743" t="s">
        <v>96</v>
      </c>
      <c r="AQ1334" s="1764" t="s">
        <v>192</v>
      </c>
      <c r="AR1334" s="1743" t="s">
        <v>87</v>
      </c>
      <c r="AS1334" s="2135"/>
      <c r="AT1334" s="2135"/>
      <c r="AU1334" s="1212">
        <v>1</v>
      </c>
      <c r="AV1334" s="1212"/>
      <c r="AW1334" s="1212"/>
      <c r="AX1334" s="1212"/>
      <c r="AY1334" s="1212"/>
      <c r="AZ1334" s="1212"/>
      <c r="BA1334" s="1212"/>
      <c r="BB1334" s="1212"/>
      <c r="BC1334" s="1212"/>
      <c r="BD1334" s="1212"/>
      <c r="BE1334" s="1212"/>
      <c r="BF1334" s="2126">
        <v>0</v>
      </c>
      <c r="BG1334" s="2126">
        <v>0</v>
      </c>
      <c r="BH1334" s="2126">
        <v>-2348.7799999999997</v>
      </c>
      <c r="BI1334" s="2126">
        <v>0</v>
      </c>
      <c r="BJ1334" s="2126">
        <v>0</v>
      </c>
      <c r="BK1334" s="2126">
        <v>0</v>
      </c>
      <c r="BL1334" s="2126">
        <v>0</v>
      </c>
      <c r="BM1334" s="2126">
        <v>0</v>
      </c>
      <c r="BN1334" s="2126">
        <v>0</v>
      </c>
      <c r="BO1334" s="2126">
        <v>0</v>
      </c>
      <c r="BP1334" s="2126">
        <v>0</v>
      </c>
      <c r="BQ1334" s="2126">
        <v>0</v>
      </c>
      <c r="BR1334" s="2126">
        <v>0</v>
      </c>
    </row>
    <row r="1335" spans="1:70" s="1765" customFormat="1" ht="33">
      <c r="A1335" s="1272">
        <v>5000</v>
      </c>
      <c r="B1335" s="971" t="s">
        <v>2119</v>
      </c>
      <c r="C1335" s="1272">
        <v>5100</v>
      </c>
      <c r="D1335" s="971" t="s">
        <v>78</v>
      </c>
      <c r="E1335" s="971">
        <v>5140</v>
      </c>
      <c r="F1335" s="971" t="s">
        <v>176</v>
      </c>
      <c r="G1335" s="971">
        <v>5140</v>
      </c>
      <c r="H1335" s="971" t="s">
        <v>176</v>
      </c>
      <c r="I1335" s="1273"/>
      <c r="J1335" s="971" t="s">
        <v>2146</v>
      </c>
      <c r="K1335" s="971" t="s">
        <v>2125</v>
      </c>
      <c r="L1335" s="971" t="s">
        <v>2126</v>
      </c>
      <c r="M1335" s="971" t="s">
        <v>2125</v>
      </c>
      <c r="N1335" s="971" t="s">
        <v>176</v>
      </c>
      <c r="O1335" s="971" t="s">
        <v>2126</v>
      </c>
      <c r="P1335" s="971"/>
      <c r="Q1335" s="971" t="s">
        <v>2160</v>
      </c>
      <c r="R1335" s="1266" t="s">
        <v>2249</v>
      </c>
      <c r="S1335" s="2106">
        <v>2</v>
      </c>
      <c r="T1335" s="1266" t="s">
        <v>242</v>
      </c>
      <c r="U1335" s="1742">
        <v>13</v>
      </c>
      <c r="V1335" s="1742">
        <v>100</v>
      </c>
      <c r="W1335" s="1742">
        <v>1145.82</v>
      </c>
      <c r="X1335" s="1742">
        <v>1102.96</v>
      </c>
      <c r="Y1335" s="2106">
        <v>2348.7799999999997</v>
      </c>
      <c r="Z1335" s="2106">
        <v>26</v>
      </c>
      <c r="AA1335" s="2106">
        <v>200</v>
      </c>
      <c r="AB1335" s="2106">
        <v>2291.64</v>
      </c>
      <c r="AC1335" s="2106">
        <v>2205.92</v>
      </c>
      <c r="AD1335" s="1744">
        <v>4697.5599999999995</v>
      </c>
      <c r="AE1335" s="2126">
        <v>96</v>
      </c>
      <c r="AF1335" s="2126">
        <v>192</v>
      </c>
      <c r="AG1335" s="1212">
        <v>1</v>
      </c>
      <c r="AH1335" s="1212">
        <v>0</v>
      </c>
      <c r="AI1335" s="1212">
        <v>0</v>
      </c>
      <c r="AJ1335" s="1212">
        <v>1</v>
      </c>
      <c r="AK1335" s="2126">
        <v>4697.5599999999995</v>
      </c>
      <c r="AL1335" s="2126">
        <v>0</v>
      </c>
      <c r="AM1335" s="2126">
        <v>0</v>
      </c>
      <c r="AN1335" s="2126">
        <v>4697.5599999999995</v>
      </c>
      <c r="AO1335" s="1743" t="s">
        <v>85</v>
      </c>
      <c r="AP1335" s="1743" t="s">
        <v>90</v>
      </c>
      <c r="AQ1335" s="1764" t="s">
        <v>115</v>
      </c>
      <c r="AR1335" s="1743" t="s">
        <v>87</v>
      </c>
      <c r="AS1335" s="2135"/>
      <c r="AT1335" s="2135"/>
      <c r="AU1335" s="1212">
        <v>1</v>
      </c>
      <c r="AV1335" s="1212"/>
      <c r="AW1335" s="1212"/>
      <c r="AX1335" s="1212"/>
      <c r="AY1335" s="1212"/>
      <c r="AZ1335" s="1212"/>
      <c r="BA1335" s="1212"/>
      <c r="BB1335" s="1212"/>
      <c r="BC1335" s="1212"/>
      <c r="BD1335" s="1212"/>
      <c r="BE1335" s="1212"/>
      <c r="BF1335" s="2126">
        <v>0</v>
      </c>
      <c r="BG1335" s="2126">
        <v>0</v>
      </c>
      <c r="BH1335" s="2126">
        <v>4697.5599999999995</v>
      </c>
      <c r="BI1335" s="2126">
        <v>0</v>
      </c>
      <c r="BJ1335" s="2126">
        <v>0</v>
      </c>
      <c r="BK1335" s="2126">
        <v>0</v>
      </c>
      <c r="BL1335" s="2126">
        <v>0</v>
      </c>
      <c r="BM1335" s="2126">
        <v>0</v>
      </c>
      <c r="BN1335" s="2126">
        <v>0</v>
      </c>
      <c r="BO1335" s="2126">
        <v>0</v>
      </c>
      <c r="BP1335" s="2126">
        <v>0</v>
      </c>
      <c r="BQ1335" s="2126">
        <v>0</v>
      </c>
      <c r="BR1335" s="2126">
        <v>0</v>
      </c>
    </row>
    <row r="1336" spans="1:70" s="1765" customFormat="1" ht="33">
      <c r="A1336" s="1272">
        <v>5000</v>
      </c>
      <c r="B1336" s="971" t="s">
        <v>2119</v>
      </c>
      <c r="C1336" s="1272">
        <v>5100</v>
      </c>
      <c r="D1336" s="971" t="s">
        <v>78</v>
      </c>
      <c r="E1336" s="971">
        <v>5140</v>
      </c>
      <c r="F1336" s="971" t="s">
        <v>176</v>
      </c>
      <c r="G1336" s="971">
        <v>5140</v>
      </c>
      <c r="H1336" s="971" t="s">
        <v>176</v>
      </c>
      <c r="I1336" s="1273"/>
      <c r="J1336" s="971" t="s">
        <v>2146</v>
      </c>
      <c r="K1336" s="971" t="s">
        <v>2125</v>
      </c>
      <c r="L1336" s="971" t="s">
        <v>2126</v>
      </c>
      <c r="M1336" s="971" t="s">
        <v>2125</v>
      </c>
      <c r="N1336" s="971" t="s">
        <v>176</v>
      </c>
      <c r="O1336" s="971" t="s">
        <v>2126</v>
      </c>
      <c r="P1336" s="971"/>
      <c r="Q1336" s="971" t="s">
        <v>2250</v>
      </c>
      <c r="R1336" s="1266" t="s">
        <v>2251</v>
      </c>
      <c r="S1336" s="2106">
        <v>1</v>
      </c>
      <c r="T1336" s="1266" t="s">
        <v>242</v>
      </c>
      <c r="U1336" s="1742">
        <v>13</v>
      </c>
      <c r="V1336" s="1742">
        <v>100</v>
      </c>
      <c r="W1336" s="1742">
        <v>1145.82</v>
      </c>
      <c r="X1336" s="1742">
        <v>1102.96</v>
      </c>
      <c r="Y1336" s="2106">
        <v>2348.7799999999997</v>
      </c>
      <c r="Z1336" s="2106">
        <v>13</v>
      </c>
      <c r="AA1336" s="2106">
        <v>100</v>
      </c>
      <c r="AB1336" s="2106">
        <v>1145.82</v>
      </c>
      <c r="AC1336" s="2106">
        <v>1102.96</v>
      </c>
      <c r="AD1336" s="1744">
        <v>2348.7799999999997</v>
      </c>
      <c r="AE1336" s="2126">
        <v>96</v>
      </c>
      <c r="AF1336" s="2126">
        <v>96</v>
      </c>
      <c r="AG1336" s="1212">
        <v>1</v>
      </c>
      <c r="AH1336" s="1212">
        <v>0</v>
      </c>
      <c r="AI1336" s="1212">
        <v>0</v>
      </c>
      <c r="AJ1336" s="1212">
        <v>1</v>
      </c>
      <c r="AK1336" s="2126">
        <v>2348.7799999999997</v>
      </c>
      <c r="AL1336" s="2126">
        <v>0</v>
      </c>
      <c r="AM1336" s="2126">
        <v>0</v>
      </c>
      <c r="AN1336" s="2126">
        <v>2348.7799999999997</v>
      </c>
      <c r="AO1336" s="1743" t="s">
        <v>85</v>
      </c>
      <c r="AP1336" s="1743" t="s">
        <v>90</v>
      </c>
      <c r="AQ1336" s="1764">
        <v>2021</v>
      </c>
      <c r="AR1336" s="1743" t="s">
        <v>87</v>
      </c>
      <c r="AS1336" s="2135"/>
      <c r="AT1336" s="2135"/>
      <c r="AU1336" s="1212">
        <v>1</v>
      </c>
      <c r="AV1336" s="1212"/>
      <c r="AW1336" s="1212"/>
      <c r="AX1336" s="1212"/>
      <c r="AY1336" s="1212"/>
      <c r="AZ1336" s="1212"/>
      <c r="BA1336" s="1212"/>
      <c r="BB1336" s="1212"/>
      <c r="BC1336" s="1212"/>
      <c r="BD1336" s="1212"/>
      <c r="BE1336" s="1212"/>
      <c r="BF1336" s="2126">
        <v>0</v>
      </c>
      <c r="BG1336" s="2126">
        <v>0</v>
      </c>
      <c r="BH1336" s="2126">
        <v>2348.7799999999997</v>
      </c>
      <c r="BI1336" s="2126">
        <v>0</v>
      </c>
      <c r="BJ1336" s="2126">
        <v>0</v>
      </c>
      <c r="BK1336" s="2126">
        <v>0</v>
      </c>
      <c r="BL1336" s="2126">
        <v>0</v>
      </c>
      <c r="BM1336" s="2126">
        <v>0</v>
      </c>
      <c r="BN1336" s="2126">
        <v>0</v>
      </c>
      <c r="BO1336" s="2126">
        <v>0</v>
      </c>
      <c r="BP1336" s="2126">
        <v>0</v>
      </c>
      <c r="BQ1336" s="2126">
        <v>0</v>
      </c>
      <c r="BR1336" s="2126">
        <v>0</v>
      </c>
    </row>
    <row r="1337" spans="1:70" s="1765" customFormat="1" ht="33">
      <c r="A1337" s="1272">
        <v>5000</v>
      </c>
      <c r="B1337" s="971" t="s">
        <v>2119</v>
      </c>
      <c r="C1337" s="1272">
        <v>5100</v>
      </c>
      <c r="D1337" s="971" t="s">
        <v>78</v>
      </c>
      <c r="E1337" s="971">
        <v>5140</v>
      </c>
      <c r="F1337" s="971" t="s">
        <v>176</v>
      </c>
      <c r="G1337" s="971">
        <v>5140</v>
      </c>
      <c r="H1337" s="971" t="s">
        <v>176</v>
      </c>
      <c r="I1337" s="1273"/>
      <c r="J1337" s="971" t="s">
        <v>2146</v>
      </c>
      <c r="K1337" s="971" t="s">
        <v>2125</v>
      </c>
      <c r="L1337" s="971" t="s">
        <v>2126</v>
      </c>
      <c r="M1337" s="971" t="s">
        <v>2125</v>
      </c>
      <c r="N1337" s="971" t="s">
        <v>176</v>
      </c>
      <c r="O1337" s="971" t="s">
        <v>2126</v>
      </c>
      <c r="P1337" s="971"/>
      <c r="Q1337" s="971" t="s">
        <v>2252</v>
      </c>
      <c r="R1337" s="1266" t="s">
        <v>2253</v>
      </c>
      <c r="S1337" s="2106">
        <v>1</v>
      </c>
      <c r="T1337" s="1266" t="s">
        <v>242</v>
      </c>
      <c r="U1337" s="1742">
        <v>13</v>
      </c>
      <c r="V1337" s="1742">
        <v>100</v>
      </c>
      <c r="W1337" s="1742">
        <v>1145.82</v>
      </c>
      <c r="X1337" s="1742">
        <v>1102.96</v>
      </c>
      <c r="Y1337" s="2106">
        <v>2348.7799999999997</v>
      </c>
      <c r="Z1337" s="2106">
        <v>13</v>
      </c>
      <c r="AA1337" s="2106">
        <v>100</v>
      </c>
      <c r="AB1337" s="2106">
        <v>1145.82</v>
      </c>
      <c r="AC1337" s="2106">
        <v>1102.96</v>
      </c>
      <c r="AD1337" s="1744">
        <v>2348.7799999999997</v>
      </c>
      <c r="AE1337" s="2126">
        <v>96</v>
      </c>
      <c r="AF1337" s="2126">
        <v>96</v>
      </c>
      <c r="AG1337" s="1212">
        <v>1</v>
      </c>
      <c r="AH1337" s="1212">
        <v>0</v>
      </c>
      <c r="AI1337" s="1212">
        <v>0</v>
      </c>
      <c r="AJ1337" s="1212">
        <v>1</v>
      </c>
      <c r="AK1337" s="2126">
        <v>2348.7799999999997</v>
      </c>
      <c r="AL1337" s="2126">
        <v>0</v>
      </c>
      <c r="AM1337" s="2126">
        <v>0</v>
      </c>
      <c r="AN1337" s="2126">
        <v>2348.7799999999997</v>
      </c>
      <c r="AO1337" s="1743" t="s">
        <v>85</v>
      </c>
      <c r="AP1337" s="1743" t="s">
        <v>90</v>
      </c>
      <c r="AQ1337" s="1764">
        <v>2021</v>
      </c>
      <c r="AR1337" s="1743" t="s">
        <v>87</v>
      </c>
      <c r="AS1337" s="2135"/>
      <c r="AT1337" s="2135"/>
      <c r="AU1337" s="1212">
        <v>1</v>
      </c>
      <c r="AV1337" s="1212"/>
      <c r="AW1337" s="1212"/>
      <c r="AX1337" s="1212"/>
      <c r="AY1337" s="1212"/>
      <c r="AZ1337" s="1212"/>
      <c r="BA1337" s="1212"/>
      <c r="BB1337" s="1212"/>
      <c r="BC1337" s="1212"/>
      <c r="BD1337" s="1212"/>
      <c r="BE1337" s="1212"/>
      <c r="BF1337" s="2126">
        <v>0</v>
      </c>
      <c r="BG1337" s="2126">
        <v>0</v>
      </c>
      <c r="BH1337" s="2126">
        <v>2348.7799999999997</v>
      </c>
      <c r="BI1337" s="2126">
        <v>0</v>
      </c>
      <c r="BJ1337" s="2126">
        <v>0</v>
      </c>
      <c r="BK1337" s="2126">
        <v>0</v>
      </c>
      <c r="BL1337" s="2126">
        <v>0</v>
      </c>
      <c r="BM1337" s="2126">
        <v>0</v>
      </c>
      <c r="BN1337" s="2126">
        <v>0</v>
      </c>
      <c r="BO1337" s="2126">
        <v>0</v>
      </c>
      <c r="BP1337" s="2126">
        <v>0</v>
      </c>
      <c r="BQ1337" s="2126">
        <v>0</v>
      </c>
      <c r="BR1337" s="2126">
        <v>0</v>
      </c>
    </row>
    <row r="1338" spans="1:70" s="1765" customFormat="1" ht="33">
      <c r="A1338" s="1272">
        <v>5000</v>
      </c>
      <c r="B1338" s="971" t="s">
        <v>2119</v>
      </c>
      <c r="C1338" s="1272">
        <v>5100</v>
      </c>
      <c r="D1338" s="971" t="s">
        <v>78</v>
      </c>
      <c r="E1338" s="971">
        <v>5140</v>
      </c>
      <c r="F1338" s="971" t="s">
        <v>176</v>
      </c>
      <c r="G1338" s="971">
        <v>5140</v>
      </c>
      <c r="H1338" s="971" t="s">
        <v>176</v>
      </c>
      <c r="I1338" s="1273"/>
      <c r="J1338" s="971" t="s">
        <v>2146</v>
      </c>
      <c r="K1338" s="971" t="s">
        <v>2127</v>
      </c>
      <c r="L1338" s="971" t="s">
        <v>2177</v>
      </c>
      <c r="M1338" s="971" t="s">
        <v>2127</v>
      </c>
      <c r="N1338" s="971" t="s">
        <v>176</v>
      </c>
      <c r="O1338" s="971" t="s">
        <v>2177</v>
      </c>
      <c r="P1338" s="971"/>
      <c r="Q1338" s="971" t="s">
        <v>2254</v>
      </c>
      <c r="R1338" s="1266"/>
      <c r="S1338" s="2106">
        <v>-1</v>
      </c>
      <c r="T1338" s="1266" t="s">
        <v>242</v>
      </c>
      <c r="U1338" s="1742">
        <v>10</v>
      </c>
      <c r="V1338" s="1742">
        <v>37.5</v>
      </c>
      <c r="W1338" s="1742">
        <v>881.4</v>
      </c>
      <c r="X1338" s="1742">
        <v>413.61</v>
      </c>
      <c r="Y1338" s="2106">
        <v>1332.51</v>
      </c>
      <c r="Z1338" s="2106">
        <v>-10</v>
      </c>
      <c r="AA1338" s="2106">
        <v>-37.5</v>
      </c>
      <c r="AB1338" s="2106">
        <v>-881.4</v>
      </c>
      <c r="AC1338" s="2106">
        <v>-413.61</v>
      </c>
      <c r="AD1338" s="1744">
        <v>-1332.51</v>
      </c>
      <c r="AE1338" s="2126">
        <v>24</v>
      </c>
      <c r="AF1338" s="2126">
        <v>-24</v>
      </c>
      <c r="AG1338" s="1212">
        <v>1</v>
      </c>
      <c r="AH1338" s="1212">
        <v>0</v>
      </c>
      <c r="AI1338" s="1212">
        <v>0</v>
      </c>
      <c r="AJ1338" s="1212">
        <v>1</v>
      </c>
      <c r="AK1338" s="2126">
        <v>-1332.51</v>
      </c>
      <c r="AL1338" s="2126">
        <v>0</v>
      </c>
      <c r="AM1338" s="2126">
        <v>0</v>
      </c>
      <c r="AN1338" s="2126">
        <v>-1332.51</v>
      </c>
      <c r="AO1338" s="1743" t="s">
        <v>85</v>
      </c>
      <c r="AP1338" s="1743" t="s">
        <v>96</v>
      </c>
      <c r="AQ1338" s="1764" t="s">
        <v>192</v>
      </c>
      <c r="AR1338" s="1743" t="s">
        <v>87</v>
      </c>
      <c r="AS1338" s="2135"/>
      <c r="AT1338" s="2135"/>
      <c r="AU1338" s="1212">
        <v>1</v>
      </c>
      <c r="AV1338" s="1212"/>
      <c r="AW1338" s="1212"/>
      <c r="AX1338" s="1212"/>
      <c r="AY1338" s="1212"/>
      <c r="AZ1338" s="1212"/>
      <c r="BA1338" s="1212"/>
      <c r="BB1338" s="1212"/>
      <c r="BC1338" s="1212"/>
      <c r="BD1338" s="1212"/>
      <c r="BE1338" s="1212"/>
      <c r="BF1338" s="2126">
        <v>0</v>
      </c>
      <c r="BG1338" s="2126">
        <v>0</v>
      </c>
      <c r="BH1338" s="2126">
        <v>-1332.51</v>
      </c>
      <c r="BI1338" s="2126">
        <v>0</v>
      </c>
      <c r="BJ1338" s="2126">
        <v>0</v>
      </c>
      <c r="BK1338" s="2126">
        <v>0</v>
      </c>
      <c r="BL1338" s="2126">
        <v>0</v>
      </c>
      <c r="BM1338" s="2126">
        <v>0</v>
      </c>
      <c r="BN1338" s="2126">
        <v>0</v>
      </c>
      <c r="BO1338" s="2126">
        <v>0</v>
      </c>
      <c r="BP1338" s="2126">
        <v>0</v>
      </c>
      <c r="BQ1338" s="2126">
        <v>0</v>
      </c>
      <c r="BR1338" s="2126">
        <v>0</v>
      </c>
    </row>
    <row r="1339" spans="1:70" s="1765" customFormat="1" ht="33">
      <c r="A1339" s="1272">
        <v>5000</v>
      </c>
      <c r="B1339" s="971" t="s">
        <v>2119</v>
      </c>
      <c r="C1339" s="1272">
        <v>5100</v>
      </c>
      <c r="D1339" s="971" t="s">
        <v>78</v>
      </c>
      <c r="E1339" s="971">
        <v>5140</v>
      </c>
      <c r="F1339" s="971" t="s">
        <v>176</v>
      </c>
      <c r="G1339" s="971">
        <v>5140</v>
      </c>
      <c r="H1339" s="971" t="s">
        <v>176</v>
      </c>
      <c r="I1339" s="1273"/>
      <c r="J1339" s="971" t="s">
        <v>2146</v>
      </c>
      <c r="K1339" s="971" t="s">
        <v>2127</v>
      </c>
      <c r="L1339" s="971" t="s">
        <v>2177</v>
      </c>
      <c r="M1339" s="971" t="s">
        <v>2127</v>
      </c>
      <c r="N1339" s="971" t="s">
        <v>176</v>
      </c>
      <c r="O1339" s="971" t="s">
        <v>2177</v>
      </c>
      <c r="P1339" s="971"/>
      <c r="Q1339" s="971" t="s">
        <v>2188</v>
      </c>
      <c r="R1339" s="1266"/>
      <c r="S1339" s="2106">
        <v>-1</v>
      </c>
      <c r="T1339" s="1266" t="s">
        <v>242</v>
      </c>
      <c r="U1339" s="1742">
        <v>10</v>
      </c>
      <c r="V1339" s="1742">
        <v>37.5</v>
      </c>
      <c r="W1339" s="1742">
        <v>881.4</v>
      </c>
      <c r="X1339" s="1742">
        <v>413.61</v>
      </c>
      <c r="Y1339" s="2106">
        <v>1332.51</v>
      </c>
      <c r="Z1339" s="2106">
        <v>-10</v>
      </c>
      <c r="AA1339" s="2106">
        <v>-37.5</v>
      </c>
      <c r="AB1339" s="2106">
        <v>-881.4</v>
      </c>
      <c r="AC1339" s="2106">
        <v>-413.61</v>
      </c>
      <c r="AD1339" s="1744">
        <v>-1332.51</v>
      </c>
      <c r="AE1339" s="2126">
        <v>24</v>
      </c>
      <c r="AF1339" s="2126">
        <v>-24</v>
      </c>
      <c r="AG1339" s="1212">
        <v>1</v>
      </c>
      <c r="AH1339" s="1212">
        <v>0</v>
      </c>
      <c r="AI1339" s="1212">
        <v>0</v>
      </c>
      <c r="AJ1339" s="1212">
        <v>1</v>
      </c>
      <c r="AK1339" s="2126">
        <v>-1332.51</v>
      </c>
      <c r="AL1339" s="2126">
        <v>0</v>
      </c>
      <c r="AM1339" s="2126">
        <v>0</v>
      </c>
      <c r="AN1339" s="2126">
        <v>-1332.51</v>
      </c>
      <c r="AO1339" s="1743" t="s">
        <v>85</v>
      </c>
      <c r="AP1339" s="1743" t="s">
        <v>1430</v>
      </c>
      <c r="AQ1339" s="1764" t="s">
        <v>192</v>
      </c>
      <c r="AR1339" s="1743" t="s">
        <v>87</v>
      </c>
      <c r="AS1339" s="2135"/>
      <c r="AT1339" s="2135"/>
      <c r="AU1339" s="1212">
        <v>1</v>
      </c>
      <c r="AV1339" s="1212"/>
      <c r="AW1339" s="1212"/>
      <c r="AX1339" s="1212"/>
      <c r="AY1339" s="1212"/>
      <c r="AZ1339" s="1212"/>
      <c r="BA1339" s="1212"/>
      <c r="BB1339" s="1212"/>
      <c r="BC1339" s="1212"/>
      <c r="BD1339" s="1212"/>
      <c r="BE1339" s="1212"/>
      <c r="BF1339" s="2126">
        <v>0</v>
      </c>
      <c r="BG1339" s="2126">
        <v>0</v>
      </c>
      <c r="BH1339" s="2126">
        <v>-1332.51</v>
      </c>
      <c r="BI1339" s="2126">
        <v>0</v>
      </c>
      <c r="BJ1339" s="2126">
        <v>0</v>
      </c>
      <c r="BK1339" s="2126">
        <v>0</v>
      </c>
      <c r="BL1339" s="2126">
        <v>0</v>
      </c>
      <c r="BM1339" s="2126">
        <v>0</v>
      </c>
      <c r="BN1339" s="2126">
        <v>0</v>
      </c>
      <c r="BO1339" s="2126">
        <v>0</v>
      </c>
      <c r="BP1339" s="2126">
        <v>0</v>
      </c>
      <c r="BQ1339" s="2126">
        <v>0</v>
      </c>
      <c r="BR1339" s="2126">
        <v>0</v>
      </c>
    </row>
    <row r="1340" spans="1:70" s="1765" customFormat="1" ht="33">
      <c r="A1340" s="1272">
        <v>5000</v>
      </c>
      <c r="B1340" s="971" t="s">
        <v>2119</v>
      </c>
      <c r="C1340" s="1272">
        <v>5100</v>
      </c>
      <c r="D1340" s="971" t="s">
        <v>78</v>
      </c>
      <c r="E1340" s="971">
        <v>5140</v>
      </c>
      <c r="F1340" s="971" t="s">
        <v>176</v>
      </c>
      <c r="G1340" s="971">
        <v>5140</v>
      </c>
      <c r="H1340" s="971" t="s">
        <v>176</v>
      </c>
      <c r="I1340" s="1273"/>
      <c r="J1340" s="971" t="s">
        <v>2146</v>
      </c>
      <c r="K1340" s="971" t="s">
        <v>2127</v>
      </c>
      <c r="L1340" s="971" t="s">
        <v>2177</v>
      </c>
      <c r="M1340" s="971" t="s">
        <v>2127</v>
      </c>
      <c r="N1340" s="971" t="s">
        <v>176</v>
      </c>
      <c r="O1340" s="971" t="s">
        <v>2177</v>
      </c>
      <c r="P1340" s="971"/>
      <c r="Q1340" s="971" t="s">
        <v>2188</v>
      </c>
      <c r="R1340" s="1266"/>
      <c r="S1340" s="2106">
        <v>-2</v>
      </c>
      <c r="T1340" s="1266" t="s">
        <v>242</v>
      </c>
      <c r="U1340" s="1742">
        <v>10</v>
      </c>
      <c r="V1340" s="1742">
        <v>37.5</v>
      </c>
      <c r="W1340" s="1742">
        <v>881.4</v>
      </c>
      <c r="X1340" s="1742">
        <v>413.61</v>
      </c>
      <c r="Y1340" s="2106">
        <v>1332.51</v>
      </c>
      <c r="Z1340" s="2106">
        <v>-20</v>
      </c>
      <c r="AA1340" s="2106">
        <v>-75</v>
      </c>
      <c r="AB1340" s="2106">
        <v>-1762.8</v>
      </c>
      <c r="AC1340" s="2106">
        <v>-827.22</v>
      </c>
      <c r="AD1340" s="1744">
        <v>-2665.02</v>
      </c>
      <c r="AE1340" s="2126">
        <v>24</v>
      </c>
      <c r="AF1340" s="2126">
        <v>48</v>
      </c>
      <c r="AG1340" s="1212">
        <v>1</v>
      </c>
      <c r="AH1340" s="1212">
        <v>0</v>
      </c>
      <c r="AI1340" s="1212">
        <v>0</v>
      </c>
      <c r="AJ1340" s="1212">
        <v>1</v>
      </c>
      <c r="AK1340" s="2126">
        <v>-2665.02</v>
      </c>
      <c r="AL1340" s="2126">
        <v>0</v>
      </c>
      <c r="AM1340" s="2126">
        <v>0</v>
      </c>
      <c r="AN1340" s="2126">
        <v>-2665.02</v>
      </c>
      <c r="AO1340" s="1743" t="s">
        <v>85</v>
      </c>
      <c r="AP1340" s="1743" t="s">
        <v>96</v>
      </c>
      <c r="AQ1340" s="1764" t="s">
        <v>97</v>
      </c>
      <c r="AR1340" s="1743" t="s">
        <v>87</v>
      </c>
      <c r="AS1340" s="2135"/>
      <c r="AT1340" s="2135"/>
      <c r="AU1340" s="1212">
        <v>1</v>
      </c>
      <c r="AV1340" s="1212"/>
      <c r="AW1340" s="1212"/>
      <c r="AX1340" s="1212"/>
      <c r="AY1340" s="1212"/>
      <c r="AZ1340" s="1212"/>
      <c r="BA1340" s="1212"/>
      <c r="BB1340" s="1212"/>
      <c r="BC1340" s="1212"/>
      <c r="BD1340" s="1212"/>
      <c r="BE1340" s="1212"/>
      <c r="BF1340" s="2126">
        <v>0</v>
      </c>
      <c r="BG1340" s="2126">
        <v>0</v>
      </c>
      <c r="BH1340" s="2126">
        <v>-2665.02</v>
      </c>
      <c r="BI1340" s="2126">
        <v>0</v>
      </c>
      <c r="BJ1340" s="2126">
        <v>0</v>
      </c>
      <c r="BK1340" s="2126">
        <v>0</v>
      </c>
      <c r="BL1340" s="2126">
        <v>0</v>
      </c>
      <c r="BM1340" s="2126">
        <v>0</v>
      </c>
      <c r="BN1340" s="2126">
        <v>0</v>
      </c>
      <c r="BO1340" s="2126">
        <v>0</v>
      </c>
      <c r="BP1340" s="2126">
        <v>0</v>
      </c>
      <c r="BQ1340" s="2126">
        <v>0</v>
      </c>
      <c r="BR1340" s="2126">
        <v>0</v>
      </c>
    </row>
    <row r="1341" spans="1:70" s="1765" customFormat="1" ht="33">
      <c r="A1341" s="1272">
        <v>5000</v>
      </c>
      <c r="B1341" s="971" t="s">
        <v>2119</v>
      </c>
      <c r="C1341" s="1272">
        <v>5100</v>
      </c>
      <c r="D1341" s="971" t="s">
        <v>78</v>
      </c>
      <c r="E1341" s="971">
        <v>5140</v>
      </c>
      <c r="F1341" s="971" t="s">
        <v>176</v>
      </c>
      <c r="G1341" s="971">
        <v>5140</v>
      </c>
      <c r="H1341" s="971" t="s">
        <v>176</v>
      </c>
      <c r="I1341" s="1273"/>
      <c r="J1341" s="971" t="s">
        <v>2146</v>
      </c>
      <c r="K1341" s="971" t="s">
        <v>2127</v>
      </c>
      <c r="L1341" s="971" t="s">
        <v>2177</v>
      </c>
      <c r="M1341" s="971" t="s">
        <v>2127</v>
      </c>
      <c r="N1341" s="971" t="s">
        <v>176</v>
      </c>
      <c r="O1341" s="971" t="s">
        <v>2177</v>
      </c>
      <c r="P1341" s="971"/>
      <c r="Q1341" s="971" t="s">
        <v>2188</v>
      </c>
      <c r="R1341" s="1266" t="s">
        <v>2255</v>
      </c>
      <c r="S1341" s="2106">
        <v>2</v>
      </c>
      <c r="T1341" s="1266" t="s">
        <v>242</v>
      </c>
      <c r="U1341" s="1742">
        <v>10</v>
      </c>
      <c r="V1341" s="1742">
        <v>37.5</v>
      </c>
      <c r="W1341" s="1742">
        <v>881.4</v>
      </c>
      <c r="X1341" s="1742">
        <v>413.61</v>
      </c>
      <c r="Y1341" s="2106">
        <v>1332.51</v>
      </c>
      <c r="Z1341" s="2106">
        <v>20</v>
      </c>
      <c r="AA1341" s="2106">
        <v>75</v>
      </c>
      <c r="AB1341" s="2106">
        <v>1762.8</v>
      </c>
      <c r="AC1341" s="2106">
        <v>827.22</v>
      </c>
      <c r="AD1341" s="1744">
        <v>2665.02</v>
      </c>
      <c r="AE1341" s="2126">
        <v>24</v>
      </c>
      <c r="AF1341" s="2126">
        <v>48</v>
      </c>
      <c r="AG1341" s="1212">
        <v>1</v>
      </c>
      <c r="AH1341" s="1212">
        <v>0</v>
      </c>
      <c r="AI1341" s="1212">
        <v>0</v>
      </c>
      <c r="AJ1341" s="1212">
        <v>1</v>
      </c>
      <c r="AK1341" s="2126">
        <v>2665.02</v>
      </c>
      <c r="AL1341" s="2126">
        <v>0</v>
      </c>
      <c r="AM1341" s="2126">
        <v>0</v>
      </c>
      <c r="AN1341" s="2126">
        <v>2665.02</v>
      </c>
      <c r="AO1341" s="1743" t="s">
        <v>85</v>
      </c>
      <c r="AP1341" s="1743" t="s">
        <v>90</v>
      </c>
      <c r="AQ1341" s="1764">
        <v>2021</v>
      </c>
      <c r="AR1341" s="1743" t="s">
        <v>87</v>
      </c>
      <c r="AS1341" s="2135"/>
      <c r="AT1341" s="2135"/>
      <c r="AU1341" s="1212">
        <v>1</v>
      </c>
      <c r="AV1341" s="1212"/>
      <c r="AW1341" s="1212"/>
      <c r="AX1341" s="1212"/>
      <c r="AY1341" s="1212"/>
      <c r="AZ1341" s="1212"/>
      <c r="BA1341" s="1212"/>
      <c r="BB1341" s="1212"/>
      <c r="BC1341" s="1212"/>
      <c r="BD1341" s="1212"/>
      <c r="BE1341" s="1212"/>
      <c r="BF1341" s="2126">
        <v>0</v>
      </c>
      <c r="BG1341" s="2126">
        <v>0</v>
      </c>
      <c r="BH1341" s="2126">
        <v>2665.02</v>
      </c>
      <c r="BI1341" s="2126">
        <v>0</v>
      </c>
      <c r="BJ1341" s="2126">
        <v>0</v>
      </c>
      <c r="BK1341" s="2126">
        <v>0</v>
      </c>
      <c r="BL1341" s="2126">
        <v>0</v>
      </c>
      <c r="BM1341" s="2126">
        <v>0</v>
      </c>
      <c r="BN1341" s="2126">
        <v>0</v>
      </c>
      <c r="BO1341" s="2126">
        <v>0</v>
      </c>
      <c r="BP1341" s="2126">
        <v>0</v>
      </c>
      <c r="BQ1341" s="2126">
        <v>0</v>
      </c>
      <c r="BR1341" s="2126">
        <v>0</v>
      </c>
    </row>
    <row r="1342" spans="1:70" s="1765" customFormat="1" ht="33">
      <c r="A1342" s="1272">
        <v>5000</v>
      </c>
      <c r="B1342" s="971" t="s">
        <v>2119</v>
      </c>
      <c r="C1342" s="1272">
        <v>5100</v>
      </c>
      <c r="D1342" s="971" t="s">
        <v>78</v>
      </c>
      <c r="E1342" s="971">
        <v>5140</v>
      </c>
      <c r="F1342" s="971" t="s">
        <v>176</v>
      </c>
      <c r="G1342" s="971">
        <v>5140</v>
      </c>
      <c r="H1342" s="971" t="s">
        <v>176</v>
      </c>
      <c r="I1342" s="1273"/>
      <c r="J1342" s="971" t="s">
        <v>2146</v>
      </c>
      <c r="K1342" s="971" t="s">
        <v>2127</v>
      </c>
      <c r="L1342" s="971" t="s">
        <v>2177</v>
      </c>
      <c r="M1342" s="971" t="s">
        <v>2127</v>
      </c>
      <c r="N1342" s="971" t="s">
        <v>176</v>
      </c>
      <c r="O1342" s="971" t="s">
        <v>2177</v>
      </c>
      <c r="P1342" s="971"/>
      <c r="Q1342" s="971" t="s">
        <v>2256</v>
      </c>
      <c r="R1342" s="1266"/>
      <c r="S1342" s="2106">
        <v>-1</v>
      </c>
      <c r="T1342" s="1266" t="s">
        <v>242</v>
      </c>
      <c r="U1342" s="1742">
        <v>10</v>
      </c>
      <c r="V1342" s="1742">
        <v>37.5</v>
      </c>
      <c r="W1342" s="1742">
        <v>881.4</v>
      </c>
      <c r="X1342" s="1742">
        <v>413.61</v>
      </c>
      <c r="Y1342" s="2106">
        <v>1332.51</v>
      </c>
      <c r="Z1342" s="2106">
        <v>-10</v>
      </c>
      <c r="AA1342" s="2106">
        <v>-37.5</v>
      </c>
      <c r="AB1342" s="2106">
        <v>-881.4</v>
      </c>
      <c r="AC1342" s="2106">
        <v>-413.61</v>
      </c>
      <c r="AD1342" s="1744">
        <v>-1332.51</v>
      </c>
      <c r="AE1342" s="2126">
        <v>24</v>
      </c>
      <c r="AF1342" s="2126">
        <v>-24</v>
      </c>
      <c r="AG1342" s="1212">
        <v>1</v>
      </c>
      <c r="AH1342" s="1212">
        <v>0</v>
      </c>
      <c r="AI1342" s="1212">
        <v>0</v>
      </c>
      <c r="AJ1342" s="1212">
        <v>1</v>
      </c>
      <c r="AK1342" s="2126">
        <v>-1332.51</v>
      </c>
      <c r="AL1342" s="2126">
        <v>0</v>
      </c>
      <c r="AM1342" s="2126">
        <v>0</v>
      </c>
      <c r="AN1342" s="2126">
        <v>-1332.51</v>
      </c>
      <c r="AO1342" s="1743" t="s">
        <v>85</v>
      </c>
      <c r="AP1342" s="1743" t="s">
        <v>1430</v>
      </c>
      <c r="AQ1342" s="1764" t="s">
        <v>192</v>
      </c>
      <c r="AR1342" s="1743" t="s">
        <v>87</v>
      </c>
      <c r="AS1342" s="2135"/>
      <c r="AT1342" s="2135"/>
      <c r="AU1342" s="1212">
        <v>1</v>
      </c>
      <c r="AV1342" s="1212"/>
      <c r="AW1342" s="1212"/>
      <c r="AX1342" s="1212"/>
      <c r="AY1342" s="1212"/>
      <c r="AZ1342" s="1212"/>
      <c r="BA1342" s="1212"/>
      <c r="BB1342" s="1212"/>
      <c r="BC1342" s="1212"/>
      <c r="BD1342" s="1212"/>
      <c r="BE1342" s="1212"/>
      <c r="BF1342" s="2126">
        <v>0</v>
      </c>
      <c r="BG1342" s="2126">
        <v>0</v>
      </c>
      <c r="BH1342" s="2126">
        <v>-1332.51</v>
      </c>
      <c r="BI1342" s="2126">
        <v>0</v>
      </c>
      <c r="BJ1342" s="2126">
        <v>0</v>
      </c>
      <c r="BK1342" s="2126">
        <v>0</v>
      </c>
      <c r="BL1342" s="2126">
        <v>0</v>
      </c>
      <c r="BM1342" s="2126">
        <v>0</v>
      </c>
      <c r="BN1342" s="2126">
        <v>0</v>
      </c>
      <c r="BO1342" s="2126">
        <v>0</v>
      </c>
      <c r="BP1342" s="2126">
        <v>0</v>
      </c>
      <c r="BQ1342" s="2126">
        <v>0</v>
      </c>
      <c r="BR1342" s="2126">
        <v>0</v>
      </c>
    </row>
    <row r="1343" spans="1:70" s="1765" customFormat="1" ht="33">
      <c r="A1343" s="1272">
        <v>5000</v>
      </c>
      <c r="B1343" s="971" t="s">
        <v>2119</v>
      </c>
      <c r="C1343" s="1272">
        <v>5100</v>
      </c>
      <c r="D1343" s="971" t="s">
        <v>78</v>
      </c>
      <c r="E1343" s="971">
        <v>5140</v>
      </c>
      <c r="F1343" s="971" t="s">
        <v>176</v>
      </c>
      <c r="G1343" s="971">
        <v>5140</v>
      </c>
      <c r="H1343" s="971" t="s">
        <v>176</v>
      </c>
      <c r="I1343" s="1273"/>
      <c r="J1343" s="971" t="s">
        <v>2146</v>
      </c>
      <c r="K1343" s="971" t="s">
        <v>2127</v>
      </c>
      <c r="L1343" s="971" t="s">
        <v>2177</v>
      </c>
      <c r="M1343" s="971" t="s">
        <v>2127</v>
      </c>
      <c r="N1343" s="971" t="s">
        <v>176</v>
      </c>
      <c r="O1343" s="971" t="s">
        <v>2177</v>
      </c>
      <c r="P1343" s="971"/>
      <c r="Q1343" s="971" t="s">
        <v>2257</v>
      </c>
      <c r="R1343" s="1266" t="s">
        <v>1344</v>
      </c>
      <c r="S1343" s="2106">
        <v>1</v>
      </c>
      <c r="T1343" s="1266" t="s">
        <v>242</v>
      </c>
      <c r="U1343" s="1742">
        <v>10</v>
      </c>
      <c r="V1343" s="1742">
        <v>37.5</v>
      </c>
      <c r="W1343" s="1742">
        <v>881.4</v>
      </c>
      <c r="X1343" s="1742">
        <v>413.61</v>
      </c>
      <c r="Y1343" s="2106">
        <v>1332.51</v>
      </c>
      <c r="Z1343" s="2106">
        <v>10</v>
      </c>
      <c r="AA1343" s="2106">
        <v>37.5</v>
      </c>
      <c r="AB1343" s="2106">
        <v>881.4</v>
      </c>
      <c r="AC1343" s="2106">
        <v>413.61</v>
      </c>
      <c r="AD1343" s="1744">
        <v>1332.51</v>
      </c>
      <c r="AE1343" s="2126">
        <v>24</v>
      </c>
      <c r="AF1343" s="2126">
        <v>24</v>
      </c>
      <c r="AG1343" s="1212">
        <v>1</v>
      </c>
      <c r="AH1343" s="1212">
        <v>0</v>
      </c>
      <c r="AI1343" s="1212">
        <v>0</v>
      </c>
      <c r="AJ1343" s="1212">
        <v>1</v>
      </c>
      <c r="AK1343" s="2126">
        <v>1332.51</v>
      </c>
      <c r="AL1343" s="2126">
        <v>0</v>
      </c>
      <c r="AM1343" s="2126">
        <v>0</v>
      </c>
      <c r="AN1343" s="2126">
        <v>1332.51</v>
      </c>
      <c r="AO1343" s="1743" t="s">
        <v>85</v>
      </c>
      <c r="AP1343" s="1743" t="s">
        <v>90</v>
      </c>
      <c r="AQ1343" s="1764">
        <v>2021</v>
      </c>
      <c r="AR1343" s="1743" t="s">
        <v>87</v>
      </c>
      <c r="AS1343" s="2135"/>
      <c r="AT1343" s="2135"/>
      <c r="AU1343" s="1212">
        <v>1</v>
      </c>
      <c r="AV1343" s="1212"/>
      <c r="AW1343" s="1212"/>
      <c r="AX1343" s="1212"/>
      <c r="AY1343" s="1212"/>
      <c r="AZ1343" s="1212"/>
      <c r="BA1343" s="1212"/>
      <c r="BB1343" s="1212"/>
      <c r="BC1343" s="1212"/>
      <c r="BD1343" s="1212"/>
      <c r="BE1343" s="1212"/>
      <c r="BF1343" s="2126">
        <v>0</v>
      </c>
      <c r="BG1343" s="2126">
        <v>0</v>
      </c>
      <c r="BH1343" s="2126">
        <v>1332.51</v>
      </c>
      <c r="BI1343" s="2126">
        <v>0</v>
      </c>
      <c r="BJ1343" s="2126">
        <v>0</v>
      </c>
      <c r="BK1343" s="2126">
        <v>0</v>
      </c>
      <c r="BL1343" s="2126">
        <v>0</v>
      </c>
      <c r="BM1343" s="2126">
        <v>0</v>
      </c>
      <c r="BN1343" s="2126">
        <v>0</v>
      </c>
      <c r="BO1343" s="2126">
        <v>0</v>
      </c>
      <c r="BP1343" s="2126">
        <v>0</v>
      </c>
      <c r="BQ1343" s="2126">
        <v>0</v>
      </c>
      <c r="BR1343" s="2126">
        <v>0</v>
      </c>
    </row>
    <row r="1344" spans="1:70" s="1765" customFormat="1" ht="33">
      <c r="A1344" s="1272">
        <v>5000</v>
      </c>
      <c r="B1344" s="971" t="s">
        <v>2119</v>
      </c>
      <c r="C1344" s="1272">
        <v>5100</v>
      </c>
      <c r="D1344" s="971" t="s">
        <v>78</v>
      </c>
      <c r="E1344" s="971">
        <v>5140</v>
      </c>
      <c r="F1344" s="971" t="s">
        <v>176</v>
      </c>
      <c r="G1344" s="971">
        <v>5140</v>
      </c>
      <c r="H1344" s="971" t="s">
        <v>176</v>
      </c>
      <c r="I1344" s="1273"/>
      <c r="J1344" s="971" t="s">
        <v>2146</v>
      </c>
      <c r="K1344" s="971" t="s">
        <v>2127</v>
      </c>
      <c r="L1344" s="971" t="s">
        <v>2177</v>
      </c>
      <c r="M1344" s="971" t="s">
        <v>2127</v>
      </c>
      <c r="N1344" s="971" t="s">
        <v>176</v>
      </c>
      <c r="O1344" s="971" t="s">
        <v>2177</v>
      </c>
      <c r="P1344" s="971"/>
      <c r="Q1344" s="971" t="s">
        <v>2258</v>
      </c>
      <c r="R1344" s="1266"/>
      <c r="S1344" s="2106">
        <v>-1</v>
      </c>
      <c r="T1344" s="1266" t="s">
        <v>242</v>
      </c>
      <c r="U1344" s="1742">
        <v>10</v>
      </c>
      <c r="V1344" s="1742">
        <v>37.5</v>
      </c>
      <c r="W1344" s="1742">
        <v>881.4</v>
      </c>
      <c r="X1344" s="1742">
        <v>413.61</v>
      </c>
      <c r="Y1344" s="2106">
        <v>1332.51</v>
      </c>
      <c r="Z1344" s="2106">
        <v>-10</v>
      </c>
      <c r="AA1344" s="2106">
        <v>-37.5</v>
      </c>
      <c r="AB1344" s="2106">
        <v>-881.4</v>
      </c>
      <c r="AC1344" s="2106">
        <v>-413.61</v>
      </c>
      <c r="AD1344" s="1744">
        <v>-1332.51</v>
      </c>
      <c r="AE1344" s="2126">
        <v>24</v>
      </c>
      <c r="AF1344" s="2126">
        <v>-24</v>
      </c>
      <c r="AG1344" s="1212">
        <v>1</v>
      </c>
      <c r="AH1344" s="1212">
        <v>0</v>
      </c>
      <c r="AI1344" s="1212">
        <v>0</v>
      </c>
      <c r="AJ1344" s="1212">
        <v>1</v>
      </c>
      <c r="AK1344" s="2126">
        <v>-1332.51</v>
      </c>
      <c r="AL1344" s="2126">
        <v>0</v>
      </c>
      <c r="AM1344" s="2126">
        <v>0</v>
      </c>
      <c r="AN1344" s="2126">
        <v>-1332.51</v>
      </c>
      <c r="AO1344" s="1743" t="s">
        <v>85</v>
      </c>
      <c r="AP1344" s="1743" t="s">
        <v>96</v>
      </c>
      <c r="AQ1344" s="1764" t="s">
        <v>192</v>
      </c>
      <c r="AR1344" s="1743" t="s">
        <v>87</v>
      </c>
      <c r="AS1344" s="2135"/>
      <c r="AT1344" s="2135"/>
      <c r="AU1344" s="1212">
        <v>1</v>
      </c>
      <c r="AV1344" s="1212"/>
      <c r="AW1344" s="1212"/>
      <c r="AX1344" s="1212"/>
      <c r="AY1344" s="1212"/>
      <c r="AZ1344" s="1212"/>
      <c r="BA1344" s="1212"/>
      <c r="BB1344" s="1212"/>
      <c r="BC1344" s="1212"/>
      <c r="BD1344" s="1212"/>
      <c r="BE1344" s="1212"/>
      <c r="BF1344" s="2126">
        <v>0</v>
      </c>
      <c r="BG1344" s="2126">
        <v>0</v>
      </c>
      <c r="BH1344" s="2126">
        <v>-1332.51</v>
      </c>
      <c r="BI1344" s="2126">
        <v>0</v>
      </c>
      <c r="BJ1344" s="2126">
        <v>0</v>
      </c>
      <c r="BK1344" s="2126">
        <v>0</v>
      </c>
      <c r="BL1344" s="2126">
        <v>0</v>
      </c>
      <c r="BM1344" s="2126">
        <v>0</v>
      </c>
      <c r="BN1344" s="2126">
        <v>0</v>
      </c>
      <c r="BO1344" s="2126">
        <v>0</v>
      </c>
      <c r="BP1344" s="2126">
        <v>0</v>
      </c>
      <c r="BQ1344" s="2126">
        <v>0</v>
      </c>
      <c r="BR1344" s="2126">
        <v>0</v>
      </c>
    </row>
    <row r="1345" spans="1:70" s="1765" customFormat="1" ht="33">
      <c r="A1345" s="1272">
        <v>5000</v>
      </c>
      <c r="B1345" s="971" t="s">
        <v>2119</v>
      </c>
      <c r="C1345" s="1272">
        <v>5100</v>
      </c>
      <c r="D1345" s="971" t="s">
        <v>78</v>
      </c>
      <c r="E1345" s="971">
        <v>5140</v>
      </c>
      <c r="F1345" s="971" t="s">
        <v>176</v>
      </c>
      <c r="G1345" s="971">
        <v>5140</v>
      </c>
      <c r="H1345" s="971" t="s">
        <v>176</v>
      </c>
      <c r="I1345" s="1273"/>
      <c r="J1345" s="971" t="s">
        <v>2146</v>
      </c>
      <c r="K1345" s="971" t="s">
        <v>2127</v>
      </c>
      <c r="L1345" s="971" t="s">
        <v>2177</v>
      </c>
      <c r="M1345" s="971" t="s">
        <v>2127</v>
      </c>
      <c r="N1345" s="971" t="s">
        <v>176</v>
      </c>
      <c r="O1345" s="971" t="s">
        <v>2177</v>
      </c>
      <c r="P1345" s="971"/>
      <c r="Q1345" s="971" t="s">
        <v>2258</v>
      </c>
      <c r="R1345" s="1266"/>
      <c r="S1345" s="2106">
        <v>1</v>
      </c>
      <c r="T1345" s="1266" t="s">
        <v>242</v>
      </c>
      <c r="U1345" s="1742">
        <v>10</v>
      </c>
      <c r="V1345" s="1742">
        <v>37.5</v>
      </c>
      <c r="W1345" s="1742">
        <v>881.4</v>
      </c>
      <c r="X1345" s="1742">
        <v>413.61</v>
      </c>
      <c r="Y1345" s="2106">
        <v>1332.51</v>
      </c>
      <c r="Z1345" s="2106">
        <v>10</v>
      </c>
      <c r="AA1345" s="2106">
        <v>37.5</v>
      </c>
      <c r="AB1345" s="2106">
        <v>881.4</v>
      </c>
      <c r="AC1345" s="2106">
        <v>413.61</v>
      </c>
      <c r="AD1345" s="1744">
        <v>1332.51</v>
      </c>
      <c r="AE1345" s="2126">
        <v>24</v>
      </c>
      <c r="AF1345" s="2126">
        <v>24</v>
      </c>
      <c r="AG1345" s="1212">
        <v>1</v>
      </c>
      <c r="AH1345" s="1212">
        <v>0</v>
      </c>
      <c r="AI1345" s="1212">
        <v>0</v>
      </c>
      <c r="AJ1345" s="1212">
        <v>1</v>
      </c>
      <c r="AK1345" s="2126">
        <v>1332.51</v>
      </c>
      <c r="AL1345" s="2126">
        <v>0</v>
      </c>
      <c r="AM1345" s="2126">
        <v>0</v>
      </c>
      <c r="AN1345" s="2126">
        <v>1332.51</v>
      </c>
      <c r="AO1345" s="1743" t="s">
        <v>85</v>
      </c>
      <c r="AP1345" s="1743" t="s">
        <v>90</v>
      </c>
      <c r="AQ1345" s="1764">
        <v>2021</v>
      </c>
      <c r="AR1345" s="1743" t="s">
        <v>87</v>
      </c>
      <c r="AS1345" s="2135"/>
      <c r="AT1345" s="2135"/>
      <c r="AU1345" s="1212">
        <v>1</v>
      </c>
      <c r="AV1345" s="1212"/>
      <c r="AW1345" s="1212"/>
      <c r="AX1345" s="1212"/>
      <c r="AY1345" s="1212"/>
      <c r="AZ1345" s="1212"/>
      <c r="BA1345" s="1212"/>
      <c r="BB1345" s="1212"/>
      <c r="BC1345" s="1212"/>
      <c r="BD1345" s="1212"/>
      <c r="BE1345" s="1212"/>
      <c r="BF1345" s="2126">
        <v>0</v>
      </c>
      <c r="BG1345" s="2126">
        <v>0</v>
      </c>
      <c r="BH1345" s="2126">
        <v>1332.51</v>
      </c>
      <c r="BI1345" s="2126">
        <v>0</v>
      </c>
      <c r="BJ1345" s="2126">
        <v>0</v>
      </c>
      <c r="BK1345" s="2126">
        <v>0</v>
      </c>
      <c r="BL1345" s="2126">
        <v>0</v>
      </c>
      <c r="BM1345" s="2126">
        <v>0</v>
      </c>
      <c r="BN1345" s="2126">
        <v>0</v>
      </c>
      <c r="BO1345" s="2126">
        <v>0</v>
      </c>
      <c r="BP1345" s="2126">
        <v>0</v>
      </c>
      <c r="BQ1345" s="2126">
        <v>0</v>
      </c>
      <c r="BR1345" s="2126">
        <v>0</v>
      </c>
    </row>
    <row r="1346" spans="1:70" s="1765" customFormat="1" ht="33">
      <c r="A1346" s="1272">
        <v>5000</v>
      </c>
      <c r="B1346" s="971" t="s">
        <v>2119</v>
      </c>
      <c r="C1346" s="1272">
        <v>5100</v>
      </c>
      <c r="D1346" s="971" t="s">
        <v>78</v>
      </c>
      <c r="E1346" s="971">
        <v>5140</v>
      </c>
      <c r="F1346" s="971" t="s">
        <v>176</v>
      </c>
      <c r="G1346" s="971">
        <v>5140</v>
      </c>
      <c r="H1346" s="971" t="s">
        <v>176</v>
      </c>
      <c r="I1346" s="1273"/>
      <c r="J1346" s="971" t="s">
        <v>2146</v>
      </c>
      <c r="K1346" s="971" t="s">
        <v>2127</v>
      </c>
      <c r="L1346" s="971" t="s">
        <v>2177</v>
      </c>
      <c r="M1346" s="971" t="s">
        <v>2127</v>
      </c>
      <c r="N1346" s="971" t="s">
        <v>176</v>
      </c>
      <c r="O1346" s="971" t="s">
        <v>2177</v>
      </c>
      <c r="P1346" s="971"/>
      <c r="Q1346" s="971" t="s">
        <v>2259</v>
      </c>
      <c r="R1346" s="1266" t="s">
        <v>2260</v>
      </c>
      <c r="S1346" s="2106">
        <v>-2</v>
      </c>
      <c r="T1346" s="1266" t="s">
        <v>242</v>
      </c>
      <c r="U1346" s="1742">
        <v>10</v>
      </c>
      <c r="V1346" s="1742">
        <v>37.5</v>
      </c>
      <c r="W1346" s="1742">
        <v>881.4</v>
      </c>
      <c r="X1346" s="1742">
        <v>413.61</v>
      </c>
      <c r="Y1346" s="2106">
        <v>1332.51</v>
      </c>
      <c r="Z1346" s="2106">
        <v>-20</v>
      </c>
      <c r="AA1346" s="2106">
        <v>-75</v>
      </c>
      <c r="AB1346" s="2106">
        <v>-1762.8</v>
      </c>
      <c r="AC1346" s="2106">
        <v>-827.22</v>
      </c>
      <c r="AD1346" s="1744">
        <v>-2665.02</v>
      </c>
      <c r="AE1346" s="2126">
        <v>24</v>
      </c>
      <c r="AF1346" s="2126">
        <v>48</v>
      </c>
      <c r="AG1346" s="1212">
        <v>1</v>
      </c>
      <c r="AH1346" s="1212">
        <v>0</v>
      </c>
      <c r="AI1346" s="1212">
        <v>0</v>
      </c>
      <c r="AJ1346" s="1212">
        <v>1</v>
      </c>
      <c r="AK1346" s="2126">
        <v>-2665.02</v>
      </c>
      <c r="AL1346" s="2126">
        <v>0</v>
      </c>
      <c r="AM1346" s="2126">
        <v>0</v>
      </c>
      <c r="AN1346" s="2126">
        <v>-2665.02</v>
      </c>
      <c r="AO1346" s="1743" t="s">
        <v>85</v>
      </c>
      <c r="AP1346" s="1743" t="s">
        <v>96</v>
      </c>
      <c r="AQ1346" s="1764" t="s">
        <v>97</v>
      </c>
      <c r="AR1346" s="1743" t="s">
        <v>87</v>
      </c>
      <c r="AS1346" s="2135"/>
      <c r="AT1346" s="2135"/>
      <c r="AU1346" s="1212">
        <v>1</v>
      </c>
      <c r="AV1346" s="1212"/>
      <c r="AW1346" s="1212"/>
      <c r="AX1346" s="1212"/>
      <c r="AY1346" s="1212"/>
      <c r="AZ1346" s="1212"/>
      <c r="BA1346" s="1212"/>
      <c r="BB1346" s="1212"/>
      <c r="BC1346" s="1212"/>
      <c r="BD1346" s="1212"/>
      <c r="BE1346" s="1212"/>
      <c r="BF1346" s="2126">
        <v>0</v>
      </c>
      <c r="BG1346" s="2126">
        <v>0</v>
      </c>
      <c r="BH1346" s="2126">
        <v>-2665.02</v>
      </c>
      <c r="BI1346" s="2126">
        <v>0</v>
      </c>
      <c r="BJ1346" s="2126">
        <v>0</v>
      </c>
      <c r="BK1346" s="2126">
        <v>0</v>
      </c>
      <c r="BL1346" s="2126">
        <v>0</v>
      </c>
      <c r="BM1346" s="2126">
        <v>0</v>
      </c>
      <c r="BN1346" s="2126">
        <v>0</v>
      </c>
      <c r="BO1346" s="2126">
        <v>0</v>
      </c>
      <c r="BP1346" s="2126">
        <v>0</v>
      </c>
      <c r="BQ1346" s="2126">
        <v>0</v>
      </c>
      <c r="BR1346" s="2126">
        <v>0</v>
      </c>
    </row>
    <row r="1347" spans="1:70" s="1765" customFormat="1" ht="33">
      <c r="A1347" s="1272">
        <v>5000</v>
      </c>
      <c r="B1347" s="971" t="s">
        <v>2119</v>
      </c>
      <c r="C1347" s="1272">
        <v>5100</v>
      </c>
      <c r="D1347" s="971" t="s">
        <v>78</v>
      </c>
      <c r="E1347" s="971">
        <v>5140</v>
      </c>
      <c r="F1347" s="971" t="s">
        <v>176</v>
      </c>
      <c r="G1347" s="971">
        <v>5140</v>
      </c>
      <c r="H1347" s="971" t="s">
        <v>176</v>
      </c>
      <c r="I1347" s="1273"/>
      <c r="J1347" s="971" t="s">
        <v>2146</v>
      </c>
      <c r="K1347" s="971" t="s">
        <v>2127</v>
      </c>
      <c r="L1347" s="971" t="s">
        <v>2177</v>
      </c>
      <c r="M1347" s="971" t="s">
        <v>2127</v>
      </c>
      <c r="N1347" s="971" t="s">
        <v>176</v>
      </c>
      <c r="O1347" s="971" t="s">
        <v>2177</v>
      </c>
      <c r="P1347" s="971"/>
      <c r="Q1347" s="971" t="s">
        <v>2259</v>
      </c>
      <c r="R1347" s="1266" t="s">
        <v>2260</v>
      </c>
      <c r="S1347" s="2106">
        <v>2</v>
      </c>
      <c r="T1347" s="1266" t="s">
        <v>242</v>
      </c>
      <c r="U1347" s="1742">
        <v>10</v>
      </c>
      <c r="V1347" s="1742">
        <v>37.5</v>
      </c>
      <c r="W1347" s="1742">
        <v>881.4</v>
      </c>
      <c r="X1347" s="1742">
        <v>413.61</v>
      </c>
      <c r="Y1347" s="2106">
        <v>1332.51</v>
      </c>
      <c r="Z1347" s="2106">
        <v>20</v>
      </c>
      <c r="AA1347" s="2106">
        <v>75</v>
      </c>
      <c r="AB1347" s="2106">
        <v>1762.8</v>
      </c>
      <c r="AC1347" s="2106">
        <v>827.22</v>
      </c>
      <c r="AD1347" s="1744">
        <v>2665.02</v>
      </c>
      <c r="AE1347" s="2126">
        <v>24</v>
      </c>
      <c r="AF1347" s="2126">
        <v>48</v>
      </c>
      <c r="AG1347" s="1212">
        <v>1</v>
      </c>
      <c r="AH1347" s="1212">
        <v>0</v>
      </c>
      <c r="AI1347" s="1212">
        <v>0</v>
      </c>
      <c r="AJ1347" s="1212">
        <v>1</v>
      </c>
      <c r="AK1347" s="2126">
        <v>2665.02</v>
      </c>
      <c r="AL1347" s="2126">
        <v>0</v>
      </c>
      <c r="AM1347" s="2126">
        <v>0</v>
      </c>
      <c r="AN1347" s="2126">
        <v>2665.02</v>
      </c>
      <c r="AO1347" s="1743" t="s">
        <v>85</v>
      </c>
      <c r="AP1347" s="1743" t="s">
        <v>90</v>
      </c>
      <c r="AQ1347" s="1764">
        <v>2021</v>
      </c>
      <c r="AR1347" s="1743" t="s">
        <v>87</v>
      </c>
      <c r="AS1347" s="2135"/>
      <c r="AT1347" s="2135"/>
      <c r="AU1347" s="1212">
        <v>1</v>
      </c>
      <c r="AV1347" s="1212"/>
      <c r="AW1347" s="1212"/>
      <c r="AX1347" s="1212"/>
      <c r="AY1347" s="1212"/>
      <c r="AZ1347" s="1212"/>
      <c r="BA1347" s="1212"/>
      <c r="BB1347" s="1212"/>
      <c r="BC1347" s="1212"/>
      <c r="BD1347" s="1212"/>
      <c r="BE1347" s="1212"/>
      <c r="BF1347" s="2126">
        <v>0</v>
      </c>
      <c r="BG1347" s="2126">
        <v>0</v>
      </c>
      <c r="BH1347" s="2126">
        <v>2665.02</v>
      </c>
      <c r="BI1347" s="2126">
        <v>0</v>
      </c>
      <c r="BJ1347" s="2126">
        <v>0</v>
      </c>
      <c r="BK1347" s="2126">
        <v>0</v>
      </c>
      <c r="BL1347" s="2126">
        <v>0</v>
      </c>
      <c r="BM1347" s="2126">
        <v>0</v>
      </c>
      <c r="BN1347" s="2126">
        <v>0</v>
      </c>
      <c r="BO1347" s="2126">
        <v>0</v>
      </c>
      <c r="BP1347" s="2126">
        <v>0</v>
      </c>
      <c r="BQ1347" s="2126">
        <v>0</v>
      </c>
      <c r="BR1347" s="2126">
        <v>0</v>
      </c>
    </row>
    <row r="1348" spans="1:70" s="1765" customFormat="1" ht="33">
      <c r="A1348" s="1272">
        <v>5000</v>
      </c>
      <c r="B1348" s="971" t="s">
        <v>2119</v>
      </c>
      <c r="C1348" s="1272">
        <v>5100</v>
      </c>
      <c r="D1348" s="971" t="s">
        <v>78</v>
      </c>
      <c r="E1348" s="971">
        <v>5140</v>
      </c>
      <c r="F1348" s="971" t="s">
        <v>176</v>
      </c>
      <c r="G1348" s="971">
        <v>5140</v>
      </c>
      <c r="H1348" s="971" t="s">
        <v>176</v>
      </c>
      <c r="I1348" s="1273"/>
      <c r="J1348" s="971" t="s">
        <v>2146</v>
      </c>
      <c r="K1348" s="971" t="s">
        <v>2127</v>
      </c>
      <c r="L1348" s="971" t="s">
        <v>2177</v>
      </c>
      <c r="M1348" s="971" t="s">
        <v>2127</v>
      </c>
      <c r="N1348" s="971" t="s">
        <v>176</v>
      </c>
      <c r="O1348" s="971" t="s">
        <v>2177</v>
      </c>
      <c r="P1348" s="971"/>
      <c r="Q1348" s="971" t="s">
        <v>2185</v>
      </c>
      <c r="R1348" s="1266" t="s">
        <v>2261</v>
      </c>
      <c r="S1348" s="2106">
        <v>2</v>
      </c>
      <c r="T1348" s="1266" t="s">
        <v>242</v>
      </c>
      <c r="U1348" s="1742">
        <v>10</v>
      </c>
      <c r="V1348" s="1742">
        <v>37.5</v>
      </c>
      <c r="W1348" s="1742">
        <v>881.4</v>
      </c>
      <c r="X1348" s="1742">
        <v>413.61</v>
      </c>
      <c r="Y1348" s="2106">
        <v>1332.51</v>
      </c>
      <c r="Z1348" s="2106">
        <v>20</v>
      </c>
      <c r="AA1348" s="2106">
        <v>75</v>
      </c>
      <c r="AB1348" s="2106">
        <v>1762.8</v>
      </c>
      <c r="AC1348" s="2106">
        <v>827.22</v>
      </c>
      <c r="AD1348" s="1744">
        <v>2665.02</v>
      </c>
      <c r="AE1348" s="2126">
        <v>24</v>
      </c>
      <c r="AF1348" s="2126">
        <v>48</v>
      </c>
      <c r="AG1348" s="1212">
        <v>1</v>
      </c>
      <c r="AH1348" s="1212">
        <v>0</v>
      </c>
      <c r="AI1348" s="1212">
        <v>0</v>
      </c>
      <c r="AJ1348" s="1212">
        <v>1</v>
      </c>
      <c r="AK1348" s="2126">
        <v>2665.02</v>
      </c>
      <c r="AL1348" s="2126">
        <v>0</v>
      </c>
      <c r="AM1348" s="2126">
        <v>0</v>
      </c>
      <c r="AN1348" s="2126">
        <v>2665.02</v>
      </c>
      <c r="AO1348" s="1743" t="s">
        <v>85</v>
      </c>
      <c r="AP1348" s="1743" t="s">
        <v>90</v>
      </c>
      <c r="AQ1348" s="1764">
        <v>2021</v>
      </c>
      <c r="AR1348" s="1743" t="s">
        <v>87</v>
      </c>
      <c r="AS1348" s="2135"/>
      <c r="AT1348" s="2135"/>
      <c r="AU1348" s="1212">
        <v>1</v>
      </c>
      <c r="AV1348" s="1212"/>
      <c r="AW1348" s="1212"/>
      <c r="AX1348" s="1212"/>
      <c r="AY1348" s="1212"/>
      <c r="AZ1348" s="1212"/>
      <c r="BA1348" s="1212"/>
      <c r="BB1348" s="1212"/>
      <c r="BC1348" s="1212"/>
      <c r="BD1348" s="1212"/>
      <c r="BE1348" s="1212"/>
      <c r="BF1348" s="2126">
        <v>0</v>
      </c>
      <c r="BG1348" s="2126">
        <v>0</v>
      </c>
      <c r="BH1348" s="2126">
        <v>2665.02</v>
      </c>
      <c r="BI1348" s="2126">
        <v>0</v>
      </c>
      <c r="BJ1348" s="2126">
        <v>0</v>
      </c>
      <c r="BK1348" s="2126">
        <v>0</v>
      </c>
      <c r="BL1348" s="2126">
        <v>0</v>
      </c>
      <c r="BM1348" s="2126">
        <v>0</v>
      </c>
      <c r="BN1348" s="2126">
        <v>0</v>
      </c>
      <c r="BO1348" s="2126">
        <v>0</v>
      </c>
      <c r="BP1348" s="2126">
        <v>0</v>
      </c>
      <c r="BQ1348" s="2126">
        <v>0</v>
      </c>
      <c r="BR1348" s="2126">
        <v>0</v>
      </c>
    </row>
    <row r="1349" spans="1:70" s="1765" customFormat="1" ht="33">
      <c r="A1349" s="1272">
        <v>5000</v>
      </c>
      <c r="B1349" s="971" t="s">
        <v>2119</v>
      </c>
      <c r="C1349" s="1272">
        <v>5100</v>
      </c>
      <c r="D1349" s="971" t="s">
        <v>78</v>
      </c>
      <c r="E1349" s="971">
        <v>5140</v>
      </c>
      <c r="F1349" s="971" t="s">
        <v>176</v>
      </c>
      <c r="G1349" s="971">
        <v>5140</v>
      </c>
      <c r="H1349" s="971" t="s">
        <v>176</v>
      </c>
      <c r="I1349" s="1273"/>
      <c r="J1349" s="971" t="s">
        <v>2146</v>
      </c>
      <c r="K1349" s="971" t="s">
        <v>2125</v>
      </c>
      <c r="L1349" s="971" t="s">
        <v>2126</v>
      </c>
      <c r="M1349" s="971" t="s">
        <v>2125</v>
      </c>
      <c r="N1349" s="971" t="s">
        <v>176</v>
      </c>
      <c r="O1349" s="971" t="s">
        <v>2126</v>
      </c>
      <c r="P1349" s="971"/>
      <c r="Q1349" s="971" t="s">
        <v>2262</v>
      </c>
      <c r="R1349" s="1266" t="s">
        <v>2263</v>
      </c>
      <c r="S1349" s="2106">
        <v>1</v>
      </c>
      <c r="T1349" s="1266" t="s">
        <v>242</v>
      </c>
      <c r="U1349" s="1742">
        <v>13</v>
      </c>
      <c r="V1349" s="1742">
        <v>100</v>
      </c>
      <c r="W1349" s="1742">
        <v>1145.82</v>
      </c>
      <c r="X1349" s="1742">
        <v>1102.96</v>
      </c>
      <c r="Y1349" s="2106">
        <v>2348.7799999999997</v>
      </c>
      <c r="Z1349" s="2106">
        <v>13</v>
      </c>
      <c r="AA1349" s="2106">
        <v>100</v>
      </c>
      <c r="AB1349" s="2106">
        <v>1145.82</v>
      </c>
      <c r="AC1349" s="2106">
        <v>1102.96</v>
      </c>
      <c r="AD1349" s="1744">
        <v>2348.7799999999997</v>
      </c>
      <c r="AE1349" s="2126">
        <v>96</v>
      </c>
      <c r="AF1349" s="2126">
        <v>96</v>
      </c>
      <c r="AG1349" s="1212">
        <v>1</v>
      </c>
      <c r="AH1349" s="1212">
        <v>0</v>
      </c>
      <c r="AI1349" s="1212">
        <v>0</v>
      </c>
      <c r="AJ1349" s="1212">
        <v>1</v>
      </c>
      <c r="AK1349" s="2126">
        <v>2348.7799999999997</v>
      </c>
      <c r="AL1349" s="2126">
        <v>0</v>
      </c>
      <c r="AM1349" s="2126">
        <v>0</v>
      </c>
      <c r="AN1349" s="2126">
        <v>2348.7799999999997</v>
      </c>
      <c r="AO1349" s="1743" t="s">
        <v>85</v>
      </c>
      <c r="AP1349" s="1743" t="s">
        <v>90</v>
      </c>
      <c r="AQ1349" s="1764">
        <v>2021</v>
      </c>
      <c r="AR1349" s="1743" t="s">
        <v>87</v>
      </c>
      <c r="AS1349" s="2135"/>
      <c r="AT1349" s="2135"/>
      <c r="AU1349" s="1212">
        <v>1</v>
      </c>
      <c r="AV1349" s="1212"/>
      <c r="AW1349" s="1212"/>
      <c r="AX1349" s="1212"/>
      <c r="AY1349" s="1212"/>
      <c r="AZ1349" s="1212"/>
      <c r="BA1349" s="1212"/>
      <c r="BB1349" s="1212"/>
      <c r="BC1349" s="1212"/>
      <c r="BD1349" s="1212"/>
      <c r="BE1349" s="1212"/>
      <c r="BF1349" s="2126">
        <v>0</v>
      </c>
      <c r="BG1349" s="2126">
        <v>0</v>
      </c>
      <c r="BH1349" s="2126">
        <v>2348.7799999999997</v>
      </c>
      <c r="BI1349" s="2126">
        <v>0</v>
      </c>
      <c r="BJ1349" s="2126">
        <v>0</v>
      </c>
      <c r="BK1349" s="2126">
        <v>0</v>
      </c>
      <c r="BL1349" s="2126">
        <v>0</v>
      </c>
      <c r="BM1349" s="2126">
        <v>0</v>
      </c>
      <c r="BN1349" s="2126">
        <v>0</v>
      </c>
      <c r="BO1349" s="2126">
        <v>0</v>
      </c>
      <c r="BP1349" s="2126">
        <v>0</v>
      </c>
      <c r="BQ1349" s="2126">
        <v>0</v>
      </c>
      <c r="BR1349" s="2126">
        <v>0</v>
      </c>
    </row>
    <row r="1350" spans="1:70" s="1765" customFormat="1" ht="33">
      <c r="A1350" s="1272">
        <v>5000</v>
      </c>
      <c r="B1350" s="971" t="s">
        <v>2119</v>
      </c>
      <c r="C1350" s="1272">
        <v>5100</v>
      </c>
      <c r="D1350" s="971" t="s">
        <v>78</v>
      </c>
      <c r="E1350" s="971">
        <v>5140</v>
      </c>
      <c r="F1350" s="971" t="s">
        <v>176</v>
      </c>
      <c r="G1350" s="971">
        <v>5140</v>
      </c>
      <c r="H1350" s="971" t="s">
        <v>176</v>
      </c>
      <c r="I1350" s="1273"/>
      <c r="J1350" s="971" t="s">
        <v>2146</v>
      </c>
      <c r="K1350" s="971" t="s">
        <v>2125</v>
      </c>
      <c r="L1350" s="971" t="s">
        <v>2126</v>
      </c>
      <c r="M1350" s="971" t="s">
        <v>2125</v>
      </c>
      <c r="N1350" s="971" t="s">
        <v>176</v>
      </c>
      <c r="O1350" s="971" t="s">
        <v>2126</v>
      </c>
      <c r="P1350" s="971"/>
      <c r="Q1350" s="971" t="s">
        <v>2264</v>
      </c>
      <c r="R1350" s="1266" t="s">
        <v>2265</v>
      </c>
      <c r="S1350" s="2106">
        <v>-1</v>
      </c>
      <c r="T1350" s="1266" t="s">
        <v>242</v>
      </c>
      <c r="U1350" s="1742">
        <v>13</v>
      </c>
      <c r="V1350" s="1742">
        <v>100</v>
      </c>
      <c r="W1350" s="1742">
        <v>1145.82</v>
      </c>
      <c r="X1350" s="1742">
        <v>1102.96</v>
      </c>
      <c r="Y1350" s="2106">
        <v>2348.7799999999997</v>
      </c>
      <c r="Z1350" s="2106">
        <v>-13</v>
      </c>
      <c r="AA1350" s="2106">
        <v>-100</v>
      </c>
      <c r="AB1350" s="2106">
        <v>-1145.82</v>
      </c>
      <c r="AC1350" s="2106">
        <v>-1102.96</v>
      </c>
      <c r="AD1350" s="1744">
        <v>-2348.7799999999997</v>
      </c>
      <c r="AE1350" s="2126">
        <v>96</v>
      </c>
      <c r="AF1350" s="2126">
        <v>96</v>
      </c>
      <c r="AG1350" s="1212">
        <v>1</v>
      </c>
      <c r="AH1350" s="1212">
        <v>0</v>
      </c>
      <c r="AI1350" s="1212">
        <v>0</v>
      </c>
      <c r="AJ1350" s="1212">
        <v>1</v>
      </c>
      <c r="AK1350" s="2126">
        <v>-2348.7799999999997</v>
      </c>
      <c r="AL1350" s="2126">
        <v>0</v>
      </c>
      <c r="AM1350" s="2126">
        <v>0</v>
      </c>
      <c r="AN1350" s="2126">
        <v>-2348.7799999999997</v>
      </c>
      <c r="AO1350" s="1743" t="s">
        <v>85</v>
      </c>
      <c r="AP1350" s="1743" t="s">
        <v>96</v>
      </c>
      <c r="AQ1350" s="1764" t="s">
        <v>97</v>
      </c>
      <c r="AR1350" s="1743" t="s">
        <v>87</v>
      </c>
      <c r="AS1350" s="2135"/>
      <c r="AT1350" s="2135"/>
      <c r="AU1350" s="1212">
        <v>1</v>
      </c>
      <c r="AV1350" s="1212"/>
      <c r="AW1350" s="1212"/>
      <c r="AX1350" s="1212"/>
      <c r="AY1350" s="1212"/>
      <c r="AZ1350" s="1212"/>
      <c r="BA1350" s="1212"/>
      <c r="BB1350" s="1212"/>
      <c r="BC1350" s="1212"/>
      <c r="BD1350" s="1212"/>
      <c r="BE1350" s="1212"/>
      <c r="BF1350" s="2126">
        <v>0</v>
      </c>
      <c r="BG1350" s="2126">
        <v>0</v>
      </c>
      <c r="BH1350" s="2126">
        <v>-2348.7799999999997</v>
      </c>
      <c r="BI1350" s="2126">
        <v>0</v>
      </c>
      <c r="BJ1350" s="2126">
        <v>0</v>
      </c>
      <c r="BK1350" s="2126">
        <v>0</v>
      </c>
      <c r="BL1350" s="2126">
        <v>0</v>
      </c>
      <c r="BM1350" s="2126">
        <v>0</v>
      </c>
      <c r="BN1350" s="2126">
        <v>0</v>
      </c>
      <c r="BO1350" s="2126">
        <v>0</v>
      </c>
      <c r="BP1350" s="2126">
        <v>0</v>
      </c>
      <c r="BQ1350" s="2126">
        <v>0</v>
      </c>
      <c r="BR1350" s="2126">
        <v>0</v>
      </c>
    </row>
    <row r="1351" spans="1:70" s="1765" customFormat="1" ht="33">
      <c r="A1351" s="1272">
        <v>5000</v>
      </c>
      <c r="B1351" s="971" t="s">
        <v>2119</v>
      </c>
      <c r="C1351" s="1272">
        <v>5100</v>
      </c>
      <c r="D1351" s="971" t="s">
        <v>78</v>
      </c>
      <c r="E1351" s="971">
        <v>5140</v>
      </c>
      <c r="F1351" s="971" t="s">
        <v>176</v>
      </c>
      <c r="G1351" s="971">
        <v>5140</v>
      </c>
      <c r="H1351" s="971" t="s">
        <v>176</v>
      </c>
      <c r="I1351" s="1273"/>
      <c r="J1351" s="971" t="s">
        <v>2146</v>
      </c>
      <c r="K1351" s="971" t="s">
        <v>2125</v>
      </c>
      <c r="L1351" s="971" t="s">
        <v>2126</v>
      </c>
      <c r="M1351" s="971" t="s">
        <v>2125</v>
      </c>
      <c r="N1351" s="971" t="s">
        <v>176</v>
      </c>
      <c r="O1351" s="971" t="s">
        <v>2126</v>
      </c>
      <c r="P1351" s="971"/>
      <c r="Q1351" s="971" t="s">
        <v>2264</v>
      </c>
      <c r="R1351" s="1266" t="s">
        <v>2265</v>
      </c>
      <c r="S1351" s="2106">
        <v>1</v>
      </c>
      <c r="T1351" s="1266" t="s">
        <v>242</v>
      </c>
      <c r="U1351" s="1742">
        <v>13</v>
      </c>
      <c r="V1351" s="1742">
        <v>100</v>
      </c>
      <c r="W1351" s="1742">
        <v>1145.82</v>
      </c>
      <c r="X1351" s="1742">
        <v>1102.96</v>
      </c>
      <c r="Y1351" s="2106">
        <v>2348.7799999999997</v>
      </c>
      <c r="Z1351" s="2106">
        <v>13</v>
      </c>
      <c r="AA1351" s="2106">
        <v>100</v>
      </c>
      <c r="AB1351" s="2106">
        <v>1145.82</v>
      </c>
      <c r="AC1351" s="2106">
        <v>1102.96</v>
      </c>
      <c r="AD1351" s="1744">
        <v>2348.7799999999997</v>
      </c>
      <c r="AE1351" s="2126">
        <v>96</v>
      </c>
      <c r="AF1351" s="2126">
        <v>96</v>
      </c>
      <c r="AG1351" s="1212">
        <v>1</v>
      </c>
      <c r="AH1351" s="1212">
        <v>0</v>
      </c>
      <c r="AI1351" s="1212">
        <v>0</v>
      </c>
      <c r="AJ1351" s="1212">
        <v>1</v>
      </c>
      <c r="AK1351" s="2126">
        <v>2348.7799999999997</v>
      </c>
      <c r="AL1351" s="2126">
        <v>0</v>
      </c>
      <c r="AM1351" s="2126">
        <v>0</v>
      </c>
      <c r="AN1351" s="2126">
        <v>2348.7799999999997</v>
      </c>
      <c r="AO1351" s="1743" t="s">
        <v>85</v>
      </c>
      <c r="AP1351" s="1743" t="s">
        <v>90</v>
      </c>
      <c r="AQ1351" s="1764">
        <v>2021</v>
      </c>
      <c r="AR1351" s="1743" t="s">
        <v>87</v>
      </c>
      <c r="AS1351" s="2135"/>
      <c r="AT1351" s="2135"/>
      <c r="AU1351" s="1212">
        <v>1</v>
      </c>
      <c r="AV1351" s="1212"/>
      <c r="AW1351" s="1212"/>
      <c r="AX1351" s="1212"/>
      <c r="AY1351" s="1212"/>
      <c r="AZ1351" s="1212"/>
      <c r="BA1351" s="1212"/>
      <c r="BB1351" s="1212"/>
      <c r="BC1351" s="1212"/>
      <c r="BD1351" s="1212"/>
      <c r="BE1351" s="1212"/>
      <c r="BF1351" s="2126">
        <v>0</v>
      </c>
      <c r="BG1351" s="2126">
        <v>0</v>
      </c>
      <c r="BH1351" s="2126">
        <v>2348.7799999999997</v>
      </c>
      <c r="BI1351" s="2126">
        <v>0</v>
      </c>
      <c r="BJ1351" s="2126">
        <v>0</v>
      </c>
      <c r="BK1351" s="2126">
        <v>0</v>
      </c>
      <c r="BL1351" s="2126">
        <v>0</v>
      </c>
      <c r="BM1351" s="2126">
        <v>0</v>
      </c>
      <c r="BN1351" s="2126">
        <v>0</v>
      </c>
      <c r="BO1351" s="2126">
        <v>0</v>
      </c>
      <c r="BP1351" s="2126">
        <v>0</v>
      </c>
      <c r="BQ1351" s="2126">
        <v>0</v>
      </c>
      <c r="BR1351" s="2126">
        <v>0</v>
      </c>
    </row>
    <row r="1352" spans="1:70" s="1765" customFormat="1" ht="33">
      <c r="A1352" s="1272">
        <v>5000</v>
      </c>
      <c r="B1352" s="971" t="s">
        <v>2119</v>
      </c>
      <c r="C1352" s="1272">
        <v>5100</v>
      </c>
      <c r="D1352" s="971" t="s">
        <v>78</v>
      </c>
      <c r="E1352" s="971">
        <v>5140</v>
      </c>
      <c r="F1352" s="971" t="s">
        <v>176</v>
      </c>
      <c r="G1352" s="971">
        <v>5140</v>
      </c>
      <c r="H1352" s="971" t="s">
        <v>176</v>
      </c>
      <c r="I1352" s="1273"/>
      <c r="J1352" s="971" t="s">
        <v>2146</v>
      </c>
      <c r="K1352" s="971" t="s">
        <v>2125</v>
      </c>
      <c r="L1352" s="971" t="s">
        <v>2126</v>
      </c>
      <c r="M1352" s="971" t="s">
        <v>2125</v>
      </c>
      <c r="N1352" s="971" t="s">
        <v>176</v>
      </c>
      <c r="O1352" s="971" t="s">
        <v>2126</v>
      </c>
      <c r="P1352" s="971"/>
      <c r="Q1352" s="971" t="s">
        <v>2266</v>
      </c>
      <c r="R1352" s="1266" t="s">
        <v>2267</v>
      </c>
      <c r="S1352" s="2106">
        <v>2</v>
      </c>
      <c r="T1352" s="1266" t="s">
        <v>242</v>
      </c>
      <c r="U1352" s="1742">
        <v>13</v>
      </c>
      <c r="V1352" s="1742">
        <v>100</v>
      </c>
      <c r="W1352" s="1742">
        <v>1145.82</v>
      </c>
      <c r="X1352" s="1742">
        <v>1102.96</v>
      </c>
      <c r="Y1352" s="2106">
        <v>2348.7799999999997</v>
      </c>
      <c r="Z1352" s="2106">
        <v>26</v>
      </c>
      <c r="AA1352" s="2106">
        <v>200</v>
      </c>
      <c r="AB1352" s="2106">
        <v>2291.64</v>
      </c>
      <c r="AC1352" s="2106">
        <v>2205.92</v>
      </c>
      <c r="AD1352" s="1744">
        <v>4697.5599999999995</v>
      </c>
      <c r="AE1352" s="2126">
        <v>96</v>
      </c>
      <c r="AF1352" s="2126">
        <v>192</v>
      </c>
      <c r="AG1352" s="1212">
        <v>1</v>
      </c>
      <c r="AH1352" s="1212">
        <v>0</v>
      </c>
      <c r="AI1352" s="1212">
        <v>0</v>
      </c>
      <c r="AJ1352" s="1212">
        <v>1</v>
      </c>
      <c r="AK1352" s="2126">
        <v>4697.5599999999995</v>
      </c>
      <c r="AL1352" s="2126">
        <v>0</v>
      </c>
      <c r="AM1352" s="2126">
        <v>0</v>
      </c>
      <c r="AN1352" s="2126">
        <v>4697.5599999999995</v>
      </c>
      <c r="AO1352" s="1743" t="s">
        <v>85</v>
      </c>
      <c r="AP1352" s="1743" t="s">
        <v>90</v>
      </c>
      <c r="AQ1352" s="1764">
        <v>2021</v>
      </c>
      <c r="AR1352" s="1743" t="s">
        <v>87</v>
      </c>
      <c r="AS1352" s="2135"/>
      <c r="AT1352" s="2135"/>
      <c r="AU1352" s="1212">
        <v>1</v>
      </c>
      <c r="AV1352" s="1212"/>
      <c r="AW1352" s="1212"/>
      <c r="AX1352" s="1212"/>
      <c r="AY1352" s="1212"/>
      <c r="AZ1352" s="1212"/>
      <c r="BA1352" s="1212"/>
      <c r="BB1352" s="1212"/>
      <c r="BC1352" s="1212"/>
      <c r="BD1352" s="1212"/>
      <c r="BE1352" s="1212"/>
      <c r="BF1352" s="2126">
        <v>0</v>
      </c>
      <c r="BG1352" s="2126">
        <v>0</v>
      </c>
      <c r="BH1352" s="2126">
        <v>4697.5599999999995</v>
      </c>
      <c r="BI1352" s="2126">
        <v>0</v>
      </c>
      <c r="BJ1352" s="2126">
        <v>0</v>
      </c>
      <c r="BK1352" s="2126">
        <v>0</v>
      </c>
      <c r="BL1352" s="2126">
        <v>0</v>
      </c>
      <c r="BM1352" s="2126">
        <v>0</v>
      </c>
      <c r="BN1352" s="2126">
        <v>0</v>
      </c>
      <c r="BO1352" s="2126">
        <v>0</v>
      </c>
      <c r="BP1352" s="2126">
        <v>0</v>
      </c>
      <c r="BQ1352" s="2126">
        <v>0</v>
      </c>
      <c r="BR1352" s="2126">
        <v>0</v>
      </c>
    </row>
    <row r="1353" spans="1:70" s="1765" customFormat="1" ht="33">
      <c r="A1353" s="1272">
        <v>5000</v>
      </c>
      <c r="B1353" s="971" t="s">
        <v>2119</v>
      </c>
      <c r="C1353" s="1272">
        <v>5100</v>
      </c>
      <c r="D1353" s="971" t="s">
        <v>78</v>
      </c>
      <c r="E1353" s="971">
        <v>5140</v>
      </c>
      <c r="F1353" s="971" t="s">
        <v>176</v>
      </c>
      <c r="G1353" s="971">
        <v>5140</v>
      </c>
      <c r="H1353" s="971" t="s">
        <v>176</v>
      </c>
      <c r="I1353" s="1273"/>
      <c r="J1353" s="971" t="s">
        <v>2146</v>
      </c>
      <c r="K1353" s="971" t="s">
        <v>2125</v>
      </c>
      <c r="L1353" s="971" t="s">
        <v>2126</v>
      </c>
      <c r="M1353" s="971" t="s">
        <v>2125</v>
      </c>
      <c r="N1353" s="971" t="s">
        <v>176</v>
      </c>
      <c r="O1353" s="971" t="s">
        <v>2126</v>
      </c>
      <c r="P1353" s="971"/>
      <c r="Q1353" s="971" t="s">
        <v>2268</v>
      </c>
      <c r="R1353" s="1266" t="s">
        <v>2269</v>
      </c>
      <c r="S1353" s="2106">
        <v>-1</v>
      </c>
      <c r="T1353" s="1266" t="s">
        <v>242</v>
      </c>
      <c r="U1353" s="1742">
        <v>13</v>
      </c>
      <c r="V1353" s="1742">
        <v>100</v>
      </c>
      <c r="W1353" s="1742">
        <v>1145.82</v>
      </c>
      <c r="X1353" s="1742">
        <v>1102.96</v>
      </c>
      <c r="Y1353" s="2106">
        <v>2348.7799999999997</v>
      </c>
      <c r="Z1353" s="2106">
        <v>-13</v>
      </c>
      <c r="AA1353" s="2106">
        <v>-100</v>
      </c>
      <c r="AB1353" s="2106">
        <v>-1145.82</v>
      </c>
      <c r="AC1353" s="2106">
        <v>-1102.96</v>
      </c>
      <c r="AD1353" s="1744">
        <v>-2348.7799999999997</v>
      </c>
      <c r="AE1353" s="2126">
        <v>96</v>
      </c>
      <c r="AF1353" s="2126">
        <v>96</v>
      </c>
      <c r="AG1353" s="1212">
        <v>1</v>
      </c>
      <c r="AH1353" s="1212">
        <v>0</v>
      </c>
      <c r="AI1353" s="1212">
        <v>0</v>
      </c>
      <c r="AJ1353" s="1212">
        <v>1</v>
      </c>
      <c r="AK1353" s="2126">
        <v>-2348.7799999999997</v>
      </c>
      <c r="AL1353" s="2126">
        <v>0</v>
      </c>
      <c r="AM1353" s="2126">
        <v>0</v>
      </c>
      <c r="AN1353" s="2126">
        <v>-2348.7799999999997</v>
      </c>
      <c r="AO1353" s="1743" t="s">
        <v>85</v>
      </c>
      <c r="AP1353" s="1743" t="s">
        <v>96</v>
      </c>
      <c r="AQ1353" s="1764" t="s">
        <v>97</v>
      </c>
      <c r="AR1353" s="1743" t="s">
        <v>87</v>
      </c>
      <c r="AS1353" s="2135"/>
      <c r="AT1353" s="2135"/>
      <c r="AU1353" s="1212">
        <v>1</v>
      </c>
      <c r="AV1353" s="1212"/>
      <c r="AW1353" s="1212"/>
      <c r="AX1353" s="1212"/>
      <c r="AY1353" s="1212"/>
      <c r="AZ1353" s="1212"/>
      <c r="BA1353" s="1212"/>
      <c r="BB1353" s="1212"/>
      <c r="BC1353" s="1212"/>
      <c r="BD1353" s="1212"/>
      <c r="BE1353" s="1212"/>
      <c r="BF1353" s="2126">
        <v>0</v>
      </c>
      <c r="BG1353" s="2126">
        <v>0</v>
      </c>
      <c r="BH1353" s="2126">
        <v>-2348.7799999999997</v>
      </c>
      <c r="BI1353" s="2126">
        <v>0</v>
      </c>
      <c r="BJ1353" s="2126">
        <v>0</v>
      </c>
      <c r="BK1353" s="2126">
        <v>0</v>
      </c>
      <c r="BL1353" s="2126">
        <v>0</v>
      </c>
      <c r="BM1353" s="2126">
        <v>0</v>
      </c>
      <c r="BN1353" s="2126">
        <v>0</v>
      </c>
      <c r="BO1353" s="2126">
        <v>0</v>
      </c>
      <c r="BP1353" s="2126">
        <v>0</v>
      </c>
      <c r="BQ1353" s="2126">
        <v>0</v>
      </c>
      <c r="BR1353" s="2126">
        <v>0</v>
      </c>
    </row>
    <row r="1354" spans="1:70" s="1765" customFormat="1" ht="33">
      <c r="A1354" s="1272">
        <v>5000</v>
      </c>
      <c r="B1354" s="971" t="s">
        <v>2119</v>
      </c>
      <c r="C1354" s="1272">
        <v>5100</v>
      </c>
      <c r="D1354" s="971" t="s">
        <v>78</v>
      </c>
      <c r="E1354" s="971">
        <v>5140</v>
      </c>
      <c r="F1354" s="971" t="s">
        <v>176</v>
      </c>
      <c r="G1354" s="971">
        <v>5140</v>
      </c>
      <c r="H1354" s="971" t="s">
        <v>176</v>
      </c>
      <c r="I1354" s="1273"/>
      <c r="J1354" s="971" t="s">
        <v>2146</v>
      </c>
      <c r="K1354" s="971" t="s">
        <v>2125</v>
      </c>
      <c r="L1354" s="971" t="s">
        <v>2126</v>
      </c>
      <c r="M1354" s="971" t="s">
        <v>2125</v>
      </c>
      <c r="N1354" s="971" t="s">
        <v>176</v>
      </c>
      <c r="O1354" s="971" t="s">
        <v>2126</v>
      </c>
      <c r="P1354" s="971"/>
      <c r="Q1354" s="971" t="s">
        <v>2268</v>
      </c>
      <c r="R1354" s="1266" t="s">
        <v>2269</v>
      </c>
      <c r="S1354" s="2106">
        <v>1</v>
      </c>
      <c r="T1354" s="1266" t="s">
        <v>242</v>
      </c>
      <c r="U1354" s="1742">
        <v>13</v>
      </c>
      <c r="V1354" s="1742">
        <v>100</v>
      </c>
      <c r="W1354" s="1742">
        <v>1145.82</v>
      </c>
      <c r="X1354" s="1742">
        <v>1102.96</v>
      </c>
      <c r="Y1354" s="2106">
        <v>2348.7799999999997</v>
      </c>
      <c r="Z1354" s="2106">
        <v>13</v>
      </c>
      <c r="AA1354" s="2106">
        <v>100</v>
      </c>
      <c r="AB1354" s="2106">
        <v>1145.82</v>
      </c>
      <c r="AC1354" s="2106">
        <v>1102.96</v>
      </c>
      <c r="AD1354" s="1744">
        <v>2348.7799999999997</v>
      </c>
      <c r="AE1354" s="2126">
        <v>96</v>
      </c>
      <c r="AF1354" s="2126">
        <v>96</v>
      </c>
      <c r="AG1354" s="1212">
        <v>1</v>
      </c>
      <c r="AH1354" s="1212">
        <v>0</v>
      </c>
      <c r="AI1354" s="1212">
        <v>0</v>
      </c>
      <c r="AJ1354" s="1212">
        <v>1</v>
      </c>
      <c r="AK1354" s="2126">
        <v>2348.7799999999997</v>
      </c>
      <c r="AL1354" s="2126">
        <v>0</v>
      </c>
      <c r="AM1354" s="2126">
        <v>0</v>
      </c>
      <c r="AN1354" s="2126">
        <v>2348.7799999999997</v>
      </c>
      <c r="AO1354" s="1743" t="s">
        <v>85</v>
      </c>
      <c r="AP1354" s="1743" t="s">
        <v>90</v>
      </c>
      <c r="AQ1354" s="1764">
        <v>2021</v>
      </c>
      <c r="AR1354" s="1743" t="s">
        <v>87</v>
      </c>
      <c r="AS1354" s="2135"/>
      <c r="AT1354" s="2135"/>
      <c r="AU1354" s="1212">
        <v>1</v>
      </c>
      <c r="AV1354" s="1212"/>
      <c r="AW1354" s="1212"/>
      <c r="AX1354" s="1212"/>
      <c r="AY1354" s="1212"/>
      <c r="AZ1354" s="1212"/>
      <c r="BA1354" s="1212"/>
      <c r="BB1354" s="1212"/>
      <c r="BC1354" s="1212"/>
      <c r="BD1354" s="1212"/>
      <c r="BE1354" s="1212"/>
      <c r="BF1354" s="2126">
        <v>0</v>
      </c>
      <c r="BG1354" s="2126">
        <v>0</v>
      </c>
      <c r="BH1354" s="2126">
        <v>2348.7799999999997</v>
      </c>
      <c r="BI1354" s="2126">
        <v>0</v>
      </c>
      <c r="BJ1354" s="2126">
        <v>0</v>
      </c>
      <c r="BK1354" s="2126">
        <v>0</v>
      </c>
      <c r="BL1354" s="2126">
        <v>0</v>
      </c>
      <c r="BM1354" s="2126">
        <v>0</v>
      </c>
      <c r="BN1354" s="2126">
        <v>0</v>
      </c>
      <c r="BO1354" s="2126">
        <v>0</v>
      </c>
      <c r="BP1354" s="2126">
        <v>0</v>
      </c>
      <c r="BQ1354" s="2126">
        <v>0</v>
      </c>
      <c r="BR1354" s="2126">
        <v>0</v>
      </c>
    </row>
    <row r="1355" spans="1:70" s="1765" customFormat="1" ht="33">
      <c r="A1355" s="1272">
        <v>5000</v>
      </c>
      <c r="B1355" s="971" t="s">
        <v>2119</v>
      </c>
      <c r="C1355" s="1272">
        <v>5100</v>
      </c>
      <c r="D1355" s="971" t="s">
        <v>78</v>
      </c>
      <c r="E1355" s="971">
        <v>5140</v>
      </c>
      <c r="F1355" s="971" t="s">
        <v>176</v>
      </c>
      <c r="G1355" s="971">
        <v>5140</v>
      </c>
      <c r="H1355" s="971" t="s">
        <v>176</v>
      </c>
      <c r="I1355" s="1273"/>
      <c r="J1355" s="971" t="s">
        <v>2146</v>
      </c>
      <c r="K1355" s="971" t="s">
        <v>2125</v>
      </c>
      <c r="L1355" s="971" t="s">
        <v>2126</v>
      </c>
      <c r="M1355" s="971" t="s">
        <v>2125</v>
      </c>
      <c r="N1355" s="971" t="s">
        <v>176</v>
      </c>
      <c r="O1355" s="971" t="s">
        <v>2126</v>
      </c>
      <c r="P1355" s="971"/>
      <c r="Q1355" s="971" t="s">
        <v>2179</v>
      </c>
      <c r="R1355" s="1266" t="s">
        <v>2180</v>
      </c>
      <c r="S1355" s="2106">
        <v>-1</v>
      </c>
      <c r="T1355" s="1266" t="s">
        <v>242</v>
      </c>
      <c r="U1355" s="1742">
        <v>13</v>
      </c>
      <c r="V1355" s="1742">
        <v>100</v>
      </c>
      <c r="W1355" s="1742">
        <v>1145.82</v>
      </c>
      <c r="X1355" s="1742">
        <v>1102.96</v>
      </c>
      <c r="Y1355" s="2106">
        <v>2348.7799999999997</v>
      </c>
      <c r="Z1355" s="2106">
        <v>-13</v>
      </c>
      <c r="AA1355" s="2106">
        <v>-100</v>
      </c>
      <c r="AB1355" s="2106">
        <v>-1145.82</v>
      </c>
      <c r="AC1355" s="2106">
        <v>-1102.96</v>
      </c>
      <c r="AD1355" s="1744">
        <v>-2348.7799999999997</v>
      </c>
      <c r="AE1355" s="2126">
        <v>96</v>
      </c>
      <c r="AF1355" s="2126">
        <v>96</v>
      </c>
      <c r="AG1355" s="1212">
        <v>1</v>
      </c>
      <c r="AH1355" s="1212">
        <v>0</v>
      </c>
      <c r="AI1355" s="1212">
        <v>0</v>
      </c>
      <c r="AJ1355" s="1212">
        <v>1</v>
      </c>
      <c r="AK1355" s="2126">
        <v>-2348.7799999999997</v>
      </c>
      <c r="AL1355" s="2126">
        <v>0</v>
      </c>
      <c r="AM1355" s="2126">
        <v>0</v>
      </c>
      <c r="AN1355" s="2126">
        <v>-2348.7799999999997</v>
      </c>
      <c r="AO1355" s="1743" t="s">
        <v>85</v>
      </c>
      <c r="AP1355" s="1743" t="s">
        <v>96</v>
      </c>
      <c r="AQ1355" s="1764" t="s">
        <v>97</v>
      </c>
      <c r="AR1355" s="1743" t="s">
        <v>87</v>
      </c>
      <c r="AS1355" s="2135"/>
      <c r="AT1355" s="2135"/>
      <c r="AU1355" s="1212">
        <v>1</v>
      </c>
      <c r="AV1355" s="1212"/>
      <c r="AW1355" s="1212"/>
      <c r="AX1355" s="1212"/>
      <c r="AY1355" s="1212"/>
      <c r="AZ1355" s="1212"/>
      <c r="BA1355" s="1212"/>
      <c r="BB1355" s="1212"/>
      <c r="BC1355" s="1212"/>
      <c r="BD1355" s="1212"/>
      <c r="BE1355" s="1212"/>
      <c r="BF1355" s="2126">
        <v>0</v>
      </c>
      <c r="BG1355" s="2126">
        <v>0</v>
      </c>
      <c r="BH1355" s="2126">
        <v>-2348.7799999999997</v>
      </c>
      <c r="BI1355" s="2126">
        <v>0</v>
      </c>
      <c r="BJ1355" s="2126">
        <v>0</v>
      </c>
      <c r="BK1355" s="2126">
        <v>0</v>
      </c>
      <c r="BL1355" s="2126">
        <v>0</v>
      </c>
      <c r="BM1355" s="2126">
        <v>0</v>
      </c>
      <c r="BN1355" s="2126">
        <v>0</v>
      </c>
      <c r="BO1355" s="2126">
        <v>0</v>
      </c>
      <c r="BP1355" s="2126">
        <v>0</v>
      </c>
      <c r="BQ1355" s="2126">
        <v>0</v>
      </c>
      <c r="BR1355" s="2126">
        <v>0</v>
      </c>
    </row>
    <row r="1356" spans="1:70" s="1765" customFormat="1" ht="33">
      <c r="A1356" s="1272">
        <v>5000</v>
      </c>
      <c r="B1356" s="971" t="s">
        <v>2119</v>
      </c>
      <c r="C1356" s="1272">
        <v>5100</v>
      </c>
      <c r="D1356" s="971" t="s">
        <v>78</v>
      </c>
      <c r="E1356" s="971">
        <v>5140</v>
      </c>
      <c r="F1356" s="971" t="s">
        <v>176</v>
      </c>
      <c r="G1356" s="971">
        <v>5140</v>
      </c>
      <c r="H1356" s="971" t="s">
        <v>176</v>
      </c>
      <c r="I1356" s="1273"/>
      <c r="J1356" s="971" t="s">
        <v>2146</v>
      </c>
      <c r="K1356" s="971" t="s">
        <v>2125</v>
      </c>
      <c r="L1356" s="971" t="s">
        <v>2126</v>
      </c>
      <c r="M1356" s="971" t="s">
        <v>2125</v>
      </c>
      <c r="N1356" s="971" t="s">
        <v>176</v>
      </c>
      <c r="O1356" s="971" t="s">
        <v>2126</v>
      </c>
      <c r="P1356" s="971"/>
      <c r="Q1356" s="971" t="s">
        <v>2179</v>
      </c>
      <c r="R1356" s="1266" t="s">
        <v>2180</v>
      </c>
      <c r="S1356" s="2106">
        <v>1</v>
      </c>
      <c r="T1356" s="1266" t="s">
        <v>242</v>
      </c>
      <c r="U1356" s="1742">
        <v>13</v>
      </c>
      <c r="V1356" s="1742">
        <v>100</v>
      </c>
      <c r="W1356" s="1742">
        <v>1145.82</v>
      </c>
      <c r="X1356" s="1742">
        <v>1102.96</v>
      </c>
      <c r="Y1356" s="2106">
        <v>2348.7799999999997</v>
      </c>
      <c r="Z1356" s="2106">
        <v>13</v>
      </c>
      <c r="AA1356" s="2106">
        <v>100</v>
      </c>
      <c r="AB1356" s="2106">
        <v>1145.82</v>
      </c>
      <c r="AC1356" s="2106">
        <v>1102.96</v>
      </c>
      <c r="AD1356" s="1744">
        <v>2348.7799999999997</v>
      </c>
      <c r="AE1356" s="2126">
        <v>96</v>
      </c>
      <c r="AF1356" s="2126">
        <v>96</v>
      </c>
      <c r="AG1356" s="1212">
        <v>1</v>
      </c>
      <c r="AH1356" s="1212">
        <v>0</v>
      </c>
      <c r="AI1356" s="1212">
        <v>0</v>
      </c>
      <c r="AJ1356" s="1212">
        <v>1</v>
      </c>
      <c r="AK1356" s="2126">
        <v>2348.7799999999997</v>
      </c>
      <c r="AL1356" s="2126">
        <v>0</v>
      </c>
      <c r="AM1356" s="2126">
        <v>0</v>
      </c>
      <c r="AN1356" s="2126">
        <v>2348.7799999999997</v>
      </c>
      <c r="AO1356" s="1743" t="s">
        <v>85</v>
      </c>
      <c r="AP1356" s="1743" t="s">
        <v>90</v>
      </c>
      <c r="AQ1356" s="1764">
        <v>2021</v>
      </c>
      <c r="AR1356" s="1743" t="s">
        <v>87</v>
      </c>
      <c r="AS1356" s="2135"/>
      <c r="AT1356" s="2135"/>
      <c r="AU1356" s="1212">
        <v>1</v>
      </c>
      <c r="AV1356" s="1212"/>
      <c r="AW1356" s="1212"/>
      <c r="AX1356" s="1212"/>
      <c r="AY1356" s="1212"/>
      <c r="AZ1356" s="1212"/>
      <c r="BA1356" s="1212"/>
      <c r="BB1356" s="1212"/>
      <c r="BC1356" s="1212"/>
      <c r="BD1356" s="1212"/>
      <c r="BE1356" s="1212"/>
      <c r="BF1356" s="2126">
        <v>0</v>
      </c>
      <c r="BG1356" s="2126">
        <v>0</v>
      </c>
      <c r="BH1356" s="2126">
        <v>2348.7799999999997</v>
      </c>
      <c r="BI1356" s="2126">
        <v>0</v>
      </c>
      <c r="BJ1356" s="2126">
        <v>0</v>
      </c>
      <c r="BK1356" s="2126">
        <v>0</v>
      </c>
      <c r="BL1356" s="2126">
        <v>0</v>
      </c>
      <c r="BM1356" s="2126">
        <v>0</v>
      </c>
      <c r="BN1356" s="2126">
        <v>0</v>
      </c>
      <c r="BO1356" s="2126">
        <v>0</v>
      </c>
      <c r="BP1356" s="2126">
        <v>0</v>
      </c>
      <c r="BQ1356" s="2126">
        <v>0</v>
      </c>
      <c r="BR1356" s="2126">
        <v>0</v>
      </c>
    </row>
    <row r="1357" spans="1:70" s="1765" customFormat="1" ht="33">
      <c r="A1357" s="1272">
        <v>5000</v>
      </c>
      <c r="B1357" s="971" t="s">
        <v>2119</v>
      </c>
      <c r="C1357" s="1272">
        <v>5100</v>
      </c>
      <c r="D1357" s="971" t="s">
        <v>78</v>
      </c>
      <c r="E1357" s="971">
        <v>5140</v>
      </c>
      <c r="F1357" s="971" t="s">
        <v>176</v>
      </c>
      <c r="G1357" s="971">
        <v>5140</v>
      </c>
      <c r="H1357" s="971" t="s">
        <v>176</v>
      </c>
      <c r="I1357" s="1273"/>
      <c r="J1357" s="971" t="s">
        <v>2146</v>
      </c>
      <c r="K1357" s="971" t="s">
        <v>2125</v>
      </c>
      <c r="L1357" s="971" t="s">
        <v>2126</v>
      </c>
      <c r="M1357" s="971" t="s">
        <v>2125</v>
      </c>
      <c r="N1357" s="971" t="s">
        <v>176</v>
      </c>
      <c r="O1357" s="971" t="s">
        <v>2126</v>
      </c>
      <c r="P1357" s="971"/>
      <c r="Q1357" s="971" t="s">
        <v>2270</v>
      </c>
      <c r="R1357" s="1266" t="s">
        <v>1789</v>
      </c>
      <c r="S1357" s="2106">
        <v>-2</v>
      </c>
      <c r="T1357" s="1266" t="s">
        <v>242</v>
      </c>
      <c r="U1357" s="1742">
        <v>13</v>
      </c>
      <c r="V1357" s="1742">
        <v>100</v>
      </c>
      <c r="W1357" s="1742">
        <v>1145.82</v>
      </c>
      <c r="X1357" s="1742">
        <v>1102.96</v>
      </c>
      <c r="Y1357" s="2106">
        <v>2348.7799999999997</v>
      </c>
      <c r="Z1357" s="2106">
        <v>-26</v>
      </c>
      <c r="AA1357" s="2106">
        <v>-200</v>
      </c>
      <c r="AB1357" s="2106">
        <v>-2291.64</v>
      </c>
      <c r="AC1357" s="2106">
        <v>-2205.92</v>
      </c>
      <c r="AD1357" s="1744">
        <v>-4697.5599999999995</v>
      </c>
      <c r="AE1357" s="2126">
        <v>96</v>
      </c>
      <c r="AF1357" s="2126">
        <v>192</v>
      </c>
      <c r="AG1357" s="1212">
        <v>1</v>
      </c>
      <c r="AH1357" s="1212">
        <v>0</v>
      </c>
      <c r="AI1357" s="1212">
        <v>0</v>
      </c>
      <c r="AJ1357" s="1212">
        <v>1</v>
      </c>
      <c r="AK1357" s="2126">
        <v>-4697.5599999999995</v>
      </c>
      <c r="AL1357" s="2126">
        <v>0</v>
      </c>
      <c r="AM1357" s="2126">
        <v>0</v>
      </c>
      <c r="AN1357" s="2126">
        <v>-4697.5599999999995</v>
      </c>
      <c r="AO1357" s="1743" t="s">
        <v>85</v>
      </c>
      <c r="AP1357" s="1743" t="s">
        <v>96</v>
      </c>
      <c r="AQ1357" s="1764" t="s">
        <v>97</v>
      </c>
      <c r="AR1357" s="1743" t="s">
        <v>87</v>
      </c>
      <c r="AS1357" s="2135"/>
      <c r="AT1357" s="2135"/>
      <c r="AU1357" s="1212">
        <v>1</v>
      </c>
      <c r="AV1357" s="1212"/>
      <c r="AW1357" s="1212"/>
      <c r="AX1357" s="1212"/>
      <c r="AY1357" s="1212"/>
      <c r="AZ1357" s="1212"/>
      <c r="BA1357" s="1212"/>
      <c r="BB1357" s="1212"/>
      <c r="BC1357" s="1212"/>
      <c r="BD1357" s="1212"/>
      <c r="BE1357" s="1212"/>
      <c r="BF1357" s="2126">
        <v>0</v>
      </c>
      <c r="BG1357" s="2126">
        <v>0</v>
      </c>
      <c r="BH1357" s="2126">
        <v>-4697.5599999999995</v>
      </c>
      <c r="BI1357" s="2126">
        <v>0</v>
      </c>
      <c r="BJ1357" s="2126">
        <v>0</v>
      </c>
      <c r="BK1357" s="2126">
        <v>0</v>
      </c>
      <c r="BL1357" s="2126">
        <v>0</v>
      </c>
      <c r="BM1357" s="2126">
        <v>0</v>
      </c>
      <c r="BN1357" s="2126">
        <v>0</v>
      </c>
      <c r="BO1357" s="2126">
        <v>0</v>
      </c>
      <c r="BP1357" s="2126">
        <v>0</v>
      </c>
      <c r="BQ1357" s="2126">
        <v>0</v>
      </c>
      <c r="BR1357" s="2126">
        <v>0</v>
      </c>
    </row>
    <row r="1358" spans="1:70" s="1765" customFormat="1" ht="33">
      <c r="A1358" s="1272">
        <v>5000</v>
      </c>
      <c r="B1358" s="971" t="s">
        <v>2119</v>
      </c>
      <c r="C1358" s="1272">
        <v>5100</v>
      </c>
      <c r="D1358" s="971" t="s">
        <v>78</v>
      </c>
      <c r="E1358" s="971">
        <v>5140</v>
      </c>
      <c r="F1358" s="971" t="s">
        <v>176</v>
      </c>
      <c r="G1358" s="971">
        <v>5140</v>
      </c>
      <c r="H1358" s="971" t="s">
        <v>176</v>
      </c>
      <c r="I1358" s="1273"/>
      <c r="J1358" s="971" t="s">
        <v>2146</v>
      </c>
      <c r="K1358" s="971" t="s">
        <v>2125</v>
      </c>
      <c r="L1358" s="971" t="s">
        <v>2126</v>
      </c>
      <c r="M1358" s="971" t="s">
        <v>2125</v>
      </c>
      <c r="N1358" s="971" t="s">
        <v>176</v>
      </c>
      <c r="O1358" s="971" t="s">
        <v>2126</v>
      </c>
      <c r="P1358" s="971"/>
      <c r="Q1358" s="971" t="s">
        <v>2270</v>
      </c>
      <c r="R1358" s="1266" t="s">
        <v>1789</v>
      </c>
      <c r="S1358" s="2106">
        <v>2</v>
      </c>
      <c r="T1358" s="1266" t="s">
        <v>242</v>
      </c>
      <c r="U1358" s="1742">
        <v>13</v>
      </c>
      <c r="V1358" s="1742">
        <v>100</v>
      </c>
      <c r="W1358" s="1742">
        <v>1145.82</v>
      </c>
      <c r="X1358" s="1742">
        <v>1102.96</v>
      </c>
      <c r="Y1358" s="2106">
        <v>2348.7799999999997</v>
      </c>
      <c r="Z1358" s="2106">
        <v>26</v>
      </c>
      <c r="AA1358" s="2106">
        <v>200</v>
      </c>
      <c r="AB1358" s="2106">
        <v>2291.64</v>
      </c>
      <c r="AC1358" s="2106">
        <v>2205.92</v>
      </c>
      <c r="AD1358" s="1744">
        <v>4697.5599999999995</v>
      </c>
      <c r="AE1358" s="2126">
        <v>96</v>
      </c>
      <c r="AF1358" s="2126">
        <v>192</v>
      </c>
      <c r="AG1358" s="1212">
        <v>1</v>
      </c>
      <c r="AH1358" s="1212">
        <v>0</v>
      </c>
      <c r="AI1358" s="1212">
        <v>0</v>
      </c>
      <c r="AJ1358" s="1212">
        <v>1</v>
      </c>
      <c r="AK1358" s="2126">
        <v>4697.5599999999995</v>
      </c>
      <c r="AL1358" s="2126">
        <v>0</v>
      </c>
      <c r="AM1358" s="2126">
        <v>0</v>
      </c>
      <c r="AN1358" s="2126">
        <v>4697.5599999999995</v>
      </c>
      <c r="AO1358" s="1743" t="s">
        <v>85</v>
      </c>
      <c r="AP1358" s="1743" t="s">
        <v>90</v>
      </c>
      <c r="AQ1358" s="1764">
        <v>2021</v>
      </c>
      <c r="AR1358" s="1743" t="s">
        <v>87</v>
      </c>
      <c r="AS1358" s="2135"/>
      <c r="AT1358" s="2135"/>
      <c r="AU1358" s="1212">
        <v>1</v>
      </c>
      <c r="AV1358" s="1212"/>
      <c r="AW1358" s="1212"/>
      <c r="AX1358" s="1212"/>
      <c r="AY1358" s="1212"/>
      <c r="AZ1358" s="1212"/>
      <c r="BA1358" s="1212"/>
      <c r="BB1358" s="1212"/>
      <c r="BC1358" s="1212"/>
      <c r="BD1358" s="1212"/>
      <c r="BE1358" s="1212"/>
      <c r="BF1358" s="2126">
        <v>0</v>
      </c>
      <c r="BG1358" s="2126">
        <v>0</v>
      </c>
      <c r="BH1358" s="2126">
        <v>4697.5599999999995</v>
      </c>
      <c r="BI1358" s="2126">
        <v>0</v>
      </c>
      <c r="BJ1358" s="2126">
        <v>0</v>
      </c>
      <c r="BK1358" s="2126">
        <v>0</v>
      </c>
      <c r="BL1358" s="2126">
        <v>0</v>
      </c>
      <c r="BM1358" s="2126">
        <v>0</v>
      </c>
      <c r="BN1358" s="2126">
        <v>0</v>
      </c>
      <c r="BO1358" s="2126">
        <v>0</v>
      </c>
      <c r="BP1358" s="2126">
        <v>0</v>
      </c>
      <c r="BQ1358" s="2126">
        <v>0</v>
      </c>
      <c r="BR1358" s="2126">
        <v>0</v>
      </c>
    </row>
    <row r="1359" spans="1:70" s="1765" customFormat="1" ht="33">
      <c r="A1359" s="1272">
        <v>5000</v>
      </c>
      <c r="B1359" s="971" t="s">
        <v>2119</v>
      </c>
      <c r="C1359" s="1272">
        <v>5100</v>
      </c>
      <c r="D1359" s="971" t="s">
        <v>78</v>
      </c>
      <c r="E1359" s="971">
        <v>5140</v>
      </c>
      <c r="F1359" s="971" t="s">
        <v>176</v>
      </c>
      <c r="G1359" s="971">
        <v>5140</v>
      </c>
      <c r="H1359" s="971" t="s">
        <v>176</v>
      </c>
      <c r="I1359" s="1273"/>
      <c r="J1359" s="971" t="s">
        <v>2146</v>
      </c>
      <c r="K1359" s="971" t="s">
        <v>2127</v>
      </c>
      <c r="L1359" s="971" t="s">
        <v>2177</v>
      </c>
      <c r="M1359" s="971" t="s">
        <v>2127</v>
      </c>
      <c r="N1359" s="971" t="s">
        <v>176</v>
      </c>
      <c r="O1359" s="971" t="s">
        <v>2128</v>
      </c>
      <c r="P1359" s="971"/>
      <c r="Q1359" s="971" t="s">
        <v>2271</v>
      </c>
      <c r="R1359" s="1266" t="s">
        <v>2272</v>
      </c>
      <c r="S1359" s="2106">
        <v>1</v>
      </c>
      <c r="T1359" s="1266" t="s">
        <v>242</v>
      </c>
      <c r="U1359" s="1742">
        <v>10</v>
      </c>
      <c r="V1359" s="1742">
        <v>37.5</v>
      </c>
      <c r="W1359" s="1742">
        <v>881.4</v>
      </c>
      <c r="X1359" s="1742">
        <v>413.61</v>
      </c>
      <c r="Y1359" s="2106">
        <v>1332.51</v>
      </c>
      <c r="Z1359" s="2106">
        <v>10</v>
      </c>
      <c r="AA1359" s="2106">
        <v>37.5</v>
      </c>
      <c r="AB1359" s="2106">
        <v>881.4</v>
      </c>
      <c r="AC1359" s="2106">
        <v>413.61</v>
      </c>
      <c r="AD1359" s="1744">
        <v>1332.51</v>
      </c>
      <c r="AE1359" s="2126">
        <v>24</v>
      </c>
      <c r="AF1359" s="2126">
        <v>24</v>
      </c>
      <c r="AG1359" s="1212">
        <v>1</v>
      </c>
      <c r="AH1359" s="1212">
        <v>0</v>
      </c>
      <c r="AI1359" s="1212">
        <v>0</v>
      </c>
      <c r="AJ1359" s="1212">
        <v>1</v>
      </c>
      <c r="AK1359" s="2126">
        <v>1332.51</v>
      </c>
      <c r="AL1359" s="2126">
        <v>0</v>
      </c>
      <c r="AM1359" s="2126">
        <v>0</v>
      </c>
      <c r="AN1359" s="2126">
        <v>1332.51</v>
      </c>
      <c r="AO1359" s="1743" t="s">
        <v>85</v>
      </c>
      <c r="AP1359" s="1743" t="s">
        <v>90</v>
      </c>
      <c r="AQ1359" s="1764">
        <v>2021</v>
      </c>
      <c r="AR1359" s="1743" t="s">
        <v>87</v>
      </c>
      <c r="AS1359" s="2135"/>
      <c r="AT1359" s="2135"/>
      <c r="AU1359" s="1212">
        <v>1</v>
      </c>
      <c r="AV1359" s="1212"/>
      <c r="AW1359" s="1212"/>
      <c r="AX1359" s="1212"/>
      <c r="AY1359" s="1212"/>
      <c r="AZ1359" s="1212"/>
      <c r="BA1359" s="1212"/>
      <c r="BB1359" s="1212"/>
      <c r="BC1359" s="1212"/>
      <c r="BD1359" s="1212"/>
      <c r="BE1359" s="1212"/>
      <c r="BF1359" s="2126">
        <v>0</v>
      </c>
      <c r="BG1359" s="2126">
        <v>0</v>
      </c>
      <c r="BH1359" s="2126">
        <v>1332.51</v>
      </c>
      <c r="BI1359" s="2126">
        <v>0</v>
      </c>
      <c r="BJ1359" s="2126">
        <v>0</v>
      </c>
      <c r="BK1359" s="2126">
        <v>0</v>
      </c>
      <c r="BL1359" s="2126">
        <v>0</v>
      </c>
      <c r="BM1359" s="2126">
        <v>0</v>
      </c>
      <c r="BN1359" s="2126">
        <v>0</v>
      </c>
      <c r="BO1359" s="2126">
        <v>0</v>
      </c>
      <c r="BP1359" s="2126">
        <v>0</v>
      </c>
      <c r="BQ1359" s="2126">
        <v>0</v>
      </c>
      <c r="BR1359" s="2126">
        <v>0</v>
      </c>
    </row>
    <row r="1360" spans="1:70" s="1765" customFormat="1" ht="33">
      <c r="A1360" s="1272">
        <v>5000</v>
      </c>
      <c r="B1360" s="971" t="s">
        <v>2119</v>
      </c>
      <c r="C1360" s="1272">
        <v>5100</v>
      </c>
      <c r="D1360" s="971" t="s">
        <v>78</v>
      </c>
      <c r="E1360" s="971">
        <v>5140</v>
      </c>
      <c r="F1360" s="971" t="s">
        <v>176</v>
      </c>
      <c r="G1360" s="971">
        <v>5140</v>
      </c>
      <c r="H1360" s="971" t="s">
        <v>176</v>
      </c>
      <c r="I1360" s="1273"/>
      <c r="J1360" s="971" t="s">
        <v>2146</v>
      </c>
      <c r="K1360" s="971" t="s">
        <v>2127</v>
      </c>
      <c r="L1360" s="971" t="s">
        <v>2177</v>
      </c>
      <c r="M1360" s="971" t="s">
        <v>2127</v>
      </c>
      <c r="N1360" s="971" t="s">
        <v>176</v>
      </c>
      <c r="O1360" s="971" t="s">
        <v>2177</v>
      </c>
      <c r="P1360" s="971"/>
      <c r="Q1360" s="971" t="s">
        <v>2273</v>
      </c>
      <c r="R1360" s="1266" t="s">
        <v>2274</v>
      </c>
      <c r="S1360" s="2106">
        <v>4</v>
      </c>
      <c r="T1360" s="1266" t="s">
        <v>242</v>
      </c>
      <c r="U1360" s="1742">
        <v>10</v>
      </c>
      <c r="V1360" s="1742">
        <v>37.5</v>
      </c>
      <c r="W1360" s="1742">
        <v>881.4</v>
      </c>
      <c r="X1360" s="1742">
        <v>413.61</v>
      </c>
      <c r="Y1360" s="2106">
        <v>1332.51</v>
      </c>
      <c r="Z1360" s="2106">
        <v>40</v>
      </c>
      <c r="AA1360" s="2106">
        <v>150</v>
      </c>
      <c r="AB1360" s="2106">
        <v>3525.6</v>
      </c>
      <c r="AC1360" s="2106">
        <v>1654.44</v>
      </c>
      <c r="AD1360" s="1744">
        <v>5330.04</v>
      </c>
      <c r="AE1360" s="2126">
        <v>24</v>
      </c>
      <c r="AF1360" s="2126">
        <v>96</v>
      </c>
      <c r="AG1360" s="1212">
        <v>1</v>
      </c>
      <c r="AH1360" s="1212">
        <v>0</v>
      </c>
      <c r="AI1360" s="1212">
        <v>0</v>
      </c>
      <c r="AJ1360" s="1212">
        <v>1</v>
      </c>
      <c r="AK1360" s="2126">
        <v>5330.04</v>
      </c>
      <c r="AL1360" s="2126">
        <v>0</v>
      </c>
      <c r="AM1360" s="2126">
        <v>0</v>
      </c>
      <c r="AN1360" s="2126">
        <v>5330.04</v>
      </c>
      <c r="AO1360" s="1743" t="s">
        <v>85</v>
      </c>
      <c r="AP1360" s="1743" t="s">
        <v>90</v>
      </c>
      <c r="AQ1360" s="1764">
        <v>2021</v>
      </c>
      <c r="AR1360" s="1743" t="s">
        <v>87</v>
      </c>
      <c r="AS1360" s="2135"/>
      <c r="AT1360" s="2135"/>
      <c r="AU1360" s="1212">
        <v>1</v>
      </c>
      <c r="AV1360" s="1212"/>
      <c r="AW1360" s="1212"/>
      <c r="AX1360" s="1212"/>
      <c r="AY1360" s="1212"/>
      <c r="AZ1360" s="1212"/>
      <c r="BA1360" s="1212"/>
      <c r="BB1360" s="1212"/>
      <c r="BC1360" s="1212"/>
      <c r="BD1360" s="1212"/>
      <c r="BE1360" s="1212"/>
      <c r="BF1360" s="2126">
        <v>0</v>
      </c>
      <c r="BG1360" s="2126">
        <v>0</v>
      </c>
      <c r="BH1360" s="2126">
        <v>5330.04</v>
      </c>
      <c r="BI1360" s="2126">
        <v>0</v>
      </c>
      <c r="BJ1360" s="2126">
        <v>0</v>
      </c>
      <c r="BK1360" s="2126">
        <v>0</v>
      </c>
      <c r="BL1360" s="2126">
        <v>0</v>
      </c>
      <c r="BM1360" s="2126">
        <v>0</v>
      </c>
      <c r="BN1360" s="2126">
        <v>0</v>
      </c>
      <c r="BO1360" s="2126">
        <v>0</v>
      </c>
      <c r="BP1360" s="2126">
        <v>0</v>
      </c>
      <c r="BQ1360" s="2126">
        <v>0</v>
      </c>
      <c r="BR1360" s="2126">
        <v>0</v>
      </c>
    </row>
    <row r="1361" spans="1:70" s="1765" customFormat="1" ht="33">
      <c r="A1361" s="1272">
        <v>5000</v>
      </c>
      <c r="B1361" s="971" t="s">
        <v>2119</v>
      </c>
      <c r="C1361" s="1272">
        <v>5100</v>
      </c>
      <c r="D1361" s="971" t="s">
        <v>78</v>
      </c>
      <c r="E1361" s="971">
        <v>5140</v>
      </c>
      <c r="F1361" s="971" t="s">
        <v>176</v>
      </c>
      <c r="G1361" s="971">
        <v>5140</v>
      </c>
      <c r="H1361" s="971" t="s">
        <v>176</v>
      </c>
      <c r="I1361" s="1273"/>
      <c r="J1361" s="971" t="s">
        <v>2146</v>
      </c>
      <c r="K1361" s="971" t="s">
        <v>2127</v>
      </c>
      <c r="L1361" s="971" t="s">
        <v>2177</v>
      </c>
      <c r="M1361" s="971" t="s">
        <v>2127</v>
      </c>
      <c r="N1361" s="971" t="s">
        <v>176</v>
      </c>
      <c r="O1361" s="971" t="s">
        <v>2177</v>
      </c>
      <c r="P1361" s="971"/>
      <c r="Q1361" s="971" t="s">
        <v>2275</v>
      </c>
      <c r="R1361" s="1266"/>
      <c r="S1361" s="2106">
        <v>-1</v>
      </c>
      <c r="T1361" s="1266" t="s">
        <v>242</v>
      </c>
      <c r="U1361" s="1742">
        <v>10</v>
      </c>
      <c r="V1361" s="1742">
        <v>37.5</v>
      </c>
      <c r="W1361" s="1742">
        <v>881.4</v>
      </c>
      <c r="X1361" s="1742">
        <v>413.61</v>
      </c>
      <c r="Y1361" s="2106">
        <v>1332.51</v>
      </c>
      <c r="Z1361" s="2106">
        <v>-10</v>
      </c>
      <c r="AA1361" s="2106">
        <v>-37.5</v>
      </c>
      <c r="AB1361" s="2106">
        <v>-881.4</v>
      </c>
      <c r="AC1361" s="2106">
        <v>-413.61</v>
      </c>
      <c r="AD1361" s="1744">
        <v>-1332.51</v>
      </c>
      <c r="AE1361" s="2126">
        <v>24</v>
      </c>
      <c r="AF1361" s="2126">
        <v>24</v>
      </c>
      <c r="AG1361" s="1212">
        <v>1</v>
      </c>
      <c r="AH1361" s="1212">
        <v>0</v>
      </c>
      <c r="AI1361" s="1212">
        <v>0</v>
      </c>
      <c r="AJ1361" s="1212">
        <v>1</v>
      </c>
      <c r="AK1361" s="2126">
        <v>-1332.51</v>
      </c>
      <c r="AL1361" s="2126">
        <v>0</v>
      </c>
      <c r="AM1361" s="2126">
        <v>0</v>
      </c>
      <c r="AN1361" s="2126">
        <v>-1332.51</v>
      </c>
      <c r="AO1361" s="1743" t="s">
        <v>85</v>
      </c>
      <c r="AP1361" s="1743" t="s">
        <v>96</v>
      </c>
      <c r="AQ1361" s="1764" t="s">
        <v>97</v>
      </c>
      <c r="AR1361" s="1743" t="s">
        <v>87</v>
      </c>
      <c r="AS1361" s="2135"/>
      <c r="AT1361" s="2135"/>
      <c r="AU1361" s="1212">
        <v>1</v>
      </c>
      <c r="AV1361" s="1212"/>
      <c r="AW1361" s="1212"/>
      <c r="AX1361" s="1212"/>
      <c r="AY1361" s="1212"/>
      <c r="AZ1361" s="1212"/>
      <c r="BA1361" s="1212"/>
      <c r="BB1361" s="1212"/>
      <c r="BC1361" s="1212"/>
      <c r="BD1361" s="1212"/>
      <c r="BE1361" s="1212"/>
      <c r="BF1361" s="2126">
        <v>0</v>
      </c>
      <c r="BG1361" s="2126">
        <v>0</v>
      </c>
      <c r="BH1361" s="2126">
        <v>-1332.51</v>
      </c>
      <c r="BI1361" s="2126">
        <v>0</v>
      </c>
      <c r="BJ1361" s="2126">
        <v>0</v>
      </c>
      <c r="BK1361" s="2126">
        <v>0</v>
      </c>
      <c r="BL1361" s="2126">
        <v>0</v>
      </c>
      <c r="BM1361" s="2126">
        <v>0</v>
      </c>
      <c r="BN1361" s="2126">
        <v>0</v>
      </c>
      <c r="BO1361" s="2126">
        <v>0</v>
      </c>
      <c r="BP1361" s="2126">
        <v>0</v>
      </c>
      <c r="BQ1361" s="2126">
        <v>0</v>
      </c>
      <c r="BR1361" s="2126">
        <v>0</v>
      </c>
    </row>
    <row r="1362" spans="1:70" s="1765" customFormat="1" ht="33">
      <c r="A1362" s="1272">
        <v>5000</v>
      </c>
      <c r="B1362" s="971" t="s">
        <v>2119</v>
      </c>
      <c r="C1362" s="1272">
        <v>5100</v>
      </c>
      <c r="D1362" s="971" t="s">
        <v>78</v>
      </c>
      <c r="E1362" s="971">
        <v>5140</v>
      </c>
      <c r="F1362" s="971" t="s">
        <v>176</v>
      </c>
      <c r="G1362" s="971">
        <v>5140</v>
      </c>
      <c r="H1362" s="971" t="s">
        <v>176</v>
      </c>
      <c r="I1362" s="1273"/>
      <c r="J1362" s="971" t="s">
        <v>2146</v>
      </c>
      <c r="K1362" s="971" t="s">
        <v>2127</v>
      </c>
      <c r="L1362" s="971" t="s">
        <v>2177</v>
      </c>
      <c r="M1362" s="971" t="s">
        <v>2127</v>
      </c>
      <c r="N1362" s="971" t="s">
        <v>176</v>
      </c>
      <c r="O1362" s="971" t="s">
        <v>2177</v>
      </c>
      <c r="P1362" s="971"/>
      <c r="Q1362" s="971" t="s">
        <v>2275</v>
      </c>
      <c r="R1362" s="1266"/>
      <c r="S1362" s="2106">
        <v>1</v>
      </c>
      <c r="T1362" s="1266" t="s">
        <v>242</v>
      </c>
      <c r="U1362" s="1742">
        <v>10</v>
      </c>
      <c r="V1362" s="1742">
        <v>37.5</v>
      </c>
      <c r="W1362" s="1742">
        <v>881.4</v>
      </c>
      <c r="X1362" s="1742">
        <v>413.61</v>
      </c>
      <c r="Y1362" s="2106">
        <v>1332.51</v>
      </c>
      <c r="Z1362" s="2106">
        <v>10</v>
      </c>
      <c r="AA1362" s="2106">
        <v>37.5</v>
      </c>
      <c r="AB1362" s="2106">
        <v>881.4</v>
      </c>
      <c r="AC1362" s="2106">
        <v>413.61</v>
      </c>
      <c r="AD1362" s="1744">
        <v>1332.51</v>
      </c>
      <c r="AE1362" s="2126">
        <v>24</v>
      </c>
      <c r="AF1362" s="2126">
        <v>24</v>
      </c>
      <c r="AG1362" s="1212">
        <v>1</v>
      </c>
      <c r="AH1362" s="1212">
        <v>0</v>
      </c>
      <c r="AI1362" s="1212">
        <v>0</v>
      </c>
      <c r="AJ1362" s="1212">
        <v>1</v>
      </c>
      <c r="AK1362" s="2126">
        <v>1332.51</v>
      </c>
      <c r="AL1362" s="2126">
        <v>0</v>
      </c>
      <c r="AM1362" s="2126">
        <v>0</v>
      </c>
      <c r="AN1362" s="2126">
        <v>1332.51</v>
      </c>
      <c r="AO1362" s="1743" t="s">
        <v>85</v>
      </c>
      <c r="AP1362" s="1743" t="s">
        <v>90</v>
      </c>
      <c r="AQ1362" s="1764">
        <v>2021</v>
      </c>
      <c r="AR1362" s="1743" t="s">
        <v>87</v>
      </c>
      <c r="AS1362" s="2135"/>
      <c r="AT1362" s="2135"/>
      <c r="AU1362" s="1212">
        <v>1</v>
      </c>
      <c r="AV1362" s="1212"/>
      <c r="AW1362" s="1212"/>
      <c r="AX1362" s="1212"/>
      <c r="AY1362" s="1212"/>
      <c r="AZ1362" s="1212"/>
      <c r="BA1362" s="1212"/>
      <c r="BB1362" s="1212"/>
      <c r="BC1362" s="1212"/>
      <c r="BD1362" s="1212"/>
      <c r="BE1362" s="1212"/>
      <c r="BF1362" s="2126">
        <v>0</v>
      </c>
      <c r="BG1362" s="2126">
        <v>0</v>
      </c>
      <c r="BH1362" s="2126">
        <v>1332.51</v>
      </c>
      <c r="BI1362" s="2126">
        <v>0</v>
      </c>
      <c r="BJ1362" s="2126">
        <v>0</v>
      </c>
      <c r="BK1362" s="2126">
        <v>0</v>
      </c>
      <c r="BL1362" s="2126">
        <v>0</v>
      </c>
      <c r="BM1362" s="2126">
        <v>0</v>
      </c>
      <c r="BN1362" s="2126">
        <v>0</v>
      </c>
      <c r="BO1362" s="2126">
        <v>0</v>
      </c>
      <c r="BP1362" s="2126">
        <v>0</v>
      </c>
      <c r="BQ1362" s="2126">
        <v>0</v>
      </c>
      <c r="BR1362" s="2126">
        <v>0</v>
      </c>
    </row>
    <row r="1363" spans="1:70" s="1765" customFormat="1" ht="33">
      <c r="A1363" s="1272">
        <v>5000</v>
      </c>
      <c r="B1363" s="971" t="s">
        <v>2119</v>
      </c>
      <c r="C1363" s="1272">
        <v>5100</v>
      </c>
      <c r="D1363" s="971" t="s">
        <v>78</v>
      </c>
      <c r="E1363" s="971">
        <v>5140</v>
      </c>
      <c r="F1363" s="971" t="s">
        <v>176</v>
      </c>
      <c r="G1363" s="971">
        <v>5140</v>
      </c>
      <c r="H1363" s="971" t="s">
        <v>176</v>
      </c>
      <c r="I1363" s="1273"/>
      <c r="J1363" s="971" t="s">
        <v>2146</v>
      </c>
      <c r="K1363" s="971" t="s">
        <v>2127</v>
      </c>
      <c r="L1363" s="971" t="s">
        <v>2177</v>
      </c>
      <c r="M1363" s="971" t="s">
        <v>2127</v>
      </c>
      <c r="N1363" s="971" t="s">
        <v>176</v>
      </c>
      <c r="O1363" s="971" t="s">
        <v>2177</v>
      </c>
      <c r="P1363" s="971"/>
      <c r="Q1363" s="971" t="s">
        <v>2195</v>
      </c>
      <c r="R1363" s="1266" t="s">
        <v>2196</v>
      </c>
      <c r="S1363" s="2106">
        <v>1</v>
      </c>
      <c r="T1363" s="1266" t="s">
        <v>242</v>
      </c>
      <c r="U1363" s="1742">
        <v>10</v>
      </c>
      <c r="V1363" s="1742">
        <v>37.5</v>
      </c>
      <c r="W1363" s="1742">
        <v>881.4</v>
      </c>
      <c r="X1363" s="1742">
        <v>413.61</v>
      </c>
      <c r="Y1363" s="2106">
        <v>1332.51</v>
      </c>
      <c r="Z1363" s="2106">
        <v>10</v>
      </c>
      <c r="AA1363" s="2106">
        <v>37.5</v>
      </c>
      <c r="AB1363" s="2106">
        <v>881.4</v>
      </c>
      <c r="AC1363" s="2106">
        <v>413.61</v>
      </c>
      <c r="AD1363" s="1744">
        <v>1332.51</v>
      </c>
      <c r="AE1363" s="2126">
        <v>24</v>
      </c>
      <c r="AF1363" s="2126">
        <v>24</v>
      </c>
      <c r="AG1363" s="1212">
        <v>1</v>
      </c>
      <c r="AH1363" s="1212">
        <v>0</v>
      </c>
      <c r="AI1363" s="1212">
        <v>0</v>
      </c>
      <c r="AJ1363" s="1212">
        <v>1</v>
      </c>
      <c r="AK1363" s="2126">
        <v>1332.51</v>
      </c>
      <c r="AL1363" s="2126">
        <v>0</v>
      </c>
      <c r="AM1363" s="2126">
        <v>0</v>
      </c>
      <c r="AN1363" s="2126">
        <v>1332.51</v>
      </c>
      <c r="AO1363" s="1743" t="s">
        <v>85</v>
      </c>
      <c r="AP1363" s="1743" t="s">
        <v>90</v>
      </c>
      <c r="AQ1363" s="1764">
        <v>2021</v>
      </c>
      <c r="AR1363" s="1743" t="s">
        <v>87</v>
      </c>
      <c r="AS1363" s="2135"/>
      <c r="AT1363" s="2135"/>
      <c r="AU1363" s="1212">
        <v>1</v>
      </c>
      <c r="AV1363" s="1212"/>
      <c r="AW1363" s="1212"/>
      <c r="AX1363" s="1212"/>
      <c r="AY1363" s="1212"/>
      <c r="AZ1363" s="1212"/>
      <c r="BA1363" s="1212"/>
      <c r="BB1363" s="1212"/>
      <c r="BC1363" s="1212"/>
      <c r="BD1363" s="1212"/>
      <c r="BE1363" s="1212"/>
      <c r="BF1363" s="2126">
        <v>0</v>
      </c>
      <c r="BG1363" s="2126">
        <v>0</v>
      </c>
      <c r="BH1363" s="2126">
        <v>1332.51</v>
      </c>
      <c r="BI1363" s="2126">
        <v>0</v>
      </c>
      <c r="BJ1363" s="2126">
        <v>0</v>
      </c>
      <c r="BK1363" s="2126">
        <v>0</v>
      </c>
      <c r="BL1363" s="2126">
        <v>0</v>
      </c>
      <c r="BM1363" s="2126">
        <v>0</v>
      </c>
      <c r="BN1363" s="2126">
        <v>0</v>
      </c>
      <c r="BO1363" s="2126">
        <v>0</v>
      </c>
      <c r="BP1363" s="2126">
        <v>0</v>
      </c>
      <c r="BQ1363" s="2126">
        <v>0</v>
      </c>
      <c r="BR1363" s="2126">
        <v>0</v>
      </c>
    </row>
    <row r="1364" spans="1:70" s="1765" customFormat="1" ht="33">
      <c r="A1364" s="1272">
        <v>5000</v>
      </c>
      <c r="B1364" s="971" t="s">
        <v>2119</v>
      </c>
      <c r="C1364" s="1272">
        <v>5100</v>
      </c>
      <c r="D1364" s="971" t="s">
        <v>78</v>
      </c>
      <c r="E1364" s="971">
        <v>5140</v>
      </c>
      <c r="F1364" s="971" t="s">
        <v>176</v>
      </c>
      <c r="G1364" s="971">
        <v>5140</v>
      </c>
      <c r="H1364" s="971" t="s">
        <v>176</v>
      </c>
      <c r="I1364" s="1273"/>
      <c r="J1364" s="971" t="s">
        <v>2146</v>
      </c>
      <c r="K1364" s="971" t="s">
        <v>2129</v>
      </c>
      <c r="L1364" s="971" t="s">
        <v>2130</v>
      </c>
      <c r="M1364" s="971" t="s">
        <v>2129</v>
      </c>
      <c r="N1364" s="971" t="s">
        <v>176</v>
      </c>
      <c r="O1364" s="971" t="s">
        <v>2130</v>
      </c>
      <c r="P1364" s="971"/>
      <c r="Q1364" s="971" t="s">
        <v>2276</v>
      </c>
      <c r="R1364" s="1266"/>
      <c r="S1364" s="2106">
        <v>-3</v>
      </c>
      <c r="T1364" s="1266" t="s">
        <v>242</v>
      </c>
      <c r="U1364" s="1742">
        <v>6.666666666666667</v>
      </c>
      <c r="V1364" s="1742">
        <v>20.833333333333336</v>
      </c>
      <c r="W1364" s="1742">
        <v>587.6</v>
      </c>
      <c r="X1364" s="1742">
        <v>229.78333333333333</v>
      </c>
      <c r="Y1364" s="2106">
        <v>838.2166666666667</v>
      </c>
      <c r="Z1364" s="2106">
        <v>-20</v>
      </c>
      <c r="AA1364" s="2106">
        <v>-62.500000000000007</v>
      </c>
      <c r="AB1364" s="2106">
        <v>-1762.8000000000002</v>
      </c>
      <c r="AC1364" s="2106">
        <v>-689.35</v>
      </c>
      <c r="AD1364" s="1744">
        <v>-2514.65</v>
      </c>
      <c r="AE1364" s="2126">
        <v>4</v>
      </c>
      <c r="AF1364" s="2126">
        <v>-12</v>
      </c>
      <c r="AG1364" s="1212">
        <v>1</v>
      </c>
      <c r="AH1364" s="1212">
        <v>0</v>
      </c>
      <c r="AI1364" s="1212">
        <v>0</v>
      </c>
      <c r="AJ1364" s="1212">
        <v>1</v>
      </c>
      <c r="AK1364" s="2126">
        <v>-2514.65</v>
      </c>
      <c r="AL1364" s="2126">
        <v>0</v>
      </c>
      <c r="AM1364" s="2126">
        <v>0</v>
      </c>
      <c r="AN1364" s="2126">
        <v>-2514.65</v>
      </c>
      <c r="AO1364" s="1743" t="s">
        <v>85</v>
      </c>
      <c r="AP1364" s="1743" t="s">
        <v>96</v>
      </c>
      <c r="AQ1364" s="1764" t="s">
        <v>192</v>
      </c>
      <c r="AR1364" s="1743" t="s">
        <v>87</v>
      </c>
      <c r="AS1364" s="2135"/>
      <c r="AT1364" s="2135"/>
      <c r="AU1364" s="1212">
        <v>1</v>
      </c>
      <c r="AV1364" s="1212"/>
      <c r="AW1364" s="1212"/>
      <c r="AX1364" s="1212"/>
      <c r="AY1364" s="1212"/>
      <c r="AZ1364" s="1212"/>
      <c r="BA1364" s="1212"/>
      <c r="BB1364" s="1212"/>
      <c r="BC1364" s="1212"/>
      <c r="BD1364" s="1212"/>
      <c r="BE1364" s="1212"/>
      <c r="BF1364" s="2126">
        <v>0</v>
      </c>
      <c r="BG1364" s="2126">
        <v>0</v>
      </c>
      <c r="BH1364" s="2126">
        <v>-2514.65</v>
      </c>
      <c r="BI1364" s="2126">
        <v>0</v>
      </c>
      <c r="BJ1364" s="2126">
        <v>0</v>
      </c>
      <c r="BK1364" s="2126">
        <v>0</v>
      </c>
      <c r="BL1364" s="2126">
        <v>0</v>
      </c>
      <c r="BM1364" s="2126">
        <v>0</v>
      </c>
      <c r="BN1364" s="2126">
        <v>0</v>
      </c>
      <c r="BO1364" s="2126">
        <v>0</v>
      </c>
      <c r="BP1364" s="2126">
        <v>0</v>
      </c>
      <c r="BQ1364" s="2126">
        <v>0</v>
      </c>
      <c r="BR1364" s="2126">
        <v>0</v>
      </c>
    </row>
    <row r="1365" spans="1:70" s="1765" customFormat="1" ht="33">
      <c r="A1365" s="1272">
        <v>5000</v>
      </c>
      <c r="B1365" s="971" t="s">
        <v>2119</v>
      </c>
      <c r="C1365" s="1272">
        <v>5100</v>
      </c>
      <c r="D1365" s="971" t="s">
        <v>78</v>
      </c>
      <c r="E1365" s="971">
        <v>5140</v>
      </c>
      <c r="F1365" s="971" t="s">
        <v>176</v>
      </c>
      <c r="G1365" s="971">
        <v>5140</v>
      </c>
      <c r="H1365" s="971" t="s">
        <v>176</v>
      </c>
      <c r="I1365" s="1273"/>
      <c r="J1365" s="971" t="s">
        <v>2146</v>
      </c>
      <c r="K1365" s="971" t="s">
        <v>2129</v>
      </c>
      <c r="L1365" s="971" t="s">
        <v>2130</v>
      </c>
      <c r="M1365" s="971" t="s">
        <v>2129</v>
      </c>
      <c r="N1365" s="971" t="s">
        <v>176</v>
      </c>
      <c r="O1365" s="971" t="s">
        <v>2130</v>
      </c>
      <c r="P1365" s="971"/>
      <c r="Q1365" s="971" t="s">
        <v>2277</v>
      </c>
      <c r="R1365" s="1266"/>
      <c r="S1365" s="2106">
        <v>-1</v>
      </c>
      <c r="T1365" s="1266" t="s">
        <v>242</v>
      </c>
      <c r="U1365" s="1742">
        <v>6.666666666666667</v>
      </c>
      <c r="V1365" s="1742">
        <v>20.833333333333336</v>
      </c>
      <c r="W1365" s="1742">
        <v>587.6</v>
      </c>
      <c r="X1365" s="1742">
        <v>229.78333333333333</v>
      </c>
      <c r="Y1365" s="2106">
        <v>838.2166666666667</v>
      </c>
      <c r="Z1365" s="2106">
        <v>-6.666666666666667</v>
      </c>
      <c r="AA1365" s="2106">
        <v>-20.833333333333336</v>
      </c>
      <c r="AB1365" s="2106">
        <v>-587.6</v>
      </c>
      <c r="AC1365" s="2106">
        <v>-229.78333333333333</v>
      </c>
      <c r="AD1365" s="1744">
        <v>-838.2166666666667</v>
      </c>
      <c r="AE1365" s="2126">
        <v>4</v>
      </c>
      <c r="AF1365" s="2126">
        <v>-4</v>
      </c>
      <c r="AG1365" s="1212">
        <v>1</v>
      </c>
      <c r="AH1365" s="1212">
        <v>0</v>
      </c>
      <c r="AI1365" s="1212">
        <v>0</v>
      </c>
      <c r="AJ1365" s="1212">
        <v>1</v>
      </c>
      <c r="AK1365" s="2126">
        <v>-838.2166666666667</v>
      </c>
      <c r="AL1365" s="2126">
        <v>0</v>
      </c>
      <c r="AM1365" s="2126">
        <v>0</v>
      </c>
      <c r="AN1365" s="2126">
        <v>-838.2166666666667</v>
      </c>
      <c r="AO1365" s="1743" t="s">
        <v>85</v>
      </c>
      <c r="AP1365" s="1743" t="s">
        <v>96</v>
      </c>
      <c r="AQ1365" s="1764" t="s">
        <v>192</v>
      </c>
      <c r="AR1365" s="1743" t="s">
        <v>87</v>
      </c>
      <c r="AS1365" s="2135"/>
      <c r="AT1365" s="2135"/>
      <c r="AU1365" s="1212">
        <v>1</v>
      </c>
      <c r="AV1365" s="1212"/>
      <c r="AW1365" s="1212"/>
      <c r="AX1365" s="1212"/>
      <c r="AY1365" s="1212"/>
      <c r="AZ1365" s="1212"/>
      <c r="BA1365" s="1212"/>
      <c r="BB1365" s="1212"/>
      <c r="BC1365" s="1212"/>
      <c r="BD1365" s="1212"/>
      <c r="BE1365" s="1212"/>
      <c r="BF1365" s="2126">
        <v>0</v>
      </c>
      <c r="BG1365" s="2126">
        <v>0</v>
      </c>
      <c r="BH1365" s="2126">
        <v>-838.2166666666667</v>
      </c>
      <c r="BI1365" s="2126">
        <v>0</v>
      </c>
      <c r="BJ1365" s="2126">
        <v>0</v>
      </c>
      <c r="BK1365" s="2126">
        <v>0</v>
      </c>
      <c r="BL1365" s="2126">
        <v>0</v>
      </c>
      <c r="BM1365" s="2126">
        <v>0</v>
      </c>
      <c r="BN1365" s="2126">
        <v>0</v>
      </c>
      <c r="BO1365" s="2126">
        <v>0</v>
      </c>
      <c r="BP1365" s="2126">
        <v>0</v>
      </c>
      <c r="BQ1365" s="2126">
        <v>0</v>
      </c>
      <c r="BR1365" s="2126">
        <v>0</v>
      </c>
    </row>
    <row r="1366" spans="1:70" s="1765" customFormat="1" ht="33">
      <c r="A1366" s="1272">
        <v>5000</v>
      </c>
      <c r="B1366" s="971" t="s">
        <v>2119</v>
      </c>
      <c r="C1366" s="1272">
        <v>5100</v>
      </c>
      <c r="D1366" s="971" t="s">
        <v>78</v>
      </c>
      <c r="E1366" s="971">
        <v>5140</v>
      </c>
      <c r="F1366" s="971" t="s">
        <v>176</v>
      </c>
      <c r="G1366" s="971">
        <v>5140</v>
      </c>
      <c r="H1366" s="971" t="s">
        <v>176</v>
      </c>
      <c r="I1366" s="1273"/>
      <c r="J1366" s="971" t="s">
        <v>2146</v>
      </c>
      <c r="K1366" s="971" t="s">
        <v>2129</v>
      </c>
      <c r="L1366" s="971" t="s">
        <v>2130</v>
      </c>
      <c r="M1366" s="971" t="s">
        <v>2129</v>
      </c>
      <c r="N1366" s="971" t="s">
        <v>176</v>
      </c>
      <c r="O1366" s="971" t="s">
        <v>2130</v>
      </c>
      <c r="P1366" s="971"/>
      <c r="Q1366" s="971" t="s">
        <v>2278</v>
      </c>
      <c r="R1366" s="1266" t="s">
        <v>2279</v>
      </c>
      <c r="S1366" s="2106">
        <v>2</v>
      </c>
      <c r="T1366" s="1266" t="s">
        <v>242</v>
      </c>
      <c r="U1366" s="1742">
        <v>6.666666666666667</v>
      </c>
      <c r="V1366" s="1742">
        <v>20.833333333333336</v>
      </c>
      <c r="W1366" s="1742">
        <v>587.6</v>
      </c>
      <c r="X1366" s="1742">
        <v>229.78333333333333</v>
      </c>
      <c r="Y1366" s="2106">
        <v>838.2166666666667</v>
      </c>
      <c r="Z1366" s="2106">
        <v>13.333333333333334</v>
      </c>
      <c r="AA1366" s="2106">
        <v>41.666666666666671</v>
      </c>
      <c r="AB1366" s="2106">
        <v>1175.2</v>
      </c>
      <c r="AC1366" s="2106">
        <v>459.56666666666666</v>
      </c>
      <c r="AD1366" s="1744">
        <v>1676.4333333333334</v>
      </c>
      <c r="AE1366" s="2126">
        <v>4</v>
      </c>
      <c r="AF1366" s="2126">
        <v>8</v>
      </c>
      <c r="AG1366" s="1212">
        <v>1</v>
      </c>
      <c r="AH1366" s="1212">
        <v>0</v>
      </c>
      <c r="AI1366" s="1212">
        <v>0</v>
      </c>
      <c r="AJ1366" s="1212">
        <v>1</v>
      </c>
      <c r="AK1366" s="2126">
        <v>1676.4333333333334</v>
      </c>
      <c r="AL1366" s="2126">
        <v>0</v>
      </c>
      <c r="AM1366" s="2126">
        <v>0</v>
      </c>
      <c r="AN1366" s="2126">
        <v>1676.4333333333334</v>
      </c>
      <c r="AO1366" s="1743" t="s">
        <v>85</v>
      </c>
      <c r="AP1366" s="1743" t="s">
        <v>90</v>
      </c>
      <c r="AQ1366" s="1764">
        <v>2021</v>
      </c>
      <c r="AR1366" s="1743" t="s">
        <v>87</v>
      </c>
      <c r="AS1366" s="2135"/>
      <c r="AT1366" s="2135"/>
      <c r="AU1366" s="1212">
        <v>1</v>
      </c>
      <c r="AV1366" s="1212"/>
      <c r="AW1366" s="1212"/>
      <c r="AX1366" s="1212"/>
      <c r="AY1366" s="1212"/>
      <c r="AZ1366" s="1212"/>
      <c r="BA1366" s="1212"/>
      <c r="BB1366" s="1212"/>
      <c r="BC1366" s="1212"/>
      <c r="BD1366" s="1212"/>
      <c r="BE1366" s="1212"/>
      <c r="BF1366" s="2126">
        <v>0</v>
      </c>
      <c r="BG1366" s="2126">
        <v>0</v>
      </c>
      <c r="BH1366" s="2126">
        <v>1676.4333333333334</v>
      </c>
      <c r="BI1366" s="2126">
        <v>0</v>
      </c>
      <c r="BJ1366" s="2126">
        <v>0</v>
      </c>
      <c r="BK1366" s="2126">
        <v>0</v>
      </c>
      <c r="BL1366" s="2126">
        <v>0</v>
      </c>
      <c r="BM1366" s="2126">
        <v>0</v>
      </c>
      <c r="BN1366" s="2126">
        <v>0</v>
      </c>
      <c r="BO1366" s="2126">
        <v>0</v>
      </c>
      <c r="BP1366" s="2126">
        <v>0</v>
      </c>
      <c r="BQ1366" s="2126">
        <v>0</v>
      </c>
      <c r="BR1366" s="2126">
        <v>0</v>
      </c>
    </row>
    <row r="1367" spans="1:70" s="1765" customFormat="1" ht="33">
      <c r="A1367" s="1272">
        <v>5000</v>
      </c>
      <c r="B1367" s="971" t="s">
        <v>2119</v>
      </c>
      <c r="C1367" s="1272">
        <v>5100</v>
      </c>
      <c r="D1367" s="971" t="s">
        <v>78</v>
      </c>
      <c r="E1367" s="971">
        <v>5140</v>
      </c>
      <c r="F1367" s="971" t="s">
        <v>176</v>
      </c>
      <c r="G1367" s="971">
        <v>5140</v>
      </c>
      <c r="H1367" s="971" t="s">
        <v>176</v>
      </c>
      <c r="I1367" s="1273"/>
      <c r="J1367" s="971" t="s">
        <v>2146</v>
      </c>
      <c r="K1367" s="971" t="s">
        <v>2129</v>
      </c>
      <c r="L1367" s="971" t="s">
        <v>2130</v>
      </c>
      <c r="M1367" s="971" t="s">
        <v>2129</v>
      </c>
      <c r="N1367" s="971" t="s">
        <v>176</v>
      </c>
      <c r="O1367" s="971" t="s">
        <v>2130</v>
      </c>
      <c r="P1367" s="971"/>
      <c r="Q1367" s="971" t="s">
        <v>2204</v>
      </c>
      <c r="R1367" s="1266" t="s">
        <v>1340</v>
      </c>
      <c r="S1367" s="2106">
        <v>1</v>
      </c>
      <c r="T1367" s="1266" t="s">
        <v>242</v>
      </c>
      <c r="U1367" s="1742">
        <v>6.666666666666667</v>
      </c>
      <c r="V1367" s="1742">
        <v>20.833333333333336</v>
      </c>
      <c r="W1367" s="1742">
        <v>587.6</v>
      </c>
      <c r="X1367" s="1742">
        <v>229.78333333333333</v>
      </c>
      <c r="Y1367" s="2106">
        <v>838.2166666666667</v>
      </c>
      <c r="Z1367" s="2106">
        <v>6.666666666666667</v>
      </c>
      <c r="AA1367" s="2106">
        <v>20.833333333333336</v>
      </c>
      <c r="AB1367" s="2106">
        <v>587.6</v>
      </c>
      <c r="AC1367" s="2106">
        <v>229.78333333333333</v>
      </c>
      <c r="AD1367" s="1744">
        <v>838.2166666666667</v>
      </c>
      <c r="AE1367" s="2126">
        <v>4</v>
      </c>
      <c r="AF1367" s="2126">
        <v>4</v>
      </c>
      <c r="AG1367" s="1212">
        <v>1</v>
      </c>
      <c r="AH1367" s="1212">
        <v>0</v>
      </c>
      <c r="AI1367" s="1212">
        <v>0</v>
      </c>
      <c r="AJ1367" s="1212">
        <v>1</v>
      </c>
      <c r="AK1367" s="2126">
        <v>838.2166666666667</v>
      </c>
      <c r="AL1367" s="2126">
        <v>0</v>
      </c>
      <c r="AM1367" s="2126">
        <v>0</v>
      </c>
      <c r="AN1367" s="2126">
        <v>838.2166666666667</v>
      </c>
      <c r="AO1367" s="1743" t="s">
        <v>85</v>
      </c>
      <c r="AP1367" s="1743" t="s">
        <v>90</v>
      </c>
      <c r="AQ1367" s="1764">
        <v>2021</v>
      </c>
      <c r="AR1367" s="1743" t="s">
        <v>87</v>
      </c>
      <c r="AS1367" s="2135"/>
      <c r="AT1367" s="2135"/>
      <c r="AU1367" s="1212">
        <v>1</v>
      </c>
      <c r="AV1367" s="1212"/>
      <c r="AW1367" s="1212"/>
      <c r="AX1367" s="1212"/>
      <c r="AY1367" s="1212"/>
      <c r="AZ1367" s="1212"/>
      <c r="BA1367" s="1212"/>
      <c r="BB1367" s="1212"/>
      <c r="BC1367" s="1212"/>
      <c r="BD1367" s="1212"/>
      <c r="BE1367" s="1212"/>
      <c r="BF1367" s="2126">
        <v>0</v>
      </c>
      <c r="BG1367" s="2126">
        <v>0</v>
      </c>
      <c r="BH1367" s="2126">
        <v>838.2166666666667</v>
      </c>
      <c r="BI1367" s="2126">
        <v>0</v>
      </c>
      <c r="BJ1367" s="2126">
        <v>0</v>
      </c>
      <c r="BK1367" s="2126">
        <v>0</v>
      </c>
      <c r="BL1367" s="2126">
        <v>0</v>
      </c>
      <c r="BM1367" s="2126">
        <v>0</v>
      </c>
      <c r="BN1367" s="2126">
        <v>0</v>
      </c>
      <c r="BO1367" s="2126">
        <v>0</v>
      </c>
      <c r="BP1367" s="2126">
        <v>0</v>
      </c>
      <c r="BQ1367" s="2126">
        <v>0</v>
      </c>
      <c r="BR1367" s="2126">
        <v>0</v>
      </c>
    </row>
    <row r="1368" spans="1:70" s="1765" customFormat="1" ht="33">
      <c r="A1368" s="1272">
        <v>5000</v>
      </c>
      <c r="B1368" s="971" t="s">
        <v>2119</v>
      </c>
      <c r="C1368" s="1272">
        <v>5100</v>
      </c>
      <c r="D1368" s="971" t="s">
        <v>78</v>
      </c>
      <c r="E1368" s="971">
        <v>5140</v>
      </c>
      <c r="F1368" s="971" t="s">
        <v>176</v>
      </c>
      <c r="G1368" s="971">
        <v>5140</v>
      </c>
      <c r="H1368" s="971" t="s">
        <v>176</v>
      </c>
      <c r="I1368" s="1273"/>
      <c r="J1368" s="971" t="s">
        <v>2146</v>
      </c>
      <c r="K1368" s="971" t="s">
        <v>2129</v>
      </c>
      <c r="L1368" s="971" t="s">
        <v>2130</v>
      </c>
      <c r="M1368" s="971" t="s">
        <v>2129</v>
      </c>
      <c r="N1368" s="971" t="s">
        <v>176</v>
      </c>
      <c r="O1368" s="971" t="s">
        <v>2130</v>
      </c>
      <c r="P1368" s="971"/>
      <c r="Q1368" s="971" t="s">
        <v>2204</v>
      </c>
      <c r="R1368" s="1266" t="s">
        <v>1340</v>
      </c>
      <c r="S1368" s="2106">
        <v>-1</v>
      </c>
      <c r="T1368" s="1266" t="s">
        <v>242</v>
      </c>
      <c r="U1368" s="1742">
        <v>6.666666666666667</v>
      </c>
      <c r="V1368" s="1742">
        <v>20.833333333333336</v>
      </c>
      <c r="W1368" s="1742">
        <v>587.6</v>
      </c>
      <c r="X1368" s="1742">
        <v>229.78333333333333</v>
      </c>
      <c r="Y1368" s="2106">
        <v>838.2166666666667</v>
      </c>
      <c r="Z1368" s="2106">
        <v>-6.666666666666667</v>
      </c>
      <c r="AA1368" s="2106">
        <v>-20.833333333333336</v>
      </c>
      <c r="AB1368" s="2106">
        <v>-587.6</v>
      </c>
      <c r="AC1368" s="2106">
        <v>-229.78333333333333</v>
      </c>
      <c r="AD1368" s="1744">
        <v>-838.2166666666667</v>
      </c>
      <c r="AE1368" s="2126">
        <v>4</v>
      </c>
      <c r="AF1368" s="2126">
        <v>-4</v>
      </c>
      <c r="AG1368" s="1212">
        <v>1</v>
      </c>
      <c r="AH1368" s="1212">
        <v>0</v>
      </c>
      <c r="AI1368" s="1212">
        <v>0</v>
      </c>
      <c r="AJ1368" s="1212">
        <v>1</v>
      </c>
      <c r="AK1368" s="2126">
        <v>-838.2166666666667</v>
      </c>
      <c r="AL1368" s="2126">
        <v>0</v>
      </c>
      <c r="AM1368" s="2126">
        <v>0</v>
      </c>
      <c r="AN1368" s="2126">
        <v>-838.2166666666667</v>
      </c>
      <c r="AO1368" s="1743" t="s">
        <v>85</v>
      </c>
      <c r="AP1368" s="1743" t="s">
        <v>96</v>
      </c>
      <c r="AQ1368" s="1764" t="s">
        <v>115</v>
      </c>
      <c r="AR1368" s="1743" t="s">
        <v>87</v>
      </c>
      <c r="AS1368" s="2135"/>
      <c r="AT1368" s="2135"/>
      <c r="AU1368" s="1212">
        <v>1</v>
      </c>
      <c r="AV1368" s="1212"/>
      <c r="AW1368" s="1212"/>
      <c r="AX1368" s="1212"/>
      <c r="AY1368" s="1212"/>
      <c r="AZ1368" s="1212"/>
      <c r="BA1368" s="1212"/>
      <c r="BB1368" s="1212"/>
      <c r="BC1368" s="1212"/>
      <c r="BD1368" s="1212"/>
      <c r="BE1368" s="1212"/>
      <c r="BF1368" s="2126">
        <v>0</v>
      </c>
      <c r="BG1368" s="2126">
        <v>0</v>
      </c>
      <c r="BH1368" s="2126">
        <v>-838.2166666666667</v>
      </c>
      <c r="BI1368" s="2126">
        <v>0</v>
      </c>
      <c r="BJ1368" s="2126">
        <v>0</v>
      </c>
      <c r="BK1368" s="2126">
        <v>0</v>
      </c>
      <c r="BL1368" s="2126">
        <v>0</v>
      </c>
      <c r="BM1368" s="2126">
        <v>0</v>
      </c>
      <c r="BN1368" s="2126">
        <v>0</v>
      </c>
      <c r="BO1368" s="2126">
        <v>0</v>
      </c>
      <c r="BP1368" s="2126">
        <v>0</v>
      </c>
      <c r="BQ1368" s="2126">
        <v>0</v>
      </c>
      <c r="BR1368" s="2126">
        <v>0</v>
      </c>
    </row>
    <row r="1369" spans="1:70" s="1765" customFormat="1" ht="33">
      <c r="A1369" s="1272">
        <v>5000</v>
      </c>
      <c r="B1369" s="971" t="s">
        <v>2119</v>
      </c>
      <c r="C1369" s="1272">
        <v>5100</v>
      </c>
      <c r="D1369" s="971" t="s">
        <v>78</v>
      </c>
      <c r="E1369" s="971">
        <v>5140</v>
      </c>
      <c r="F1369" s="971" t="s">
        <v>176</v>
      </c>
      <c r="G1369" s="971">
        <v>5140</v>
      </c>
      <c r="H1369" s="971" t="s">
        <v>176</v>
      </c>
      <c r="I1369" s="1273"/>
      <c r="J1369" s="971" t="s">
        <v>2146</v>
      </c>
      <c r="K1369" s="971" t="s">
        <v>2129</v>
      </c>
      <c r="L1369" s="971" t="s">
        <v>2130</v>
      </c>
      <c r="M1369" s="971" t="s">
        <v>2129</v>
      </c>
      <c r="N1369" s="971" t="s">
        <v>176</v>
      </c>
      <c r="O1369" s="971" t="s">
        <v>2130</v>
      </c>
      <c r="P1369" s="971"/>
      <c r="Q1369" s="971" t="s">
        <v>2280</v>
      </c>
      <c r="R1369" s="1266" t="s">
        <v>2281</v>
      </c>
      <c r="S1369" s="2106">
        <v>8</v>
      </c>
      <c r="T1369" s="1266" t="s">
        <v>242</v>
      </c>
      <c r="U1369" s="1742">
        <v>6.666666666666667</v>
      </c>
      <c r="V1369" s="1742">
        <v>20.833333333333336</v>
      </c>
      <c r="W1369" s="1742">
        <v>587.6</v>
      </c>
      <c r="X1369" s="1742">
        <v>229.78333333333333</v>
      </c>
      <c r="Y1369" s="2106">
        <v>838.2166666666667</v>
      </c>
      <c r="Z1369" s="2106">
        <v>53.333333333333336</v>
      </c>
      <c r="AA1369" s="2106">
        <v>166.66666666666669</v>
      </c>
      <c r="AB1369" s="2106">
        <v>4700.8</v>
      </c>
      <c r="AC1369" s="2106">
        <v>1838.2666666666667</v>
      </c>
      <c r="AD1369" s="1744">
        <v>6705.7333333333336</v>
      </c>
      <c r="AE1369" s="2126">
        <v>4</v>
      </c>
      <c r="AF1369" s="2126">
        <v>32</v>
      </c>
      <c r="AG1369" s="1212">
        <v>1</v>
      </c>
      <c r="AH1369" s="1212">
        <v>0</v>
      </c>
      <c r="AI1369" s="1212">
        <v>0</v>
      </c>
      <c r="AJ1369" s="1212">
        <v>1</v>
      </c>
      <c r="AK1369" s="2126">
        <v>6705.7333333333336</v>
      </c>
      <c r="AL1369" s="2126">
        <v>0</v>
      </c>
      <c r="AM1369" s="2126">
        <v>0</v>
      </c>
      <c r="AN1369" s="2126">
        <v>6705.7333333333336</v>
      </c>
      <c r="AO1369" s="1743" t="s">
        <v>85</v>
      </c>
      <c r="AP1369" s="1743" t="s">
        <v>90</v>
      </c>
      <c r="AQ1369" s="1764">
        <v>2021</v>
      </c>
      <c r="AR1369" s="1743" t="s">
        <v>87</v>
      </c>
      <c r="AS1369" s="2135"/>
      <c r="AT1369" s="2135"/>
      <c r="AU1369" s="1212">
        <v>1</v>
      </c>
      <c r="AV1369" s="1212"/>
      <c r="AW1369" s="1212"/>
      <c r="AX1369" s="1212"/>
      <c r="AY1369" s="1212"/>
      <c r="AZ1369" s="1212"/>
      <c r="BA1369" s="1212"/>
      <c r="BB1369" s="1212"/>
      <c r="BC1369" s="1212"/>
      <c r="BD1369" s="1212"/>
      <c r="BE1369" s="1212"/>
      <c r="BF1369" s="2126">
        <v>0</v>
      </c>
      <c r="BG1369" s="2126">
        <v>0</v>
      </c>
      <c r="BH1369" s="2126">
        <v>6705.7333333333336</v>
      </c>
      <c r="BI1369" s="2126">
        <v>0</v>
      </c>
      <c r="BJ1369" s="2126">
        <v>0</v>
      </c>
      <c r="BK1369" s="2126">
        <v>0</v>
      </c>
      <c r="BL1369" s="2126">
        <v>0</v>
      </c>
      <c r="BM1369" s="2126">
        <v>0</v>
      </c>
      <c r="BN1369" s="2126">
        <v>0</v>
      </c>
      <c r="BO1369" s="2126">
        <v>0</v>
      </c>
      <c r="BP1369" s="2126">
        <v>0</v>
      </c>
      <c r="BQ1369" s="2126">
        <v>0</v>
      </c>
      <c r="BR1369" s="2126">
        <v>0</v>
      </c>
    </row>
    <row r="1370" spans="1:70" s="1765" customFormat="1" ht="33">
      <c r="A1370" s="1272">
        <v>5000</v>
      </c>
      <c r="B1370" s="971" t="s">
        <v>2119</v>
      </c>
      <c r="C1370" s="1272">
        <v>5100</v>
      </c>
      <c r="D1370" s="971" t="s">
        <v>78</v>
      </c>
      <c r="E1370" s="971">
        <v>5140</v>
      </c>
      <c r="F1370" s="971" t="s">
        <v>176</v>
      </c>
      <c r="G1370" s="971">
        <v>5140</v>
      </c>
      <c r="H1370" s="971" t="s">
        <v>176</v>
      </c>
      <c r="I1370" s="1273"/>
      <c r="J1370" s="971" t="s">
        <v>2146</v>
      </c>
      <c r="K1370" s="971" t="s">
        <v>2129</v>
      </c>
      <c r="L1370" s="971" t="s">
        <v>2130</v>
      </c>
      <c r="M1370" s="971" t="s">
        <v>2129</v>
      </c>
      <c r="N1370" s="971" t="s">
        <v>176</v>
      </c>
      <c r="O1370" s="971" t="s">
        <v>2130</v>
      </c>
      <c r="P1370" s="971"/>
      <c r="Q1370" s="971" t="s">
        <v>2282</v>
      </c>
      <c r="R1370" s="1266" t="s">
        <v>2283</v>
      </c>
      <c r="S1370" s="2106">
        <v>-2</v>
      </c>
      <c r="T1370" s="1266" t="s">
        <v>242</v>
      </c>
      <c r="U1370" s="1742">
        <v>6.666666666666667</v>
      </c>
      <c r="V1370" s="1742">
        <v>20.833333333333336</v>
      </c>
      <c r="W1370" s="1742">
        <v>587.6</v>
      </c>
      <c r="X1370" s="1742">
        <v>229.78333333333333</v>
      </c>
      <c r="Y1370" s="2106">
        <v>838.2166666666667</v>
      </c>
      <c r="Z1370" s="2106">
        <v>-13.333333333333334</v>
      </c>
      <c r="AA1370" s="2106">
        <v>-41.666666666666671</v>
      </c>
      <c r="AB1370" s="2106">
        <v>-1175.2</v>
      </c>
      <c r="AC1370" s="2106">
        <v>-459.56666666666666</v>
      </c>
      <c r="AD1370" s="1744">
        <v>-1676.4333333333334</v>
      </c>
      <c r="AE1370" s="2126">
        <v>4</v>
      </c>
      <c r="AF1370" s="2126">
        <v>8</v>
      </c>
      <c r="AG1370" s="1212">
        <v>1</v>
      </c>
      <c r="AH1370" s="1212">
        <v>0</v>
      </c>
      <c r="AI1370" s="1212">
        <v>0</v>
      </c>
      <c r="AJ1370" s="1212">
        <v>1</v>
      </c>
      <c r="AK1370" s="2126">
        <v>-1676.4333333333334</v>
      </c>
      <c r="AL1370" s="2126">
        <v>0</v>
      </c>
      <c r="AM1370" s="2126">
        <v>0</v>
      </c>
      <c r="AN1370" s="2126">
        <v>-1676.4333333333334</v>
      </c>
      <c r="AO1370" s="1743" t="s">
        <v>85</v>
      </c>
      <c r="AP1370" s="1743" t="s">
        <v>96</v>
      </c>
      <c r="AQ1370" s="1764" t="s">
        <v>97</v>
      </c>
      <c r="AR1370" s="1743" t="s">
        <v>87</v>
      </c>
      <c r="AS1370" s="2135"/>
      <c r="AT1370" s="2135"/>
      <c r="AU1370" s="1212">
        <v>1</v>
      </c>
      <c r="AV1370" s="1212"/>
      <c r="AW1370" s="1212"/>
      <c r="AX1370" s="1212"/>
      <c r="AY1370" s="1212"/>
      <c r="AZ1370" s="1212"/>
      <c r="BA1370" s="1212"/>
      <c r="BB1370" s="1212"/>
      <c r="BC1370" s="1212"/>
      <c r="BD1370" s="1212"/>
      <c r="BE1370" s="1212"/>
      <c r="BF1370" s="2126">
        <v>0</v>
      </c>
      <c r="BG1370" s="2126">
        <v>0</v>
      </c>
      <c r="BH1370" s="2126">
        <v>-1676.4333333333334</v>
      </c>
      <c r="BI1370" s="2126">
        <v>0</v>
      </c>
      <c r="BJ1370" s="2126">
        <v>0</v>
      </c>
      <c r="BK1370" s="2126">
        <v>0</v>
      </c>
      <c r="BL1370" s="2126">
        <v>0</v>
      </c>
      <c r="BM1370" s="2126">
        <v>0</v>
      </c>
      <c r="BN1370" s="2126">
        <v>0</v>
      </c>
      <c r="BO1370" s="2126">
        <v>0</v>
      </c>
      <c r="BP1370" s="2126">
        <v>0</v>
      </c>
      <c r="BQ1370" s="2126">
        <v>0</v>
      </c>
      <c r="BR1370" s="2126">
        <v>0</v>
      </c>
    </row>
    <row r="1371" spans="1:70" s="1765" customFormat="1" ht="33">
      <c r="A1371" s="1272">
        <v>5000</v>
      </c>
      <c r="B1371" s="971" t="s">
        <v>2119</v>
      </c>
      <c r="C1371" s="1272">
        <v>5100</v>
      </c>
      <c r="D1371" s="971" t="s">
        <v>78</v>
      </c>
      <c r="E1371" s="971">
        <v>5140</v>
      </c>
      <c r="F1371" s="971" t="s">
        <v>176</v>
      </c>
      <c r="G1371" s="971">
        <v>5140</v>
      </c>
      <c r="H1371" s="971" t="s">
        <v>176</v>
      </c>
      <c r="I1371" s="1273"/>
      <c r="J1371" s="971" t="s">
        <v>2146</v>
      </c>
      <c r="K1371" s="971" t="s">
        <v>2129</v>
      </c>
      <c r="L1371" s="971" t="s">
        <v>2130</v>
      </c>
      <c r="M1371" s="971" t="s">
        <v>2129</v>
      </c>
      <c r="N1371" s="971" t="s">
        <v>176</v>
      </c>
      <c r="O1371" s="971" t="s">
        <v>2130</v>
      </c>
      <c r="P1371" s="971"/>
      <c r="Q1371" s="971" t="s">
        <v>2282</v>
      </c>
      <c r="R1371" s="1266" t="s">
        <v>2283</v>
      </c>
      <c r="S1371" s="2106">
        <v>2</v>
      </c>
      <c r="T1371" s="1266" t="s">
        <v>242</v>
      </c>
      <c r="U1371" s="1742">
        <v>6.666666666666667</v>
      </c>
      <c r="V1371" s="1742">
        <v>20.833333333333336</v>
      </c>
      <c r="W1371" s="1742">
        <v>587.6</v>
      </c>
      <c r="X1371" s="1742">
        <v>229.78333333333333</v>
      </c>
      <c r="Y1371" s="2106">
        <v>838.2166666666667</v>
      </c>
      <c r="Z1371" s="2106">
        <v>13.333333333333334</v>
      </c>
      <c r="AA1371" s="2106">
        <v>41.666666666666671</v>
      </c>
      <c r="AB1371" s="2106">
        <v>1175.2</v>
      </c>
      <c r="AC1371" s="2106">
        <v>459.56666666666666</v>
      </c>
      <c r="AD1371" s="1744">
        <v>1676.4333333333334</v>
      </c>
      <c r="AE1371" s="2126">
        <v>4</v>
      </c>
      <c r="AF1371" s="2126">
        <v>8</v>
      </c>
      <c r="AG1371" s="1212">
        <v>1</v>
      </c>
      <c r="AH1371" s="1212">
        <v>0</v>
      </c>
      <c r="AI1371" s="1212">
        <v>0</v>
      </c>
      <c r="AJ1371" s="1212">
        <v>1</v>
      </c>
      <c r="AK1371" s="2126">
        <v>1676.4333333333334</v>
      </c>
      <c r="AL1371" s="2126">
        <v>0</v>
      </c>
      <c r="AM1371" s="2126">
        <v>0</v>
      </c>
      <c r="AN1371" s="2126">
        <v>1676.4333333333334</v>
      </c>
      <c r="AO1371" s="1743" t="s">
        <v>85</v>
      </c>
      <c r="AP1371" s="1743" t="s">
        <v>90</v>
      </c>
      <c r="AQ1371" s="1764">
        <v>2021</v>
      </c>
      <c r="AR1371" s="1743" t="s">
        <v>87</v>
      </c>
      <c r="AS1371" s="2135"/>
      <c r="AT1371" s="2135"/>
      <c r="AU1371" s="1212">
        <v>1</v>
      </c>
      <c r="AV1371" s="1212"/>
      <c r="AW1371" s="1212"/>
      <c r="AX1371" s="1212"/>
      <c r="AY1371" s="1212"/>
      <c r="AZ1371" s="1212"/>
      <c r="BA1371" s="1212"/>
      <c r="BB1371" s="1212"/>
      <c r="BC1371" s="1212"/>
      <c r="BD1371" s="1212"/>
      <c r="BE1371" s="1212"/>
      <c r="BF1371" s="2126">
        <v>0</v>
      </c>
      <c r="BG1371" s="2126">
        <v>0</v>
      </c>
      <c r="BH1371" s="2126">
        <v>1676.4333333333334</v>
      </c>
      <c r="BI1371" s="2126">
        <v>0</v>
      </c>
      <c r="BJ1371" s="2126">
        <v>0</v>
      </c>
      <c r="BK1371" s="2126">
        <v>0</v>
      </c>
      <c r="BL1371" s="2126">
        <v>0</v>
      </c>
      <c r="BM1371" s="2126">
        <v>0</v>
      </c>
      <c r="BN1371" s="2126">
        <v>0</v>
      </c>
      <c r="BO1371" s="2126">
        <v>0</v>
      </c>
      <c r="BP1371" s="2126">
        <v>0</v>
      </c>
      <c r="BQ1371" s="2126">
        <v>0</v>
      </c>
      <c r="BR1371" s="2126">
        <v>0</v>
      </c>
    </row>
    <row r="1372" spans="1:70" s="1765" customFormat="1" ht="33">
      <c r="A1372" s="1272">
        <v>5000</v>
      </c>
      <c r="B1372" s="971" t="s">
        <v>2119</v>
      </c>
      <c r="C1372" s="1272">
        <v>5100</v>
      </c>
      <c r="D1372" s="971" t="s">
        <v>78</v>
      </c>
      <c r="E1372" s="971">
        <v>5140</v>
      </c>
      <c r="F1372" s="971" t="s">
        <v>176</v>
      </c>
      <c r="G1372" s="971">
        <v>5140</v>
      </c>
      <c r="H1372" s="971" t="s">
        <v>176</v>
      </c>
      <c r="I1372" s="1273"/>
      <c r="J1372" s="971" t="s">
        <v>2146</v>
      </c>
      <c r="K1372" s="971" t="s">
        <v>2129</v>
      </c>
      <c r="L1372" s="971" t="s">
        <v>2130</v>
      </c>
      <c r="M1372" s="971" t="s">
        <v>2129</v>
      </c>
      <c r="N1372" s="971" t="s">
        <v>176</v>
      </c>
      <c r="O1372" s="971" t="s">
        <v>2130</v>
      </c>
      <c r="P1372" s="971"/>
      <c r="Q1372" s="971" t="s">
        <v>2284</v>
      </c>
      <c r="R1372" s="1266" t="s">
        <v>2285</v>
      </c>
      <c r="S1372" s="2106">
        <v>1</v>
      </c>
      <c r="T1372" s="1266" t="s">
        <v>242</v>
      </c>
      <c r="U1372" s="1742">
        <v>6.666666666666667</v>
      </c>
      <c r="V1372" s="1742">
        <v>20.833333333333336</v>
      </c>
      <c r="W1372" s="1742">
        <v>587.6</v>
      </c>
      <c r="X1372" s="1742">
        <v>229.78333333333333</v>
      </c>
      <c r="Y1372" s="2106">
        <v>838.2166666666667</v>
      </c>
      <c r="Z1372" s="2106">
        <v>6.666666666666667</v>
      </c>
      <c r="AA1372" s="2106">
        <v>20.833333333333336</v>
      </c>
      <c r="AB1372" s="2106">
        <v>587.6</v>
      </c>
      <c r="AC1372" s="2106">
        <v>229.78333333333333</v>
      </c>
      <c r="AD1372" s="1744">
        <v>838.2166666666667</v>
      </c>
      <c r="AE1372" s="2126">
        <v>4</v>
      </c>
      <c r="AF1372" s="2126">
        <v>4</v>
      </c>
      <c r="AG1372" s="1212">
        <v>1</v>
      </c>
      <c r="AH1372" s="1212">
        <v>0</v>
      </c>
      <c r="AI1372" s="1212">
        <v>0</v>
      </c>
      <c r="AJ1372" s="1212">
        <v>1</v>
      </c>
      <c r="AK1372" s="2126">
        <v>838.2166666666667</v>
      </c>
      <c r="AL1372" s="2126">
        <v>0</v>
      </c>
      <c r="AM1372" s="2126">
        <v>0</v>
      </c>
      <c r="AN1372" s="2126">
        <v>838.2166666666667</v>
      </c>
      <c r="AO1372" s="1743" t="s">
        <v>85</v>
      </c>
      <c r="AP1372" s="1743" t="s">
        <v>90</v>
      </c>
      <c r="AQ1372" s="1764">
        <v>2021</v>
      </c>
      <c r="AR1372" s="1743" t="s">
        <v>87</v>
      </c>
      <c r="AS1372" s="2135"/>
      <c r="AT1372" s="2135"/>
      <c r="AU1372" s="1212">
        <v>1</v>
      </c>
      <c r="AV1372" s="1212"/>
      <c r="AW1372" s="1212"/>
      <c r="AX1372" s="1212"/>
      <c r="AY1372" s="1212"/>
      <c r="AZ1372" s="1212"/>
      <c r="BA1372" s="1212"/>
      <c r="BB1372" s="1212"/>
      <c r="BC1372" s="1212"/>
      <c r="BD1372" s="1212"/>
      <c r="BE1372" s="1212"/>
      <c r="BF1372" s="2126">
        <v>0</v>
      </c>
      <c r="BG1372" s="2126">
        <v>0</v>
      </c>
      <c r="BH1372" s="2126">
        <v>838.2166666666667</v>
      </c>
      <c r="BI1372" s="2126">
        <v>0</v>
      </c>
      <c r="BJ1372" s="2126">
        <v>0</v>
      </c>
      <c r="BK1372" s="2126">
        <v>0</v>
      </c>
      <c r="BL1372" s="2126">
        <v>0</v>
      </c>
      <c r="BM1372" s="2126">
        <v>0</v>
      </c>
      <c r="BN1372" s="2126">
        <v>0</v>
      </c>
      <c r="BO1372" s="2126">
        <v>0</v>
      </c>
      <c r="BP1372" s="2126">
        <v>0</v>
      </c>
      <c r="BQ1372" s="2126">
        <v>0</v>
      </c>
      <c r="BR1372" s="2126">
        <v>0</v>
      </c>
    </row>
    <row r="1373" spans="1:70" s="1765" customFormat="1" ht="33">
      <c r="A1373" s="1272">
        <v>5000</v>
      </c>
      <c r="B1373" s="971" t="s">
        <v>2119</v>
      </c>
      <c r="C1373" s="1272">
        <v>5100</v>
      </c>
      <c r="D1373" s="971" t="s">
        <v>78</v>
      </c>
      <c r="E1373" s="971">
        <v>5140</v>
      </c>
      <c r="F1373" s="971" t="s">
        <v>176</v>
      </c>
      <c r="G1373" s="971">
        <v>5140</v>
      </c>
      <c r="H1373" s="971" t="s">
        <v>176</v>
      </c>
      <c r="I1373" s="1273"/>
      <c r="J1373" s="971" t="s">
        <v>2146</v>
      </c>
      <c r="K1373" s="971" t="s">
        <v>2129</v>
      </c>
      <c r="L1373" s="971" t="s">
        <v>2130</v>
      </c>
      <c r="M1373" s="971" t="s">
        <v>2129</v>
      </c>
      <c r="N1373" s="971" t="s">
        <v>176</v>
      </c>
      <c r="O1373" s="971" t="s">
        <v>2130</v>
      </c>
      <c r="P1373" s="971"/>
      <c r="Q1373" s="971" t="s">
        <v>2286</v>
      </c>
      <c r="R1373" s="1266" t="s">
        <v>2287</v>
      </c>
      <c r="S1373" s="2106">
        <v>1</v>
      </c>
      <c r="T1373" s="1266" t="s">
        <v>242</v>
      </c>
      <c r="U1373" s="1742">
        <v>6.666666666666667</v>
      </c>
      <c r="V1373" s="1742">
        <v>20.833333333333336</v>
      </c>
      <c r="W1373" s="1742">
        <v>587.6</v>
      </c>
      <c r="X1373" s="1742">
        <v>229.78333333333333</v>
      </c>
      <c r="Y1373" s="2106">
        <v>838.2166666666667</v>
      </c>
      <c r="Z1373" s="2106">
        <v>6.666666666666667</v>
      </c>
      <c r="AA1373" s="2106">
        <v>20.833333333333336</v>
      </c>
      <c r="AB1373" s="2106">
        <v>587.6</v>
      </c>
      <c r="AC1373" s="2106">
        <v>229.78333333333333</v>
      </c>
      <c r="AD1373" s="1744">
        <v>838.2166666666667</v>
      </c>
      <c r="AE1373" s="2126">
        <v>4</v>
      </c>
      <c r="AF1373" s="2126">
        <v>4</v>
      </c>
      <c r="AG1373" s="1212">
        <v>1</v>
      </c>
      <c r="AH1373" s="1212">
        <v>0</v>
      </c>
      <c r="AI1373" s="1212">
        <v>0</v>
      </c>
      <c r="AJ1373" s="1212">
        <v>1</v>
      </c>
      <c r="AK1373" s="2126">
        <v>838.2166666666667</v>
      </c>
      <c r="AL1373" s="2126">
        <v>0</v>
      </c>
      <c r="AM1373" s="2126">
        <v>0</v>
      </c>
      <c r="AN1373" s="2126">
        <v>838.2166666666667</v>
      </c>
      <c r="AO1373" s="1743" t="s">
        <v>85</v>
      </c>
      <c r="AP1373" s="1743" t="s">
        <v>90</v>
      </c>
      <c r="AQ1373" s="1764" t="s">
        <v>115</v>
      </c>
      <c r="AR1373" s="1743" t="s">
        <v>87</v>
      </c>
      <c r="AS1373" s="2135"/>
      <c r="AT1373" s="2135"/>
      <c r="AU1373" s="1212">
        <v>1</v>
      </c>
      <c r="AV1373" s="1212"/>
      <c r="AW1373" s="1212"/>
      <c r="AX1373" s="1212"/>
      <c r="AY1373" s="1212"/>
      <c r="AZ1373" s="1212"/>
      <c r="BA1373" s="1212"/>
      <c r="BB1373" s="1212"/>
      <c r="BC1373" s="1212"/>
      <c r="BD1373" s="1212"/>
      <c r="BE1373" s="1212"/>
      <c r="BF1373" s="2126">
        <v>0</v>
      </c>
      <c r="BG1373" s="2126">
        <v>0</v>
      </c>
      <c r="BH1373" s="2126">
        <v>838.2166666666667</v>
      </c>
      <c r="BI1373" s="2126">
        <v>0</v>
      </c>
      <c r="BJ1373" s="2126">
        <v>0</v>
      </c>
      <c r="BK1373" s="2126">
        <v>0</v>
      </c>
      <c r="BL1373" s="2126">
        <v>0</v>
      </c>
      <c r="BM1373" s="2126">
        <v>0</v>
      </c>
      <c r="BN1373" s="2126">
        <v>0</v>
      </c>
      <c r="BO1373" s="2126">
        <v>0</v>
      </c>
      <c r="BP1373" s="2126">
        <v>0</v>
      </c>
      <c r="BQ1373" s="2126">
        <v>0</v>
      </c>
      <c r="BR1373" s="2126">
        <v>0</v>
      </c>
    </row>
    <row r="1374" spans="1:70" s="1765" customFormat="1" ht="33">
      <c r="A1374" s="1272">
        <v>5000</v>
      </c>
      <c r="B1374" s="971" t="s">
        <v>2119</v>
      </c>
      <c r="C1374" s="1272">
        <v>5100</v>
      </c>
      <c r="D1374" s="971" t="s">
        <v>78</v>
      </c>
      <c r="E1374" s="971">
        <v>5140</v>
      </c>
      <c r="F1374" s="971" t="s">
        <v>176</v>
      </c>
      <c r="G1374" s="971">
        <v>5140</v>
      </c>
      <c r="H1374" s="971" t="s">
        <v>176</v>
      </c>
      <c r="I1374" s="1273" t="s">
        <v>2288</v>
      </c>
      <c r="J1374" s="971" t="s">
        <v>2146</v>
      </c>
      <c r="K1374" s="971" t="s">
        <v>2125</v>
      </c>
      <c r="L1374" s="971" t="s">
        <v>2126</v>
      </c>
      <c r="M1374" s="971" t="s">
        <v>2125</v>
      </c>
      <c r="N1374" s="971" t="s">
        <v>176</v>
      </c>
      <c r="O1374" s="971" t="s">
        <v>2126</v>
      </c>
      <c r="P1374" s="971" t="s">
        <v>2289</v>
      </c>
      <c r="Q1374" s="971" t="s">
        <v>2150</v>
      </c>
      <c r="R1374" s="1266" t="s">
        <v>2290</v>
      </c>
      <c r="S1374" s="2106">
        <v>1</v>
      </c>
      <c r="T1374" s="1266" t="s">
        <v>242</v>
      </c>
      <c r="U1374" s="1742">
        <v>13</v>
      </c>
      <c r="V1374" s="1742">
        <v>100</v>
      </c>
      <c r="W1374" s="1742">
        <v>1145.82</v>
      </c>
      <c r="X1374" s="1742">
        <v>1102.96</v>
      </c>
      <c r="Y1374" s="2106">
        <v>2348.7799999999997</v>
      </c>
      <c r="Z1374" s="2106">
        <v>13</v>
      </c>
      <c r="AA1374" s="2106">
        <v>100</v>
      </c>
      <c r="AB1374" s="2106">
        <v>1145.82</v>
      </c>
      <c r="AC1374" s="2106">
        <v>1102.96</v>
      </c>
      <c r="AD1374" s="1744">
        <v>2348.7799999999997</v>
      </c>
      <c r="AE1374" s="2126">
        <v>96</v>
      </c>
      <c r="AF1374" s="2126">
        <v>96</v>
      </c>
      <c r="AG1374" s="1212">
        <v>1</v>
      </c>
      <c r="AH1374" s="1212">
        <v>0</v>
      </c>
      <c r="AI1374" s="1212">
        <v>0</v>
      </c>
      <c r="AJ1374" s="1212">
        <v>1</v>
      </c>
      <c r="AK1374" s="2126">
        <v>2348.7799999999997</v>
      </c>
      <c r="AL1374" s="2126">
        <v>0</v>
      </c>
      <c r="AM1374" s="2126">
        <v>0</v>
      </c>
      <c r="AN1374" s="2126">
        <v>2348.7799999999997</v>
      </c>
      <c r="AO1374" s="1743" t="s">
        <v>85</v>
      </c>
      <c r="AP1374" s="1743" t="s">
        <v>90</v>
      </c>
      <c r="AQ1374" s="1764">
        <v>2021</v>
      </c>
      <c r="AR1374" s="1743" t="s">
        <v>87</v>
      </c>
      <c r="AS1374" s="2135"/>
      <c r="AT1374" s="2135"/>
      <c r="AU1374" s="1212">
        <v>1</v>
      </c>
      <c r="AV1374" s="1212"/>
      <c r="AW1374" s="1212"/>
      <c r="AX1374" s="1212"/>
      <c r="AY1374" s="1212"/>
      <c r="AZ1374" s="1212"/>
      <c r="BA1374" s="1212"/>
      <c r="BB1374" s="1212"/>
      <c r="BC1374" s="1212"/>
      <c r="BD1374" s="1212"/>
      <c r="BE1374" s="1212"/>
      <c r="BF1374" s="2126">
        <v>0</v>
      </c>
      <c r="BG1374" s="2126">
        <v>0</v>
      </c>
      <c r="BH1374" s="2126">
        <v>2348.7799999999997</v>
      </c>
      <c r="BI1374" s="2126">
        <v>0</v>
      </c>
      <c r="BJ1374" s="2126">
        <v>0</v>
      </c>
      <c r="BK1374" s="2126">
        <v>0</v>
      </c>
      <c r="BL1374" s="2126">
        <v>0</v>
      </c>
      <c r="BM1374" s="2126">
        <v>0</v>
      </c>
      <c r="BN1374" s="2126">
        <v>0</v>
      </c>
      <c r="BO1374" s="2126">
        <v>0</v>
      </c>
      <c r="BP1374" s="2126">
        <v>0</v>
      </c>
      <c r="BQ1374" s="2126">
        <v>0</v>
      </c>
      <c r="BR1374" s="2126">
        <v>0</v>
      </c>
    </row>
    <row r="1375" spans="1:70" s="1765" customFormat="1" ht="33">
      <c r="A1375" s="1272">
        <v>5000</v>
      </c>
      <c r="B1375" s="971" t="s">
        <v>2119</v>
      </c>
      <c r="C1375" s="1272">
        <v>5100</v>
      </c>
      <c r="D1375" s="971" t="s">
        <v>78</v>
      </c>
      <c r="E1375" s="971">
        <v>5140</v>
      </c>
      <c r="F1375" s="971" t="s">
        <v>176</v>
      </c>
      <c r="G1375" s="971">
        <v>5140</v>
      </c>
      <c r="H1375" s="971" t="s">
        <v>176</v>
      </c>
      <c r="I1375" s="1273" t="s">
        <v>2291</v>
      </c>
      <c r="J1375" s="971" t="s">
        <v>2146</v>
      </c>
      <c r="K1375" s="971" t="s">
        <v>2127</v>
      </c>
      <c r="L1375" s="971" t="s">
        <v>2177</v>
      </c>
      <c r="M1375" s="971" t="s">
        <v>2127</v>
      </c>
      <c r="N1375" s="971" t="s">
        <v>176</v>
      </c>
      <c r="O1375" s="971" t="s">
        <v>2177</v>
      </c>
      <c r="P1375" s="971" t="s">
        <v>2292</v>
      </c>
      <c r="Q1375" s="971" t="s">
        <v>2293</v>
      </c>
      <c r="R1375" s="1266" t="s">
        <v>2294</v>
      </c>
      <c r="S1375" s="2106">
        <v>-1</v>
      </c>
      <c r="T1375" s="1266" t="s">
        <v>242</v>
      </c>
      <c r="U1375" s="1742">
        <v>10</v>
      </c>
      <c r="V1375" s="1742">
        <v>37.5</v>
      </c>
      <c r="W1375" s="1742">
        <v>881.4</v>
      </c>
      <c r="X1375" s="1742">
        <v>413.61</v>
      </c>
      <c r="Y1375" s="2106">
        <v>1332.51</v>
      </c>
      <c r="Z1375" s="2106">
        <v>-10</v>
      </c>
      <c r="AA1375" s="2106">
        <v>-37.5</v>
      </c>
      <c r="AB1375" s="2106">
        <v>-881.4</v>
      </c>
      <c r="AC1375" s="2106">
        <v>-413.61</v>
      </c>
      <c r="AD1375" s="1744">
        <v>-1332.51</v>
      </c>
      <c r="AE1375" s="2126">
        <v>24</v>
      </c>
      <c r="AF1375" s="2126">
        <v>24</v>
      </c>
      <c r="AG1375" s="1212">
        <v>1</v>
      </c>
      <c r="AH1375" s="1212">
        <v>0</v>
      </c>
      <c r="AI1375" s="1212">
        <v>0</v>
      </c>
      <c r="AJ1375" s="1212">
        <v>1</v>
      </c>
      <c r="AK1375" s="2126">
        <v>-1332.51</v>
      </c>
      <c r="AL1375" s="2126">
        <v>0</v>
      </c>
      <c r="AM1375" s="2126">
        <v>0</v>
      </c>
      <c r="AN1375" s="2126">
        <v>-1332.51</v>
      </c>
      <c r="AO1375" s="1743" t="s">
        <v>85</v>
      </c>
      <c r="AP1375" s="1743" t="s">
        <v>96</v>
      </c>
      <c r="AQ1375" s="1764" t="s">
        <v>2295</v>
      </c>
      <c r="AR1375" s="1743" t="s">
        <v>87</v>
      </c>
      <c r="AS1375" s="2135"/>
      <c r="AT1375" s="2135"/>
      <c r="AU1375" s="1212">
        <v>1</v>
      </c>
      <c r="AV1375" s="1212"/>
      <c r="AW1375" s="1212"/>
      <c r="AX1375" s="1212"/>
      <c r="AY1375" s="1212"/>
      <c r="AZ1375" s="1212"/>
      <c r="BA1375" s="1212"/>
      <c r="BB1375" s="1212"/>
      <c r="BC1375" s="1212"/>
      <c r="BD1375" s="1212"/>
      <c r="BE1375" s="1212"/>
      <c r="BF1375" s="2126">
        <v>0</v>
      </c>
      <c r="BG1375" s="2126">
        <v>0</v>
      </c>
      <c r="BH1375" s="2126">
        <v>-1332.51</v>
      </c>
      <c r="BI1375" s="2126">
        <v>0</v>
      </c>
      <c r="BJ1375" s="2126">
        <v>0</v>
      </c>
      <c r="BK1375" s="2126">
        <v>0</v>
      </c>
      <c r="BL1375" s="2126">
        <v>0</v>
      </c>
      <c r="BM1375" s="2126">
        <v>0</v>
      </c>
      <c r="BN1375" s="2126">
        <v>0</v>
      </c>
      <c r="BO1375" s="2126">
        <v>0</v>
      </c>
      <c r="BP1375" s="2126">
        <v>0</v>
      </c>
      <c r="BQ1375" s="2126">
        <v>0</v>
      </c>
      <c r="BR1375" s="2126">
        <v>0</v>
      </c>
    </row>
    <row r="1376" spans="1:70" s="1765" customFormat="1" ht="33">
      <c r="A1376" s="1272">
        <v>5000</v>
      </c>
      <c r="B1376" s="971" t="s">
        <v>2119</v>
      </c>
      <c r="C1376" s="1272">
        <v>5100</v>
      </c>
      <c r="D1376" s="971" t="s">
        <v>78</v>
      </c>
      <c r="E1376" s="971">
        <v>5140</v>
      </c>
      <c r="F1376" s="971" t="s">
        <v>176</v>
      </c>
      <c r="G1376" s="971">
        <v>5140</v>
      </c>
      <c r="H1376" s="971" t="s">
        <v>176</v>
      </c>
      <c r="I1376" s="1273" t="s">
        <v>2291</v>
      </c>
      <c r="J1376" s="971" t="s">
        <v>2146</v>
      </c>
      <c r="K1376" s="971" t="s">
        <v>2127</v>
      </c>
      <c r="L1376" s="971" t="s">
        <v>2177</v>
      </c>
      <c r="M1376" s="971" t="s">
        <v>2127</v>
      </c>
      <c r="N1376" s="971" t="s">
        <v>176</v>
      </c>
      <c r="O1376" s="971" t="s">
        <v>2177</v>
      </c>
      <c r="P1376" s="971" t="s">
        <v>2292</v>
      </c>
      <c r="Q1376" s="971" t="s">
        <v>2293</v>
      </c>
      <c r="R1376" s="1266" t="s">
        <v>2294</v>
      </c>
      <c r="S1376" s="2106">
        <v>1</v>
      </c>
      <c r="T1376" s="1266" t="s">
        <v>242</v>
      </c>
      <c r="U1376" s="1742">
        <v>10</v>
      </c>
      <c r="V1376" s="1742">
        <v>37.5</v>
      </c>
      <c r="W1376" s="1742">
        <v>881.4</v>
      </c>
      <c r="X1376" s="1742">
        <v>413.61</v>
      </c>
      <c r="Y1376" s="2106">
        <v>1332.51</v>
      </c>
      <c r="Z1376" s="2106">
        <v>10</v>
      </c>
      <c r="AA1376" s="2106">
        <v>37.5</v>
      </c>
      <c r="AB1376" s="2106">
        <v>881.4</v>
      </c>
      <c r="AC1376" s="2106">
        <v>413.61</v>
      </c>
      <c r="AD1376" s="1744">
        <v>1332.51</v>
      </c>
      <c r="AE1376" s="2126">
        <v>24</v>
      </c>
      <c r="AF1376" s="2126">
        <v>24</v>
      </c>
      <c r="AG1376" s="1212">
        <v>1</v>
      </c>
      <c r="AH1376" s="1212">
        <v>0</v>
      </c>
      <c r="AI1376" s="1212">
        <v>0</v>
      </c>
      <c r="AJ1376" s="1212">
        <v>1</v>
      </c>
      <c r="AK1376" s="2126">
        <v>1332.51</v>
      </c>
      <c r="AL1376" s="2126">
        <v>0</v>
      </c>
      <c r="AM1376" s="2126">
        <v>0</v>
      </c>
      <c r="AN1376" s="2126">
        <v>1332.51</v>
      </c>
      <c r="AO1376" s="1743" t="s">
        <v>85</v>
      </c>
      <c r="AP1376" s="1743" t="s">
        <v>90</v>
      </c>
      <c r="AQ1376" s="1764">
        <v>2021</v>
      </c>
      <c r="AR1376" s="1743" t="s">
        <v>87</v>
      </c>
      <c r="AS1376" s="2135"/>
      <c r="AT1376" s="2135"/>
      <c r="AU1376" s="1212">
        <v>1</v>
      </c>
      <c r="AV1376" s="1212"/>
      <c r="AW1376" s="1212"/>
      <c r="AX1376" s="1212"/>
      <c r="AY1376" s="1212"/>
      <c r="AZ1376" s="1212"/>
      <c r="BA1376" s="1212"/>
      <c r="BB1376" s="1212"/>
      <c r="BC1376" s="1212"/>
      <c r="BD1376" s="1212"/>
      <c r="BE1376" s="1212"/>
      <c r="BF1376" s="2126">
        <v>0</v>
      </c>
      <c r="BG1376" s="2126">
        <v>0</v>
      </c>
      <c r="BH1376" s="2126">
        <v>1332.51</v>
      </c>
      <c r="BI1376" s="2126">
        <v>0</v>
      </c>
      <c r="BJ1376" s="2126">
        <v>0</v>
      </c>
      <c r="BK1376" s="2126">
        <v>0</v>
      </c>
      <c r="BL1376" s="2126">
        <v>0</v>
      </c>
      <c r="BM1376" s="2126">
        <v>0</v>
      </c>
      <c r="BN1376" s="2126">
        <v>0</v>
      </c>
      <c r="BO1376" s="2126">
        <v>0</v>
      </c>
      <c r="BP1376" s="2126">
        <v>0</v>
      </c>
      <c r="BQ1376" s="2126">
        <v>0</v>
      </c>
      <c r="BR1376" s="2126">
        <v>0</v>
      </c>
    </row>
    <row r="1377" spans="1:70" s="1765" customFormat="1" ht="33">
      <c r="A1377" s="1272">
        <v>5000</v>
      </c>
      <c r="B1377" s="971" t="s">
        <v>2119</v>
      </c>
      <c r="C1377" s="1272">
        <v>5100</v>
      </c>
      <c r="D1377" s="971" t="s">
        <v>78</v>
      </c>
      <c r="E1377" s="971">
        <v>5140</v>
      </c>
      <c r="F1377" s="971" t="s">
        <v>176</v>
      </c>
      <c r="G1377" s="971">
        <v>5140</v>
      </c>
      <c r="H1377" s="971" t="s">
        <v>176</v>
      </c>
      <c r="I1377" s="1273" t="s">
        <v>2296</v>
      </c>
      <c r="J1377" s="971" t="s">
        <v>2146</v>
      </c>
      <c r="K1377" s="971" t="s">
        <v>2125</v>
      </c>
      <c r="L1377" s="971" t="s">
        <v>2126</v>
      </c>
      <c r="M1377" s="971" t="s">
        <v>2125</v>
      </c>
      <c r="N1377" s="971" t="s">
        <v>176</v>
      </c>
      <c r="O1377" s="971" t="s">
        <v>2126</v>
      </c>
      <c r="P1377" s="971" t="s">
        <v>2289</v>
      </c>
      <c r="Q1377" s="971" t="s">
        <v>2297</v>
      </c>
      <c r="R1377" s="1266" t="s">
        <v>2298</v>
      </c>
      <c r="S1377" s="2106">
        <v>1</v>
      </c>
      <c r="T1377" s="1266" t="s">
        <v>242</v>
      </c>
      <c r="U1377" s="1742">
        <v>13</v>
      </c>
      <c r="V1377" s="1742">
        <v>100</v>
      </c>
      <c r="W1377" s="1742">
        <v>1145.82</v>
      </c>
      <c r="X1377" s="1742">
        <v>1102.96</v>
      </c>
      <c r="Y1377" s="2106">
        <v>2348.7799999999997</v>
      </c>
      <c r="Z1377" s="2106">
        <v>13</v>
      </c>
      <c r="AA1377" s="2106">
        <v>100</v>
      </c>
      <c r="AB1377" s="2106">
        <v>1145.82</v>
      </c>
      <c r="AC1377" s="2106">
        <v>1102.96</v>
      </c>
      <c r="AD1377" s="1744">
        <v>2348.7799999999997</v>
      </c>
      <c r="AE1377" s="2126">
        <v>96</v>
      </c>
      <c r="AF1377" s="2126">
        <v>96</v>
      </c>
      <c r="AG1377" s="1212">
        <v>1</v>
      </c>
      <c r="AH1377" s="1212">
        <v>0</v>
      </c>
      <c r="AI1377" s="1212">
        <v>0</v>
      </c>
      <c r="AJ1377" s="1212">
        <v>1</v>
      </c>
      <c r="AK1377" s="2126">
        <v>2348.7799999999997</v>
      </c>
      <c r="AL1377" s="2126">
        <v>0</v>
      </c>
      <c r="AM1377" s="2126">
        <v>0</v>
      </c>
      <c r="AN1377" s="2126">
        <v>2348.7799999999997</v>
      </c>
      <c r="AO1377" s="1743" t="s">
        <v>85</v>
      </c>
      <c r="AP1377" s="1743" t="s">
        <v>90</v>
      </c>
      <c r="AQ1377" s="1764">
        <v>2021</v>
      </c>
      <c r="AR1377" s="1743" t="s">
        <v>87</v>
      </c>
      <c r="AS1377" s="2135"/>
      <c r="AT1377" s="2135"/>
      <c r="AU1377" s="1212">
        <v>1</v>
      </c>
      <c r="AV1377" s="1212"/>
      <c r="AW1377" s="1212"/>
      <c r="AX1377" s="1212"/>
      <c r="AY1377" s="1212"/>
      <c r="AZ1377" s="1212"/>
      <c r="BA1377" s="1212"/>
      <c r="BB1377" s="1212"/>
      <c r="BC1377" s="1212"/>
      <c r="BD1377" s="1212"/>
      <c r="BE1377" s="1212"/>
      <c r="BF1377" s="2126">
        <v>0</v>
      </c>
      <c r="BG1377" s="2126">
        <v>0</v>
      </c>
      <c r="BH1377" s="2126">
        <v>2348.7799999999997</v>
      </c>
      <c r="BI1377" s="2126">
        <v>0</v>
      </c>
      <c r="BJ1377" s="2126">
        <v>0</v>
      </c>
      <c r="BK1377" s="2126">
        <v>0</v>
      </c>
      <c r="BL1377" s="2126">
        <v>0</v>
      </c>
      <c r="BM1377" s="2126">
        <v>0</v>
      </c>
      <c r="BN1377" s="2126">
        <v>0</v>
      </c>
      <c r="BO1377" s="2126">
        <v>0</v>
      </c>
      <c r="BP1377" s="2126">
        <v>0</v>
      </c>
      <c r="BQ1377" s="2126">
        <v>0</v>
      </c>
      <c r="BR1377" s="2126">
        <v>0</v>
      </c>
    </row>
    <row r="1378" spans="1:70" s="1765" customFormat="1" ht="33">
      <c r="A1378" s="1272">
        <v>5000</v>
      </c>
      <c r="B1378" s="971" t="s">
        <v>2119</v>
      </c>
      <c r="C1378" s="1272">
        <v>5100</v>
      </c>
      <c r="D1378" s="971" t="s">
        <v>78</v>
      </c>
      <c r="E1378" s="971">
        <v>5140</v>
      </c>
      <c r="F1378" s="971" t="s">
        <v>176</v>
      </c>
      <c r="G1378" s="971">
        <v>5140</v>
      </c>
      <c r="H1378" s="971" t="s">
        <v>176</v>
      </c>
      <c r="I1378" s="1273" t="s">
        <v>2296</v>
      </c>
      <c r="J1378" s="971" t="s">
        <v>2146</v>
      </c>
      <c r="K1378" s="971" t="s">
        <v>2125</v>
      </c>
      <c r="L1378" s="971" t="s">
        <v>2126</v>
      </c>
      <c r="M1378" s="971" t="s">
        <v>2125</v>
      </c>
      <c r="N1378" s="971" t="s">
        <v>176</v>
      </c>
      <c r="O1378" s="971" t="s">
        <v>2126</v>
      </c>
      <c r="P1378" s="971" t="s">
        <v>2289</v>
      </c>
      <c r="Q1378" s="971" t="s">
        <v>2299</v>
      </c>
      <c r="R1378" s="1266" t="s">
        <v>2300</v>
      </c>
      <c r="S1378" s="2106">
        <v>1</v>
      </c>
      <c r="T1378" s="1266" t="s">
        <v>242</v>
      </c>
      <c r="U1378" s="1742">
        <v>13</v>
      </c>
      <c r="V1378" s="1742">
        <v>100</v>
      </c>
      <c r="W1378" s="1742">
        <v>1145.82</v>
      </c>
      <c r="X1378" s="1742">
        <v>1102.96</v>
      </c>
      <c r="Y1378" s="2106">
        <v>2348.7799999999997</v>
      </c>
      <c r="Z1378" s="2106">
        <v>13</v>
      </c>
      <c r="AA1378" s="2106">
        <v>100</v>
      </c>
      <c r="AB1378" s="2106">
        <v>1145.82</v>
      </c>
      <c r="AC1378" s="2106">
        <v>1102.96</v>
      </c>
      <c r="AD1378" s="1744">
        <v>2348.7799999999997</v>
      </c>
      <c r="AE1378" s="2126">
        <v>96</v>
      </c>
      <c r="AF1378" s="2126">
        <v>96</v>
      </c>
      <c r="AG1378" s="1212">
        <v>1</v>
      </c>
      <c r="AH1378" s="1212">
        <v>0</v>
      </c>
      <c r="AI1378" s="1212">
        <v>0</v>
      </c>
      <c r="AJ1378" s="1212">
        <v>1</v>
      </c>
      <c r="AK1378" s="2126">
        <v>2348.7799999999997</v>
      </c>
      <c r="AL1378" s="2126">
        <v>0</v>
      </c>
      <c r="AM1378" s="2126">
        <v>0</v>
      </c>
      <c r="AN1378" s="2126">
        <v>2348.7799999999997</v>
      </c>
      <c r="AO1378" s="1743" t="s">
        <v>85</v>
      </c>
      <c r="AP1378" s="1743" t="s">
        <v>90</v>
      </c>
      <c r="AQ1378" s="1764">
        <v>2021</v>
      </c>
      <c r="AR1378" s="1743" t="s">
        <v>87</v>
      </c>
      <c r="AS1378" s="2135"/>
      <c r="AT1378" s="2135"/>
      <c r="AU1378" s="1212">
        <v>1</v>
      </c>
      <c r="AV1378" s="1212"/>
      <c r="AW1378" s="1212"/>
      <c r="AX1378" s="1212"/>
      <c r="AY1378" s="1212"/>
      <c r="AZ1378" s="1212"/>
      <c r="BA1378" s="1212"/>
      <c r="BB1378" s="1212"/>
      <c r="BC1378" s="1212"/>
      <c r="BD1378" s="1212"/>
      <c r="BE1378" s="1212"/>
      <c r="BF1378" s="2126">
        <v>0</v>
      </c>
      <c r="BG1378" s="2126">
        <v>0</v>
      </c>
      <c r="BH1378" s="2126">
        <v>2348.7799999999997</v>
      </c>
      <c r="BI1378" s="2126">
        <v>0</v>
      </c>
      <c r="BJ1378" s="2126">
        <v>0</v>
      </c>
      <c r="BK1378" s="2126">
        <v>0</v>
      </c>
      <c r="BL1378" s="2126">
        <v>0</v>
      </c>
      <c r="BM1378" s="2126">
        <v>0</v>
      </c>
      <c r="BN1378" s="2126">
        <v>0</v>
      </c>
      <c r="BO1378" s="2126">
        <v>0</v>
      </c>
      <c r="BP1378" s="2126">
        <v>0</v>
      </c>
      <c r="BQ1378" s="2126">
        <v>0</v>
      </c>
      <c r="BR1378" s="2126">
        <v>0</v>
      </c>
    </row>
    <row r="1379" spans="1:70" s="1765" customFormat="1" ht="33">
      <c r="A1379" s="1272">
        <v>5000</v>
      </c>
      <c r="B1379" s="971" t="s">
        <v>2119</v>
      </c>
      <c r="C1379" s="1272">
        <v>5100</v>
      </c>
      <c r="D1379" s="971" t="s">
        <v>78</v>
      </c>
      <c r="E1379" s="971">
        <v>5140</v>
      </c>
      <c r="F1379" s="971" t="s">
        <v>176</v>
      </c>
      <c r="G1379" s="971">
        <v>5140</v>
      </c>
      <c r="H1379" s="971" t="s">
        <v>176</v>
      </c>
      <c r="I1379" s="1273"/>
      <c r="J1379" s="971" t="s">
        <v>2301</v>
      </c>
      <c r="K1379" s="971" t="s">
        <v>2120</v>
      </c>
      <c r="L1379" s="971" t="s">
        <v>2121</v>
      </c>
      <c r="M1379" s="971" t="s">
        <v>2120</v>
      </c>
      <c r="N1379" s="971" t="s">
        <v>179</v>
      </c>
      <c r="O1379" s="971" t="s">
        <v>2121</v>
      </c>
      <c r="P1379" s="971"/>
      <c r="Q1379" s="971" t="s">
        <v>2302</v>
      </c>
      <c r="R1379" s="1266"/>
      <c r="S1379" s="2106">
        <v>-1</v>
      </c>
      <c r="T1379" s="1266" t="s">
        <v>242</v>
      </c>
      <c r="U1379" s="1742">
        <v>168</v>
      </c>
      <c r="V1379" s="1742">
        <v>1850</v>
      </c>
      <c r="W1379" s="1742">
        <v>14807.519999999999</v>
      </c>
      <c r="X1379" s="1742">
        <v>20404.760000000002</v>
      </c>
      <c r="Y1379" s="2106">
        <v>37062.28</v>
      </c>
      <c r="Z1379" s="2106">
        <v>-168</v>
      </c>
      <c r="AA1379" s="2106">
        <v>-1850</v>
      </c>
      <c r="AB1379" s="2106">
        <v>-14807.519999999999</v>
      </c>
      <c r="AC1379" s="2106">
        <v>-20404.760000000002</v>
      </c>
      <c r="AD1379" s="1744">
        <v>-37062.28</v>
      </c>
      <c r="AE1379" s="2126">
        <v>56</v>
      </c>
      <c r="AF1379" s="2126">
        <v>-56</v>
      </c>
      <c r="AG1379" s="1212">
        <v>1</v>
      </c>
      <c r="AH1379" s="1212">
        <v>0</v>
      </c>
      <c r="AI1379" s="1212">
        <v>0</v>
      </c>
      <c r="AJ1379" s="1212">
        <v>1</v>
      </c>
      <c r="AK1379" s="2126">
        <v>-37062.28</v>
      </c>
      <c r="AL1379" s="2126">
        <v>0</v>
      </c>
      <c r="AM1379" s="2126">
        <v>0</v>
      </c>
      <c r="AN1379" s="2126">
        <v>-37062.28</v>
      </c>
      <c r="AO1379" s="1743" t="s">
        <v>85</v>
      </c>
      <c r="AP1379" s="1743" t="s">
        <v>96</v>
      </c>
      <c r="AQ1379" s="1764" t="s">
        <v>192</v>
      </c>
      <c r="AR1379" s="1743" t="s">
        <v>87</v>
      </c>
      <c r="AS1379" s="2135"/>
      <c r="AT1379" s="2135"/>
      <c r="AU1379" s="1212">
        <v>1</v>
      </c>
      <c r="AV1379" s="1212"/>
      <c r="AW1379" s="1212"/>
      <c r="AX1379" s="1212"/>
      <c r="AY1379" s="1212"/>
      <c r="AZ1379" s="1212"/>
      <c r="BA1379" s="1212"/>
      <c r="BB1379" s="1212"/>
      <c r="BC1379" s="1212"/>
      <c r="BD1379" s="1212"/>
      <c r="BE1379" s="1212"/>
      <c r="BF1379" s="2126">
        <v>0</v>
      </c>
      <c r="BG1379" s="2126">
        <v>0</v>
      </c>
      <c r="BH1379" s="2126">
        <v>-37062.28</v>
      </c>
      <c r="BI1379" s="2126">
        <v>0</v>
      </c>
      <c r="BJ1379" s="2126">
        <v>0</v>
      </c>
      <c r="BK1379" s="2126">
        <v>0</v>
      </c>
      <c r="BL1379" s="2126">
        <v>0</v>
      </c>
      <c r="BM1379" s="2126">
        <v>0</v>
      </c>
      <c r="BN1379" s="2126">
        <v>0</v>
      </c>
      <c r="BO1379" s="2126">
        <v>0</v>
      </c>
      <c r="BP1379" s="2126">
        <v>0</v>
      </c>
      <c r="BQ1379" s="2126">
        <v>0</v>
      </c>
      <c r="BR1379" s="2126">
        <v>0</v>
      </c>
    </row>
    <row r="1380" spans="1:70" s="1765" customFormat="1" ht="33">
      <c r="A1380" s="1272">
        <v>5000</v>
      </c>
      <c r="B1380" s="971" t="s">
        <v>2119</v>
      </c>
      <c r="C1380" s="1272">
        <v>5100</v>
      </c>
      <c r="D1380" s="971" t="s">
        <v>78</v>
      </c>
      <c r="E1380" s="971">
        <v>5140</v>
      </c>
      <c r="F1380" s="971" t="s">
        <v>176</v>
      </c>
      <c r="G1380" s="971">
        <v>5140</v>
      </c>
      <c r="H1380" s="971" t="s">
        <v>176</v>
      </c>
      <c r="I1380" s="1273"/>
      <c r="J1380" s="971" t="s">
        <v>686</v>
      </c>
      <c r="K1380" s="971" t="s">
        <v>2123</v>
      </c>
      <c r="L1380" s="971" t="s">
        <v>2124</v>
      </c>
      <c r="M1380" s="971" t="s">
        <v>2123</v>
      </c>
      <c r="N1380" s="971" t="s">
        <v>179</v>
      </c>
      <c r="O1380" s="971" t="s">
        <v>2124</v>
      </c>
      <c r="P1380" s="971"/>
      <c r="Q1380" s="971" t="s">
        <v>2303</v>
      </c>
      <c r="R1380" s="1266" t="s">
        <v>2063</v>
      </c>
      <c r="S1380" s="2106">
        <v>2</v>
      </c>
      <c r="T1380" s="1266" t="s">
        <v>242</v>
      </c>
      <c r="U1380" s="1742">
        <v>19.2</v>
      </c>
      <c r="V1380" s="1742">
        <v>177.5</v>
      </c>
      <c r="W1380" s="1742">
        <v>1692.2879999999998</v>
      </c>
      <c r="X1380" s="1742">
        <v>1957.7540000000001</v>
      </c>
      <c r="Y1380" s="2106">
        <v>3827.5419999999995</v>
      </c>
      <c r="Z1380" s="2106">
        <v>38.4</v>
      </c>
      <c r="AA1380" s="2106">
        <v>355</v>
      </c>
      <c r="AB1380" s="2106">
        <v>3384.5759999999996</v>
      </c>
      <c r="AC1380" s="2106">
        <v>3915.5080000000003</v>
      </c>
      <c r="AD1380" s="1744">
        <v>7655.0839999999998</v>
      </c>
      <c r="AE1380" s="2126">
        <v>1</v>
      </c>
      <c r="AF1380" s="2126">
        <v>2</v>
      </c>
      <c r="AG1380" s="1212">
        <v>1</v>
      </c>
      <c r="AH1380" s="1212">
        <v>0</v>
      </c>
      <c r="AI1380" s="1212">
        <v>0</v>
      </c>
      <c r="AJ1380" s="1212">
        <v>1</v>
      </c>
      <c r="AK1380" s="2126">
        <v>7655.0839999999998</v>
      </c>
      <c r="AL1380" s="2126">
        <v>0</v>
      </c>
      <c r="AM1380" s="2126">
        <v>0</v>
      </c>
      <c r="AN1380" s="2126">
        <v>7655.0839999999998</v>
      </c>
      <c r="AO1380" s="1743" t="s">
        <v>85</v>
      </c>
      <c r="AP1380" s="1743" t="s">
        <v>90</v>
      </c>
      <c r="AQ1380" s="1764">
        <v>2021</v>
      </c>
      <c r="AR1380" s="1743" t="s">
        <v>87</v>
      </c>
      <c r="AS1380" s="2135"/>
      <c r="AT1380" s="2135"/>
      <c r="AU1380" s="1212">
        <v>1</v>
      </c>
      <c r="AV1380" s="1212"/>
      <c r="AW1380" s="1212"/>
      <c r="AX1380" s="1212"/>
      <c r="AY1380" s="1212"/>
      <c r="AZ1380" s="1212"/>
      <c r="BA1380" s="1212"/>
      <c r="BB1380" s="1212"/>
      <c r="BC1380" s="1212"/>
      <c r="BD1380" s="1212"/>
      <c r="BE1380" s="1212"/>
      <c r="BF1380" s="2126">
        <v>0</v>
      </c>
      <c r="BG1380" s="2126">
        <v>0</v>
      </c>
      <c r="BH1380" s="2126">
        <v>7655.0839999999998</v>
      </c>
      <c r="BI1380" s="2126">
        <v>0</v>
      </c>
      <c r="BJ1380" s="2126">
        <v>0</v>
      </c>
      <c r="BK1380" s="2126">
        <v>0</v>
      </c>
      <c r="BL1380" s="2126">
        <v>0</v>
      </c>
      <c r="BM1380" s="2126">
        <v>0</v>
      </c>
      <c r="BN1380" s="2126">
        <v>0</v>
      </c>
      <c r="BO1380" s="2126">
        <v>0</v>
      </c>
      <c r="BP1380" s="2126">
        <v>0</v>
      </c>
      <c r="BQ1380" s="2126">
        <v>0</v>
      </c>
      <c r="BR1380" s="2126">
        <v>0</v>
      </c>
    </row>
    <row r="1381" spans="1:70" s="1765" customFormat="1" ht="33">
      <c r="A1381" s="1272">
        <v>5000</v>
      </c>
      <c r="B1381" s="971" t="s">
        <v>2119</v>
      </c>
      <c r="C1381" s="1272">
        <v>5100</v>
      </c>
      <c r="D1381" s="971" t="s">
        <v>78</v>
      </c>
      <c r="E1381" s="971">
        <v>5140</v>
      </c>
      <c r="F1381" s="971" t="s">
        <v>176</v>
      </c>
      <c r="G1381" s="971">
        <v>5140</v>
      </c>
      <c r="H1381" s="971" t="s">
        <v>176</v>
      </c>
      <c r="I1381" s="1273"/>
      <c r="J1381" s="971" t="s">
        <v>2146</v>
      </c>
      <c r="K1381" s="971" t="s">
        <v>2129</v>
      </c>
      <c r="L1381" s="971" t="s">
        <v>2130</v>
      </c>
      <c r="M1381" s="971" t="s">
        <v>2129</v>
      </c>
      <c r="N1381" s="971" t="s">
        <v>176</v>
      </c>
      <c r="O1381" s="971" t="s">
        <v>2130</v>
      </c>
      <c r="P1381" s="971" t="s">
        <v>2304</v>
      </c>
      <c r="Q1381" s="971" t="s">
        <v>2305</v>
      </c>
      <c r="R1381" s="1266" t="s">
        <v>1338</v>
      </c>
      <c r="S1381" s="2106">
        <v>1</v>
      </c>
      <c r="T1381" s="1266" t="s">
        <v>242</v>
      </c>
      <c r="U1381" s="1742">
        <v>6.666666666666667</v>
      </c>
      <c r="V1381" s="1742">
        <v>20.833333333333336</v>
      </c>
      <c r="W1381" s="1742">
        <v>587.6</v>
      </c>
      <c r="X1381" s="1742">
        <v>229.78333333333333</v>
      </c>
      <c r="Y1381" s="2106">
        <v>838.2166666666667</v>
      </c>
      <c r="Z1381" s="2106">
        <v>6.666666666666667</v>
      </c>
      <c r="AA1381" s="2106">
        <v>20.833333333333336</v>
      </c>
      <c r="AB1381" s="2106">
        <v>587.6</v>
      </c>
      <c r="AC1381" s="2106">
        <v>229.78333333333333</v>
      </c>
      <c r="AD1381" s="1744">
        <v>838.2166666666667</v>
      </c>
      <c r="AE1381" s="2126">
        <v>4</v>
      </c>
      <c r="AF1381" s="2126">
        <v>2</v>
      </c>
      <c r="AG1381" s="1212">
        <v>1</v>
      </c>
      <c r="AH1381" s="1212">
        <v>0</v>
      </c>
      <c r="AI1381" s="1212">
        <v>0</v>
      </c>
      <c r="AJ1381" s="1212">
        <v>1</v>
      </c>
      <c r="AK1381" s="2126">
        <v>838.2166666666667</v>
      </c>
      <c r="AL1381" s="2126">
        <v>0</v>
      </c>
      <c r="AM1381" s="2126">
        <v>0</v>
      </c>
      <c r="AN1381" s="2126">
        <v>838.2166666666667</v>
      </c>
      <c r="AO1381" s="1743" t="s">
        <v>85</v>
      </c>
      <c r="AP1381" s="1743" t="s">
        <v>90</v>
      </c>
      <c r="AQ1381" s="1764">
        <v>2021</v>
      </c>
      <c r="AR1381" s="1743" t="s">
        <v>87</v>
      </c>
      <c r="AS1381" s="2135"/>
      <c r="AT1381" s="2135"/>
      <c r="AU1381" s="1212">
        <v>1</v>
      </c>
      <c r="AV1381" s="1212"/>
      <c r="AW1381" s="1212"/>
      <c r="AX1381" s="1212"/>
      <c r="AY1381" s="1212"/>
      <c r="AZ1381" s="1212"/>
      <c r="BA1381" s="1212"/>
      <c r="BB1381" s="1212"/>
      <c r="BC1381" s="1212"/>
      <c r="BD1381" s="1212"/>
      <c r="BE1381" s="1212"/>
      <c r="BF1381" s="2126">
        <v>0</v>
      </c>
      <c r="BG1381" s="2126">
        <v>0</v>
      </c>
      <c r="BH1381" s="2126">
        <v>838.2166666666667</v>
      </c>
      <c r="BI1381" s="2126">
        <v>0</v>
      </c>
      <c r="BJ1381" s="2126">
        <v>0</v>
      </c>
      <c r="BK1381" s="2126">
        <v>0</v>
      </c>
      <c r="BL1381" s="2126">
        <v>0</v>
      </c>
      <c r="BM1381" s="2126">
        <v>0</v>
      </c>
      <c r="BN1381" s="2126">
        <v>0</v>
      </c>
      <c r="BO1381" s="2126">
        <v>0</v>
      </c>
      <c r="BP1381" s="2126">
        <v>0</v>
      </c>
      <c r="BQ1381" s="2126">
        <v>0</v>
      </c>
      <c r="BR1381" s="2126">
        <v>0</v>
      </c>
    </row>
    <row r="1382" spans="1:70" s="1765" customFormat="1" ht="33">
      <c r="A1382" s="1272">
        <v>5000</v>
      </c>
      <c r="B1382" s="971" t="s">
        <v>2119</v>
      </c>
      <c r="C1382" s="1272">
        <v>5100</v>
      </c>
      <c r="D1382" s="971" t="s">
        <v>78</v>
      </c>
      <c r="E1382" s="971">
        <v>5140</v>
      </c>
      <c r="F1382" s="971" t="s">
        <v>176</v>
      </c>
      <c r="G1382" s="971">
        <v>5140</v>
      </c>
      <c r="H1382" s="971" t="s">
        <v>176</v>
      </c>
      <c r="I1382" s="1273" t="s">
        <v>2306</v>
      </c>
      <c r="J1382" s="971" t="s">
        <v>2146</v>
      </c>
      <c r="K1382" s="971" t="s">
        <v>2129</v>
      </c>
      <c r="L1382" s="971" t="s">
        <v>2130</v>
      </c>
      <c r="M1382" s="971" t="s">
        <v>2129</v>
      </c>
      <c r="N1382" s="971" t="s">
        <v>176</v>
      </c>
      <c r="O1382" s="971" t="s">
        <v>2130</v>
      </c>
      <c r="P1382" s="971"/>
      <c r="Q1382" s="971" t="s">
        <v>2307</v>
      </c>
      <c r="R1382" s="1266"/>
      <c r="S1382" s="2106">
        <v>-6</v>
      </c>
      <c r="T1382" s="1266" t="s">
        <v>242</v>
      </c>
      <c r="U1382" s="1742">
        <v>6.666666666666667</v>
      </c>
      <c r="V1382" s="1742">
        <v>20.833333333333336</v>
      </c>
      <c r="W1382" s="1742">
        <v>587.6</v>
      </c>
      <c r="X1382" s="1742">
        <v>229.78333333333333</v>
      </c>
      <c r="Y1382" s="2106">
        <v>838.2166666666667</v>
      </c>
      <c r="Z1382" s="2106">
        <v>-40</v>
      </c>
      <c r="AA1382" s="2106">
        <v>-125.00000000000001</v>
      </c>
      <c r="AB1382" s="2106">
        <v>-3525.6000000000004</v>
      </c>
      <c r="AC1382" s="2106">
        <v>-1378.7</v>
      </c>
      <c r="AD1382" s="1744">
        <v>-5029.3</v>
      </c>
      <c r="AE1382" s="2126">
        <v>4</v>
      </c>
      <c r="AF1382" s="2126">
        <v>-24</v>
      </c>
      <c r="AG1382" s="1212">
        <v>1</v>
      </c>
      <c r="AH1382" s="1212">
        <v>0</v>
      </c>
      <c r="AI1382" s="1212">
        <v>0</v>
      </c>
      <c r="AJ1382" s="1212">
        <v>1</v>
      </c>
      <c r="AK1382" s="2126">
        <v>-5029.3</v>
      </c>
      <c r="AL1382" s="2126">
        <v>0</v>
      </c>
      <c r="AM1382" s="2126">
        <v>0</v>
      </c>
      <c r="AN1382" s="2126">
        <v>-5029.3</v>
      </c>
      <c r="AO1382" s="1743" t="s">
        <v>85</v>
      </c>
      <c r="AP1382" s="1743" t="s">
        <v>96</v>
      </c>
      <c r="AQ1382" s="1764" t="s">
        <v>192</v>
      </c>
      <c r="AR1382" s="1743" t="s">
        <v>87</v>
      </c>
      <c r="AS1382" s="2135"/>
      <c r="AT1382" s="2135"/>
      <c r="AU1382" s="1212">
        <v>1</v>
      </c>
      <c r="AV1382" s="1212"/>
      <c r="AW1382" s="1212"/>
      <c r="AX1382" s="1212"/>
      <c r="AY1382" s="1212"/>
      <c r="AZ1382" s="1212"/>
      <c r="BA1382" s="1212"/>
      <c r="BB1382" s="1212"/>
      <c r="BC1382" s="1212"/>
      <c r="BD1382" s="1212"/>
      <c r="BE1382" s="1212"/>
      <c r="BF1382" s="2126">
        <v>0</v>
      </c>
      <c r="BG1382" s="2126">
        <v>0</v>
      </c>
      <c r="BH1382" s="2126">
        <v>-5029.3</v>
      </c>
      <c r="BI1382" s="2126">
        <v>0</v>
      </c>
      <c r="BJ1382" s="2126">
        <v>0</v>
      </c>
      <c r="BK1382" s="2126">
        <v>0</v>
      </c>
      <c r="BL1382" s="2126">
        <v>0</v>
      </c>
      <c r="BM1382" s="2126">
        <v>0</v>
      </c>
      <c r="BN1382" s="2126">
        <v>0</v>
      </c>
      <c r="BO1382" s="2126">
        <v>0</v>
      </c>
      <c r="BP1382" s="2126">
        <v>0</v>
      </c>
      <c r="BQ1382" s="2126">
        <v>0</v>
      </c>
      <c r="BR1382" s="2126">
        <v>0</v>
      </c>
    </row>
    <row r="1383" spans="1:70" s="1765" customFormat="1" ht="33">
      <c r="A1383" s="1272">
        <v>5000</v>
      </c>
      <c r="B1383" s="971" t="s">
        <v>2119</v>
      </c>
      <c r="C1383" s="1272">
        <v>5100</v>
      </c>
      <c r="D1383" s="971" t="s">
        <v>78</v>
      </c>
      <c r="E1383" s="971">
        <v>5140</v>
      </c>
      <c r="F1383" s="971" t="s">
        <v>176</v>
      </c>
      <c r="G1383" s="971">
        <v>5140</v>
      </c>
      <c r="H1383" s="971" t="s">
        <v>176</v>
      </c>
      <c r="I1383" s="1273" t="s">
        <v>2306</v>
      </c>
      <c r="J1383" s="971" t="s">
        <v>2146</v>
      </c>
      <c r="K1383" s="971" t="s">
        <v>2129</v>
      </c>
      <c r="L1383" s="971" t="s">
        <v>2130</v>
      </c>
      <c r="M1383" s="971" t="s">
        <v>2129</v>
      </c>
      <c r="N1383" s="971" t="s">
        <v>176</v>
      </c>
      <c r="O1383" s="971" t="s">
        <v>2130</v>
      </c>
      <c r="P1383" s="971"/>
      <c r="Q1383" s="971" t="s">
        <v>2307</v>
      </c>
      <c r="R1383" s="1266" t="s">
        <v>2308</v>
      </c>
      <c r="S1383" s="2106">
        <v>9</v>
      </c>
      <c r="T1383" s="1266" t="s">
        <v>242</v>
      </c>
      <c r="U1383" s="1742">
        <v>6.666666666666667</v>
      </c>
      <c r="V1383" s="1742">
        <v>20.833333333333336</v>
      </c>
      <c r="W1383" s="1742">
        <v>587.6</v>
      </c>
      <c r="X1383" s="1742">
        <v>229.78333333333333</v>
      </c>
      <c r="Y1383" s="2106">
        <v>838.2166666666667</v>
      </c>
      <c r="Z1383" s="2106">
        <v>60</v>
      </c>
      <c r="AA1383" s="2106">
        <v>187.50000000000003</v>
      </c>
      <c r="AB1383" s="2106">
        <v>5288.4000000000005</v>
      </c>
      <c r="AC1383" s="2106">
        <v>2068.0500000000002</v>
      </c>
      <c r="AD1383" s="1744">
        <v>7543.9500000000007</v>
      </c>
      <c r="AE1383" s="2126">
        <v>4</v>
      </c>
      <c r="AF1383" s="2126">
        <v>36</v>
      </c>
      <c r="AG1383" s="1212">
        <v>1</v>
      </c>
      <c r="AH1383" s="1212">
        <v>0</v>
      </c>
      <c r="AI1383" s="1212">
        <v>0</v>
      </c>
      <c r="AJ1383" s="1212">
        <v>1</v>
      </c>
      <c r="AK1383" s="2126">
        <v>7543.9500000000007</v>
      </c>
      <c r="AL1383" s="2126">
        <v>0</v>
      </c>
      <c r="AM1383" s="2126">
        <v>0</v>
      </c>
      <c r="AN1383" s="2126">
        <v>7543.9500000000007</v>
      </c>
      <c r="AO1383" s="1743" t="s">
        <v>85</v>
      </c>
      <c r="AP1383" s="1743" t="s">
        <v>90</v>
      </c>
      <c r="AQ1383" s="1764" t="s">
        <v>115</v>
      </c>
      <c r="AR1383" s="1743" t="s">
        <v>87</v>
      </c>
      <c r="AS1383" s="2135"/>
      <c r="AT1383" s="2135"/>
      <c r="AU1383" s="1212">
        <v>1</v>
      </c>
      <c r="AV1383" s="1212"/>
      <c r="AW1383" s="1212"/>
      <c r="AX1383" s="1212"/>
      <c r="AY1383" s="1212"/>
      <c r="AZ1383" s="1212"/>
      <c r="BA1383" s="1212"/>
      <c r="BB1383" s="1212"/>
      <c r="BC1383" s="1212"/>
      <c r="BD1383" s="1212"/>
      <c r="BE1383" s="1212"/>
      <c r="BF1383" s="2126">
        <v>0</v>
      </c>
      <c r="BG1383" s="2126">
        <v>0</v>
      </c>
      <c r="BH1383" s="2126">
        <v>7543.9500000000007</v>
      </c>
      <c r="BI1383" s="2126">
        <v>0</v>
      </c>
      <c r="BJ1383" s="2126">
        <v>0</v>
      </c>
      <c r="BK1383" s="2126">
        <v>0</v>
      </c>
      <c r="BL1383" s="2126">
        <v>0</v>
      </c>
      <c r="BM1383" s="2126">
        <v>0</v>
      </c>
      <c r="BN1383" s="2126">
        <v>0</v>
      </c>
      <c r="BO1383" s="2126">
        <v>0</v>
      </c>
      <c r="BP1383" s="2126">
        <v>0</v>
      </c>
      <c r="BQ1383" s="2126">
        <v>0</v>
      </c>
      <c r="BR1383" s="2126">
        <v>0</v>
      </c>
    </row>
    <row r="1384" spans="1:70" s="1765" customFormat="1" ht="33">
      <c r="A1384" s="1272">
        <v>5000</v>
      </c>
      <c r="B1384" s="971" t="s">
        <v>2119</v>
      </c>
      <c r="C1384" s="1272">
        <v>5100</v>
      </c>
      <c r="D1384" s="971" t="s">
        <v>78</v>
      </c>
      <c r="E1384" s="971">
        <v>5140</v>
      </c>
      <c r="F1384" s="971" t="s">
        <v>176</v>
      </c>
      <c r="G1384" s="971">
        <v>5140</v>
      </c>
      <c r="H1384" s="971" t="s">
        <v>176</v>
      </c>
      <c r="I1384" s="1273"/>
      <c r="J1384" s="971" t="s">
        <v>2146</v>
      </c>
      <c r="K1384" s="971" t="s">
        <v>2125</v>
      </c>
      <c r="L1384" s="971" t="s">
        <v>2126</v>
      </c>
      <c r="M1384" s="971" t="s">
        <v>2125</v>
      </c>
      <c r="N1384" s="971" t="s">
        <v>176</v>
      </c>
      <c r="O1384" s="971" t="s">
        <v>2126</v>
      </c>
      <c r="P1384" s="971"/>
      <c r="Q1384" s="971" t="s">
        <v>2309</v>
      </c>
      <c r="R1384" s="1266" t="s">
        <v>2310</v>
      </c>
      <c r="S1384" s="2106">
        <v>1</v>
      </c>
      <c r="T1384" s="1266" t="s">
        <v>242</v>
      </c>
      <c r="U1384" s="1742">
        <v>13</v>
      </c>
      <c r="V1384" s="1742">
        <v>100</v>
      </c>
      <c r="W1384" s="1742">
        <v>1145.82</v>
      </c>
      <c r="X1384" s="1742">
        <v>1102.96</v>
      </c>
      <c r="Y1384" s="2106">
        <v>2348.7799999999997</v>
      </c>
      <c r="Z1384" s="2106">
        <v>13</v>
      </c>
      <c r="AA1384" s="2106">
        <v>100</v>
      </c>
      <c r="AB1384" s="2106">
        <v>1145.82</v>
      </c>
      <c r="AC1384" s="2106">
        <v>1102.96</v>
      </c>
      <c r="AD1384" s="1744">
        <v>2348.7799999999997</v>
      </c>
      <c r="AE1384" s="2126">
        <v>96</v>
      </c>
      <c r="AF1384" s="2126">
        <v>96</v>
      </c>
      <c r="AG1384" s="1212">
        <v>1</v>
      </c>
      <c r="AH1384" s="1212">
        <v>0</v>
      </c>
      <c r="AI1384" s="1212">
        <v>0</v>
      </c>
      <c r="AJ1384" s="1212">
        <v>1</v>
      </c>
      <c r="AK1384" s="2126">
        <v>2348.7799999999997</v>
      </c>
      <c r="AL1384" s="2126">
        <v>0</v>
      </c>
      <c r="AM1384" s="2126">
        <v>0</v>
      </c>
      <c r="AN1384" s="2126">
        <v>2348.7799999999997</v>
      </c>
      <c r="AO1384" s="1743" t="s">
        <v>85</v>
      </c>
      <c r="AP1384" s="1743" t="s">
        <v>90</v>
      </c>
      <c r="AQ1384" s="1764">
        <v>2022</v>
      </c>
      <c r="AR1384" s="1743" t="s">
        <v>87</v>
      </c>
      <c r="AS1384" s="2135"/>
      <c r="AT1384" s="2135"/>
      <c r="AU1384" s="1212">
        <v>1</v>
      </c>
      <c r="AV1384" s="1212"/>
      <c r="AW1384" s="1212"/>
      <c r="AX1384" s="1212"/>
      <c r="AY1384" s="1212"/>
      <c r="AZ1384" s="1212"/>
      <c r="BA1384" s="1212"/>
      <c r="BB1384" s="1212"/>
      <c r="BC1384" s="1212"/>
      <c r="BD1384" s="1212"/>
      <c r="BE1384" s="1212"/>
      <c r="BF1384" s="2126">
        <v>0</v>
      </c>
      <c r="BG1384" s="2126">
        <v>0</v>
      </c>
      <c r="BH1384" s="2126">
        <v>2348.7799999999997</v>
      </c>
      <c r="BI1384" s="2126">
        <v>0</v>
      </c>
      <c r="BJ1384" s="2126">
        <v>0</v>
      </c>
      <c r="BK1384" s="2126">
        <v>0</v>
      </c>
      <c r="BL1384" s="2126">
        <v>0</v>
      </c>
      <c r="BM1384" s="2126">
        <v>0</v>
      </c>
      <c r="BN1384" s="2126">
        <v>0</v>
      </c>
      <c r="BO1384" s="2126">
        <v>0</v>
      </c>
      <c r="BP1384" s="2126">
        <v>0</v>
      </c>
      <c r="BQ1384" s="2126">
        <v>0</v>
      </c>
      <c r="BR1384" s="2126">
        <v>0</v>
      </c>
    </row>
    <row r="1385" spans="1:70" s="1765" customFormat="1" ht="33">
      <c r="A1385" s="1272">
        <v>5000</v>
      </c>
      <c r="B1385" s="971" t="s">
        <v>2119</v>
      </c>
      <c r="C1385" s="1272">
        <v>5100</v>
      </c>
      <c r="D1385" s="971" t="s">
        <v>78</v>
      </c>
      <c r="E1385" s="971">
        <v>5140</v>
      </c>
      <c r="F1385" s="971" t="s">
        <v>176</v>
      </c>
      <c r="G1385" s="971">
        <v>5140</v>
      </c>
      <c r="H1385" s="971" t="s">
        <v>176</v>
      </c>
      <c r="I1385" s="1273"/>
      <c r="J1385" s="971" t="s">
        <v>2146</v>
      </c>
      <c r="K1385" s="971" t="s">
        <v>2125</v>
      </c>
      <c r="L1385" s="971" t="s">
        <v>2126</v>
      </c>
      <c r="M1385" s="971" t="s">
        <v>2125</v>
      </c>
      <c r="N1385" s="971" t="s">
        <v>176</v>
      </c>
      <c r="O1385" s="971" t="s">
        <v>2126</v>
      </c>
      <c r="P1385" s="971"/>
      <c r="Q1385" s="971" t="s">
        <v>2181</v>
      </c>
      <c r="R1385" s="1266" t="s">
        <v>2311</v>
      </c>
      <c r="S1385" s="2106">
        <v>1</v>
      </c>
      <c r="T1385" s="1266" t="s">
        <v>242</v>
      </c>
      <c r="U1385" s="1742">
        <v>13</v>
      </c>
      <c r="V1385" s="1742">
        <v>100</v>
      </c>
      <c r="W1385" s="1742">
        <v>1145.82</v>
      </c>
      <c r="X1385" s="1742">
        <v>1102.96</v>
      </c>
      <c r="Y1385" s="2106">
        <v>2348.7799999999997</v>
      </c>
      <c r="Z1385" s="2106">
        <v>13</v>
      </c>
      <c r="AA1385" s="2106">
        <v>100</v>
      </c>
      <c r="AB1385" s="2106">
        <v>1145.82</v>
      </c>
      <c r="AC1385" s="2106">
        <v>1102.96</v>
      </c>
      <c r="AD1385" s="1744">
        <v>2348.7799999999997</v>
      </c>
      <c r="AE1385" s="2126">
        <v>96</v>
      </c>
      <c r="AF1385" s="2126">
        <v>96</v>
      </c>
      <c r="AG1385" s="1212">
        <v>1</v>
      </c>
      <c r="AH1385" s="1212">
        <v>0</v>
      </c>
      <c r="AI1385" s="1212">
        <v>0</v>
      </c>
      <c r="AJ1385" s="1212">
        <v>1</v>
      </c>
      <c r="AK1385" s="2126">
        <v>2348.7799999999997</v>
      </c>
      <c r="AL1385" s="2126">
        <v>0</v>
      </c>
      <c r="AM1385" s="2126">
        <v>0</v>
      </c>
      <c r="AN1385" s="2126">
        <v>2348.7799999999997</v>
      </c>
      <c r="AO1385" s="1743" t="s">
        <v>85</v>
      </c>
      <c r="AP1385" s="1743" t="s">
        <v>90</v>
      </c>
      <c r="AQ1385" s="1764">
        <v>2022</v>
      </c>
      <c r="AR1385" s="1743" t="s">
        <v>87</v>
      </c>
      <c r="AS1385" s="2135"/>
      <c r="AT1385" s="2135"/>
      <c r="AU1385" s="1212">
        <v>1</v>
      </c>
      <c r="AV1385" s="1212"/>
      <c r="AW1385" s="1212"/>
      <c r="AX1385" s="1212"/>
      <c r="AY1385" s="1212"/>
      <c r="AZ1385" s="1212"/>
      <c r="BA1385" s="1212"/>
      <c r="BB1385" s="1212"/>
      <c r="BC1385" s="1212"/>
      <c r="BD1385" s="1212"/>
      <c r="BE1385" s="1212"/>
      <c r="BF1385" s="2126">
        <v>0</v>
      </c>
      <c r="BG1385" s="2126">
        <v>0</v>
      </c>
      <c r="BH1385" s="2126">
        <v>2348.7799999999997</v>
      </c>
      <c r="BI1385" s="2126">
        <v>0</v>
      </c>
      <c r="BJ1385" s="2126">
        <v>0</v>
      </c>
      <c r="BK1385" s="2126">
        <v>0</v>
      </c>
      <c r="BL1385" s="2126">
        <v>0</v>
      </c>
      <c r="BM1385" s="2126">
        <v>0</v>
      </c>
      <c r="BN1385" s="2126">
        <v>0</v>
      </c>
      <c r="BO1385" s="2126">
        <v>0</v>
      </c>
      <c r="BP1385" s="2126">
        <v>0</v>
      </c>
      <c r="BQ1385" s="2126">
        <v>0</v>
      </c>
      <c r="BR1385" s="2126">
        <v>0</v>
      </c>
    </row>
    <row r="1386" spans="1:70" s="1765" customFormat="1" ht="33">
      <c r="A1386" s="1272">
        <v>5000</v>
      </c>
      <c r="B1386" s="971" t="s">
        <v>2119</v>
      </c>
      <c r="C1386" s="1272">
        <v>5100</v>
      </c>
      <c r="D1386" s="971" t="s">
        <v>78</v>
      </c>
      <c r="E1386" s="971">
        <v>5140</v>
      </c>
      <c r="F1386" s="971" t="s">
        <v>176</v>
      </c>
      <c r="G1386" s="971">
        <v>5140</v>
      </c>
      <c r="H1386" s="971" t="s">
        <v>176</v>
      </c>
      <c r="I1386" s="1273"/>
      <c r="J1386" s="971" t="s">
        <v>2146</v>
      </c>
      <c r="K1386" s="971" t="s">
        <v>2125</v>
      </c>
      <c r="L1386" s="971" t="s">
        <v>2126</v>
      </c>
      <c r="M1386" s="971" t="s">
        <v>2125</v>
      </c>
      <c r="N1386" s="971" t="s">
        <v>176</v>
      </c>
      <c r="O1386" s="971" t="s">
        <v>2126</v>
      </c>
      <c r="P1386" s="971"/>
      <c r="Q1386" s="971" t="s">
        <v>2309</v>
      </c>
      <c r="R1386" s="1266" t="s">
        <v>2310</v>
      </c>
      <c r="S1386" s="2106">
        <v>-1</v>
      </c>
      <c r="T1386" s="1266" t="s">
        <v>242</v>
      </c>
      <c r="U1386" s="1742">
        <v>13</v>
      </c>
      <c r="V1386" s="1742">
        <v>100</v>
      </c>
      <c r="W1386" s="1742">
        <v>1145.82</v>
      </c>
      <c r="X1386" s="1742">
        <v>1102.96</v>
      </c>
      <c r="Y1386" s="2106">
        <v>2348.7799999999997</v>
      </c>
      <c r="Z1386" s="2106">
        <v>-13</v>
      </c>
      <c r="AA1386" s="2106">
        <v>-100</v>
      </c>
      <c r="AB1386" s="2106">
        <v>-1145.82</v>
      </c>
      <c r="AC1386" s="2106">
        <v>-1102.96</v>
      </c>
      <c r="AD1386" s="1744">
        <v>-2348.7799999999997</v>
      </c>
      <c r="AE1386" s="2126">
        <v>96</v>
      </c>
      <c r="AF1386" s="2126">
        <v>-96</v>
      </c>
      <c r="AG1386" s="1212">
        <v>1</v>
      </c>
      <c r="AH1386" s="1212">
        <v>0</v>
      </c>
      <c r="AI1386" s="1212">
        <v>0</v>
      </c>
      <c r="AJ1386" s="1212">
        <v>1</v>
      </c>
      <c r="AK1386" s="2126">
        <v>-2348.7799999999997</v>
      </c>
      <c r="AL1386" s="2126">
        <v>0</v>
      </c>
      <c r="AM1386" s="2126">
        <v>0</v>
      </c>
      <c r="AN1386" s="2126">
        <v>-2348.7799999999997</v>
      </c>
      <c r="AO1386" s="1743" t="s">
        <v>85</v>
      </c>
      <c r="AP1386" s="1743" t="s">
        <v>96</v>
      </c>
      <c r="AQ1386" s="1764" t="s">
        <v>118</v>
      </c>
      <c r="AR1386" s="1743" t="s">
        <v>87</v>
      </c>
      <c r="AS1386" s="2135"/>
      <c r="AT1386" s="2135"/>
      <c r="AU1386" s="1212">
        <v>1</v>
      </c>
      <c r="AV1386" s="1212"/>
      <c r="AW1386" s="1212"/>
      <c r="AX1386" s="1212"/>
      <c r="AY1386" s="1212"/>
      <c r="AZ1386" s="1212"/>
      <c r="BA1386" s="1212"/>
      <c r="BB1386" s="1212"/>
      <c r="BC1386" s="1212"/>
      <c r="BD1386" s="1212"/>
      <c r="BE1386" s="1212"/>
      <c r="BF1386" s="2126">
        <v>0</v>
      </c>
      <c r="BG1386" s="2126">
        <v>0</v>
      </c>
      <c r="BH1386" s="2126">
        <v>-2348.7799999999997</v>
      </c>
      <c r="BI1386" s="2126">
        <v>0</v>
      </c>
      <c r="BJ1386" s="2126">
        <v>0</v>
      </c>
      <c r="BK1386" s="2126">
        <v>0</v>
      </c>
      <c r="BL1386" s="2126">
        <v>0</v>
      </c>
      <c r="BM1386" s="2126">
        <v>0</v>
      </c>
      <c r="BN1386" s="2126">
        <v>0</v>
      </c>
      <c r="BO1386" s="2126">
        <v>0</v>
      </c>
      <c r="BP1386" s="2126">
        <v>0</v>
      </c>
      <c r="BQ1386" s="2126">
        <v>0</v>
      </c>
      <c r="BR1386" s="2126">
        <v>0</v>
      </c>
    </row>
    <row r="1387" spans="1:70" s="1765" customFormat="1" ht="33">
      <c r="A1387" s="1272">
        <v>5000</v>
      </c>
      <c r="B1387" s="971" t="s">
        <v>2119</v>
      </c>
      <c r="C1387" s="1272">
        <v>5100</v>
      </c>
      <c r="D1387" s="971" t="s">
        <v>78</v>
      </c>
      <c r="E1387" s="971">
        <v>5140</v>
      </c>
      <c r="F1387" s="971" t="s">
        <v>176</v>
      </c>
      <c r="G1387" s="971">
        <v>5140</v>
      </c>
      <c r="H1387" s="971" t="s">
        <v>176</v>
      </c>
      <c r="I1387" s="1273"/>
      <c r="J1387" s="971" t="s">
        <v>2146</v>
      </c>
      <c r="K1387" s="971" t="s">
        <v>2125</v>
      </c>
      <c r="L1387" s="971" t="s">
        <v>2126</v>
      </c>
      <c r="M1387" s="971" t="s">
        <v>2125</v>
      </c>
      <c r="N1387" s="971" t="s">
        <v>176</v>
      </c>
      <c r="O1387" s="971" t="s">
        <v>2126</v>
      </c>
      <c r="P1387" s="971"/>
      <c r="Q1387" s="971" t="s">
        <v>2181</v>
      </c>
      <c r="R1387" s="1266" t="s">
        <v>2311</v>
      </c>
      <c r="S1387" s="2106">
        <v>-1</v>
      </c>
      <c r="T1387" s="1266" t="s">
        <v>242</v>
      </c>
      <c r="U1387" s="1742">
        <v>13</v>
      </c>
      <c r="V1387" s="1742">
        <v>100</v>
      </c>
      <c r="W1387" s="1742">
        <v>1145.82</v>
      </c>
      <c r="X1387" s="1742">
        <v>1102.96</v>
      </c>
      <c r="Y1387" s="2106">
        <v>2348.7799999999997</v>
      </c>
      <c r="Z1387" s="2106">
        <v>-13</v>
      </c>
      <c r="AA1387" s="2106">
        <v>-100</v>
      </c>
      <c r="AB1387" s="2106">
        <v>-1145.82</v>
      </c>
      <c r="AC1387" s="2106">
        <v>-1102.96</v>
      </c>
      <c r="AD1387" s="1744">
        <v>-2348.7799999999997</v>
      </c>
      <c r="AE1387" s="2126">
        <v>96</v>
      </c>
      <c r="AF1387" s="2126">
        <v>-96</v>
      </c>
      <c r="AG1387" s="1212">
        <v>1</v>
      </c>
      <c r="AH1387" s="1212">
        <v>0</v>
      </c>
      <c r="AI1387" s="1212">
        <v>0</v>
      </c>
      <c r="AJ1387" s="1212">
        <v>1</v>
      </c>
      <c r="AK1387" s="2126">
        <v>-2348.7799999999997</v>
      </c>
      <c r="AL1387" s="2126">
        <v>0</v>
      </c>
      <c r="AM1387" s="2126">
        <v>0</v>
      </c>
      <c r="AN1387" s="2126">
        <v>-2348.7799999999997</v>
      </c>
      <c r="AO1387" s="1743" t="s">
        <v>85</v>
      </c>
      <c r="AP1387" s="1743" t="s">
        <v>96</v>
      </c>
      <c r="AQ1387" s="1764" t="s">
        <v>118</v>
      </c>
      <c r="AR1387" s="1743" t="s">
        <v>87</v>
      </c>
      <c r="AS1387" s="2135"/>
      <c r="AT1387" s="2135"/>
      <c r="AU1387" s="1212">
        <v>1</v>
      </c>
      <c r="AV1387" s="1212"/>
      <c r="AW1387" s="1212"/>
      <c r="AX1387" s="1212"/>
      <c r="AY1387" s="1212"/>
      <c r="AZ1387" s="1212"/>
      <c r="BA1387" s="1212"/>
      <c r="BB1387" s="1212"/>
      <c r="BC1387" s="1212"/>
      <c r="BD1387" s="1212"/>
      <c r="BE1387" s="1212"/>
      <c r="BF1387" s="2126">
        <v>0</v>
      </c>
      <c r="BG1387" s="2126">
        <v>0</v>
      </c>
      <c r="BH1387" s="2126">
        <v>-2348.7799999999997</v>
      </c>
      <c r="BI1387" s="2126">
        <v>0</v>
      </c>
      <c r="BJ1387" s="2126">
        <v>0</v>
      </c>
      <c r="BK1387" s="2126">
        <v>0</v>
      </c>
      <c r="BL1387" s="2126">
        <v>0</v>
      </c>
      <c r="BM1387" s="2126">
        <v>0</v>
      </c>
      <c r="BN1387" s="2126">
        <v>0</v>
      </c>
      <c r="BO1387" s="2126">
        <v>0</v>
      </c>
      <c r="BP1387" s="2126">
        <v>0</v>
      </c>
      <c r="BQ1387" s="2126">
        <v>0</v>
      </c>
      <c r="BR1387" s="2126">
        <v>0</v>
      </c>
    </row>
    <row r="1388" spans="1:70" s="1765" customFormat="1" ht="33">
      <c r="A1388" s="1272">
        <v>5000</v>
      </c>
      <c r="B1388" s="971" t="s">
        <v>2119</v>
      </c>
      <c r="C1388" s="1272">
        <v>5100</v>
      </c>
      <c r="D1388" s="971" t="s">
        <v>78</v>
      </c>
      <c r="E1388" s="971">
        <v>5140</v>
      </c>
      <c r="F1388" s="971" t="s">
        <v>176</v>
      </c>
      <c r="G1388" s="971">
        <v>5140</v>
      </c>
      <c r="H1388" s="971" t="s">
        <v>176</v>
      </c>
      <c r="I1388" s="1273"/>
      <c r="J1388" s="971" t="s">
        <v>2146</v>
      </c>
      <c r="K1388" s="971" t="s">
        <v>2127</v>
      </c>
      <c r="L1388" s="971" t="s">
        <v>2177</v>
      </c>
      <c r="M1388" s="971" t="s">
        <v>2127</v>
      </c>
      <c r="N1388" s="971" t="s">
        <v>176</v>
      </c>
      <c r="O1388" s="971" t="s">
        <v>2177</v>
      </c>
      <c r="P1388" s="971"/>
      <c r="Q1388" s="971" t="s">
        <v>2312</v>
      </c>
      <c r="R1388" s="1266" t="s">
        <v>2051</v>
      </c>
      <c r="S1388" s="2106">
        <v>2</v>
      </c>
      <c r="T1388" s="1266" t="s">
        <v>242</v>
      </c>
      <c r="U1388" s="1742">
        <v>10</v>
      </c>
      <c r="V1388" s="1742">
        <v>37.5</v>
      </c>
      <c r="W1388" s="1742">
        <v>881.4</v>
      </c>
      <c r="X1388" s="1742">
        <v>413.61</v>
      </c>
      <c r="Y1388" s="2106">
        <v>1332.51</v>
      </c>
      <c r="Z1388" s="2106">
        <v>20</v>
      </c>
      <c r="AA1388" s="2106">
        <v>75</v>
      </c>
      <c r="AB1388" s="2106">
        <v>1762.8</v>
      </c>
      <c r="AC1388" s="2106">
        <v>827.22</v>
      </c>
      <c r="AD1388" s="1744">
        <v>2665.02</v>
      </c>
      <c r="AE1388" s="2126">
        <v>24</v>
      </c>
      <c r="AF1388" s="2126">
        <v>48</v>
      </c>
      <c r="AG1388" s="1212">
        <v>1</v>
      </c>
      <c r="AH1388" s="1212">
        <v>0</v>
      </c>
      <c r="AI1388" s="1212">
        <v>0</v>
      </c>
      <c r="AJ1388" s="1212">
        <v>1</v>
      </c>
      <c r="AK1388" s="2126">
        <v>2665.02</v>
      </c>
      <c r="AL1388" s="2126">
        <v>0</v>
      </c>
      <c r="AM1388" s="2126">
        <v>0</v>
      </c>
      <c r="AN1388" s="2126">
        <v>2665.02</v>
      </c>
      <c r="AO1388" s="1743" t="s">
        <v>85</v>
      </c>
      <c r="AP1388" s="1743" t="s">
        <v>90</v>
      </c>
      <c r="AQ1388" s="1764">
        <v>2022</v>
      </c>
      <c r="AR1388" s="1743" t="s">
        <v>87</v>
      </c>
      <c r="AS1388" s="2135"/>
      <c r="AT1388" s="2135"/>
      <c r="AU1388" s="1212">
        <v>1</v>
      </c>
      <c r="AV1388" s="1212"/>
      <c r="AW1388" s="1212"/>
      <c r="AX1388" s="1212"/>
      <c r="AY1388" s="1212"/>
      <c r="AZ1388" s="1212"/>
      <c r="BA1388" s="1212"/>
      <c r="BB1388" s="1212"/>
      <c r="BC1388" s="1212"/>
      <c r="BD1388" s="1212"/>
      <c r="BE1388" s="1212"/>
      <c r="BF1388" s="2126">
        <v>0</v>
      </c>
      <c r="BG1388" s="2126">
        <v>0</v>
      </c>
      <c r="BH1388" s="2126">
        <v>2665.02</v>
      </c>
      <c r="BI1388" s="2126">
        <v>0</v>
      </c>
      <c r="BJ1388" s="2126">
        <v>0</v>
      </c>
      <c r="BK1388" s="2126">
        <v>0</v>
      </c>
      <c r="BL1388" s="2126">
        <v>0</v>
      </c>
      <c r="BM1388" s="2126">
        <v>0</v>
      </c>
      <c r="BN1388" s="2126">
        <v>0</v>
      </c>
      <c r="BO1388" s="2126">
        <v>0</v>
      </c>
      <c r="BP1388" s="2126">
        <v>0</v>
      </c>
      <c r="BQ1388" s="2126">
        <v>0</v>
      </c>
      <c r="BR1388" s="2126">
        <v>0</v>
      </c>
    </row>
    <row r="1389" spans="1:70" s="1765" customFormat="1" ht="33">
      <c r="A1389" s="1272">
        <v>5000</v>
      </c>
      <c r="B1389" s="971" t="s">
        <v>2119</v>
      </c>
      <c r="C1389" s="1272">
        <v>5100</v>
      </c>
      <c r="D1389" s="971" t="s">
        <v>78</v>
      </c>
      <c r="E1389" s="971">
        <v>5140</v>
      </c>
      <c r="F1389" s="971" t="s">
        <v>176</v>
      </c>
      <c r="G1389" s="971">
        <v>5140</v>
      </c>
      <c r="H1389" s="971" t="s">
        <v>176</v>
      </c>
      <c r="I1389" s="1273"/>
      <c r="J1389" s="971" t="s">
        <v>2146</v>
      </c>
      <c r="K1389" s="971" t="s">
        <v>2127</v>
      </c>
      <c r="L1389" s="971" t="s">
        <v>2177</v>
      </c>
      <c r="M1389" s="971" t="s">
        <v>2127</v>
      </c>
      <c r="N1389" s="971" t="s">
        <v>176</v>
      </c>
      <c r="O1389" s="971" t="s">
        <v>2177</v>
      </c>
      <c r="P1389" s="971"/>
      <c r="Q1389" s="971" t="s">
        <v>2312</v>
      </c>
      <c r="R1389" s="1266" t="s">
        <v>2051</v>
      </c>
      <c r="S1389" s="2106">
        <v>-2</v>
      </c>
      <c r="T1389" s="1266" t="s">
        <v>242</v>
      </c>
      <c r="U1389" s="1742">
        <v>10</v>
      </c>
      <c r="V1389" s="1742">
        <v>37.5</v>
      </c>
      <c r="W1389" s="1742">
        <v>881.4</v>
      </c>
      <c r="X1389" s="1742">
        <v>413.61</v>
      </c>
      <c r="Y1389" s="2106">
        <v>1332.51</v>
      </c>
      <c r="Z1389" s="2106">
        <v>-20</v>
      </c>
      <c r="AA1389" s="2106">
        <v>-75</v>
      </c>
      <c r="AB1389" s="2106">
        <v>-1762.8</v>
      </c>
      <c r="AC1389" s="2106">
        <v>-827.22</v>
      </c>
      <c r="AD1389" s="1744">
        <v>-2665.02</v>
      </c>
      <c r="AE1389" s="2126">
        <v>24</v>
      </c>
      <c r="AF1389" s="2126">
        <v>-48</v>
      </c>
      <c r="AG1389" s="1212">
        <v>1</v>
      </c>
      <c r="AH1389" s="1212">
        <v>0</v>
      </c>
      <c r="AI1389" s="1212">
        <v>0</v>
      </c>
      <c r="AJ1389" s="1212">
        <v>1</v>
      </c>
      <c r="AK1389" s="2126">
        <v>-2665.02</v>
      </c>
      <c r="AL1389" s="2126">
        <v>0</v>
      </c>
      <c r="AM1389" s="2126">
        <v>0</v>
      </c>
      <c r="AN1389" s="2126">
        <v>-2665.02</v>
      </c>
      <c r="AO1389" s="1743" t="s">
        <v>85</v>
      </c>
      <c r="AP1389" s="1743" t="s">
        <v>96</v>
      </c>
      <c r="AQ1389" s="1764" t="s">
        <v>118</v>
      </c>
      <c r="AR1389" s="1743" t="s">
        <v>87</v>
      </c>
      <c r="AS1389" s="2135"/>
      <c r="AT1389" s="2135"/>
      <c r="AU1389" s="1212">
        <v>1</v>
      </c>
      <c r="AV1389" s="1212"/>
      <c r="AW1389" s="1212"/>
      <c r="AX1389" s="1212"/>
      <c r="AY1389" s="1212"/>
      <c r="AZ1389" s="1212"/>
      <c r="BA1389" s="1212"/>
      <c r="BB1389" s="1212"/>
      <c r="BC1389" s="1212"/>
      <c r="BD1389" s="1212"/>
      <c r="BE1389" s="1212"/>
      <c r="BF1389" s="2126">
        <v>0</v>
      </c>
      <c r="BG1389" s="2126">
        <v>0</v>
      </c>
      <c r="BH1389" s="2126">
        <v>-2665.02</v>
      </c>
      <c r="BI1389" s="2126">
        <v>0</v>
      </c>
      <c r="BJ1389" s="2126">
        <v>0</v>
      </c>
      <c r="BK1389" s="2126">
        <v>0</v>
      </c>
      <c r="BL1389" s="2126">
        <v>0</v>
      </c>
      <c r="BM1389" s="2126">
        <v>0</v>
      </c>
      <c r="BN1389" s="2126">
        <v>0</v>
      </c>
      <c r="BO1389" s="2126">
        <v>0</v>
      </c>
      <c r="BP1389" s="2126">
        <v>0</v>
      </c>
      <c r="BQ1389" s="2126">
        <v>0</v>
      </c>
      <c r="BR1389" s="2126">
        <v>0</v>
      </c>
    </row>
    <row r="1390" spans="1:70" s="1765" customFormat="1" ht="33">
      <c r="A1390" s="1272">
        <v>5000</v>
      </c>
      <c r="B1390" s="971" t="s">
        <v>2119</v>
      </c>
      <c r="C1390" s="1272">
        <v>5100</v>
      </c>
      <c r="D1390" s="971" t="s">
        <v>78</v>
      </c>
      <c r="E1390" s="971">
        <v>5140</v>
      </c>
      <c r="F1390" s="971" t="s">
        <v>176</v>
      </c>
      <c r="G1390" s="971">
        <v>5140</v>
      </c>
      <c r="H1390" s="971" t="s">
        <v>176</v>
      </c>
      <c r="I1390" s="1273"/>
      <c r="J1390" s="971" t="s">
        <v>2146</v>
      </c>
      <c r="K1390" s="971" t="s">
        <v>2127</v>
      </c>
      <c r="L1390" s="971" t="s">
        <v>2177</v>
      </c>
      <c r="M1390" s="971" t="s">
        <v>2127</v>
      </c>
      <c r="N1390" s="971" t="s">
        <v>176</v>
      </c>
      <c r="O1390" s="971" t="s">
        <v>2177</v>
      </c>
      <c r="P1390" s="971"/>
      <c r="Q1390" s="971" t="s">
        <v>2189</v>
      </c>
      <c r="R1390" s="1266" t="s">
        <v>2313</v>
      </c>
      <c r="S1390" s="2106">
        <v>2</v>
      </c>
      <c r="T1390" s="1266" t="s">
        <v>242</v>
      </c>
      <c r="U1390" s="1742">
        <v>10</v>
      </c>
      <c r="V1390" s="1742">
        <v>37.5</v>
      </c>
      <c r="W1390" s="1742">
        <v>881.4</v>
      </c>
      <c r="X1390" s="1742">
        <v>413.61</v>
      </c>
      <c r="Y1390" s="2106">
        <v>1332.51</v>
      </c>
      <c r="Z1390" s="2106">
        <v>20</v>
      </c>
      <c r="AA1390" s="2106">
        <v>75</v>
      </c>
      <c r="AB1390" s="2106">
        <v>1762.8</v>
      </c>
      <c r="AC1390" s="2106">
        <v>827.22</v>
      </c>
      <c r="AD1390" s="1744">
        <v>2665.02</v>
      </c>
      <c r="AE1390" s="2126">
        <v>24</v>
      </c>
      <c r="AF1390" s="2126">
        <v>48</v>
      </c>
      <c r="AG1390" s="1212">
        <v>1</v>
      </c>
      <c r="AH1390" s="1212">
        <v>0</v>
      </c>
      <c r="AI1390" s="1212">
        <v>0</v>
      </c>
      <c r="AJ1390" s="1212">
        <v>1</v>
      </c>
      <c r="AK1390" s="2126">
        <v>2665.02</v>
      </c>
      <c r="AL1390" s="2126">
        <v>0</v>
      </c>
      <c r="AM1390" s="2126">
        <v>0</v>
      </c>
      <c r="AN1390" s="2126">
        <v>2665.02</v>
      </c>
      <c r="AO1390" s="1743" t="s">
        <v>85</v>
      </c>
      <c r="AP1390" s="1743" t="s">
        <v>90</v>
      </c>
      <c r="AQ1390" s="1764">
        <v>2022</v>
      </c>
      <c r="AR1390" s="1743" t="s">
        <v>87</v>
      </c>
      <c r="AS1390" s="2135"/>
      <c r="AT1390" s="2135"/>
      <c r="AU1390" s="1212">
        <v>1</v>
      </c>
      <c r="AV1390" s="1212"/>
      <c r="AW1390" s="1212"/>
      <c r="AX1390" s="1212"/>
      <c r="AY1390" s="1212"/>
      <c r="AZ1390" s="1212"/>
      <c r="BA1390" s="1212"/>
      <c r="BB1390" s="1212"/>
      <c r="BC1390" s="1212"/>
      <c r="BD1390" s="1212"/>
      <c r="BE1390" s="1212"/>
      <c r="BF1390" s="2126">
        <v>0</v>
      </c>
      <c r="BG1390" s="2126">
        <v>0</v>
      </c>
      <c r="BH1390" s="2126">
        <v>2665.02</v>
      </c>
      <c r="BI1390" s="2126">
        <v>0</v>
      </c>
      <c r="BJ1390" s="2126">
        <v>0</v>
      </c>
      <c r="BK1390" s="2126">
        <v>0</v>
      </c>
      <c r="BL1390" s="2126">
        <v>0</v>
      </c>
      <c r="BM1390" s="2126">
        <v>0</v>
      </c>
      <c r="BN1390" s="2126">
        <v>0</v>
      </c>
      <c r="BO1390" s="2126">
        <v>0</v>
      </c>
      <c r="BP1390" s="2126">
        <v>0</v>
      </c>
      <c r="BQ1390" s="2126">
        <v>0</v>
      </c>
      <c r="BR1390" s="2126">
        <v>0</v>
      </c>
    </row>
    <row r="1391" spans="1:70" s="1765" customFormat="1" ht="33">
      <c r="A1391" s="1272">
        <v>5000</v>
      </c>
      <c r="B1391" s="971" t="s">
        <v>2119</v>
      </c>
      <c r="C1391" s="1272">
        <v>5100</v>
      </c>
      <c r="D1391" s="971" t="s">
        <v>78</v>
      </c>
      <c r="E1391" s="971">
        <v>5140</v>
      </c>
      <c r="F1391" s="971" t="s">
        <v>176</v>
      </c>
      <c r="G1391" s="971">
        <v>5140</v>
      </c>
      <c r="H1391" s="971" t="s">
        <v>176</v>
      </c>
      <c r="I1391" s="1273"/>
      <c r="J1391" s="971" t="s">
        <v>2146</v>
      </c>
      <c r="K1391" s="971" t="s">
        <v>2127</v>
      </c>
      <c r="L1391" s="971" t="s">
        <v>2177</v>
      </c>
      <c r="M1391" s="971" t="s">
        <v>2127</v>
      </c>
      <c r="N1391" s="971" t="s">
        <v>176</v>
      </c>
      <c r="O1391" s="971" t="s">
        <v>2177</v>
      </c>
      <c r="P1391" s="971"/>
      <c r="Q1391" s="971" t="s">
        <v>2189</v>
      </c>
      <c r="R1391" s="1266" t="s">
        <v>2313</v>
      </c>
      <c r="S1391" s="2106">
        <v>-2</v>
      </c>
      <c r="T1391" s="1266" t="s">
        <v>242</v>
      </c>
      <c r="U1391" s="1742">
        <v>10</v>
      </c>
      <c r="V1391" s="1742">
        <v>37.5</v>
      </c>
      <c r="W1391" s="1742">
        <v>881.4</v>
      </c>
      <c r="X1391" s="1742">
        <v>413.61</v>
      </c>
      <c r="Y1391" s="2106">
        <v>1332.51</v>
      </c>
      <c r="Z1391" s="2106">
        <v>-20</v>
      </c>
      <c r="AA1391" s="2106">
        <v>-75</v>
      </c>
      <c r="AB1391" s="2106">
        <v>-1762.8</v>
      </c>
      <c r="AC1391" s="2106">
        <v>-827.22</v>
      </c>
      <c r="AD1391" s="1744">
        <v>-2665.02</v>
      </c>
      <c r="AE1391" s="2126">
        <v>24</v>
      </c>
      <c r="AF1391" s="2126">
        <v>-48</v>
      </c>
      <c r="AG1391" s="1212">
        <v>1</v>
      </c>
      <c r="AH1391" s="1212">
        <v>0</v>
      </c>
      <c r="AI1391" s="1212">
        <v>0</v>
      </c>
      <c r="AJ1391" s="1212">
        <v>1</v>
      </c>
      <c r="AK1391" s="2126">
        <v>-2665.02</v>
      </c>
      <c r="AL1391" s="2126">
        <v>0</v>
      </c>
      <c r="AM1391" s="2126">
        <v>0</v>
      </c>
      <c r="AN1391" s="2126">
        <v>-2665.02</v>
      </c>
      <c r="AO1391" s="1743" t="s">
        <v>85</v>
      </c>
      <c r="AP1391" s="1743" t="s">
        <v>96</v>
      </c>
      <c r="AQ1391" s="1764" t="s">
        <v>118</v>
      </c>
      <c r="AR1391" s="1743" t="s">
        <v>87</v>
      </c>
      <c r="AS1391" s="2135"/>
      <c r="AT1391" s="2135"/>
      <c r="AU1391" s="1212">
        <v>1</v>
      </c>
      <c r="AV1391" s="1212"/>
      <c r="AW1391" s="1212"/>
      <c r="AX1391" s="1212"/>
      <c r="AY1391" s="1212"/>
      <c r="AZ1391" s="1212"/>
      <c r="BA1391" s="1212"/>
      <c r="BB1391" s="1212"/>
      <c r="BC1391" s="1212"/>
      <c r="BD1391" s="1212"/>
      <c r="BE1391" s="1212"/>
      <c r="BF1391" s="2126">
        <v>0</v>
      </c>
      <c r="BG1391" s="2126">
        <v>0</v>
      </c>
      <c r="BH1391" s="2126">
        <v>-2665.02</v>
      </c>
      <c r="BI1391" s="2126">
        <v>0</v>
      </c>
      <c r="BJ1391" s="2126">
        <v>0</v>
      </c>
      <c r="BK1391" s="2126">
        <v>0</v>
      </c>
      <c r="BL1391" s="2126">
        <v>0</v>
      </c>
      <c r="BM1391" s="2126">
        <v>0</v>
      </c>
      <c r="BN1391" s="2126">
        <v>0</v>
      </c>
      <c r="BO1391" s="2126">
        <v>0</v>
      </c>
      <c r="BP1391" s="2126">
        <v>0</v>
      </c>
      <c r="BQ1391" s="2126">
        <v>0</v>
      </c>
      <c r="BR1391" s="2126">
        <v>0</v>
      </c>
    </row>
    <row r="1392" spans="1:70" s="1765" customFormat="1" ht="33">
      <c r="A1392" s="1272">
        <v>5000</v>
      </c>
      <c r="B1392" s="971" t="s">
        <v>2119</v>
      </c>
      <c r="C1392" s="1272">
        <v>5100</v>
      </c>
      <c r="D1392" s="971" t="s">
        <v>78</v>
      </c>
      <c r="E1392" s="971">
        <v>5140</v>
      </c>
      <c r="F1392" s="971" t="s">
        <v>176</v>
      </c>
      <c r="G1392" s="971">
        <v>5140</v>
      </c>
      <c r="H1392" s="971" t="s">
        <v>176</v>
      </c>
      <c r="I1392" s="1273"/>
      <c r="J1392" s="971" t="s">
        <v>2146</v>
      </c>
      <c r="K1392" s="971" t="s">
        <v>2125</v>
      </c>
      <c r="L1392" s="971" t="s">
        <v>2126</v>
      </c>
      <c r="M1392" s="971" t="s">
        <v>2125</v>
      </c>
      <c r="N1392" s="971" t="s">
        <v>176</v>
      </c>
      <c r="O1392" s="971" t="s">
        <v>2126</v>
      </c>
      <c r="P1392" s="971"/>
      <c r="Q1392" s="971" t="s">
        <v>2314</v>
      </c>
      <c r="R1392" s="1266" t="s">
        <v>2315</v>
      </c>
      <c r="S1392" s="2106">
        <v>3</v>
      </c>
      <c r="T1392" s="1266" t="s">
        <v>242</v>
      </c>
      <c r="U1392" s="1742">
        <v>13</v>
      </c>
      <c r="V1392" s="1742">
        <v>100</v>
      </c>
      <c r="W1392" s="1742">
        <v>1145.82</v>
      </c>
      <c r="X1392" s="1742">
        <v>1102.96</v>
      </c>
      <c r="Y1392" s="2106">
        <v>2348.7799999999997</v>
      </c>
      <c r="Z1392" s="2106">
        <v>39</v>
      </c>
      <c r="AA1392" s="2106">
        <v>300</v>
      </c>
      <c r="AB1392" s="2106">
        <v>3437.46</v>
      </c>
      <c r="AC1392" s="2106">
        <v>3308.88</v>
      </c>
      <c r="AD1392" s="1744">
        <v>7046.34</v>
      </c>
      <c r="AE1392" s="2126">
        <v>96</v>
      </c>
      <c r="AF1392" s="2126">
        <v>288</v>
      </c>
      <c r="AG1392" s="1212">
        <v>1</v>
      </c>
      <c r="AH1392" s="1212">
        <v>0</v>
      </c>
      <c r="AI1392" s="1212">
        <v>0</v>
      </c>
      <c r="AJ1392" s="1212">
        <v>1</v>
      </c>
      <c r="AK1392" s="2126">
        <v>7046.34</v>
      </c>
      <c r="AL1392" s="2126">
        <v>0</v>
      </c>
      <c r="AM1392" s="2126">
        <v>0</v>
      </c>
      <c r="AN1392" s="2126">
        <v>7046.34</v>
      </c>
      <c r="AO1392" s="1743" t="s">
        <v>85</v>
      </c>
      <c r="AP1392" s="1743" t="s">
        <v>90</v>
      </c>
      <c r="AQ1392" s="1764">
        <v>2022</v>
      </c>
      <c r="AR1392" s="1743" t="s">
        <v>87</v>
      </c>
      <c r="AS1392" s="2135"/>
      <c r="AT1392" s="2135"/>
      <c r="AU1392" s="1212">
        <v>1</v>
      </c>
      <c r="AV1392" s="1212"/>
      <c r="AW1392" s="1212"/>
      <c r="AX1392" s="1212"/>
      <c r="AY1392" s="1212"/>
      <c r="AZ1392" s="1212"/>
      <c r="BA1392" s="1212"/>
      <c r="BB1392" s="1212"/>
      <c r="BC1392" s="1212"/>
      <c r="BD1392" s="1212"/>
      <c r="BE1392" s="1212"/>
      <c r="BF1392" s="2126">
        <v>0</v>
      </c>
      <c r="BG1392" s="2126">
        <v>0</v>
      </c>
      <c r="BH1392" s="2126">
        <v>7046.34</v>
      </c>
      <c r="BI1392" s="2126">
        <v>0</v>
      </c>
      <c r="BJ1392" s="2126">
        <v>0</v>
      </c>
      <c r="BK1392" s="2126">
        <v>0</v>
      </c>
      <c r="BL1392" s="2126">
        <v>0</v>
      </c>
      <c r="BM1392" s="2126">
        <v>0</v>
      </c>
      <c r="BN1392" s="2126">
        <v>0</v>
      </c>
      <c r="BO1392" s="2126">
        <v>0</v>
      </c>
      <c r="BP1392" s="2126">
        <v>0</v>
      </c>
      <c r="BQ1392" s="2126">
        <v>0</v>
      </c>
      <c r="BR1392" s="2126">
        <v>0</v>
      </c>
    </row>
    <row r="1393" spans="1:70" s="1765" customFormat="1" ht="33">
      <c r="A1393" s="1272">
        <v>5000</v>
      </c>
      <c r="B1393" s="971" t="s">
        <v>2119</v>
      </c>
      <c r="C1393" s="1272">
        <v>5100</v>
      </c>
      <c r="D1393" s="971" t="s">
        <v>78</v>
      </c>
      <c r="E1393" s="971">
        <v>5140</v>
      </c>
      <c r="F1393" s="971" t="s">
        <v>176</v>
      </c>
      <c r="G1393" s="971">
        <v>5140</v>
      </c>
      <c r="H1393" s="971" t="s">
        <v>176</v>
      </c>
      <c r="I1393" s="1273"/>
      <c r="J1393" s="971" t="s">
        <v>2146</v>
      </c>
      <c r="K1393" s="971" t="s">
        <v>2125</v>
      </c>
      <c r="L1393" s="971" t="s">
        <v>2126</v>
      </c>
      <c r="M1393" s="971" t="s">
        <v>2125</v>
      </c>
      <c r="N1393" s="971" t="s">
        <v>176</v>
      </c>
      <c r="O1393" s="971" t="s">
        <v>2126</v>
      </c>
      <c r="P1393" s="971"/>
      <c r="Q1393" s="971" t="s">
        <v>2314</v>
      </c>
      <c r="R1393" s="1266" t="s">
        <v>2315</v>
      </c>
      <c r="S1393" s="2106">
        <v>-3</v>
      </c>
      <c r="T1393" s="1266" t="s">
        <v>242</v>
      </c>
      <c r="U1393" s="1742">
        <v>13</v>
      </c>
      <c r="V1393" s="1742">
        <v>100</v>
      </c>
      <c r="W1393" s="1742">
        <v>1145.82</v>
      </c>
      <c r="X1393" s="1742">
        <v>1102.96</v>
      </c>
      <c r="Y1393" s="2106">
        <v>2348.7799999999997</v>
      </c>
      <c r="Z1393" s="2106">
        <v>-39</v>
      </c>
      <c r="AA1393" s="2106">
        <v>-300</v>
      </c>
      <c r="AB1393" s="2106">
        <v>-3437.46</v>
      </c>
      <c r="AC1393" s="2106">
        <v>-3308.88</v>
      </c>
      <c r="AD1393" s="1744">
        <v>-7046.34</v>
      </c>
      <c r="AE1393" s="2126">
        <v>96</v>
      </c>
      <c r="AF1393" s="2126">
        <v>-288</v>
      </c>
      <c r="AG1393" s="1212">
        <v>1</v>
      </c>
      <c r="AH1393" s="1212">
        <v>0</v>
      </c>
      <c r="AI1393" s="1212">
        <v>0</v>
      </c>
      <c r="AJ1393" s="1212">
        <v>1</v>
      </c>
      <c r="AK1393" s="2126">
        <v>-7046.34</v>
      </c>
      <c r="AL1393" s="2126">
        <v>0</v>
      </c>
      <c r="AM1393" s="2126">
        <v>0</v>
      </c>
      <c r="AN1393" s="2126">
        <v>-7046.34</v>
      </c>
      <c r="AO1393" s="1743" t="s">
        <v>85</v>
      </c>
      <c r="AP1393" s="1743" t="s">
        <v>96</v>
      </c>
      <c r="AQ1393" s="1764" t="s">
        <v>118</v>
      </c>
      <c r="AR1393" s="1743" t="s">
        <v>87</v>
      </c>
      <c r="AS1393" s="2135"/>
      <c r="AT1393" s="2135"/>
      <c r="AU1393" s="1212">
        <v>1</v>
      </c>
      <c r="AV1393" s="1212"/>
      <c r="AW1393" s="1212"/>
      <c r="AX1393" s="1212"/>
      <c r="AY1393" s="1212"/>
      <c r="AZ1393" s="1212"/>
      <c r="BA1393" s="1212"/>
      <c r="BB1393" s="1212"/>
      <c r="BC1393" s="1212"/>
      <c r="BD1393" s="1212"/>
      <c r="BE1393" s="1212"/>
      <c r="BF1393" s="2126">
        <v>0</v>
      </c>
      <c r="BG1393" s="2126">
        <v>0</v>
      </c>
      <c r="BH1393" s="2126">
        <v>-7046.34</v>
      </c>
      <c r="BI1393" s="2126">
        <v>0</v>
      </c>
      <c r="BJ1393" s="2126">
        <v>0</v>
      </c>
      <c r="BK1393" s="2126">
        <v>0</v>
      </c>
      <c r="BL1393" s="2126">
        <v>0</v>
      </c>
      <c r="BM1393" s="2126">
        <v>0</v>
      </c>
      <c r="BN1393" s="2126">
        <v>0</v>
      </c>
      <c r="BO1393" s="2126">
        <v>0</v>
      </c>
      <c r="BP1393" s="2126">
        <v>0</v>
      </c>
      <c r="BQ1393" s="2126">
        <v>0</v>
      </c>
      <c r="BR1393" s="2126">
        <v>0</v>
      </c>
    </row>
    <row r="1394" spans="1:70" s="1765" customFormat="1" ht="33">
      <c r="A1394" s="1272">
        <v>5000</v>
      </c>
      <c r="B1394" s="971" t="s">
        <v>2119</v>
      </c>
      <c r="C1394" s="1272">
        <v>5100</v>
      </c>
      <c r="D1394" s="971" t="s">
        <v>78</v>
      </c>
      <c r="E1394" s="971">
        <v>5140</v>
      </c>
      <c r="F1394" s="971" t="s">
        <v>176</v>
      </c>
      <c r="G1394" s="971">
        <v>5140</v>
      </c>
      <c r="H1394" s="971" t="s">
        <v>176</v>
      </c>
      <c r="I1394" s="1273"/>
      <c r="J1394" s="971" t="s">
        <v>2146</v>
      </c>
      <c r="K1394" s="971" t="s">
        <v>2129</v>
      </c>
      <c r="L1394" s="971" t="s">
        <v>2130</v>
      </c>
      <c r="M1394" s="971" t="s">
        <v>2129</v>
      </c>
      <c r="N1394" s="971" t="s">
        <v>176</v>
      </c>
      <c r="O1394" s="971" t="s">
        <v>2130</v>
      </c>
      <c r="P1394" s="971"/>
      <c r="Q1394" s="971" t="s">
        <v>2316</v>
      </c>
      <c r="R1394" s="1266" t="s">
        <v>2317</v>
      </c>
      <c r="S1394" s="2106">
        <v>9</v>
      </c>
      <c r="T1394" s="1266" t="s">
        <v>242</v>
      </c>
      <c r="U1394" s="1742">
        <v>6.666666666666667</v>
      </c>
      <c r="V1394" s="1742">
        <v>20.833333333333336</v>
      </c>
      <c r="W1394" s="1742">
        <v>587.6</v>
      </c>
      <c r="X1394" s="1742">
        <v>229.78333333333333</v>
      </c>
      <c r="Y1394" s="2106">
        <v>838.2166666666667</v>
      </c>
      <c r="Z1394" s="2106">
        <v>60</v>
      </c>
      <c r="AA1394" s="2106">
        <v>187.50000000000003</v>
      </c>
      <c r="AB1394" s="2106">
        <v>5288.4000000000005</v>
      </c>
      <c r="AC1394" s="2106">
        <v>2068.0500000000002</v>
      </c>
      <c r="AD1394" s="1744">
        <v>7543.9500000000007</v>
      </c>
      <c r="AE1394" s="2126">
        <v>4</v>
      </c>
      <c r="AF1394" s="2126">
        <v>36</v>
      </c>
      <c r="AG1394" s="1212">
        <v>1</v>
      </c>
      <c r="AH1394" s="1212">
        <v>0</v>
      </c>
      <c r="AI1394" s="1212">
        <v>0</v>
      </c>
      <c r="AJ1394" s="1212">
        <v>1</v>
      </c>
      <c r="AK1394" s="2126">
        <v>7543.9500000000007</v>
      </c>
      <c r="AL1394" s="2126">
        <v>0</v>
      </c>
      <c r="AM1394" s="2126">
        <v>0</v>
      </c>
      <c r="AN1394" s="2126">
        <v>7543.9500000000007</v>
      </c>
      <c r="AO1394" s="1743" t="s">
        <v>85</v>
      </c>
      <c r="AP1394" s="1743" t="s">
        <v>90</v>
      </c>
      <c r="AQ1394" s="1764">
        <v>2022</v>
      </c>
      <c r="AR1394" s="1743" t="s">
        <v>87</v>
      </c>
      <c r="AS1394" s="2135"/>
      <c r="AT1394" s="2135"/>
      <c r="AU1394" s="1212">
        <v>1</v>
      </c>
      <c r="AV1394" s="1212"/>
      <c r="AW1394" s="1212"/>
      <c r="AX1394" s="1212"/>
      <c r="AY1394" s="1212"/>
      <c r="AZ1394" s="1212"/>
      <c r="BA1394" s="1212"/>
      <c r="BB1394" s="1212"/>
      <c r="BC1394" s="1212"/>
      <c r="BD1394" s="1212"/>
      <c r="BE1394" s="1212"/>
      <c r="BF1394" s="2126">
        <v>0</v>
      </c>
      <c r="BG1394" s="2126">
        <v>0</v>
      </c>
      <c r="BH1394" s="2126">
        <v>7543.9500000000007</v>
      </c>
      <c r="BI1394" s="2126">
        <v>0</v>
      </c>
      <c r="BJ1394" s="2126">
        <v>0</v>
      </c>
      <c r="BK1394" s="2126">
        <v>0</v>
      </c>
      <c r="BL1394" s="2126">
        <v>0</v>
      </c>
      <c r="BM1394" s="2126">
        <v>0</v>
      </c>
      <c r="BN1394" s="2126">
        <v>0</v>
      </c>
      <c r="BO1394" s="2126">
        <v>0</v>
      </c>
      <c r="BP1394" s="2126">
        <v>0</v>
      </c>
      <c r="BQ1394" s="2126">
        <v>0</v>
      </c>
      <c r="BR1394" s="2126">
        <v>0</v>
      </c>
    </row>
    <row r="1395" spans="1:70" s="1765" customFormat="1" ht="33">
      <c r="A1395" s="1272">
        <v>5000</v>
      </c>
      <c r="B1395" s="971" t="s">
        <v>2119</v>
      </c>
      <c r="C1395" s="1272">
        <v>5100</v>
      </c>
      <c r="D1395" s="971" t="s">
        <v>78</v>
      </c>
      <c r="E1395" s="971">
        <v>5140</v>
      </c>
      <c r="F1395" s="971" t="s">
        <v>176</v>
      </c>
      <c r="G1395" s="971">
        <v>5140</v>
      </c>
      <c r="H1395" s="971" t="s">
        <v>176</v>
      </c>
      <c r="I1395" s="1273"/>
      <c r="J1395" s="971"/>
      <c r="K1395" s="971" t="s">
        <v>1768</v>
      </c>
      <c r="L1395" s="971" t="s">
        <v>1769</v>
      </c>
      <c r="M1395" s="971" t="s">
        <v>1768</v>
      </c>
      <c r="N1395" s="971" t="s">
        <v>179</v>
      </c>
      <c r="O1395" s="971" t="s">
        <v>1769</v>
      </c>
      <c r="P1395" s="971"/>
      <c r="Q1395" s="971" t="s">
        <v>2318</v>
      </c>
      <c r="R1395" s="1266" t="s">
        <v>2319</v>
      </c>
      <c r="S1395" s="2106">
        <v>3</v>
      </c>
      <c r="T1395" s="1266" t="s">
        <v>242</v>
      </c>
      <c r="U1395" s="1742">
        <v>8.1</v>
      </c>
      <c r="V1395" s="1742">
        <v>88.75</v>
      </c>
      <c r="W1395" s="1742">
        <v>713.93399999999997</v>
      </c>
      <c r="X1395" s="1742">
        <v>978.87700000000007</v>
      </c>
      <c r="Y1395" s="2106">
        <v>1781.5610000000001</v>
      </c>
      <c r="Z1395" s="2106">
        <v>24.299999999999997</v>
      </c>
      <c r="AA1395" s="2106">
        <v>266.25</v>
      </c>
      <c r="AB1395" s="2106">
        <v>2141.8019999999997</v>
      </c>
      <c r="AC1395" s="2106">
        <v>2936.6310000000003</v>
      </c>
      <c r="AD1395" s="1744">
        <v>5344.683</v>
      </c>
      <c r="AE1395" s="2126">
        <v>0.5</v>
      </c>
      <c r="AF1395" s="2126">
        <v>1.5</v>
      </c>
      <c r="AG1395" s="1212">
        <v>1</v>
      </c>
      <c r="AH1395" s="1212">
        <v>0</v>
      </c>
      <c r="AI1395" s="1212">
        <v>0</v>
      </c>
      <c r="AJ1395" s="1212">
        <v>1</v>
      </c>
      <c r="AK1395" s="2126">
        <v>5344.683</v>
      </c>
      <c r="AL1395" s="2126">
        <v>0</v>
      </c>
      <c r="AM1395" s="2126">
        <v>0</v>
      </c>
      <c r="AN1395" s="2126">
        <v>5344.683</v>
      </c>
      <c r="AO1395" s="1743" t="s">
        <v>85</v>
      </c>
      <c r="AP1395" s="1743" t="s">
        <v>90</v>
      </c>
      <c r="AQ1395" s="1764">
        <v>2022</v>
      </c>
      <c r="AR1395" s="1743" t="s">
        <v>87</v>
      </c>
      <c r="AS1395" s="2135"/>
      <c r="AT1395" s="2135"/>
      <c r="AU1395" s="1212">
        <v>1</v>
      </c>
      <c r="AV1395" s="1212"/>
      <c r="AW1395" s="1212"/>
      <c r="AX1395" s="1212"/>
      <c r="AY1395" s="1212"/>
      <c r="AZ1395" s="1212"/>
      <c r="BA1395" s="1212"/>
      <c r="BB1395" s="1212"/>
      <c r="BC1395" s="1212"/>
      <c r="BD1395" s="1212"/>
      <c r="BE1395" s="1212"/>
      <c r="BF1395" s="2126">
        <v>0</v>
      </c>
      <c r="BG1395" s="2126">
        <v>0</v>
      </c>
      <c r="BH1395" s="2126">
        <v>5344.683</v>
      </c>
      <c r="BI1395" s="2126">
        <v>0</v>
      </c>
      <c r="BJ1395" s="2126">
        <v>0</v>
      </c>
      <c r="BK1395" s="2126">
        <v>0</v>
      </c>
      <c r="BL1395" s="2126">
        <v>0</v>
      </c>
      <c r="BM1395" s="2126">
        <v>0</v>
      </c>
      <c r="BN1395" s="2126">
        <v>0</v>
      </c>
      <c r="BO1395" s="2126">
        <v>0</v>
      </c>
      <c r="BP1395" s="2126">
        <v>0</v>
      </c>
      <c r="BQ1395" s="2126">
        <v>0</v>
      </c>
      <c r="BR1395" s="2126">
        <v>0</v>
      </c>
    </row>
    <row r="1396" spans="1:70" s="1765" customFormat="1" ht="33">
      <c r="A1396" s="1272">
        <v>5000</v>
      </c>
      <c r="B1396" s="971" t="s">
        <v>2119</v>
      </c>
      <c r="C1396" s="1272">
        <v>5100</v>
      </c>
      <c r="D1396" s="971" t="s">
        <v>78</v>
      </c>
      <c r="E1396" s="971">
        <v>5140</v>
      </c>
      <c r="F1396" s="971" t="s">
        <v>176</v>
      </c>
      <c r="G1396" s="971">
        <v>5140</v>
      </c>
      <c r="H1396" s="971" t="s">
        <v>176</v>
      </c>
      <c r="I1396" s="1273"/>
      <c r="J1396" s="971"/>
      <c r="K1396" s="971" t="s">
        <v>1768</v>
      </c>
      <c r="L1396" s="971" t="s">
        <v>1769</v>
      </c>
      <c r="M1396" s="971" t="s">
        <v>1768</v>
      </c>
      <c r="N1396" s="971" t="s">
        <v>179</v>
      </c>
      <c r="O1396" s="971" t="s">
        <v>1769</v>
      </c>
      <c r="P1396" s="971"/>
      <c r="Q1396" s="971" t="s">
        <v>2318</v>
      </c>
      <c r="R1396" s="1266" t="s">
        <v>2319</v>
      </c>
      <c r="S1396" s="2106">
        <v>-3</v>
      </c>
      <c r="T1396" s="1266" t="s">
        <v>242</v>
      </c>
      <c r="U1396" s="1742">
        <v>8.1</v>
      </c>
      <c r="V1396" s="1742">
        <v>88.75</v>
      </c>
      <c r="W1396" s="1742">
        <v>713.93399999999997</v>
      </c>
      <c r="X1396" s="1742">
        <v>978.87700000000007</v>
      </c>
      <c r="Y1396" s="2106">
        <v>1781.5610000000001</v>
      </c>
      <c r="Z1396" s="2106">
        <v>-24.299999999999997</v>
      </c>
      <c r="AA1396" s="2106">
        <v>-266.25</v>
      </c>
      <c r="AB1396" s="2106">
        <v>-2141.8019999999997</v>
      </c>
      <c r="AC1396" s="2106">
        <v>-2936.6310000000003</v>
      </c>
      <c r="AD1396" s="1744">
        <v>-5344.683</v>
      </c>
      <c r="AE1396" s="2126">
        <v>0.5</v>
      </c>
      <c r="AF1396" s="2126">
        <v>-1.5</v>
      </c>
      <c r="AG1396" s="1212">
        <v>1</v>
      </c>
      <c r="AH1396" s="1212">
        <v>0</v>
      </c>
      <c r="AI1396" s="1212">
        <v>0</v>
      </c>
      <c r="AJ1396" s="1212">
        <v>1</v>
      </c>
      <c r="AK1396" s="2126">
        <v>-5344.683</v>
      </c>
      <c r="AL1396" s="2126">
        <v>0</v>
      </c>
      <c r="AM1396" s="2126">
        <v>0</v>
      </c>
      <c r="AN1396" s="2126">
        <v>-5344.683</v>
      </c>
      <c r="AO1396" s="1743" t="s">
        <v>85</v>
      </c>
      <c r="AP1396" s="1743" t="s">
        <v>96</v>
      </c>
      <c r="AQ1396" s="1764" t="s">
        <v>118</v>
      </c>
      <c r="AR1396" s="1743" t="s">
        <v>87</v>
      </c>
      <c r="AS1396" s="2135"/>
      <c r="AT1396" s="2135"/>
      <c r="AU1396" s="1212">
        <v>1</v>
      </c>
      <c r="AV1396" s="1212"/>
      <c r="AW1396" s="1212"/>
      <c r="AX1396" s="1212"/>
      <c r="AY1396" s="1212"/>
      <c r="AZ1396" s="1212"/>
      <c r="BA1396" s="1212"/>
      <c r="BB1396" s="1212"/>
      <c r="BC1396" s="1212"/>
      <c r="BD1396" s="1212"/>
      <c r="BE1396" s="1212"/>
      <c r="BF1396" s="2126">
        <v>0</v>
      </c>
      <c r="BG1396" s="2126">
        <v>0</v>
      </c>
      <c r="BH1396" s="2126">
        <v>-5344.683</v>
      </c>
      <c r="BI1396" s="2126">
        <v>0</v>
      </c>
      <c r="BJ1396" s="2126">
        <v>0</v>
      </c>
      <c r="BK1396" s="2126">
        <v>0</v>
      </c>
      <c r="BL1396" s="2126">
        <v>0</v>
      </c>
      <c r="BM1396" s="2126">
        <v>0</v>
      </c>
      <c r="BN1396" s="2126">
        <v>0</v>
      </c>
      <c r="BO1396" s="2126">
        <v>0</v>
      </c>
      <c r="BP1396" s="2126">
        <v>0</v>
      </c>
      <c r="BQ1396" s="2126">
        <v>0</v>
      </c>
      <c r="BR1396" s="2126">
        <v>0</v>
      </c>
    </row>
    <row r="1397" spans="1:70" s="1765" customFormat="1" ht="33">
      <c r="A1397" s="1272">
        <v>5000</v>
      </c>
      <c r="B1397" s="971" t="s">
        <v>2119</v>
      </c>
      <c r="C1397" s="1272">
        <v>5100</v>
      </c>
      <c r="D1397" s="971" t="s">
        <v>78</v>
      </c>
      <c r="E1397" s="971">
        <v>5140</v>
      </c>
      <c r="F1397" s="971" t="s">
        <v>176</v>
      </c>
      <c r="G1397" s="971">
        <v>5140</v>
      </c>
      <c r="H1397" s="971" t="s">
        <v>176</v>
      </c>
      <c r="I1397" s="1273"/>
      <c r="J1397" s="971" t="s">
        <v>2146</v>
      </c>
      <c r="K1397" s="971" t="s">
        <v>2125</v>
      </c>
      <c r="L1397" s="971" t="s">
        <v>2126</v>
      </c>
      <c r="M1397" s="971" t="s">
        <v>2125</v>
      </c>
      <c r="N1397" s="971" t="s">
        <v>176</v>
      </c>
      <c r="O1397" s="971" t="s">
        <v>2126</v>
      </c>
      <c r="P1397" s="971"/>
      <c r="Q1397" s="971" t="s">
        <v>2320</v>
      </c>
      <c r="R1397" s="1266" t="s">
        <v>2321</v>
      </c>
      <c r="S1397" s="2106">
        <v>1</v>
      </c>
      <c r="T1397" s="1266" t="s">
        <v>242</v>
      </c>
      <c r="U1397" s="1742">
        <v>13</v>
      </c>
      <c r="V1397" s="1742">
        <v>100</v>
      </c>
      <c r="W1397" s="1742">
        <v>1145.82</v>
      </c>
      <c r="X1397" s="1742">
        <v>1102.96</v>
      </c>
      <c r="Y1397" s="2106">
        <v>2348.7799999999997</v>
      </c>
      <c r="Z1397" s="2106">
        <v>13</v>
      </c>
      <c r="AA1397" s="2106">
        <v>100</v>
      </c>
      <c r="AB1397" s="2106">
        <v>1145.82</v>
      </c>
      <c r="AC1397" s="2106">
        <v>1102.96</v>
      </c>
      <c r="AD1397" s="1744">
        <v>2348.7799999999997</v>
      </c>
      <c r="AE1397" s="2126">
        <v>96</v>
      </c>
      <c r="AF1397" s="2126">
        <v>96</v>
      </c>
      <c r="AG1397" s="1212">
        <v>1</v>
      </c>
      <c r="AH1397" s="1212">
        <v>0</v>
      </c>
      <c r="AI1397" s="1212">
        <v>0</v>
      </c>
      <c r="AJ1397" s="1212">
        <v>1</v>
      </c>
      <c r="AK1397" s="2126">
        <v>2348.7799999999997</v>
      </c>
      <c r="AL1397" s="2126">
        <v>0</v>
      </c>
      <c r="AM1397" s="2126">
        <v>0</v>
      </c>
      <c r="AN1397" s="2126">
        <v>2348.7799999999997</v>
      </c>
      <c r="AO1397" s="1743" t="s">
        <v>85</v>
      </c>
      <c r="AP1397" s="1743" t="s">
        <v>90</v>
      </c>
      <c r="AQ1397" s="1764">
        <v>2022</v>
      </c>
      <c r="AR1397" s="1743" t="s">
        <v>87</v>
      </c>
      <c r="AS1397" s="2135"/>
      <c r="AT1397" s="2135"/>
      <c r="AU1397" s="1212">
        <v>1</v>
      </c>
      <c r="AV1397" s="1212"/>
      <c r="AW1397" s="1212"/>
      <c r="AX1397" s="1212"/>
      <c r="AY1397" s="1212"/>
      <c r="AZ1397" s="1212"/>
      <c r="BA1397" s="1212"/>
      <c r="BB1397" s="1212"/>
      <c r="BC1397" s="1212"/>
      <c r="BD1397" s="1212"/>
      <c r="BE1397" s="1212"/>
      <c r="BF1397" s="2126">
        <v>0</v>
      </c>
      <c r="BG1397" s="2126">
        <v>0</v>
      </c>
      <c r="BH1397" s="2126">
        <v>2348.7799999999997</v>
      </c>
      <c r="BI1397" s="2126">
        <v>0</v>
      </c>
      <c r="BJ1397" s="2126">
        <v>0</v>
      </c>
      <c r="BK1397" s="2126">
        <v>0</v>
      </c>
      <c r="BL1397" s="2126">
        <v>0</v>
      </c>
      <c r="BM1397" s="2126">
        <v>0</v>
      </c>
      <c r="BN1397" s="2126">
        <v>0</v>
      </c>
      <c r="BO1397" s="2126">
        <v>0</v>
      </c>
      <c r="BP1397" s="2126">
        <v>0</v>
      </c>
      <c r="BQ1397" s="2126">
        <v>0</v>
      </c>
      <c r="BR1397" s="2126">
        <v>0</v>
      </c>
    </row>
    <row r="1398" spans="1:70" s="1765" customFormat="1" ht="33">
      <c r="A1398" s="1272">
        <v>5000</v>
      </c>
      <c r="B1398" s="971" t="s">
        <v>2119</v>
      </c>
      <c r="C1398" s="1272">
        <v>5100</v>
      </c>
      <c r="D1398" s="971" t="s">
        <v>78</v>
      </c>
      <c r="E1398" s="971">
        <v>5140</v>
      </c>
      <c r="F1398" s="971" t="s">
        <v>176</v>
      </c>
      <c r="G1398" s="971">
        <v>5140</v>
      </c>
      <c r="H1398" s="971" t="s">
        <v>176</v>
      </c>
      <c r="I1398" s="1273"/>
      <c r="J1398" s="971" t="s">
        <v>2146</v>
      </c>
      <c r="K1398" s="971" t="s">
        <v>2125</v>
      </c>
      <c r="L1398" s="971" t="s">
        <v>2126</v>
      </c>
      <c r="M1398" s="971" t="s">
        <v>2125</v>
      </c>
      <c r="N1398" s="971" t="s">
        <v>176</v>
      </c>
      <c r="O1398" s="971" t="s">
        <v>2126</v>
      </c>
      <c r="P1398" s="971"/>
      <c r="Q1398" s="971" t="s">
        <v>2320</v>
      </c>
      <c r="R1398" s="1266" t="s">
        <v>2321</v>
      </c>
      <c r="S1398" s="2106">
        <v>-1</v>
      </c>
      <c r="T1398" s="1266" t="s">
        <v>242</v>
      </c>
      <c r="U1398" s="1742">
        <v>13</v>
      </c>
      <c r="V1398" s="1742">
        <v>100</v>
      </c>
      <c r="W1398" s="1742">
        <v>1145.82</v>
      </c>
      <c r="X1398" s="1742">
        <v>1102.96</v>
      </c>
      <c r="Y1398" s="2106">
        <v>2348.7799999999997</v>
      </c>
      <c r="Z1398" s="2106">
        <v>-13</v>
      </c>
      <c r="AA1398" s="2106">
        <v>-100</v>
      </c>
      <c r="AB1398" s="2106">
        <v>-1145.82</v>
      </c>
      <c r="AC1398" s="2106">
        <v>-1102.96</v>
      </c>
      <c r="AD1398" s="1744">
        <v>-2348.7799999999997</v>
      </c>
      <c r="AE1398" s="2126">
        <v>96</v>
      </c>
      <c r="AF1398" s="2126">
        <v>-96</v>
      </c>
      <c r="AG1398" s="1212">
        <v>1</v>
      </c>
      <c r="AH1398" s="1212">
        <v>0</v>
      </c>
      <c r="AI1398" s="1212">
        <v>0</v>
      </c>
      <c r="AJ1398" s="1212">
        <v>1</v>
      </c>
      <c r="AK1398" s="2126">
        <v>-2348.7799999999997</v>
      </c>
      <c r="AL1398" s="2126">
        <v>0</v>
      </c>
      <c r="AM1398" s="2126">
        <v>0</v>
      </c>
      <c r="AN1398" s="2126">
        <v>-2348.7799999999997</v>
      </c>
      <c r="AO1398" s="1743" t="s">
        <v>85</v>
      </c>
      <c r="AP1398" s="1743" t="s">
        <v>96</v>
      </c>
      <c r="AQ1398" s="1764" t="s">
        <v>118</v>
      </c>
      <c r="AR1398" s="1743" t="s">
        <v>87</v>
      </c>
      <c r="AS1398" s="2135"/>
      <c r="AT1398" s="2135"/>
      <c r="AU1398" s="1212">
        <v>1</v>
      </c>
      <c r="AV1398" s="1212"/>
      <c r="AW1398" s="1212"/>
      <c r="AX1398" s="1212"/>
      <c r="AY1398" s="1212"/>
      <c r="AZ1398" s="1212"/>
      <c r="BA1398" s="1212"/>
      <c r="BB1398" s="1212"/>
      <c r="BC1398" s="1212"/>
      <c r="BD1398" s="1212"/>
      <c r="BE1398" s="1212"/>
      <c r="BF1398" s="2126">
        <v>0</v>
      </c>
      <c r="BG1398" s="2126">
        <v>0</v>
      </c>
      <c r="BH1398" s="2126">
        <v>-2348.7799999999997</v>
      </c>
      <c r="BI1398" s="2126">
        <v>0</v>
      </c>
      <c r="BJ1398" s="2126">
        <v>0</v>
      </c>
      <c r="BK1398" s="2126">
        <v>0</v>
      </c>
      <c r="BL1398" s="2126">
        <v>0</v>
      </c>
      <c r="BM1398" s="2126">
        <v>0</v>
      </c>
      <c r="BN1398" s="2126">
        <v>0</v>
      </c>
      <c r="BO1398" s="2126">
        <v>0</v>
      </c>
      <c r="BP1398" s="2126">
        <v>0</v>
      </c>
      <c r="BQ1398" s="2126">
        <v>0</v>
      </c>
      <c r="BR1398" s="2126">
        <v>0</v>
      </c>
    </row>
    <row r="1399" spans="1:70" s="1765" customFormat="1" ht="33">
      <c r="A1399" s="1272">
        <v>5000</v>
      </c>
      <c r="B1399" s="971" t="s">
        <v>2119</v>
      </c>
      <c r="C1399" s="1272">
        <v>5100</v>
      </c>
      <c r="D1399" s="971" t="s">
        <v>78</v>
      </c>
      <c r="E1399" s="971">
        <v>5140</v>
      </c>
      <c r="F1399" s="971" t="s">
        <v>176</v>
      </c>
      <c r="G1399" s="971">
        <v>5140</v>
      </c>
      <c r="H1399" s="971" t="s">
        <v>176</v>
      </c>
      <c r="I1399" s="1273"/>
      <c r="J1399" s="971" t="s">
        <v>2146</v>
      </c>
      <c r="K1399" s="971" t="s">
        <v>2125</v>
      </c>
      <c r="L1399" s="971" t="s">
        <v>2126</v>
      </c>
      <c r="M1399" s="971" t="s">
        <v>2125</v>
      </c>
      <c r="N1399" s="971" t="s">
        <v>176</v>
      </c>
      <c r="O1399" s="971" t="s">
        <v>2126</v>
      </c>
      <c r="P1399" s="971"/>
      <c r="Q1399" s="971" t="s">
        <v>2322</v>
      </c>
      <c r="R1399" s="1266" t="s">
        <v>2323</v>
      </c>
      <c r="S1399" s="2106">
        <v>1</v>
      </c>
      <c r="T1399" s="1266" t="s">
        <v>242</v>
      </c>
      <c r="U1399" s="1742">
        <v>13</v>
      </c>
      <c r="V1399" s="1742">
        <v>100</v>
      </c>
      <c r="W1399" s="1742">
        <v>1145.82</v>
      </c>
      <c r="X1399" s="1742">
        <v>1102.96</v>
      </c>
      <c r="Y1399" s="2106">
        <v>2348.7799999999997</v>
      </c>
      <c r="Z1399" s="2106">
        <v>13</v>
      </c>
      <c r="AA1399" s="2106">
        <v>100</v>
      </c>
      <c r="AB1399" s="2106">
        <v>1145.82</v>
      </c>
      <c r="AC1399" s="2106">
        <v>1102.96</v>
      </c>
      <c r="AD1399" s="1744">
        <v>2348.7799999999997</v>
      </c>
      <c r="AE1399" s="2126">
        <v>96</v>
      </c>
      <c r="AF1399" s="2126">
        <v>96</v>
      </c>
      <c r="AG1399" s="1212">
        <v>1</v>
      </c>
      <c r="AH1399" s="1212">
        <v>0</v>
      </c>
      <c r="AI1399" s="1212">
        <v>0</v>
      </c>
      <c r="AJ1399" s="1212">
        <v>1</v>
      </c>
      <c r="AK1399" s="2126">
        <v>2348.7799999999997</v>
      </c>
      <c r="AL1399" s="2126">
        <v>0</v>
      </c>
      <c r="AM1399" s="2126">
        <v>0</v>
      </c>
      <c r="AN1399" s="2126">
        <v>2348.7799999999997</v>
      </c>
      <c r="AO1399" s="1743" t="s">
        <v>85</v>
      </c>
      <c r="AP1399" s="1743" t="s">
        <v>90</v>
      </c>
      <c r="AQ1399" s="1764">
        <v>2022</v>
      </c>
      <c r="AR1399" s="1743" t="s">
        <v>87</v>
      </c>
      <c r="AS1399" s="2135"/>
      <c r="AT1399" s="2135"/>
      <c r="AU1399" s="1212">
        <v>1</v>
      </c>
      <c r="AV1399" s="1212"/>
      <c r="AW1399" s="1212"/>
      <c r="AX1399" s="1212"/>
      <c r="AY1399" s="1212"/>
      <c r="AZ1399" s="1212"/>
      <c r="BA1399" s="1212"/>
      <c r="BB1399" s="1212"/>
      <c r="BC1399" s="1212"/>
      <c r="BD1399" s="1212"/>
      <c r="BE1399" s="1212"/>
      <c r="BF1399" s="2126">
        <v>0</v>
      </c>
      <c r="BG1399" s="2126">
        <v>0</v>
      </c>
      <c r="BH1399" s="2126">
        <v>2348.7799999999997</v>
      </c>
      <c r="BI1399" s="2126">
        <v>0</v>
      </c>
      <c r="BJ1399" s="2126">
        <v>0</v>
      </c>
      <c r="BK1399" s="2126">
        <v>0</v>
      </c>
      <c r="BL1399" s="2126">
        <v>0</v>
      </c>
      <c r="BM1399" s="2126">
        <v>0</v>
      </c>
      <c r="BN1399" s="2126">
        <v>0</v>
      </c>
      <c r="BO1399" s="2126">
        <v>0</v>
      </c>
      <c r="BP1399" s="2126">
        <v>0</v>
      </c>
      <c r="BQ1399" s="2126">
        <v>0</v>
      </c>
      <c r="BR1399" s="2126">
        <v>0</v>
      </c>
    </row>
    <row r="1400" spans="1:70" s="1765" customFormat="1" ht="33">
      <c r="A1400" s="1272">
        <v>5000</v>
      </c>
      <c r="B1400" s="971" t="s">
        <v>2119</v>
      </c>
      <c r="C1400" s="1272">
        <v>5100</v>
      </c>
      <c r="D1400" s="971" t="s">
        <v>78</v>
      </c>
      <c r="E1400" s="971">
        <v>5140</v>
      </c>
      <c r="F1400" s="971" t="s">
        <v>176</v>
      </c>
      <c r="G1400" s="971">
        <v>5140</v>
      </c>
      <c r="H1400" s="971" t="s">
        <v>176</v>
      </c>
      <c r="I1400" s="1273"/>
      <c r="J1400" s="971" t="s">
        <v>2146</v>
      </c>
      <c r="K1400" s="971" t="s">
        <v>2125</v>
      </c>
      <c r="L1400" s="971" t="s">
        <v>2126</v>
      </c>
      <c r="M1400" s="971" t="s">
        <v>2125</v>
      </c>
      <c r="N1400" s="971" t="s">
        <v>176</v>
      </c>
      <c r="O1400" s="971" t="s">
        <v>2126</v>
      </c>
      <c r="P1400" s="971"/>
      <c r="Q1400" s="971" t="s">
        <v>2322</v>
      </c>
      <c r="R1400" s="1266" t="s">
        <v>2323</v>
      </c>
      <c r="S1400" s="2106">
        <v>-1</v>
      </c>
      <c r="T1400" s="1266" t="s">
        <v>242</v>
      </c>
      <c r="U1400" s="1742">
        <v>13</v>
      </c>
      <c r="V1400" s="1742">
        <v>100</v>
      </c>
      <c r="W1400" s="1742">
        <v>1145.82</v>
      </c>
      <c r="X1400" s="1742">
        <v>1102.96</v>
      </c>
      <c r="Y1400" s="2106">
        <v>2348.7799999999997</v>
      </c>
      <c r="Z1400" s="2106">
        <v>-13</v>
      </c>
      <c r="AA1400" s="2106">
        <v>-100</v>
      </c>
      <c r="AB1400" s="2106">
        <v>-1145.82</v>
      </c>
      <c r="AC1400" s="2106">
        <v>-1102.96</v>
      </c>
      <c r="AD1400" s="1744">
        <v>-2348.7799999999997</v>
      </c>
      <c r="AE1400" s="2126">
        <v>96</v>
      </c>
      <c r="AF1400" s="2126">
        <v>-96</v>
      </c>
      <c r="AG1400" s="1212">
        <v>1</v>
      </c>
      <c r="AH1400" s="1212">
        <v>0</v>
      </c>
      <c r="AI1400" s="1212">
        <v>0</v>
      </c>
      <c r="AJ1400" s="1212">
        <v>1</v>
      </c>
      <c r="AK1400" s="2126">
        <v>-2348.7799999999997</v>
      </c>
      <c r="AL1400" s="2126">
        <v>0</v>
      </c>
      <c r="AM1400" s="2126">
        <v>0</v>
      </c>
      <c r="AN1400" s="2126">
        <v>-2348.7799999999997</v>
      </c>
      <c r="AO1400" s="1743" t="s">
        <v>85</v>
      </c>
      <c r="AP1400" s="1743" t="s">
        <v>96</v>
      </c>
      <c r="AQ1400" s="1764" t="s">
        <v>118</v>
      </c>
      <c r="AR1400" s="1743" t="s">
        <v>87</v>
      </c>
      <c r="AS1400" s="2135"/>
      <c r="AT1400" s="2135"/>
      <c r="AU1400" s="1212">
        <v>1</v>
      </c>
      <c r="AV1400" s="1212"/>
      <c r="AW1400" s="1212"/>
      <c r="AX1400" s="1212"/>
      <c r="AY1400" s="1212"/>
      <c r="AZ1400" s="1212"/>
      <c r="BA1400" s="1212"/>
      <c r="BB1400" s="1212"/>
      <c r="BC1400" s="1212"/>
      <c r="BD1400" s="1212"/>
      <c r="BE1400" s="1212"/>
      <c r="BF1400" s="2126">
        <v>0</v>
      </c>
      <c r="BG1400" s="2126">
        <v>0</v>
      </c>
      <c r="BH1400" s="2126">
        <v>-2348.7799999999997</v>
      </c>
      <c r="BI1400" s="2126">
        <v>0</v>
      </c>
      <c r="BJ1400" s="2126">
        <v>0</v>
      </c>
      <c r="BK1400" s="2126">
        <v>0</v>
      </c>
      <c r="BL1400" s="2126">
        <v>0</v>
      </c>
      <c r="BM1400" s="2126">
        <v>0</v>
      </c>
      <c r="BN1400" s="2126">
        <v>0</v>
      </c>
      <c r="BO1400" s="2126">
        <v>0</v>
      </c>
      <c r="BP1400" s="2126">
        <v>0</v>
      </c>
      <c r="BQ1400" s="2126">
        <v>0</v>
      </c>
      <c r="BR1400" s="2126">
        <v>0</v>
      </c>
    </row>
    <row r="1401" spans="1:70" s="1765" customFormat="1" ht="33">
      <c r="A1401" s="1272">
        <v>5000</v>
      </c>
      <c r="B1401" s="971" t="s">
        <v>2119</v>
      </c>
      <c r="C1401" s="1272">
        <v>5100</v>
      </c>
      <c r="D1401" s="971" t="s">
        <v>78</v>
      </c>
      <c r="E1401" s="971">
        <v>5140</v>
      </c>
      <c r="F1401" s="971" t="s">
        <v>176</v>
      </c>
      <c r="G1401" s="971">
        <v>5140</v>
      </c>
      <c r="H1401" s="971" t="s">
        <v>176</v>
      </c>
      <c r="I1401" s="1273"/>
      <c r="J1401" s="971" t="s">
        <v>2146</v>
      </c>
      <c r="K1401" s="971" t="s">
        <v>2125</v>
      </c>
      <c r="L1401" s="971" t="s">
        <v>2126</v>
      </c>
      <c r="M1401" s="971" t="s">
        <v>2125</v>
      </c>
      <c r="N1401" s="971" t="s">
        <v>176</v>
      </c>
      <c r="O1401" s="971" t="s">
        <v>2126</v>
      </c>
      <c r="P1401" s="971"/>
      <c r="Q1401" s="971" t="s">
        <v>2243</v>
      </c>
      <c r="R1401" s="1266" t="s">
        <v>2324</v>
      </c>
      <c r="S1401" s="2106">
        <v>2</v>
      </c>
      <c r="T1401" s="1266" t="s">
        <v>242</v>
      </c>
      <c r="U1401" s="1742">
        <v>13</v>
      </c>
      <c r="V1401" s="1742">
        <v>100</v>
      </c>
      <c r="W1401" s="1742">
        <v>1145.82</v>
      </c>
      <c r="X1401" s="1742">
        <v>1102.96</v>
      </c>
      <c r="Y1401" s="2106">
        <v>2348.7799999999997</v>
      </c>
      <c r="Z1401" s="2106">
        <v>26</v>
      </c>
      <c r="AA1401" s="2106">
        <v>200</v>
      </c>
      <c r="AB1401" s="2106">
        <v>2291.64</v>
      </c>
      <c r="AC1401" s="2106">
        <v>2205.92</v>
      </c>
      <c r="AD1401" s="1744">
        <v>4697.5599999999995</v>
      </c>
      <c r="AE1401" s="2126">
        <v>96</v>
      </c>
      <c r="AF1401" s="2126">
        <v>192</v>
      </c>
      <c r="AG1401" s="1212">
        <v>1</v>
      </c>
      <c r="AH1401" s="1212">
        <v>0</v>
      </c>
      <c r="AI1401" s="1212">
        <v>0</v>
      </c>
      <c r="AJ1401" s="1212">
        <v>1</v>
      </c>
      <c r="AK1401" s="2126">
        <v>4697.5599999999995</v>
      </c>
      <c r="AL1401" s="2126">
        <v>0</v>
      </c>
      <c r="AM1401" s="2126">
        <v>0</v>
      </c>
      <c r="AN1401" s="2126">
        <v>4697.5599999999995</v>
      </c>
      <c r="AO1401" s="1743" t="s">
        <v>85</v>
      </c>
      <c r="AP1401" s="1743" t="s">
        <v>90</v>
      </c>
      <c r="AQ1401" s="1764">
        <v>2022</v>
      </c>
      <c r="AR1401" s="1743" t="s">
        <v>87</v>
      </c>
      <c r="AS1401" s="2135"/>
      <c r="AT1401" s="2135"/>
      <c r="AU1401" s="1212">
        <v>1</v>
      </c>
      <c r="AV1401" s="1212"/>
      <c r="AW1401" s="1212"/>
      <c r="AX1401" s="1212"/>
      <c r="AY1401" s="1212"/>
      <c r="AZ1401" s="1212"/>
      <c r="BA1401" s="1212"/>
      <c r="BB1401" s="1212"/>
      <c r="BC1401" s="1212"/>
      <c r="BD1401" s="1212"/>
      <c r="BE1401" s="1212"/>
      <c r="BF1401" s="2126">
        <v>0</v>
      </c>
      <c r="BG1401" s="2126">
        <v>0</v>
      </c>
      <c r="BH1401" s="2126">
        <v>4697.5599999999995</v>
      </c>
      <c r="BI1401" s="2126">
        <v>0</v>
      </c>
      <c r="BJ1401" s="2126">
        <v>0</v>
      </c>
      <c r="BK1401" s="2126">
        <v>0</v>
      </c>
      <c r="BL1401" s="2126">
        <v>0</v>
      </c>
      <c r="BM1401" s="2126">
        <v>0</v>
      </c>
      <c r="BN1401" s="2126">
        <v>0</v>
      </c>
      <c r="BO1401" s="2126">
        <v>0</v>
      </c>
      <c r="BP1401" s="2126">
        <v>0</v>
      </c>
      <c r="BQ1401" s="2126">
        <v>0</v>
      </c>
      <c r="BR1401" s="2126">
        <v>0</v>
      </c>
    </row>
    <row r="1402" spans="1:70" s="1765" customFormat="1" ht="33">
      <c r="A1402" s="1272">
        <v>5000</v>
      </c>
      <c r="B1402" s="971" t="s">
        <v>2119</v>
      </c>
      <c r="C1402" s="1272">
        <v>5100</v>
      </c>
      <c r="D1402" s="971" t="s">
        <v>78</v>
      </c>
      <c r="E1402" s="971">
        <v>5140</v>
      </c>
      <c r="F1402" s="971" t="s">
        <v>176</v>
      </c>
      <c r="G1402" s="971">
        <v>5140</v>
      </c>
      <c r="H1402" s="971" t="s">
        <v>176</v>
      </c>
      <c r="I1402" s="1273"/>
      <c r="J1402" s="971" t="s">
        <v>2146</v>
      </c>
      <c r="K1402" s="971" t="s">
        <v>2125</v>
      </c>
      <c r="L1402" s="971" t="s">
        <v>2126</v>
      </c>
      <c r="M1402" s="971" t="s">
        <v>2125</v>
      </c>
      <c r="N1402" s="971" t="s">
        <v>176</v>
      </c>
      <c r="O1402" s="971" t="s">
        <v>2126</v>
      </c>
      <c r="P1402" s="971"/>
      <c r="Q1402" s="971" t="s">
        <v>2243</v>
      </c>
      <c r="R1402" s="1266" t="s">
        <v>2324</v>
      </c>
      <c r="S1402" s="2106">
        <v>-2</v>
      </c>
      <c r="T1402" s="1266" t="s">
        <v>242</v>
      </c>
      <c r="U1402" s="1742">
        <v>13</v>
      </c>
      <c r="V1402" s="1742">
        <v>100</v>
      </c>
      <c r="W1402" s="1742">
        <v>1145.82</v>
      </c>
      <c r="X1402" s="1742">
        <v>1102.96</v>
      </c>
      <c r="Y1402" s="2106">
        <v>2348.7799999999997</v>
      </c>
      <c r="Z1402" s="2106">
        <v>-26</v>
      </c>
      <c r="AA1402" s="2106">
        <v>-200</v>
      </c>
      <c r="AB1402" s="2106">
        <v>-2291.64</v>
      </c>
      <c r="AC1402" s="2106">
        <v>-2205.92</v>
      </c>
      <c r="AD1402" s="1744">
        <v>-4697.5599999999995</v>
      </c>
      <c r="AE1402" s="2126">
        <v>96</v>
      </c>
      <c r="AF1402" s="2126">
        <v>-192</v>
      </c>
      <c r="AG1402" s="1212">
        <v>1</v>
      </c>
      <c r="AH1402" s="1212">
        <v>0</v>
      </c>
      <c r="AI1402" s="1212">
        <v>0</v>
      </c>
      <c r="AJ1402" s="1212">
        <v>1</v>
      </c>
      <c r="AK1402" s="2126">
        <v>-4697.5599999999995</v>
      </c>
      <c r="AL1402" s="2126">
        <v>0</v>
      </c>
      <c r="AM1402" s="2126">
        <v>0</v>
      </c>
      <c r="AN1402" s="2126">
        <v>-4697.5599999999995</v>
      </c>
      <c r="AO1402" s="1743" t="s">
        <v>85</v>
      </c>
      <c r="AP1402" s="1743" t="s">
        <v>96</v>
      </c>
      <c r="AQ1402" s="1764" t="s">
        <v>118</v>
      </c>
      <c r="AR1402" s="1743" t="s">
        <v>87</v>
      </c>
      <c r="AS1402" s="2135"/>
      <c r="AT1402" s="2135"/>
      <c r="AU1402" s="1212">
        <v>1</v>
      </c>
      <c r="AV1402" s="1212"/>
      <c r="AW1402" s="1212"/>
      <c r="AX1402" s="1212"/>
      <c r="AY1402" s="1212"/>
      <c r="AZ1402" s="1212"/>
      <c r="BA1402" s="1212"/>
      <c r="BB1402" s="1212"/>
      <c r="BC1402" s="1212"/>
      <c r="BD1402" s="1212"/>
      <c r="BE1402" s="1212"/>
      <c r="BF1402" s="2126">
        <v>0</v>
      </c>
      <c r="BG1402" s="2126">
        <v>0</v>
      </c>
      <c r="BH1402" s="2126">
        <v>-4697.5599999999995</v>
      </c>
      <c r="BI1402" s="2126">
        <v>0</v>
      </c>
      <c r="BJ1402" s="2126">
        <v>0</v>
      </c>
      <c r="BK1402" s="2126">
        <v>0</v>
      </c>
      <c r="BL1402" s="2126">
        <v>0</v>
      </c>
      <c r="BM1402" s="2126">
        <v>0</v>
      </c>
      <c r="BN1402" s="2126">
        <v>0</v>
      </c>
      <c r="BO1402" s="2126">
        <v>0</v>
      </c>
      <c r="BP1402" s="2126">
        <v>0</v>
      </c>
      <c r="BQ1402" s="2126">
        <v>0</v>
      </c>
      <c r="BR1402" s="2126">
        <v>0</v>
      </c>
    </row>
    <row r="1403" spans="1:70" s="1765" customFormat="1" ht="33">
      <c r="A1403" s="1272">
        <v>5000</v>
      </c>
      <c r="B1403" s="971" t="s">
        <v>2119</v>
      </c>
      <c r="C1403" s="1272">
        <v>5100</v>
      </c>
      <c r="D1403" s="971" t="s">
        <v>78</v>
      </c>
      <c r="E1403" s="971">
        <v>5140</v>
      </c>
      <c r="F1403" s="971" t="s">
        <v>176</v>
      </c>
      <c r="G1403" s="971">
        <v>5140</v>
      </c>
      <c r="H1403" s="971" t="s">
        <v>176</v>
      </c>
      <c r="I1403" s="1273"/>
      <c r="J1403" s="971" t="s">
        <v>2146</v>
      </c>
      <c r="K1403" s="971" t="s">
        <v>2125</v>
      </c>
      <c r="L1403" s="971" t="s">
        <v>2126</v>
      </c>
      <c r="M1403" s="971" t="s">
        <v>2125</v>
      </c>
      <c r="N1403" s="971" t="s">
        <v>176</v>
      </c>
      <c r="O1403" s="971" t="s">
        <v>2126</v>
      </c>
      <c r="P1403" s="971"/>
      <c r="Q1403" s="971" t="s">
        <v>2160</v>
      </c>
      <c r="R1403" s="1266" t="s">
        <v>2325</v>
      </c>
      <c r="S1403" s="2106">
        <v>1</v>
      </c>
      <c r="T1403" s="1266" t="s">
        <v>242</v>
      </c>
      <c r="U1403" s="1742">
        <v>13</v>
      </c>
      <c r="V1403" s="1742">
        <v>100</v>
      </c>
      <c r="W1403" s="1742">
        <v>1145.82</v>
      </c>
      <c r="X1403" s="1742">
        <v>1102.96</v>
      </c>
      <c r="Y1403" s="2106">
        <v>2348.7799999999997</v>
      </c>
      <c r="Z1403" s="2106">
        <v>13</v>
      </c>
      <c r="AA1403" s="2106">
        <v>100</v>
      </c>
      <c r="AB1403" s="2106">
        <v>1145.82</v>
      </c>
      <c r="AC1403" s="2106">
        <v>1102.96</v>
      </c>
      <c r="AD1403" s="1744">
        <v>2348.7799999999997</v>
      </c>
      <c r="AE1403" s="2126">
        <v>96</v>
      </c>
      <c r="AF1403" s="2126">
        <v>96</v>
      </c>
      <c r="AG1403" s="1212">
        <v>1</v>
      </c>
      <c r="AH1403" s="1212">
        <v>0</v>
      </c>
      <c r="AI1403" s="1212">
        <v>0</v>
      </c>
      <c r="AJ1403" s="1212">
        <v>1</v>
      </c>
      <c r="AK1403" s="2126">
        <v>2348.7799999999997</v>
      </c>
      <c r="AL1403" s="2126">
        <v>0</v>
      </c>
      <c r="AM1403" s="2126">
        <v>0</v>
      </c>
      <c r="AN1403" s="2126">
        <v>2348.7799999999997</v>
      </c>
      <c r="AO1403" s="1743" t="s">
        <v>85</v>
      </c>
      <c r="AP1403" s="1743" t="s">
        <v>90</v>
      </c>
      <c r="AQ1403" s="1764">
        <v>2022</v>
      </c>
      <c r="AR1403" s="1743" t="s">
        <v>87</v>
      </c>
      <c r="AS1403" s="2135"/>
      <c r="AT1403" s="2135"/>
      <c r="AU1403" s="1212">
        <v>1</v>
      </c>
      <c r="AV1403" s="1212"/>
      <c r="AW1403" s="1212"/>
      <c r="AX1403" s="1212"/>
      <c r="AY1403" s="1212"/>
      <c r="AZ1403" s="1212"/>
      <c r="BA1403" s="1212"/>
      <c r="BB1403" s="1212"/>
      <c r="BC1403" s="1212"/>
      <c r="BD1403" s="1212"/>
      <c r="BE1403" s="1212"/>
      <c r="BF1403" s="2126">
        <v>0</v>
      </c>
      <c r="BG1403" s="2126">
        <v>0</v>
      </c>
      <c r="BH1403" s="2126">
        <v>2348.7799999999997</v>
      </c>
      <c r="BI1403" s="2126">
        <v>0</v>
      </c>
      <c r="BJ1403" s="2126">
        <v>0</v>
      </c>
      <c r="BK1403" s="2126">
        <v>0</v>
      </c>
      <c r="BL1403" s="2126">
        <v>0</v>
      </c>
      <c r="BM1403" s="2126">
        <v>0</v>
      </c>
      <c r="BN1403" s="2126">
        <v>0</v>
      </c>
      <c r="BO1403" s="2126">
        <v>0</v>
      </c>
      <c r="BP1403" s="2126">
        <v>0</v>
      </c>
      <c r="BQ1403" s="2126">
        <v>0</v>
      </c>
      <c r="BR1403" s="2126">
        <v>0</v>
      </c>
    </row>
    <row r="1404" spans="1:70" s="1765" customFormat="1" ht="33">
      <c r="A1404" s="1272">
        <v>5000</v>
      </c>
      <c r="B1404" s="971" t="s">
        <v>2119</v>
      </c>
      <c r="C1404" s="1272">
        <v>5100</v>
      </c>
      <c r="D1404" s="971" t="s">
        <v>78</v>
      </c>
      <c r="E1404" s="971">
        <v>5140</v>
      </c>
      <c r="F1404" s="971" t="s">
        <v>176</v>
      </c>
      <c r="G1404" s="971">
        <v>5140</v>
      </c>
      <c r="H1404" s="971" t="s">
        <v>176</v>
      </c>
      <c r="I1404" s="1273"/>
      <c r="J1404" s="971" t="s">
        <v>2146</v>
      </c>
      <c r="K1404" s="971" t="s">
        <v>2125</v>
      </c>
      <c r="L1404" s="971" t="s">
        <v>2126</v>
      </c>
      <c r="M1404" s="971" t="s">
        <v>2125</v>
      </c>
      <c r="N1404" s="971" t="s">
        <v>176</v>
      </c>
      <c r="O1404" s="971" t="s">
        <v>2126</v>
      </c>
      <c r="P1404" s="971"/>
      <c r="Q1404" s="971" t="s">
        <v>2160</v>
      </c>
      <c r="R1404" s="1266" t="s">
        <v>2325</v>
      </c>
      <c r="S1404" s="2106">
        <v>-1</v>
      </c>
      <c r="T1404" s="1266" t="s">
        <v>242</v>
      </c>
      <c r="U1404" s="1742">
        <v>13</v>
      </c>
      <c r="V1404" s="1742">
        <v>100</v>
      </c>
      <c r="W1404" s="1742">
        <v>1145.82</v>
      </c>
      <c r="X1404" s="1742">
        <v>1102.96</v>
      </c>
      <c r="Y1404" s="2106">
        <v>2348.7799999999997</v>
      </c>
      <c r="Z1404" s="2106">
        <v>-13</v>
      </c>
      <c r="AA1404" s="2106">
        <v>-100</v>
      </c>
      <c r="AB1404" s="2106">
        <v>-1145.82</v>
      </c>
      <c r="AC1404" s="2106">
        <v>-1102.96</v>
      </c>
      <c r="AD1404" s="1744">
        <v>-2348.7799999999997</v>
      </c>
      <c r="AE1404" s="2126">
        <v>96</v>
      </c>
      <c r="AF1404" s="2126">
        <v>-96</v>
      </c>
      <c r="AG1404" s="1212">
        <v>1</v>
      </c>
      <c r="AH1404" s="1212">
        <v>0</v>
      </c>
      <c r="AI1404" s="1212">
        <v>0</v>
      </c>
      <c r="AJ1404" s="1212">
        <v>1</v>
      </c>
      <c r="AK1404" s="2126">
        <v>-2348.7799999999997</v>
      </c>
      <c r="AL1404" s="2126">
        <v>0</v>
      </c>
      <c r="AM1404" s="2126">
        <v>0</v>
      </c>
      <c r="AN1404" s="2126">
        <v>-2348.7799999999997</v>
      </c>
      <c r="AO1404" s="1743" t="s">
        <v>85</v>
      </c>
      <c r="AP1404" s="1743" t="s">
        <v>96</v>
      </c>
      <c r="AQ1404" s="1764" t="s">
        <v>118</v>
      </c>
      <c r="AR1404" s="1743" t="s">
        <v>87</v>
      </c>
      <c r="AS1404" s="2135"/>
      <c r="AT1404" s="2135"/>
      <c r="AU1404" s="1212">
        <v>1</v>
      </c>
      <c r="AV1404" s="1212"/>
      <c r="AW1404" s="1212"/>
      <c r="AX1404" s="1212"/>
      <c r="AY1404" s="1212"/>
      <c r="AZ1404" s="1212"/>
      <c r="BA1404" s="1212"/>
      <c r="BB1404" s="1212"/>
      <c r="BC1404" s="1212"/>
      <c r="BD1404" s="1212"/>
      <c r="BE1404" s="1212"/>
      <c r="BF1404" s="2126">
        <v>0</v>
      </c>
      <c r="BG1404" s="2126">
        <v>0</v>
      </c>
      <c r="BH1404" s="2126">
        <v>-2348.7799999999997</v>
      </c>
      <c r="BI1404" s="2126">
        <v>0</v>
      </c>
      <c r="BJ1404" s="2126">
        <v>0</v>
      </c>
      <c r="BK1404" s="2126">
        <v>0</v>
      </c>
      <c r="BL1404" s="2126">
        <v>0</v>
      </c>
      <c r="BM1404" s="2126">
        <v>0</v>
      </c>
      <c r="BN1404" s="2126">
        <v>0</v>
      </c>
      <c r="BO1404" s="2126">
        <v>0</v>
      </c>
      <c r="BP1404" s="2126">
        <v>0</v>
      </c>
      <c r="BQ1404" s="2126">
        <v>0</v>
      </c>
      <c r="BR1404" s="2126">
        <v>0</v>
      </c>
    </row>
    <row r="1405" spans="1:70" s="1765" customFormat="1" ht="33">
      <c r="A1405" s="1272">
        <v>5000</v>
      </c>
      <c r="B1405" s="971" t="s">
        <v>2119</v>
      </c>
      <c r="C1405" s="1272">
        <v>5100</v>
      </c>
      <c r="D1405" s="971" t="s">
        <v>78</v>
      </c>
      <c r="E1405" s="971">
        <v>5140</v>
      </c>
      <c r="F1405" s="971" t="s">
        <v>176</v>
      </c>
      <c r="G1405" s="971">
        <v>5140</v>
      </c>
      <c r="H1405" s="971" t="s">
        <v>176</v>
      </c>
      <c r="I1405" s="1273"/>
      <c r="J1405" s="971" t="s">
        <v>2146</v>
      </c>
      <c r="K1405" s="971" t="s">
        <v>2127</v>
      </c>
      <c r="L1405" s="971" t="s">
        <v>2177</v>
      </c>
      <c r="M1405" s="971" t="s">
        <v>2127</v>
      </c>
      <c r="N1405" s="971" t="s">
        <v>176</v>
      </c>
      <c r="O1405" s="971" t="s">
        <v>2177</v>
      </c>
      <c r="P1405" s="971"/>
      <c r="Q1405" s="971" t="s">
        <v>2293</v>
      </c>
      <c r="R1405" s="1266" t="s">
        <v>2326</v>
      </c>
      <c r="S1405" s="2106">
        <v>1</v>
      </c>
      <c r="T1405" s="1266" t="s">
        <v>242</v>
      </c>
      <c r="U1405" s="1742">
        <v>10</v>
      </c>
      <c r="V1405" s="1742">
        <v>37.5</v>
      </c>
      <c r="W1405" s="1742">
        <v>881.4</v>
      </c>
      <c r="X1405" s="1742">
        <v>413.61</v>
      </c>
      <c r="Y1405" s="2106">
        <v>1332.51</v>
      </c>
      <c r="Z1405" s="2106">
        <v>10</v>
      </c>
      <c r="AA1405" s="2106">
        <v>37.5</v>
      </c>
      <c r="AB1405" s="2106">
        <v>881.4</v>
      </c>
      <c r="AC1405" s="2106">
        <v>413.61</v>
      </c>
      <c r="AD1405" s="1744">
        <v>1332.51</v>
      </c>
      <c r="AE1405" s="2126">
        <v>24</v>
      </c>
      <c r="AF1405" s="2126">
        <v>24</v>
      </c>
      <c r="AG1405" s="1212">
        <v>1</v>
      </c>
      <c r="AH1405" s="1212">
        <v>0</v>
      </c>
      <c r="AI1405" s="1212">
        <v>0</v>
      </c>
      <c r="AJ1405" s="1212">
        <v>1</v>
      </c>
      <c r="AK1405" s="2126">
        <v>1332.51</v>
      </c>
      <c r="AL1405" s="2126">
        <v>0</v>
      </c>
      <c r="AM1405" s="2126">
        <v>0</v>
      </c>
      <c r="AN1405" s="2126">
        <v>1332.51</v>
      </c>
      <c r="AO1405" s="1743" t="s">
        <v>85</v>
      </c>
      <c r="AP1405" s="1743" t="s">
        <v>90</v>
      </c>
      <c r="AQ1405" s="1764">
        <v>2022</v>
      </c>
      <c r="AR1405" s="1743" t="s">
        <v>87</v>
      </c>
      <c r="AS1405" s="2135"/>
      <c r="AT1405" s="2135"/>
      <c r="AU1405" s="1212">
        <v>1</v>
      </c>
      <c r="AV1405" s="1212"/>
      <c r="AW1405" s="1212"/>
      <c r="AX1405" s="1212"/>
      <c r="AY1405" s="1212"/>
      <c r="AZ1405" s="1212"/>
      <c r="BA1405" s="1212"/>
      <c r="BB1405" s="1212"/>
      <c r="BC1405" s="1212"/>
      <c r="BD1405" s="1212"/>
      <c r="BE1405" s="1212"/>
      <c r="BF1405" s="2126">
        <v>0</v>
      </c>
      <c r="BG1405" s="2126">
        <v>0</v>
      </c>
      <c r="BH1405" s="2126">
        <v>1332.51</v>
      </c>
      <c r="BI1405" s="2126">
        <v>0</v>
      </c>
      <c r="BJ1405" s="2126">
        <v>0</v>
      </c>
      <c r="BK1405" s="2126">
        <v>0</v>
      </c>
      <c r="BL1405" s="2126">
        <v>0</v>
      </c>
      <c r="BM1405" s="2126">
        <v>0</v>
      </c>
      <c r="BN1405" s="2126">
        <v>0</v>
      </c>
      <c r="BO1405" s="2126">
        <v>0</v>
      </c>
      <c r="BP1405" s="2126">
        <v>0</v>
      </c>
      <c r="BQ1405" s="2126">
        <v>0</v>
      </c>
      <c r="BR1405" s="2126">
        <v>0</v>
      </c>
    </row>
    <row r="1406" spans="1:70" s="1765" customFormat="1" ht="33">
      <c r="A1406" s="1272">
        <v>5000</v>
      </c>
      <c r="B1406" s="971" t="s">
        <v>2119</v>
      </c>
      <c r="C1406" s="1272">
        <v>5100</v>
      </c>
      <c r="D1406" s="971" t="s">
        <v>78</v>
      </c>
      <c r="E1406" s="971">
        <v>5140</v>
      </c>
      <c r="F1406" s="971" t="s">
        <v>176</v>
      </c>
      <c r="G1406" s="971">
        <v>5140</v>
      </c>
      <c r="H1406" s="971" t="s">
        <v>176</v>
      </c>
      <c r="I1406" s="1273"/>
      <c r="J1406" s="971" t="s">
        <v>2146</v>
      </c>
      <c r="K1406" s="971" t="s">
        <v>2127</v>
      </c>
      <c r="L1406" s="971" t="s">
        <v>2177</v>
      </c>
      <c r="M1406" s="971" t="s">
        <v>2127</v>
      </c>
      <c r="N1406" s="971" t="s">
        <v>176</v>
      </c>
      <c r="O1406" s="971" t="s">
        <v>2177</v>
      </c>
      <c r="P1406" s="971"/>
      <c r="Q1406" s="971" t="s">
        <v>2293</v>
      </c>
      <c r="R1406" s="1266" t="s">
        <v>2326</v>
      </c>
      <c r="S1406" s="2106">
        <v>-1</v>
      </c>
      <c r="T1406" s="1266" t="s">
        <v>242</v>
      </c>
      <c r="U1406" s="1742">
        <v>10</v>
      </c>
      <c r="V1406" s="1742">
        <v>37.5</v>
      </c>
      <c r="W1406" s="1742">
        <v>881.4</v>
      </c>
      <c r="X1406" s="1742">
        <v>413.61</v>
      </c>
      <c r="Y1406" s="2106">
        <v>1332.51</v>
      </c>
      <c r="Z1406" s="2106">
        <v>-10</v>
      </c>
      <c r="AA1406" s="2106">
        <v>-37.5</v>
      </c>
      <c r="AB1406" s="2106">
        <v>-881.4</v>
      </c>
      <c r="AC1406" s="2106">
        <v>-413.61</v>
      </c>
      <c r="AD1406" s="1744">
        <v>-1332.51</v>
      </c>
      <c r="AE1406" s="2126">
        <v>24</v>
      </c>
      <c r="AF1406" s="2126">
        <v>-24</v>
      </c>
      <c r="AG1406" s="1212">
        <v>1</v>
      </c>
      <c r="AH1406" s="1212">
        <v>0</v>
      </c>
      <c r="AI1406" s="1212">
        <v>0</v>
      </c>
      <c r="AJ1406" s="1212">
        <v>1</v>
      </c>
      <c r="AK1406" s="2126">
        <v>-1332.51</v>
      </c>
      <c r="AL1406" s="2126">
        <v>0</v>
      </c>
      <c r="AM1406" s="2126">
        <v>0</v>
      </c>
      <c r="AN1406" s="2126">
        <v>-1332.51</v>
      </c>
      <c r="AO1406" s="1743" t="s">
        <v>85</v>
      </c>
      <c r="AP1406" s="1743" t="s">
        <v>96</v>
      </c>
      <c r="AQ1406" s="1764" t="s">
        <v>118</v>
      </c>
      <c r="AR1406" s="1743" t="s">
        <v>87</v>
      </c>
      <c r="AS1406" s="2135"/>
      <c r="AT1406" s="2135"/>
      <c r="AU1406" s="1212">
        <v>1</v>
      </c>
      <c r="AV1406" s="1212"/>
      <c r="AW1406" s="1212"/>
      <c r="AX1406" s="1212"/>
      <c r="AY1406" s="1212"/>
      <c r="AZ1406" s="1212"/>
      <c r="BA1406" s="1212"/>
      <c r="BB1406" s="1212"/>
      <c r="BC1406" s="1212"/>
      <c r="BD1406" s="1212"/>
      <c r="BE1406" s="1212"/>
      <c r="BF1406" s="2126">
        <v>0</v>
      </c>
      <c r="BG1406" s="2126">
        <v>0</v>
      </c>
      <c r="BH1406" s="2126">
        <v>-1332.51</v>
      </c>
      <c r="BI1406" s="2126">
        <v>0</v>
      </c>
      <c r="BJ1406" s="2126">
        <v>0</v>
      </c>
      <c r="BK1406" s="2126">
        <v>0</v>
      </c>
      <c r="BL1406" s="2126">
        <v>0</v>
      </c>
      <c r="BM1406" s="2126">
        <v>0</v>
      </c>
      <c r="BN1406" s="2126">
        <v>0</v>
      </c>
      <c r="BO1406" s="2126">
        <v>0</v>
      </c>
      <c r="BP1406" s="2126">
        <v>0</v>
      </c>
      <c r="BQ1406" s="2126">
        <v>0</v>
      </c>
      <c r="BR1406" s="2126">
        <v>0</v>
      </c>
    </row>
    <row r="1407" spans="1:70" s="1765" customFormat="1" ht="33">
      <c r="A1407" s="1272">
        <v>5000</v>
      </c>
      <c r="B1407" s="971" t="s">
        <v>2119</v>
      </c>
      <c r="C1407" s="1272">
        <v>5100</v>
      </c>
      <c r="D1407" s="971" t="s">
        <v>78</v>
      </c>
      <c r="E1407" s="971">
        <v>5140</v>
      </c>
      <c r="F1407" s="971" t="s">
        <v>176</v>
      </c>
      <c r="G1407" s="971">
        <v>5140</v>
      </c>
      <c r="H1407" s="971" t="s">
        <v>176</v>
      </c>
      <c r="I1407" s="1273"/>
      <c r="J1407" s="971" t="s">
        <v>2146</v>
      </c>
      <c r="K1407" s="971" t="s">
        <v>2127</v>
      </c>
      <c r="L1407" s="971" t="s">
        <v>2177</v>
      </c>
      <c r="M1407" s="971" t="s">
        <v>2127</v>
      </c>
      <c r="N1407" s="971" t="s">
        <v>176</v>
      </c>
      <c r="O1407" s="971" t="s">
        <v>2177</v>
      </c>
      <c r="P1407" s="971"/>
      <c r="Q1407" s="971" t="s">
        <v>2327</v>
      </c>
      <c r="R1407" s="1266" t="s">
        <v>2328</v>
      </c>
      <c r="S1407" s="2106">
        <v>1</v>
      </c>
      <c r="T1407" s="1266" t="s">
        <v>242</v>
      </c>
      <c r="U1407" s="1742">
        <v>10</v>
      </c>
      <c r="V1407" s="1742">
        <v>37.5</v>
      </c>
      <c r="W1407" s="1742">
        <v>881.4</v>
      </c>
      <c r="X1407" s="1742">
        <v>413.61</v>
      </c>
      <c r="Y1407" s="2106">
        <v>1332.51</v>
      </c>
      <c r="Z1407" s="2106">
        <v>10</v>
      </c>
      <c r="AA1407" s="2106">
        <v>37.5</v>
      </c>
      <c r="AB1407" s="2106">
        <v>881.4</v>
      </c>
      <c r="AC1407" s="2106">
        <v>413.61</v>
      </c>
      <c r="AD1407" s="1744">
        <v>1332.51</v>
      </c>
      <c r="AE1407" s="2126">
        <v>24</v>
      </c>
      <c r="AF1407" s="2126">
        <v>24</v>
      </c>
      <c r="AG1407" s="1212">
        <v>1</v>
      </c>
      <c r="AH1407" s="1212">
        <v>0</v>
      </c>
      <c r="AI1407" s="1212">
        <v>0</v>
      </c>
      <c r="AJ1407" s="1212">
        <v>1</v>
      </c>
      <c r="AK1407" s="2126">
        <v>1332.51</v>
      </c>
      <c r="AL1407" s="2126">
        <v>0</v>
      </c>
      <c r="AM1407" s="2126">
        <v>0</v>
      </c>
      <c r="AN1407" s="2126">
        <v>1332.51</v>
      </c>
      <c r="AO1407" s="1743" t="s">
        <v>85</v>
      </c>
      <c r="AP1407" s="1743" t="s">
        <v>90</v>
      </c>
      <c r="AQ1407" s="1764">
        <v>2022</v>
      </c>
      <c r="AR1407" s="1743" t="s">
        <v>87</v>
      </c>
      <c r="AS1407" s="2135"/>
      <c r="AT1407" s="2135"/>
      <c r="AU1407" s="1212">
        <v>1</v>
      </c>
      <c r="AV1407" s="1212"/>
      <c r="AW1407" s="1212"/>
      <c r="AX1407" s="1212"/>
      <c r="AY1407" s="1212"/>
      <c r="AZ1407" s="1212"/>
      <c r="BA1407" s="1212"/>
      <c r="BB1407" s="1212"/>
      <c r="BC1407" s="1212"/>
      <c r="BD1407" s="1212"/>
      <c r="BE1407" s="1212"/>
      <c r="BF1407" s="2126">
        <v>0</v>
      </c>
      <c r="BG1407" s="2126">
        <v>0</v>
      </c>
      <c r="BH1407" s="2126">
        <v>1332.51</v>
      </c>
      <c r="BI1407" s="2126">
        <v>0</v>
      </c>
      <c r="BJ1407" s="2126">
        <v>0</v>
      </c>
      <c r="BK1407" s="2126">
        <v>0</v>
      </c>
      <c r="BL1407" s="2126">
        <v>0</v>
      </c>
      <c r="BM1407" s="2126">
        <v>0</v>
      </c>
      <c r="BN1407" s="2126">
        <v>0</v>
      </c>
      <c r="BO1407" s="2126">
        <v>0</v>
      </c>
      <c r="BP1407" s="2126">
        <v>0</v>
      </c>
      <c r="BQ1407" s="2126">
        <v>0</v>
      </c>
      <c r="BR1407" s="2126">
        <v>0</v>
      </c>
    </row>
    <row r="1408" spans="1:70" s="1765" customFormat="1" ht="33">
      <c r="A1408" s="1272">
        <v>5000</v>
      </c>
      <c r="B1408" s="971" t="s">
        <v>2119</v>
      </c>
      <c r="C1408" s="1272">
        <v>5100</v>
      </c>
      <c r="D1408" s="971" t="s">
        <v>78</v>
      </c>
      <c r="E1408" s="971">
        <v>5140</v>
      </c>
      <c r="F1408" s="971" t="s">
        <v>176</v>
      </c>
      <c r="G1408" s="971">
        <v>5140</v>
      </c>
      <c r="H1408" s="971" t="s">
        <v>176</v>
      </c>
      <c r="I1408" s="1273"/>
      <c r="J1408" s="971" t="s">
        <v>2146</v>
      </c>
      <c r="K1408" s="971" t="s">
        <v>2127</v>
      </c>
      <c r="L1408" s="971" t="s">
        <v>2177</v>
      </c>
      <c r="M1408" s="971" t="s">
        <v>2127</v>
      </c>
      <c r="N1408" s="971" t="s">
        <v>176</v>
      </c>
      <c r="O1408" s="971" t="s">
        <v>2177</v>
      </c>
      <c r="P1408" s="971"/>
      <c r="Q1408" s="971" t="s">
        <v>2327</v>
      </c>
      <c r="R1408" s="1266" t="s">
        <v>2328</v>
      </c>
      <c r="S1408" s="2106">
        <v>-1</v>
      </c>
      <c r="T1408" s="1266" t="s">
        <v>242</v>
      </c>
      <c r="U1408" s="1742">
        <v>10</v>
      </c>
      <c r="V1408" s="1742">
        <v>37.5</v>
      </c>
      <c r="W1408" s="1742">
        <v>881.4</v>
      </c>
      <c r="X1408" s="1742">
        <v>413.61</v>
      </c>
      <c r="Y1408" s="2106">
        <v>1332.51</v>
      </c>
      <c r="Z1408" s="2106">
        <v>-10</v>
      </c>
      <c r="AA1408" s="2106">
        <v>-37.5</v>
      </c>
      <c r="AB1408" s="2106">
        <v>-881.4</v>
      </c>
      <c r="AC1408" s="2106">
        <v>-413.61</v>
      </c>
      <c r="AD1408" s="1744">
        <v>-1332.51</v>
      </c>
      <c r="AE1408" s="2126">
        <v>24</v>
      </c>
      <c r="AF1408" s="2126">
        <v>-24</v>
      </c>
      <c r="AG1408" s="1212">
        <v>1</v>
      </c>
      <c r="AH1408" s="1212">
        <v>0</v>
      </c>
      <c r="AI1408" s="1212">
        <v>0</v>
      </c>
      <c r="AJ1408" s="1212">
        <v>1</v>
      </c>
      <c r="AK1408" s="2126">
        <v>-1332.51</v>
      </c>
      <c r="AL1408" s="2126">
        <v>0</v>
      </c>
      <c r="AM1408" s="2126">
        <v>0</v>
      </c>
      <c r="AN1408" s="2126">
        <v>-1332.51</v>
      </c>
      <c r="AO1408" s="1743" t="s">
        <v>85</v>
      </c>
      <c r="AP1408" s="1743" t="s">
        <v>96</v>
      </c>
      <c r="AQ1408" s="1764" t="s">
        <v>118</v>
      </c>
      <c r="AR1408" s="1743" t="s">
        <v>87</v>
      </c>
      <c r="AS1408" s="2135"/>
      <c r="AT1408" s="2135"/>
      <c r="AU1408" s="1212">
        <v>1</v>
      </c>
      <c r="AV1408" s="1212"/>
      <c r="AW1408" s="1212"/>
      <c r="AX1408" s="1212"/>
      <c r="AY1408" s="1212"/>
      <c r="AZ1408" s="1212"/>
      <c r="BA1408" s="1212"/>
      <c r="BB1408" s="1212"/>
      <c r="BC1408" s="1212"/>
      <c r="BD1408" s="1212"/>
      <c r="BE1408" s="1212"/>
      <c r="BF1408" s="2126">
        <v>0</v>
      </c>
      <c r="BG1408" s="2126">
        <v>0</v>
      </c>
      <c r="BH1408" s="2126">
        <v>-1332.51</v>
      </c>
      <c r="BI1408" s="2126">
        <v>0</v>
      </c>
      <c r="BJ1408" s="2126">
        <v>0</v>
      </c>
      <c r="BK1408" s="2126">
        <v>0</v>
      </c>
      <c r="BL1408" s="2126">
        <v>0</v>
      </c>
      <c r="BM1408" s="2126">
        <v>0</v>
      </c>
      <c r="BN1408" s="2126">
        <v>0</v>
      </c>
      <c r="BO1408" s="2126">
        <v>0</v>
      </c>
      <c r="BP1408" s="2126">
        <v>0</v>
      </c>
      <c r="BQ1408" s="2126">
        <v>0</v>
      </c>
      <c r="BR1408" s="2126">
        <v>0</v>
      </c>
    </row>
    <row r="1409" spans="1:70" s="1765" customFormat="1" ht="33">
      <c r="A1409" s="1272">
        <v>5000</v>
      </c>
      <c r="B1409" s="971" t="s">
        <v>2119</v>
      </c>
      <c r="C1409" s="1272">
        <v>5100</v>
      </c>
      <c r="D1409" s="971" t="s">
        <v>78</v>
      </c>
      <c r="E1409" s="971">
        <v>5140</v>
      </c>
      <c r="F1409" s="971" t="s">
        <v>176</v>
      </c>
      <c r="G1409" s="971">
        <v>5140</v>
      </c>
      <c r="H1409" s="971" t="s">
        <v>176</v>
      </c>
      <c r="I1409" s="1273"/>
      <c r="J1409" s="971"/>
      <c r="K1409" s="971" t="s">
        <v>125</v>
      </c>
      <c r="L1409" s="971" t="s">
        <v>2868</v>
      </c>
      <c r="M1409" s="971" t="s">
        <v>126</v>
      </c>
      <c r="N1409" s="971" t="s">
        <v>127</v>
      </c>
      <c r="O1409" s="971" t="s">
        <v>128</v>
      </c>
      <c r="P1409" s="971" t="s">
        <v>2329</v>
      </c>
      <c r="Q1409" s="971" t="s">
        <v>2330</v>
      </c>
      <c r="R1409" s="1266" t="s">
        <v>2331</v>
      </c>
      <c r="S1409" s="2106">
        <v>29.728960000000001</v>
      </c>
      <c r="T1409" s="1266" t="s">
        <v>136</v>
      </c>
      <c r="U1409" s="1742">
        <v>0.11208333333333333</v>
      </c>
      <c r="V1409" s="1742">
        <v>1.4010416666666667</v>
      </c>
      <c r="W1409" s="1742">
        <v>9.8790250000000004</v>
      </c>
      <c r="X1409" s="1742">
        <v>15.452929166666667</v>
      </c>
      <c r="Y1409" s="2106">
        <v>26.73299583333333</v>
      </c>
      <c r="Z1409" s="2106">
        <v>3.332120933333333</v>
      </c>
      <c r="AA1409" s="2106">
        <v>41.651511666666671</v>
      </c>
      <c r="AB1409" s="2106">
        <v>293.69313906400004</v>
      </c>
      <c r="AC1409" s="2106">
        <v>459.3995130786667</v>
      </c>
      <c r="AD1409" s="1744">
        <v>794.74416380933349</v>
      </c>
      <c r="AE1409" s="2126">
        <v>1</v>
      </c>
      <c r="AF1409" s="2126">
        <v>29.728960000000001</v>
      </c>
      <c r="AG1409" s="1212">
        <v>1</v>
      </c>
      <c r="AH1409" s="1212">
        <v>0</v>
      </c>
      <c r="AI1409" s="1212">
        <v>0</v>
      </c>
      <c r="AJ1409" s="1212">
        <v>1</v>
      </c>
      <c r="AK1409" s="2126">
        <v>794.74416380933349</v>
      </c>
      <c r="AL1409" s="2126">
        <v>0</v>
      </c>
      <c r="AM1409" s="2126">
        <v>0</v>
      </c>
      <c r="AN1409" s="2126">
        <v>794.74416380933349</v>
      </c>
      <c r="AO1409" s="1743" t="s">
        <v>85</v>
      </c>
      <c r="AP1409" s="1743"/>
      <c r="AQ1409" s="1764">
        <v>2022</v>
      </c>
      <c r="AR1409" s="1743" t="s">
        <v>87</v>
      </c>
      <c r="AS1409" s="2135"/>
      <c r="AT1409" s="2135"/>
      <c r="AU1409" s="1212">
        <v>0.5</v>
      </c>
      <c r="AV1409" s="1212">
        <v>0.5</v>
      </c>
      <c r="AW1409" s="1212"/>
      <c r="AX1409" s="1212"/>
      <c r="AY1409" s="1212"/>
      <c r="AZ1409" s="1212"/>
      <c r="BA1409" s="1212"/>
      <c r="BB1409" s="1212"/>
      <c r="BC1409" s="1212"/>
      <c r="BD1409" s="1212"/>
      <c r="BE1409" s="1212"/>
      <c r="BF1409" s="2126">
        <v>0</v>
      </c>
      <c r="BG1409" s="2126">
        <v>0</v>
      </c>
      <c r="BH1409" s="2126">
        <v>397.37208190466674</v>
      </c>
      <c r="BI1409" s="2126">
        <v>397.37208190466674</v>
      </c>
      <c r="BJ1409" s="2126">
        <v>0</v>
      </c>
      <c r="BK1409" s="2126">
        <v>0</v>
      </c>
      <c r="BL1409" s="2126">
        <v>0</v>
      </c>
      <c r="BM1409" s="2126">
        <v>0</v>
      </c>
      <c r="BN1409" s="2126">
        <v>0</v>
      </c>
      <c r="BO1409" s="2126">
        <v>0</v>
      </c>
      <c r="BP1409" s="2126">
        <v>0</v>
      </c>
      <c r="BQ1409" s="2126">
        <v>0</v>
      </c>
      <c r="BR1409" s="2126">
        <v>0</v>
      </c>
    </row>
    <row r="1410" spans="1:70" s="1765" customFormat="1" ht="33">
      <c r="A1410" s="1272">
        <v>5000</v>
      </c>
      <c r="B1410" s="971" t="s">
        <v>2119</v>
      </c>
      <c r="C1410" s="1272">
        <v>5100</v>
      </c>
      <c r="D1410" s="971" t="s">
        <v>78</v>
      </c>
      <c r="E1410" s="971">
        <v>5140</v>
      </c>
      <c r="F1410" s="971" t="s">
        <v>176</v>
      </c>
      <c r="G1410" s="971">
        <v>5140</v>
      </c>
      <c r="H1410" s="971" t="s">
        <v>176</v>
      </c>
      <c r="I1410" s="1273"/>
      <c r="J1410" s="971"/>
      <c r="K1410" s="971" t="s">
        <v>125</v>
      </c>
      <c r="L1410" s="971" t="s">
        <v>2868</v>
      </c>
      <c r="M1410" s="971" t="s">
        <v>126</v>
      </c>
      <c r="N1410" s="971" t="s">
        <v>127</v>
      </c>
      <c r="O1410" s="971" t="s">
        <v>128</v>
      </c>
      <c r="P1410" s="971" t="s">
        <v>2329</v>
      </c>
      <c r="Q1410" s="971" t="s">
        <v>2330</v>
      </c>
      <c r="R1410" s="1266" t="s">
        <v>2331</v>
      </c>
      <c r="S1410" s="2106">
        <v>-29.728960000000001</v>
      </c>
      <c r="T1410" s="1266" t="s">
        <v>136</v>
      </c>
      <c r="U1410" s="1742">
        <v>0.11208333333333333</v>
      </c>
      <c r="V1410" s="1742">
        <v>1.4010416666666667</v>
      </c>
      <c r="W1410" s="1742">
        <v>9.8790250000000004</v>
      </c>
      <c r="X1410" s="1742">
        <v>15.452929166666667</v>
      </c>
      <c r="Y1410" s="2106">
        <v>26.73299583333333</v>
      </c>
      <c r="Z1410" s="2106">
        <v>-3.332120933333333</v>
      </c>
      <c r="AA1410" s="2106">
        <v>-41.651511666666671</v>
      </c>
      <c r="AB1410" s="2106">
        <v>-293.69313906400004</v>
      </c>
      <c r="AC1410" s="2106">
        <v>-459.3995130786667</v>
      </c>
      <c r="AD1410" s="1744">
        <v>-794.74416380933349</v>
      </c>
      <c r="AE1410" s="2126">
        <v>1</v>
      </c>
      <c r="AF1410" s="2126">
        <v>-29.728960000000001</v>
      </c>
      <c r="AG1410" s="1212">
        <v>1</v>
      </c>
      <c r="AH1410" s="1212">
        <v>0</v>
      </c>
      <c r="AI1410" s="1212">
        <v>0</v>
      </c>
      <c r="AJ1410" s="1212">
        <v>1</v>
      </c>
      <c r="AK1410" s="2126">
        <v>-794.74416380933349</v>
      </c>
      <c r="AL1410" s="2126">
        <v>0</v>
      </c>
      <c r="AM1410" s="2126">
        <v>0</v>
      </c>
      <c r="AN1410" s="2126">
        <v>-794.74416380933349</v>
      </c>
      <c r="AO1410" s="1743" t="s">
        <v>85</v>
      </c>
      <c r="AP1410" s="1743" t="s">
        <v>96</v>
      </c>
      <c r="AQ1410" s="1764" t="s">
        <v>118</v>
      </c>
      <c r="AR1410" s="1743" t="s">
        <v>87</v>
      </c>
      <c r="AS1410" s="2135"/>
      <c r="AT1410" s="2135"/>
      <c r="AU1410" s="1212">
        <v>0.5</v>
      </c>
      <c r="AV1410" s="1212">
        <v>0.5</v>
      </c>
      <c r="AW1410" s="1212"/>
      <c r="AX1410" s="1212"/>
      <c r="AY1410" s="1212"/>
      <c r="AZ1410" s="1212"/>
      <c r="BA1410" s="1212"/>
      <c r="BB1410" s="1212"/>
      <c r="BC1410" s="1212"/>
      <c r="BD1410" s="1212"/>
      <c r="BE1410" s="1212"/>
      <c r="BF1410" s="2126">
        <v>0</v>
      </c>
      <c r="BG1410" s="2126">
        <v>0</v>
      </c>
      <c r="BH1410" s="2126">
        <v>-397.37208190466674</v>
      </c>
      <c r="BI1410" s="2126">
        <v>-397.37208190466674</v>
      </c>
      <c r="BJ1410" s="2126">
        <v>0</v>
      </c>
      <c r="BK1410" s="2126">
        <v>0</v>
      </c>
      <c r="BL1410" s="2126">
        <v>0</v>
      </c>
      <c r="BM1410" s="2126">
        <v>0</v>
      </c>
      <c r="BN1410" s="2126">
        <v>0</v>
      </c>
      <c r="BO1410" s="2126">
        <v>0</v>
      </c>
      <c r="BP1410" s="2126">
        <v>0</v>
      </c>
      <c r="BQ1410" s="2126">
        <v>0</v>
      </c>
      <c r="BR1410" s="2126">
        <v>0</v>
      </c>
    </row>
    <row r="1411" spans="1:70" s="1765" customFormat="1" ht="33">
      <c r="A1411" s="1272">
        <v>5000</v>
      </c>
      <c r="B1411" s="971" t="s">
        <v>2119</v>
      </c>
      <c r="C1411" s="1272">
        <v>5100</v>
      </c>
      <c r="D1411" s="971" t="s">
        <v>78</v>
      </c>
      <c r="E1411" s="971">
        <v>5140</v>
      </c>
      <c r="F1411" s="971" t="s">
        <v>176</v>
      </c>
      <c r="G1411" s="971">
        <v>5140</v>
      </c>
      <c r="H1411" s="971" t="s">
        <v>176</v>
      </c>
      <c r="I1411" s="1273"/>
      <c r="J1411" s="971" t="s">
        <v>2146</v>
      </c>
      <c r="K1411" s="971" t="s">
        <v>2129</v>
      </c>
      <c r="L1411" s="971" t="s">
        <v>2130</v>
      </c>
      <c r="M1411" s="971" t="s">
        <v>2129</v>
      </c>
      <c r="N1411" s="971" t="s">
        <v>176</v>
      </c>
      <c r="O1411" s="971" t="s">
        <v>2130</v>
      </c>
      <c r="P1411" s="971"/>
      <c r="Q1411" s="971" t="s">
        <v>2332</v>
      </c>
      <c r="R1411" s="1266" t="s">
        <v>2333</v>
      </c>
      <c r="S1411" s="2106">
        <v>1</v>
      </c>
      <c r="T1411" s="1266" t="s">
        <v>242</v>
      </c>
      <c r="U1411" s="1742">
        <v>6.666666666666667</v>
      </c>
      <c r="V1411" s="1742">
        <v>20.833333333333336</v>
      </c>
      <c r="W1411" s="1742">
        <v>587.6</v>
      </c>
      <c r="X1411" s="1742">
        <v>229.78333333333333</v>
      </c>
      <c r="Y1411" s="2106">
        <v>838.2166666666667</v>
      </c>
      <c r="Z1411" s="2106">
        <v>6.666666666666667</v>
      </c>
      <c r="AA1411" s="2106">
        <v>20.833333333333336</v>
      </c>
      <c r="AB1411" s="2106">
        <v>587.6</v>
      </c>
      <c r="AC1411" s="2106">
        <v>229.78333333333333</v>
      </c>
      <c r="AD1411" s="1744">
        <v>838.2166666666667</v>
      </c>
      <c r="AE1411" s="2126">
        <v>4</v>
      </c>
      <c r="AF1411" s="2126">
        <v>4</v>
      </c>
      <c r="AG1411" s="1212">
        <v>1</v>
      </c>
      <c r="AH1411" s="1212">
        <v>0</v>
      </c>
      <c r="AI1411" s="1212">
        <v>0</v>
      </c>
      <c r="AJ1411" s="1212">
        <v>1</v>
      </c>
      <c r="AK1411" s="2126">
        <v>838.2166666666667</v>
      </c>
      <c r="AL1411" s="2126">
        <v>0</v>
      </c>
      <c r="AM1411" s="2126">
        <v>0</v>
      </c>
      <c r="AN1411" s="2126">
        <v>838.2166666666667</v>
      </c>
      <c r="AO1411" s="1743" t="s">
        <v>85</v>
      </c>
      <c r="AP1411" s="1743" t="s">
        <v>90</v>
      </c>
      <c r="AQ1411" s="1764">
        <v>2022</v>
      </c>
      <c r="AR1411" s="1743" t="s">
        <v>87</v>
      </c>
      <c r="AS1411" s="2135"/>
      <c r="AT1411" s="2135"/>
      <c r="AU1411" s="1212">
        <v>1</v>
      </c>
      <c r="AV1411" s="1212"/>
      <c r="AW1411" s="1212"/>
      <c r="AX1411" s="1212"/>
      <c r="AY1411" s="1212"/>
      <c r="AZ1411" s="1212"/>
      <c r="BA1411" s="1212"/>
      <c r="BB1411" s="1212"/>
      <c r="BC1411" s="1212"/>
      <c r="BD1411" s="1212"/>
      <c r="BE1411" s="1212"/>
      <c r="BF1411" s="2126">
        <v>0</v>
      </c>
      <c r="BG1411" s="2126">
        <v>0</v>
      </c>
      <c r="BH1411" s="2126">
        <v>838.2166666666667</v>
      </c>
      <c r="BI1411" s="2126">
        <v>0</v>
      </c>
      <c r="BJ1411" s="2126">
        <v>0</v>
      </c>
      <c r="BK1411" s="2126">
        <v>0</v>
      </c>
      <c r="BL1411" s="2126">
        <v>0</v>
      </c>
      <c r="BM1411" s="2126">
        <v>0</v>
      </c>
      <c r="BN1411" s="2126">
        <v>0</v>
      </c>
      <c r="BO1411" s="2126">
        <v>0</v>
      </c>
      <c r="BP1411" s="2126">
        <v>0</v>
      </c>
      <c r="BQ1411" s="2126">
        <v>0</v>
      </c>
      <c r="BR1411" s="2126">
        <v>0</v>
      </c>
    </row>
    <row r="1412" spans="1:70" s="1765" customFormat="1" ht="33">
      <c r="A1412" s="1272">
        <v>5000</v>
      </c>
      <c r="B1412" s="971" t="s">
        <v>2119</v>
      </c>
      <c r="C1412" s="1272">
        <v>5100</v>
      </c>
      <c r="D1412" s="971" t="s">
        <v>78</v>
      </c>
      <c r="E1412" s="971">
        <v>5140</v>
      </c>
      <c r="F1412" s="971" t="s">
        <v>176</v>
      </c>
      <c r="G1412" s="971">
        <v>5140</v>
      </c>
      <c r="H1412" s="971" t="s">
        <v>176</v>
      </c>
      <c r="I1412" s="1273"/>
      <c r="J1412" s="971" t="s">
        <v>2146</v>
      </c>
      <c r="K1412" s="971" t="s">
        <v>2129</v>
      </c>
      <c r="L1412" s="971" t="s">
        <v>2130</v>
      </c>
      <c r="M1412" s="971" t="s">
        <v>2129</v>
      </c>
      <c r="N1412" s="971" t="s">
        <v>176</v>
      </c>
      <c r="O1412" s="971" t="s">
        <v>2130</v>
      </c>
      <c r="P1412" s="971"/>
      <c r="Q1412" s="971" t="s">
        <v>2332</v>
      </c>
      <c r="R1412" s="1266" t="s">
        <v>2333</v>
      </c>
      <c r="S1412" s="2106">
        <v>-1</v>
      </c>
      <c r="T1412" s="1266" t="s">
        <v>242</v>
      </c>
      <c r="U1412" s="1742">
        <v>6.666666666666667</v>
      </c>
      <c r="V1412" s="1742">
        <v>20.833333333333336</v>
      </c>
      <c r="W1412" s="1742">
        <v>587.6</v>
      </c>
      <c r="X1412" s="1742">
        <v>229.78333333333333</v>
      </c>
      <c r="Y1412" s="2106">
        <v>838.2166666666667</v>
      </c>
      <c r="Z1412" s="2106">
        <v>-6.666666666666667</v>
      </c>
      <c r="AA1412" s="2106">
        <v>-20.833333333333336</v>
      </c>
      <c r="AB1412" s="2106">
        <v>-587.6</v>
      </c>
      <c r="AC1412" s="2106">
        <v>-229.78333333333333</v>
      </c>
      <c r="AD1412" s="1744">
        <v>-838.2166666666667</v>
      </c>
      <c r="AE1412" s="2126">
        <v>4</v>
      </c>
      <c r="AF1412" s="2126">
        <v>-4</v>
      </c>
      <c r="AG1412" s="1212">
        <v>1</v>
      </c>
      <c r="AH1412" s="1212">
        <v>0</v>
      </c>
      <c r="AI1412" s="1212">
        <v>0</v>
      </c>
      <c r="AJ1412" s="1212">
        <v>1</v>
      </c>
      <c r="AK1412" s="2126">
        <v>-838.2166666666667</v>
      </c>
      <c r="AL1412" s="2126">
        <v>0</v>
      </c>
      <c r="AM1412" s="2126">
        <v>0</v>
      </c>
      <c r="AN1412" s="2126">
        <v>-838.2166666666667</v>
      </c>
      <c r="AO1412" s="1743" t="s">
        <v>85</v>
      </c>
      <c r="AP1412" s="1743" t="s">
        <v>96</v>
      </c>
      <c r="AQ1412" s="1764" t="s">
        <v>118</v>
      </c>
      <c r="AR1412" s="1743" t="s">
        <v>87</v>
      </c>
      <c r="AS1412" s="2135"/>
      <c r="AT1412" s="2135"/>
      <c r="AU1412" s="1212">
        <v>1</v>
      </c>
      <c r="AV1412" s="1212"/>
      <c r="AW1412" s="1212"/>
      <c r="AX1412" s="1212"/>
      <c r="AY1412" s="1212"/>
      <c r="AZ1412" s="1212"/>
      <c r="BA1412" s="1212"/>
      <c r="BB1412" s="1212"/>
      <c r="BC1412" s="1212"/>
      <c r="BD1412" s="1212"/>
      <c r="BE1412" s="1212"/>
      <c r="BF1412" s="2126">
        <v>0</v>
      </c>
      <c r="BG1412" s="2126">
        <v>0</v>
      </c>
      <c r="BH1412" s="2126">
        <v>-838.2166666666667</v>
      </c>
      <c r="BI1412" s="2126">
        <v>0</v>
      </c>
      <c r="BJ1412" s="2126">
        <v>0</v>
      </c>
      <c r="BK1412" s="2126">
        <v>0</v>
      </c>
      <c r="BL1412" s="2126">
        <v>0</v>
      </c>
      <c r="BM1412" s="2126">
        <v>0</v>
      </c>
      <c r="BN1412" s="2126">
        <v>0</v>
      </c>
      <c r="BO1412" s="2126">
        <v>0</v>
      </c>
      <c r="BP1412" s="2126">
        <v>0</v>
      </c>
      <c r="BQ1412" s="2126">
        <v>0</v>
      </c>
      <c r="BR1412" s="2126">
        <v>0</v>
      </c>
    </row>
    <row r="1413" spans="1:70" s="1765" customFormat="1" ht="33">
      <c r="A1413" s="1272">
        <v>5000</v>
      </c>
      <c r="B1413" s="971" t="s">
        <v>2119</v>
      </c>
      <c r="C1413" s="1272">
        <v>5100</v>
      </c>
      <c r="D1413" s="971" t="s">
        <v>78</v>
      </c>
      <c r="E1413" s="971">
        <v>5140</v>
      </c>
      <c r="F1413" s="971" t="s">
        <v>176</v>
      </c>
      <c r="G1413" s="971">
        <v>5140</v>
      </c>
      <c r="H1413" s="971" t="s">
        <v>176</v>
      </c>
      <c r="I1413" s="1273"/>
      <c r="J1413" s="971" t="s">
        <v>2146</v>
      </c>
      <c r="K1413" s="971" t="s">
        <v>2129</v>
      </c>
      <c r="L1413" s="971" t="s">
        <v>2130</v>
      </c>
      <c r="M1413" s="971" t="s">
        <v>2129</v>
      </c>
      <c r="N1413" s="971" t="s">
        <v>176</v>
      </c>
      <c r="O1413" s="971" t="s">
        <v>2130</v>
      </c>
      <c r="P1413" s="971"/>
      <c r="Q1413" s="971" t="s">
        <v>2334</v>
      </c>
      <c r="R1413" s="1266" t="s">
        <v>2335</v>
      </c>
      <c r="S1413" s="2106">
        <v>2</v>
      </c>
      <c r="T1413" s="1266" t="s">
        <v>242</v>
      </c>
      <c r="U1413" s="1742">
        <v>6.666666666666667</v>
      </c>
      <c r="V1413" s="1742">
        <v>20.833333333333336</v>
      </c>
      <c r="W1413" s="1742">
        <v>587.6</v>
      </c>
      <c r="X1413" s="1742">
        <v>229.78333333333333</v>
      </c>
      <c r="Y1413" s="2106">
        <v>838.2166666666667</v>
      </c>
      <c r="Z1413" s="2106">
        <v>13.333333333333334</v>
      </c>
      <c r="AA1413" s="2106">
        <v>41.666666666666671</v>
      </c>
      <c r="AB1413" s="2106">
        <v>1175.2</v>
      </c>
      <c r="AC1413" s="2106">
        <v>459.56666666666666</v>
      </c>
      <c r="AD1413" s="1744">
        <v>1676.4333333333334</v>
      </c>
      <c r="AE1413" s="2126">
        <v>4</v>
      </c>
      <c r="AF1413" s="2126">
        <v>8</v>
      </c>
      <c r="AG1413" s="1212">
        <v>1</v>
      </c>
      <c r="AH1413" s="1212">
        <v>0</v>
      </c>
      <c r="AI1413" s="1212">
        <v>0</v>
      </c>
      <c r="AJ1413" s="1212">
        <v>1</v>
      </c>
      <c r="AK1413" s="2126">
        <v>1676.4333333333334</v>
      </c>
      <c r="AL1413" s="2126">
        <v>0</v>
      </c>
      <c r="AM1413" s="2126">
        <v>0</v>
      </c>
      <c r="AN1413" s="2126">
        <v>1676.4333333333334</v>
      </c>
      <c r="AO1413" s="1743" t="s">
        <v>85</v>
      </c>
      <c r="AP1413" s="1743" t="s">
        <v>90</v>
      </c>
      <c r="AQ1413" s="1764">
        <v>2022</v>
      </c>
      <c r="AR1413" s="1743" t="s">
        <v>87</v>
      </c>
      <c r="AS1413" s="2135"/>
      <c r="AT1413" s="2135"/>
      <c r="AU1413" s="1212">
        <v>1</v>
      </c>
      <c r="AV1413" s="1212"/>
      <c r="AW1413" s="1212"/>
      <c r="AX1413" s="1212"/>
      <c r="AY1413" s="1212"/>
      <c r="AZ1413" s="1212"/>
      <c r="BA1413" s="1212"/>
      <c r="BB1413" s="1212"/>
      <c r="BC1413" s="1212"/>
      <c r="BD1413" s="1212"/>
      <c r="BE1413" s="1212"/>
      <c r="BF1413" s="2126">
        <v>0</v>
      </c>
      <c r="BG1413" s="2126">
        <v>0</v>
      </c>
      <c r="BH1413" s="2126">
        <v>1676.4333333333334</v>
      </c>
      <c r="BI1413" s="2126">
        <v>0</v>
      </c>
      <c r="BJ1413" s="2126">
        <v>0</v>
      </c>
      <c r="BK1413" s="2126">
        <v>0</v>
      </c>
      <c r="BL1413" s="2126">
        <v>0</v>
      </c>
      <c r="BM1413" s="2126">
        <v>0</v>
      </c>
      <c r="BN1413" s="2126">
        <v>0</v>
      </c>
      <c r="BO1413" s="2126">
        <v>0</v>
      </c>
      <c r="BP1413" s="2126">
        <v>0</v>
      </c>
      <c r="BQ1413" s="2126">
        <v>0</v>
      </c>
      <c r="BR1413" s="2126">
        <v>0</v>
      </c>
    </row>
    <row r="1414" spans="1:70" s="1765" customFormat="1" ht="33">
      <c r="A1414" s="1272">
        <v>5000</v>
      </c>
      <c r="B1414" s="971" t="s">
        <v>2119</v>
      </c>
      <c r="C1414" s="1272">
        <v>5100</v>
      </c>
      <c r="D1414" s="971" t="s">
        <v>78</v>
      </c>
      <c r="E1414" s="971">
        <v>5140</v>
      </c>
      <c r="F1414" s="971" t="s">
        <v>176</v>
      </c>
      <c r="G1414" s="971">
        <v>5140</v>
      </c>
      <c r="H1414" s="971" t="s">
        <v>176</v>
      </c>
      <c r="I1414" s="1273"/>
      <c r="J1414" s="971" t="s">
        <v>2146</v>
      </c>
      <c r="K1414" s="971" t="s">
        <v>2129</v>
      </c>
      <c r="L1414" s="971" t="s">
        <v>2130</v>
      </c>
      <c r="M1414" s="971" t="s">
        <v>2129</v>
      </c>
      <c r="N1414" s="971" t="s">
        <v>176</v>
      </c>
      <c r="O1414" s="971" t="s">
        <v>2130</v>
      </c>
      <c r="P1414" s="971"/>
      <c r="Q1414" s="971" t="s">
        <v>2334</v>
      </c>
      <c r="R1414" s="1266" t="s">
        <v>2335</v>
      </c>
      <c r="S1414" s="2106">
        <v>-2</v>
      </c>
      <c r="T1414" s="1266" t="s">
        <v>242</v>
      </c>
      <c r="U1414" s="1742">
        <v>6.666666666666667</v>
      </c>
      <c r="V1414" s="1742">
        <v>20.833333333333336</v>
      </c>
      <c r="W1414" s="1742">
        <v>587.6</v>
      </c>
      <c r="X1414" s="1742">
        <v>229.78333333333333</v>
      </c>
      <c r="Y1414" s="2106">
        <v>838.2166666666667</v>
      </c>
      <c r="Z1414" s="2106">
        <v>-13.333333333333334</v>
      </c>
      <c r="AA1414" s="2106">
        <v>-41.666666666666671</v>
      </c>
      <c r="AB1414" s="2106">
        <v>-1175.2</v>
      </c>
      <c r="AC1414" s="2106">
        <v>-459.56666666666666</v>
      </c>
      <c r="AD1414" s="1744">
        <v>-1676.4333333333334</v>
      </c>
      <c r="AE1414" s="2126">
        <v>4</v>
      </c>
      <c r="AF1414" s="2126">
        <v>-8</v>
      </c>
      <c r="AG1414" s="1212">
        <v>1</v>
      </c>
      <c r="AH1414" s="1212">
        <v>0</v>
      </c>
      <c r="AI1414" s="1212">
        <v>0</v>
      </c>
      <c r="AJ1414" s="1212">
        <v>1</v>
      </c>
      <c r="AK1414" s="2126">
        <v>-1676.4333333333334</v>
      </c>
      <c r="AL1414" s="2126">
        <v>0</v>
      </c>
      <c r="AM1414" s="2126">
        <v>0</v>
      </c>
      <c r="AN1414" s="2126">
        <v>-1676.4333333333334</v>
      </c>
      <c r="AO1414" s="1743" t="s">
        <v>85</v>
      </c>
      <c r="AP1414" s="1743" t="s">
        <v>96</v>
      </c>
      <c r="AQ1414" s="1764" t="s">
        <v>118</v>
      </c>
      <c r="AR1414" s="1743" t="s">
        <v>87</v>
      </c>
      <c r="AS1414" s="2135"/>
      <c r="AT1414" s="2135"/>
      <c r="AU1414" s="1212">
        <v>1</v>
      </c>
      <c r="AV1414" s="1212"/>
      <c r="AW1414" s="1212"/>
      <c r="AX1414" s="1212"/>
      <c r="AY1414" s="1212"/>
      <c r="AZ1414" s="1212"/>
      <c r="BA1414" s="1212"/>
      <c r="BB1414" s="1212"/>
      <c r="BC1414" s="1212"/>
      <c r="BD1414" s="1212"/>
      <c r="BE1414" s="1212"/>
      <c r="BF1414" s="2126">
        <v>0</v>
      </c>
      <c r="BG1414" s="2126">
        <v>0</v>
      </c>
      <c r="BH1414" s="2126">
        <v>-1676.4333333333334</v>
      </c>
      <c r="BI1414" s="2126">
        <v>0</v>
      </c>
      <c r="BJ1414" s="2126">
        <v>0</v>
      </c>
      <c r="BK1414" s="2126">
        <v>0</v>
      </c>
      <c r="BL1414" s="2126">
        <v>0</v>
      </c>
      <c r="BM1414" s="2126">
        <v>0</v>
      </c>
      <c r="BN1414" s="2126">
        <v>0</v>
      </c>
      <c r="BO1414" s="2126">
        <v>0</v>
      </c>
      <c r="BP1414" s="2126">
        <v>0</v>
      </c>
      <c r="BQ1414" s="2126">
        <v>0</v>
      </c>
      <c r="BR1414" s="2126">
        <v>0</v>
      </c>
    </row>
    <row r="1415" spans="1:70" s="1765" customFormat="1" ht="33">
      <c r="A1415" s="1272">
        <v>5000</v>
      </c>
      <c r="B1415" s="971" t="s">
        <v>2119</v>
      </c>
      <c r="C1415" s="1272">
        <v>5100</v>
      </c>
      <c r="D1415" s="971" t="s">
        <v>78</v>
      </c>
      <c r="E1415" s="971">
        <v>5140</v>
      </c>
      <c r="F1415" s="971" t="s">
        <v>176</v>
      </c>
      <c r="G1415" s="971">
        <v>5140</v>
      </c>
      <c r="H1415" s="971" t="s">
        <v>176</v>
      </c>
      <c r="I1415" s="1273"/>
      <c r="J1415" s="971" t="s">
        <v>2146</v>
      </c>
      <c r="K1415" s="971" t="s">
        <v>2129</v>
      </c>
      <c r="L1415" s="971" t="s">
        <v>2130</v>
      </c>
      <c r="M1415" s="971" t="s">
        <v>2129</v>
      </c>
      <c r="N1415" s="971" t="s">
        <v>176</v>
      </c>
      <c r="O1415" s="971" t="s">
        <v>2130</v>
      </c>
      <c r="P1415" s="971"/>
      <c r="Q1415" s="971" t="s">
        <v>2336</v>
      </c>
      <c r="R1415" s="1266" t="s">
        <v>2337</v>
      </c>
      <c r="S1415" s="2106">
        <v>1</v>
      </c>
      <c r="T1415" s="1266" t="s">
        <v>242</v>
      </c>
      <c r="U1415" s="1742">
        <v>6.666666666666667</v>
      </c>
      <c r="V1415" s="1742">
        <v>20.833333333333336</v>
      </c>
      <c r="W1415" s="1742">
        <v>587.6</v>
      </c>
      <c r="X1415" s="1742">
        <v>229.78333333333333</v>
      </c>
      <c r="Y1415" s="2106">
        <v>838.2166666666667</v>
      </c>
      <c r="Z1415" s="2106">
        <v>6.666666666666667</v>
      </c>
      <c r="AA1415" s="2106">
        <v>20.833333333333336</v>
      </c>
      <c r="AB1415" s="2106">
        <v>587.6</v>
      </c>
      <c r="AC1415" s="2106">
        <v>229.78333333333333</v>
      </c>
      <c r="AD1415" s="1744">
        <v>838.2166666666667</v>
      </c>
      <c r="AE1415" s="2126">
        <v>4</v>
      </c>
      <c r="AF1415" s="2126">
        <v>4</v>
      </c>
      <c r="AG1415" s="1212">
        <v>1</v>
      </c>
      <c r="AH1415" s="1212">
        <v>0</v>
      </c>
      <c r="AI1415" s="1212">
        <v>0</v>
      </c>
      <c r="AJ1415" s="1212">
        <v>1</v>
      </c>
      <c r="AK1415" s="2126">
        <v>838.2166666666667</v>
      </c>
      <c r="AL1415" s="2126">
        <v>0</v>
      </c>
      <c r="AM1415" s="2126">
        <v>0</v>
      </c>
      <c r="AN1415" s="2126">
        <v>838.2166666666667</v>
      </c>
      <c r="AO1415" s="1743" t="s">
        <v>85</v>
      </c>
      <c r="AP1415" s="1743" t="s">
        <v>90</v>
      </c>
      <c r="AQ1415" s="1764">
        <v>2022</v>
      </c>
      <c r="AR1415" s="1743" t="s">
        <v>87</v>
      </c>
      <c r="AS1415" s="2135"/>
      <c r="AT1415" s="2135"/>
      <c r="AU1415" s="1212">
        <v>1</v>
      </c>
      <c r="AV1415" s="1212"/>
      <c r="AW1415" s="1212"/>
      <c r="AX1415" s="1212"/>
      <c r="AY1415" s="1212"/>
      <c r="AZ1415" s="1212"/>
      <c r="BA1415" s="1212"/>
      <c r="BB1415" s="1212"/>
      <c r="BC1415" s="1212"/>
      <c r="BD1415" s="1212"/>
      <c r="BE1415" s="1212"/>
      <c r="BF1415" s="2126">
        <v>0</v>
      </c>
      <c r="BG1415" s="2126">
        <v>0</v>
      </c>
      <c r="BH1415" s="2126">
        <v>838.2166666666667</v>
      </c>
      <c r="BI1415" s="2126">
        <v>0</v>
      </c>
      <c r="BJ1415" s="2126">
        <v>0</v>
      </c>
      <c r="BK1415" s="2126">
        <v>0</v>
      </c>
      <c r="BL1415" s="2126">
        <v>0</v>
      </c>
      <c r="BM1415" s="2126">
        <v>0</v>
      </c>
      <c r="BN1415" s="2126">
        <v>0</v>
      </c>
      <c r="BO1415" s="2126">
        <v>0</v>
      </c>
      <c r="BP1415" s="2126">
        <v>0</v>
      </c>
      <c r="BQ1415" s="2126">
        <v>0</v>
      </c>
      <c r="BR1415" s="2126">
        <v>0</v>
      </c>
    </row>
    <row r="1416" spans="1:70" s="1765" customFormat="1" ht="33">
      <c r="A1416" s="1272">
        <v>5000</v>
      </c>
      <c r="B1416" s="971" t="s">
        <v>2119</v>
      </c>
      <c r="C1416" s="1272">
        <v>5100</v>
      </c>
      <c r="D1416" s="971" t="s">
        <v>78</v>
      </c>
      <c r="E1416" s="971">
        <v>5140</v>
      </c>
      <c r="F1416" s="971" t="s">
        <v>176</v>
      </c>
      <c r="G1416" s="971">
        <v>5140</v>
      </c>
      <c r="H1416" s="971" t="s">
        <v>176</v>
      </c>
      <c r="I1416" s="1273"/>
      <c r="J1416" s="971" t="s">
        <v>2146</v>
      </c>
      <c r="K1416" s="971" t="s">
        <v>2129</v>
      </c>
      <c r="L1416" s="971" t="s">
        <v>2130</v>
      </c>
      <c r="M1416" s="971" t="s">
        <v>2129</v>
      </c>
      <c r="N1416" s="971" t="s">
        <v>176</v>
      </c>
      <c r="O1416" s="971" t="s">
        <v>2130</v>
      </c>
      <c r="P1416" s="971"/>
      <c r="Q1416" s="971" t="s">
        <v>2336</v>
      </c>
      <c r="R1416" s="1266" t="s">
        <v>2337</v>
      </c>
      <c r="S1416" s="2106">
        <v>-1</v>
      </c>
      <c r="T1416" s="1266" t="s">
        <v>242</v>
      </c>
      <c r="U1416" s="1742">
        <v>6.666666666666667</v>
      </c>
      <c r="V1416" s="1742">
        <v>20.833333333333336</v>
      </c>
      <c r="W1416" s="1742">
        <v>587.6</v>
      </c>
      <c r="X1416" s="1742">
        <v>229.78333333333333</v>
      </c>
      <c r="Y1416" s="2106">
        <v>838.2166666666667</v>
      </c>
      <c r="Z1416" s="2106">
        <v>-6.666666666666667</v>
      </c>
      <c r="AA1416" s="2106">
        <v>-20.833333333333336</v>
      </c>
      <c r="AB1416" s="2106">
        <v>-587.6</v>
      </c>
      <c r="AC1416" s="2106">
        <v>-229.78333333333333</v>
      </c>
      <c r="AD1416" s="1744">
        <v>-838.2166666666667</v>
      </c>
      <c r="AE1416" s="2126">
        <v>4</v>
      </c>
      <c r="AF1416" s="2126">
        <v>-4</v>
      </c>
      <c r="AG1416" s="1212">
        <v>1</v>
      </c>
      <c r="AH1416" s="1212">
        <v>0</v>
      </c>
      <c r="AI1416" s="1212">
        <v>0</v>
      </c>
      <c r="AJ1416" s="1212">
        <v>1</v>
      </c>
      <c r="AK1416" s="2126">
        <v>-838.2166666666667</v>
      </c>
      <c r="AL1416" s="2126">
        <v>0</v>
      </c>
      <c r="AM1416" s="2126">
        <v>0</v>
      </c>
      <c r="AN1416" s="2126">
        <v>-838.2166666666667</v>
      </c>
      <c r="AO1416" s="1743" t="s">
        <v>85</v>
      </c>
      <c r="AP1416" s="1743" t="s">
        <v>96</v>
      </c>
      <c r="AQ1416" s="1764" t="s">
        <v>118</v>
      </c>
      <c r="AR1416" s="1743" t="s">
        <v>87</v>
      </c>
      <c r="AS1416" s="2135"/>
      <c r="AT1416" s="2135"/>
      <c r="AU1416" s="1212">
        <v>1</v>
      </c>
      <c r="AV1416" s="1212"/>
      <c r="AW1416" s="1212"/>
      <c r="AX1416" s="1212"/>
      <c r="AY1416" s="1212"/>
      <c r="AZ1416" s="1212"/>
      <c r="BA1416" s="1212"/>
      <c r="BB1416" s="1212"/>
      <c r="BC1416" s="1212"/>
      <c r="BD1416" s="1212"/>
      <c r="BE1416" s="1212"/>
      <c r="BF1416" s="2126">
        <v>0</v>
      </c>
      <c r="BG1416" s="2126">
        <v>0</v>
      </c>
      <c r="BH1416" s="2126">
        <v>-838.2166666666667</v>
      </c>
      <c r="BI1416" s="2126">
        <v>0</v>
      </c>
      <c r="BJ1416" s="2126">
        <v>0</v>
      </c>
      <c r="BK1416" s="2126">
        <v>0</v>
      </c>
      <c r="BL1416" s="2126">
        <v>0</v>
      </c>
      <c r="BM1416" s="2126">
        <v>0</v>
      </c>
      <c r="BN1416" s="2126">
        <v>0</v>
      </c>
      <c r="BO1416" s="2126">
        <v>0</v>
      </c>
      <c r="BP1416" s="2126">
        <v>0</v>
      </c>
      <c r="BQ1416" s="2126">
        <v>0</v>
      </c>
      <c r="BR1416" s="2126">
        <v>0</v>
      </c>
    </row>
    <row r="1417" spans="1:70" s="1765" customFormat="1" ht="33">
      <c r="A1417" s="1272">
        <v>5000</v>
      </c>
      <c r="B1417" s="971" t="s">
        <v>2119</v>
      </c>
      <c r="C1417" s="1272">
        <v>5100</v>
      </c>
      <c r="D1417" s="971" t="s">
        <v>78</v>
      </c>
      <c r="E1417" s="971">
        <v>5140</v>
      </c>
      <c r="F1417" s="971" t="s">
        <v>176</v>
      </c>
      <c r="G1417" s="971">
        <v>5140</v>
      </c>
      <c r="H1417" s="971" t="s">
        <v>176</v>
      </c>
      <c r="I1417" s="1273"/>
      <c r="J1417" s="971" t="s">
        <v>2146</v>
      </c>
      <c r="K1417" s="971" t="s">
        <v>2129</v>
      </c>
      <c r="L1417" s="971" t="s">
        <v>2130</v>
      </c>
      <c r="M1417" s="971" t="s">
        <v>2129</v>
      </c>
      <c r="N1417" s="971" t="s">
        <v>176</v>
      </c>
      <c r="O1417" s="971" t="s">
        <v>2130</v>
      </c>
      <c r="P1417" s="971"/>
      <c r="Q1417" s="971" t="s">
        <v>2338</v>
      </c>
      <c r="R1417" s="1266" t="s">
        <v>2339</v>
      </c>
      <c r="S1417" s="2106">
        <v>1</v>
      </c>
      <c r="T1417" s="1266" t="s">
        <v>242</v>
      </c>
      <c r="U1417" s="1742">
        <v>6.666666666666667</v>
      </c>
      <c r="V1417" s="1742">
        <v>20.833333333333336</v>
      </c>
      <c r="W1417" s="1742">
        <v>587.6</v>
      </c>
      <c r="X1417" s="1742">
        <v>229.78333333333333</v>
      </c>
      <c r="Y1417" s="2106">
        <v>838.2166666666667</v>
      </c>
      <c r="Z1417" s="2106">
        <v>6.666666666666667</v>
      </c>
      <c r="AA1417" s="2106">
        <v>20.833333333333336</v>
      </c>
      <c r="AB1417" s="2106">
        <v>587.6</v>
      </c>
      <c r="AC1417" s="2106">
        <v>229.78333333333333</v>
      </c>
      <c r="AD1417" s="1744">
        <v>838.2166666666667</v>
      </c>
      <c r="AE1417" s="2126">
        <v>4</v>
      </c>
      <c r="AF1417" s="2126">
        <v>4</v>
      </c>
      <c r="AG1417" s="1212">
        <v>1</v>
      </c>
      <c r="AH1417" s="1212">
        <v>0</v>
      </c>
      <c r="AI1417" s="1212">
        <v>0</v>
      </c>
      <c r="AJ1417" s="1212">
        <v>1</v>
      </c>
      <c r="AK1417" s="2126">
        <v>838.2166666666667</v>
      </c>
      <c r="AL1417" s="2126">
        <v>0</v>
      </c>
      <c r="AM1417" s="2126">
        <v>0</v>
      </c>
      <c r="AN1417" s="2126">
        <v>838.2166666666667</v>
      </c>
      <c r="AO1417" s="1743" t="s">
        <v>85</v>
      </c>
      <c r="AP1417" s="1743" t="s">
        <v>90</v>
      </c>
      <c r="AQ1417" s="1764">
        <v>2022</v>
      </c>
      <c r="AR1417" s="1743" t="s">
        <v>87</v>
      </c>
      <c r="AS1417" s="2135"/>
      <c r="AT1417" s="2135"/>
      <c r="AU1417" s="1212">
        <v>1</v>
      </c>
      <c r="AV1417" s="1212"/>
      <c r="AW1417" s="1212"/>
      <c r="AX1417" s="1212"/>
      <c r="AY1417" s="1212"/>
      <c r="AZ1417" s="1212"/>
      <c r="BA1417" s="1212"/>
      <c r="BB1417" s="1212"/>
      <c r="BC1417" s="1212"/>
      <c r="BD1417" s="1212"/>
      <c r="BE1417" s="1212"/>
      <c r="BF1417" s="2126">
        <v>0</v>
      </c>
      <c r="BG1417" s="2126">
        <v>0</v>
      </c>
      <c r="BH1417" s="2126">
        <v>838.2166666666667</v>
      </c>
      <c r="BI1417" s="2126">
        <v>0</v>
      </c>
      <c r="BJ1417" s="2126">
        <v>0</v>
      </c>
      <c r="BK1417" s="2126">
        <v>0</v>
      </c>
      <c r="BL1417" s="2126">
        <v>0</v>
      </c>
      <c r="BM1417" s="2126">
        <v>0</v>
      </c>
      <c r="BN1417" s="2126">
        <v>0</v>
      </c>
      <c r="BO1417" s="2126">
        <v>0</v>
      </c>
      <c r="BP1417" s="2126">
        <v>0</v>
      </c>
      <c r="BQ1417" s="2126">
        <v>0</v>
      </c>
      <c r="BR1417" s="2126">
        <v>0</v>
      </c>
    </row>
    <row r="1418" spans="1:70" s="1765" customFormat="1" ht="33">
      <c r="A1418" s="1272">
        <v>5000</v>
      </c>
      <c r="B1418" s="971" t="s">
        <v>2119</v>
      </c>
      <c r="C1418" s="1272">
        <v>5100</v>
      </c>
      <c r="D1418" s="971" t="s">
        <v>78</v>
      </c>
      <c r="E1418" s="971">
        <v>5140</v>
      </c>
      <c r="F1418" s="971" t="s">
        <v>176</v>
      </c>
      <c r="G1418" s="971">
        <v>5140</v>
      </c>
      <c r="H1418" s="971" t="s">
        <v>176</v>
      </c>
      <c r="I1418" s="1273"/>
      <c r="J1418" s="971"/>
      <c r="K1418" s="971" t="s">
        <v>1768</v>
      </c>
      <c r="L1418" s="971" t="s">
        <v>1769</v>
      </c>
      <c r="M1418" s="971" t="s">
        <v>1768</v>
      </c>
      <c r="N1418" s="971" t="s">
        <v>179</v>
      </c>
      <c r="O1418" s="971" t="s">
        <v>1769</v>
      </c>
      <c r="P1418" s="971"/>
      <c r="Q1418" s="971" t="s">
        <v>2340</v>
      </c>
      <c r="R1418" s="1266" t="s">
        <v>2341</v>
      </c>
      <c r="S1418" s="2106">
        <v>2</v>
      </c>
      <c r="T1418" s="1266" t="s">
        <v>242</v>
      </c>
      <c r="U1418" s="1742">
        <v>8.1</v>
      </c>
      <c r="V1418" s="1742">
        <v>88.75</v>
      </c>
      <c r="W1418" s="1742">
        <v>713.93399999999997</v>
      </c>
      <c r="X1418" s="1742">
        <v>978.87700000000007</v>
      </c>
      <c r="Y1418" s="2106">
        <v>1781.5610000000001</v>
      </c>
      <c r="Z1418" s="2106">
        <v>16.2</v>
      </c>
      <c r="AA1418" s="2106">
        <v>177.5</v>
      </c>
      <c r="AB1418" s="2106">
        <v>1427.8679999999999</v>
      </c>
      <c r="AC1418" s="2106">
        <v>1957.7540000000001</v>
      </c>
      <c r="AD1418" s="1744">
        <v>3563.1220000000003</v>
      </c>
      <c r="AE1418" s="2126">
        <v>0.5</v>
      </c>
      <c r="AF1418" s="2126">
        <v>1</v>
      </c>
      <c r="AG1418" s="1212">
        <v>1</v>
      </c>
      <c r="AH1418" s="1212">
        <v>0</v>
      </c>
      <c r="AI1418" s="1212">
        <v>0</v>
      </c>
      <c r="AJ1418" s="1212">
        <v>1</v>
      </c>
      <c r="AK1418" s="2126">
        <v>3563.1220000000003</v>
      </c>
      <c r="AL1418" s="2126">
        <v>0</v>
      </c>
      <c r="AM1418" s="2126">
        <v>0</v>
      </c>
      <c r="AN1418" s="2126">
        <v>3563.1220000000003</v>
      </c>
      <c r="AO1418" s="1743" t="s">
        <v>85</v>
      </c>
      <c r="AP1418" s="1743" t="s">
        <v>90</v>
      </c>
      <c r="AQ1418" s="1764">
        <v>2022</v>
      </c>
      <c r="AR1418" s="1743" t="s">
        <v>87</v>
      </c>
      <c r="AS1418" s="2135"/>
      <c r="AT1418" s="2135"/>
      <c r="AU1418" s="1212">
        <v>1</v>
      </c>
      <c r="AV1418" s="1212"/>
      <c r="AW1418" s="1212"/>
      <c r="AX1418" s="1212"/>
      <c r="AY1418" s="1212"/>
      <c r="AZ1418" s="1212"/>
      <c r="BA1418" s="1212"/>
      <c r="BB1418" s="1212"/>
      <c r="BC1418" s="1212"/>
      <c r="BD1418" s="1212"/>
      <c r="BE1418" s="1212"/>
      <c r="BF1418" s="2126">
        <v>0</v>
      </c>
      <c r="BG1418" s="2126">
        <v>0</v>
      </c>
      <c r="BH1418" s="2126">
        <v>3563.1220000000003</v>
      </c>
      <c r="BI1418" s="2126">
        <v>0</v>
      </c>
      <c r="BJ1418" s="2126">
        <v>0</v>
      </c>
      <c r="BK1418" s="2126">
        <v>0</v>
      </c>
      <c r="BL1418" s="2126">
        <v>0</v>
      </c>
      <c r="BM1418" s="2126">
        <v>0</v>
      </c>
      <c r="BN1418" s="2126">
        <v>0</v>
      </c>
      <c r="BO1418" s="2126">
        <v>0</v>
      </c>
      <c r="BP1418" s="2126">
        <v>0</v>
      </c>
      <c r="BQ1418" s="2126">
        <v>0</v>
      </c>
      <c r="BR1418" s="2126">
        <v>0</v>
      </c>
    </row>
    <row r="1419" spans="1:70" s="1765" customFormat="1" ht="33">
      <c r="A1419" s="1272">
        <v>5000</v>
      </c>
      <c r="B1419" s="971" t="s">
        <v>2119</v>
      </c>
      <c r="C1419" s="1272">
        <v>5100</v>
      </c>
      <c r="D1419" s="971" t="s">
        <v>78</v>
      </c>
      <c r="E1419" s="971">
        <v>5140</v>
      </c>
      <c r="F1419" s="971" t="s">
        <v>176</v>
      </c>
      <c r="G1419" s="971">
        <v>5140</v>
      </c>
      <c r="H1419" s="971" t="s">
        <v>176</v>
      </c>
      <c r="I1419" s="1273"/>
      <c r="J1419" s="971" t="s">
        <v>2146</v>
      </c>
      <c r="K1419" s="971" t="s">
        <v>2129</v>
      </c>
      <c r="L1419" s="971" t="s">
        <v>2130</v>
      </c>
      <c r="M1419" s="971" t="s">
        <v>2129</v>
      </c>
      <c r="N1419" s="971" t="s">
        <v>176</v>
      </c>
      <c r="O1419" s="971" t="s">
        <v>2130</v>
      </c>
      <c r="P1419" s="971"/>
      <c r="Q1419" s="971" t="s">
        <v>2342</v>
      </c>
      <c r="R1419" s="1266" t="s">
        <v>2343</v>
      </c>
      <c r="S1419" s="2106">
        <v>10</v>
      </c>
      <c r="T1419" s="1266" t="s">
        <v>242</v>
      </c>
      <c r="U1419" s="1742">
        <v>6.666666666666667</v>
      </c>
      <c r="V1419" s="1742">
        <v>20.833333333333336</v>
      </c>
      <c r="W1419" s="1742">
        <v>587.6</v>
      </c>
      <c r="X1419" s="1742">
        <v>229.78333333333333</v>
      </c>
      <c r="Y1419" s="2106">
        <v>838.2166666666667</v>
      </c>
      <c r="Z1419" s="2106">
        <v>66.666666666666671</v>
      </c>
      <c r="AA1419" s="2106">
        <v>208.33333333333337</v>
      </c>
      <c r="AB1419" s="2106">
        <v>5876</v>
      </c>
      <c r="AC1419" s="2106">
        <v>2297.8333333333335</v>
      </c>
      <c r="AD1419" s="1744">
        <v>8382.1666666666661</v>
      </c>
      <c r="AE1419" s="2126">
        <v>4</v>
      </c>
      <c r="AF1419" s="2126">
        <v>40</v>
      </c>
      <c r="AG1419" s="1212">
        <v>1</v>
      </c>
      <c r="AH1419" s="1212">
        <v>0</v>
      </c>
      <c r="AI1419" s="1212">
        <v>0</v>
      </c>
      <c r="AJ1419" s="1212">
        <v>1</v>
      </c>
      <c r="AK1419" s="2126">
        <v>8382.1666666666661</v>
      </c>
      <c r="AL1419" s="2126">
        <v>0</v>
      </c>
      <c r="AM1419" s="2126">
        <v>0</v>
      </c>
      <c r="AN1419" s="2126">
        <v>8382.1666666666661</v>
      </c>
      <c r="AO1419" s="1743" t="s">
        <v>85</v>
      </c>
      <c r="AP1419" s="1743" t="s">
        <v>90</v>
      </c>
      <c r="AQ1419" s="1764">
        <v>2022</v>
      </c>
      <c r="AR1419" s="1743" t="s">
        <v>87</v>
      </c>
      <c r="AS1419" s="2135"/>
      <c r="AT1419" s="2135"/>
      <c r="AU1419" s="1212">
        <v>1</v>
      </c>
      <c r="AV1419" s="1212"/>
      <c r="AW1419" s="1212"/>
      <c r="AX1419" s="1212"/>
      <c r="AY1419" s="1212"/>
      <c r="AZ1419" s="1212"/>
      <c r="BA1419" s="1212"/>
      <c r="BB1419" s="1212"/>
      <c r="BC1419" s="1212"/>
      <c r="BD1419" s="1212"/>
      <c r="BE1419" s="1212"/>
      <c r="BF1419" s="2126">
        <v>0</v>
      </c>
      <c r="BG1419" s="2126">
        <v>0</v>
      </c>
      <c r="BH1419" s="2126">
        <v>8382.1666666666661</v>
      </c>
      <c r="BI1419" s="2126">
        <v>0</v>
      </c>
      <c r="BJ1419" s="2126">
        <v>0</v>
      </c>
      <c r="BK1419" s="2126">
        <v>0</v>
      </c>
      <c r="BL1419" s="2126">
        <v>0</v>
      </c>
      <c r="BM1419" s="2126">
        <v>0</v>
      </c>
      <c r="BN1419" s="2126">
        <v>0</v>
      </c>
      <c r="BO1419" s="2126">
        <v>0</v>
      </c>
      <c r="BP1419" s="2126">
        <v>0</v>
      </c>
      <c r="BQ1419" s="2126">
        <v>0</v>
      </c>
      <c r="BR1419" s="2126">
        <v>0</v>
      </c>
    </row>
    <row r="1420" spans="1:70" s="1765" customFormat="1" ht="33">
      <c r="A1420" s="1272">
        <v>5000</v>
      </c>
      <c r="B1420" s="971" t="s">
        <v>2119</v>
      </c>
      <c r="C1420" s="1272">
        <v>5100</v>
      </c>
      <c r="D1420" s="971" t="s">
        <v>78</v>
      </c>
      <c r="E1420" s="971">
        <v>5140</v>
      </c>
      <c r="F1420" s="971" t="s">
        <v>176</v>
      </c>
      <c r="G1420" s="971">
        <v>5140</v>
      </c>
      <c r="H1420" s="971" t="s">
        <v>176</v>
      </c>
      <c r="I1420" s="1273"/>
      <c r="J1420" s="971"/>
      <c r="K1420" s="971" t="s">
        <v>2123</v>
      </c>
      <c r="L1420" s="971" t="s">
        <v>2124</v>
      </c>
      <c r="M1420" s="971" t="s">
        <v>2123</v>
      </c>
      <c r="N1420" s="971" t="s">
        <v>179</v>
      </c>
      <c r="O1420" s="971" t="s">
        <v>2124</v>
      </c>
      <c r="P1420" s="971"/>
      <c r="Q1420" s="971" t="s">
        <v>2344</v>
      </c>
      <c r="R1420" s="1266" t="s">
        <v>2345</v>
      </c>
      <c r="S1420" s="2106">
        <v>1</v>
      </c>
      <c r="T1420" s="1266" t="s">
        <v>242</v>
      </c>
      <c r="U1420" s="1742">
        <v>19.2</v>
      </c>
      <c r="V1420" s="1742">
        <v>177.5</v>
      </c>
      <c r="W1420" s="1742">
        <v>1692.2879999999998</v>
      </c>
      <c r="X1420" s="1742">
        <v>1957.7540000000001</v>
      </c>
      <c r="Y1420" s="2106">
        <v>3827.5419999999995</v>
      </c>
      <c r="Z1420" s="2106">
        <v>19.2</v>
      </c>
      <c r="AA1420" s="2106">
        <v>177.5</v>
      </c>
      <c r="AB1420" s="2106">
        <v>1692.2879999999998</v>
      </c>
      <c r="AC1420" s="2106">
        <v>1957.7540000000001</v>
      </c>
      <c r="AD1420" s="1744">
        <v>3827.5419999999999</v>
      </c>
      <c r="AE1420" s="2126">
        <v>1</v>
      </c>
      <c r="AF1420" s="2126">
        <v>1</v>
      </c>
      <c r="AG1420" s="1212">
        <v>1</v>
      </c>
      <c r="AH1420" s="1212">
        <v>0</v>
      </c>
      <c r="AI1420" s="1212">
        <v>0</v>
      </c>
      <c r="AJ1420" s="1212">
        <v>1</v>
      </c>
      <c r="AK1420" s="2126">
        <v>3827.5419999999999</v>
      </c>
      <c r="AL1420" s="2126">
        <v>0</v>
      </c>
      <c r="AM1420" s="2126">
        <v>0</v>
      </c>
      <c r="AN1420" s="2126">
        <v>3827.5419999999999</v>
      </c>
      <c r="AO1420" s="1743" t="s">
        <v>85</v>
      </c>
      <c r="AP1420" s="1743" t="s">
        <v>90</v>
      </c>
      <c r="AQ1420" s="1764">
        <v>2022</v>
      </c>
      <c r="AR1420" s="1743" t="s">
        <v>87</v>
      </c>
      <c r="AS1420" s="2135"/>
      <c r="AT1420" s="2135"/>
      <c r="AU1420" s="1212">
        <v>1</v>
      </c>
      <c r="AV1420" s="1212"/>
      <c r="AW1420" s="1212"/>
      <c r="AX1420" s="1212"/>
      <c r="AY1420" s="1212"/>
      <c r="AZ1420" s="1212"/>
      <c r="BA1420" s="1212"/>
      <c r="BB1420" s="1212"/>
      <c r="BC1420" s="1212"/>
      <c r="BD1420" s="1212"/>
      <c r="BE1420" s="1212"/>
      <c r="BF1420" s="2126">
        <v>0</v>
      </c>
      <c r="BG1420" s="2126">
        <v>0</v>
      </c>
      <c r="BH1420" s="2126">
        <v>3827.5419999999999</v>
      </c>
      <c r="BI1420" s="2126">
        <v>0</v>
      </c>
      <c r="BJ1420" s="2126">
        <v>0</v>
      </c>
      <c r="BK1420" s="2126">
        <v>0</v>
      </c>
      <c r="BL1420" s="2126">
        <v>0</v>
      </c>
      <c r="BM1420" s="2126">
        <v>0</v>
      </c>
      <c r="BN1420" s="2126">
        <v>0</v>
      </c>
      <c r="BO1420" s="2126">
        <v>0</v>
      </c>
      <c r="BP1420" s="2126">
        <v>0</v>
      </c>
      <c r="BQ1420" s="2126">
        <v>0</v>
      </c>
      <c r="BR1420" s="2126">
        <v>0</v>
      </c>
    </row>
    <row r="1421" spans="1:70" s="1765" customFormat="1" ht="33">
      <c r="A1421" s="1272">
        <v>5000</v>
      </c>
      <c r="B1421" s="971" t="s">
        <v>2119</v>
      </c>
      <c r="C1421" s="1272">
        <v>5100</v>
      </c>
      <c r="D1421" s="971" t="s">
        <v>78</v>
      </c>
      <c r="E1421" s="971">
        <v>5140</v>
      </c>
      <c r="F1421" s="971" t="s">
        <v>176</v>
      </c>
      <c r="G1421" s="971">
        <v>5140</v>
      </c>
      <c r="H1421" s="971" t="s">
        <v>176</v>
      </c>
      <c r="I1421" s="1273"/>
      <c r="J1421" s="971"/>
      <c r="K1421" s="971" t="s">
        <v>2123</v>
      </c>
      <c r="L1421" s="971" t="s">
        <v>2124</v>
      </c>
      <c r="M1421" s="971" t="s">
        <v>2123</v>
      </c>
      <c r="N1421" s="971" t="s">
        <v>179</v>
      </c>
      <c r="O1421" s="971" t="s">
        <v>2124</v>
      </c>
      <c r="P1421" s="971"/>
      <c r="Q1421" s="971" t="s">
        <v>2346</v>
      </c>
      <c r="R1421" s="1266" t="s">
        <v>2347</v>
      </c>
      <c r="S1421" s="2106">
        <v>1</v>
      </c>
      <c r="T1421" s="1266" t="s">
        <v>242</v>
      </c>
      <c r="U1421" s="1742">
        <v>19.2</v>
      </c>
      <c r="V1421" s="1742">
        <v>177.5</v>
      </c>
      <c r="W1421" s="1742">
        <v>1692.2879999999998</v>
      </c>
      <c r="X1421" s="1742">
        <v>1957.7540000000001</v>
      </c>
      <c r="Y1421" s="2106">
        <v>3827.5419999999995</v>
      </c>
      <c r="Z1421" s="2106">
        <v>19.2</v>
      </c>
      <c r="AA1421" s="2106">
        <v>177.5</v>
      </c>
      <c r="AB1421" s="2106">
        <v>1692.2879999999998</v>
      </c>
      <c r="AC1421" s="2106">
        <v>1957.7540000000001</v>
      </c>
      <c r="AD1421" s="1744">
        <v>3827.5419999999999</v>
      </c>
      <c r="AE1421" s="2126">
        <v>1</v>
      </c>
      <c r="AF1421" s="2126">
        <v>1</v>
      </c>
      <c r="AG1421" s="1212">
        <v>1</v>
      </c>
      <c r="AH1421" s="1212">
        <v>0</v>
      </c>
      <c r="AI1421" s="1212">
        <v>0</v>
      </c>
      <c r="AJ1421" s="1212">
        <v>1</v>
      </c>
      <c r="AK1421" s="2126">
        <v>3827.5419999999999</v>
      </c>
      <c r="AL1421" s="2126">
        <v>0</v>
      </c>
      <c r="AM1421" s="2126">
        <v>0</v>
      </c>
      <c r="AN1421" s="2126">
        <v>3827.5419999999999</v>
      </c>
      <c r="AO1421" s="1743" t="s">
        <v>85</v>
      </c>
      <c r="AP1421" s="1743" t="s">
        <v>90</v>
      </c>
      <c r="AQ1421" s="1764">
        <v>2022</v>
      </c>
      <c r="AR1421" s="1743" t="s">
        <v>87</v>
      </c>
      <c r="AS1421" s="2135"/>
      <c r="AT1421" s="2135"/>
      <c r="AU1421" s="1212">
        <v>1</v>
      </c>
      <c r="AV1421" s="1212"/>
      <c r="AW1421" s="1212"/>
      <c r="AX1421" s="1212"/>
      <c r="AY1421" s="1212"/>
      <c r="AZ1421" s="1212"/>
      <c r="BA1421" s="1212"/>
      <c r="BB1421" s="1212"/>
      <c r="BC1421" s="1212"/>
      <c r="BD1421" s="1212"/>
      <c r="BE1421" s="1212"/>
      <c r="BF1421" s="2126">
        <v>0</v>
      </c>
      <c r="BG1421" s="2126">
        <v>0</v>
      </c>
      <c r="BH1421" s="2126">
        <v>3827.5419999999999</v>
      </c>
      <c r="BI1421" s="2126">
        <v>0</v>
      </c>
      <c r="BJ1421" s="2126">
        <v>0</v>
      </c>
      <c r="BK1421" s="2126">
        <v>0</v>
      </c>
      <c r="BL1421" s="2126">
        <v>0</v>
      </c>
      <c r="BM1421" s="2126">
        <v>0</v>
      </c>
      <c r="BN1421" s="2126">
        <v>0</v>
      </c>
      <c r="BO1421" s="2126">
        <v>0</v>
      </c>
      <c r="BP1421" s="2126">
        <v>0</v>
      </c>
      <c r="BQ1421" s="2126">
        <v>0</v>
      </c>
      <c r="BR1421" s="2126">
        <v>0</v>
      </c>
    </row>
    <row r="1422" spans="1:70" s="1765" customFormat="1" ht="33">
      <c r="A1422" s="1272">
        <v>5000</v>
      </c>
      <c r="B1422" s="971" t="s">
        <v>2119</v>
      </c>
      <c r="C1422" s="1272">
        <v>5100</v>
      </c>
      <c r="D1422" s="971" t="s">
        <v>78</v>
      </c>
      <c r="E1422" s="971">
        <v>5140</v>
      </c>
      <c r="F1422" s="971" t="s">
        <v>176</v>
      </c>
      <c r="G1422" s="971">
        <v>5140</v>
      </c>
      <c r="H1422" s="971" t="s">
        <v>176</v>
      </c>
      <c r="I1422" s="1273"/>
      <c r="J1422" s="971" t="s">
        <v>2146</v>
      </c>
      <c r="K1422" s="971" t="s">
        <v>2129</v>
      </c>
      <c r="L1422" s="971" t="s">
        <v>2130</v>
      </c>
      <c r="M1422" s="971" t="s">
        <v>2129</v>
      </c>
      <c r="N1422" s="971" t="s">
        <v>176</v>
      </c>
      <c r="O1422" s="971" t="s">
        <v>2130</v>
      </c>
      <c r="P1422" s="971"/>
      <c r="Q1422" s="971" t="s">
        <v>2348</v>
      </c>
      <c r="R1422" s="1266" t="s">
        <v>2349</v>
      </c>
      <c r="S1422" s="2106">
        <v>1</v>
      </c>
      <c r="T1422" s="1266" t="s">
        <v>242</v>
      </c>
      <c r="U1422" s="1742">
        <v>6.666666666666667</v>
      </c>
      <c r="V1422" s="1742">
        <v>20.833333333333336</v>
      </c>
      <c r="W1422" s="1742">
        <v>587.6</v>
      </c>
      <c r="X1422" s="1742">
        <v>229.78333333333333</v>
      </c>
      <c r="Y1422" s="2106">
        <v>838.2166666666667</v>
      </c>
      <c r="Z1422" s="2106">
        <v>6.666666666666667</v>
      </c>
      <c r="AA1422" s="2106">
        <v>20.833333333333336</v>
      </c>
      <c r="AB1422" s="2106">
        <v>587.6</v>
      </c>
      <c r="AC1422" s="2106">
        <v>229.78333333333333</v>
      </c>
      <c r="AD1422" s="1744">
        <v>838.2166666666667</v>
      </c>
      <c r="AE1422" s="2126">
        <v>4</v>
      </c>
      <c r="AF1422" s="2126">
        <v>4</v>
      </c>
      <c r="AG1422" s="1212">
        <v>1</v>
      </c>
      <c r="AH1422" s="1212">
        <v>0</v>
      </c>
      <c r="AI1422" s="1212">
        <v>0</v>
      </c>
      <c r="AJ1422" s="1212">
        <v>1</v>
      </c>
      <c r="AK1422" s="2126">
        <v>838.2166666666667</v>
      </c>
      <c r="AL1422" s="2126">
        <v>0</v>
      </c>
      <c r="AM1422" s="2126">
        <v>0</v>
      </c>
      <c r="AN1422" s="2126">
        <v>838.2166666666667</v>
      </c>
      <c r="AO1422" s="1743" t="s">
        <v>85</v>
      </c>
      <c r="AP1422" s="1743" t="s">
        <v>90</v>
      </c>
      <c r="AQ1422" s="1764">
        <v>2022</v>
      </c>
      <c r="AR1422" s="1743" t="s">
        <v>87</v>
      </c>
      <c r="AS1422" s="2135"/>
      <c r="AT1422" s="2135"/>
      <c r="AU1422" s="1212">
        <v>1</v>
      </c>
      <c r="AV1422" s="1212"/>
      <c r="AW1422" s="1212"/>
      <c r="AX1422" s="1212"/>
      <c r="AY1422" s="1212"/>
      <c r="AZ1422" s="1212"/>
      <c r="BA1422" s="1212"/>
      <c r="BB1422" s="1212"/>
      <c r="BC1422" s="1212"/>
      <c r="BD1422" s="1212"/>
      <c r="BE1422" s="1212"/>
      <c r="BF1422" s="2126">
        <v>0</v>
      </c>
      <c r="BG1422" s="2126">
        <v>0</v>
      </c>
      <c r="BH1422" s="2126">
        <v>838.2166666666667</v>
      </c>
      <c r="BI1422" s="2126">
        <v>0</v>
      </c>
      <c r="BJ1422" s="2126">
        <v>0</v>
      </c>
      <c r="BK1422" s="2126">
        <v>0</v>
      </c>
      <c r="BL1422" s="2126">
        <v>0</v>
      </c>
      <c r="BM1422" s="2126">
        <v>0</v>
      </c>
      <c r="BN1422" s="2126">
        <v>0</v>
      </c>
      <c r="BO1422" s="2126">
        <v>0</v>
      </c>
      <c r="BP1422" s="2126">
        <v>0</v>
      </c>
      <c r="BQ1422" s="2126">
        <v>0</v>
      </c>
      <c r="BR1422" s="2126">
        <v>0</v>
      </c>
    </row>
    <row r="1423" spans="1:70" s="1765" customFormat="1" ht="33">
      <c r="A1423" s="1272">
        <v>5000</v>
      </c>
      <c r="B1423" s="971" t="s">
        <v>2119</v>
      </c>
      <c r="C1423" s="1272">
        <v>5100</v>
      </c>
      <c r="D1423" s="971" t="s">
        <v>78</v>
      </c>
      <c r="E1423" s="971">
        <v>5140</v>
      </c>
      <c r="F1423" s="971" t="s">
        <v>176</v>
      </c>
      <c r="G1423" s="971">
        <v>5140</v>
      </c>
      <c r="H1423" s="971" t="s">
        <v>176</v>
      </c>
      <c r="I1423" s="1273"/>
      <c r="J1423" s="971" t="s">
        <v>2146</v>
      </c>
      <c r="K1423" s="971" t="s">
        <v>2125</v>
      </c>
      <c r="L1423" s="971" t="s">
        <v>2126</v>
      </c>
      <c r="M1423" s="971" t="s">
        <v>2125</v>
      </c>
      <c r="N1423" s="971" t="s">
        <v>176</v>
      </c>
      <c r="O1423" s="971" t="s">
        <v>2126</v>
      </c>
      <c r="P1423" s="971"/>
      <c r="Q1423" s="971" t="s">
        <v>2350</v>
      </c>
      <c r="R1423" s="1266" t="s">
        <v>2351</v>
      </c>
      <c r="S1423" s="2106">
        <v>1</v>
      </c>
      <c r="T1423" s="1266" t="s">
        <v>242</v>
      </c>
      <c r="U1423" s="1742">
        <v>13</v>
      </c>
      <c r="V1423" s="1742">
        <v>100</v>
      </c>
      <c r="W1423" s="1742">
        <v>1145.82</v>
      </c>
      <c r="X1423" s="1742">
        <v>1102.96</v>
      </c>
      <c r="Y1423" s="2106">
        <v>2348.7799999999997</v>
      </c>
      <c r="Z1423" s="2106">
        <v>13</v>
      </c>
      <c r="AA1423" s="2106">
        <v>100</v>
      </c>
      <c r="AB1423" s="2106">
        <v>1145.82</v>
      </c>
      <c r="AC1423" s="2106">
        <v>1102.96</v>
      </c>
      <c r="AD1423" s="1744">
        <v>2348.7799999999997</v>
      </c>
      <c r="AE1423" s="2126">
        <v>96</v>
      </c>
      <c r="AF1423" s="2126">
        <v>96</v>
      </c>
      <c r="AG1423" s="1212">
        <v>1</v>
      </c>
      <c r="AH1423" s="1212">
        <v>0</v>
      </c>
      <c r="AI1423" s="1212">
        <v>0</v>
      </c>
      <c r="AJ1423" s="1212">
        <v>1</v>
      </c>
      <c r="AK1423" s="2126">
        <v>2348.7799999999997</v>
      </c>
      <c r="AL1423" s="2126">
        <v>0</v>
      </c>
      <c r="AM1423" s="2126">
        <v>0</v>
      </c>
      <c r="AN1423" s="2126">
        <v>2348.7799999999997</v>
      </c>
      <c r="AO1423" s="1743" t="s">
        <v>85</v>
      </c>
      <c r="AP1423" s="1743" t="s">
        <v>90</v>
      </c>
      <c r="AQ1423" s="1764">
        <v>2022</v>
      </c>
      <c r="AR1423" s="1743" t="s">
        <v>87</v>
      </c>
      <c r="AS1423" s="2135"/>
      <c r="AT1423" s="2135"/>
      <c r="AU1423" s="1212">
        <v>1</v>
      </c>
      <c r="AV1423" s="1212"/>
      <c r="AW1423" s="1212"/>
      <c r="AX1423" s="1212"/>
      <c r="AY1423" s="1212"/>
      <c r="AZ1423" s="1212"/>
      <c r="BA1423" s="1212"/>
      <c r="BB1423" s="1212"/>
      <c r="BC1423" s="1212"/>
      <c r="BD1423" s="1212"/>
      <c r="BE1423" s="1212"/>
      <c r="BF1423" s="2126">
        <v>0</v>
      </c>
      <c r="BG1423" s="2126">
        <v>0</v>
      </c>
      <c r="BH1423" s="2126">
        <v>2348.7799999999997</v>
      </c>
      <c r="BI1423" s="2126">
        <v>0</v>
      </c>
      <c r="BJ1423" s="2126">
        <v>0</v>
      </c>
      <c r="BK1423" s="2126">
        <v>0</v>
      </c>
      <c r="BL1423" s="2126">
        <v>0</v>
      </c>
      <c r="BM1423" s="2126">
        <v>0</v>
      </c>
      <c r="BN1423" s="2126">
        <v>0</v>
      </c>
      <c r="BO1423" s="2126">
        <v>0</v>
      </c>
      <c r="BP1423" s="2126">
        <v>0</v>
      </c>
      <c r="BQ1423" s="2126">
        <v>0</v>
      </c>
      <c r="BR1423" s="2126">
        <v>0</v>
      </c>
    </row>
    <row r="1424" spans="1:70" s="1765" customFormat="1" ht="33">
      <c r="A1424" s="1272">
        <v>5000</v>
      </c>
      <c r="B1424" s="971" t="s">
        <v>2119</v>
      </c>
      <c r="C1424" s="1272">
        <v>5100</v>
      </c>
      <c r="D1424" s="971" t="s">
        <v>78</v>
      </c>
      <c r="E1424" s="971">
        <v>5140</v>
      </c>
      <c r="F1424" s="971" t="s">
        <v>176</v>
      </c>
      <c r="G1424" s="971">
        <v>5140</v>
      </c>
      <c r="H1424" s="971" t="s">
        <v>176</v>
      </c>
      <c r="I1424" s="1273"/>
      <c r="J1424" s="971" t="s">
        <v>2146</v>
      </c>
      <c r="K1424" s="971" t="s">
        <v>2129</v>
      </c>
      <c r="L1424" s="971" t="s">
        <v>2130</v>
      </c>
      <c r="M1424" s="971" t="s">
        <v>2129</v>
      </c>
      <c r="N1424" s="971" t="s">
        <v>176</v>
      </c>
      <c r="O1424" s="971" t="s">
        <v>2130</v>
      </c>
      <c r="P1424" s="971"/>
      <c r="Q1424" s="971" t="s">
        <v>2352</v>
      </c>
      <c r="R1424" s="1266" t="s">
        <v>2353</v>
      </c>
      <c r="S1424" s="2106">
        <v>2</v>
      </c>
      <c r="T1424" s="1266" t="s">
        <v>242</v>
      </c>
      <c r="U1424" s="1742">
        <v>6.666666666666667</v>
      </c>
      <c r="V1424" s="1742">
        <v>20.833333333333336</v>
      </c>
      <c r="W1424" s="1742">
        <v>587.6</v>
      </c>
      <c r="X1424" s="1742">
        <v>229.78333333333333</v>
      </c>
      <c r="Y1424" s="2106">
        <v>838.2166666666667</v>
      </c>
      <c r="Z1424" s="2106">
        <v>13.333333333333334</v>
      </c>
      <c r="AA1424" s="2106">
        <v>41.666666666666671</v>
      </c>
      <c r="AB1424" s="2106">
        <v>1175.2</v>
      </c>
      <c r="AC1424" s="2106">
        <v>459.56666666666666</v>
      </c>
      <c r="AD1424" s="1744">
        <v>1676.4333333333334</v>
      </c>
      <c r="AE1424" s="2126">
        <v>4</v>
      </c>
      <c r="AF1424" s="2126">
        <v>8</v>
      </c>
      <c r="AG1424" s="1212">
        <v>1</v>
      </c>
      <c r="AH1424" s="1212">
        <v>0</v>
      </c>
      <c r="AI1424" s="1212">
        <v>0</v>
      </c>
      <c r="AJ1424" s="1212">
        <v>1</v>
      </c>
      <c r="AK1424" s="2126">
        <v>1676.4333333333334</v>
      </c>
      <c r="AL1424" s="2126">
        <v>0</v>
      </c>
      <c r="AM1424" s="2126">
        <v>0</v>
      </c>
      <c r="AN1424" s="2126">
        <v>1676.4333333333334</v>
      </c>
      <c r="AO1424" s="1743" t="s">
        <v>85</v>
      </c>
      <c r="AP1424" s="1743" t="s">
        <v>90</v>
      </c>
      <c r="AQ1424" s="1764">
        <v>2022</v>
      </c>
      <c r="AR1424" s="1743" t="s">
        <v>87</v>
      </c>
      <c r="AS1424" s="2135"/>
      <c r="AT1424" s="2135"/>
      <c r="AU1424" s="1212">
        <v>1</v>
      </c>
      <c r="AV1424" s="1212"/>
      <c r="AW1424" s="1212"/>
      <c r="AX1424" s="1212"/>
      <c r="AY1424" s="1212"/>
      <c r="AZ1424" s="1212"/>
      <c r="BA1424" s="1212"/>
      <c r="BB1424" s="1212"/>
      <c r="BC1424" s="1212"/>
      <c r="BD1424" s="1212"/>
      <c r="BE1424" s="1212"/>
      <c r="BF1424" s="2126">
        <v>0</v>
      </c>
      <c r="BG1424" s="2126">
        <v>0</v>
      </c>
      <c r="BH1424" s="2126">
        <v>1676.4333333333334</v>
      </c>
      <c r="BI1424" s="2126">
        <v>0</v>
      </c>
      <c r="BJ1424" s="2126">
        <v>0</v>
      </c>
      <c r="BK1424" s="2126">
        <v>0</v>
      </c>
      <c r="BL1424" s="2126">
        <v>0</v>
      </c>
      <c r="BM1424" s="2126">
        <v>0</v>
      </c>
      <c r="BN1424" s="2126">
        <v>0</v>
      </c>
      <c r="BO1424" s="2126">
        <v>0</v>
      </c>
      <c r="BP1424" s="2126">
        <v>0</v>
      </c>
      <c r="BQ1424" s="2126">
        <v>0</v>
      </c>
      <c r="BR1424" s="2126">
        <v>0</v>
      </c>
    </row>
    <row r="1425" spans="1:70" s="1765" customFormat="1" ht="33">
      <c r="A1425" s="1272">
        <v>5000</v>
      </c>
      <c r="B1425" s="971" t="s">
        <v>2119</v>
      </c>
      <c r="C1425" s="1272">
        <v>5100</v>
      </c>
      <c r="D1425" s="971" t="s">
        <v>78</v>
      </c>
      <c r="E1425" s="971">
        <v>5140</v>
      </c>
      <c r="F1425" s="971" t="s">
        <v>176</v>
      </c>
      <c r="G1425" s="971">
        <v>5140</v>
      </c>
      <c r="H1425" s="971" t="s">
        <v>176</v>
      </c>
      <c r="I1425" s="1273"/>
      <c r="J1425" s="971" t="s">
        <v>2146</v>
      </c>
      <c r="K1425" s="971" t="s">
        <v>2129</v>
      </c>
      <c r="L1425" s="971" t="s">
        <v>2130</v>
      </c>
      <c r="M1425" s="971" t="s">
        <v>2129</v>
      </c>
      <c r="N1425" s="971" t="s">
        <v>176</v>
      </c>
      <c r="O1425" s="971" t="s">
        <v>2130</v>
      </c>
      <c r="P1425" s="971"/>
      <c r="Q1425" s="971" t="s">
        <v>2204</v>
      </c>
      <c r="R1425" s="1266" t="s">
        <v>2354</v>
      </c>
      <c r="S1425" s="2106">
        <v>1</v>
      </c>
      <c r="T1425" s="1266" t="s">
        <v>242</v>
      </c>
      <c r="U1425" s="1742">
        <v>6.666666666666667</v>
      </c>
      <c r="V1425" s="1742">
        <v>20.833333333333336</v>
      </c>
      <c r="W1425" s="1742">
        <v>587.6</v>
      </c>
      <c r="X1425" s="1742">
        <v>229.78333333333333</v>
      </c>
      <c r="Y1425" s="2106">
        <v>838.2166666666667</v>
      </c>
      <c r="Z1425" s="2106">
        <v>6.666666666666667</v>
      </c>
      <c r="AA1425" s="2106">
        <v>20.833333333333336</v>
      </c>
      <c r="AB1425" s="2106">
        <v>587.6</v>
      </c>
      <c r="AC1425" s="2106">
        <v>229.78333333333333</v>
      </c>
      <c r="AD1425" s="1744">
        <v>838.2166666666667</v>
      </c>
      <c r="AE1425" s="2126">
        <v>4</v>
      </c>
      <c r="AF1425" s="2126">
        <v>4</v>
      </c>
      <c r="AG1425" s="1212">
        <v>1</v>
      </c>
      <c r="AH1425" s="1212">
        <v>0</v>
      </c>
      <c r="AI1425" s="1212">
        <v>0</v>
      </c>
      <c r="AJ1425" s="1212">
        <v>1</v>
      </c>
      <c r="AK1425" s="2126">
        <v>838.2166666666667</v>
      </c>
      <c r="AL1425" s="2126">
        <v>0</v>
      </c>
      <c r="AM1425" s="2126">
        <v>0</v>
      </c>
      <c r="AN1425" s="2126">
        <v>838.2166666666667</v>
      </c>
      <c r="AO1425" s="1743" t="s">
        <v>85</v>
      </c>
      <c r="AP1425" s="1743" t="s">
        <v>90</v>
      </c>
      <c r="AQ1425" s="1764">
        <v>2022</v>
      </c>
      <c r="AR1425" s="1743" t="s">
        <v>87</v>
      </c>
      <c r="AS1425" s="2135"/>
      <c r="AT1425" s="2135"/>
      <c r="AU1425" s="1212">
        <v>1</v>
      </c>
      <c r="AV1425" s="1212"/>
      <c r="AW1425" s="1212"/>
      <c r="AX1425" s="1212"/>
      <c r="AY1425" s="1212"/>
      <c r="AZ1425" s="1212"/>
      <c r="BA1425" s="1212"/>
      <c r="BB1425" s="1212"/>
      <c r="BC1425" s="1212"/>
      <c r="BD1425" s="1212"/>
      <c r="BE1425" s="1212"/>
      <c r="BF1425" s="2126">
        <v>0</v>
      </c>
      <c r="BG1425" s="2126">
        <v>0</v>
      </c>
      <c r="BH1425" s="2126">
        <v>838.2166666666667</v>
      </c>
      <c r="BI1425" s="2126">
        <v>0</v>
      </c>
      <c r="BJ1425" s="2126">
        <v>0</v>
      </c>
      <c r="BK1425" s="2126">
        <v>0</v>
      </c>
      <c r="BL1425" s="2126">
        <v>0</v>
      </c>
      <c r="BM1425" s="2126">
        <v>0</v>
      </c>
      <c r="BN1425" s="2126">
        <v>0</v>
      </c>
      <c r="BO1425" s="2126">
        <v>0</v>
      </c>
      <c r="BP1425" s="2126">
        <v>0</v>
      </c>
      <c r="BQ1425" s="2126">
        <v>0</v>
      </c>
      <c r="BR1425" s="2126">
        <v>0</v>
      </c>
    </row>
    <row r="1426" spans="1:70" s="1765" customFormat="1" ht="33">
      <c r="A1426" s="1272">
        <v>5000</v>
      </c>
      <c r="B1426" s="971" t="s">
        <v>2119</v>
      </c>
      <c r="C1426" s="1272">
        <v>5100</v>
      </c>
      <c r="D1426" s="971" t="s">
        <v>78</v>
      </c>
      <c r="E1426" s="971">
        <v>5140</v>
      </c>
      <c r="F1426" s="971" t="s">
        <v>176</v>
      </c>
      <c r="G1426" s="971">
        <v>5140</v>
      </c>
      <c r="H1426" s="971" t="s">
        <v>176</v>
      </c>
      <c r="I1426" s="1273"/>
      <c r="J1426" s="971" t="s">
        <v>2146</v>
      </c>
      <c r="K1426" s="971" t="s">
        <v>2129</v>
      </c>
      <c r="L1426" s="971" t="s">
        <v>2130</v>
      </c>
      <c r="M1426" s="971" t="s">
        <v>2129</v>
      </c>
      <c r="N1426" s="971" t="s">
        <v>176</v>
      </c>
      <c r="O1426" s="971" t="s">
        <v>2130</v>
      </c>
      <c r="P1426" s="971"/>
      <c r="Q1426" s="971" t="s">
        <v>2352</v>
      </c>
      <c r="R1426" s="1266" t="s">
        <v>2355</v>
      </c>
      <c r="S1426" s="2106">
        <v>2</v>
      </c>
      <c r="T1426" s="1266" t="s">
        <v>242</v>
      </c>
      <c r="U1426" s="1742">
        <v>6.666666666666667</v>
      </c>
      <c r="V1426" s="1742">
        <v>20.833333333333336</v>
      </c>
      <c r="W1426" s="1742">
        <v>587.6</v>
      </c>
      <c r="X1426" s="1742">
        <v>229.78333333333333</v>
      </c>
      <c r="Y1426" s="2106">
        <v>838.2166666666667</v>
      </c>
      <c r="Z1426" s="2106">
        <v>13.333333333333334</v>
      </c>
      <c r="AA1426" s="2106">
        <v>41.666666666666671</v>
      </c>
      <c r="AB1426" s="2106">
        <v>1175.2</v>
      </c>
      <c r="AC1426" s="2106">
        <v>459.56666666666666</v>
      </c>
      <c r="AD1426" s="1744">
        <v>1676.4333333333334</v>
      </c>
      <c r="AE1426" s="2126">
        <v>4</v>
      </c>
      <c r="AF1426" s="2126">
        <v>8</v>
      </c>
      <c r="AG1426" s="1212">
        <v>1</v>
      </c>
      <c r="AH1426" s="1212">
        <v>0</v>
      </c>
      <c r="AI1426" s="1212">
        <v>0</v>
      </c>
      <c r="AJ1426" s="1212">
        <v>1</v>
      </c>
      <c r="AK1426" s="2126">
        <v>1676.4333333333334</v>
      </c>
      <c r="AL1426" s="2126">
        <v>0</v>
      </c>
      <c r="AM1426" s="2126">
        <v>0</v>
      </c>
      <c r="AN1426" s="2126">
        <v>1676.4333333333334</v>
      </c>
      <c r="AO1426" s="1743" t="s">
        <v>85</v>
      </c>
      <c r="AP1426" s="1743" t="s">
        <v>90</v>
      </c>
      <c r="AQ1426" s="1764">
        <v>2022</v>
      </c>
      <c r="AR1426" s="1743" t="s">
        <v>87</v>
      </c>
      <c r="AS1426" s="2135"/>
      <c r="AT1426" s="2135"/>
      <c r="AU1426" s="1212">
        <v>1</v>
      </c>
      <c r="AV1426" s="1212"/>
      <c r="AW1426" s="1212"/>
      <c r="AX1426" s="1212"/>
      <c r="AY1426" s="1212"/>
      <c r="AZ1426" s="1212"/>
      <c r="BA1426" s="1212"/>
      <c r="BB1426" s="1212"/>
      <c r="BC1426" s="1212"/>
      <c r="BD1426" s="1212"/>
      <c r="BE1426" s="1212"/>
      <c r="BF1426" s="2126">
        <v>0</v>
      </c>
      <c r="BG1426" s="2126">
        <v>0</v>
      </c>
      <c r="BH1426" s="2126">
        <v>1676.4333333333334</v>
      </c>
      <c r="BI1426" s="2126">
        <v>0</v>
      </c>
      <c r="BJ1426" s="2126">
        <v>0</v>
      </c>
      <c r="BK1426" s="2126">
        <v>0</v>
      </c>
      <c r="BL1426" s="2126">
        <v>0</v>
      </c>
      <c r="BM1426" s="2126">
        <v>0</v>
      </c>
      <c r="BN1426" s="2126">
        <v>0</v>
      </c>
      <c r="BO1426" s="2126">
        <v>0</v>
      </c>
      <c r="BP1426" s="2126">
        <v>0</v>
      </c>
      <c r="BQ1426" s="2126">
        <v>0</v>
      </c>
      <c r="BR1426" s="2126">
        <v>0</v>
      </c>
    </row>
    <row r="1427" spans="1:70" s="1765" customFormat="1" ht="33">
      <c r="A1427" s="1272">
        <v>5000</v>
      </c>
      <c r="B1427" s="971" t="s">
        <v>2119</v>
      </c>
      <c r="C1427" s="1272">
        <v>5100</v>
      </c>
      <c r="D1427" s="971" t="s">
        <v>78</v>
      </c>
      <c r="E1427" s="971">
        <v>5140</v>
      </c>
      <c r="F1427" s="971" t="s">
        <v>176</v>
      </c>
      <c r="G1427" s="971">
        <v>5140</v>
      </c>
      <c r="H1427" s="971" t="s">
        <v>176</v>
      </c>
      <c r="I1427" s="1273"/>
      <c r="J1427" s="971" t="s">
        <v>2146</v>
      </c>
      <c r="K1427" s="971" t="s">
        <v>2129</v>
      </c>
      <c r="L1427" s="971" t="s">
        <v>2130</v>
      </c>
      <c r="M1427" s="971" t="s">
        <v>2129</v>
      </c>
      <c r="N1427" s="971" t="s">
        <v>176</v>
      </c>
      <c r="O1427" s="971" t="s">
        <v>2130</v>
      </c>
      <c r="P1427" s="971"/>
      <c r="Q1427" s="971" t="s">
        <v>2356</v>
      </c>
      <c r="R1427" s="1266" t="s">
        <v>2357</v>
      </c>
      <c r="S1427" s="2106">
        <v>1</v>
      </c>
      <c r="T1427" s="1266" t="s">
        <v>242</v>
      </c>
      <c r="U1427" s="1742">
        <v>6.666666666666667</v>
      </c>
      <c r="V1427" s="1742">
        <v>20.833333333333336</v>
      </c>
      <c r="W1427" s="1742">
        <v>587.6</v>
      </c>
      <c r="X1427" s="1742">
        <v>229.78333333333333</v>
      </c>
      <c r="Y1427" s="2106">
        <v>838.2166666666667</v>
      </c>
      <c r="Z1427" s="2106">
        <v>6.666666666666667</v>
      </c>
      <c r="AA1427" s="2106">
        <v>20.833333333333336</v>
      </c>
      <c r="AB1427" s="2106">
        <v>587.6</v>
      </c>
      <c r="AC1427" s="2106">
        <v>229.78333333333333</v>
      </c>
      <c r="AD1427" s="1744">
        <v>838.2166666666667</v>
      </c>
      <c r="AE1427" s="2126">
        <v>4</v>
      </c>
      <c r="AF1427" s="2126">
        <v>4</v>
      </c>
      <c r="AG1427" s="1212">
        <v>1</v>
      </c>
      <c r="AH1427" s="1212">
        <v>0</v>
      </c>
      <c r="AI1427" s="1212">
        <v>0</v>
      </c>
      <c r="AJ1427" s="1212">
        <v>1</v>
      </c>
      <c r="AK1427" s="2126">
        <v>838.2166666666667</v>
      </c>
      <c r="AL1427" s="2126">
        <v>0</v>
      </c>
      <c r="AM1427" s="2126">
        <v>0</v>
      </c>
      <c r="AN1427" s="2126">
        <v>838.2166666666667</v>
      </c>
      <c r="AO1427" s="1743" t="s">
        <v>85</v>
      </c>
      <c r="AP1427" s="1743" t="s">
        <v>90</v>
      </c>
      <c r="AQ1427" s="1764">
        <v>2022</v>
      </c>
      <c r="AR1427" s="1743" t="s">
        <v>87</v>
      </c>
      <c r="AS1427" s="2135"/>
      <c r="AT1427" s="2135"/>
      <c r="AU1427" s="1212">
        <v>1</v>
      </c>
      <c r="AV1427" s="1212"/>
      <c r="AW1427" s="1212"/>
      <c r="AX1427" s="1212"/>
      <c r="AY1427" s="1212"/>
      <c r="AZ1427" s="1212"/>
      <c r="BA1427" s="1212"/>
      <c r="BB1427" s="1212"/>
      <c r="BC1427" s="1212"/>
      <c r="BD1427" s="1212"/>
      <c r="BE1427" s="1212"/>
      <c r="BF1427" s="2126">
        <v>0</v>
      </c>
      <c r="BG1427" s="2126">
        <v>0</v>
      </c>
      <c r="BH1427" s="2126">
        <v>838.2166666666667</v>
      </c>
      <c r="BI1427" s="2126">
        <v>0</v>
      </c>
      <c r="BJ1427" s="2126">
        <v>0</v>
      </c>
      <c r="BK1427" s="2126">
        <v>0</v>
      </c>
      <c r="BL1427" s="2126">
        <v>0</v>
      </c>
      <c r="BM1427" s="2126">
        <v>0</v>
      </c>
      <c r="BN1427" s="2126">
        <v>0</v>
      </c>
      <c r="BO1427" s="2126">
        <v>0</v>
      </c>
      <c r="BP1427" s="2126">
        <v>0</v>
      </c>
      <c r="BQ1427" s="2126">
        <v>0</v>
      </c>
      <c r="BR1427" s="2126">
        <v>0</v>
      </c>
    </row>
    <row r="1428" spans="1:70" s="1765" customFormat="1" ht="33">
      <c r="A1428" s="1272">
        <v>5000</v>
      </c>
      <c r="B1428" s="971" t="s">
        <v>2119</v>
      </c>
      <c r="C1428" s="1272">
        <v>5100</v>
      </c>
      <c r="D1428" s="971" t="s">
        <v>78</v>
      </c>
      <c r="E1428" s="971">
        <v>5140</v>
      </c>
      <c r="F1428" s="971" t="s">
        <v>176</v>
      </c>
      <c r="G1428" s="971">
        <v>5140</v>
      </c>
      <c r="H1428" s="971" t="s">
        <v>176</v>
      </c>
      <c r="I1428" s="1273"/>
      <c r="J1428" s="971" t="s">
        <v>2146</v>
      </c>
      <c r="K1428" s="971" t="s">
        <v>2129</v>
      </c>
      <c r="L1428" s="971" t="s">
        <v>2130</v>
      </c>
      <c r="M1428" s="971" t="s">
        <v>2129</v>
      </c>
      <c r="N1428" s="971" t="s">
        <v>176</v>
      </c>
      <c r="O1428" s="971" t="s">
        <v>2130</v>
      </c>
      <c r="P1428" s="971"/>
      <c r="Q1428" s="971" t="s">
        <v>2356</v>
      </c>
      <c r="R1428" s="1266" t="s">
        <v>2357</v>
      </c>
      <c r="S1428" s="2106">
        <v>-1</v>
      </c>
      <c r="T1428" s="1266" t="s">
        <v>242</v>
      </c>
      <c r="U1428" s="1742">
        <v>6.666666666666667</v>
      </c>
      <c r="V1428" s="1742">
        <v>20.833333333333336</v>
      </c>
      <c r="W1428" s="1742">
        <v>587.6</v>
      </c>
      <c r="X1428" s="1742">
        <v>229.78333333333333</v>
      </c>
      <c r="Y1428" s="2106">
        <v>838.2166666666667</v>
      </c>
      <c r="Z1428" s="2106">
        <v>-6.666666666666667</v>
      </c>
      <c r="AA1428" s="2106">
        <v>-20.833333333333336</v>
      </c>
      <c r="AB1428" s="2106">
        <v>-587.6</v>
      </c>
      <c r="AC1428" s="2106">
        <v>-229.78333333333333</v>
      </c>
      <c r="AD1428" s="1744">
        <v>-838.2166666666667</v>
      </c>
      <c r="AE1428" s="2126">
        <v>4</v>
      </c>
      <c r="AF1428" s="2126">
        <v>-4</v>
      </c>
      <c r="AG1428" s="1212">
        <v>1</v>
      </c>
      <c r="AH1428" s="1212">
        <v>0</v>
      </c>
      <c r="AI1428" s="1212">
        <v>0</v>
      </c>
      <c r="AJ1428" s="1212">
        <v>1</v>
      </c>
      <c r="AK1428" s="2126">
        <v>-838.2166666666667</v>
      </c>
      <c r="AL1428" s="2126">
        <v>0</v>
      </c>
      <c r="AM1428" s="2126">
        <v>0</v>
      </c>
      <c r="AN1428" s="2126">
        <v>-838.2166666666667</v>
      </c>
      <c r="AO1428" s="1743" t="s">
        <v>85</v>
      </c>
      <c r="AP1428" s="1743" t="s">
        <v>96</v>
      </c>
      <c r="AQ1428" s="1764" t="s">
        <v>118</v>
      </c>
      <c r="AR1428" s="1743" t="s">
        <v>87</v>
      </c>
      <c r="AS1428" s="2135"/>
      <c r="AT1428" s="2135"/>
      <c r="AU1428" s="1212">
        <v>1</v>
      </c>
      <c r="AV1428" s="1212"/>
      <c r="AW1428" s="1212"/>
      <c r="AX1428" s="1212"/>
      <c r="AY1428" s="1212"/>
      <c r="AZ1428" s="1212"/>
      <c r="BA1428" s="1212"/>
      <c r="BB1428" s="1212"/>
      <c r="BC1428" s="1212"/>
      <c r="BD1428" s="1212"/>
      <c r="BE1428" s="1212"/>
      <c r="BF1428" s="2126">
        <v>0</v>
      </c>
      <c r="BG1428" s="2126">
        <v>0</v>
      </c>
      <c r="BH1428" s="2126">
        <v>-838.2166666666667</v>
      </c>
      <c r="BI1428" s="2126">
        <v>0</v>
      </c>
      <c r="BJ1428" s="2126">
        <v>0</v>
      </c>
      <c r="BK1428" s="2126">
        <v>0</v>
      </c>
      <c r="BL1428" s="2126">
        <v>0</v>
      </c>
      <c r="BM1428" s="2126">
        <v>0</v>
      </c>
      <c r="BN1428" s="2126">
        <v>0</v>
      </c>
      <c r="BO1428" s="2126">
        <v>0</v>
      </c>
      <c r="BP1428" s="2126">
        <v>0</v>
      </c>
      <c r="BQ1428" s="2126">
        <v>0</v>
      </c>
      <c r="BR1428" s="2126">
        <v>0</v>
      </c>
    </row>
    <row r="1429" spans="1:70" s="1765" customFormat="1" ht="33">
      <c r="A1429" s="1272">
        <v>5000</v>
      </c>
      <c r="B1429" s="971" t="s">
        <v>2119</v>
      </c>
      <c r="C1429" s="1272">
        <v>5100</v>
      </c>
      <c r="D1429" s="971" t="s">
        <v>78</v>
      </c>
      <c r="E1429" s="971">
        <v>5140</v>
      </c>
      <c r="F1429" s="971" t="s">
        <v>176</v>
      </c>
      <c r="G1429" s="971">
        <v>5140</v>
      </c>
      <c r="H1429" s="971" t="s">
        <v>176</v>
      </c>
      <c r="I1429" s="1273"/>
      <c r="J1429" s="971" t="s">
        <v>2146</v>
      </c>
      <c r="K1429" s="971" t="s">
        <v>2127</v>
      </c>
      <c r="L1429" s="971" t="s">
        <v>2177</v>
      </c>
      <c r="M1429" s="971" t="s">
        <v>2127</v>
      </c>
      <c r="N1429" s="971" t="s">
        <v>176</v>
      </c>
      <c r="O1429" s="971" t="s">
        <v>2177</v>
      </c>
      <c r="P1429" s="971"/>
      <c r="Q1429" s="971" t="s">
        <v>2275</v>
      </c>
      <c r="R1429" s="1266" t="s">
        <v>2358</v>
      </c>
      <c r="S1429" s="2106">
        <v>4</v>
      </c>
      <c r="T1429" s="1266" t="s">
        <v>242</v>
      </c>
      <c r="U1429" s="1742">
        <v>10</v>
      </c>
      <c r="V1429" s="1742">
        <v>37.5</v>
      </c>
      <c r="W1429" s="1742">
        <v>881.4</v>
      </c>
      <c r="X1429" s="1742">
        <v>413.61</v>
      </c>
      <c r="Y1429" s="2106">
        <v>1332.51</v>
      </c>
      <c r="Z1429" s="2106">
        <v>40</v>
      </c>
      <c r="AA1429" s="2106">
        <v>150</v>
      </c>
      <c r="AB1429" s="2106">
        <v>3525.6</v>
      </c>
      <c r="AC1429" s="2106">
        <v>1654.44</v>
      </c>
      <c r="AD1429" s="1744">
        <v>5330.04</v>
      </c>
      <c r="AE1429" s="2126">
        <v>24</v>
      </c>
      <c r="AF1429" s="2126">
        <v>96</v>
      </c>
      <c r="AG1429" s="1212">
        <v>1</v>
      </c>
      <c r="AH1429" s="1212">
        <v>0</v>
      </c>
      <c r="AI1429" s="1212">
        <v>0</v>
      </c>
      <c r="AJ1429" s="1212">
        <v>1</v>
      </c>
      <c r="AK1429" s="2126">
        <v>5330.04</v>
      </c>
      <c r="AL1429" s="2126">
        <v>0</v>
      </c>
      <c r="AM1429" s="2126">
        <v>0</v>
      </c>
      <c r="AN1429" s="2126">
        <v>5330.04</v>
      </c>
      <c r="AO1429" s="1743" t="s">
        <v>85</v>
      </c>
      <c r="AP1429" s="1743" t="s">
        <v>90</v>
      </c>
      <c r="AQ1429" s="1764">
        <v>2022</v>
      </c>
      <c r="AR1429" s="1743" t="s">
        <v>87</v>
      </c>
      <c r="AS1429" s="2135"/>
      <c r="AT1429" s="2135"/>
      <c r="AU1429" s="1212">
        <v>1</v>
      </c>
      <c r="AV1429" s="1212"/>
      <c r="AW1429" s="1212"/>
      <c r="AX1429" s="1212"/>
      <c r="AY1429" s="1212"/>
      <c r="AZ1429" s="1212"/>
      <c r="BA1429" s="1212"/>
      <c r="BB1429" s="1212"/>
      <c r="BC1429" s="1212"/>
      <c r="BD1429" s="1212"/>
      <c r="BE1429" s="1212"/>
      <c r="BF1429" s="2126">
        <v>0</v>
      </c>
      <c r="BG1429" s="2126">
        <v>0</v>
      </c>
      <c r="BH1429" s="2126">
        <v>5330.04</v>
      </c>
      <c r="BI1429" s="2126">
        <v>0</v>
      </c>
      <c r="BJ1429" s="2126">
        <v>0</v>
      </c>
      <c r="BK1429" s="2126">
        <v>0</v>
      </c>
      <c r="BL1429" s="2126">
        <v>0</v>
      </c>
      <c r="BM1429" s="2126">
        <v>0</v>
      </c>
      <c r="BN1429" s="2126">
        <v>0</v>
      </c>
      <c r="BO1429" s="2126">
        <v>0</v>
      </c>
      <c r="BP1429" s="2126">
        <v>0</v>
      </c>
      <c r="BQ1429" s="2126">
        <v>0</v>
      </c>
      <c r="BR1429" s="2126">
        <v>0</v>
      </c>
    </row>
    <row r="1430" spans="1:70" s="1765" customFormat="1" ht="33">
      <c r="A1430" s="1272">
        <v>5000</v>
      </c>
      <c r="B1430" s="971" t="s">
        <v>2119</v>
      </c>
      <c r="C1430" s="1272">
        <v>5100</v>
      </c>
      <c r="D1430" s="971" t="s">
        <v>78</v>
      </c>
      <c r="E1430" s="971">
        <v>5140</v>
      </c>
      <c r="F1430" s="971" t="s">
        <v>176</v>
      </c>
      <c r="G1430" s="971">
        <v>5140</v>
      </c>
      <c r="H1430" s="971" t="s">
        <v>176</v>
      </c>
      <c r="I1430" s="1273"/>
      <c r="J1430" s="971" t="s">
        <v>2146</v>
      </c>
      <c r="K1430" s="971" t="s">
        <v>2127</v>
      </c>
      <c r="L1430" s="971" t="s">
        <v>2177</v>
      </c>
      <c r="M1430" s="971" t="s">
        <v>2127</v>
      </c>
      <c r="N1430" s="971" t="s">
        <v>176</v>
      </c>
      <c r="O1430" s="971" t="s">
        <v>2177</v>
      </c>
      <c r="P1430" s="971"/>
      <c r="Q1430" s="971" t="s">
        <v>2275</v>
      </c>
      <c r="R1430" s="1266" t="s">
        <v>2358</v>
      </c>
      <c r="S1430" s="2106">
        <v>-4</v>
      </c>
      <c r="T1430" s="1266" t="s">
        <v>242</v>
      </c>
      <c r="U1430" s="1742">
        <v>10</v>
      </c>
      <c r="V1430" s="1742">
        <v>37.5</v>
      </c>
      <c r="W1430" s="1742">
        <v>881.4</v>
      </c>
      <c r="X1430" s="1742">
        <v>413.61</v>
      </c>
      <c r="Y1430" s="2106">
        <v>1332.51</v>
      </c>
      <c r="Z1430" s="2106">
        <v>-40</v>
      </c>
      <c r="AA1430" s="2106">
        <v>-150</v>
      </c>
      <c r="AB1430" s="2106">
        <v>-3525.6</v>
      </c>
      <c r="AC1430" s="2106">
        <v>-1654.44</v>
      </c>
      <c r="AD1430" s="1744">
        <v>-5330.04</v>
      </c>
      <c r="AE1430" s="2126">
        <v>24</v>
      </c>
      <c r="AF1430" s="2126">
        <v>-96</v>
      </c>
      <c r="AG1430" s="1212">
        <v>1</v>
      </c>
      <c r="AH1430" s="1212">
        <v>0</v>
      </c>
      <c r="AI1430" s="1212">
        <v>0</v>
      </c>
      <c r="AJ1430" s="1212">
        <v>1</v>
      </c>
      <c r="AK1430" s="2126">
        <v>-5330.04</v>
      </c>
      <c r="AL1430" s="2126">
        <v>0</v>
      </c>
      <c r="AM1430" s="2126">
        <v>0</v>
      </c>
      <c r="AN1430" s="2126">
        <v>-5330.04</v>
      </c>
      <c r="AO1430" s="1743" t="s">
        <v>85</v>
      </c>
      <c r="AP1430" s="1743" t="s">
        <v>96</v>
      </c>
      <c r="AQ1430" s="1764" t="s">
        <v>118</v>
      </c>
      <c r="AR1430" s="1743" t="s">
        <v>87</v>
      </c>
      <c r="AS1430" s="2135"/>
      <c r="AT1430" s="2135"/>
      <c r="AU1430" s="1212">
        <v>1</v>
      </c>
      <c r="AV1430" s="1212"/>
      <c r="AW1430" s="1212"/>
      <c r="AX1430" s="1212"/>
      <c r="AY1430" s="1212"/>
      <c r="AZ1430" s="1212"/>
      <c r="BA1430" s="1212"/>
      <c r="BB1430" s="1212"/>
      <c r="BC1430" s="1212"/>
      <c r="BD1430" s="1212"/>
      <c r="BE1430" s="1212"/>
      <c r="BF1430" s="2126">
        <v>0</v>
      </c>
      <c r="BG1430" s="2126">
        <v>0</v>
      </c>
      <c r="BH1430" s="2126">
        <v>-5330.04</v>
      </c>
      <c r="BI1430" s="2126">
        <v>0</v>
      </c>
      <c r="BJ1430" s="2126">
        <v>0</v>
      </c>
      <c r="BK1430" s="2126">
        <v>0</v>
      </c>
      <c r="BL1430" s="2126">
        <v>0</v>
      </c>
      <c r="BM1430" s="2126">
        <v>0</v>
      </c>
      <c r="BN1430" s="2126">
        <v>0</v>
      </c>
      <c r="BO1430" s="2126">
        <v>0</v>
      </c>
      <c r="BP1430" s="2126">
        <v>0</v>
      </c>
      <c r="BQ1430" s="2126">
        <v>0</v>
      </c>
      <c r="BR1430" s="2126">
        <v>0</v>
      </c>
    </row>
    <row r="1431" spans="1:70" s="1765" customFormat="1" ht="33">
      <c r="A1431" s="1272">
        <v>5000</v>
      </c>
      <c r="B1431" s="971" t="s">
        <v>2119</v>
      </c>
      <c r="C1431" s="1272">
        <v>5100</v>
      </c>
      <c r="D1431" s="971" t="s">
        <v>78</v>
      </c>
      <c r="E1431" s="971">
        <v>5140</v>
      </c>
      <c r="F1431" s="971" t="s">
        <v>176</v>
      </c>
      <c r="G1431" s="971">
        <v>5140</v>
      </c>
      <c r="H1431" s="971" t="s">
        <v>176</v>
      </c>
      <c r="I1431" s="1273"/>
      <c r="J1431" s="971" t="s">
        <v>2146</v>
      </c>
      <c r="K1431" s="971" t="s">
        <v>2125</v>
      </c>
      <c r="L1431" s="971" t="s">
        <v>2126</v>
      </c>
      <c r="M1431" s="971" t="s">
        <v>2125</v>
      </c>
      <c r="N1431" s="971" t="s">
        <v>176</v>
      </c>
      <c r="O1431" s="971" t="s">
        <v>2126</v>
      </c>
      <c r="P1431" s="971"/>
      <c r="Q1431" s="971" t="s">
        <v>2359</v>
      </c>
      <c r="R1431" s="1266" t="s">
        <v>2360</v>
      </c>
      <c r="S1431" s="2106">
        <v>2</v>
      </c>
      <c r="T1431" s="1266" t="s">
        <v>242</v>
      </c>
      <c r="U1431" s="1742">
        <v>13</v>
      </c>
      <c r="V1431" s="1742">
        <v>100</v>
      </c>
      <c r="W1431" s="1742">
        <v>1145.82</v>
      </c>
      <c r="X1431" s="1742">
        <v>1102.96</v>
      </c>
      <c r="Y1431" s="2106">
        <v>2348.7799999999997</v>
      </c>
      <c r="Z1431" s="2106">
        <v>26</v>
      </c>
      <c r="AA1431" s="2106">
        <v>200</v>
      </c>
      <c r="AB1431" s="2106">
        <v>2291.64</v>
      </c>
      <c r="AC1431" s="2106">
        <v>2205.92</v>
      </c>
      <c r="AD1431" s="1744">
        <v>4697.5599999999995</v>
      </c>
      <c r="AE1431" s="2126">
        <v>96</v>
      </c>
      <c r="AF1431" s="2126">
        <v>192</v>
      </c>
      <c r="AG1431" s="1212">
        <v>1</v>
      </c>
      <c r="AH1431" s="1212">
        <v>0</v>
      </c>
      <c r="AI1431" s="1212">
        <v>0</v>
      </c>
      <c r="AJ1431" s="1212">
        <v>1</v>
      </c>
      <c r="AK1431" s="2126">
        <v>4697.5599999999995</v>
      </c>
      <c r="AL1431" s="2126">
        <v>0</v>
      </c>
      <c r="AM1431" s="2126">
        <v>0</v>
      </c>
      <c r="AN1431" s="2126">
        <v>4697.5599999999995</v>
      </c>
      <c r="AO1431" s="1743" t="s">
        <v>85</v>
      </c>
      <c r="AP1431" s="1743" t="s">
        <v>90</v>
      </c>
      <c r="AQ1431" s="1764">
        <v>2022</v>
      </c>
      <c r="AR1431" s="1743" t="s">
        <v>87</v>
      </c>
      <c r="AS1431" s="2135"/>
      <c r="AT1431" s="2135"/>
      <c r="AU1431" s="1212">
        <v>1</v>
      </c>
      <c r="AV1431" s="1212"/>
      <c r="AW1431" s="1212"/>
      <c r="AX1431" s="1212"/>
      <c r="AY1431" s="1212"/>
      <c r="AZ1431" s="1212"/>
      <c r="BA1431" s="1212"/>
      <c r="BB1431" s="1212"/>
      <c r="BC1431" s="1212"/>
      <c r="BD1431" s="1212"/>
      <c r="BE1431" s="1212"/>
      <c r="BF1431" s="2126">
        <v>0</v>
      </c>
      <c r="BG1431" s="2126">
        <v>0</v>
      </c>
      <c r="BH1431" s="2126">
        <v>4697.5599999999995</v>
      </c>
      <c r="BI1431" s="2126">
        <v>0</v>
      </c>
      <c r="BJ1431" s="2126">
        <v>0</v>
      </c>
      <c r="BK1431" s="2126">
        <v>0</v>
      </c>
      <c r="BL1431" s="2126">
        <v>0</v>
      </c>
      <c r="BM1431" s="2126">
        <v>0</v>
      </c>
      <c r="BN1431" s="2126">
        <v>0</v>
      </c>
      <c r="BO1431" s="2126">
        <v>0</v>
      </c>
      <c r="BP1431" s="2126">
        <v>0</v>
      </c>
      <c r="BQ1431" s="2126">
        <v>0</v>
      </c>
      <c r="BR1431" s="2126">
        <v>0</v>
      </c>
    </row>
    <row r="1432" spans="1:70" s="1765" customFormat="1" ht="33">
      <c r="A1432" s="1272">
        <v>5000</v>
      </c>
      <c r="B1432" s="971" t="s">
        <v>2119</v>
      </c>
      <c r="C1432" s="1272">
        <v>5100</v>
      </c>
      <c r="D1432" s="971" t="s">
        <v>78</v>
      </c>
      <c r="E1432" s="971">
        <v>5140</v>
      </c>
      <c r="F1432" s="971" t="s">
        <v>176</v>
      </c>
      <c r="G1432" s="971">
        <v>5140</v>
      </c>
      <c r="H1432" s="971" t="s">
        <v>176</v>
      </c>
      <c r="I1432" s="1273"/>
      <c r="J1432" s="971" t="s">
        <v>2146</v>
      </c>
      <c r="K1432" s="971" t="s">
        <v>2125</v>
      </c>
      <c r="L1432" s="971" t="s">
        <v>2126</v>
      </c>
      <c r="M1432" s="971" t="s">
        <v>2125</v>
      </c>
      <c r="N1432" s="971" t="s">
        <v>176</v>
      </c>
      <c r="O1432" s="971" t="s">
        <v>2126</v>
      </c>
      <c r="P1432" s="971"/>
      <c r="Q1432" s="971" t="s">
        <v>2359</v>
      </c>
      <c r="R1432" s="1266" t="s">
        <v>2360</v>
      </c>
      <c r="S1432" s="2106">
        <v>-2</v>
      </c>
      <c r="T1432" s="1266" t="s">
        <v>242</v>
      </c>
      <c r="U1432" s="1742">
        <v>13</v>
      </c>
      <c r="V1432" s="1742">
        <v>100</v>
      </c>
      <c r="W1432" s="1742">
        <v>1145.82</v>
      </c>
      <c r="X1432" s="1742">
        <v>1102.96</v>
      </c>
      <c r="Y1432" s="2106">
        <v>2348.7799999999997</v>
      </c>
      <c r="Z1432" s="2106">
        <v>-26</v>
      </c>
      <c r="AA1432" s="2106">
        <v>-200</v>
      </c>
      <c r="AB1432" s="2106">
        <v>-2291.64</v>
      </c>
      <c r="AC1432" s="2106">
        <v>-2205.92</v>
      </c>
      <c r="AD1432" s="1744">
        <v>-4697.5599999999995</v>
      </c>
      <c r="AE1432" s="2126">
        <v>96</v>
      </c>
      <c r="AF1432" s="2126">
        <v>-192</v>
      </c>
      <c r="AG1432" s="1212">
        <v>1</v>
      </c>
      <c r="AH1432" s="1212">
        <v>0</v>
      </c>
      <c r="AI1432" s="1212">
        <v>0</v>
      </c>
      <c r="AJ1432" s="1212">
        <v>1</v>
      </c>
      <c r="AK1432" s="2126">
        <v>-4697.5599999999995</v>
      </c>
      <c r="AL1432" s="2126">
        <v>0</v>
      </c>
      <c r="AM1432" s="2126">
        <v>0</v>
      </c>
      <c r="AN1432" s="2126">
        <v>-4697.5599999999995</v>
      </c>
      <c r="AO1432" s="1743" t="s">
        <v>85</v>
      </c>
      <c r="AP1432" s="1743" t="s">
        <v>96</v>
      </c>
      <c r="AQ1432" s="1764" t="s">
        <v>118</v>
      </c>
      <c r="AR1432" s="1743" t="s">
        <v>87</v>
      </c>
      <c r="AS1432" s="2135"/>
      <c r="AT1432" s="2135"/>
      <c r="AU1432" s="1212">
        <v>1</v>
      </c>
      <c r="AV1432" s="1212"/>
      <c r="AW1432" s="1212"/>
      <c r="AX1432" s="1212"/>
      <c r="AY1432" s="1212"/>
      <c r="AZ1432" s="1212"/>
      <c r="BA1432" s="1212"/>
      <c r="BB1432" s="1212"/>
      <c r="BC1432" s="1212"/>
      <c r="BD1432" s="1212"/>
      <c r="BE1432" s="1212"/>
      <c r="BF1432" s="2126">
        <v>0</v>
      </c>
      <c r="BG1432" s="2126">
        <v>0</v>
      </c>
      <c r="BH1432" s="2126">
        <v>-4697.5599999999995</v>
      </c>
      <c r="BI1432" s="2126">
        <v>0</v>
      </c>
      <c r="BJ1432" s="2126">
        <v>0</v>
      </c>
      <c r="BK1432" s="2126">
        <v>0</v>
      </c>
      <c r="BL1432" s="2126">
        <v>0</v>
      </c>
      <c r="BM1432" s="2126">
        <v>0</v>
      </c>
      <c r="BN1432" s="2126">
        <v>0</v>
      </c>
      <c r="BO1432" s="2126">
        <v>0</v>
      </c>
      <c r="BP1432" s="2126">
        <v>0</v>
      </c>
      <c r="BQ1432" s="2126">
        <v>0</v>
      </c>
      <c r="BR1432" s="2126">
        <v>0</v>
      </c>
    </row>
    <row r="1433" spans="1:70" s="1765" customFormat="1" ht="33">
      <c r="A1433" s="1272">
        <v>5000</v>
      </c>
      <c r="B1433" s="971" t="s">
        <v>2119</v>
      </c>
      <c r="C1433" s="1272">
        <v>5100</v>
      </c>
      <c r="D1433" s="971" t="s">
        <v>78</v>
      </c>
      <c r="E1433" s="971">
        <v>5140</v>
      </c>
      <c r="F1433" s="971" t="s">
        <v>176</v>
      </c>
      <c r="G1433" s="971">
        <v>5140</v>
      </c>
      <c r="H1433" s="971" t="s">
        <v>176</v>
      </c>
      <c r="I1433" s="1273"/>
      <c r="J1433" s="971" t="s">
        <v>2146</v>
      </c>
      <c r="K1433" s="971" t="s">
        <v>2129</v>
      </c>
      <c r="L1433" s="971" t="s">
        <v>2130</v>
      </c>
      <c r="M1433" s="971" t="s">
        <v>2129</v>
      </c>
      <c r="N1433" s="971" t="s">
        <v>176</v>
      </c>
      <c r="O1433" s="971" t="s">
        <v>2130</v>
      </c>
      <c r="P1433" s="971"/>
      <c r="Q1433" s="971" t="s">
        <v>2361</v>
      </c>
      <c r="R1433" s="1266"/>
      <c r="S1433" s="2106">
        <v>-1</v>
      </c>
      <c r="T1433" s="1266" t="s">
        <v>242</v>
      </c>
      <c r="U1433" s="1742">
        <v>6.666666666666667</v>
      </c>
      <c r="V1433" s="1742">
        <v>20.833333333333336</v>
      </c>
      <c r="W1433" s="1742">
        <v>587.6</v>
      </c>
      <c r="X1433" s="1742">
        <v>229.78333333333333</v>
      </c>
      <c r="Y1433" s="2106">
        <v>838.2166666666667</v>
      </c>
      <c r="Z1433" s="2106">
        <v>-6.666666666666667</v>
      </c>
      <c r="AA1433" s="2106">
        <v>-20.833333333333336</v>
      </c>
      <c r="AB1433" s="2106">
        <v>-587.6</v>
      </c>
      <c r="AC1433" s="2106">
        <v>-229.78333333333333</v>
      </c>
      <c r="AD1433" s="1744">
        <v>-838.2166666666667</v>
      </c>
      <c r="AE1433" s="2126">
        <v>4</v>
      </c>
      <c r="AF1433" s="2126">
        <v>-4</v>
      </c>
      <c r="AG1433" s="1212">
        <v>1</v>
      </c>
      <c r="AH1433" s="1212">
        <v>0</v>
      </c>
      <c r="AI1433" s="1212">
        <v>0</v>
      </c>
      <c r="AJ1433" s="1212">
        <v>1</v>
      </c>
      <c r="AK1433" s="2126">
        <v>-838.2166666666667</v>
      </c>
      <c r="AL1433" s="2126">
        <v>0</v>
      </c>
      <c r="AM1433" s="2126">
        <v>0</v>
      </c>
      <c r="AN1433" s="2126">
        <v>-838.2166666666667</v>
      </c>
      <c r="AO1433" s="1743" t="s">
        <v>85</v>
      </c>
      <c r="AP1433" s="1743" t="s">
        <v>96</v>
      </c>
      <c r="AQ1433" s="1764" t="s">
        <v>118</v>
      </c>
      <c r="AR1433" s="1743" t="s">
        <v>87</v>
      </c>
      <c r="AS1433" s="2135"/>
      <c r="AT1433" s="2135"/>
      <c r="AU1433" s="1212">
        <v>1</v>
      </c>
      <c r="AV1433" s="1212"/>
      <c r="AW1433" s="1212"/>
      <c r="AX1433" s="1212"/>
      <c r="AY1433" s="1212"/>
      <c r="AZ1433" s="1212"/>
      <c r="BA1433" s="1212"/>
      <c r="BB1433" s="1212"/>
      <c r="BC1433" s="1212"/>
      <c r="BD1433" s="1212"/>
      <c r="BE1433" s="1212"/>
      <c r="BF1433" s="2126">
        <v>0</v>
      </c>
      <c r="BG1433" s="2126">
        <v>0</v>
      </c>
      <c r="BH1433" s="2126">
        <v>-838.2166666666667</v>
      </c>
      <c r="BI1433" s="2126">
        <v>0</v>
      </c>
      <c r="BJ1433" s="2126">
        <v>0</v>
      </c>
      <c r="BK1433" s="2126">
        <v>0</v>
      </c>
      <c r="BL1433" s="2126">
        <v>0</v>
      </c>
      <c r="BM1433" s="2126">
        <v>0</v>
      </c>
      <c r="BN1433" s="2126">
        <v>0</v>
      </c>
      <c r="BO1433" s="2126">
        <v>0</v>
      </c>
      <c r="BP1433" s="2126">
        <v>0</v>
      </c>
      <c r="BQ1433" s="2126">
        <v>0</v>
      </c>
      <c r="BR1433" s="2126">
        <v>0</v>
      </c>
    </row>
    <row r="1434" spans="1:70" s="1765" customFormat="1" ht="33">
      <c r="A1434" s="1272">
        <v>5000</v>
      </c>
      <c r="B1434" s="971" t="s">
        <v>2119</v>
      </c>
      <c r="C1434" s="1272">
        <v>5100</v>
      </c>
      <c r="D1434" s="971" t="s">
        <v>78</v>
      </c>
      <c r="E1434" s="971">
        <v>5140</v>
      </c>
      <c r="F1434" s="971" t="s">
        <v>176</v>
      </c>
      <c r="G1434" s="971">
        <v>5140</v>
      </c>
      <c r="H1434" s="971" t="s">
        <v>176</v>
      </c>
      <c r="I1434" s="1273"/>
      <c r="J1434" s="971" t="s">
        <v>2146</v>
      </c>
      <c r="K1434" s="971" t="s">
        <v>2129</v>
      </c>
      <c r="L1434" s="971" t="s">
        <v>2130</v>
      </c>
      <c r="M1434" s="971" t="s">
        <v>2129</v>
      </c>
      <c r="N1434" s="971" t="s">
        <v>176</v>
      </c>
      <c r="O1434" s="971" t="s">
        <v>2130</v>
      </c>
      <c r="P1434" s="971"/>
      <c r="Q1434" s="971" t="s">
        <v>2204</v>
      </c>
      <c r="R1434" s="1266"/>
      <c r="S1434" s="2106">
        <v>10</v>
      </c>
      <c r="T1434" s="1266" t="s">
        <v>242</v>
      </c>
      <c r="U1434" s="1742">
        <v>6.666666666666667</v>
      </c>
      <c r="V1434" s="1742">
        <v>20.833333333333336</v>
      </c>
      <c r="W1434" s="1742">
        <v>587.6</v>
      </c>
      <c r="X1434" s="1742">
        <v>229.78333333333333</v>
      </c>
      <c r="Y1434" s="2106">
        <v>838.2166666666667</v>
      </c>
      <c r="Z1434" s="2106">
        <v>66.666666666666671</v>
      </c>
      <c r="AA1434" s="2106">
        <v>208.33333333333337</v>
      </c>
      <c r="AB1434" s="2106">
        <v>5876</v>
      </c>
      <c r="AC1434" s="2106">
        <v>2297.8333333333335</v>
      </c>
      <c r="AD1434" s="1744">
        <v>8382.1666666666661</v>
      </c>
      <c r="AE1434" s="2126">
        <v>4</v>
      </c>
      <c r="AF1434" s="2126">
        <v>40</v>
      </c>
      <c r="AG1434" s="1212">
        <v>1</v>
      </c>
      <c r="AH1434" s="1212">
        <v>0</v>
      </c>
      <c r="AI1434" s="1212">
        <v>0</v>
      </c>
      <c r="AJ1434" s="1212">
        <v>1</v>
      </c>
      <c r="AK1434" s="2126">
        <v>8382.1666666666661</v>
      </c>
      <c r="AL1434" s="2126">
        <v>0</v>
      </c>
      <c r="AM1434" s="2126">
        <v>0</v>
      </c>
      <c r="AN1434" s="2126">
        <v>8382.1666666666661</v>
      </c>
      <c r="AO1434" s="1743" t="s">
        <v>85</v>
      </c>
      <c r="AP1434" s="1743" t="s">
        <v>90</v>
      </c>
      <c r="AQ1434" s="1764" t="s">
        <v>118</v>
      </c>
      <c r="AR1434" s="1743" t="s">
        <v>87</v>
      </c>
      <c r="AS1434" s="2135"/>
      <c r="AT1434" s="2135"/>
      <c r="AU1434" s="1212">
        <v>1</v>
      </c>
      <c r="AV1434" s="1212"/>
      <c r="AW1434" s="1212"/>
      <c r="AX1434" s="1212"/>
      <c r="AY1434" s="1212"/>
      <c r="AZ1434" s="1212"/>
      <c r="BA1434" s="1212"/>
      <c r="BB1434" s="1212"/>
      <c r="BC1434" s="1212"/>
      <c r="BD1434" s="1212"/>
      <c r="BE1434" s="1212"/>
      <c r="BF1434" s="2126">
        <v>0</v>
      </c>
      <c r="BG1434" s="2126">
        <v>0</v>
      </c>
      <c r="BH1434" s="2126">
        <v>8382.1666666666661</v>
      </c>
      <c r="BI1434" s="2126">
        <v>0</v>
      </c>
      <c r="BJ1434" s="2126">
        <v>0</v>
      </c>
      <c r="BK1434" s="2126">
        <v>0</v>
      </c>
      <c r="BL1434" s="2126">
        <v>0</v>
      </c>
      <c r="BM1434" s="2126">
        <v>0</v>
      </c>
      <c r="BN1434" s="2126">
        <v>0</v>
      </c>
      <c r="BO1434" s="2126">
        <v>0</v>
      </c>
      <c r="BP1434" s="2126">
        <v>0</v>
      </c>
      <c r="BQ1434" s="2126">
        <v>0</v>
      </c>
      <c r="BR1434" s="2126">
        <v>0</v>
      </c>
    </row>
    <row r="1435" spans="1:70" s="1765" customFormat="1" ht="33">
      <c r="A1435" s="1272">
        <v>5000</v>
      </c>
      <c r="B1435" s="971" t="s">
        <v>2119</v>
      </c>
      <c r="C1435" s="1272">
        <v>5100</v>
      </c>
      <c r="D1435" s="971" t="s">
        <v>78</v>
      </c>
      <c r="E1435" s="971">
        <v>5140</v>
      </c>
      <c r="F1435" s="971" t="s">
        <v>176</v>
      </c>
      <c r="G1435" s="971">
        <v>5140</v>
      </c>
      <c r="H1435" s="971" t="s">
        <v>176</v>
      </c>
      <c r="I1435" s="1273"/>
      <c r="J1435" s="971" t="s">
        <v>2146</v>
      </c>
      <c r="K1435" s="971" t="s">
        <v>1768</v>
      </c>
      <c r="L1435" s="971" t="s">
        <v>1769</v>
      </c>
      <c r="M1435" s="971" t="s">
        <v>1768</v>
      </c>
      <c r="N1435" s="971" t="s">
        <v>179</v>
      </c>
      <c r="O1435" s="971" t="s">
        <v>1769</v>
      </c>
      <c r="P1435" s="971"/>
      <c r="Q1435" s="971" t="s">
        <v>2362</v>
      </c>
      <c r="R1435" s="1266" t="s">
        <v>2310</v>
      </c>
      <c r="S1435" s="2106">
        <v>1</v>
      </c>
      <c r="T1435" s="1266" t="s">
        <v>242</v>
      </c>
      <c r="U1435" s="1742">
        <v>8.1</v>
      </c>
      <c r="V1435" s="1742">
        <v>88.75</v>
      </c>
      <c r="W1435" s="1742">
        <v>713.93399999999997</v>
      </c>
      <c r="X1435" s="1742">
        <v>978.87700000000007</v>
      </c>
      <c r="Y1435" s="2106">
        <v>1781.5610000000001</v>
      </c>
      <c r="Z1435" s="2106">
        <v>8.1</v>
      </c>
      <c r="AA1435" s="2106">
        <v>88.75</v>
      </c>
      <c r="AB1435" s="2106">
        <v>713.93399999999997</v>
      </c>
      <c r="AC1435" s="2106">
        <v>978.87700000000007</v>
      </c>
      <c r="AD1435" s="1744">
        <v>1781.5610000000001</v>
      </c>
      <c r="AE1435" s="2126">
        <v>0.5</v>
      </c>
      <c r="AF1435" s="2126">
        <v>0.5</v>
      </c>
      <c r="AG1435" s="1212">
        <v>1</v>
      </c>
      <c r="AH1435" s="1212">
        <v>0</v>
      </c>
      <c r="AI1435" s="1212">
        <v>0</v>
      </c>
      <c r="AJ1435" s="1212">
        <v>1</v>
      </c>
      <c r="AK1435" s="2126">
        <v>1781.5610000000001</v>
      </c>
      <c r="AL1435" s="2126">
        <v>0</v>
      </c>
      <c r="AM1435" s="2126">
        <v>0</v>
      </c>
      <c r="AN1435" s="2126">
        <v>1781.5610000000001</v>
      </c>
      <c r="AO1435" s="1743" t="s">
        <v>85</v>
      </c>
      <c r="AP1435" s="1743" t="s">
        <v>90</v>
      </c>
      <c r="AQ1435" s="1764">
        <v>2023</v>
      </c>
      <c r="AR1435" s="1743" t="s">
        <v>87</v>
      </c>
      <c r="AS1435" s="2135"/>
      <c r="AT1435" s="2135"/>
      <c r="AU1435" s="1212">
        <v>1</v>
      </c>
      <c r="AV1435" s="1212"/>
      <c r="AW1435" s="1212"/>
      <c r="AX1435" s="1212"/>
      <c r="AY1435" s="1212"/>
      <c r="AZ1435" s="1212"/>
      <c r="BA1435" s="1212"/>
      <c r="BB1435" s="1212"/>
      <c r="BC1435" s="1212"/>
      <c r="BD1435" s="1212"/>
      <c r="BE1435" s="1212"/>
      <c r="BF1435" s="2126">
        <v>0</v>
      </c>
      <c r="BG1435" s="2126">
        <v>0</v>
      </c>
      <c r="BH1435" s="2126">
        <v>1781.5610000000001</v>
      </c>
      <c r="BI1435" s="2126">
        <v>0</v>
      </c>
      <c r="BJ1435" s="2126">
        <v>0</v>
      </c>
      <c r="BK1435" s="2126">
        <v>0</v>
      </c>
      <c r="BL1435" s="2126">
        <v>0</v>
      </c>
      <c r="BM1435" s="2126">
        <v>0</v>
      </c>
      <c r="BN1435" s="2126">
        <v>0</v>
      </c>
      <c r="BO1435" s="2126">
        <v>0</v>
      </c>
      <c r="BP1435" s="2126">
        <v>0</v>
      </c>
      <c r="BQ1435" s="2126">
        <v>0</v>
      </c>
      <c r="BR1435" s="2126">
        <v>0</v>
      </c>
    </row>
    <row r="1436" spans="1:70" s="1765" customFormat="1" ht="33">
      <c r="A1436" s="1272">
        <v>5000</v>
      </c>
      <c r="B1436" s="971" t="s">
        <v>2119</v>
      </c>
      <c r="C1436" s="1272">
        <v>5100</v>
      </c>
      <c r="D1436" s="971" t="s">
        <v>78</v>
      </c>
      <c r="E1436" s="971">
        <v>5140</v>
      </c>
      <c r="F1436" s="971" t="s">
        <v>176</v>
      </c>
      <c r="G1436" s="971">
        <v>5140</v>
      </c>
      <c r="H1436" s="971" t="s">
        <v>176</v>
      </c>
      <c r="I1436" s="1273"/>
      <c r="J1436" s="971" t="s">
        <v>2146</v>
      </c>
      <c r="K1436" s="971" t="s">
        <v>1768</v>
      </c>
      <c r="L1436" s="971" t="s">
        <v>1769</v>
      </c>
      <c r="M1436" s="971" t="s">
        <v>1768</v>
      </c>
      <c r="N1436" s="971" t="s">
        <v>179</v>
      </c>
      <c r="O1436" s="971" t="s">
        <v>1769</v>
      </c>
      <c r="P1436" s="971"/>
      <c r="Q1436" s="971" t="s">
        <v>2363</v>
      </c>
      <c r="R1436" s="1266" t="s">
        <v>2364</v>
      </c>
      <c r="S1436" s="2106">
        <v>5</v>
      </c>
      <c r="T1436" s="1266" t="s">
        <v>242</v>
      </c>
      <c r="U1436" s="1742">
        <v>8.1</v>
      </c>
      <c r="V1436" s="1742">
        <v>88.75</v>
      </c>
      <c r="W1436" s="1742">
        <v>713.93399999999997</v>
      </c>
      <c r="X1436" s="1742">
        <v>978.87700000000007</v>
      </c>
      <c r="Y1436" s="2106">
        <v>1781.5610000000001</v>
      </c>
      <c r="Z1436" s="2106">
        <v>40.5</v>
      </c>
      <c r="AA1436" s="2106">
        <v>443.75</v>
      </c>
      <c r="AB1436" s="2106">
        <v>3569.67</v>
      </c>
      <c r="AC1436" s="2106">
        <v>4894.3850000000002</v>
      </c>
      <c r="AD1436" s="1744">
        <v>8907.8050000000003</v>
      </c>
      <c r="AE1436" s="2126">
        <v>0.5</v>
      </c>
      <c r="AF1436" s="2126">
        <v>2.5</v>
      </c>
      <c r="AG1436" s="1212">
        <v>1</v>
      </c>
      <c r="AH1436" s="1212">
        <v>0</v>
      </c>
      <c r="AI1436" s="1212">
        <v>0</v>
      </c>
      <c r="AJ1436" s="1212">
        <v>1</v>
      </c>
      <c r="AK1436" s="2126">
        <v>8907.8050000000003</v>
      </c>
      <c r="AL1436" s="2126">
        <v>0</v>
      </c>
      <c r="AM1436" s="2126">
        <v>0</v>
      </c>
      <c r="AN1436" s="2126">
        <v>8907.8050000000003</v>
      </c>
      <c r="AO1436" s="1743" t="s">
        <v>85</v>
      </c>
      <c r="AP1436" s="1743" t="s">
        <v>90</v>
      </c>
      <c r="AQ1436" s="1764" t="s">
        <v>115</v>
      </c>
      <c r="AR1436" s="1743" t="s">
        <v>87</v>
      </c>
      <c r="AS1436" s="2135"/>
      <c r="AT1436" s="2135"/>
      <c r="AU1436" s="1212">
        <v>1</v>
      </c>
      <c r="AV1436" s="1212"/>
      <c r="AW1436" s="1212"/>
      <c r="AX1436" s="1212"/>
      <c r="AY1436" s="1212"/>
      <c r="AZ1436" s="1212"/>
      <c r="BA1436" s="1212"/>
      <c r="BB1436" s="1212"/>
      <c r="BC1436" s="1212"/>
      <c r="BD1436" s="1212"/>
      <c r="BE1436" s="1212"/>
      <c r="BF1436" s="2126">
        <v>0</v>
      </c>
      <c r="BG1436" s="2126">
        <v>0</v>
      </c>
      <c r="BH1436" s="2126">
        <v>8907.8050000000003</v>
      </c>
      <c r="BI1436" s="2126">
        <v>0</v>
      </c>
      <c r="BJ1436" s="2126">
        <v>0</v>
      </c>
      <c r="BK1436" s="2126">
        <v>0</v>
      </c>
      <c r="BL1436" s="2126">
        <v>0</v>
      </c>
      <c r="BM1436" s="2126">
        <v>0</v>
      </c>
      <c r="BN1436" s="2126">
        <v>0</v>
      </c>
      <c r="BO1436" s="2126">
        <v>0</v>
      </c>
      <c r="BP1436" s="2126">
        <v>0</v>
      </c>
      <c r="BQ1436" s="2126">
        <v>0</v>
      </c>
      <c r="BR1436" s="2126">
        <v>0</v>
      </c>
    </row>
    <row r="1437" spans="1:70" s="1765" customFormat="1" ht="33">
      <c r="A1437" s="1272">
        <v>5000</v>
      </c>
      <c r="B1437" s="971" t="s">
        <v>2119</v>
      </c>
      <c r="C1437" s="1272">
        <v>5100</v>
      </c>
      <c r="D1437" s="971" t="s">
        <v>78</v>
      </c>
      <c r="E1437" s="971">
        <v>5140</v>
      </c>
      <c r="F1437" s="971" t="s">
        <v>176</v>
      </c>
      <c r="G1437" s="971">
        <v>5140</v>
      </c>
      <c r="H1437" s="971" t="s">
        <v>176</v>
      </c>
      <c r="I1437" s="1273"/>
      <c r="J1437" s="971" t="s">
        <v>2146</v>
      </c>
      <c r="K1437" s="971" t="s">
        <v>1768</v>
      </c>
      <c r="L1437" s="971" t="s">
        <v>1769</v>
      </c>
      <c r="M1437" s="971" t="s">
        <v>1768</v>
      </c>
      <c r="N1437" s="971" t="s">
        <v>179</v>
      </c>
      <c r="O1437" s="971" t="s">
        <v>1769</v>
      </c>
      <c r="P1437" s="971"/>
      <c r="Q1437" s="971" t="s">
        <v>2365</v>
      </c>
      <c r="R1437" s="1266" t="s">
        <v>2366</v>
      </c>
      <c r="S1437" s="2106">
        <v>10</v>
      </c>
      <c r="T1437" s="1266" t="s">
        <v>242</v>
      </c>
      <c r="U1437" s="1742">
        <v>8.1</v>
      </c>
      <c r="V1437" s="1742">
        <v>88.75</v>
      </c>
      <c r="W1437" s="1742">
        <v>713.93399999999997</v>
      </c>
      <c r="X1437" s="1742">
        <v>978.87700000000007</v>
      </c>
      <c r="Y1437" s="2106">
        <v>1781.5610000000001</v>
      </c>
      <c r="Z1437" s="2106">
        <v>81</v>
      </c>
      <c r="AA1437" s="2106">
        <v>887.5</v>
      </c>
      <c r="AB1437" s="2106">
        <v>7139.34</v>
      </c>
      <c r="AC1437" s="2106">
        <v>9788.77</v>
      </c>
      <c r="AD1437" s="1744">
        <v>17815.61</v>
      </c>
      <c r="AE1437" s="2126">
        <v>0.5</v>
      </c>
      <c r="AF1437" s="2126">
        <v>5</v>
      </c>
      <c r="AG1437" s="1212">
        <v>1</v>
      </c>
      <c r="AH1437" s="1212">
        <v>0</v>
      </c>
      <c r="AI1437" s="1212">
        <v>0</v>
      </c>
      <c r="AJ1437" s="1212">
        <v>1</v>
      </c>
      <c r="AK1437" s="2126">
        <v>17815.61</v>
      </c>
      <c r="AL1437" s="2126">
        <v>0</v>
      </c>
      <c r="AM1437" s="2126">
        <v>0</v>
      </c>
      <c r="AN1437" s="2126">
        <v>17815.61</v>
      </c>
      <c r="AO1437" s="1743" t="s">
        <v>85</v>
      </c>
      <c r="AP1437" s="1743" t="s">
        <v>90</v>
      </c>
      <c r="AQ1437" s="1764" t="s">
        <v>115</v>
      </c>
      <c r="AR1437" s="1743" t="s">
        <v>87</v>
      </c>
      <c r="AS1437" s="2135"/>
      <c r="AT1437" s="2135"/>
      <c r="AU1437" s="1212">
        <v>1</v>
      </c>
      <c r="AV1437" s="1212"/>
      <c r="AW1437" s="1212"/>
      <c r="AX1437" s="1212"/>
      <c r="AY1437" s="1212"/>
      <c r="AZ1437" s="1212"/>
      <c r="BA1437" s="1212"/>
      <c r="BB1437" s="1212"/>
      <c r="BC1437" s="1212"/>
      <c r="BD1437" s="1212"/>
      <c r="BE1437" s="1212"/>
      <c r="BF1437" s="2126">
        <v>0</v>
      </c>
      <c r="BG1437" s="2126">
        <v>0</v>
      </c>
      <c r="BH1437" s="2126">
        <v>17815.61</v>
      </c>
      <c r="BI1437" s="2126">
        <v>0</v>
      </c>
      <c r="BJ1437" s="2126">
        <v>0</v>
      </c>
      <c r="BK1437" s="2126">
        <v>0</v>
      </c>
      <c r="BL1437" s="2126">
        <v>0</v>
      </c>
      <c r="BM1437" s="2126">
        <v>0</v>
      </c>
      <c r="BN1437" s="2126">
        <v>0</v>
      </c>
      <c r="BO1437" s="2126">
        <v>0</v>
      </c>
      <c r="BP1437" s="2126">
        <v>0</v>
      </c>
      <c r="BQ1437" s="2126">
        <v>0</v>
      </c>
      <c r="BR1437" s="2126">
        <v>0</v>
      </c>
    </row>
    <row r="1438" spans="1:70" s="1765" customFormat="1" ht="33">
      <c r="A1438" s="1272">
        <v>5000</v>
      </c>
      <c r="B1438" s="971" t="s">
        <v>2119</v>
      </c>
      <c r="C1438" s="1272">
        <v>5100</v>
      </c>
      <c r="D1438" s="971" t="s">
        <v>78</v>
      </c>
      <c r="E1438" s="971">
        <v>5140</v>
      </c>
      <c r="F1438" s="971" t="s">
        <v>176</v>
      </c>
      <c r="G1438" s="971">
        <v>5140</v>
      </c>
      <c r="H1438" s="971" t="s">
        <v>176</v>
      </c>
      <c r="I1438" s="1273"/>
      <c r="J1438" s="971" t="s">
        <v>2146</v>
      </c>
      <c r="K1438" s="971" t="s">
        <v>2129</v>
      </c>
      <c r="L1438" s="971" t="s">
        <v>2130</v>
      </c>
      <c r="M1438" s="971" t="s">
        <v>2129</v>
      </c>
      <c r="N1438" s="971" t="s">
        <v>176</v>
      </c>
      <c r="O1438" s="971" t="s">
        <v>2130</v>
      </c>
      <c r="P1438" s="971"/>
      <c r="Q1438" s="971" t="s">
        <v>2367</v>
      </c>
      <c r="R1438" s="1266" t="s">
        <v>2368</v>
      </c>
      <c r="S1438" s="2106">
        <v>1</v>
      </c>
      <c r="T1438" s="1266" t="s">
        <v>242</v>
      </c>
      <c r="U1438" s="1742">
        <v>6.666666666666667</v>
      </c>
      <c r="V1438" s="1742">
        <v>20.833333333333336</v>
      </c>
      <c r="W1438" s="1742">
        <v>587.6</v>
      </c>
      <c r="X1438" s="1742">
        <v>229.78333333333333</v>
      </c>
      <c r="Y1438" s="2106">
        <v>838.2166666666667</v>
      </c>
      <c r="Z1438" s="2106">
        <v>6.666666666666667</v>
      </c>
      <c r="AA1438" s="2106">
        <v>20.833333333333336</v>
      </c>
      <c r="AB1438" s="2106">
        <v>587.6</v>
      </c>
      <c r="AC1438" s="2106">
        <v>229.78333333333333</v>
      </c>
      <c r="AD1438" s="1744">
        <v>838.2166666666667</v>
      </c>
      <c r="AE1438" s="2126">
        <v>4</v>
      </c>
      <c r="AF1438" s="2126">
        <v>4</v>
      </c>
      <c r="AG1438" s="1212">
        <v>1</v>
      </c>
      <c r="AH1438" s="1212">
        <v>0</v>
      </c>
      <c r="AI1438" s="1212">
        <v>0</v>
      </c>
      <c r="AJ1438" s="1212">
        <v>1</v>
      </c>
      <c r="AK1438" s="2126">
        <v>838.2166666666667</v>
      </c>
      <c r="AL1438" s="2126">
        <v>0</v>
      </c>
      <c r="AM1438" s="2126">
        <v>0</v>
      </c>
      <c r="AN1438" s="2126">
        <v>838.2166666666667</v>
      </c>
      <c r="AO1438" s="1743" t="s">
        <v>85</v>
      </c>
      <c r="AP1438" s="1743" t="s">
        <v>90</v>
      </c>
      <c r="AQ1438" s="1764" t="s">
        <v>115</v>
      </c>
      <c r="AR1438" s="1743" t="s">
        <v>87</v>
      </c>
      <c r="AS1438" s="2135"/>
      <c r="AT1438" s="2135"/>
      <c r="AU1438" s="1212">
        <v>1</v>
      </c>
      <c r="AV1438" s="1212"/>
      <c r="AW1438" s="1212"/>
      <c r="AX1438" s="1212"/>
      <c r="AY1438" s="1212"/>
      <c r="AZ1438" s="1212"/>
      <c r="BA1438" s="1212"/>
      <c r="BB1438" s="1212"/>
      <c r="BC1438" s="1212"/>
      <c r="BD1438" s="1212"/>
      <c r="BE1438" s="1212"/>
      <c r="BF1438" s="2126">
        <v>0</v>
      </c>
      <c r="BG1438" s="2126">
        <v>0</v>
      </c>
      <c r="BH1438" s="2126">
        <v>838.2166666666667</v>
      </c>
      <c r="BI1438" s="2126">
        <v>0</v>
      </c>
      <c r="BJ1438" s="2126">
        <v>0</v>
      </c>
      <c r="BK1438" s="2126">
        <v>0</v>
      </c>
      <c r="BL1438" s="2126">
        <v>0</v>
      </c>
      <c r="BM1438" s="2126">
        <v>0</v>
      </c>
      <c r="BN1438" s="2126">
        <v>0</v>
      </c>
      <c r="BO1438" s="2126">
        <v>0</v>
      </c>
      <c r="BP1438" s="2126">
        <v>0</v>
      </c>
      <c r="BQ1438" s="2126">
        <v>0</v>
      </c>
      <c r="BR1438" s="2126">
        <v>0</v>
      </c>
    </row>
    <row r="1439" spans="1:70" s="1765" customFormat="1" ht="33">
      <c r="A1439" s="1272">
        <v>5000</v>
      </c>
      <c r="B1439" s="971" t="s">
        <v>2119</v>
      </c>
      <c r="C1439" s="1272">
        <v>5100</v>
      </c>
      <c r="D1439" s="971" t="s">
        <v>78</v>
      </c>
      <c r="E1439" s="971">
        <v>5140</v>
      </c>
      <c r="F1439" s="971" t="s">
        <v>176</v>
      </c>
      <c r="G1439" s="971">
        <v>5140</v>
      </c>
      <c r="H1439" s="971" t="s">
        <v>176</v>
      </c>
      <c r="I1439" s="1273"/>
      <c r="J1439" s="971" t="s">
        <v>2146</v>
      </c>
      <c r="K1439" s="971" t="s">
        <v>2129</v>
      </c>
      <c r="L1439" s="971" t="s">
        <v>2130</v>
      </c>
      <c r="M1439" s="971" t="s">
        <v>2129</v>
      </c>
      <c r="N1439" s="971" t="s">
        <v>176</v>
      </c>
      <c r="O1439" s="971" t="s">
        <v>2130</v>
      </c>
      <c r="P1439" s="971"/>
      <c r="Q1439" s="971" t="s">
        <v>2369</v>
      </c>
      <c r="R1439" s="1266" t="s">
        <v>2370</v>
      </c>
      <c r="S1439" s="2106">
        <v>1</v>
      </c>
      <c r="T1439" s="1266" t="s">
        <v>242</v>
      </c>
      <c r="U1439" s="1742">
        <v>6.666666666666667</v>
      </c>
      <c r="V1439" s="1742">
        <v>20.833333333333336</v>
      </c>
      <c r="W1439" s="1742">
        <v>587.6</v>
      </c>
      <c r="X1439" s="1742">
        <v>229.78333333333333</v>
      </c>
      <c r="Y1439" s="2106">
        <v>838.2166666666667</v>
      </c>
      <c r="Z1439" s="2106">
        <v>6.666666666666667</v>
      </c>
      <c r="AA1439" s="2106">
        <v>20.833333333333336</v>
      </c>
      <c r="AB1439" s="2106">
        <v>587.6</v>
      </c>
      <c r="AC1439" s="2106">
        <v>229.78333333333333</v>
      </c>
      <c r="AD1439" s="1744">
        <v>838.2166666666667</v>
      </c>
      <c r="AE1439" s="2126">
        <v>4</v>
      </c>
      <c r="AF1439" s="2126">
        <v>4</v>
      </c>
      <c r="AG1439" s="1212">
        <v>1</v>
      </c>
      <c r="AH1439" s="1212">
        <v>0</v>
      </c>
      <c r="AI1439" s="1212">
        <v>0</v>
      </c>
      <c r="AJ1439" s="1212">
        <v>1</v>
      </c>
      <c r="AK1439" s="2126">
        <v>838.2166666666667</v>
      </c>
      <c r="AL1439" s="2126">
        <v>0</v>
      </c>
      <c r="AM1439" s="2126">
        <v>0</v>
      </c>
      <c r="AN1439" s="2126">
        <v>838.2166666666667</v>
      </c>
      <c r="AO1439" s="1743" t="s">
        <v>85</v>
      </c>
      <c r="AP1439" s="1743" t="s">
        <v>90</v>
      </c>
      <c r="AQ1439" s="1764" t="s">
        <v>115</v>
      </c>
      <c r="AR1439" s="1743" t="s">
        <v>87</v>
      </c>
      <c r="AS1439" s="2135"/>
      <c r="AT1439" s="2135"/>
      <c r="AU1439" s="1212">
        <v>1</v>
      </c>
      <c r="AV1439" s="1212"/>
      <c r="AW1439" s="1212"/>
      <c r="AX1439" s="1212"/>
      <c r="AY1439" s="1212"/>
      <c r="AZ1439" s="1212"/>
      <c r="BA1439" s="1212"/>
      <c r="BB1439" s="1212"/>
      <c r="BC1439" s="1212"/>
      <c r="BD1439" s="1212"/>
      <c r="BE1439" s="1212"/>
      <c r="BF1439" s="2126">
        <v>0</v>
      </c>
      <c r="BG1439" s="2126">
        <v>0</v>
      </c>
      <c r="BH1439" s="2126">
        <v>838.2166666666667</v>
      </c>
      <c r="BI1439" s="2126">
        <v>0</v>
      </c>
      <c r="BJ1439" s="2126">
        <v>0</v>
      </c>
      <c r="BK1439" s="2126">
        <v>0</v>
      </c>
      <c r="BL1439" s="2126">
        <v>0</v>
      </c>
      <c r="BM1439" s="2126">
        <v>0</v>
      </c>
      <c r="BN1439" s="2126">
        <v>0</v>
      </c>
      <c r="BO1439" s="2126">
        <v>0</v>
      </c>
      <c r="BP1439" s="2126">
        <v>0</v>
      </c>
      <c r="BQ1439" s="2126">
        <v>0</v>
      </c>
      <c r="BR1439" s="2126">
        <v>0</v>
      </c>
    </row>
    <row r="1440" spans="1:70" s="1765" customFormat="1" ht="33">
      <c r="A1440" s="1272">
        <v>5000</v>
      </c>
      <c r="B1440" s="971" t="s">
        <v>2119</v>
      </c>
      <c r="C1440" s="1272">
        <v>5100</v>
      </c>
      <c r="D1440" s="971" t="s">
        <v>78</v>
      </c>
      <c r="E1440" s="971">
        <v>5140</v>
      </c>
      <c r="F1440" s="971" t="s">
        <v>176</v>
      </c>
      <c r="G1440" s="971">
        <v>5140</v>
      </c>
      <c r="H1440" s="971" t="s">
        <v>176</v>
      </c>
      <c r="I1440" s="1273"/>
      <c r="J1440" s="971" t="s">
        <v>2146</v>
      </c>
      <c r="K1440" s="971" t="s">
        <v>2129</v>
      </c>
      <c r="L1440" s="971" t="s">
        <v>2130</v>
      </c>
      <c r="M1440" s="971" t="s">
        <v>2129</v>
      </c>
      <c r="N1440" s="971" t="s">
        <v>176</v>
      </c>
      <c r="O1440" s="971" t="s">
        <v>2130</v>
      </c>
      <c r="P1440" s="971"/>
      <c r="Q1440" s="971" t="s">
        <v>2371</v>
      </c>
      <c r="R1440" s="1266" t="s">
        <v>2372</v>
      </c>
      <c r="S1440" s="2106">
        <v>1</v>
      </c>
      <c r="T1440" s="1266" t="s">
        <v>242</v>
      </c>
      <c r="U1440" s="1742">
        <v>6.666666666666667</v>
      </c>
      <c r="V1440" s="1742">
        <v>20.833333333333336</v>
      </c>
      <c r="W1440" s="1742">
        <v>587.6</v>
      </c>
      <c r="X1440" s="1742">
        <v>229.78333333333333</v>
      </c>
      <c r="Y1440" s="2106">
        <v>838.2166666666667</v>
      </c>
      <c r="Z1440" s="2106">
        <v>6.666666666666667</v>
      </c>
      <c r="AA1440" s="2106">
        <v>20.833333333333336</v>
      </c>
      <c r="AB1440" s="2106">
        <v>587.6</v>
      </c>
      <c r="AC1440" s="2106">
        <v>229.78333333333333</v>
      </c>
      <c r="AD1440" s="1744">
        <v>838.2166666666667</v>
      </c>
      <c r="AE1440" s="2126">
        <v>4</v>
      </c>
      <c r="AF1440" s="2126">
        <v>4</v>
      </c>
      <c r="AG1440" s="1212">
        <v>1</v>
      </c>
      <c r="AH1440" s="1212">
        <v>0</v>
      </c>
      <c r="AI1440" s="1212">
        <v>0</v>
      </c>
      <c r="AJ1440" s="1212">
        <v>1</v>
      </c>
      <c r="AK1440" s="2126">
        <v>838.2166666666667</v>
      </c>
      <c r="AL1440" s="2126">
        <v>0</v>
      </c>
      <c r="AM1440" s="2126">
        <v>0</v>
      </c>
      <c r="AN1440" s="2126">
        <v>838.2166666666667</v>
      </c>
      <c r="AO1440" s="1743" t="s">
        <v>85</v>
      </c>
      <c r="AP1440" s="1743" t="s">
        <v>90</v>
      </c>
      <c r="AQ1440" s="1764" t="s">
        <v>115</v>
      </c>
      <c r="AR1440" s="1743" t="s">
        <v>87</v>
      </c>
      <c r="AS1440" s="2135"/>
      <c r="AT1440" s="2135"/>
      <c r="AU1440" s="1212">
        <v>1</v>
      </c>
      <c r="AV1440" s="1212"/>
      <c r="AW1440" s="1212"/>
      <c r="AX1440" s="1212"/>
      <c r="AY1440" s="1212"/>
      <c r="AZ1440" s="1212"/>
      <c r="BA1440" s="1212"/>
      <c r="BB1440" s="1212"/>
      <c r="BC1440" s="1212"/>
      <c r="BD1440" s="1212"/>
      <c r="BE1440" s="1212"/>
      <c r="BF1440" s="2126">
        <v>0</v>
      </c>
      <c r="BG1440" s="2126">
        <v>0</v>
      </c>
      <c r="BH1440" s="2126">
        <v>838.2166666666667</v>
      </c>
      <c r="BI1440" s="2126">
        <v>0</v>
      </c>
      <c r="BJ1440" s="2126">
        <v>0</v>
      </c>
      <c r="BK1440" s="2126">
        <v>0</v>
      </c>
      <c r="BL1440" s="2126">
        <v>0</v>
      </c>
      <c r="BM1440" s="2126">
        <v>0</v>
      </c>
      <c r="BN1440" s="2126">
        <v>0</v>
      </c>
      <c r="BO1440" s="2126">
        <v>0</v>
      </c>
      <c r="BP1440" s="2126">
        <v>0</v>
      </c>
      <c r="BQ1440" s="2126">
        <v>0</v>
      </c>
      <c r="BR1440" s="2126">
        <v>0</v>
      </c>
    </row>
    <row r="1441" spans="1:70" s="1765" customFormat="1" ht="33">
      <c r="A1441" s="1272">
        <v>5000</v>
      </c>
      <c r="B1441" s="971" t="s">
        <v>2119</v>
      </c>
      <c r="C1441" s="1272">
        <v>5100</v>
      </c>
      <c r="D1441" s="971" t="s">
        <v>78</v>
      </c>
      <c r="E1441" s="971">
        <v>5140</v>
      </c>
      <c r="F1441" s="971" t="s">
        <v>176</v>
      </c>
      <c r="G1441" s="971">
        <v>5140</v>
      </c>
      <c r="H1441" s="971" t="s">
        <v>176</v>
      </c>
      <c r="I1441" s="1273"/>
      <c r="J1441" s="971" t="s">
        <v>2146</v>
      </c>
      <c r="K1441" s="971" t="s">
        <v>2129</v>
      </c>
      <c r="L1441" s="971" t="s">
        <v>2130</v>
      </c>
      <c r="M1441" s="971" t="s">
        <v>2129</v>
      </c>
      <c r="N1441" s="971" t="s">
        <v>176</v>
      </c>
      <c r="O1441" s="971" t="s">
        <v>2130</v>
      </c>
      <c r="P1441" s="971"/>
      <c r="Q1441" s="971" t="s">
        <v>2373</v>
      </c>
      <c r="R1441" s="1266" t="s">
        <v>2374</v>
      </c>
      <c r="S1441" s="2106">
        <v>1</v>
      </c>
      <c r="T1441" s="1266" t="s">
        <v>242</v>
      </c>
      <c r="U1441" s="1742">
        <v>6.666666666666667</v>
      </c>
      <c r="V1441" s="1742">
        <v>20.833333333333336</v>
      </c>
      <c r="W1441" s="1742">
        <v>587.6</v>
      </c>
      <c r="X1441" s="1742">
        <v>229.78333333333333</v>
      </c>
      <c r="Y1441" s="2106">
        <v>838.2166666666667</v>
      </c>
      <c r="Z1441" s="2106">
        <v>6.666666666666667</v>
      </c>
      <c r="AA1441" s="2106">
        <v>20.833333333333336</v>
      </c>
      <c r="AB1441" s="2106">
        <v>587.6</v>
      </c>
      <c r="AC1441" s="2106">
        <v>229.78333333333333</v>
      </c>
      <c r="AD1441" s="1744">
        <v>838.2166666666667</v>
      </c>
      <c r="AE1441" s="2126">
        <v>4</v>
      </c>
      <c r="AF1441" s="2126">
        <v>4</v>
      </c>
      <c r="AG1441" s="1212">
        <v>1</v>
      </c>
      <c r="AH1441" s="1212">
        <v>0</v>
      </c>
      <c r="AI1441" s="1212">
        <v>0</v>
      </c>
      <c r="AJ1441" s="1212">
        <v>1</v>
      </c>
      <c r="AK1441" s="2126">
        <v>838.2166666666667</v>
      </c>
      <c r="AL1441" s="2126">
        <v>0</v>
      </c>
      <c r="AM1441" s="2126">
        <v>0</v>
      </c>
      <c r="AN1441" s="2126">
        <v>838.2166666666667</v>
      </c>
      <c r="AO1441" s="1743" t="s">
        <v>85</v>
      </c>
      <c r="AP1441" s="1743" t="s">
        <v>90</v>
      </c>
      <c r="AQ1441" s="1764" t="s">
        <v>115</v>
      </c>
      <c r="AR1441" s="1743" t="s">
        <v>87</v>
      </c>
      <c r="AS1441" s="2135"/>
      <c r="AT1441" s="2135"/>
      <c r="AU1441" s="1212">
        <v>1</v>
      </c>
      <c r="AV1441" s="1212"/>
      <c r="AW1441" s="1212"/>
      <c r="AX1441" s="1212"/>
      <c r="AY1441" s="1212"/>
      <c r="AZ1441" s="1212"/>
      <c r="BA1441" s="1212"/>
      <c r="BB1441" s="1212"/>
      <c r="BC1441" s="1212"/>
      <c r="BD1441" s="1212"/>
      <c r="BE1441" s="1212"/>
      <c r="BF1441" s="2126">
        <v>0</v>
      </c>
      <c r="BG1441" s="2126">
        <v>0</v>
      </c>
      <c r="BH1441" s="2126">
        <v>838.2166666666667</v>
      </c>
      <c r="BI1441" s="2126">
        <v>0</v>
      </c>
      <c r="BJ1441" s="2126">
        <v>0</v>
      </c>
      <c r="BK1441" s="2126">
        <v>0</v>
      </c>
      <c r="BL1441" s="2126">
        <v>0</v>
      </c>
      <c r="BM1441" s="2126">
        <v>0</v>
      </c>
      <c r="BN1441" s="2126">
        <v>0</v>
      </c>
      <c r="BO1441" s="2126">
        <v>0</v>
      </c>
      <c r="BP1441" s="2126">
        <v>0</v>
      </c>
      <c r="BQ1441" s="2126">
        <v>0</v>
      </c>
      <c r="BR1441" s="2126">
        <v>0</v>
      </c>
    </row>
    <row r="1442" spans="1:70" s="1765" customFormat="1" ht="33">
      <c r="A1442" s="1272">
        <v>5000</v>
      </c>
      <c r="B1442" s="971" t="s">
        <v>2119</v>
      </c>
      <c r="C1442" s="1272">
        <v>5100</v>
      </c>
      <c r="D1442" s="971" t="s">
        <v>78</v>
      </c>
      <c r="E1442" s="971">
        <v>5140</v>
      </c>
      <c r="F1442" s="971" t="s">
        <v>176</v>
      </c>
      <c r="G1442" s="971">
        <v>5140</v>
      </c>
      <c r="H1442" s="971" t="s">
        <v>176</v>
      </c>
      <c r="I1442" s="1273"/>
      <c r="J1442" s="971" t="s">
        <v>2146</v>
      </c>
      <c r="K1442" s="971" t="s">
        <v>2129</v>
      </c>
      <c r="L1442" s="971" t="s">
        <v>2130</v>
      </c>
      <c r="M1442" s="971" t="s">
        <v>2129</v>
      </c>
      <c r="N1442" s="971" t="s">
        <v>176</v>
      </c>
      <c r="O1442" s="971" t="s">
        <v>2130</v>
      </c>
      <c r="P1442" s="971"/>
      <c r="Q1442" s="971" t="s">
        <v>2170</v>
      </c>
      <c r="R1442" s="1266" t="s">
        <v>2375</v>
      </c>
      <c r="S1442" s="2106">
        <v>1</v>
      </c>
      <c r="T1442" s="1266" t="s">
        <v>242</v>
      </c>
      <c r="U1442" s="1742">
        <v>6.666666666666667</v>
      </c>
      <c r="V1442" s="1742">
        <v>20.833333333333336</v>
      </c>
      <c r="W1442" s="1742">
        <v>587.6</v>
      </c>
      <c r="X1442" s="1742">
        <v>229.78333333333333</v>
      </c>
      <c r="Y1442" s="2106">
        <v>838.2166666666667</v>
      </c>
      <c r="Z1442" s="2106">
        <v>6.666666666666667</v>
      </c>
      <c r="AA1442" s="2106">
        <v>20.833333333333336</v>
      </c>
      <c r="AB1442" s="2106">
        <v>587.6</v>
      </c>
      <c r="AC1442" s="2106">
        <v>229.78333333333333</v>
      </c>
      <c r="AD1442" s="1744">
        <v>838.2166666666667</v>
      </c>
      <c r="AE1442" s="2126">
        <v>4</v>
      </c>
      <c r="AF1442" s="2126">
        <v>4</v>
      </c>
      <c r="AG1442" s="1212">
        <v>1</v>
      </c>
      <c r="AH1442" s="1212">
        <v>0</v>
      </c>
      <c r="AI1442" s="1212">
        <v>0</v>
      </c>
      <c r="AJ1442" s="1212">
        <v>1</v>
      </c>
      <c r="AK1442" s="2126">
        <v>838.2166666666667</v>
      </c>
      <c r="AL1442" s="2126">
        <v>0</v>
      </c>
      <c r="AM1442" s="2126">
        <v>0</v>
      </c>
      <c r="AN1442" s="2126">
        <v>838.2166666666667</v>
      </c>
      <c r="AO1442" s="1743" t="s">
        <v>85</v>
      </c>
      <c r="AP1442" s="1743" t="s">
        <v>90</v>
      </c>
      <c r="AQ1442" s="1764" t="s">
        <v>115</v>
      </c>
      <c r="AR1442" s="1743" t="s">
        <v>87</v>
      </c>
      <c r="AS1442" s="2135"/>
      <c r="AT1442" s="2135"/>
      <c r="AU1442" s="1212">
        <v>1</v>
      </c>
      <c r="AV1442" s="1212"/>
      <c r="AW1442" s="1212"/>
      <c r="AX1442" s="1212"/>
      <c r="AY1442" s="1212"/>
      <c r="AZ1442" s="1212"/>
      <c r="BA1442" s="1212"/>
      <c r="BB1442" s="1212"/>
      <c r="BC1442" s="1212"/>
      <c r="BD1442" s="1212"/>
      <c r="BE1442" s="1212"/>
      <c r="BF1442" s="2126">
        <v>0</v>
      </c>
      <c r="BG1442" s="2126">
        <v>0</v>
      </c>
      <c r="BH1442" s="2126">
        <v>838.2166666666667</v>
      </c>
      <c r="BI1442" s="2126">
        <v>0</v>
      </c>
      <c r="BJ1442" s="2126">
        <v>0</v>
      </c>
      <c r="BK1442" s="2126">
        <v>0</v>
      </c>
      <c r="BL1442" s="2126">
        <v>0</v>
      </c>
      <c r="BM1442" s="2126">
        <v>0</v>
      </c>
      <c r="BN1442" s="2126">
        <v>0</v>
      </c>
      <c r="BO1442" s="2126">
        <v>0</v>
      </c>
      <c r="BP1442" s="2126">
        <v>0</v>
      </c>
      <c r="BQ1442" s="2126">
        <v>0</v>
      </c>
      <c r="BR1442" s="2126">
        <v>0</v>
      </c>
    </row>
    <row r="1443" spans="1:70" s="1765" customFormat="1" ht="33">
      <c r="A1443" s="1272">
        <v>5000</v>
      </c>
      <c r="B1443" s="971" t="s">
        <v>2119</v>
      </c>
      <c r="C1443" s="1272">
        <v>5100</v>
      </c>
      <c r="D1443" s="971" t="s">
        <v>78</v>
      </c>
      <c r="E1443" s="971">
        <v>5140</v>
      </c>
      <c r="F1443" s="971" t="s">
        <v>176</v>
      </c>
      <c r="G1443" s="971">
        <v>5140</v>
      </c>
      <c r="H1443" s="971" t="s">
        <v>176</v>
      </c>
      <c r="I1443" s="1273"/>
      <c r="J1443" s="971" t="s">
        <v>2146</v>
      </c>
      <c r="K1443" s="971" t="s">
        <v>2129</v>
      </c>
      <c r="L1443" s="971" t="s">
        <v>2130</v>
      </c>
      <c r="M1443" s="971" t="s">
        <v>2129</v>
      </c>
      <c r="N1443" s="971" t="s">
        <v>176</v>
      </c>
      <c r="O1443" s="971" t="s">
        <v>2130</v>
      </c>
      <c r="P1443" s="971"/>
      <c r="Q1443" s="971" t="s">
        <v>2376</v>
      </c>
      <c r="R1443" s="1266" t="s">
        <v>2377</v>
      </c>
      <c r="S1443" s="2106">
        <v>1</v>
      </c>
      <c r="T1443" s="1266" t="s">
        <v>242</v>
      </c>
      <c r="U1443" s="1742">
        <v>6.666666666666667</v>
      </c>
      <c r="V1443" s="1742">
        <v>20.833333333333336</v>
      </c>
      <c r="W1443" s="1742">
        <v>587.6</v>
      </c>
      <c r="X1443" s="1742">
        <v>229.78333333333333</v>
      </c>
      <c r="Y1443" s="2106">
        <v>838.2166666666667</v>
      </c>
      <c r="Z1443" s="2106">
        <v>6.666666666666667</v>
      </c>
      <c r="AA1443" s="2106">
        <v>20.833333333333336</v>
      </c>
      <c r="AB1443" s="2106">
        <v>587.6</v>
      </c>
      <c r="AC1443" s="2106">
        <v>229.78333333333333</v>
      </c>
      <c r="AD1443" s="1744">
        <v>838.2166666666667</v>
      </c>
      <c r="AE1443" s="2126">
        <v>4</v>
      </c>
      <c r="AF1443" s="2126">
        <v>4</v>
      </c>
      <c r="AG1443" s="1212">
        <v>1</v>
      </c>
      <c r="AH1443" s="1212">
        <v>0</v>
      </c>
      <c r="AI1443" s="1212">
        <v>0</v>
      </c>
      <c r="AJ1443" s="1212">
        <v>1</v>
      </c>
      <c r="AK1443" s="2126">
        <v>838.2166666666667</v>
      </c>
      <c r="AL1443" s="2126">
        <v>0</v>
      </c>
      <c r="AM1443" s="2126">
        <v>0</v>
      </c>
      <c r="AN1443" s="2126">
        <v>838.2166666666667</v>
      </c>
      <c r="AO1443" s="1743" t="s">
        <v>85</v>
      </c>
      <c r="AP1443" s="1743" t="s">
        <v>90</v>
      </c>
      <c r="AQ1443" s="1764" t="s">
        <v>115</v>
      </c>
      <c r="AR1443" s="1743" t="s">
        <v>87</v>
      </c>
      <c r="AS1443" s="2135"/>
      <c r="AT1443" s="2135"/>
      <c r="AU1443" s="1212">
        <v>1</v>
      </c>
      <c r="AV1443" s="1212"/>
      <c r="AW1443" s="1212"/>
      <c r="AX1443" s="1212"/>
      <c r="AY1443" s="1212"/>
      <c r="AZ1443" s="1212"/>
      <c r="BA1443" s="1212"/>
      <c r="BB1443" s="1212"/>
      <c r="BC1443" s="1212"/>
      <c r="BD1443" s="1212"/>
      <c r="BE1443" s="1212"/>
      <c r="BF1443" s="2126">
        <v>0</v>
      </c>
      <c r="BG1443" s="2126">
        <v>0</v>
      </c>
      <c r="BH1443" s="2126">
        <v>838.2166666666667</v>
      </c>
      <c r="BI1443" s="2126">
        <v>0</v>
      </c>
      <c r="BJ1443" s="2126">
        <v>0</v>
      </c>
      <c r="BK1443" s="2126">
        <v>0</v>
      </c>
      <c r="BL1443" s="2126">
        <v>0</v>
      </c>
      <c r="BM1443" s="2126">
        <v>0</v>
      </c>
      <c r="BN1443" s="2126">
        <v>0</v>
      </c>
      <c r="BO1443" s="2126">
        <v>0</v>
      </c>
      <c r="BP1443" s="2126">
        <v>0</v>
      </c>
      <c r="BQ1443" s="2126">
        <v>0</v>
      </c>
      <c r="BR1443" s="2126">
        <v>0</v>
      </c>
    </row>
    <row r="1444" spans="1:70" s="1765" customFormat="1" ht="33">
      <c r="A1444" s="1272">
        <v>5000</v>
      </c>
      <c r="B1444" s="971" t="s">
        <v>2119</v>
      </c>
      <c r="C1444" s="1272">
        <v>5100</v>
      </c>
      <c r="D1444" s="971" t="s">
        <v>78</v>
      </c>
      <c r="E1444" s="971">
        <v>5140</v>
      </c>
      <c r="F1444" s="971" t="s">
        <v>176</v>
      </c>
      <c r="G1444" s="971">
        <v>5140</v>
      </c>
      <c r="H1444" s="971" t="s">
        <v>176</v>
      </c>
      <c r="I1444" s="1273"/>
      <c r="J1444" s="971" t="s">
        <v>2146</v>
      </c>
      <c r="K1444" s="971" t="s">
        <v>1768</v>
      </c>
      <c r="L1444" s="971" t="s">
        <v>1769</v>
      </c>
      <c r="M1444" s="971" t="s">
        <v>1768</v>
      </c>
      <c r="N1444" s="971" t="s">
        <v>179</v>
      </c>
      <c r="O1444" s="971" t="s">
        <v>1769</v>
      </c>
      <c r="P1444" s="971"/>
      <c r="Q1444" s="971" t="s">
        <v>2378</v>
      </c>
      <c r="R1444" s="1266"/>
      <c r="S1444" s="2106">
        <v>-216</v>
      </c>
      <c r="T1444" s="1266" t="s">
        <v>242</v>
      </c>
      <c r="U1444" s="1742">
        <v>8.1</v>
      </c>
      <c r="V1444" s="1742">
        <v>88.75</v>
      </c>
      <c r="W1444" s="1742">
        <v>713.93399999999997</v>
      </c>
      <c r="X1444" s="1742">
        <v>978.87700000000007</v>
      </c>
      <c r="Y1444" s="2106">
        <v>1781.5610000000001</v>
      </c>
      <c r="Z1444" s="2106">
        <v>-1749.6</v>
      </c>
      <c r="AA1444" s="2106">
        <v>-19170</v>
      </c>
      <c r="AB1444" s="2106">
        <v>-154209.74400000001</v>
      </c>
      <c r="AC1444" s="2106">
        <v>-211437.432</v>
      </c>
      <c r="AD1444" s="1744">
        <v>-384817.17599999998</v>
      </c>
      <c r="AE1444" s="2126">
        <v>0.5</v>
      </c>
      <c r="AF1444" s="2126">
        <v>-108</v>
      </c>
      <c r="AG1444" s="1212">
        <v>1</v>
      </c>
      <c r="AH1444" s="1212">
        <v>0</v>
      </c>
      <c r="AI1444" s="1212">
        <v>0</v>
      </c>
      <c r="AJ1444" s="1212">
        <v>1</v>
      </c>
      <c r="AK1444" s="2126">
        <v>-384817.17599999998</v>
      </c>
      <c r="AL1444" s="2126">
        <v>0</v>
      </c>
      <c r="AM1444" s="2126">
        <v>0</v>
      </c>
      <c r="AN1444" s="2126">
        <v>-384817.17599999998</v>
      </c>
      <c r="AO1444" s="1743" t="s">
        <v>85</v>
      </c>
      <c r="AP1444" s="1743" t="s">
        <v>96</v>
      </c>
      <c r="AQ1444" s="1764" t="s">
        <v>115</v>
      </c>
      <c r="AR1444" s="1743" t="s">
        <v>87</v>
      </c>
      <c r="AS1444" s="2135"/>
      <c r="AT1444" s="2135"/>
      <c r="AU1444" s="1212">
        <v>1</v>
      </c>
      <c r="AV1444" s="1212"/>
      <c r="AW1444" s="1212"/>
      <c r="AX1444" s="1212"/>
      <c r="AY1444" s="1212"/>
      <c r="AZ1444" s="1212"/>
      <c r="BA1444" s="1212"/>
      <c r="BB1444" s="1212"/>
      <c r="BC1444" s="1212"/>
      <c r="BD1444" s="1212"/>
      <c r="BE1444" s="1212"/>
      <c r="BF1444" s="2126">
        <v>0</v>
      </c>
      <c r="BG1444" s="2126">
        <v>0</v>
      </c>
      <c r="BH1444" s="2126">
        <v>-384817.17599999998</v>
      </c>
      <c r="BI1444" s="2126">
        <v>0</v>
      </c>
      <c r="BJ1444" s="2126">
        <v>0</v>
      </c>
      <c r="BK1444" s="2126">
        <v>0</v>
      </c>
      <c r="BL1444" s="2126">
        <v>0</v>
      </c>
      <c r="BM1444" s="2126">
        <v>0</v>
      </c>
      <c r="BN1444" s="2126">
        <v>0</v>
      </c>
      <c r="BO1444" s="2126">
        <v>0</v>
      </c>
      <c r="BP1444" s="2126">
        <v>0</v>
      </c>
      <c r="BQ1444" s="2126">
        <v>0</v>
      </c>
      <c r="BR1444" s="2126">
        <v>0</v>
      </c>
    </row>
    <row r="1445" spans="1:70" s="1765" customFormat="1" ht="33">
      <c r="A1445" s="1272">
        <v>5000</v>
      </c>
      <c r="B1445" s="971" t="s">
        <v>2119</v>
      </c>
      <c r="C1445" s="1272">
        <v>5100</v>
      </c>
      <c r="D1445" s="971" t="s">
        <v>78</v>
      </c>
      <c r="E1445" s="971">
        <v>5140</v>
      </c>
      <c r="F1445" s="971" t="s">
        <v>176</v>
      </c>
      <c r="G1445" s="971">
        <v>5140</v>
      </c>
      <c r="H1445" s="971" t="s">
        <v>176</v>
      </c>
      <c r="I1445" s="1273"/>
      <c r="J1445" s="971" t="s">
        <v>686</v>
      </c>
      <c r="K1445" s="971" t="s">
        <v>2123</v>
      </c>
      <c r="L1445" s="971" t="s">
        <v>2124</v>
      </c>
      <c r="M1445" s="971" t="s">
        <v>2123</v>
      </c>
      <c r="N1445" s="971" t="s">
        <v>179</v>
      </c>
      <c r="O1445" s="971" t="s">
        <v>2124</v>
      </c>
      <c r="P1445" s="971"/>
      <c r="Q1445" s="971" t="s">
        <v>2379</v>
      </c>
      <c r="R1445" s="1266"/>
      <c r="S1445" s="2106">
        <v>-185</v>
      </c>
      <c r="T1445" s="1266" t="s">
        <v>242</v>
      </c>
      <c r="U1445" s="1742">
        <v>19.2</v>
      </c>
      <c r="V1445" s="1742">
        <v>177.5</v>
      </c>
      <c r="W1445" s="1742">
        <v>1692.2879999999998</v>
      </c>
      <c r="X1445" s="1742">
        <v>1957.7540000000001</v>
      </c>
      <c r="Y1445" s="2106">
        <v>3827.5419999999995</v>
      </c>
      <c r="Z1445" s="2106">
        <v>-3552</v>
      </c>
      <c r="AA1445" s="2106">
        <v>-32837.5</v>
      </c>
      <c r="AB1445" s="2106">
        <v>-313073.27999999997</v>
      </c>
      <c r="AC1445" s="2106">
        <v>-362184.49000000005</v>
      </c>
      <c r="AD1445" s="1744">
        <v>-708095.27</v>
      </c>
      <c r="AE1445" s="2126">
        <v>1</v>
      </c>
      <c r="AF1445" s="2126">
        <v>-185</v>
      </c>
      <c r="AG1445" s="1212">
        <v>1</v>
      </c>
      <c r="AH1445" s="1212">
        <v>0</v>
      </c>
      <c r="AI1445" s="1212">
        <v>0</v>
      </c>
      <c r="AJ1445" s="1212">
        <v>1</v>
      </c>
      <c r="AK1445" s="2126">
        <v>-708095.27</v>
      </c>
      <c r="AL1445" s="2126">
        <v>0</v>
      </c>
      <c r="AM1445" s="2126">
        <v>0</v>
      </c>
      <c r="AN1445" s="2126">
        <v>-708095.27</v>
      </c>
      <c r="AO1445" s="1743" t="s">
        <v>85</v>
      </c>
      <c r="AP1445" s="1743" t="s">
        <v>96</v>
      </c>
      <c r="AQ1445" s="1764" t="s">
        <v>115</v>
      </c>
      <c r="AR1445" s="1743" t="s">
        <v>87</v>
      </c>
      <c r="AS1445" s="2135"/>
      <c r="AT1445" s="2135"/>
      <c r="AU1445" s="1212">
        <v>1</v>
      </c>
      <c r="AV1445" s="1212"/>
      <c r="AW1445" s="1212"/>
      <c r="AX1445" s="1212"/>
      <c r="AY1445" s="1212"/>
      <c r="AZ1445" s="1212"/>
      <c r="BA1445" s="1212"/>
      <c r="BB1445" s="1212"/>
      <c r="BC1445" s="1212"/>
      <c r="BD1445" s="1212"/>
      <c r="BE1445" s="1212"/>
      <c r="BF1445" s="2126">
        <v>0</v>
      </c>
      <c r="BG1445" s="2126">
        <v>0</v>
      </c>
      <c r="BH1445" s="2126">
        <v>-708095.27</v>
      </c>
      <c r="BI1445" s="2126">
        <v>0</v>
      </c>
      <c r="BJ1445" s="2126">
        <v>0</v>
      </c>
      <c r="BK1445" s="2126">
        <v>0</v>
      </c>
      <c r="BL1445" s="2126">
        <v>0</v>
      </c>
      <c r="BM1445" s="2126">
        <v>0</v>
      </c>
      <c r="BN1445" s="2126">
        <v>0</v>
      </c>
      <c r="BO1445" s="2126">
        <v>0</v>
      </c>
      <c r="BP1445" s="2126">
        <v>0</v>
      </c>
      <c r="BQ1445" s="2126">
        <v>0</v>
      </c>
      <c r="BR1445" s="2126">
        <v>0</v>
      </c>
    </row>
    <row r="1446" spans="1:70" s="1765" customFormat="1" ht="33">
      <c r="A1446" s="1272">
        <v>5000</v>
      </c>
      <c r="B1446" s="971" t="s">
        <v>2119</v>
      </c>
      <c r="C1446" s="1272">
        <v>5100</v>
      </c>
      <c r="D1446" s="971" t="s">
        <v>78</v>
      </c>
      <c r="E1446" s="971">
        <v>5140</v>
      </c>
      <c r="F1446" s="971" t="s">
        <v>176</v>
      </c>
      <c r="G1446" s="971">
        <v>5140</v>
      </c>
      <c r="H1446" s="971" t="s">
        <v>176</v>
      </c>
      <c r="I1446" s="1273"/>
      <c r="J1446" s="971" t="s">
        <v>2212</v>
      </c>
      <c r="K1446" s="971" t="s">
        <v>2120</v>
      </c>
      <c r="L1446" s="971" t="s">
        <v>2121</v>
      </c>
      <c r="M1446" s="971" t="s">
        <v>2120</v>
      </c>
      <c r="N1446" s="971" t="s">
        <v>179</v>
      </c>
      <c r="O1446" s="971" t="s">
        <v>2121</v>
      </c>
      <c r="P1446" s="971"/>
      <c r="Q1446" s="971" t="s">
        <v>2380</v>
      </c>
      <c r="R1446" s="1266"/>
      <c r="S1446" s="2106">
        <v>-85</v>
      </c>
      <c r="T1446" s="1266" t="s">
        <v>242</v>
      </c>
      <c r="U1446" s="1742">
        <v>168</v>
      </c>
      <c r="V1446" s="1742">
        <v>1850</v>
      </c>
      <c r="W1446" s="1742">
        <v>14807.519999999999</v>
      </c>
      <c r="X1446" s="1742">
        <v>20404.760000000002</v>
      </c>
      <c r="Y1446" s="2106">
        <v>37062.28</v>
      </c>
      <c r="Z1446" s="2106">
        <v>-14280</v>
      </c>
      <c r="AA1446" s="2106">
        <v>-157250</v>
      </c>
      <c r="AB1446" s="2106">
        <v>-1258639.2</v>
      </c>
      <c r="AC1446" s="2106">
        <v>-1734404.6</v>
      </c>
      <c r="AD1446" s="1744">
        <v>-3150293.8</v>
      </c>
      <c r="AE1446" s="2126">
        <v>56</v>
      </c>
      <c r="AF1446" s="2126">
        <v>-4760</v>
      </c>
      <c r="AG1446" s="1212">
        <v>1</v>
      </c>
      <c r="AH1446" s="1212">
        <v>0</v>
      </c>
      <c r="AI1446" s="1212">
        <v>0</v>
      </c>
      <c r="AJ1446" s="1212">
        <v>1</v>
      </c>
      <c r="AK1446" s="2126">
        <v>-3150293.8</v>
      </c>
      <c r="AL1446" s="2126">
        <v>0</v>
      </c>
      <c r="AM1446" s="2126">
        <v>0</v>
      </c>
      <c r="AN1446" s="2126">
        <v>-3150293.8</v>
      </c>
      <c r="AO1446" s="1743" t="s">
        <v>85</v>
      </c>
      <c r="AP1446" s="1743" t="s">
        <v>96</v>
      </c>
      <c r="AQ1446" s="1764" t="s">
        <v>115</v>
      </c>
      <c r="AR1446" s="1743" t="s">
        <v>87</v>
      </c>
      <c r="AS1446" s="2135"/>
      <c r="AT1446" s="2135"/>
      <c r="AU1446" s="1212">
        <v>1</v>
      </c>
      <c r="AV1446" s="1212"/>
      <c r="AW1446" s="1212"/>
      <c r="AX1446" s="1212"/>
      <c r="AY1446" s="1212"/>
      <c r="AZ1446" s="1212"/>
      <c r="BA1446" s="1212"/>
      <c r="BB1446" s="1212"/>
      <c r="BC1446" s="1212"/>
      <c r="BD1446" s="1212"/>
      <c r="BE1446" s="1212"/>
      <c r="BF1446" s="2126">
        <v>0</v>
      </c>
      <c r="BG1446" s="2126">
        <v>0</v>
      </c>
      <c r="BH1446" s="2126">
        <v>-3150293.8</v>
      </c>
      <c r="BI1446" s="2126">
        <v>0</v>
      </c>
      <c r="BJ1446" s="2126">
        <v>0</v>
      </c>
      <c r="BK1446" s="2126">
        <v>0</v>
      </c>
      <c r="BL1446" s="2126">
        <v>0</v>
      </c>
      <c r="BM1446" s="2126">
        <v>0</v>
      </c>
      <c r="BN1446" s="2126">
        <v>0</v>
      </c>
      <c r="BO1446" s="2126">
        <v>0</v>
      </c>
      <c r="BP1446" s="2126">
        <v>0</v>
      </c>
      <c r="BQ1446" s="2126">
        <v>0</v>
      </c>
      <c r="BR1446" s="2126">
        <v>0</v>
      </c>
    </row>
    <row r="1447" spans="1:70" s="1765" customFormat="1" ht="33">
      <c r="A1447" s="1272">
        <v>5000</v>
      </c>
      <c r="B1447" s="971" t="s">
        <v>2119</v>
      </c>
      <c r="C1447" s="1272">
        <v>5100</v>
      </c>
      <c r="D1447" s="971" t="s">
        <v>78</v>
      </c>
      <c r="E1447" s="971">
        <v>5140</v>
      </c>
      <c r="F1447" s="971" t="s">
        <v>176</v>
      </c>
      <c r="G1447" s="971">
        <v>5140</v>
      </c>
      <c r="H1447" s="971" t="s">
        <v>176</v>
      </c>
      <c r="I1447" s="1273"/>
      <c r="J1447" s="971" t="s">
        <v>2146</v>
      </c>
      <c r="K1447" s="971" t="s">
        <v>2129</v>
      </c>
      <c r="L1447" s="971" t="s">
        <v>2130</v>
      </c>
      <c r="M1447" s="971" t="s">
        <v>2129</v>
      </c>
      <c r="N1447" s="971" t="s">
        <v>176</v>
      </c>
      <c r="O1447" s="971" t="s">
        <v>2130</v>
      </c>
      <c r="P1447" s="971"/>
      <c r="Q1447" s="971" t="s">
        <v>2381</v>
      </c>
      <c r="R1447" s="1266"/>
      <c r="S1447" s="2106">
        <v>-308</v>
      </c>
      <c r="T1447" s="1266" t="s">
        <v>242</v>
      </c>
      <c r="U1447" s="1742">
        <v>6.666666666666667</v>
      </c>
      <c r="V1447" s="1742">
        <v>20.833333333333336</v>
      </c>
      <c r="W1447" s="1742">
        <v>587.6</v>
      </c>
      <c r="X1447" s="1742">
        <v>229.78333333333333</v>
      </c>
      <c r="Y1447" s="2106">
        <v>838.2166666666667</v>
      </c>
      <c r="Z1447" s="2106">
        <v>-2053.3333333333335</v>
      </c>
      <c r="AA1447" s="2106">
        <v>-6416.666666666667</v>
      </c>
      <c r="AB1447" s="2106">
        <v>-180980.80000000002</v>
      </c>
      <c r="AC1447" s="2106">
        <v>-70773.266666666663</v>
      </c>
      <c r="AD1447" s="1744">
        <v>-258170.73333333334</v>
      </c>
      <c r="AE1447" s="2126">
        <v>4</v>
      </c>
      <c r="AF1447" s="2126">
        <v>-1232</v>
      </c>
      <c r="AG1447" s="1212">
        <v>1</v>
      </c>
      <c r="AH1447" s="1212">
        <v>0</v>
      </c>
      <c r="AI1447" s="1212">
        <v>0</v>
      </c>
      <c r="AJ1447" s="1212">
        <v>1</v>
      </c>
      <c r="AK1447" s="2126">
        <v>-258170.73333333334</v>
      </c>
      <c r="AL1447" s="2126">
        <v>0</v>
      </c>
      <c r="AM1447" s="2126">
        <v>0</v>
      </c>
      <c r="AN1447" s="2126">
        <v>-258170.73333333334</v>
      </c>
      <c r="AO1447" s="1743" t="s">
        <v>85</v>
      </c>
      <c r="AP1447" s="1743" t="s">
        <v>96</v>
      </c>
      <c r="AQ1447" s="1764" t="s">
        <v>115</v>
      </c>
      <c r="AR1447" s="1743" t="s">
        <v>87</v>
      </c>
      <c r="AS1447" s="2135"/>
      <c r="AT1447" s="2135"/>
      <c r="AU1447" s="1212">
        <v>1</v>
      </c>
      <c r="AV1447" s="1212"/>
      <c r="AW1447" s="1212"/>
      <c r="AX1447" s="1212"/>
      <c r="AY1447" s="1212"/>
      <c r="AZ1447" s="1212"/>
      <c r="BA1447" s="1212"/>
      <c r="BB1447" s="1212"/>
      <c r="BC1447" s="1212"/>
      <c r="BD1447" s="1212"/>
      <c r="BE1447" s="1212"/>
      <c r="BF1447" s="2126">
        <v>0</v>
      </c>
      <c r="BG1447" s="2126">
        <v>0</v>
      </c>
      <c r="BH1447" s="2126">
        <v>-258170.73333333334</v>
      </c>
      <c r="BI1447" s="2126">
        <v>0</v>
      </c>
      <c r="BJ1447" s="2126">
        <v>0</v>
      </c>
      <c r="BK1447" s="2126">
        <v>0</v>
      </c>
      <c r="BL1447" s="2126">
        <v>0</v>
      </c>
      <c r="BM1447" s="2126">
        <v>0</v>
      </c>
      <c r="BN1447" s="2126">
        <v>0</v>
      </c>
      <c r="BO1447" s="2126">
        <v>0</v>
      </c>
      <c r="BP1447" s="2126">
        <v>0</v>
      </c>
      <c r="BQ1447" s="2126">
        <v>0</v>
      </c>
      <c r="BR1447" s="2126">
        <v>0</v>
      </c>
    </row>
    <row r="1448" spans="1:70" s="1765" customFormat="1" ht="33">
      <c r="A1448" s="1272">
        <v>5000</v>
      </c>
      <c r="B1448" s="971" t="s">
        <v>2119</v>
      </c>
      <c r="C1448" s="1272">
        <v>5100</v>
      </c>
      <c r="D1448" s="971" t="s">
        <v>78</v>
      </c>
      <c r="E1448" s="971">
        <v>5140</v>
      </c>
      <c r="F1448" s="971" t="s">
        <v>176</v>
      </c>
      <c r="G1448" s="971">
        <v>5140</v>
      </c>
      <c r="H1448" s="971" t="s">
        <v>176</v>
      </c>
      <c r="I1448" s="1273"/>
      <c r="J1448" s="971" t="s">
        <v>2146</v>
      </c>
      <c r="K1448" s="971" t="s">
        <v>2127</v>
      </c>
      <c r="L1448" s="971" t="s">
        <v>2177</v>
      </c>
      <c r="M1448" s="971" t="s">
        <v>2127</v>
      </c>
      <c r="N1448" s="971" t="s">
        <v>176</v>
      </c>
      <c r="O1448" s="971" t="s">
        <v>2177</v>
      </c>
      <c r="P1448" s="971"/>
      <c r="Q1448" s="971" t="s">
        <v>2382</v>
      </c>
      <c r="R1448" s="1266"/>
      <c r="S1448" s="2106">
        <v>-344</v>
      </c>
      <c r="T1448" s="1266" t="s">
        <v>242</v>
      </c>
      <c r="U1448" s="1742">
        <v>10</v>
      </c>
      <c r="V1448" s="1742">
        <v>37.5</v>
      </c>
      <c r="W1448" s="1742">
        <v>881.4</v>
      </c>
      <c r="X1448" s="1742">
        <v>413.61</v>
      </c>
      <c r="Y1448" s="2106">
        <v>1332.51</v>
      </c>
      <c r="Z1448" s="2106">
        <v>-3440</v>
      </c>
      <c r="AA1448" s="2106">
        <v>-12900</v>
      </c>
      <c r="AB1448" s="2106">
        <v>-303201.59999999998</v>
      </c>
      <c r="AC1448" s="2106">
        <v>-142281.84</v>
      </c>
      <c r="AD1448" s="1744">
        <v>-458383.43999999994</v>
      </c>
      <c r="AE1448" s="2126">
        <v>24</v>
      </c>
      <c r="AF1448" s="2126">
        <v>-8256</v>
      </c>
      <c r="AG1448" s="1212">
        <v>1</v>
      </c>
      <c r="AH1448" s="1212">
        <v>0</v>
      </c>
      <c r="AI1448" s="1212">
        <v>0</v>
      </c>
      <c r="AJ1448" s="1212">
        <v>1</v>
      </c>
      <c r="AK1448" s="2126">
        <v>-458383.43999999994</v>
      </c>
      <c r="AL1448" s="2126">
        <v>0</v>
      </c>
      <c r="AM1448" s="2126">
        <v>0</v>
      </c>
      <c r="AN1448" s="2126">
        <v>-458383.43999999994</v>
      </c>
      <c r="AO1448" s="1743" t="s">
        <v>85</v>
      </c>
      <c r="AP1448" s="1743" t="s">
        <v>96</v>
      </c>
      <c r="AQ1448" s="1764" t="s">
        <v>115</v>
      </c>
      <c r="AR1448" s="1743" t="s">
        <v>87</v>
      </c>
      <c r="AS1448" s="2135"/>
      <c r="AT1448" s="2135"/>
      <c r="AU1448" s="1212">
        <v>1</v>
      </c>
      <c r="AV1448" s="1212"/>
      <c r="AW1448" s="1212"/>
      <c r="AX1448" s="1212"/>
      <c r="AY1448" s="1212"/>
      <c r="AZ1448" s="1212"/>
      <c r="BA1448" s="1212"/>
      <c r="BB1448" s="1212"/>
      <c r="BC1448" s="1212"/>
      <c r="BD1448" s="1212"/>
      <c r="BE1448" s="1212"/>
      <c r="BF1448" s="2126">
        <v>0</v>
      </c>
      <c r="BG1448" s="2126">
        <v>0</v>
      </c>
      <c r="BH1448" s="2126">
        <v>-458383.43999999994</v>
      </c>
      <c r="BI1448" s="2126">
        <v>0</v>
      </c>
      <c r="BJ1448" s="2126">
        <v>0</v>
      </c>
      <c r="BK1448" s="2126">
        <v>0</v>
      </c>
      <c r="BL1448" s="2126">
        <v>0</v>
      </c>
      <c r="BM1448" s="2126">
        <v>0</v>
      </c>
      <c r="BN1448" s="2126">
        <v>0</v>
      </c>
      <c r="BO1448" s="2126">
        <v>0</v>
      </c>
      <c r="BP1448" s="2126">
        <v>0</v>
      </c>
      <c r="BQ1448" s="2126">
        <v>0</v>
      </c>
      <c r="BR1448" s="2126">
        <v>0</v>
      </c>
    </row>
    <row r="1449" spans="1:70" s="1765" customFormat="1" ht="33">
      <c r="A1449" s="1272">
        <v>5000</v>
      </c>
      <c r="B1449" s="971" t="s">
        <v>2119</v>
      </c>
      <c r="C1449" s="1272">
        <v>5100</v>
      </c>
      <c r="D1449" s="971" t="s">
        <v>78</v>
      </c>
      <c r="E1449" s="971">
        <v>5140</v>
      </c>
      <c r="F1449" s="971" t="s">
        <v>176</v>
      </c>
      <c r="G1449" s="971">
        <v>5140</v>
      </c>
      <c r="H1449" s="971" t="s">
        <v>176</v>
      </c>
      <c r="I1449" s="1273"/>
      <c r="J1449" s="971" t="s">
        <v>2146</v>
      </c>
      <c r="K1449" s="971" t="s">
        <v>2125</v>
      </c>
      <c r="L1449" s="971" t="s">
        <v>2126</v>
      </c>
      <c r="M1449" s="971" t="s">
        <v>2125</v>
      </c>
      <c r="N1449" s="971" t="s">
        <v>176</v>
      </c>
      <c r="O1449" s="971" t="s">
        <v>2126</v>
      </c>
      <c r="P1449" s="971"/>
      <c r="Q1449" s="971" t="s">
        <v>2383</v>
      </c>
      <c r="R1449" s="1266"/>
      <c r="S1449" s="2106">
        <v>-308</v>
      </c>
      <c r="T1449" s="1266" t="s">
        <v>242</v>
      </c>
      <c r="U1449" s="1742">
        <v>13</v>
      </c>
      <c r="V1449" s="1742">
        <v>100</v>
      </c>
      <c r="W1449" s="1742">
        <v>1145.82</v>
      </c>
      <c r="X1449" s="1742">
        <v>1102.96</v>
      </c>
      <c r="Y1449" s="2106">
        <v>2348.7799999999997</v>
      </c>
      <c r="Z1449" s="2106">
        <v>-4004</v>
      </c>
      <c r="AA1449" s="2106">
        <v>-30800</v>
      </c>
      <c r="AB1449" s="2106">
        <v>-352912.56</v>
      </c>
      <c r="AC1449" s="2106">
        <v>-339711.68</v>
      </c>
      <c r="AD1449" s="1744">
        <v>-723424.24</v>
      </c>
      <c r="AE1449" s="2126">
        <v>96</v>
      </c>
      <c r="AF1449" s="2126">
        <v>-29568</v>
      </c>
      <c r="AG1449" s="1212">
        <v>1</v>
      </c>
      <c r="AH1449" s="1212">
        <v>0</v>
      </c>
      <c r="AI1449" s="1212">
        <v>0</v>
      </c>
      <c r="AJ1449" s="1212">
        <v>1</v>
      </c>
      <c r="AK1449" s="2126">
        <v>-723424.24</v>
      </c>
      <c r="AL1449" s="2126">
        <v>0</v>
      </c>
      <c r="AM1449" s="2126">
        <v>0</v>
      </c>
      <c r="AN1449" s="2126">
        <v>-723424.24</v>
      </c>
      <c r="AO1449" s="1743" t="s">
        <v>85</v>
      </c>
      <c r="AP1449" s="1743" t="s">
        <v>96</v>
      </c>
      <c r="AQ1449" s="1764" t="s">
        <v>115</v>
      </c>
      <c r="AR1449" s="1743" t="s">
        <v>87</v>
      </c>
      <c r="AS1449" s="2135"/>
      <c r="AT1449" s="2135"/>
      <c r="AU1449" s="1212">
        <v>1</v>
      </c>
      <c r="AV1449" s="1212"/>
      <c r="AW1449" s="1212"/>
      <c r="AX1449" s="1212"/>
      <c r="AY1449" s="1212"/>
      <c r="AZ1449" s="1212"/>
      <c r="BA1449" s="1212"/>
      <c r="BB1449" s="1212"/>
      <c r="BC1449" s="1212"/>
      <c r="BD1449" s="1212"/>
      <c r="BE1449" s="1212"/>
      <c r="BF1449" s="2126">
        <v>0</v>
      </c>
      <c r="BG1449" s="2126">
        <v>0</v>
      </c>
      <c r="BH1449" s="2126">
        <v>-723424.24</v>
      </c>
      <c r="BI1449" s="2126">
        <v>0</v>
      </c>
      <c r="BJ1449" s="2126">
        <v>0</v>
      </c>
      <c r="BK1449" s="2126">
        <v>0</v>
      </c>
      <c r="BL1449" s="2126">
        <v>0</v>
      </c>
      <c r="BM1449" s="2126">
        <v>0</v>
      </c>
      <c r="BN1449" s="2126">
        <v>0</v>
      </c>
      <c r="BO1449" s="2126">
        <v>0</v>
      </c>
      <c r="BP1449" s="2126">
        <v>0</v>
      </c>
      <c r="BQ1449" s="2126">
        <v>0</v>
      </c>
      <c r="BR1449" s="2126">
        <v>0</v>
      </c>
    </row>
    <row r="1450" spans="1:70" s="1765" customFormat="1" ht="33">
      <c r="A1450" s="1272">
        <v>5000</v>
      </c>
      <c r="B1450" s="971" t="s">
        <v>2119</v>
      </c>
      <c r="C1450" s="1272">
        <v>5100</v>
      </c>
      <c r="D1450" s="971" t="s">
        <v>78</v>
      </c>
      <c r="E1450" s="971">
        <v>5140</v>
      </c>
      <c r="F1450" s="971" t="s">
        <v>176</v>
      </c>
      <c r="G1450" s="971">
        <v>5140</v>
      </c>
      <c r="H1450" s="971" t="s">
        <v>176</v>
      </c>
      <c r="I1450" s="1273"/>
      <c r="J1450" s="971" t="s">
        <v>2146</v>
      </c>
      <c r="K1450" s="971" t="s">
        <v>1768</v>
      </c>
      <c r="L1450" s="971" t="s">
        <v>1769</v>
      </c>
      <c r="M1450" s="971" t="s">
        <v>1768</v>
      </c>
      <c r="N1450" s="971" t="s">
        <v>179</v>
      </c>
      <c r="O1450" s="971" t="s">
        <v>1769</v>
      </c>
      <c r="P1450" s="971"/>
      <c r="Q1450" s="971" t="s">
        <v>2384</v>
      </c>
      <c r="R1450" s="1266"/>
      <c r="S1450" s="2106">
        <v>238</v>
      </c>
      <c r="T1450" s="1266" t="s">
        <v>242</v>
      </c>
      <c r="U1450" s="1742">
        <v>8.1</v>
      </c>
      <c r="V1450" s="1742">
        <v>88.75</v>
      </c>
      <c r="W1450" s="1742">
        <v>713.93399999999997</v>
      </c>
      <c r="X1450" s="1742">
        <v>978.87700000000007</v>
      </c>
      <c r="Y1450" s="2106">
        <v>1781.5610000000001</v>
      </c>
      <c r="Z1450" s="2106">
        <v>1927.8</v>
      </c>
      <c r="AA1450" s="2106">
        <v>21122.5</v>
      </c>
      <c r="AB1450" s="2106">
        <v>169916.29199999999</v>
      </c>
      <c r="AC1450" s="2106">
        <v>232972.72600000002</v>
      </c>
      <c r="AD1450" s="1744">
        <v>424011.51800000004</v>
      </c>
      <c r="AE1450" s="2126">
        <v>0.5</v>
      </c>
      <c r="AF1450" s="2126">
        <v>119</v>
      </c>
      <c r="AG1450" s="1212">
        <v>1</v>
      </c>
      <c r="AH1450" s="1212">
        <v>0</v>
      </c>
      <c r="AI1450" s="1212">
        <v>0</v>
      </c>
      <c r="AJ1450" s="1212">
        <v>1</v>
      </c>
      <c r="AK1450" s="2126">
        <v>424011.51800000004</v>
      </c>
      <c r="AL1450" s="2126">
        <v>0</v>
      </c>
      <c r="AM1450" s="2126">
        <v>0</v>
      </c>
      <c r="AN1450" s="2126">
        <v>424011.51800000004</v>
      </c>
      <c r="AO1450" s="1743" t="s">
        <v>85</v>
      </c>
      <c r="AP1450" s="1743" t="s">
        <v>90</v>
      </c>
      <c r="AQ1450" s="1764" t="s">
        <v>115</v>
      </c>
      <c r="AR1450" s="1743" t="s">
        <v>87</v>
      </c>
      <c r="AS1450" s="2135"/>
      <c r="AT1450" s="2135"/>
      <c r="AU1450" s="1212">
        <v>1</v>
      </c>
      <c r="AV1450" s="1212"/>
      <c r="AW1450" s="1212"/>
      <c r="AX1450" s="1212"/>
      <c r="AY1450" s="1212"/>
      <c r="AZ1450" s="1212"/>
      <c r="BA1450" s="1212"/>
      <c r="BB1450" s="1212"/>
      <c r="BC1450" s="1212"/>
      <c r="BD1450" s="1212"/>
      <c r="BE1450" s="1212"/>
      <c r="BF1450" s="2126">
        <v>0</v>
      </c>
      <c r="BG1450" s="2126">
        <v>0</v>
      </c>
      <c r="BH1450" s="2126">
        <v>424011.51800000004</v>
      </c>
      <c r="BI1450" s="2126">
        <v>0</v>
      </c>
      <c r="BJ1450" s="2126">
        <v>0</v>
      </c>
      <c r="BK1450" s="2126">
        <v>0</v>
      </c>
      <c r="BL1450" s="2126">
        <v>0</v>
      </c>
      <c r="BM1450" s="2126">
        <v>0</v>
      </c>
      <c r="BN1450" s="2126">
        <v>0</v>
      </c>
      <c r="BO1450" s="2126">
        <v>0</v>
      </c>
      <c r="BP1450" s="2126">
        <v>0</v>
      </c>
      <c r="BQ1450" s="2126">
        <v>0</v>
      </c>
      <c r="BR1450" s="2126">
        <v>0</v>
      </c>
    </row>
    <row r="1451" spans="1:70" s="1765" customFormat="1" ht="33">
      <c r="A1451" s="1272">
        <v>5000</v>
      </c>
      <c r="B1451" s="971" t="s">
        <v>2119</v>
      </c>
      <c r="C1451" s="1272">
        <v>5100</v>
      </c>
      <c r="D1451" s="971" t="s">
        <v>78</v>
      </c>
      <c r="E1451" s="971">
        <v>5140</v>
      </c>
      <c r="F1451" s="971" t="s">
        <v>176</v>
      </c>
      <c r="G1451" s="971">
        <v>5140</v>
      </c>
      <c r="H1451" s="971" t="s">
        <v>176</v>
      </c>
      <c r="I1451" s="1273"/>
      <c r="J1451" s="971" t="s">
        <v>686</v>
      </c>
      <c r="K1451" s="971" t="s">
        <v>2123</v>
      </c>
      <c r="L1451" s="971" t="s">
        <v>2124</v>
      </c>
      <c r="M1451" s="971" t="s">
        <v>2123</v>
      </c>
      <c r="N1451" s="971" t="s">
        <v>179</v>
      </c>
      <c r="O1451" s="971" t="s">
        <v>2124</v>
      </c>
      <c r="P1451" s="971"/>
      <c r="Q1451" s="971" t="s">
        <v>2385</v>
      </c>
      <c r="R1451" s="1266"/>
      <c r="S1451" s="2106">
        <v>552</v>
      </c>
      <c r="T1451" s="1266" t="s">
        <v>242</v>
      </c>
      <c r="U1451" s="1742">
        <v>19.2</v>
      </c>
      <c r="V1451" s="1742">
        <v>177.5</v>
      </c>
      <c r="W1451" s="1742">
        <v>1692.2879999999998</v>
      </c>
      <c r="X1451" s="1742">
        <v>1957.7540000000001</v>
      </c>
      <c r="Y1451" s="2106">
        <v>3827.5419999999995</v>
      </c>
      <c r="Z1451" s="2106">
        <v>10598.4</v>
      </c>
      <c r="AA1451" s="2106">
        <v>97980</v>
      </c>
      <c r="AB1451" s="2106">
        <v>934142.97599999991</v>
      </c>
      <c r="AC1451" s="2106">
        <v>1080680.2080000001</v>
      </c>
      <c r="AD1451" s="1744">
        <v>2112803.1839999999</v>
      </c>
      <c r="AE1451" s="2126">
        <v>1</v>
      </c>
      <c r="AF1451" s="2126">
        <v>552</v>
      </c>
      <c r="AG1451" s="1212">
        <v>1</v>
      </c>
      <c r="AH1451" s="1212">
        <v>0</v>
      </c>
      <c r="AI1451" s="1212">
        <v>0</v>
      </c>
      <c r="AJ1451" s="1212">
        <v>1</v>
      </c>
      <c r="AK1451" s="2126">
        <v>2112803.1839999999</v>
      </c>
      <c r="AL1451" s="2126">
        <v>0</v>
      </c>
      <c r="AM1451" s="2126">
        <v>0</v>
      </c>
      <c r="AN1451" s="2126">
        <v>2112803.1839999999</v>
      </c>
      <c r="AO1451" s="1743" t="s">
        <v>85</v>
      </c>
      <c r="AP1451" s="1743" t="s">
        <v>90</v>
      </c>
      <c r="AQ1451" s="1764" t="s">
        <v>115</v>
      </c>
      <c r="AR1451" s="1743" t="s">
        <v>87</v>
      </c>
      <c r="AS1451" s="2135"/>
      <c r="AT1451" s="2135"/>
      <c r="AU1451" s="1212">
        <v>1</v>
      </c>
      <c r="AV1451" s="1212"/>
      <c r="AW1451" s="1212"/>
      <c r="AX1451" s="1212"/>
      <c r="AY1451" s="1212"/>
      <c r="AZ1451" s="1212"/>
      <c r="BA1451" s="1212"/>
      <c r="BB1451" s="1212"/>
      <c r="BC1451" s="1212"/>
      <c r="BD1451" s="1212"/>
      <c r="BE1451" s="1212"/>
      <c r="BF1451" s="2126">
        <v>0</v>
      </c>
      <c r="BG1451" s="2126">
        <v>0</v>
      </c>
      <c r="BH1451" s="2126">
        <v>2112803.1839999999</v>
      </c>
      <c r="BI1451" s="2126">
        <v>0</v>
      </c>
      <c r="BJ1451" s="2126">
        <v>0</v>
      </c>
      <c r="BK1451" s="2126">
        <v>0</v>
      </c>
      <c r="BL1451" s="2126">
        <v>0</v>
      </c>
      <c r="BM1451" s="2126">
        <v>0</v>
      </c>
      <c r="BN1451" s="2126">
        <v>0</v>
      </c>
      <c r="BO1451" s="2126">
        <v>0</v>
      </c>
      <c r="BP1451" s="2126">
        <v>0</v>
      </c>
      <c r="BQ1451" s="2126">
        <v>0</v>
      </c>
      <c r="BR1451" s="2126">
        <v>0</v>
      </c>
    </row>
    <row r="1452" spans="1:70" s="1765" customFormat="1" ht="33">
      <c r="A1452" s="1272">
        <v>5000</v>
      </c>
      <c r="B1452" s="971" t="s">
        <v>2119</v>
      </c>
      <c r="C1452" s="1272">
        <v>5100</v>
      </c>
      <c r="D1452" s="971" t="s">
        <v>78</v>
      </c>
      <c r="E1452" s="971">
        <v>5140</v>
      </c>
      <c r="F1452" s="971" t="s">
        <v>176</v>
      </c>
      <c r="G1452" s="971">
        <v>5140</v>
      </c>
      <c r="H1452" s="971" t="s">
        <v>176</v>
      </c>
      <c r="I1452" s="1273"/>
      <c r="J1452" s="971" t="s">
        <v>2212</v>
      </c>
      <c r="K1452" s="971" t="s">
        <v>2120</v>
      </c>
      <c r="L1452" s="971" t="s">
        <v>2121</v>
      </c>
      <c r="M1452" s="971" t="s">
        <v>2120</v>
      </c>
      <c r="N1452" s="971" t="s">
        <v>179</v>
      </c>
      <c r="O1452" s="971" t="s">
        <v>2121</v>
      </c>
      <c r="P1452" s="971"/>
      <c r="Q1452" s="971" t="s">
        <v>2386</v>
      </c>
      <c r="R1452" s="1266"/>
      <c r="S1452" s="2106">
        <v>97</v>
      </c>
      <c r="T1452" s="1266" t="s">
        <v>242</v>
      </c>
      <c r="U1452" s="1742">
        <v>168</v>
      </c>
      <c r="V1452" s="1742">
        <v>1850</v>
      </c>
      <c r="W1452" s="1742">
        <v>14807.519999999999</v>
      </c>
      <c r="X1452" s="1742">
        <v>20404.760000000002</v>
      </c>
      <c r="Y1452" s="2106">
        <v>37062.28</v>
      </c>
      <c r="Z1452" s="2106">
        <v>16296</v>
      </c>
      <c r="AA1452" s="2106">
        <v>179450</v>
      </c>
      <c r="AB1452" s="2106">
        <v>1436329.44</v>
      </c>
      <c r="AC1452" s="2106">
        <v>1979261.7200000002</v>
      </c>
      <c r="AD1452" s="1744">
        <v>3595041.16</v>
      </c>
      <c r="AE1452" s="2126">
        <v>56</v>
      </c>
      <c r="AF1452" s="2126">
        <v>5432</v>
      </c>
      <c r="AG1452" s="1212">
        <v>1</v>
      </c>
      <c r="AH1452" s="1212">
        <v>0</v>
      </c>
      <c r="AI1452" s="1212">
        <v>0</v>
      </c>
      <c r="AJ1452" s="1212">
        <v>1</v>
      </c>
      <c r="AK1452" s="2126">
        <v>3595041.16</v>
      </c>
      <c r="AL1452" s="2126">
        <v>0</v>
      </c>
      <c r="AM1452" s="2126">
        <v>0</v>
      </c>
      <c r="AN1452" s="2126">
        <v>3595041.16</v>
      </c>
      <c r="AO1452" s="1743" t="s">
        <v>85</v>
      </c>
      <c r="AP1452" s="1743" t="s">
        <v>90</v>
      </c>
      <c r="AQ1452" s="1764" t="s">
        <v>115</v>
      </c>
      <c r="AR1452" s="1743" t="s">
        <v>87</v>
      </c>
      <c r="AS1452" s="2135"/>
      <c r="AT1452" s="2135"/>
      <c r="AU1452" s="1212">
        <v>1</v>
      </c>
      <c r="AV1452" s="1212"/>
      <c r="AW1452" s="1212"/>
      <c r="AX1452" s="1212"/>
      <c r="AY1452" s="1212"/>
      <c r="AZ1452" s="1212"/>
      <c r="BA1452" s="1212"/>
      <c r="BB1452" s="1212"/>
      <c r="BC1452" s="1212"/>
      <c r="BD1452" s="1212"/>
      <c r="BE1452" s="1212"/>
      <c r="BF1452" s="2126">
        <v>0</v>
      </c>
      <c r="BG1452" s="2126">
        <v>0</v>
      </c>
      <c r="BH1452" s="2126">
        <v>3595041.16</v>
      </c>
      <c r="BI1452" s="2126">
        <v>0</v>
      </c>
      <c r="BJ1452" s="2126">
        <v>0</v>
      </c>
      <c r="BK1452" s="2126">
        <v>0</v>
      </c>
      <c r="BL1452" s="2126">
        <v>0</v>
      </c>
      <c r="BM1452" s="2126">
        <v>0</v>
      </c>
      <c r="BN1452" s="2126">
        <v>0</v>
      </c>
      <c r="BO1452" s="2126">
        <v>0</v>
      </c>
      <c r="BP1452" s="2126">
        <v>0</v>
      </c>
      <c r="BQ1452" s="2126">
        <v>0</v>
      </c>
      <c r="BR1452" s="2126">
        <v>0</v>
      </c>
    </row>
    <row r="1453" spans="1:70" s="1765" customFormat="1" ht="33">
      <c r="A1453" s="1272">
        <v>5000</v>
      </c>
      <c r="B1453" s="971" t="s">
        <v>2119</v>
      </c>
      <c r="C1453" s="1272">
        <v>5100</v>
      </c>
      <c r="D1453" s="971" t="s">
        <v>78</v>
      </c>
      <c r="E1453" s="971">
        <v>5140</v>
      </c>
      <c r="F1453" s="971" t="s">
        <v>176</v>
      </c>
      <c r="G1453" s="971">
        <v>5140</v>
      </c>
      <c r="H1453" s="971" t="s">
        <v>176</v>
      </c>
      <c r="I1453" s="1273"/>
      <c r="J1453" s="971" t="s">
        <v>2146</v>
      </c>
      <c r="K1453" s="971" t="s">
        <v>2129</v>
      </c>
      <c r="L1453" s="971" t="s">
        <v>2130</v>
      </c>
      <c r="M1453" s="971" t="s">
        <v>2129</v>
      </c>
      <c r="N1453" s="971" t="s">
        <v>176</v>
      </c>
      <c r="O1453" s="971" t="s">
        <v>2130</v>
      </c>
      <c r="P1453" s="971"/>
      <c r="Q1453" s="971" t="s">
        <v>2387</v>
      </c>
      <c r="R1453" s="1266"/>
      <c r="S1453" s="2106">
        <v>291</v>
      </c>
      <c r="T1453" s="1266" t="s">
        <v>242</v>
      </c>
      <c r="U1453" s="1742">
        <v>6.666666666666667</v>
      </c>
      <c r="V1453" s="1742">
        <v>20.833333333333336</v>
      </c>
      <c r="W1453" s="1742">
        <v>587.6</v>
      </c>
      <c r="X1453" s="1742">
        <v>229.78333333333333</v>
      </c>
      <c r="Y1453" s="2106">
        <v>838.2166666666667</v>
      </c>
      <c r="Z1453" s="2106">
        <v>1940</v>
      </c>
      <c r="AA1453" s="2106">
        <v>6062.5000000000009</v>
      </c>
      <c r="AB1453" s="2106">
        <v>170991.6</v>
      </c>
      <c r="AC1453" s="2106">
        <v>66866.95</v>
      </c>
      <c r="AD1453" s="1744">
        <v>243921.05</v>
      </c>
      <c r="AE1453" s="2126">
        <v>4</v>
      </c>
      <c r="AF1453" s="2126">
        <v>1164</v>
      </c>
      <c r="AG1453" s="1212">
        <v>1</v>
      </c>
      <c r="AH1453" s="1212">
        <v>0</v>
      </c>
      <c r="AI1453" s="1212">
        <v>0</v>
      </c>
      <c r="AJ1453" s="1212">
        <v>1</v>
      </c>
      <c r="AK1453" s="2126">
        <v>243921.05</v>
      </c>
      <c r="AL1453" s="2126">
        <v>0</v>
      </c>
      <c r="AM1453" s="2126">
        <v>0</v>
      </c>
      <c r="AN1453" s="2126">
        <v>243921.05</v>
      </c>
      <c r="AO1453" s="1743" t="s">
        <v>85</v>
      </c>
      <c r="AP1453" s="1743" t="s">
        <v>90</v>
      </c>
      <c r="AQ1453" s="1764" t="s">
        <v>115</v>
      </c>
      <c r="AR1453" s="1743" t="s">
        <v>87</v>
      </c>
      <c r="AS1453" s="2135"/>
      <c r="AT1453" s="2135"/>
      <c r="AU1453" s="1212">
        <v>1</v>
      </c>
      <c r="AV1453" s="1212"/>
      <c r="AW1453" s="1212"/>
      <c r="AX1453" s="1212"/>
      <c r="AY1453" s="1212"/>
      <c r="AZ1453" s="1212"/>
      <c r="BA1453" s="1212"/>
      <c r="BB1453" s="1212"/>
      <c r="BC1453" s="1212"/>
      <c r="BD1453" s="1212"/>
      <c r="BE1453" s="1212"/>
      <c r="BF1453" s="2126">
        <v>0</v>
      </c>
      <c r="BG1453" s="2126">
        <v>0</v>
      </c>
      <c r="BH1453" s="2126">
        <v>243921.05</v>
      </c>
      <c r="BI1453" s="2126">
        <v>0</v>
      </c>
      <c r="BJ1453" s="2126">
        <v>0</v>
      </c>
      <c r="BK1453" s="2126">
        <v>0</v>
      </c>
      <c r="BL1453" s="2126">
        <v>0</v>
      </c>
      <c r="BM1453" s="2126">
        <v>0</v>
      </c>
      <c r="BN1453" s="2126">
        <v>0</v>
      </c>
      <c r="BO1453" s="2126">
        <v>0</v>
      </c>
      <c r="BP1453" s="2126">
        <v>0</v>
      </c>
      <c r="BQ1453" s="2126">
        <v>0</v>
      </c>
      <c r="BR1453" s="2126">
        <v>0</v>
      </c>
    </row>
    <row r="1454" spans="1:70" s="1765" customFormat="1" ht="33">
      <c r="A1454" s="1272">
        <v>5000</v>
      </c>
      <c r="B1454" s="971" t="s">
        <v>2119</v>
      </c>
      <c r="C1454" s="1272">
        <v>5100</v>
      </c>
      <c r="D1454" s="971" t="s">
        <v>78</v>
      </c>
      <c r="E1454" s="971">
        <v>5140</v>
      </c>
      <c r="F1454" s="971" t="s">
        <v>176</v>
      </c>
      <c r="G1454" s="971">
        <v>5140</v>
      </c>
      <c r="H1454" s="971" t="s">
        <v>176</v>
      </c>
      <c r="I1454" s="1273"/>
      <c r="J1454" s="971" t="s">
        <v>2146</v>
      </c>
      <c r="K1454" s="971" t="s">
        <v>2127</v>
      </c>
      <c r="L1454" s="971" t="s">
        <v>2177</v>
      </c>
      <c r="M1454" s="971" t="s">
        <v>2127</v>
      </c>
      <c r="N1454" s="971" t="s">
        <v>176</v>
      </c>
      <c r="O1454" s="971" t="s">
        <v>2177</v>
      </c>
      <c r="P1454" s="971"/>
      <c r="Q1454" s="971" t="s">
        <v>2388</v>
      </c>
      <c r="R1454" s="1266"/>
      <c r="S1454" s="2106">
        <v>329</v>
      </c>
      <c r="T1454" s="1266" t="s">
        <v>242</v>
      </c>
      <c r="U1454" s="1742">
        <v>10</v>
      </c>
      <c r="V1454" s="1742">
        <v>37.5</v>
      </c>
      <c r="W1454" s="1742">
        <v>881.4</v>
      </c>
      <c r="X1454" s="1742">
        <v>413.61</v>
      </c>
      <c r="Y1454" s="2106">
        <v>1332.51</v>
      </c>
      <c r="Z1454" s="2106">
        <v>3290</v>
      </c>
      <c r="AA1454" s="2106">
        <v>12337.5</v>
      </c>
      <c r="AB1454" s="2106">
        <v>289980.59999999998</v>
      </c>
      <c r="AC1454" s="2106">
        <v>136077.69</v>
      </c>
      <c r="AD1454" s="1744">
        <v>438395.79</v>
      </c>
      <c r="AE1454" s="2126">
        <v>24</v>
      </c>
      <c r="AF1454" s="2126">
        <v>7896</v>
      </c>
      <c r="AG1454" s="1212">
        <v>1</v>
      </c>
      <c r="AH1454" s="1212">
        <v>0</v>
      </c>
      <c r="AI1454" s="1212">
        <v>0</v>
      </c>
      <c r="AJ1454" s="1212">
        <v>1</v>
      </c>
      <c r="AK1454" s="2126">
        <v>438395.79</v>
      </c>
      <c r="AL1454" s="2126">
        <v>0</v>
      </c>
      <c r="AM1454" s="2126">
        <v>0</v>
      </c>
      <c r="AN1454" s="2126">
        <v>438395.79</v>
      </c>
      <c r="AO1454" s="1743" t="s">
        <v>85</v>
      </c>
      <c r="AP1454" s="1743" t="s">
        <v>90</v>
      </c>
      <c r="AQ1454" s="1764" t="s">
        <v>115</v>
      </c>
      <c r="AR1454" s="1743" t="s">
        <v>87</v>
      </c>
      <c r="AS1454" s="2135"/>
      <c r="AT1454" s="2135"/>
      <c r="AU1454" s="1212">
        <v>1</v>
      </c>
      <c r="AV1454" s="1212"/>
      <c r="AW1454" s="1212"/>
      <c r="AX1454" s="1212"/>
      <c r="AY1454" s="1212"/>
      <c r="AZ1454" s="1212"/>
      <c r="BA1454" s="1212"/>
      <c r="BB1454" s="1212"/>
      <c r="BC1454" s="1212"/>
      <c r="BD1454" s="1212"/>
      <c r="BE1454" s="1212"/>
      <c r="BF1454" s="2126">
        <v>0</v>
      </c>
      <c r="BG1454" s="2126">
        <v>0</v>
      </c>
      <c r="BH1454" s="2126">
        <v>438395.79</v>
      </c>
      <c r="BI1454" s="2126">
        <v>0</v>
      </c>
      <c r="BJ1454" s="2126">
        <v>0</v>
      </c>
      <c r="BK1454" s="2126">
        <v>0</v>
      </c>
      <c r="BL1454" s="2126">
        <v>0</v>
      </c>
      <c r="BM1454" s="2126">
        <v>0</v>
      </c>
      <c r="BN1454" s="2126">
        <v>0</v>
      </c>
      <c r="BO1454" s="2126">
        <v>0</v>
      </c>
      <c r="BP1454" s="2126">
        <v>0</v>
      </c>
      <c r="BQ1454" s="2126">
        <v>0</v>
      </c>
      <c r="BR1454" s="2126">
        <v>0</v>
      </c>
    </row>
    <row r="1455" spans="1:70" s="1765" customFormat="1" ht="33">
      <c r="A1455" s="1272">
        <v>5000</v>
      </c>
      <c r="B1455" s="971" t="s">
        <v>2119</v>
      </c>
      <c r="C1455" s="1272">
        <v>5100</v>
      </c>
      <c r="D1455" s="971" t="s">
        <v>78</v>
      </c>
      <c r="E1455" s="971">
        <v>5140</v>
      </c>
      <c r="F1455" s="971" t="s">
        <v>176</v>
      </c>
      <c r="G1455" s="971">
        <v>5140</v>
      </c>
      <c r="H1455" s="971" t="s">
        <v>176</v>
      </c>
      <c r="I1455" s="1273"/>
      <c r="J1455" s="971" t="s">
        <v>2146</v>
      </c>
      <c r="K1455" s="971" t="s">
        <v>2125</v>
      </c>
      <c r="L1455" s="971" t="s">
        <v>2126</v>
      </c>
      <c r="M1455" s="971" t="s">
        <v>2125</v>
      </c>
      <c r="N1455" s="971" t="s">
        <v>176</v>
      </c>
      <c r="O1455" s="971" t="s">
        <v>2126</v>
      </c>
      <c r="P1455" s="971"/>
      <c r="Q1455" s="971" t="s">
        <v>2389</v>
      </c>
      <c r="R1455" s="1266"/>
      <c r="S1455" s="2106">
        <v>237</v>
      </c>
      <c r="T1455" s="1266" t="s">
        <v>242</v>
      </c>
      <c r="U1455" s="1742">
        <v>13</v>
      </c>
      <c r="V1455" s="1742">
        <v>100</v>
      </c>
      <c r="W1455" s="1742">
        <v>1145.82</v>
      </c>
      <c r="X1455" s="1742">
        <v>1102.96</v>
      </c>
      <c r="Y1455" s="2106">
        <v>2348.7799999999997</v>
      </c>
      <c r="Z1455" s="2106">
        <v>3081</v>
      </c>
      <c r="AA1455" s="2106">
        <v>23700</v>
      </c>
      <c r="AB1455" s="2106">
        <v>271559.33999999997</v>
      </c>
      <c r="AC1455" s="2106">
        <v>261401.52000000002</v>
      </c>
      <c r="AD1455" s="1744">
        <v>556660.86</v>
      </c>
      <c r="AE1455" s="2126">
        <v>96</v>
      </c>
      <c r="AF1455" s="2126">
        <v>22752</v>
      </c>
      <c r="AG1455" s="1212">
        <v>1</v>
      </c>
      <c r="AH1455" s="1212">
        <v>0</v>
      </c>
      <c r="AI1455" s="1212">
        <v>0</v>
      </c>
      <c r="AJ1455" s="1212">
        <v>1</v>
      </c>
      <c r="AK1455" s="2126">
        <v>556660.86</v>
      </c>
      <c r="AL1455" s="2126">
        <v>0</v>
      </c>
      <c r="AM1455" s="2126">
        <v>0</v>
      </c>
      <c r="AN1455" s="2126">
        <v>556660.86</v>
      </c>
      <c r="AO1455" s="1743" t="s">
        <v>85</v>
      </c>
      <c r="AP1455" s="1743" t="s">
        <v>90</v>
      </c>
      <c r="AQ1455" s="1764" t="s">
        <v>115</v>
      </c>
      <c r="AR1455" s="1743" t="s">
        <v>87</v>
      </c>
      <c r="AS1455" s="2135"/>
      <c r="AT1455" s="2135"/>
      <c r="AU1455" s="1212">
        <v>1</v>
      </c>
      <c r="AV1455" s="1212"/>
      <c r="AW1455" s="1212"/>
      <c r="AX1455" s="1212"/>
      <c r="AY1455" s="1212"/>
      <c r="AZ1455" s="1212"/>
      <c r="BA1455" s="1212"/>
      <c r="BB1455" s="1212"/>
      <c r="BC1455" s="1212"/>
      <c r="BD1455" s="1212"/>
      <c r="BE1455" s="1212"/>
      <c r="BF1455" s="2126">
        <v>0</v>
      </c>
      <c r="BG1455" s="2126">
        <v>0</v>
      </c>
      <c r="BH1455" s="2126">
        <v>556660.86</v>
      </c>
      <c r="BI1455" s="2126">
        <v>0</v>
      </c>
      <c r="BJ1455" s="2126">
        <v>0</v>
      </c>
      <c r="BK1455" s="2126">
        <v>0</v>
      </c>
      <c r="BL1455" s="2126">
        <v>0</v>
      </c>
      <c r="BM1455" s="2126">
        <v>0</v>
      </c>
      <c r="BN1455" s="2126">
        <v>0</v>
      </c>
      <c r="BO1455" s="2126">
        <v>0</v>
      </c>
      <c r="BP1455" s="2126">
        <v>0</v>
      </c>
      <c r="BQ1455" s="2126">
        <v>0</v>
      </c>
      <c r="BR1455" s="2126">
        <v>0</v>
      </c>
    </row>
    <row r="1456" spans="1:70" s="1765" customFormat="1">
      <c r="A1456" s="1317">
        <v>6000</v>
      </c>
      <c r="B1456" s="1318" t="s">
        <v>2390</v>
      </c>
      <c r="C1456" s="1317"/>
      <c r="D1456" s="1318"/>
      <c r="E1456" s="1318"/>
      <c r="F1456" s="1318"/>
      <c r="G1456" s="1318"/>
      <c r="H1456" s="1318"/>
      <c r="I1456" s="1318"/>
      <c r="J1456" s="1318" t="s">
        <v>121</v>
      </c>
      <c r="K1456" s="1318"/>
      <c r="L1456" s="1318"/>
      <c r="M1456" s="1318"/>
      <c r="N1456" s="1318"/>
      <c r="O1456" s="1318"/>
      <c r="P1456" s="1318"/>
      <c r="Q1456" s="1318"/>
      <c r="R1456" s="1320"/>
      <c r="S1456" s="2105"/>
      <c r="T1456" s="1320"/>
      <c r="U1456" s="1321"/>
      <c r="V1456" s="1321"/>
      <c r="W1456" s="1321"/>
      <c r="X1456" s="1321"/>
      <c r="Y1456" s="2105"/>
      <c r="Z1456" s="2105"/>
      <c r="AA1456" s="2105"/>
      <c r="AB1456" s="2105"/>
      <c r="AC1456" s="2105"/>
      <c r="AD1456" s="1778"/>
      <c r="AE1456" s="2125"/>
      <c r="AF1456" s="2125"/>
      <c r="AG1456" s="1322"/>
      <c r="AH1456" s="1322"/>
      <c r="AI1456" s="1322"/>
      <c r="AJ1456" s="1322"/>
      <c r="AK1456" s="2125"/>
      <c r="AL1456" s="2125"/>
      <c r="AM1456" s="2125"/>
      <c r="AN1456" s="2125"/>
      <c r="AO1456" s="1319"/>
      <c r="AP1456" s="1319"/>
      <c r="AQ1456" s="1763"/>
      <c r="AR1456" s="1319"/>
      <c r="AS1456" s="1322"/>
      <c r="AT1456" s="1322"/>
      <c r="AU1456" s="1322"/>
      <c r="AV1456" s="1322"/>
      <c r="AW1456" s="1322"/>
      <c r="AX1456" s="1322"/>
      <c r="AY1456" s="1322"/>
      <c r="AZ1456" s="1322"/>
      <c r="BA1456" s="1322"/>
      <c r="BB1456" s="1322"/>
      <c r="BC1456" s="1322"/>
      <c r="BD1456" s="1322"/>
      <c r="BE1456" s="1322"/>
      <c r="BF1456" s="2149"/>
      <c r="BG1456" s="2149"/>
      <c r="BH1456" s="2125"/>
      <c r="BI1456" s="2125"/>
      <c r="BJ1456" s="2125"/>
      <c r="BK1456" s="2125"/>
      <c r="BL1456" s="2125"/>
      <c r="BM1456" s="2125"/>
      <c r="BN1456" s="2125"/>
      <c r="BO1456" s="2125"/>
      <c r="BP1456" s="2125"/>
      <c r="BQ1456" s="2125"/>
      <c r="BR1456" s="2125"/>
    </row>
    <row r="1457" spans="1:70" s="1765" customFormat="1">
      <c r="A1457" s="1802">
        <v>6000</v>
      </c>
      <c r="B1457" s="1803" t="s">
        <v>2390</v>
      </c>
      <c r="C1457" s="1802">
        <v>6100</v>
      </c>
      <c r="D1457" s="1803" t="s">
        <v>78</v>
      </c>
      <c r="E1457" s="1803"/>
      <c r="F1457" s="1803"/>
      <c r="G1457" s="1803"/>
      <c r="H1457" s="1803"/>
      <c r="I1457" s="1803"/>
      <c r="J1457" s="1803"/>
      <c r="K1457" s="1803"/>
      <c r="L1457" s="1803"/>
      <c r="M1457" s="1803"/>
      <c r="N1457" s="1803"/>
      <c r="O1457" s="1803"/>
      <c r="P1457" s="1803"/>
      <c r="Q1457" s="1803"/>
      <c r="R1457" s="1774"/>
      <c r="S1457" s="2107"/>
      <c r="T1457" s="1774"/>
      <c r="U1457" s="1776"/>
      <c r="V1457" s="1776"/>
      <c r="W1457" s="1776"/>
      <c r="X1457" s="1776"/>
      <c r="Y1457" s="2107"/>
      <c r="Z1457" s="2107"/>
      <c r="AA1457" s="2107"/>
      <c r="AB1457" s="2107"/>
      <c r="AC1457" s="2107"/>
      <c r="AD1457" s="1775"/>
      <c r="AE1457" s="2127"/>
      <c r="AF1457" s="2127"/>
      <c r="AG1457" s="1777"/>
      <c r="AH1457" s="1777"/>
      <c r="AI1457" s="1777"/>
      <c r="AJ1457" s="1777"/>
      <c r="AK1457" s="2127"/>
      <c r="AL1457" s="2127"/>
      <c r="AM1457" s="2127"/>
      <c r="AN1457" s="2127"/>
      <c r="AO1457" s="1775"/>
      <c r="AP1457" s="1775"/>
      <c r="AQ1457" s="1773"/>
      <c r="AR1457" s="1775"/>
      <c r="AS1457" s="1777"/>
      <c r="AT1457" s="1777"/>
      <c r="AU1457" s="1777"/>
      <c r="AV1457" s="1777"/>
      <c r="AW1457" s="1777"/>
      <c r="AX1457" s="1777"/>
      <c r="AY1457" s="1777"/>
      <c r="AZ1457" s="1777"/>
      <c r="BA1457" s="1777"/>
      <c r="BB1457" s="1777"/>
      <c r="BC1457" s="1777"/>
      <c r="BD1457" s="1777"/>
      <c r="BE1457" s="1777"/>
      <c r="BF1457" s="2127"/>
      <c r="BG1457" s="2127"/>
      <c r="BH1457" s="2127"/>
      <c r="BI1457" s="2127"/>
      <c r="BJ1457" s="2127"/>
      <c r="BK1457" s="2127"/>
      <c r="BL1457" s="2127"/>
      <c r="BM1457" s="2127"/>
      <c r="BN1457" s="2127"/>
      <c r="BO1457" s="2127"/>
      <c r="BP1457" s="2127"/>
      <c r="BQ1457" s="2127"/>
      <c r="BR1457" s="2127"/>
    </row>
    <row r="1458" spans="1:70" s="1765" customFormat="1" ht="33">
      <c r="A1458" s="1272">
        <v>6000</v>
      </c>
      <c r="B1458" s="971" t="s">
        <v>2390</v>
      </c>
      <c r="C1458" s="1272">
        <v>6100</v>
      </c>
      <c r="D1458" s="971" t="s">
        <v>78</v>
      </c>
      <c r="E1458" s="971">
        <v>6110</v>
      </c>
      <c r="F1458" s="971" t="s">
        <v>148</v>
      </c>
      <c r="G1458" s="971">
        <v>6110</v>
      </c>
      <c r="H1458" s="971" t="s">
        <v>2391</v>
      </c>
      <c r="I1458" s="1273"/>
      <c r="J1458" s="971" t="s">
        <v>121</v>
      </c>
      <c r="K1458" s="971" t="s">
        <v>150</v>
      </c>
      <c r="L1458" s="971" t="s">
        <v>2800</v>
      </c>
      <c r="M1458" s="971" t="s">
        <v>80</v>
      </c>
      <c r="N1458" s="971" t="s">
        <v>83</v>
      </c>
      <c r="O1458" s="971" t="s">
        <v>151</v>
      </c>
      <c r="P1458" s="971" t="s">
        <v>152</v>
      </c>
      <c r="Q1458" s="971" t="s">
        <v>2392</v>
      </c>
      <c r="R1458" s="1266"/>
      <c r="S1458" s="2106">
        <v>5754373.2321139872</v>
      </c>
      <c r="T1458" s="1266" t="s">
        <v>136</v>
      </c>
      <c r="U1458" s="1742">
        <v>1.2691883296460175E-2</v>
      </c>
      <c r="V1458" s="1742">
        <v>0.14624999999999999</v>
      </c>
      <c r="W1458" s="1742">
        <v>1.1186625937499999</v>
      </c>
      <c r="X1458" s="1742">
        <v>0.4015178457754629</v>
      </c>
      <c r="Y1458" s="2106">
        <v>1.6649423457754629</v>
      </c>
      <c r="Z1458" s="2106">
        <v>73033.833506265059</v>
      </c>
      <c r="AA1458" s="2106">
        <v>841577.08519667061</v>
      </c>
      <c r="AB1458" s="2106">
        <v>6437202.0852422034</v>
      </c>
      <c r="AC1458" s="2106">
        <v>2310483.5439463961</v>
      </c>
      <c r="AD1458" s="1744">
        <v>9589262.7143852711</v>
      </c>
      <c r="AE1458" s="2126">
        <v>0</v>
      </c>
      <c r="AF1458" s="2126">
        <v>0</v>
      </c>
      <c r="AG1458" s="1212">
        <v>1</v>
      </c>
      <c r="AH1458" s="1212">
        <v>0</v>
      </c>
      <c r="AI1458" s="1212">
        <v>0</v>
      </c>
      <c r="AJ1458" s="1212">
        <v>1</v>
      </c>
      <c r="AK1458" s="2126">
        <v>9589262.7143852711</v>
      </c>
      <c r="AL1458" s="2126">
        <v>0</v>
      </c>
      <c r="AM1458" s="2126">
        <v>0</v>
      </c>
      <c r="AN1458" s="2126">
        <v>9589262.7143852711</v>
      </c>
      <c r="AO1458" s="1743" t="s">
        <v>85</v>
      </c>
      <c r="AP1458" s="1743" t="s">
        <v>1105</v>
      </c>
      <c r="AQ1458" s="1764" t="s">
        <v>118</v>
      </c>
      <c r="AR1458" s="1743" t="s">
        <v>87</v>
      </c>
      <c r="AS1458" s="2135"/>
      <c r="AT1458" s="2135"/>
      <c r="AU1458" s="1212">
        <v>0.33333333333333331</v>
      </c>
      <c r="AV1458" s="1212">
        <v>0.33333333333333331</v>
      </c>
      <c r="AW1458" s="1212">
        <v>0.33333333333333331</v>
      </c>
      <c r="AX1458" s="1212"/>
      <c r="AY1458" s="1212"/>
      <c r="AZ1458" s="1212"/>
      <c r="BA1458" s="1212"/>
      <c r="BB1458" s="1212"/>
      <c r="BC1458" s="1212"/>
      <c r="BD1458" s="1212"/>
      <c r="BE1458" s="1212"/>
      <c r="BF1458" s="2126">
        <v>0</v>
      </c>
      <c r="BG1458" s="2126">
        <v>0</v>
      </c>
      <c r="BH1458" s="2126">
        <v>3196420.9047950902</v>
      </c>
      <c r="BI1458" s="2126">
        <v>3196420.9047950902</v>
      </c>
      <c r="BJ1458" s="2126">
        <v>3196420.9047950902</v>
      </c>
      <c r="BK1458" s="2126">
        <v>0</v>
      </c>
      <c r="BL1458" s="2126">
        <v>0</v>
      </c>
      <c r="BM1458" s="2126">
        <v>0</v>
      </c>
      <c r="BN1458" s="2126">
        <v>0</v>
      </c>
      <c r="BO1458" s="2126">
        <v>0</v>
      </c>
      <c r="BP1458" s="2126">
        <v>0</v>
      </c>
      <c r="BQ1458" s="2126">
        <v>0</v>
      </c>
      <c r="BR1458" s="2126">
        <v>0</v>
      </c>
    </row>
    <row r="1459" spans="1:70" s="1765" customFormat="1" ht="33">
      <c r="A1459" s="1272">
        <v>6000</v>
      </c>
      <c r="B1459" s="971" t="s">
        <v>2390</v>
      </c>
      <c r="C1459" s="1272">
        <v>6100</v>
      </c>
      <c r="D1459" s="971" t="s">
        <v>78</v>
      </c>
      <c r="E1459" s="971">
        <v>6110</v>
      </c>
      <c r="F1459" s="971" t="s">
        <v>148</v>
      </c>
      <c r="G1459" s="971">
        <v>6120</v>
      </c>
      <c r="H1459" s="971" t="s">
        <v>2393</v>
      </c>
      <c r="I1459" s="1273"/>
      <c r="J1459" s="971" t="s">
        <v>121</v>
      </c>
      <c r="K1459" s="971" t="s">
        <v>150</v>
      </c>
      <c r="L1459" s="971" t="s">
        <v>2800</v>
      </c>
      <c r="M1459" s="971" t="s">
        <v>80</v>
      </c>
      <c r="N1459" s="971" t="s">
        <v>83</v>
      </c>
      <c r="O1459" s="971" t="s">
        <v>151</v>
      </c>
      <c r="P1459" s="971" t="s">
        <v>152</v>
      </c>
      <c r="Q1459" s="971" t="s">
        <v>2394</v>
      </c>
      <c r="R1459" s="1266"/>
      <c r="S1459" s="2106">
        <v>639477.66006080108</v>
      </c>
      <c r="T1459" s="1266" t="s">
        <v>136</v>
      </c>
      <c r="U1459" s="1742">
        <v>1.2691883296460175E-2</v>
      </c>
      <c r="V1459" s="1742">
        <v>0.14624999999999999</v>
      </c>
      <c r="W1459" s="1742">
        <v>1.1186625937499999</v>
      </c>
      <c r="X1459" s="1742">
        <v>0.4015178457754629</v>
      </c>
      <c r="Y1459" s="2106">
        <v>1.6649423457754629</v>
      </c>
      <c r="Z1459" s="2106">
        <v>8116.1758321851194</v>
      </c>
      <c r="AA1459" s="2106">
        <v>93523.607783892148</v>
      </c>
      <c r="AB1459" s="2106">
        <v>715359.73784879642</v>
      </c>
      <c r="AC1459" s="2106">
        <v>256761.6924891466</v>
      </c>
      <c r="AD1459" s="1744">
        <v>1065645.0381218353</v>
      </c>
      <c r="AE1459" s="2126">
        <v>0</v>
      </c>
      <c r="AF1459" s="2126">
        <v>0</v>
      </c>
      <c r="AG1459" s="1212">
        <v>1</v>
      </c>
      <c r="AH1459" s="1212">
        <v>0</v>
      </c>
      <c r="AI1459" s="1212">
        <v>0</v>
      </c>
      <c r="AJ1459" s="1212">
        <v>1</v>
      </c>
      <c r="AK1459" s="2126">
        <v>1065645.0381218353</v>
      </c>
      <c r="AL1459" s="2126">
        <v>0</v>
      </c>
      <c r="AM1459" s="2126">
        <v>0</v>
      </c>
      <c r="AN1459" s="2126">
        <v>1065645.0381218353</v>
      </c>
      <c r="AO1459" s="1743" t="s">
        <v>85</v>
      </c>
      <c r="AP1459" s="1743" t="s">
        <v>1105</v>
      </c>
      <c r="AQ1459" s="1764" t="s">
        <v>118</v>
      </c>
      <c r="AR1459" s="1743" t="s">
        <v>87</v>
      </c>
      <c r="AS1459" s="2135"/>
      <c r="AT1459" s="2135"/>
      <c r="AU1459" s="1212">
        <v>0.33333333333333331</v>
      </c>
      <c r="AV1459" s="1212">
        <v>0.33333333333333331</v>
      </c>
      <c r="AW1459" s="1212">
        <v>0.33333333333333331</v>
      </c>
      <c r="AX1459" s="1212"/>
      <c r="AY1459" s="1212"/>
      <c r="AZ1459" s="1212"/>
      <c r="BA1459" s="1212"/>
      <c r="BB1459" s="1212"/>
      <c r="BC1459" s="1212"/>
      <c r="BD1459" s="1212"/>
      <c r="BE1459" s="1212"/>
      <c r="BF1459" s="2126">
        <v>0</v>
      </c>
      <c r="BG1459" s="2126">
        <v>0</v>
      </c>
      <c r="BH1459" s="2126">
        <v>355215.01270727842</v>
      </c>
      <c r="BI1459" s="2126">
        <v>355215.01270727842</v>
      </c>
      <c r="BJ1459" s="2126">
        <v>355215.01270727842</v>
      </c>
      <c r="BK1459" s="2126">
        <v>0</v>
      </c>
      <c r="BL1459" s="2126">
        <v>0</v>
      </c>
      <c r="BM1459" s="2126">
        <v>0</v>
      </c>
      <c r="BN1459" s="2126">
        <v>0</v>
      </c>
      <c r="BO1459" s="2126">
        <v>0</v>
      </c>
      <c r="BP1459" s="2126">
        <v>0</v>
      </c>
      <c r="BQ1459" s="2126">
        <v>0</v>
      </c>
      <c r="BR1459" s="2126">
        <v>0</v>
      </c>
    </row>
    <row r="1460" spans="1:70" s="1765" customFormat="1" ht="33">
      <c r="A1460" s="1272">
        <v>6000</v>
      </c>
      <c r="B1460" s="971" t="s">
        <v>2390</v>
      </c>
      <c r="C1460" s="1272">
        <v>6100</v>
      </c>
      <c r="D1460" s="971" t="s">
        <v>78</v>
      </c>
      <c r="E1460" s="971">
        <v>6110</v>
      </c>
      <c r="F1460" s="971" t="s">
        <v>148</v>
      </c>
      <c r="G1460" s="971">
        <v>6120</v>
      </c>
      <c r="H1460" s="971" t="s">
        <v>2393</v>
      </c>
      <c r="I1460" s="1273"/>
      <c r="J1460" s="971" t="s">
        <v>121</v>
      </c>
      <c r="K1460" s="971" t="s">
        <v>150</v>
      </c>
      <c r="L1460" s="971" t="s">
        <v>2800</v>
      </c>
      <c r="M1460" s="971" t="s">
        <v>80</v>
      </c>
      <c r="N1460" s="971" t="s">
        <v>83</v>
      </c>
      <c r="O1460" s="971" t="s">
        <v>151</v>
      </c>
      <c r="P1460" s="971" t="s">
        <v>152</v>
      </c>
      <c r="Q1460" s="971" t="s">
        <v>2395</v>
      </c>
      <c r="R1460" s="1266"/>
      <c r="S1460" s="2106">
        <v>-6019626</v>
      </c>
      <c r="T1460" s="1266" t="s">
        <v>136</v>
      </c>
      <c r="U1460" s="1742">
        <v>1.2691883296460175E-2</v>
      </c>
      <c r="V1460" s="1742">
        <v>0.14624999999999999</v>
      </c>
      <c r="W1460" s="1742">
        <v>1.1186625937499999</v>
      </c>
      <c r="X1460" s="1742">
        <v>0.4015178457754629</v>
      </c>
      <c r="Y1460" s="2106">
        <v>1.6649423457754629</v>
      </c>
      <c r="Z1460" s="2106">
        <v>-76400.390680337383</v>
      </c>
      <c r="AA1460" s="2106">
        <v>-880370.30249999999</v>
      </c>
      <c r="AB1460" s="2106">
        <v>-6733930.4345649369</v>
      </c>
      <c r="AC1460" s="2106">
        <v>-2416987.2638939666</v>
      </c>
      <c r="AD1460" s="1744">
        <v>-10031288.000958905</v>
      </c>
      <c r="AE1460" s="2126">
        <v>0</v>
      </c>
      <c r="AF1460" s="2126">
        <v>0</v>
      </c>
      <c r="AG1460" s="1212">
        <v>1</v>
      </c>
      <c r="AH1460" s="1212">
        <v>0</v>
      </c>
      <c r="AI1460" s="1212">
        <v>0</v>
      </c>
      <c r="AJ1460" s="1212">
        <v>1</v>
      </c>
      <c r="AK1460" s="2126">
        <v>-10031288.000958905</v>
      </c>
      <c r="AL1460" s="2126">
        <v>0</v>
      </c>
      <c r="AM1460" s="2126">
        <v>0</v>
      </c>
      <c r="AN1460" s="2126">
        <v>-10031288.000958905</v>
      </c>
      <c r="AO1460" s="1743" t="s">
        <v>85</v>
      </c>
      <c r="AP1460" s="1743" t="s">
        <v>1105</v>
      </c>
      <c r="AQ1460" s="1764" t="s">
        <v>118</v>
      </c>
      <c r="AR1460" s="1743" t="s">
        <v>87</v>
      </c>
      <c r="AS1460" s="2135"/>
      <c r="AT1460" s="2135"/>
      <c r="AU1460" s="1212">
        <v>0.33333333333333331</v>
      </c>
      <c r="AV1460" s="1212">
        <v>0.33333333333333331</v>
      </c>
      <c r="AW1460" s="1212">
        <v>0.33333333333333331</v>
      </c>
      <c r="AX1460" s="1212"/>
      <c r="AY1460" s="1212"/>
      <c r="AZ1460" s="1212"/>
      <c r="BA1460" s="1212"/>
      <c r="BB1460" s="1212"/>
      <c r="BC1460" s="1212"/>
      <c r="BD1460" s="1212"/>
      <c r="BE1460" s="1212"/>
      <c r="BF1460" s="2126">
        <v>0</v>
      </c>
      <c r="BG1460" s="2126">
        <v>0</v>
      </c>
      <c r="BH1460" s="2126">
        <v>-3343762.6669863015</v>
      </c>
      <c r="BI1460" s="2126">
        <v>-3343762.6669863015</v>
      </c>
      <c r="BJ1460" s="2126">
        <v>-3343762.6669863015</v>
      </c>
      <c r="BK1460" s="2126">
        <v>0</v>
      </c>
      <c r="BL1460" s="2126">
        <v>0</v>
      </c>
      <c r="BM1460" s="2126">
        <v>0</v>
      </c>
      <c r="BN1460" s="2126">
        <v>0</v>
      </c>
      <c r="BO1460" s="2126">
        <v>0</v>
      </c>
      <c r="BP1460" s="2126">
        <v>0</v>
      </c>
      <c r="BQ1460" s="2126">
        <v>0</v>
      </c>
      <c r="BR1460" s="2126">
        <v>0</v>
      </c>
    </row>
    <row r="1461" spans="1:70" s="1765" customFormat="1" ht="49.5">
      <c r="A1461" s="1272">
        <v>6000</v>
      </c>
      <c r="B1461" s="971" t="s">
        <v>2390</v>
      </c>
      <c r="C1461" s="1272">
        <v>6100</v>
      </c>
      <c r="D1461" s="971" t="s">
        <v>78</v>
      </c>
      <c r="E1461" s="971">
        <v>6110</v>
      </c>
      <c r="F1461" s="971" t="s">
        <v>148</v>
      </c>
      <c r="G1461" s="971">
        <v>6110</v>
      </c>
      <c r="H1461" s="971" t="s">
        <v>2391</v>
      </c>
      <c r="I1461" s="1273"/>
      <c r="J1461" s="971" t="s">
        <v>121</v>
      </c>
      <c r="K1461" s="971" t="s">
        <v>255</v>
      </c>
      <c r="L1461" s="971" t="s">
        <v>2802</v>
      </c>
      <c r="M1461" s="971" t="s">
        <v>255</v>
      </c>
      <c r="N1461" s="971" t="s">
        <v>83</v>
      </c>
      <c r="O1461" s="971" t="s">
        <v>256</v>
      </c>
      <c r="P1461" s="971" t="s">
        <v>152</v>
      </c>
      <c r="Q1461" s="971" t="s">
        <v>2396</v>
      </c>
      <c r="R1461" s="1266"/>
      <c r="S1461" s="2106">
        <v>147217.44668531389</v>
      </c>
      <c r="T1461" s="1266" t="s">
        <v>136</v>
      </c>
      <c r="U1461" s="1742">
        <v>4.4491883296460179E-2</v>
      </c>
      <c r="V1461" s="1742">
        <v>0.1701</v>
      </c>
      <c r="W1461" s="1742">
        <v>3.92151459375</v>
      </c>
      <c r="X1461" s="1742">
        <v>0.68180304577546291</v>
      </c>
      <c r="Y1461" s="2106">
        <v>4.7480795457754628</v>
      </c>
      <c r="Z1461" s="2106">
        <v>6549.9814571258339</v>
      </c>
      <c r="AA1461" s="2106">
        <v>25041.687681171894</v>
      </c>
      <c r="AB1461" s="2106">
        <v>577315.36563107092</v>
      </c>
      <c r="AC1461" s="2106">
        <v>100373.30354133384</v>
      </c>
      <c r="AD1461" s="1744">
        <v>702730.35685357673</v>
      </c>
      <c r="AE1461" s="2126">
        <v>0</v>
      </c>
      <c r="AF1461" s="2126">
        <v>0</v>
      </c>
      <c r="AG1461" s="1212">
        <v>1</v>
      </c>
      <c r="AH1461" s="1212">
        <v>0</v>
      </c>
      <c r="AI1461" s="1212">
        <v>0</v>
      </c>
      <c r="AJ1461" s="1212">
        <v>1</v>
      </c>
      <c r="AK1461" s="2126">
        <v>702730.35685357673</v>
      </c>
      <c r="AL1461" s="2126">
        <v>0</v>
      </c>
      <c r="AM1461" s="2126">
        <v>0</v>
      </c>
      <c r="AN1461" s="2126">
        <v>702730.35685357673</v>
      </c>
      <c r="AO1461" s="1743" t="s">
        <v>85</v>
      </c>
      <c r="AP1461" s="1743" t="s">
        <v>1105</v>
      </c>
      <c r="AQ1461" s="1764" t="s">
        <v>118</v>
      </c>
      <c r="AR1461" s="1743" t="s">
        <v>87</v>
      </c>
      <c r="AS1461" s="2135"/>
      <c r="AT1461" s="2135"/>
      <c r="AU1461" s="1212">
        <v>0.33333333333333331</v>
      </c>
      <c r="AV1461" s="1212">
        <v>0.33333333333333331</v>
      </c>
      <c r="AW1461" s="1212">
        <v>0.33333333333333331</v>
      </c>
      <c r="AX1461" s="1212"/>
      <c r="AY1461" s="1212"/>
      <c r="AZ1461" s="1212"/>
      <c r="BA1461" s="1212"/>
      <c r="BB1461" s="1212"/>
      <c r="BC1461" s="1212"/>
      <c r="BD1461" s="1212"/>
      <c r="BE1461" s="1212"/>
      <c r="BF1461" s="2126">
        <v>0</v>
      </c>
      <c r="BG1461" s="2126">
        <v>0</v>
      </c>
      <c r="BH1461" s="2126">
        <v>234243.45228452556</v>
      </c>
      <c r="BI1461" s="2126">
        <v>234243.45228452556</v>
      </c>
      <c r="BJ1461" s="2126">
        <v>234243.45228452556</v>
      </c>
      <c r="BK1461" s="2126">
        <v>0</v>
      </c>
      <c r="BL1461" s="2126">
        <v>0</v>
      </c>
      <c r="BM1461" s="2126">
        <v>0</v>
      </c>
      <c r="BN1461" s="2126">
        <v>0</v>
      </c>
      <c r="BO1461" s="2126">
        <v>0</v>
      </c>
      <c r="BP1461" s="2126">
        <v>0</v>
      </c>
      <c r="BQ1461" s="2126">
        <v>0</v>
      </c>
      <c r="BR1461" s="2126">
        <v>0</v>
      </c>
    </row>
    <row r="1462" spans="1:70" s="1765" customFormat="1" ht="49.5">
      <c r="A1462" s="1272">
        <v>6000</v>
      </c>
      <c r="B1462" s="971" t="s">
        <v>2390</v>
      </c>
      <c r="C1462" s="1272">
        <v>6100</v>
      </c>
      <c r="D1462" s="971" t="s">
        <v>78</v>
      </c>
      <c r="E1462" s="971">
        <v>6110</v>
      </c>
      <c r="F1462" s="971" t="s">
        <v>148</v>
      </c>
      <c r="G1462" s="971">
        <v>6120</v>
      </c>
      <c r="H1462" s="971" t="s">
        <v>2393</v>
      </c>
      <c r="I1462" s="1273"/>
      <c r="J1462" s="971" t="s">
        <v>121</v>
      </c>
      <c r="K1462" s="971" t="s">
        <v>255</v>
      </c>
      <c r="L1462" s="971" t="s">
        <v>2802</v>
      </c>
      <c r="M1462" s="971" t="s">
        <v>255</v>
      </c>
      <c r="N1462" s="971" t="s">
        <v>83</v>
      </c>
      <c r="O1462" s="971" t="s">
        <v>256</v>
      </c>
      <c r="P1462" s="971" t="s">
        <v>152</v>
      </c>
      <c r="Q1462" s="971" t="s">
        <v>2397</v>
      </c>
      <c r="R1462" s="1266"/>
      <c r="S1462" s="2106">
        <v>55011.325632341948</v>
      </c>
      <c r="T1462" s="1266" t="s">
        <v>136</v>
      </c>
      <c r="U1462" s="1742">
        <v>4.4491883296460179E-2</v>
      </c>
      <c r="V1462" s="1742">
        <v>0.1701</v>
      </c>
      <c r="W1462" s="1742">
        <v>3.92151459375</v>
      </c>
      <c r="X1462" s="1742">
        <v>0.68180304577546291</v>
      </c>
      <c r="Y1462" s="2106">
        <v>4.7480795457754628</v>
      </c>
      <c r="Z1462" s="2106">
        <v>2447.5574800177264</v>
      </c>
      <c r="AA1462" s="2106">
        <v>9357.4264900613653</v>
      </c>
      <c r="AB1462" s="2106">
        <v>215727.7162887624</v>
      </c>
      <c r="AC1462" s="2106">
        <v>37506.889368276534</v>
      </c>
      <c r="AD1462" s="1744">
        <v>262592.03214710031</v>
      </c>
      <c r="AE1462" s="2126">
        <v>0</v>
      </c>
      <c r="AF1462" s="2126">
        <v>0</v>
      </c>
      <c r="AG1462" s="1212">
        <v>1</v>
      </c>
      <c r="AH1462" s="1212">
        <v>0</v>
      </c>
      <c r="AI1462" s="1212">
        <v>0</v>
      </c>
      <c r="AJ1462" s="1212">
        <v>1</v>
      </c>
      <c r="AK1462" s="2126">
        <v>262592.03214710031</v>
      </c>
      <c r="AL1462" s="2126">
        <v>0</v>
      </c>
      <c r="AM1462" s="2126">
        <v>0</v>
      </c>
      <c r="AN1462" s="2126">
        <v>262592.03214710031</v>
      </c>
      <c r="AO1462" s="1743" t="s">
        <v>85</v>
      </c>
      <c r="AP1462" s="1743" t="s">
        <v>1105</v>
      </c>
      <c r="AQ1462" s="1764" t="s">
        <v>118</v>
      </c>
      <c r="AR1462" s="1743" t="s">
        <v>87</v>
      </c>
      <c r="AS1462" s="2135"/>
      <c r="AT1462" s="2135"/>
      <c r="AU1462" s="1212">
        <v>0.33333333333333331</v>
      </c>
      <c r="AV1462" s="1212">
        <v>0.33333333333333331</v>
      </c>
      <c r="AW1462" s="1212">
        <v>0.33333333333333331</v>
      </c>
      <c r="AX1462" s="1212"/>
      <c r="AY1462" s="1212"/>
      <c r="AZ1462" s="1212"/>
      <c r="BA1462" s="1212"/>
      <c r="BB1462" s="1212"/>
      <c r="BC1462" s="1212"/>
      <c r="BD1462" s="1212"/>
      <c r="BE1462" s="1212"/>
      <c r="BF1462" s="2126">
        <v>0</v>
      </c>
      <c r="BG1462" s="2126">
        <v>0</v>
      </c>
      <c r="BH1462" s="2126">
        <v>87530.677382366761</v>
      </c>
      <c r="BI1462" s="2126">
        <v>87530.677382366761</v>
      </c>
      <c r="BJ1462" s="2126">
        <v>87530.677382366761</v>
      </c>
      <c r="BK1462" s="2126">
        <v>0</v>
      </c>
      <c r="BL1462" s="2126">
        <v>0</v>
      </c>
      <c r="BM1462" s="2126">
        <v>0</v>
      </c>
      <c r="BN1462" s="2126">
        <v>0</v>
      </c>
      <c r="BO1462" s="2126">
        <v>0</v>
      </c>
      <c r="BP1462" s="2126">
        <v>0</v>
      </c>
      <c r="BQ1462" s="2126">
        <v>0</v>
      </c>
      <c r="BR1462" s="2126">
        <v>0</v>
      </c>
    </row>
    <row r="1463" spans="1:70" s="1765" customFormat="1" ht="49.5">
      <c r="A1463" s="1272">
        <v>6000</v>
      </c>
      <c r="B1463" s="971" t="s">
        <v>2390</v>
      </c>
      <c r="C1463" s="1272">
        <v>6100</v>
      </c>
      <c r="D1463" s="971" t="s">
        <v>78</v>
      </c>
      <c r="E1463" s="971">
        <v>6110</v>
      </c>
      <c r="F1463" s="971" t="s">
        <v>148</v>
      </c>
      <c r="G1463" s="971">
        <v>6120</v>
      </c>
      <c r="H1463" s="971" t="s">
        <v>2393</v>
      </c>
      <c r="I1463" s="1273"/>
      <c r="J1463" s="971" t="s">
        <v>121</v>
      </c>
      <c r="K1463" s="971" t="s">
        <v>255</v>
      </c>
      <c r="L1463" s="971" t="s">
        <v>2802</v>
      </c>
      <c r="M1463" s="971" t="s">
        <v>255</v>
      </c>
      <c r="N1463" s="971" t="s">
        <v>83</v>
      </c>
      <c r="O1463" s="971" t="s">
        <v>256</v>
      </c>
      <c r="P1463" s="971" t="s">
        <v>152</v>
      </c>
      <c r="Q1463" s="971" t="s">
        <v>2398</v>
      </c>
      <c r="R1463" s="1266"/>
      <c r="S1463" s="2106">
        <v>-165480</v>
      </c>
      <c r="T1463" s="1266" t="s">
        <v>136</v>
      </c>
      <c r="U1463" s="1742">
        <v>4.4491883296460179E-2</v>
      </c>
      <c r="V1463" s="1742">
        <v>0.1701</v>
      </c>
      <c r="W1463" s="1742">
        <v>3.92151459375</v>
      </c>
      <c r="X1463" s="1742">
        <v>0.68180304577546291</v>
      </c>
      <c r="Y1463" s="2106">
        <v>4.7480795457754628</v>
      </c>
      <c r="Z1463" s="2106">
        <v>-7362.5168478982305</v>
      </c>
      <c r="AA1463" s="2106">
        <v>-28148.148000000001</v>
      </c>
      <c r="AB1463" s="2106">
        <v>-648932.23497374996</v>
      </c>
      <c r="AC1463" s="2106">
        <v>-112824.7680149236</v>
      </c>
      <c r="AD1463" s="1744">
        <v>-789905.15098867356</v>
      </c>
      <c r="AE1463" s="2126">
        <v>0</v>
      </c>
      <c r="AF1463" s="2126">
        <v>0</v>
      </c>
      <c r="AG1463" s="1212">
        <v>1</v>
      </c>
      <c r="AH1463" s="1212">
        <v>0</v>
      </c>
      <c r="AI1463" s="1212">
        <v>0</v>
      </c>
      <c r="AJ1463" s="1212">
        <v>1</v>
      </c>
      <c r="AK1463" s="2126">
        <v>-789905.15098867356</v>
      </c>
      <c r="AL1463" s="2126">
        <v>0</v>
      </c>
      <c r="AM1463" s="2126">
        <v>0</v>
      </c>
      <c r="AN1463" s="2126">
        <v>-789905.15098867356</v>
      </c>
      <c r="AO1463" s="1743" t="s">
        <v>85</v>
      </c>
      <c r="AP1463" s="1743" t="s">
        <v>1105</v>
      </c>
      <c r="AQ1463" s="1764" t="s">
        <v>118</v>
      </c>
      <c r="AR1463" s="1743" t="s">
        <v>87</v>
      </c>
      <c r="AS1463" s="2135"/>
      <c r="AT1463" s="2135"/>
      <c r="AU1463" s="1212">
        <v>0.33333333333333331</v>
      </c>
      <c r="AV1463" s="1212">
        <v>0.33333333333333331</v>
      </c>
      <c r="AW1463" s="1212">
        <v>0.33333333333333331</v>
      </c>
      <c r="AX1463" s="1212"/>
      <c r="AY1463" s="1212"/>
      <c r="AZ1463" s="1212"/>
      <c r="BA1463" s="1212"/>
      <c r="BB1463" s="1212"/>
      <c r="BC1463" s="1212"/>
      <c r="BD1463" s="1212"/>
      <c r="BE1463" s="1212"/>
      <c r="BF1463" s="2126">
        <v>0</v>
      </c>
      <c r="BG1463" s="2126">
        <v>0</v>
      </c>
      <c r="BH1463" s="2126">
        <v>-263301.71699622448</v>
      </c>
      <c r="BI1463" s="2126">
        <v>-263301.71699622448</v>
      </c>
      <c r="BJ1463" s="2126">
        <v>-263301.71699622448</v>
      </c>
      <c r="BK1463" s="2126">
        <v>0</v>
      </c>
      <c r="BL1463" s="2126">
        <v>0</v>
      </c>
      <c r="BM1463" s="2126">
        <v>0</v>
      </c>
      <c r="BN1463" s="2126">
        <v>0</v>
      </c>
      <c r="BO1463" s="2126">
        <v>0</v>
      </c>
      <c r="BP1463" s="2126">
        <v>0</v>
      </c>
      <c r="BQ1463" s="2126">
        <v>0</v>
      </c>
      <c r="BR1463" s="2126">
        <v>0</v>
      </c>
    </row>
    <row r="1464" spans="1:70" s="1765" customFormat="1" ht="33">
      <c r="A1464" s="1272">
        <v>6000</v>
      </c>
      <c r="B1464" s="971" t="s">
        <v>2390</v>
      </c>
      <c r="C1464" s="1272">
        <v>6100</v>
      </c>
      <c r="D1464" s="971" t="s">
        <v>78</v>
      </c>
      <c r="E1464" s="971">
        <v>6110</v>
      </c>
      <c r="F1464" s="971" t="s">
        <v>148</v>
      </c>
      <c r="G1464" s="971">
        <v>6110</v>
      </c>
      <c r="H1464" s="971" t="s">
        <v>2391</v>
      </c>
      <c r="I1464" s="1273"/>
      <c r="J1464" s="971" t="s">
        <v>121</v>
      </c>
      <c r="K1464" s="971" t="s">
        <v>150</v>
      </c>
      <c r="L1464" s="971" t="s">
        <v>2800</v>
      </c>
      <c r="M1464" s="971" t="s">
        <v>80</v>
      </c>
      <c r="N1464" s="971" t="s">
        <v>83</v>
      </c>
      <c r="O1464" s="971" t="s">
        <v>151</v>
      </c>
      <c r="P1464" s="971" t="s">
        <v>152</v>
      </c>
      <c r="Q1464" s="971" t="s">
        <v>2399</v>
      </c>
      <c r="R1464" s="1266"/>
      <c r="S1464" s="2106">
        <v>145183.02827808421</v>
      </c>
      <c r="T1464" s="1266" t="s">
        <v>136</v>
      </c>
      <c r="U1464" s="1742">
        <v>1.2691883296460175E-2</v>
      </c>
      <c r="V1464" s="1742">
        <v>0.14624999999999999</v>
      </c>
      <c r="W1464" s="1742">
        <v>1.1186625937499999</v>
      </c>
      <c r="X1464" s="1742">
        <v>0.4015178457754629</v>
      </c>
      <c r="Y1464" s="2106">
        <v>1.6649423457754629</v>
      </c>
      <c r="Z1464" s="2106">
        <v>1842.6460515321223</v>
      </c>
      <c r="AA1464" s="2106">
        <v>21233.017885669815</v>
      </c>
      <c r="AB1464" s="2106">
        <v>162410.82298204125</v>
      </c>
      <c r="AC1464" s="2106">
        <v>58293.576757374482</v>
      </c>
      <c r="AD1464" s="1744">
        <v>241937.41762508554</v>
      </c>
      <c r="AE1464" s="2126">
        <v>0</v>
      </c>
      <c r="AF1464" s="2126">
        <v>0</v>
      </c>
      <c r="AG1464" s="1212">
        <v>0</v>
      </c>
      <c r="AH1464" s="1212">
        <v>1</v>
      </c>
      <c r="AI1464" s="1212">
        <v>0</v>
      </c>
      <c r="AJ1464" s="1212">
        <v>1</v>
      </c>
      <c r="AK1464" s="2126">
        <v>0</v>
      </c>
      <c r="AL1464" s="2126">
        <v>241937.41762508554</v>
      </c>
      <c r="AM1464" s="2126">
        <v>0</v>
      </c>
      <c r="AN1464" s="2126">
        <v>241937.41762508554</v>
      </c>
      <c r="AO1464" s="1743" t="s">
        <v>85</v>
      </c>
      <c r="AP1464" s="1743" t="s">
        <v>1105</v>
      </c>
      <c r="AQ1464" s="1764" t="s">
        <v>118</v>
      </c>
      <c r="AR1464" s="1743" t="s">
        <v>87</v>
      </c>
      <c r="AS1464" s="2135"/>
      <c r="AT1464" s="2135"/>
      <c r="AU1464" s="1212">
        <v>0.33333333333333331</v>
      </c>
      <c r="AV1464" s="1212">
        <v>0.33333333333333331</v>
      </c>
      <c r="AW1464" s="1212">
        <v>0.33333333333333331</v>
      </c>
      <c r="AX1464" s="1212"/>
      <c r="AY1464" s="1212"/>
      <c r="AZ1464" s="1212"/>
      <c r="BA1464" s="1212"/>
      <c r="BB1464" s="1212"/>
      <c r="BC1464" s="1212"/>
      <c r="BD1464" s="1212"/>
      <c r="BE1464" s="1212"/>
      <c r="BF1464" s="2126">
        <v>0</v>
      </c>
      <c r="BG1464" s="2126">
        <v>0</v>
      </c>
      <c r="BH1464" s="2126">
        <v>80645.805875028513</v>
      </c>
      <c r="BI1464" s="2126">
        <v>80645.805875028513</v>
      </c>
      <c r="BJ1464" s="2126">
        <v>80645.805875028513</v>
      </c>
      <c r="BK1464" s="2126">
        <v>0</v>
      </c>
      <c r="BL1464" s="2126">
        <v>0</v>
      </c>
      <c r="BM1464" s="2126">
        <v>0</v>
      </c>
      <c r="BN1464" s="2126">
        <v>0</v>
      </c>
      <c r="BO1464" s="2126">
        <v>0</v>
      </c>
      <c r="BP1464" s="2126">
        <v>0</v>
      </c>
      <c r="BQ1464" s="2126">
        <v>0</v>
      </c>
      <c r="BR1464" s="2126">
        <v>0</v>
      </c>
    </row>
    <row r="1465" spans="1:70" s="1765" customFormat="1" ht="33">
      <c r="A1465" s="1272">
        <v>6000</v>
      </c>
      <c r="B1465" s="971" t="s">
        <v>2390</v>
      </c>
      <c r="C1465" s="1272">
        <v>6100</v>
      </c>
      <c r="D1465" s="971" t="s">
        <v>78</v>
      </c>
      <c r="E1465" s="971">
        <v>6110</v>
      </c>
      <c r="F1465" s="971" t="s">
        <v>148</v>
      </c>
      <c r="G1465" s="971">
        <v>6120</v>
      </c>
      <c r="H1465" s="971" t="s">
        <v>2393</v>
      </c>
      <c r="I1465" s="1273"/>
      <c r="J1465" s="971" t="s">
        <v>121</v>
      </c>
      <c r="K1465" s="971" t="s">
        <v>150</v>
      </c>
      <c r="L1465" s="971" t="s">
        <v>2800</v>
      </c>
      <c r="M1465" s="971" t="s">
        <v>80</v>
      </c>
      <c r="N1465" s="971" t="s">
        <v>83</v>
      </c>
      <c r="O1465" s="971" t="s">
        <v>151</v>
      </c>
      <c r="P1465" s="971" t="s">
        <v>152</v>
      </c>
      <c r="Q1465" s="971" t="s">
        <v>2400</v>
      </c>
      <c r="R1465" s="1266"/>
      <c r="S1465" s="2106">
        <v>0</v>
      </c>
      <c r="T1465" s="1266" t="s">
        <v>136</v>
      </c>
      <c r="U1465" s="1742">
        <v>1.2691883296460175E-2</v>
      </c>
      <c r="V1465" s="1742">
        <v>0.14624999999999999</v>
      </c>
      <c r="W1465" s="1742">
        <v>1.1186625937499999</v>
      </c>
      <c r="X1465" s="1742">
        <v>0.4015178457754629</v>
      </c>
      <c r="Y1465" s="2106">
        <v>1.6649423457754629</v>
      </c>
      <c r="Z1465" s="2106">
        <v>0</v>
      </c>
      <c r="AA1465" s="2106">
        <v>0</v>
      </c>
      <c r="AB1465" s="2106">
        <v>0</v>
      </c>
      <c r="AC1465" s="2106">
        <v>0</v>
      </c>
      <c r="AD1465" s="1744">
        <v>0</v>
      </c>
      <c r="AE1465" s="2126">
        <v>0</v>
      </c>
      <c r="AF1465" s="2126">
        <v>0</v>
      </c>
      <c r="AG1465" s="1212">
        <v>0</v>
      </c>
      <c r="AH1465" s="1212">
        <v>1</v>
      </c>
      <c r="AI1465" s="1212">
        <v>0</v>
      </c>
      <c r="AJ1465" s="1212">
        <v>1</v>
      </c>
      <c r="AK1465" s="2126">
        <v>0</v>
      </c>
      <c r="AL1465" s="2126">
        <v>0</v>
      </c>
      <c r="AM1465" s="2126">
        <v>0</v>
      </c>
      <c r="AN1465" s="2126">
        <v>0</v>
      </c>
      <c r="AO1465" s="1743" t="s">
        <v>85</v>
      </c>
      <c r="AP1465" s="1743" t="s">
        <v>1105</v>
      </c>
      <c r="AQ1465" s="1764" t="s">
        <v>118</v>
      </c>
      <c r="AR1465" s="1743" t="s">
        <v>87</v>
      </c>
      <c r="AS1465" s="2135"/>
      <c r="AT1465" s="2135"/>
      <c r="AU1465" s="1212">
        <v>0.33333333333333331</v>
      </c>
      <c r="AV1465" s="1212">
        <v>0.33333333333333331</v>
      </c>
      <c r="AW1465" s="1212">
        <v>0.33333333333333331</v>
      </c>
      <c r="AX1465" s="1212"/>
      <c r="AY1465" s="1212"/>
      <c r="AZ1465" s="1212"/>
      <c r="BA1465" s="1212"/>
      <c r="BB1465" s="1212"/>
      <c r="BC1465" s="1212"/>
      <c r="BD1465" s="1212"/>
      <c r="BE1465" s="1212"/>
      <c r="BF1465" s="2126">
        <v>0</v>
      </c>
      <c r="BG1465" s="2126">
        <v>0</v>
      </c>
      <c r="BH1465" s="2126">
        <v>0</v>
      </c>
      <c r="BI1465" s="2126">
        <v>0</v>
      </c>
      <c r="BJ1465" s="2126">
        <v>0</v>
      </c>
      <c r="BK1465" s="2126">
        <v>0</v>
      </c>
      <c r="BL1465" s="2126">
        <v>0</v>
      </c>
      <c r="BM1465" s="2126">
        <v>0</v>
      </c>
      <c r="BN1465" s="2126">
        <v>0</v>
      </c>
      <c r="BO1465" s="2126">
        <v>0</v>
      </c>
      <c r="BP1465" s="2126">
        <v>0</v>
      </c>
      <c r="BQ1465" s="2126">
        <v>0</v>
      </c>
      <c r="BR1465" s="2126">
        <v>0</v>
      </c>
    </row>
    <row r="1466" spans="1:70" s="1765" customFormat="1" ht="33">
      <c r="A1466" s="1272">
        <v>6000</v>
      </c>
      <c r="B1466" s="971" t="s">
        <v>2390</v>
      </c>
      <c r="C1466" s="1272">
        <v>6100</v>
      </c>
      <c r="D1466" s="971" t="s">
        <v>78</v>
      </c>
      <c r="E1466" s="971">
        <v>6110</v>
      </c>
      <c r="F1466" s="971" t="s">
        <v>148</v>
      </c>
      <c r="G1466" s="971">
        <v>6120</v>
      </c>
      <c r="H1466" s="971" t="s">
        <v>2393</v>
      </c>
      <c r="I1466" s="1273"/>
      <c r="J1466" s="971" t="s">
        <v>121</v>
      </c>
      <c r="K1466" s="971" t="s">
        <v>150</v>
      </c>
      <c r="L1466" s="971" t="s">
        <v>2800</v>
      </c>
      <c r="M1466" s="971" t="s">
        <v>80</v>
      </c>
      <c r="N1466" s="971" t="s">
        <v>83</v>
      </c>
      <c r="O1466" s="971" t="s">
        <v>151</v>
      </c>
      <c r="P1466" s="971" t="s">
        <v>152</v>
      </c>
      <c r="Q1466" s="971" t="s">
        <v>2401</v>
      </c>
      <c r="R1466" s="1266"/>
      <c r="S1466" s="2106">
        <v>-190345</v>
      </c>
      <c r="T1466" s="1266" t="s">
        <v>136</v>
      </c>
      <c r="U1466" s="1742">
        <v>1.2691883296460175E-2</v>
      </c>
      <c r="V1466" s="1742">
        <v>0.14624999999999999</v>
      </c>
      <c r="W1466" s="1742">
        <v>1.1186625937499999</v>
      </c>
      <c r="X1466" s="1742">
        <v>0.4015178457754629</v>
      </c>
      <c r="Y1466" s="2106">
        <v>1.6649423457754629</v>
      </c>
      <c r="Z1466" s="2106">
        <v>-2415.836526064712</v>
      </c>
      <c r="AA1466" s="2106">
        <v>-27837.956249999999</v>
      </c>
      <c r="AB1466" s="2106">
        <v>-212931.83140734374</v>
      </c>
      <c r="AC1466" s="2106">
        <v>-76426.91435413048</v>
      </c>
      <c r="AD1466" s="1744">
        <v>-317196.70201147418</v>
      </c>
      <c r="AE1466" s="2126">
        <v>0</v>
      </c>
      <c r="AF1466" s="2126">
        <v>0</v>
      </c>
      <c r="AG1466" s="1212">
        <v>0</v>
      </c>
      <c r="AH1466" s="1212">
        <v>1</v>
      </c>
      <c r="AI1466" s="1212">
        <v>0</v>
      </c>
      <c r="AJ1466" s="1212">
        <v>1</v>
      </c>
      <c r="AK1466" s="2126">
        <v>0</v>
      </c>
      <c r="AL1466" s="2126">
        <v>-317196.70201147418</v>
      </c>
      <c r="AM1466" s="2126">
        <v>0</v>
      </c>
      <c r="AN1466" s="2126">
        <v>-317196.70201147418</v>
      </c>
      <c r="AO1466" s="1743" t="s">
        <v>85</v>
      </c>
      <c r="AP1466" s="1743" t="s">
        <v>1105</v>
      </c>
      <c r="AQ1466" s="1764" t="s">
        <v>118</v>
      </c>
      <c r="AR1466" s="1743" t="s">
        <v>87</v>
      </c>
      <c r="AS1466" s="2135"/>
      <c r="AT1466" s="2135"/>
      <c r="AU1466" s="1212">
        <v>0.33333333333333331</v>
      </c>
      <c r="AV1466" s="1212">
        <v>0.33333333333333331</v>
      </c>
      <c r="AW1466" s="1212">
        <v>0.33333333333333331</v>
      </c>
      <c r="AX1466" s="1212"/>
      <c r="AY1466" s="1212"/>
      <c r="AZ1466" s="1212"/>
      <c r="BA1466" s="1212"/>
      <c r="BB1466" s="1212"/>
      <c r="BC1466" s="1212"/>
      <c r="BD1466" s="1212"/>
      <c r="BE1466" s="1212"/>
      <c r="BF1466" s="2126">
        <v>0</v>
      </c>
      <c r="BG1466" s="2126">
        <v>0</v>
      </c>
      <c r="BH1466" s="2126">
        <v>-105732.23400382472</v>
      </c>
      <c r="BI1466" s="2126">
        <v>-105732.23400382472</v>
      </c>
      <c r="BJ1466" s="2126">
        <v>-105732.23400382472</v>
      </c>
      <c r="BK1466" s="2126">
        <v>0</v>
      </c>
      <c r="BL1466" s="2126">
        <v>0</v>
      </c>
      <c r="BM1466" s="2126">
        <v>0</v>
      </c>
      <c r="BN1466" s="2126">
        <v>0</v>
      </c>
      <c r="BO1466" s="2126">
        <v>0</v>
      </c>
      <c r="BP1466" s="2126">
        <v>0</v>
      </c>
      <c r="BQ1466" s="2126">
        <v>0</v>
      </c>
      <c r="BR1466" s="2126">
        <v>0</v>
      </c>
    </row>
    <row r="1467" spans="1:70" s="1765" customFormat="1" ht="33">
      <c r="A1467" s="1272">
        <v>6000</v>
      </c>
      <c r="B1467" s="971" t="s">
        <v>2390</v>
      </c>
      <c r="C1467" s="1272">
        <v>6100</v>
      </c>
      <c r="D1467" s="971" t="s">
        <v>78</v>
      </c>
      <c r="E1467" s="971">
        <v>6110</v>
      </c>
      <c r="F1467" s="971" t="s">
        <v>148</v>
      </c>
      <c r="G1467" s="971">
        <v>6110</v>
      </c>
      <c r="H1467" s="971" t="s">
        <v>2391</v>
      </c>
      <c r="I1467" s="1273"/>
      <c r="J1467" s="971" t="s">
        <v>121</v>
      </c>
      <c r="K1467" s="971" t="s">
        <v>150</v>
      </c>
      <c r="L1467" s="971" t="s">
        <v>2800</v>
      </c>
      <c r="M1467" s="971" t="s">
        <v>80</v>
      </c>
      <c r="N1467" s="971" t="s">
        <v>83</v>
      </c>
      <c r="O1467" s="971" t="s">
        <v>151</v>
      </c>
      <c r="P1467" s="971" t="s">
        <v>152</v>
      </c>
      <c r="Q1467" s="971" t="s">
        <v>2402</v>
      </c>
      <c r="R1467" s="1266"/>
      <c r="S1467" s="2106">
        <v>5581347.4768127007</v>
      </c>
      <c r="T1467" s="1266" t="s">
        <v>136</v>
      </c>
      <c r="U1467" s="1742">
        <v>1.2691883296460175E-2</v>
      </c>
      <c r="V1467" s="1742">
        <v>0.14624999999999999</v>
      </c>
      <c r="W1467" s="1742">
        <v>1.1186625937499999</v>
      </c>
      <c r="X1467" s="1742">
        <v>0.4015178457754629</v>
      </c>
      <c r="Y1467" s="2106">
        <v>1.6649423457754629</v>
      </c>
      <c r="Z1467" s="2106">
        <v>70837.810812699259</v>
      </c>
      <c r="AA1467" s="2106">
        <v>816272.06848385744</v>
      </c>
      <c r="AB1467" s="2106">
        <v>6243644.6450313134</v>
      </c>
      <c r="AC1467" s="2106">
        <v>2241010.615414151</v>
      </c>
      <c r="AD1467" s="1744">
        <v>9300927.3289293218</v>
      </c>
      <c r="AE1467" s="2126">
        <v>0</v>
      </c>
      <c r="AF1467" s="2126">
        <v>0</v>
      </c>
      <c r="AG1467" s="1212">
        <v>1</v>
      </c>
      <c r="AH1467" s="1212">
        <v>0</v>
      </c>
      <c r="AI1467" s="1212">
        <v>0</v>
      </c>
      <c r="AJ1467" s="1212">
        <v>1</v>
      </c>
      <c r="AK1467" s="2126">
        <v>9300927.3289293218</v>
      </c>
      <c r="AL1467" s="2126">
        <v>0</v>
      </c>
      <c r="AM1467" s="2126">
        <v>0</v>
      </c>
      <c r="AN1467" s="2126">
        <v>9300927.3289293218</v>
      </c>
      <c r="AO1467" s="1743" t="s">
        <v>85</v>
      </c>
      <c r="AP1467" s="1743" t="s">
        <v>1105</v>
      </c>
      <c r="AQ1467" s="1764" t="s">
        <v>115</v>
      </c>
      <c r="AR1467" s="1743" t="s">
        <v>87</v>
      </c>
      <c r="AS1467" s="2135"/>
      <c r="AT1467" s="2135"/>
      <c r="AU1467" s="1212">
        <v>0.33333333333333331</v>
      </c>
      <c r="AV1467" s="1212">
        <v>0.33333333333333331</v>
      </c>
      <c r="AW1467" s="1212">
        <v>0.33333333333333331</v>
      </c>
      <c r="AX1467" s="1212"/>
      <c r="AY1467" s="1212"/>
      <c r="AZ1467" s="1212"/>
      <c r="BA1467" s="1212"/>
      <c r="BB1467" s="1212"/>
      <c r="BC1467" s="1212"/>
      <c r="BD1467" s="1212"/>
      <c r="BE1467" s="1212"/>
      <c r="BF1467" s="2126">
        <v>0</v>
      </c>
      <c r="BG1467" s="2126">
        <v>0</v>
      </c>
      <c r="BH1467" s="2126">
        <v>3100309.1096431073</v>
      </c>
      <c r="BI1467" s="2126">
        <v>3100309.1096431073</v>
      </c>
      <c r="BJ1467" s="2126">
        <v>3100309.1096431073</v>
      </c>
      <c r="BK1467" s="2126">
        <v>0</v>
      </c>
      <c r="BL1467" s="2126">
        <v>0</v>
      </c>
      <c r="BM1467" s="2126">
        <v>0</v>
      </c>
      <c r="BN1467" s="2126">
        <v>0</v>
      </c>
      <c r="BO1467" s="2126">
        <v>0</v>
      </c>
      <c r="BP1467" s="2126">
        <v>0</v>
      </c>
      <c r="BQ1467" s="2126">
        <v>0</v>
      </c>
      <c r="BR1467" s="2126">
        <v>0</v>
      </c>
    </row>
    <row r="1468" spans="1:70" s="1765" customFormat="1" ht="33">
      <c r="A1468" s="1272">
        <v>6000</v>
      </c>
      <c r="B1468" s="971" t="s">
        <v>2390</v>
      </c>
      <c r="C1468" s="1272">
        <v>6100</v>
      </c>
      <c r="D1468" s="971" t="s">
        <v>78</v>
      </c>
      <c r="E1468" s="971">
        <v>6110</v>
      </c>
      <c r="F1468" s="971" t="s">
        <v>148</v>
      </c>
      <c r="G1468" s="971">
        <v>6120</v>
      </c>
      <c r="H1468" s="971" t="s">
        <v>2393</v>
      </c>
      <c r="I1468" s="1273"/>
      <c r="J1468" s="971" t="s">
        <v>121</v>
      </c>
      <c r="K1468" s="971" t="s">
        <v>150</v>
      </c>
      <c r="L1468" s="971" t="s">
        <v>2800</v>
      </c>
      <c r="M1468" s="971" t="s">
        <v>80</v>
      </c>
      <c r="N1468" s="971" t="s">
        <v>83</v>
      </c>
      <c r="O1468" s="971" t="s">
        <v>151</v>
      </c>
      <c r="P1468" s="971" t="s">
        <v>152</v>
      </c>
      <c r="Q1468" s="971" t="s">
        <v>2403</v>
      </c>
      <c r="R1468" s="1266"/>
      <c r="S1468" s="2106">
        <v>1230757</v>
      </c>
      <c r="T1468" s="1266" t="s">
        <v>136</v>
      </c>
      <c r="U1468" s="1742">
        <v>1.2691883296460175E-2</v>
      </c>
      <c r="V1468" s="1742">
        <v>0.14624999999999999</v>
      </c>
      <c r="W1468" s="1742">
        <v>1.1186625937499999</v>
      </c>
      <c r="X1468" s="1742">
        <v>0.4015178457754629</v>
      </c>
      <c r="Y1468" s="2106">
        <v>1.6649423457754629</v>
      </c>
      <c r="Z1468" s="2106">
        <v>15620.624210301436</v>
      </c>
      <c r="AA1468" s="2106">
        <v>179998.21124999999</v>
      </c>
      <c r="AB1468" s="2106">
        <v>1376801.8178959687</v>
      </c>
      <c r="AC1468" s="2106">
        <v>494170.89931307139</v>
      </c>
      <c r="AD1468" s="1744">
        <v>2050970.9284590399</v>
      </c>
      <c r="AE1468" s="2126">
        <v>0</v>
      </c>
      <c r="AF1468" s="2126">
        <v>0</v>
      </c>
      <c r="AG1468" s="1212">
        <v>1</v>
      </c>
      <c r="AH1468" s="1212">
        <v>0</v>
      </c>
      <c r="AI1468" s="1212">
        <v>0</v>
      </c>
      <c r="AJ1468" s="1212">
        <v>1</v>
      </c>
      <c r="AK1468" s="2126">
        <v>2050970.9284590399</v>
      </c>
      <c r="AL1468" s="2126">
        <v>0</v>
      </c>
      <c r="AM1468" s="2126">
        <v>0</v>
      </c>
      <c r="AN1468" s="2126">
        <v>2050970.9284590399</v>
      </c>
      <c r="AO1468" s="1743" t="s">
        <v>85</v>
      </c>
      <c r="AP1468" s="1743" t="s">
        <v>1105</v>
      </c>
      <c r="AQ1468" s="1764" t="s">
        <v>115</v>
      </c>
      <c r="AR1468" s="1743" t="s">
        <v>87</v>
      </c>
      <c r="AS1468" s="2135"/>
      <c r="AT1468" s="2135"/>
      <c r="AU1468" s="1212">
        <v>0.33333333333333331</v>
      </c>
      <c r="AV1468" s="1212">
        <v>0.33333333333333331</v>
      </c>
      <c r="AW1468" s="1212">
        <v>0.33333333333333331</v>
      </c>
      <c r="AX1468" s="1212"/>
      <c r="AY1468" s="1212"/>
      <c r="AZ1468" s="1212"/>
      <c r="BA1468" s="1212"/>
      <c r="BB1468" s="1212"/>
      <c r="BC1468" s="1212"/>
      <c r="BD1468" s="1212"/>
      <c r="BE1468" s="1212"/>
      <c r="BF1468" s="2126">
        <v>0</v>
      </c>
      <c r="BG1468" s="2126">
        <v>0</v>
      </c>
      <c r="BH1468" s="2126">
        <v>683656.9761530133</v>
      </c>
      <c r="BI1468" s="2126">
        <v>683656.9761530133</v>
      </c>
      <c r="BJ1468" s="2126">
        <v>683656.9761530133</v>
      </c>
      <c r="BK1468" s="2126">
        <v>0</v>
      </c>
      <c r="BL1468" s="2126">
        <v>0</v>
      </c>
      <c r="BM1468" s="2126">
        <v>0</v>
      </c>
      <c r="BN1468" s="2126">
        <v>0</v>
      </c>
      <c r="BO1468" s="2126">
        <v>0</v>
      </c>
      <c r="BP1468" s="2126">
        <v>0</v>
      </c>
      <c r="BQ1468" s="2126">
        <v>0</v>
      </c>
      <c r="BR1468" s="2126">
        <v>0</v>
      </c>
    </row>
    <row r="1469" spans="1:70" s="1765" customFormat="1" ht="33">
      <c r="A1469" s="1272">
        <v>6000</v>
      </c>
      <c r="B1469" s="971" t="s">
        <v>2390</v>
      </c>
      <c r="C1469" s="1272">
        <v>6100</v>
      </c>
      <c r="D1469" s="971" t="s">
        <v>78</v>
      </c>
      <c r="E1469" s="971">
        <v>6110</v>
      </c>
      <c r="F1469" s="971" t="s">
        <v>148</v>
      </c>
      <c r="G1469" s="971">
        <v>6120</v>
      </c>
      <c r="H1469" s="971" t="s">
        <v>2393</v>
      </c>
      <c r="I1469" s="1273"/>
      <c r="J1469" s="971" t="s">
        <v>121</v>
      </c>
      <c r="K1469" s="971" t="s">
        <v>150</v>
      </c>
      <c r="L1469" s="971" t="s">
        <v>2800</v>
      </c>
      <c r="M1469" s="971" t="s">
        <v>80</v>
      </c>
      <c r="N1469" s="971" t="s">
        <v>83</v>
      </c>
      <c r="O1469" s="971" t="s">
        <v>151</v>
      </c>
      <c r="P1469" s="971" t="s">
        <v>152</v>
      </c>
      <c r="Q1469" s="971" t="s">
        <v>2404</v>
      </c>
      <c r="R1469" s="1266"/>
      <c r="S1469" s="2106">
        <v>-6051446.4400000004</v>
      </c>
      <c r="T1469" s="1266" t="s">
        <v>136</v>
      </c>
      <c r="U1469" s="1742">
        <v>1.2691883296460175E-2</v>
      </c>
      <c r="V1469" s="1742">
        <v>0.14624999999999999</v>
      </c>
      <c r="W1469" s="1742">
        <v>1.1186625937499999</v>
      </c>
      <c r="X1469" s="1742">
        <v>0.4015178457754629</v>
      </c>
      <c r="Y1469" s="2106">
        <v>1.6649423457754629</v>
      </c>
      <c r="Z1469" s="2106">
        <v>-76804.2519912594</v>
      </c>
      <c r="AA1469" s="2106">
        <v>-885024.04185000004</v>
      </c>
      <c r="AB1469" s="2106">
        <v>-6769526.7705096034</v>
      </c>
      <c r="AC1469" s="2106">
        <v>-2429763.7384143942</v>
      </c>
      <c r="AD1469" s="1744">
        <v>-10084314.550773997</v>
      </c>
      <c r="AE1469" s="2126">
        <v>0</v>
      </c>
      <c r="AF1469" s="2126">
        <v>0</v>
      </c>
      <c r="AG1469" s="1212">
        <v>1</v>
      </c>
      <c r="AH1469" s="1212">
        <v>0</v>
      </c>
      <c r="AI1469" s="1212">
        <v>0</v>
      </c>
      <c r="AJ1469" s="1212">
        <v>1</v>
      </c>
      <c r="AK1469" s="2126">
        <v>-10084314.550773997</v>
      </c>
      <c r="AL1469" s="2126">
        <v>0</v>
      </c>
      <c r="AM1469" s="2126">
        <v>0</v>
      </c>
      <c r="AN1469" s="2126">
        <v>-10084314.550773997</v>
      </c>
      <c r="AO1469" s="1743" t="s">
        <v>85</v>
      </c>
      <c r="AP1469" s="1743" t="s">
        <v>1105</v>
      </c>
      <c r="AQ1469" s="1764" t="s">
        <v>115</v>
      </c>
      <c r="AR1469" s="1743" t="s">
        <v>87</v>
      </c>
      <c r="AS1469" s="2135"/>
      <c r="AT1469" s="2135"/>
      <c r="AU1469" s="1212">
        <v>0.33333333333333331</v>
      </c>
      <c r="AV1469" s="1212">
        <v>0.33333333333333331</v>
      </c>
      <c r="AW1469" s="1212">
        <v>0.33333333333333331</v>
      </c>
      <c r="AX1469" s="1212"/>
      <c r="AY1469" s="1212"/>
      <c r="AZ1469" s="1212"/>
      <c r="BA1469" s="1212"/>
      <c r="BB1469" s="1212"/>
      <c r="BC1469" s="1212"/>
      <c r="BD1469" s="1212"/>
      <c r="BE1469" s="1212"/>
      <c r="BF1469" s="2126">
        <v>0</v>
      </c>
      <c r="BG1469" s="2126">
        <v>0</v>
      </c>
      <c r="BH1469" s="2126">
        <v>-3361438.1835913323</v>
      </c>
      <c r="BI1469" s="2126">
        <v>-3361438.1835913323</v>
      </c>
      <c r="BJ1469" s="2126">
        <v>-3361438.1835913323</v>
      </c>
      <c r="BK1469" s="2126">
        <v>0</v>
      </c>
      <c r="BL1469" s="2126">
        <v>0</v>
      </c>
      <c r="BM1469" s="2126">
        <v>0</v>
      </c>
      <c r="BN1469" s="2126">
        <v>0</v>
      </c>
      <c r="BO1469" s="2126">
        <v>0</v>
      </c>
      <c r="BP1469" s="2126">
        <v>0</v>
      </c>
      <c r="BQ1469" s="2126">
        <v>0</v>
      </c>
      <c r="BR1469" s="2126">
        <v>0</v>
      </c>
    </row>
    <row r="1470" spans="1:70" s="1765" customFormat="1" ht="49.5">
      <c r="A1470" s="1272">
        <v>6000</v>
      </c>
      <c r="B1470" s="971" t="s">
        <v>2390</v>
      </c>
      <c r="C1470" s="1272">
        <v>6100</v>
      </c>
      <c r="D1470" s="971" t="s">
        <v>78</v>
      </c>
      <c r="E1470" s="971">
        <v>6110</v>
      </c>
      <c r="F1470" s="971" t="s">
        <v>148</v>
      </c>
      <c r="G1470" s="971">
        <v>6110</v>
      </c>
      <c r="H1470" s="971" t="s">
        <v>2391</v>
      </c>
      <c r="I1470" s="1273"/>
      <c r="J1470" s="971" t="s">
        <v>121</v>
      </c>
      <c r="K1470" s="971" t="s">
        <v>255</v>
      </c>
      <c r="L1470" s="971" t="s">
        <v>2802</v>
      </c>
      <c r="M1470" s="971" t="s">
        <v>255</v>
      </c>
      <c r="N1470" s="971" t="s">
        <v>83</v>
      </c>
      <c r="O1470" s="971" t="s">
        <v>256</v>
      </c>
      <c r="P1470" s="971" t="s">
        <v>152</v>
      </c>
      <c r="Q1470" s="971" t="s">
        <v>2405</v>
      </c>
      <c r="R1470" s="1266"/>
      <c r="S1470" s="2106">
        <v>149711</v>
      </c>
      <c r="T1470" s="1266" t="s">
        <v>136</v>
      </c>
      <c r="U1470" s="1742">
        <v>4.4491883296460179E-2</v>
      </c>
      <c r="V1470" s="1742">
        <v>0.1701</v>
      </c>
      <c r="W1470" s="1742">
        <v>3.92151459375</v>
      </c>
      <c r="X1470" s="1742">
        <v>0.68180304577546291</v>
      </c>
      <c r="Y1470" s="2106">
        <v>4.7480795457754628</v>
      </c>
      <c r="Z1470" s="2106">
        <v>6660.9243401963495</v>
      </c>
      <c r="AA1470" s="2106">
        <v>25465.841100000001</v>
      </c>
      <c r="AB1470" s="2106">
        <v>587093.87134490628</v>
      </c>
      <c r="AC1470" s="2106">
        <v>102073.41578609032</v>
      </c>
      <c r="AD1470" s="1744">
        <v>714633.12823099655</v>
      </c>
      <c r="AE1470" s="2126">
        <v>0</v>
      </c>
      <c r="AF1470" s="2126">
        <v>0</v>
      </c>
      <c r="AG1470" s="1212">
        <v>1</v>
      </c>
      <c r="AH1470" s="1212">
        <v>0</v>
      </c>
      <c r="AI1470" s="1212">
        <v>0</v>
      </c>
      <c r="AJ1470" s="1212">
        <v>1</v>
      </c>
      <c r="AK1470" s="2126">
        <v>714633.12823099655</v>
      </c>
      <c r="AL1470" s="2126">
        <v>0</v>
      </c>
      <c r="AM1470" s="2126">
        <v>0</v>
      </c>
      <c r="AN1470" s="2126">
        <v>714633.12823099655</v>
      </c>
      <c r="AO1470" s="1743" t="s">
        <v>85</v>
      </c>
      <c r="AP1470" s="1743" t="s">
        <v>1105</v>
      </c>
      <c r="AQ1470" s="1764" t="s">
        <v>115</v>
      </c>
      <c r="AR1470" s="1743" t="s">
        <v>87</v>
      </c>
      <c r="AS1470" s="2135"/>
      <c r="AT1470" s="2135"/>
      <c r="AU1470" s="1212">
        <v>0.33333333333333331</v>
      </c>
      <c r="AV1470" s="1212">
        <v>0.33333333333333331</v>
      </c>
      <c r="AW1470" s="1212">
        <v>0.33333333333333331</v>
      </c>
      <c r="AX1470" s="1212"/>
      <c r="AY1470" s="1212"/>
      <c r="AZ1470" s="1212"/>
      <c r="BA1470" s="1212"/>
      <c r="BB1470" s="1212"/>
      <c r="BC1470" s="1212"/>
      <c r="BD1470" s="1212"/>
      <c r="BE1470" s="1212"/>
      <c r="BF1470" s="2126">
        <v>0</v>
      </c>
      <c r="BG1470" s="2126">
        <v>0</v>
      </c>
      <c r="BH1470" s="2126">
        <v>238211.04274366552</v>
      </c>
      <c r="BI1470" s="2126">
        <v>238211.04274366552</v>
      </c>
      <c r="BJ1470" s="2126">
        <v>238211.04274366552</v>
      </c>
      <c r="BK1470" s="2126">
        <v>0</v>
      </c>
      <c r="BL1470" s="2126">
        <v>0</v>
      </c>
      <c r="BM1470" s="2126">
        <v>0</v>
      </c>
      <c r="BN1470" s="2126">
        <v>0</v>
      </c>
      <c r="BO1470" s="2126">
        <v>0</v>
      </c>
      <c r="BP1470" s="2126">
        <v>0</v>
      </c>
      <c r="BQ1470" s="2126">
        <v>0</v>
      </c>
      <c r="BR1470" s="2126">
        <v>0</v>
      </c>
    </row>
    <row r="1471" spans="1:70" s="1765" customFormat="1" ht="49.5">
      <c r="A1471" s="1272">
        <v>6000</v>
      </c>
      <c r="B1471" s="971" t="s">
        <v>2390</v>
      </c>
      <c r="C1471" s="1272">
        <v>6100</v>
      </c>
      <c r="D1471" s="971" t="s">
        <v>78</v>
      </c>
      <c r="E1471" s="971">
        <v>6110</v>
      </c>
      <c r="F1471" s="971" t="s">
        <v>148</v>
      </c>
      <c r="G1471" s="971">
        <v>6120</v>
      </c>
      <c r="H1471" s="971" t="s">
        <v>2393</v>
      </c>
      <c r="I1471" s="1273"/>
      <c r="J1471" s="971" t="s">
        <v>121</v>
      </c>
      <c r="K1471" s="971" t="s">
        <v>255</v>
      </c>
      <c r="L1471" s="971" t="s">
        <v>2802</v>
      </c>
      <c r="M1471" s="971" t="s">
        <v>255</v>
      </c>
      <c r="N1471" s="971" t="s">
        <v>83</v>
      </c>
      <c r="O1471" s="971" t="s">
        <v>256</v>
      </c>
      <c r="P1471" s="971" t="s">
        <v>152</v>
      </c>
      <c r="Q1471" s="971" t="s">
        <v>2406</v>
      </c>
      <c r="R1471" s="1266"/>
      <c r="S1471" s="2106">
        <v>32683</v>
      </c>
      <c r="T1471" s="1266" t="s">
        <v>136</v>
      </c>
      <c r="U1471" s="1742">
        <v>4.4491883296460179E-2</v>
      </c>
      <c r="V1471" s="1742">
        <v>0.1701</v>
      </c>
      <c r="W1471" s="1742">
        <v>3.92151459375</v>
      </c>
      <c r="X1471" s="1742">
        <v>0.68180304577546291</v>
      </c>
      <c r="Y1471" s="2106">
        <v>4.7480795457754628</v>
      </c>
      <c r="Z1471" s="2106">
        <v>1454.1282217782079</v>
      </c>
      <c r="AA1471" s="2106">
        <v>5559.3783000000003</v>
      </c>
      <c r="AB1471" s="2106">
        <v>128166.86146753126</v>
      </c>
      <c r="AC1471" s="2106">
        <v>22283.368945079455</v>
      </c>
      <c r="AD1471" s="1744">
        <v>156009.6087126107</v>
      </c>
      <c r="AE1471" s="2126">
        <v>0</v>
      </c>
      <c r="AF1471" s="2126">
        <v>0</v>
      </c>
      <c r="AG1471" s="1212">
        <v>1</v>
      </c>
      <c r="AH1471" s="1212">
        <v>0</v>
      </c>
      <c r="AI1471" s="1212">
        <v>0</v>
      </c>
      <c r="AJ1471" s="1212">
        <v>1</v>
      </c>
      <c r="AK1471" s="2126">
        <v>156009.6087126107</v>
      </c>
      <c r="AL1471" s="2126">
        <v>0</v>
      </c>
      <c r="AM1471" s="2126">
        <v>0</v>
      </c>
      <c r="AN1471" s="2126">
        <v>156009.6087126107</v>
      </c>
      <c r="AO1471" s="1743" t="s">
        <v>85</v>
      </c>
      <c r="AP1471" s="1743" t="s">
        <v>1105</v>
      </c>
      <c r="AQ1471" s="1764" t="s">
        <v>115</v>
      </c>
      <c r="AR1471" s="1743" t="s">
        <v>87</v>
      </c>
      <c r="AS1471" s="2135"/>
      <c r="AT1471" s="2135"/>
      <c r="AU1471" s="1212">
        <v>0.33333333333333331</v>
      </c>
      <c r="AV1471" s="1212">
        <v>0.33333333333333331</v>
      </c>
      <c r="AW1471" s="1212">
        <v>0.33333333333333331</v>
      </c>
      <c r="AX1471" s="1212"/>
      <c r="AY1471" s="1212"/>
      <c r="AZ1471" s="1212"/>
      <c r="BA1471" s="1212"/>
      <c r="BB1471" s="1212"/>
      <c r="BC1471" s="1212"/>
      <c r="BD1471" s="1212"/>
      <c r="BE1471" s="1212"/>
      <c r="BF1471" s="2126">
        <v>0</v>
      </c>
      <c r="BG1471" s="2126">
        <v>0</v>
      </c>
      <c r="BH1471" s="2126">
        <v>52003.202904203565</v>
      </c>
      <c r="BI1471" s="2126">
        <v>52003.202904203565</v>
      </c>
      <c r="BJ1471" s="2126">
        <v>52003.202904203565</v>
      </c>
      <c r="BK1471" s="2126">
        <v>0</v>
      </c>
      <c r="BL1471" s="2126">
        <v>0</v>
      </c>
      <c r="BM1471" s="2126">
        <v>0</v>
      </c>
      <c r="BN1471" s="2126">
        <v>0</v>
      </c>
      <c r="BO1471" s="2126">
        <v>0</v>
      </c>
      <c r="BP1471" s="2126">
        <v>0</v>
      </c>
      <c r="BQ1471" s="2126">
        <v>0</v>
      </c>
      <c r="BR1471" s="2126">
        <v>0</v>
      </c>
    </row>
    <row r="1472" spans="1:70" s="1765" customFormat="1" ht="49.5">
      <c r="A1472" s="1272">
        <v>6000</v>
      </c>
      <c r="B1472" s="971" t="s">
        <v>2390</v>
      </c>
      <c r="C1472" s="1272">
        <v>6100</v>
      </c>
      <c r="D1472" s="971" t="s">
        <v>78</v>
      </c>
      <c r="E1472" s="971">
        <v>6110</v>
      </c>
      <c r="F1472" s="971" t="s">
        <v>148</v>
      </c>
      <c r="G1472" s="971">
        <v>6120</v>
      </c>
      <c r="H1472" s="971" t="s">
        <v>2393</v>
      </c>
      <c r="I1472" s="1273"/>
      <c r="J1472" s="971" t="s">
        <v>121</v>
      </c>
      <c r="K1472" s="971" t="s">
        <v>255</v>
      </c>
      <c r="L1472" s="971" t="s">
        <v>2802</v>
      </c>
      <c r="M1472" s="971" t="s">
        <v>255</v>
      </c>
      <c r="N1472" s="971" t="s">
        <v>83</v>
      </c>
      <c r="O1472" s="971" t="s">
        <v>256</v>
      </c>
      <c r="P1472" s="971" t="s">
        <v>152</v>
      </c>
      <c r="Q1472" s="971" t="s">
        <v>2407</v>
      </c>
      <c r="R1472" s="1266"/>
      <c r="S1472" s="2106">
        <v>-173862</v>
      </c>
      <c r="T1472" s="1266" t="s">
        <v>136</v>
      </c>
      <c r="U1472" s="1742">
        <v>4.4491883296460179E-2</v>
      </c>
      <c r="V1472" s="1742">
        <v>0.1701</v>
      </c>
      <c r="W1472" s="1742">
        <v>3.92151459375</v>
      </c>
      <c r="X1472" s="1742">
        <v>0.68180304577546291</v>
      </c>
      <c r="Y1472" s="2106">
        <v>4.7480795457754628</v>
      </c>
      <c r="Z1472" s="2106">
        <v>-7735.4478136891594</v>
      </c>
      <c r="AA1472" s="2106">
        <v>-29573.926200000002</v>
      </c>
      <c r="AB1472" s="2106">
        <v>-681802.37029856245</v>
      </c>
      <c r="AC1472" s="2106">
        <v>-118539.64114461353</v>
      </c>
      <c r="AD1472" s="1744">
        <v>-829915.93764317594</v>
      </c>
      <c r="AE1472" s="2126">
        <v>0</v>
      </c>
      <c r="AF1472" s="2126">
        <v>0</v>
      </c>
      <c r="AG1472" s="1212">
        <v>1</v>
      </c>
      <c r="AH1472" s="1212">
        <v>0</v>
      </c>
      <c r="AI1472" s="1212">
        <v>0</v>
      </c>
      <c r="AJ1472" s="1212">
        <v>1</v>
      </c>
      <c r="AK1472" s="2126">
        <v>-829915.93764317594</v>
      </c>
      <c r="AL1472" s="2126">
        <v>0</v>
      </c>
      <c r="AM1472" s="2126">
        <v>0</v>
      </c>
      <c r="AN1472" s="2126">
        <v>-829915.93764317594</v>
      </c>
      <c r="AO1472" s="1743" t="s">
        <v>85</v>
      </c>
      <c r="AP1472" s="1743" t="s">
        <v>1105</v>
      </c>
      <c r="AQ1472" s="1764" t="s">
        <v>115</v>
      </c>
      <c r="AR1472" s="1743" t="s">
        <v>87</v>
      </c>
      <c r="AS1472" s="2135"/>
      <c r="AT1472" s="2135"/>
      <c r="AU1472" s="1212">
        <v>0.33333333333333331</v>
      </c>
      <c r="AV1472" s="1212">
        <v>0.33333333333333331</v>
      </c>
      <c r="AW1472" s="1212">
        <v>0.33333333333333331</v>
      </c>
      <c r="AX1472" s="1212"/>
      <c r="AY1472" s="1212"/>
      <c r="AZ1472" s="1212"/>
      <c r="BA1472" s="1212"/>
      <c r="BB1472" s="1212"/>
      <c r="BC1472" s="1212"/>
      <c r="BD1472" s="1212"/>
      <c r="BE1472" s="1212"/>
      <c r="BF1472" s="2126">
        <v>0</v>
      </c>
      <c r="BG1472" s="2126">
        <v>0</v>
      </c>
      <c r="BH1472" s="2126">
        <v>-276638.64588105865</v>
      </c>
      <c r="BI1472" s="2126">
        <v>-276638.64588105865</v>
      </c>
      <c r="BJ1472" s="2126">
        <v>-276638.64588105865</v>
      </c>
      <c r="BK1472" s="2126">
        <v>0</v>
      </c>
      <c r="BL1472" s="2126">
        <v>0</v>
      </c>
      <c r="BM1472" s="2126">
        <v>0</v>
      </c>
      <c r="BN1472" s="2126">
        <v>0</v>
      </c>
      <c r="BO1472" s="2126">
        <v>0</v>
      </c>
      <c r="BP1472" s="2126">
        <v>0</v>
      </c>
      <c r="BQ1472" s="2126">
        <v>0</v>
      </c>
      <c r="BR1472" s="2126">
        <v>0</v>
      </c>
    </row>
    <row r="1473" spans="1:70" s="1765" customFormat="1" ht="33">
      <c r="A1473" s="1272">
        <v>6000</v>
      </c>
      <c r="B1473" s="971" t="s">
        <v>2390</v>
      </c>
      <c r="C1473" s="1272">
        <v>6100</v>
      </c>
      <c r="D1473" s="971" t="s">
        <v>78</v>
      </c>
      <c r="E1473" s="971">
        <v>6110</v>
      </c>
      <c r="F1473" s="971" t="s">
        <v>148</v>
      </c>
      <c r="G1473" s="971">
        <v>6110</v>
      </c>
      <c r="H1473" s="971" t="s">
        <v>2391</v>
      </c>
      <c r="I1473" s="1273"/>
      <c r="J1473" s="971" t="s">
        <v>121</v>
      </c>
      <c r="K1473" s="971" t="s">
        <v>150</v>
      </c>
      <c r="L1473" s="971" t="s">
        <v>2800</v>
      </c>
      <c r="M1473" s="971" t="s">
        <v>80</v>
      </c>
      <c r="N1473" s="971" t="s">
        <v>83</v>
      </c>
      <c r="O1473" s="971" t="s">
        <v>151</v>
      </c>
      <c r="P1473" s="971" t="s">
        <v>152</v>
      </c>
      <c r="Q1473" s="971" t="s">
        <v>2408</v>
      </c>
      <c r="R1473" s="1266"/>
      <c r="S1473" s="2106">
        <v>144600.01638784647</v>
      </c>
      <c r="T1473" s="1266" t="s">
        <v>136</v>
      </c>
      <c r="U1473" s="1742">
        <v>1.2691883296460175E-2</v>
      </c>
      <c r="V1473" s="1742">
        <v>0.14624999999999999</v>
      </c>
      <c r="W1473" s="1742">
        <v>1.1186625937499999</v>
      </c>
      <c r="X1473" s="1742">
        <v>0.4015178457754629</v>
      </c>
      <c r="Y1473" s="2106">
        <v>1.6649423457754629</v>
      </c>
      <c r="Z1473" s="2106">
        <v>1835.2465326607762</v>
      </c>
      <c r="AA1473" s="2106">
        <v>21147.752396722546</v>
      </c>
      <c r="AB1473" s="2106">
        <v>161758.62938872082</v>
      </c>
      <c r="AC1473" s="2106">
        <v>58059.487079144747</v>
      </c>
      <c r="AD1473" s="1744">
        <v>240965.86886458812</v>
      </c>
      <c r="AE1473" s="2126">
        <v>0</v>
      </c>
      <c r="AF1473" s="2126">
        <v>0</v>
      </c>
      <c r="AG1473" s="1212">
        <v>0</v>
      </c>
      <c r="AH1473" s="1212">
        <v>1</v>
      </c>
      <c r="AI1473" s="1212">
        <v>0</v>
      </c>
      <c r="AJ1473" s="1212">
        <v>1</v>
      </c>
      <c r="AK1473" s="2126">
        <v>0</v>
      </c>
      <c r="AL1473" s="2126">
        <v>240965.86886458812</v>
      </c>
      <c r="AM1473" s="2126">
        <v>0</v>
      </c>
      <c r="AN1473" s="2126">
        <v>240965.86886458812</v>
      </c>
      <c r="AO1473" s="1743" t="s">
        <v>85</v>
      </c>
      <c r="AP1473" s="1743" t="s">
        <v>1105</v>
      </c>
      <c r="AQ1473" s="1764" t="s">
        <v>115</v>
      </c>
      <c r="AR1473" s="1743" t="s">
        <v>87</v>
      </c>
      <c r="AS1473" s="2135"/>
      <c r="AT1473" s="2135"/>
      <c r="AU1473" s="1212">
        <v>0.33333333333333331</v>
      </c>
      <c r="AV1473" s="1212">
        <v>0.33333333333333331</v>
      </c>
      <c r="AW1473" s="1212">
        <v>0.33333333333333331</v>
      </c>
      <c r="AX1473" s="1212"/>
      <c r="AY1473" s="1212"/>
      <c r="AZ1473" s="1212"/>
      <c r="BA1473" s="1212"/>
      <c r="BB1473" s="1212"/>
      <c r="BC1473" s="1212"/>
      <c r="BD1473" s="1212"/>
      <c r="BE1473" s="1212"/>
      <c r="BF1473" s="2126">
        <v>0</v>
      </c>
      <c r="BG1473" s="2126">
        <v>0</v>
      </c>
      <c r="BH1473" s="2126">
        <v>80321.95628819603</v>
      </c>
      <c r="BI1473" s="2126">
        <v>80321.95628819603</v>
      </c>
      <c r="BJ1473" s="2126">
        <v>80321.95628819603</v>
      </c>
      <c r="BK1473" s="2126">
        <v>0</v>
      </c>
      <c r="BL1473" s="2126">
        <v>0</v>
      </c>
      <c r="BM1473" s="2126">
        <v>0</v>
      </c>
      <c r="BN1473" s="2126">
        <v>0</v>
      </c>
      <c r="BO1473" s="2126">
        <v>0</v>
      </c>
      <c r="BP1473" s="2126">
        <v>0</v>
      </c>
      <c r="BQ1473" s="2126">
        <v>0</v>
      </c>
      <c r="BR1473" s="2126">
        <v>0</v>
      </c>
    </row>
    <row r="1474" spans="1:70" s="1765" customFormat="1" ht="33">
      <c r="A1474" s="1272">
        <v>6000</v>
      </c>
      <c r="B1474" s="971" t="s">
        <v>2390</v>
      </c>
      <c r="C1474" s="1272">
        <v>6100</v>
      </c>
      <c r="D1474" s="971" t="s">
        <v>78</v>
      </c>
      <c r="E1474" s="971">
        <v>6110</v>
      </c>
      <c r="F1474" s="971" t="s">
        <v>148</v>
      </c>
      <c r="G1474" s="971">
        <v>6120</v>
      </c>
      <c r="H1474" s="971" t="s">
        <v>2393</v>
      </c>
      <c r="I1474" s="1273"/>
      <c r="J1474" s="971" t="s">
        <v>121</v>
      </c>
      <c r="K1474" s="971" t="s">
        <v>150</v>
      </c>
      <c r="L1474" s="971" t="s">
        <v>2800</v>
      </c>
      <c r="M1474" s="971" t="s">
        <v>80</v>
      </c>
      <c r="N1474" s="971" t="s">
        <v>83</v>
      </c>
      <c r="O1474" s="971" t="s">
        <v>151</v>
      </c>
      <c r="P1474" s="971" t="s">
        <v>152</v>
      </c>
      <c r="Q1474" s="971" t="s">
        <v>2409</v>
      </c>
      <c r="R1474" s="1266"/>
      <c r="S1474" s="2106">
        <v>332245</v>
      </c>
      <c r="T1474" s="1266" t="s">
        <v>136</v>
      </c>
      <c r="U1474" s="1742">
        <v>1.2691883296460175E-2</v>
      </c>
      <c r="V1474" s="1742">
        <v>0.14624999999999999</v>
      </c>
      <c r="W1474" s="1742">
        <v>1.1186625937499999</v>
      </c>
      <c r="X1474" s="1742">
        <v>0.4015178457754629</v>
      </c>
      <c r="Y1474" s="2106">
        <v>1.6649423457754629</v>
      </c>
      <c r="Z1474" s="2106">
        <v>4216.8147658324106</v>
      </c>
      <c r="AA1474" s="2106">
        <v>48590.831249999996</v>
      </c>
      <c r="AB1474" s="2106">
        <v>371670.05346046871</v>
      </c>
      <c r="AC1474" s="2106">
        <v>133402.29666966866</v>
      </c>
      <c r="AD1474" s="1744">
        <v>553663.18138013734</v>
      </c>
      <c r="AE1474" s="2126">
        <v>0</v>
      </c>
      <c r="AF1474" s="2126">
        <v>0</v>
      </c>
      <c r="AG1474" s="1212">
        <v>0</v>
      </c>
      <c r="AH1474" s="1212">
        <v>1</v>
      </c>
      <c r="AI1474" s="1212">
        <v>0</v>
      </c>
      <c r="AJ1474" s="1212">
        <v>1</v>
      </c>
      <c r="AK1474" s="2126">
        <v>0</v>
      </c>
      <c r="AL1474" s="2126">
        <v>553663.18138013734</v>
      </c>
      <c r="AM1474" s="2126">
        <v>0</v>
      </c>
      <c r="AN1474" s="2126">
        <v>553663.18138013734</v>
      </c>
      <c r="AO1474" s="1743" t="s">
        <v>85</v>
      </c>
      <c r="AP1474" s="1743" t="s">
        <v>1105</v>
      </c>
      <c r="AQ1474" s="1764" t="s">
        <v>115</v>
      </c>
      <c r="AR1474" s="1743" t="s">
        <v>87</v>
      </c>
      <c r="AS1474" s="2135"/>
      <c r="AT1474" s="2135"/>
      <c r="AU1474" s="1212">
        <v>0.33333333333333331</v>
      </c>
      <c r="AV1474" s="1212">
        <v>0.33333333333333331</v>
      </c>
      <c r="AW1474" s="1212">
        <v>0.33333333333333331</v>
      </c>
      <c r="AX1474" s="1212"/>
      <c r="AY1474" s="1212"/>
      <c r="AZ1474" s="1212"/>
      <c r="BA1474" s="1212"/>
      <c r="BB1474" s="1212"/>
      <c r="BC1474" s="1212"/>
      <c r="BD1474" s="1212"/>
      <c r="BE1474" s="1212"/>
      <c r="BF1474" s="2126">
        <v>0</v>
      </c>
      <c r="BG1474" s="2126">
        <v>0</v>
      </c>
      <c r="BH1474" s="2126">
        <v>184554.3937933791</v>
      </c>
      <c r="BI1474" s="2126">
        <v>184554.3937933791</v>
      </c>
      <c r="BJ1474" s="2126">
        <v>184554.3937933791</v>
      </c>
      <c r="BK1474" s="2126">
        <v>0</v>
      </c>
      <c r="BL1474" s="2126">
        <v>0</v>
      </c>
      <c r="BM1474" s="2126">
        <v>0</v>
      </c>
      <c r="BN1474" s="2126">
        <v>0</v>
      </c>
      <c r="BO1474" s="2126">
        <v>0</v>
      </c>
      <c r="BP1474" s="2126">
        <v>0</v>
      </c>
      <c r="BQ1474" s="2126">
        <v>0</v>
      </c>
      <c r="BR1474" s="2126">
        <v>0</v>
      </c>
    </row>
    <row r="1475" spans="1:70" s="1765" customFormat="1" ht="33">
      <c r="A1475" s="1272">
        <v>6000</v>
      </c>
      <c r="B1475" s="971" t="s">
        <v>2390</v>
      </c>
      <c r="C1475" s="1272">
        <v>6100</v>
      </c>
      <c r="D1475" s="971" t="s">
        <v>78</v>
      </c>
      <c r="E1475" s="971">
        <v>6110</v>
      </c>
      <c r="F1475" s="971" t="s">
        <v>148</v>
      </c>
      <c r="G1475" s="971">
        <v>6120</v>
      </c>
      <c r="H1475" s="971" t="s">
        <v>2393</v>
      </c>
      <c r="I1475" s="1273"/>
      <c r="J1475" s="971" t="s">
        <v>121</v>
      </c>
      <c r="K1475" s="971" t="s">
        <v>150</v>
      </c>
      <c r="L1475" s="971" t="s">
        <v>2800</v>
      </c>
      <c r="M1475" s="971" t="s">
        <v>80</v>
      </c>
      <c r="N1475" s="971" t="s">
        <v>83</v>
      </c>
      <c r="O1475" s="971" t="s">
        <v>151</v>
      </c>
      <c r="P1475" s="971" t="s">
        <v>152</v>
      </c>
      <c r="Q1475" s="971" t="s">
        <v>2410</v>
      </c>
      <c r="R1475" s="1266"/>
      <c r="S1475" s="2106">
        <v>-475549</v>
      </c>
      <c r="T1475" s="1266" t="s">
        <v>136</v>
      </c>
      <c r="U1475" s="1742">
        <v>1.2691883296460175E-2</v>
      </c>
      <c r="V1475" s="1742">
        <v>0.14624999999999999</v>
      </c>
      <c r="W1475" s="1742">
        <v>1.1186625937499999</v>
      </c>
      <c r="X1475" s="1742">
        <v>0.4015178457754629</v>
      </c>
      <c r="Y1475" s="2106">
        <v>1.6649423457754629</v>
      </c>
      <c r="Z1475" s="2106">
        <v>-6035.6124097483398</v>
      </c>
      <c r="AA1475" s="2106">
        <v>-69549.041249999995</v>
      </c>
      <c r="AB1475" s="2106">
        <v>-531978.87779521872</v>
      </c>
      <c r="AC1475" s="2106">
        <v>-190941.4100406756</v>
      </c>
      <c r="AD1475" s="1744">
        <v>-792469.32908589439</v>
      </c>
      <c r="AE1475" s="2126">
        <v>0</v>
      </c>
      <c r="AF1475" s="2126">
        <v>0</v>
      </c>
      <c r="AG1475" s="1212">
        <v>0</v>
      </c>
      <c r="AH1475" s="1212">
        <v>1</v>
      </c>
      <c r="AI1475" s="1212">
        <v>0</v>
      </c>
      <c r="AJ1475" s="1212">
        <v>1</v>
      </c>
      <c r="AK1475" s="2126">
        <v>0</v>
      </c>
      <c r="AL1475" s="2126">
        <v>-792469.32908589439</v>
      </c>
      <c r="AM1475" s="2126">
        <v>0</v>
      </c>
      <c r="AN1475" s="2126">
        <v>-792469.32908589439</v>
      </c>
      <c r="AO1475" s="1743" t="s">
        <v>85</v>
      </c>
      <c r="AP1475" s="1743" t="s">
        <v>1105</v>
      </c>
      <c r="AQ1475" s="1764" t="s">
        <v>115</v>
      </c>
      <c r="AR1475" s="1743" t="s">
        <v>87</v>
      </c>
      <c r="AS1475" s="2135"/>
      <c r="AT1475" s="2135"/>
      <c r="AU1475" s="1212">
        <v>0.33333333333333331</v>
      </c>
      <c r="AV1475" s="1212">
        <v>0.33333333333333331</v>
      </c>
      <c r="AW1475" s="1212">
        <v>0.33333333333333331</v>
      </c>
      <c r="AX1475" s="1212"/>
      <c r="AY1475" s="1212"/>
      <c r="AZ1475" s="1212"/>
      <c r="BA1475" s="1212"/>
      <c r="BB1475" s="1212"/>
      <c r="BC1475" s="1212"/>
      <c r="BD1475" s="1212"/>
      <c r="BE1475" s="1212"/>
      <c r="BF1475" s="2126">
        <v>0</v>
      </c>
      <c r="BG1475" s="2126">
        <v>0</v>
      </c>
      <c r="BH1475" s="2126">
        <v>-264156.44302863145</v>
      </c>
      <c r="BI1475" s="2126">
        <v>-264156.44302863145</v>
      </c>
      <c r="BJ1475" s="2126">
        <v>-264156.44302863145</v>
      </c>
      <c r="BK1475" s="2126">
        <v>0</v>
      </c>
      <c r="BL1475" s="2126">
        <v>0</v>
      </c>
      <c r="BM1475" s="2126">
        <v>0</v>
      </c>
      <c r="BN1475" s="2126">
        <v>0</v>
      </c>
      <c r="BO1475" s="2126">
        <v>0</v>
      </c>
      <c r="BP1475" s="2126">
        <v>0</v>
      </c>
      <c r="BQ1475" s="2126">
        <v>0</v>
      </c>
      <c r="BR1475" s="2126">
        <v>0</v>
      </c>
    </row>
    <row r="1476" spans="1:70" s="1765" customFormat="1" ht="33">
      <c r="A1476" s="1272">
        <v>6000</v>
      </c>
      <c r="B1476" s="971" t="s">
        <v>2390</v>
      </c>
      <c r="C1476" s="1272">
        <v>6100</v>
      </c>
      <c r="D1476" s="971" t="s">
        <v>78</v>
      </c>
      <c r="E1476" s="971">
        <v>6110</v>
      </c>
      <c r="F1476" s="971" t="s">
        <v>148</v>
      </c>
      <c r="G1476" s="971">
        <v>6110</v>
      </c>
      <c r="H1476" s="971" t="s">
        <v>2391</v>
      </c>
      <c r="I1476" s="1273"/>
      <c r="J1476" s="971" t="s">
        <v>121</v>
      </c>
      <c r="K1476" s="971" t="s">
        <v>150</v>
      </c>
      <c r="L1476" s="971" t="s">
        <v>2800</v>
      </c>
      <c r="M1476" s="971" t="s">
        <v>80</v>
      </c>
      <c r="N1476" s="971" t="s">
        <v>83</v>
      </c>
      <c r="O1476" s="971" t="s">
        <v>151</v>
      </c>
      <c r="P1476" s="971" t="s">
        <v>152</v>
      </c>
      <c r="Q1476" s="971" t="s">
        <v>2411</v>
      </c>
      <c r="R1476" s="1266"/>
      <c r="S1476" s="2106">
        <v>5307266</v>
      </c>
      <c r="T1476" s="1266" t="s">
        <v>136</v>
      </c>
      <c r="U1476" s="1742">
        <v>1.2691883296460175E-2</v>
      </c>
      <c r="V1476" s="1742">
        <v>0.14624999999999999</v>
      </c>
      <c r="W1476" s="1742">
        <v>1.1186625937499999</v>
      </c>
      <c r="X1476" s="1742">
        <v>0.4015178457754629</v>
      </c>
      <c r="Y1476" s="2106">
        <v>1.6649423457754629</v>
      </c>
      <c r="Z1476" s="2106">
        <v>67359.200695271007</v>
      </c>
      <c r="AA1476" s="2106">
        <v>776187.65249999997</v>
      </c>
      <c r="AB1476" s="2106">
        <v>5937039.9492811868</v>
      </c>
      <c r="AC1476" s="2106">
        <v>2130962.011277358</v>
      </c>
      <c r="AD1476" s="1744">
        <v>8844189.6130585447</v>
      </c>
      <c r="AE1476" s="2126">
        <v>0</v>
      </c>
      <c r="AF1476" s="2126">
        <v>0</v>
      </c>
      <c r="AG1476" s="1212">
        <v>1</v>
      </c>
      <c r="AH1476" s="1212">
        <v>0</v>
      </c>
      <c r="AI1476" s="1212">
        <v>0</v>
      </c>
      <c r="AJ1476" s="1212">
        <v>1</v>
      </c>
      <c r="AK1476" s="2126">
        <v>8844189.6130585447</v>
      </c>
      <c r="AL1476" s="2126">
        <v>0</v>
      </c>
      <c r="AM1476" s="2126">
        <v>0</v>
      </c>
      <c r="AN1476" s="2126">
        <v>8844189.6130585447</v>
      </c>
      <c r="AO1476" s="1743" t="s">
        <v>85</v>
      </c>
      <c r="AP1476" s="1743" t="s">
        <v>1105</v>
      </c>
      <c r="AQ1476" s="1764" t="s">
        <v>2141</v>
      </c>
      <c r="AR1476" s="1743" t="s">
        <v>87</v>
      </c>
      <c r="AS1476" s="2135"/>
      <c r="AT1476" s="2135"/>
      <c r="AU1476" s="1212">
        <v>0.33333333333333331</v>
      </c>
      <c r="AV1476" s="1212">
        <v>0.33333333333333331</v>
      </c>
      <c r="AW1476" s="1212">
        <v>0.33333333333333331</v>
      </c>
      <c r="AX1476" s="1212"/>
      <c r="AY1476" s="1212"/>
      <c r="AZ1476" s="1212"/>
      <c r="BA1476" s="1212"/>
      <c r="BB1476" s="1212"/>
      <c r="BC1476" s="1212"/>
      <c r="BD1476" s="1212"/>
      <c r="BE1476" s="1212"/>
      <c r="BF1476" s="2126">
        <v>0</v>
      </c>
      <c r="BG1476" s="2126">
        <v>0</v>
      </c>
      <c r="BH1476" s="2126">
        <v>2948063.2043528482</v>
      </c>
      <c r="BI1476" s="2126">
        <v>2948063.2043528482</v>
      </c>
      <c r="BJ1476" s="2126">
        <v>2948063.2043528482</v>
      </c>
      <c r="BK1476" s="2126">
        <v>0</v>
      </c>
      <c r="BL1476" s="2126">
        <v>0</v>
      </c>
      <c r="BM1476" s="2126">
        <v>0</v>
      </c>
      <c r="BN1476" s="2126">
        <v>0</v>
      </c>
      <c r="BO1476" s="2126">
        <v>0</v>
      </c>
      <c r="BP1476" s="2126">
        <v>0</v>
      </c>
      <c r="BQ1476" s="2126">
        <v>0</v>
      </c>
      <c r="BR1476" s="2126">
        <v>0</v>
      </c>
    </row>
    <row r="1477" spans="1:70" s="1765" customFormat="1" ht="33">
      <c r="A1477" s="1272">
        <v>6000</v>
      </c>
      <c r="B1477" s="971" t="s">
        <v>2390</v>
      </c>
      <c r="C1477" s="1272">
        <v>6100</v>
      </c>
      <c r="D1477" s="971" t="s">
        <v>78</v>
      </c>
      <c r="E1477" s="971">
        <v>6110</v>
      </c>
      <c r="F1477" s="971" t="s">
        <v>148</v>
      </c>
      <c r="G1477" s="971">
        <v>6120</v>
      </c>
      <c r="H1477" s="971" t="s">
        <v>2393</v>
      </c>
      <c r="I1477" s="1273"/>
      <c r="J1477" s="971" t="s">
        <v>121</v>
      </c>
      <c r="K1477" s="971" t="s">
        <v>150</v>
      </c>
      <c r="L1477" s="971" t="s">
        <v>2800</v>
      </c>
      <c r="M1477" s="971" t="s">
        <v>80</v>
      </c>
      <c r="N1477" s="971" t="s">
        <v>83</v>
      </c>
      <c r="O1477" s="971" t="s">
        <v>151</v>
      </c>
      <c r="P1477" s="971" t="s">
        <v>152</v>
      </c>
      <c r="Q1477" s="971" t="s">
        <v>2412</v>
      </c>
      <c r="R1477" s="1266"/>
      <c r="S1477" s="2106">
        <v>3160642</v>
      </c>
      <c r="T1477" s="1266" t="s">
        <v>136</v>
      </c>
      <c r="U1477" s="1742">
        <v>1.2691883296460175E-2</v>
      </c>
      <c r="V1477" s="1742">
        <v>0.14624999999999999</v>
      </c>
      <c r="W1477" s="1742">
        <v>1.1186625937499999</v>
      </c>
      <c r="X1477" s="1742">
        <v>0.4015178457754629</v>
      </c>
      <c r="Y1477" s="2106">
        <v>1.6649423457754629</v>
      </c>
      <c r="Z1477" s="2106">
        <v>40114.499405890478</v>
      </c>
      <c r="AA1477" s="2106">
        <v>462243.89249999996</v>
      </c>
      <c r="AB1477" s="2106">
        <v>3535691.9776351871</v>
      </c>
      <c r="AC1477" s="2106">
        <v>1269054.1671074505</v>
      </c>
      <c r="AD1477" s="1744">
        <v>5266990.0372426379</v>
      </c>
      <c r="AE1477" s="2126">
        <v>0</v>
      </c>
      <c r="AF1477" s="2126">
        <v>0</v>
      </c>
      <c r="AG1477" s="1212">
        <v>1</v>
      </c>
      <c r="AH1477" s="1212">
        <v>0</v>
      </c>
      <c r="AI1477" s="1212">
        <v>0</v>
      </c>
      <c r="AJ1477" s="1212">
        <v>1</v>
      </c>
      <c r="AK1477" s="2126">
        <v>5266990.0372426379</v>
      </c>
      <c r="AL1477" s="2126">
        <v>0</v>
      </c>
      <c r="AM1477" s="2126">
        <v>0</v>
      </c>
      <c r="AN1477" s="2126">
        <v>5266990.0372426379</v>
      </c>
      <c r="AO1477" s="1743" t="s">
        <v>85</v>
      </c>
      <c r="AP1477" s="1743" t="s">
        <v>1105</v>
      </c>
      <c r="AQ1477" s="1764" t="s">
        <v>2141</v>
      </c>
      <c r="AR1477" s="1743" t="s">
        <v>87</v>
      </c>
      <c r="AS1477" s="2135"/>
      <c r="AT1477" s="2135"/>
      <c r="AU1477" s="1212">
        <v>0.33333333333333331</v>
      </c>
      <c r="AV1477" s="1212">
        <v>0.33333333333333331</v>
      </c>
      <c r="AW1477" s="1212">
        <v>0.33333333333333331</v>
      </c>
      <c r="AX1477" s="1212"/>
      <c r="AY1477" s="1212"/>
      <c r="AZ1477" s="1212"/>
      <c r="BA1477" s="1212"/>
      <c r="BB1477" s="1212"/>
      <c r="BC1477" s="1212"/>
      <c r="BD1477" s="1212"/>
      <c r="BE1477" s="1212"/>
      <c r="BF1477" s="2126">
        <v>0</v>
      </c>
      <c r="BG1477" s="2126">
        <v>0</v>
      </c>
      <c r="BH1477" s="2126">
        <v>1755663.3457475458</v>
      </c>
      <c r="BI1477" s="2126">
        <v>1755663.3457475458</v>
      </c>
      <c r="BJ1477" s="2126">
        <v>1755663.3457475458</v>
      </c>
      <c r="BK1477" s="2126">
        <v>0</v>
      </c>
      <c r="BL1477" s="2126">
        <v>0</v>
      </c>
      <c r="BM1477" s="2126">
        <v>0</v>
      </c>
      <c r="BN1477" s="2126">
        <v>0</v>
      </c>
      <c r="BO1477" s="2126">
        <v>0</v>
      </c>
      <c r="BP1477" s="2126">
        <v>0</v>
      </c>
      <c r="BQ1477" s="2126">
        <v>0</v>
      </c>
      <c r="BR1477" s="2126">
        <v>0</v>
      </c>
    </row>
    <row r="1478" spans="1:70" s="1765" customFormat="1" ht="33">
      <c r="A1478" s="1272">
        <v>6000</v>
      </c>
      <c r="B1478" s="971" t="s">
        <v>2390</v>
      </c>
      <c r="C1478" s="1272">
        <v>6100</v>
      </c>
      <c r="D1478" s="971" t="s">
        <v>78</v>
      </c>
      <c r="E1478" s="971">
        <v>6110</v>
      </c>
      <c r="F1478" s="971" t="s">
        <v>148</v>
      </c>
      <c r="G1478" s="971">
        <v>6120</v>
      </c>
      <c r="H1478" s="971" t="s">
        <v>2393</v>
      </c>
      <c r="I1478" s="1273"/>
      <c r="J1478" s="971" t="s">
        <v>121</v>
      </c>
      <c r="K1478" s="971" t="s">
        <v>150</v>
      </c>
      <c r="L1478" s="971" t="s">
        <v>2800</v>
      </c>
      <c r="M1478" s="971" t="s">
        <v>80</v>
      </c>
      <c r="N1478" s="971" t="s">
        <v>83</v>
      </c>
      <c r="O1478" s="971" t="s">
        <v>151</v>
      </c>
      <c r="P1478" s="971" t="s">
        <v>152</v>
      </c>
      <c r="Q1478" s="971" t="s">
        <v>2413</v>
      </c>
      <c r="R1478" s="1266"/>
      <c r="S1478" s="2106">
        <v>-8355237</v>
      </c>
      <c r="T1478" s="1266" t="s">
        <v>136</v>
      </c>
      <c r="U1478" s="1742">
        <v>1.2691883296460175E-2</v>
      </c>
      <c r="V1478" s="1742">
        <v>0.14624999999999999</v>
      </c>
      <c r="W1478" s="1742">
        <v>1.1186625937499999</v>
      </c>
      <c r="X1478" s="1742">
        <v>0.4015178457754629</v>
      </c>
      <c r="Y1478" s="2106">
        <v>1.6649423457754629</v>
      </c>
      <c r="Z1478" s="2106">
        <v>-106043.69291826602</v>
      </c>
      <c r="AA1478" s="2106">
        <v>-1221953.4112499999</v>
      </c>
      <c r="AB1478" s="2106">
        <v>-9346691.0938159674</v>
      </c>
      <c r="AC1478" s="2106">
        <v>-3354776.7611834412</v>
      </c>
      <c r="AD1478" s="1744">
        <v>-13923421.266249407</v>
      </c>
      <c r="AE1478" s="2126">
        <v>0</v>
      </c>
      <c r="AF1478" s="2126">
        <v>0</v>
      </c>
      <c r="AG1478" s="1212">
        <v>1</v>
      </c>
      <c r="AH1478" s="1212">
        <v>0</v>
      </c>
      <c r="AI1478" s="1212">
        <v>0</v>
      </c>
      <c r="AJ1478" s="1212">
        <v>1</v>
      </c>
      <c r="AK1478" s="2126">
        <v>-13923421.266249407</v>
      </c>
      <c r="AL1478" s="2126">
        <v>0</v>
      </c>
      <c r="AM1478" s="2126">
        <v>0</v>
      </c>
      <c r="AN1478" s="2126">
        <v>-13923421.266249407</v>
      </c>
      <c r="AO1478" s="1743" t="s">
        <v>85</v>
      </c>
      <c r="AP1478" s="1743" t="s">
        <v>1105</v>
      </c>
      <c r="AQ1478" s="1764" t="s">
        <v>2141</v>
      </c>
      <c r="AR1478" s="1743" t="s">
        <v>87</v>
      </c>
      <c r="AS1478" s="2135"/>
      <c r="AT1478" s="2135"/>
      <c r="AU1478" s="1212">
        <v>0.33333333333333331</v>
      </c>
      <c r="AV1478" s="1212">
        <v>0.33333333333333331</v>
      </c>
      <c r="AW1478" s="1212">
        <v>0.33333333333333331</v>
      </c>
      <c r="AX1478" s="1212"/>
      <c r="AY1478" s="1212"/>
      <c r="AZ1478" s="1212"/>
      <c r="BA1478" s="1212"/>
      <c r="BB1478" s="1212"/>
      <c r="BC1478" s="1212"/>
      <c r="BD1478" s="1212"/>
      <c r="BE1478" s="1212"/>
      <c r="BF1478" s="2126">
        <v>0</v>
      </c>
      <c r="BG1478" s="2126">
        <v>0</v>
      </c>
      <c r="BH1478" s="2126">
        <v>-4641140.4220831357</v>
      </c>
      <c r="BI1478" s="2126">
        <v>-4641140.4220831357</v>
      </c>
      <c r="BJ1478" s="2126">
        <v>-4641140.4220831357</v>
      </c>
      <c r="BK1478" s="2126">
        <v>0</v>
      </c>
      <c r="BL1478" s="2126">
        <v>0</v>
      </c>
      <c r="BM1478" s="2126">
        <v>0</v>
      </c>
      <c r="BN1478" s="2126">
        <v>0</v>
      </c>
      <c r="BO1478" s="2126">
        <v>0</v>
      </c>
      <c r="BP1478" s="2126">
        <v>0</v>
      </c>
      <c r="BQ1478" s="2126">
        <v>0</v>
      </c>
      <c r="BR1478" s="2126">
        <v>0</v>
      </c>
    </row>
    <row r="1479" spans="1:70" s="1765" customFormat="1" ht="33">
      <c r="A1479" s="1272">
        <v>6000</v>
      </c>
      <c r="B1479" s="971" t="s">
        <v>2390</v>
      </c>
      <c r="C1479" s="1272">
        <v>6100</v>
      </c>
      <c r="D1479" s="971" t="s">
        <v>78</v>
      </c>
      <c r="E1479" s="971">
        <v>6110</v>
      </c>
      <c r="F1479" s="971" t="s">
        <v>148</v>
      </c>
      <c r="G1479" s="971">
        <v>6120</v>
      </c>
      <c r="H1479" s="971" t="s">
        <v>2393</v>
      </c>
      <c r="I1479" s="1273"/>
      <c r="J1479" s="971" t="s">
        <v>121</v>
      </c>
      <c r="K1479" s="971" t="s">
        <v>150</v>
      </c>
      <c r="L1479" s="971" t="s">
        <v>2800</v>
      </c>
      <c r="M1479" s="971" t="s">
        <v>80</v>
      </c>
      <c r="N1479" s="971" t="s">
        <v>83</v>
      </c>
      <c r="O1479" s="971" t="s">
        <v>151</v>
      </c>
      <c r="P1479" s="971" t="s">
        <v>152</v>
      </c>
      <c r="Q1479" s="971" t="s">
        <v>2414</v>
      </c>
      <c r="R1479" s="1266"/>
      <c r="S1479" s="2106">
        <v>-362320</v>
      </c>
      <c r="T1479" s="1266" t="s">
        <v>136</v>
      </c>
      <c r="U1479" s="1742">
        <v>1.2691883296460175E-2</v>
      </c>
      <c r="V1479" s="1742">
        <v>0.14624999999999999</v>
      </c>
      <c r="W1479" s="1742">
        <v>1.1186625937499999</v>
      </c>
      <c r="X1479" s="1742">
        <v>0.4015178457754629</v>
      </c>
      <c r="Y1479" s="2106">
        <v>1.6649423457754629</v>
      </c>
      <c r="Z1479" s="2106">
        <v>-4598.5231559734502</v>
      </c>
      <c r="AA1479" s="2106">
        <v>-52989.299999999996</v>
      </c>
      <c r="AB1479" s="2106">
        <v>-405313.83096749993</v>
      </c>
      <c r="AC1479" s="2106">
        <v>-145477.94588136571</v>
      </c>
      <c r="AD1479" s="1744">
        <v>-603781.0768488656</v>
      </c>
      <c r="AE1479" s="2126">
        <v>0</v>
      </c>
      <c r="AF1479" s="2126">
        <v>0</v>
      </c>
      <c r="AG1479" s="1212">
        <v>0</v>
      </c>
      <c r="AH1479" s="1212">
        <v>1</v>
      </c>
      <c r="AI1479" s="1212">
        <v>0</v>
      </c>
      <c r="AJ1479" s="1212">
        <v>1</v>
      </c>
      <c r="AK1479" s="2126">
        <v>0</v>
      </c>
      <c r="AL1479" s="2126">
        <v>-603781.0768488656</v>
      </c>
      <c r="AM1479" s="2126">
        <v>0</v>
      </c>
      <c r="AN1479" s="2126">
        <v>-603781.0768488656</v>
      </c>
      <c r="AO1479" s="1743" t="s">
        <v>85</v>
      </c>
      <c r="AP1479" s="1743" t="s">
        <v>1105</v>
      </c>
      <c r="AQ1479" s="1764" t="s">
        <v>2141</v>
      </c>
      <c r="AR1479" s="1743" t="s">
        <v>87</v>
      </c>
      <c r="AS1479" s="2135"/>
      <c r="AT1479" s="2135"/>
      <c r="AU1479" s="1212">
        <v>0.33333333333333331</v>
      </c>
      <c r="AV1479" s="1212">
        <v>0.33333333333333331</v>
      </c>
      <c r="AW1479" s="1212">
        <v>0.33333333333333331</v>
      </c>
      <c r="AX1479" s="1212"/>
      <c r="AY1479" s="1212"/>
      <c r="AZ1479" s="1212"/>
      <c r="BA1479" s="1212"/>
      <c r="BB1479" s="1212"/>
      <c r="BC1479" s="1212"/>
      <c r="BD1479" s="1212"/>
      <c r="BE1479" s="1212"/>
      <c r="BF1479" s="2126">
        <v>0</v>
      </c>
      <c r="BG1479" s="2126">
        <v>0</v>
      </c>
      <c r="BH1479" s="2126">
        <v>-201260.35894962185</v>
      </c>
      <c r="BI1479" s="2126">
        <v>-201260.35894962185</v>
      </c>
      <c r="BJ1479" s="2126">
        <v>-201260.35894962185</v>
      </c>
      <c r="BK1479" s="2126">
        <v>0</v>
      </c>
      <c r="BL1479" s="2126">
        <v>0</v>
      </c>
      <c r="BM1479" s="2126">
        <v>0</v>
      </c>
      <c r="BN1479" s="2126">
        <v>0</v>
      </c>
      <c r="BO1479" s="2126">
        <v>0</v>
      </c>
      <c r="BP1479" s="2126">
        <v>0</v>
      </c>
      <c r="BQ1479" s="2126">
        <v>0</v>
      </c>
      <c r="BR1479" s="2126">
        <v>0</v>
      </c>
    </row>
    <row r="1480" spans="1:70" s="1765" customFormat="1" ht="33">
      <c r="A1480" s="1272">
        <v>6000</v>
      </c>
      <c r="B1480" s="971" t="s">
        <v>2390</v>
      </c>
      <c r="C1480" s="1272">
        <v>6100</v>
      </c>
      <c r="D1480" s="971" t="s">
        <v>78</v>
      </c>
      <c r="E1480" s="971">
        <v>6110</v>
      </c>
      <c r="F1480" s="971" t="s">
        <v>148</v>
      </c>
      <c r="G1480" s="971">
        <v>6110</v>
      </c>
      <c r="H1480" s="971" t="s">
        <v>2391</v>
      </c>
      <c r="I1480" s="1273"/>
      <c r="J1480" s="971" t="s">
        <v>121</v>
      </c>
      <c r="K1480" s="971" t="s">
        <v>150</v>
      </c>
      <c r="L1480" s="971" t="s">
        <v>2800</v>
      </c>
      <c r="M1480" s="971" t="s">
        <v>80</v>
      </c>
      <c r="N1480" s="971" t="s">
        <v>83</v>
      </c>
      <c r="O1480" s="971" t="s">
        <v>151</v>
      </c>
      <c r="P1480" s="971" t="s">
        <v>152</v>
      </c>
      <c r="Q1480" s="971" t="s">
        <v>2415</v>
      </c>
      <c r="R1480" s="1266"/>
      <c r="S1480" s="2106">
        <v>143305</v>
      </c>
      <c r="T1480" s="1266" t="s">
        <v>136</v>
      </c>
      <c r="U1480" s="1742">
        <v>1.2691883296460175E-2</v>
      </c>
      <c r="V1480" s="1742">
        <v>0.14624999999999999</v>
      </c>
      <c r="W1480" s="1742">
        <v>1.1186625937499999</v>
      </c>
      <c r="X1480" s="1742">
        <v>0.4015178457754629</v>
      </c>
      <c r="Y1480" s="2106">
        <v>1.6649423457754629</v>
      </c>
      <c r="Z1480" s="2106">
        <v>1818.8103357992254</v>
      </c>
      <c r="AA1480" s="2106">
        <v>20958.356249999997</v>
      </c>
      <c r="AB1480" s="2106">
        <v>160309.94299734372</v>
      </c>
      <c r="AC1480" s="2106">
        <v>57539.514888852711</v>
      </c>
      <c r="AD1480" s="1744">
        <v>238807.81413619645</v>
      </c>
      <c r="AE1480" s="2126">
        <v>0</v>
      </c>
      <c r="AF1480" s="2126">
        <v>0</v>
      </c>
      <c r="AG1480" s="1212">
        <v>0</v>
      </c>
      <c r="AH1480" s="1212">
        <v>1</v>
      </c>
      <c r="AI1480" s="1212">
        <v>0</v>
      </c>
      <c r="AJ1480" s="1212">
        <v>1</v>
      </c>
      <c r="AK1480" s="2126">
        <v>0</v>
      </c>
      <c r="AL1480" s="2126">
        <v>238807.81413619645</v>
      </c>
      <c r="AM1480" s="2126">
        <v>0</v>
      </c>
      <c r="AN1480" s="2126">
        <v>238807.81413619645</v>
      </c>
      <c r="AO1480" s="1743" t="s">
        <v>85</v>
      </c>
      <c r="AP1480" s="1743" t="s">
        <v>1105</v>
      </c>
      <c r="AQ1480" s="1764" t="s">
        <v>2141</v>
      </c>
      <c r="AR1480" s="1743" t="s">
        <v>87</v>
      </c>
      <c r="AS1480" s="2135"/>
      <c r="AT1480" s="2135"/>
      <c r="AU1480" s="1212">
        <v>0.33333333333333331</v>
      </c>
      <c r="AV1480" s="1212">
        <v>0.33333333333333331</v>
      </c>
      <c r="AW1480" s="1212">
        <v>0.33333333333333331</v>
      </c>
      <c r="AX1480" s="1212"/>
      <c r="AY1480" s="1212"/>
      <c r="AZ1480" s="1212"/>
      <c r="BA1480" s="1212"/>
      <c r="BB1480" s="1212"/>
      <c r="BC1480" s="1212"/>
      <c r="BD1480" s="1212"/>
      <c r="BE1480" s="1212"/>
      <c r="BF1480" s="2126">
        <v>0</v>
      </c>
      <c r="BG1480" s="2126">
        <v>0</v>
      </c>
      <c r="BH1480" s="2126">
        <v>79602.604712065484</v>
      </c>
      <c r="BI1480" s="2126">
        <v>79602.604712065484</v>
      </c>
      <c r="BJ1480" s="2126">
        <v>79602.604712065484</v>
      </c>
      <c r="BK1480" s="2126">
        <v>0</v>
      </c>
      <c r="BL1480" s="2126">
        <v>0</v>
      </c>
      <c r="BM1480" s="2126">
        <v>0</v>
      </c>
      <c r="BN1480" s="2126">
        <v>0</v>
      </c>
      <c r="BO1480" s="2126">
        <v>0</v>
      </c>
      <c r="BP1480" s="2126">
        <v>0</v>
      </c>
      <c r="BQ1480" s="2126">
        <v>0</v>
      </c>
      <c r="BR1480" s="2126">
        <v>0</v>
      </c>
    </row>
    <row r="1481" spans="1:70" s="1765" customFormat="1" ht="33">
      <c r="A1481" s="1272">
        <v>6000</v>
      </c>
      <c r="B1481" s="971" t="s">
        <v>2390</v>
      </c>
      <c r="C1481" s="1272">
        <v>6100</v>
      </c>
      <c r="D1481" s="971" t="s">
        <v>78</v>
      </c>
      <c r="E1481" s="971">
        <v>6110</v>
      </c>
      <c r="F1481" s="971" t="s">
        <v>148</v>
      </c>
      <c r="G1481" s="971">
        <v>6120</v>
      </c>
      <c r="H1481" s="971" t="s">
        <v>2393</v>
      </c>
      <c r="I1481" s="1273"/>
      <c r="J1481" s="971" t="s">
        <v>121</v>
      </c>
      <c r="K1481" s="971" t="s">
        <v>150</v>
      </c>
      <c r="L1481" s="971" t="s">
        <v>2800</v>
      </c>
      <c r="M1481" s="971" t="s">
        <v>80</v>
      </c>
      <c r="N1481" s="971" t="s">
        <v>83</v>
      </c>
      <c r="O1481" s="971" t="s">
        <v>151</v>
      </c>
      <c r="P1481" s="971" t="s">
        <v>152</v>
      </c>
      <c r="Q1481" s="971" t="s">
        <v>2416</v>
      </c>
      <c r="R1481" s="1266"/>
      <c r="S1481" s="2106">
        <v>332244</v>
      </c>
      <c r="T1481" s="1266" t="s">
        <v>136</v>
      </c>
      <c r="U1481" s="1742">
        <v>1.2691883296460175E-2</v>
      </c>
      <c r="V1481" s="1742">
        <v>0.14624999999999999</v>
      </c>
      <c r="W1481" s="1742">
        <v>1.1186625937499999</v>
      </c>
      <c r="X1481" s="1742">
        <v>0.4015178457754629</v>
      </c>
      <c r="Y1481" s="2106">
        <v>1.6649423457754629</v>
      </c>
      <c r="Z1481" s="2106">
        <v>4216.8020739491149</v>
      </c>
      <c r="AA1481" s="2106">
        <v>48590.684999999998</v>
      </c>
      <c r="AB1481" s="2106">
        <v>371668.93479787494</v>
      </c>
      <c r="AC1481" s="2106">
        <v>133401.89515182289</v>
      </c>
      <c r="AD1481" s="1744">
        <v>553661.51494969777</v>
      </c>
      <c r="AE1481" s="2126">
        <v>0</v>
      </c>
      <c r="AF1481" s="2126">
        <v>0</v>
      </c>
      <c r="AG1481" s="1212">
        <v>0</v>
      </c>
      <c r="AH1481" s="1212">
        <v>1</v>
      </c>
      <c r="AI1481" s="1212">
        <v>0</v>
      </c>
      <c r="AJ1481" s="1212">
        <v>1</v>
      </c>
      <c r="AK1481" s="2126">
        <v>0</v>
      </c>
      <c r="AL1481" s="2126">
        <v>553661.51494969777</v>
      </c>
      <c r="AM1481" s="2126">
        <v>0</v>
      </c>
      <c r="AN1481" s="2126">
        <v>553661.51494969777</v>
      </c>
      <c r="AO1481" s="1743" t="s">
        <v>85</v>
      </c>
      <c r="AP1481" s="1743" t="s">
        <v>1105</v>
      </c>
      <c r="AQ1481" s="1764" t="s">
        <v>2141</v>
      </c>
      <c r="AR1481" s="1743" t="s">
        <v>87</v>
      </c>
      <c r="AS1481" s="2135"/>
      <c r="AT1481" s="2135"/>
      <c r="AU1481" s="1212">
        <v>0.33333333333333331</v>
      </c>
      <c r="AV1481" s="1212">
        <v>0.33333333333333331</v>
      </c>
      <c r="AW1481" s="1212">
        <v>0.33333333333333331</v>
      </c>
      <c r="AX1481" s="1212"/>
      <c r="AY1481" s="1212"/>
      <c r="AZ1481" s="1212"/>
      <c r="BA1481" s="1212"/>
      <c r="BB1481" s="1212"/>
      <c r="BC1481" s="1212"/>
      <c r="BD1481" s="1212"/>
      <c r="BE1481" s="1212"/>
      <c r="BF1481" s="2126">
        <v>0</v>
      </c>
      <c r="BG1481" s="2126">
        <v>0</v>
      </c>
      <c r="BH1481" s="2126">
        <v>184553.8383165659</v>
      </c>
      <c r="BI1481" s="2126">
        <v>184553.8383165659</v>
      </c>
      <c r="BJ1481" s="2126">
        <v>184553.8383165659</v>
      </c>
      <c r="BK1481" s="2126">
        <v>0</v>
      </c>
      <c r="BL1481" s="2126">
        <v>0</v>
      </c>
      <c r="BM1481" s="2126">
        <v>0</v>
      </c>
      <c r="BN1481" s="2126">
        <v>0</v>
      </c>
      <c r="BO1481" s="2126">
        <v>0</v>
      </c>
      <c r="BP1481" s="2126">
        <v>0</v>
      </c>
      <c r="BQ1481" s="2126">
        <v>0</v>
      </c>
      <c r="BR1481" s="2126">
        <v>0</v>
      </c>
    </row>
    <row r="1482" spans="1:70" s="1765" customFormat="1" ht="49.5">
      <c r="A1482" s="1272">
        <v>6000</v>
      </c>
      <c r="B1482" s="971" t="s">
        <v>2390</v>
      </c>
      <c r="C1482" s="1272">
        <v>6100</v>
      </c>
      <c r="D1482" s="971" t="s">
        <v>78</v>
      </c>
      <c r="E1482" s="971">
        <v>6110</v>
      </c>
      <c r="F1482" s="971" t="s">
        <v>148</v>
      </c>
      <c r="G1482" s="971">
        <v>6110</v>
      </c>
      <c r="H1482" s="971" t="s">
        <v>2391</v>
      </c>
      <c r="I1482" s="1273"/>
      <c r="J1482" s="971" t="s">
        <v>121</v>
      </c>
      <c r="K1482" s="971" t="s">
        <v>255</v>
      </c>
      <c r="L1482" s="971" t="s">
        <v>2802</v>
      </c>
      <c r="M1482" s="971" t="s">
        <v>255</v>
      </c>
      <c r="N1482" s="971" t="s">
        <v>83</v>
      </c>
      <c r="O1482" s="971" t="s">
        <v>256</v>
      </c>
      <c r="P1482" s="971" t="s">
        <v>152</v>
      </c>
      <c r="Q1482" s="971" t="s">
        <v>2417</v>
      </c>
      <c r="R1482" s="1266"/>
      <c r="S1482" s="2106">
        <v>114884</v>
      </c>
      <c r="T1482" s="1266" t="s">
        <v>136</v>
      </c>
      <c r="U1482" s="1742">
        <v>4.4491883296460179E-2</v>
      </c>
      <c r="V1482" s="1742">
        <v>0.1701</v>
      </c>
      <c r="W1482" s="1742">
        <v>3.92151459375</v>
      </c>
      <c r="X1482" s="1742">
        <v>0.68180304577546291</v>
      </c>
      <c r="Y1482" s="2106">
        <v>4.7480795457754628</v>
      </c>
      <c r="Z1482" s="2106">
        <v>5111.4055206305311</v>
      </c>
      <c r="AA1482" s="2106">
        <v>19541.768400000001</v>
      </c>
      <c r="AB1482" s="2106">
        <v>450519.28258837498</v>
      </c>
      <c r="AC1482" s="2106">
        <v>78328.261110868276</v>
      </c>
      <c r="AD1482" s="1744">
        <v>548389.31209924328</v>
      </c>
      <c r="AE1482" s="2126">
        <v>0</v>
      </c>
      <c r="AF1482" s="2126">
        <v>0</v>
      </c>
      <c r="AG1482" s="1212">
        <v>1</v>
      </c>
      <c r="AH1482" s="1212">
        <v>0</v>
      </c>
      <c r="AI1482" s="1212">
        <v>0</v>
      </c>
      <c r="AJ1482" s="1212">
        <v>1</v>
      </c>
      <c r="AK1482" s="2126">
        <v>548389.31209924328</v>
      </c>
      <c r="AL1482" s="2126">
        <v>0</v>
      </c>
      <c r="AM1482" s="2126">
        <v>0</v>
      </c>
      <c r="AN1482" s="2126">
        <v>548389.31209924328</v>
      </c>
      <c r="AO1482" s="1743" t="s">
        <v>85</v>
      </c>
      <c r="AP1482" s="1743" t="s">
        <v>1105</v>
      </c>
      <c r="AQ1482" s="1764" t="s">
        <v>2141</v>
      </c>
      <c r="AR1482" s="1743" t="s">
        <v>87</v>
      </c>
      <c r="AS1482" s="2135"/>
      <c r="AT1482" s="2135"/>
      <c r="AU1482" s="1212">
        <v>0.33333333333333331</v>
      </c>
      <c r="AV1482" s="1212">
        <v>0.33333333333333331</v>
      </c>
      <c r="AW1482" s="1212">
        <v>0.33333333333333331</v>
      </c>
      <c r="AX1482" s="1212"/>
      <c r="AY1482" s="1212"/>
      <c r="AZ1482" s="1212"/>
      <c r="BA1482" s="1212"/>
      <c r="BB1482" s="1212"/>
      <c r="BC1482" s="1212"/>
      <c r="BD1482" s="1212"/>
      <c r="BE1482" s="1212"/>
      <c r="BF1482" s="2126">
        <v>0</v>
      </c>
      <c r="BG1482" s="2126">
        <v>0</v>
      </c>
      <c r="BH1482" s="2126">
        <v>182796.43736641441</v>
      </c>
      <c r="BI1482" s="2126">
        <v>182796.43736641441</v>
      </c>
      <c r="BJ1482" s="2126">
        <v>182796.43736641441</v>
      </c>
      <c r="BK1482" s="2126">
        <v>0</v>
      </c>
      <c r="BL1482" s="2126">
        <v>0</v>
      </c>
      <c r="BM1482" s="2126">
        <v>0</v>
      </c>
      <c r="BN1482" s="2126">
        <v>0</v>
      </c>
      <c r="BO1482" s="2126">
        <v>0</v>
      </c>
      <c r="BP1482" s="2126">
        <v>0</v>
      </c>
      <c r="BQ1482" s="2126">
        <v>0</v>
      </c>
      <c r="BR1482" s="2126">
        <v>0</v>
      </c>
    </row>
    <row r="1483" spans="1:70" s="1765" customFormat="1" ht="49.5">
      <c r="A1483" s="1272">
        <v>6000</v>
      </c>
      <c r="B1483" s="971" t="s">
        <v>2390</v>
      </c>
      <c r="C1483" s="1272">
        <v>6100</v>
      </c>
      <c r="D1483" s="971" t="s">
        <v>78</v>
      </c>
      <c r="E1483" s="971">
        <v>6110</v>
      </c>
      <c r="F1483" s="971" t="s">
        <v>148</v>
      </c>
      <c r="G1483" s="971">
        <v>6120</v>
      </c>
      <c r="H1483" s="971" t="s">
        <v>2393</v>
      </c>
      <c r="I1483" s="1273"/>
      <c r="J1483" s="971" t="s">
        <v>121</v>
      </c>
      <c r="K1483" s="971" t="s">
        <v>255</v>
      </c>
      <c r="L1483" s="971" t="s">
        <v>2802</v>
      </c>
      <c r="M1483" s="971" t="s">
        <v>255</v>
      </c>
      <c r="N1483" s="971" t="s">
        <v>83</v>
      </c>
      <c r="O1483" s="971" t="s">
        <v>256</v>
      </c>
      <c r="P1483" s="971" t="s">
        <v>152</v>
      </c>
      <c r="Q1483" s="971" t="s">
        <v>2418</v>
      </c>
      <c r="R1483" s="1266"/>
      <c r="S1483" s="2106">
        <v>15714</v>
      </c>
      <c r="T1483" s="1266" t="s">
        <v>136</v>
      </c>
      <c r="U1483" s="1742">
        <v>4.4491883296460179E-2</v>
      </c>
      <c r="V1483" s="1742">
        <v>0.1701</v>
      </c>
      <c r="W1483" s="1742">
        <v>3.92151459375</v>
      </c>
      <c r="X1483" s="1742">
        <v>0.68180304577546291</v>
      </c>
      <c r="Y1483" s="2106">
        <v>4.7480795457754628</v>
      </c>
      <c r="Z1483" s="2106">
        <v>699.14545412057521</v>
      </c>
      <c r="AA1483" s="2106">
        <v>2672.9513999999999</v>
      </c>
      <c r="AB1483" s="2106">
        <v>61622.680326187503</v>
      </c>
      <c r="AC1483" s="2106">
        <v>10713.853061315624</v>
      </c>
      <c r="AD1483" s="1744">
        <v>75009.484787503126</v>
      </c>
      <c r="AE1483" s="2126">
        <v>0</v>
      </c>
      <c r="AF1483" s="2126">
        <v>0</v>
      </c>
      <c r="AG1483" s="1212">
        <v>1</v>
      </c>
      <c r="AH1483" s="1212">
        <v>0</v>
      </c>
      <c r="AI1483" s="1212">
        <v>0</v>
      </c>
      <c r="AJ1483" s="1212">
        <v>1</v>
      </c>
      <c r="AK1483" s="2126">
        <v>75009.484787503126</v>
      </c>
      <c r="AL1483" s="2126">
        <v>0</v>
      </c>
      <c r="AM1483" s="2126">
        <v>0</v>
      </c>
      <c r="AN1483" s="2126">
        <v>75009.484787503126</v>
      </c>
      <c r="AO1483" s="1743" t="s">
        <v>85</v>
      </c>
      <c r="AP1483" s="1743" t="s">
        <v>1105</v>
      </c>
      <c r="AQ1483" s="1764" t="s">
        <v>2141</v>
      </c>
      <c r="AR1483" s="1743" t="s">
        <v>87</v>
      </c>
      <c r="AS1483" s="2135"/>
      <c r="AT1483" s="2135"/>
      <c r="AU1483" s="1212">
        <v>0.33333333333333331</v>
      </c>
      <c r="AV1483" s="1212">
        <v>0.33333333333333331</v>
      </c>
      <c r="AW1483" s="1212">
        <v>0.33333333333333331</v>
      </c>
      <c r="AX1483" s="1212"/>
      <c r="AY1483" s="1212"/>
      <c r="AZ1483" s="1212"/>
      <c r="BA1483" s="1212"/>
      <c r="BB1483" s="1212"/>
      <c r="BC1483" s="1212"/>
      <c r="BD1483" s="1212"/>
      <c r="BE1483" s="1212"/>
      <c r="BF1483" s="2126">
        <v>0</v>
      </c>
      <c r="BG1483" s="2126">
        <v>0</v>
      </c>
      <c r="BH1483" s="2126">
        <v>25003.161595834375</v>
      </c>
      <c r="BI1483" s="2126">
        <v>25003.161595834375</v>
      </c>
      <c r="BJ1483" s="2126">
        <v>25003.161595834375</v>
      </c>
      <c r="BK1483" s="2126">
        <v>0</v>
      </c>
      <c r="BL1483" s="2126">
        <v>0</v>
      </c>
      <c r="BM1483" s="2126">
        <v>0</v>
      </c>
      <c r="BN1483" s="2126">
        <v>0</v>
      </c>
      <c r="BO1483" s="2126">
        <v>0</v>
      </c>
      <c r="BP1483" s="2126">
        <v>0</v>
      </c>
      <c r="BQ1483" s="2126">
        <v>0</v>
      </c>
      <c r="BR1483" s="2126">
        <v>0</v>
      </c>
    </row>
    <row r="1484" spans="1:70" s="1765" customFormat="1" ht="49.5">
      <c r="A1484" s="1272">
        <v>6000</v>
      </c>
      <c r="B1484" s="971" t="s">
        <v>2390</v>
      </c>
      <c r="C1484" s="1272">
        <v>6100</v>
      </c>
      <c r="D1484" s="971" t="s">
        <v>78</v>
      </c>
      <c r="E1484" s="971">
        <v>6110</v>
      </c>
      <c r="F1484" s="971" t="s">
        <v>148</v>
      </c>
      <c r="G1484" s="971">
        <v>6120</v>
      </c>
      <c r="H1484" s="971" t="s">
        <v>2393</v>
      </c>
      <c r="I1484" s="1273"/>
      <c r="J1484" s="971" t="s">
        <v>121</v>
      </c>
      <c r="K1484" s="971" t="s">
        <v>255</v>
      </c>
      <c r="L1484" s="971" t="s">
        <v>2802</v>
      </c>
      <c r="M1484" s="971" t="s">
        <v>255</v>
      </c>
      <c r="N1484" s="971" t="s">
        <v>83</v>
      </c>
      <c r="O1484" s="971" t="s">
        <v>256</v>
      </c>
      <c r="P1484" s="971" t="s">
        <v>152</v>
      </c>
      <c r="Q1484" s="971" t="s">
        <v>2419</v>
      </c>
      <c r="R1484" s="1266"/>
      <c r="S1484" s="2106">
        <v>-219252</v>
      </c>
      <c r="T1484" s="1266" t="s">
        <v>136</v>
      </c>
      <c r="U1484" s="1742">
        <v>4.4491883296460179E-2</v>
      </c>
      <c r="V1484" s="1742">
        <v>0.1701</v>
      </c>
      <c r="W1484" s="1742">
        <v>3.92151459375</v>
      </c>
      <c r="X1484" s="1742">
        <v>0.68180304577546291</v>
      </c>
      <c r="Y1484" s="2106">
        <v>4.7480795457754628</v>
      </c>
      <c r="Z1484" s="2106">
        <v>-9754.9343965154876</v>
      </c>
      <c r="AA1484" s="2106">
        <v>-37294.765200000002</v>
      </c>
      <c r="AB1484" s="2106">
        <v>-859799.91770887503</v>
      </c>
      <c r="AC1484" s="2106">
        <v>-149486.68139236179</v>
      </c>
      <c r="AD1484" s="1744">
        <v>-1046581.3643012368</v>
      </c>
      <c r="AE1484" s="2126">
        <v>0</v>
      </c>
      <c r="AF1484" s="2126">
        <v>0</v>
      </c>
      <c r="AG1484" s="1212">
        <v>1</v>
      </c>
      <c r="AH1484" s="1212">
        <v>0</v>
      </c>
      <c r="AI1484" s="1212">
        <v>0</v>
      </c>
      <c r="AJ1484" s="1212">
        <v>1</v>
      </c>
      <c r="AK1484" s="2126">
        <v>-1046581.3643012368</v>
      </c>
      <c r="AL1484" s="2126">
        <v>0</v>
      </c>
      <c r="AM1484" s="2126">
        <v>0</v>
      </c>
      <c r="AN1484" s="2126">
        <v>-1046581.3643012368</v>
      </c>
      <c r="AO1484" s="1743" t="s">
        <v>85</v>
      </c>
      <c r="AP1484" s="1743" t="s">
        <v>1105</v>
      </c>
      <c r="AQ1484" s="1764" t="s">
        <v>2141</v>
      </c>
      <c r="AR1484" s="1743" t="s">
        <v>87</v>
      </c>
      <c r="AS1484" s="2135"/>
      <c r="AT1484" s="2135"/>
      <c r="AU1484" s="1212">
        <v>0.33333333333333331</v>
      </c>
      <c r="AV1484" s="1212">
        <v>0.33333333333333331</v>
      </c>
      <c r="AW1484" s="1212">
        <v>0.33333333333333331</v>
      </c>
      <c r="AX1484" s="1212"/>
      <c r="AY1484" s="1212"/>
      <c r="AZ1484" s="1212"/>
      <c r="BA1484" s="1212"/>
      <c r="BB1484" s="1212"/>
      <c r="BC1484" s="1212"/>
      <c r="BD1484" s="1212"/>
      <c r="BE1484" s="1212"/>
      <c r="BF1484" s="2126">
        <v>0</v>
      </c>
      <c r="BG1484" s="2126">
        <v>0</v>
      </c>
      <c r="BH1484" s="2126">
        <v>-348860.45476707892</v>
      </c>
      <c r="BI1484" s="2126">
        <v>-348860.45476707892</v>
      </c>
      <c r="BJ1484" s="2126">
        <v>-348860.45476707892</v>
      </c>
      <c r="BK1484" s="2126">
        <v>0</v>
      </c>
      <c r="BL1484" s="2126">
        <v>0</v>
      </c>
      <c r="BM1484" s="2126">
        <v>0</v>
      </c>
      <c r="BN1484" s="2126">
        <v>0</v>
      </c>
      <c r="BO1484" s="2126">
        <v>0</v>
      </c>
      <c r="BP1484" s="2126">
        <v>0</v>
      </c>
      <c r="BQ1484" s="2126">
        <v>0</v>
      </c>
      <c r="BR1484" s="2126">
        <v>0</v>
      </c>
    </row>
    <row r="1485" spans="1:70" s="1765" customFormat="1">
      <c r="A1485" s="1317">
        <v>7000</v>
      </c>
      <c r="B1485" s="1808" t="s">
        <v>2420</v>
      </c>
      <c r="C1485" s="1317"/>
      <c r="D1485" s="1318"/>
      <c r="E1485" s="1318"/>
      <c r="F1485" s="1318"/>
      <c r="G1485" s="1318"/>
      <c r="H1485" s="1318"/>
      <c r="I1485" s="1318"/>
      <c r="J1485" s="1318" t="s">
        <v>121</v>
      </c>
      <c r="K1485" s="1318"/>
      <c r="L1485" s="1318"/>
      <c r="M1485" s="1318"/>
      <c r="N1485" s="1318"/>
      <c r="O1485" s="1318"/>
      <c r="P1485" s="1318"/>
      <c r="Q1485" s="1318"/>
      <c r="R1485" s="1320"/>
      <c r="S1485" s="2105"/>
      <c r="T1485" s="1320"/>
      <c r="U1485" s="1321"/>
      <c r="V1485" s="1321"/>
      <c r="W1485" s="1321"/>
      <c r="X1485" s="1321"/>
      <c r="Y1485" s="2105"/>
      <c r="Z1485" s="2105"/>
      <c r="AA1485" s="2105"/>
      <c r="AB1485" s="2105"/>
      <c r="AC1485" s="2105"/>
      <c r="AD1485" s="1778"/>
      <c r="AE1485" s="2125"/>
      <c r="AF1485" s="2125"/>
      <c r="AG1485" s="1322"/>
      <c r="AH1485" s="1322"/>
      <c r="AI1485" s="1322"/>
      <c r="AJ1485" s="1322"/>
      <c r="AK1485" s="2125"/>
      <c r="AL1485" s="2125"/>
      <c r="AM1485" s="2125"/>
      <c r="AN1485" s="2125"/>
      <c r="AO1485" s="1319"/>
      <c r="AP1485" s="1319"/>
      <c r="AQ1485" s="1763"/>
      <c r="AR1485" s="1319"/>
      <c r="AS1485" s="1322"/>
      <c r="AT1485" s="1322"/>
      <c r="AU1485" s="1322"/>
      <c r="AV1485" s="1322"/>
      <c r="AW1485" s="1322"/>
      <c r="AX1485" s="1322"/>
      <c r="AY1485" s="1322"/>
      <c r="AZ1485" s="1322"/>
      <c r="BA1485" s="1322"/>
      <c r="BB1485" s="1322"/>
      <c r="BC1485" s="1322"/>
      <c r="BD1485" s="1322"/>
      <c r="BE1485" s="1322"/>
      <c r="BF1485" s="2149"/>
      <c r="BG1485" s="2149"/>
      <c r="BH1485" s="2125"/>
      <c r="BI1485" s="2125"/>
      <c r="BJ1485" s="2125"/>
      <c r="BK1485" s="2125"/>
      <c r="BL1485" s="2125"/>
      <c r="BM1485" s="2125"/>
      <c r="BN1485" s="2125"/>
      <c r="BO1485" s="2125"/>
      <c r="BP1485" s="2125"/>
      <c r="BQ1485" s="2125"/>
      <c r="BR1485" s="2125"/>
    </row>
    <row r="1486" spans="1:70" s="1765" customFormat="1" ht="33">
      <c r="A1486" s="1802">
        <v>7000</v>
      </c>
      <c r="B1486" s="1803" t="s">
        <v>2420</v>
      </c>
      <c r="C1486" s="1802">
        <v>7200</v>
      </c>
      <c r="D1486" s="1803" t="s">
        <v>119</v>
      </c>
      <c r="E1486" s="1803"/>
      <c r="F1486" s="1803"/>
      <c r="G1486" s="1803"/>
      <c r="H1486" s="1803"/>
      <c r="I1486" s="1803"/>
      <c r="J1486" s="1803"/>
      <c r="K1486" s="1803"/>
      <c r="L1486" s="1803"/>
      <c r="M1486" s="1803"/>
      <c r="N1486" s="1803"/>
      <c r="O1486" s="1803"/>
      <c r="P1486" s="1803"/>
      <c r="Q1486" s="1803"/>
      <c r="R1486" s="1774"/>
      <c r="S1486" s="2107"/>
      <c r="T1486" s="1774"/>
      <c r="U1486" s="1776"/>
      <c r="V1486" s="1776"/>
      <c r="W1486" s="1776"/>
      <c r="X1486" s="1776"/>
      <c r="Y1486" s="2107"/>
      <c r="Z1486" s="2107"/>
      <c r="AA1486" s="2107"/>
      <c r="AB1486" s="2107"/>
      <c r="AC1486" s="2107"/>
      <c r="AD1486" s="1775"/>
      <c r="AE1486" s="2127"/>
      <c r="AF1486" s="2127"/>
      <c r="AG1486" s="1777"/>
      <c r="AH1486" s="1777"/>
      <c r="AI1486" s="1777"/>
      <c r="AJ1486" s="1777"/>
      <c r="AK1486" s="2127"/>
      <c r="AL1486" s="2127"/>
      <c r="AM1486" s="2127"/>
      <c r="AN1486" s="2127"/>
      <c r="AO1486" s="1775"/>
      <c r="AP1486" s="1775"/>
      <c r="AQ1486" s="1773"/>
      <c r="AR1486" s="1775"/>
      <c r="AS1486" s="1777"/>
      <c r="AT1486" s="1777"/>
      <c r="AU1486" s="1777"/>
      <c r="AV1486" s="1777"/>
      <c r="AW1486" s="1777"/>
      <c r="AX1486" s="1777"/>
      <c r="AY1486" s="1777"/>
      <c r="AZ1486" s="1777"/>
      <c r="BA1486" s="1777"/>
      <c r="BB1486" s="1777"/>
      <c r="BC1486" s="1777"/>
      <c r="BD1486" s="1777"/>
      <c r="BE1486" s="1777"/>
      <c r="BF1486" s="2127"/>
      <c r="BG1486" s="2127"/>
      <c r="BH1486" s="2127"/>
      <c r="BI1486" s="2127"/>
      <c r="BJ1486" s="2127"/>
      <c r="BK1486" s="2127"/>
      <c r="BL1486" s="2127"/>
      <c r="BM1486" s="2127"/>
      <c r="BN1486" s="2127"/>
      <c r="BO1486" s="2127"/>
      <c r="BP1486" s="2127"/>
      <c r="BQ1486" s="2127"/>
      <c r="BR1486" s="2127"/>
    </row>
    <row r="1487" spans="1:70" s="1765" customFormat="1" ht="49.5">
      <c r="A1487" s="1272">
        <v>7000</v>
      </c>
      <c r="B1487" s="971" t="s">
        <v>2420</v>
      </c>
      <c r="C1487" s="1272">
        <v>7200</v>
      </c>
      <c r="D1487" s="971" t="s">
        <v>119</v>
      </c>
      <c r="E1487" s="971">
        <v>7210</v>
      </c>
      <c r="F1487" s="971" t="s">
        <v>2421</v>
      </c>
      <c r="G1487" s="971">
        <v>7212</v>
      </c>
      <c r="H1487" s="971" t="s">
        <v>2422</v>
      </c>
      <c r="I1487" s="1273"/>
      <c r="J1487" s="971" t="s">
        <v>124</v>
      </c>
      <c r="K1487" s="971" t="s">
        <v>784</v>
      </c>
      <c r="L1487" s="971" t="s">
        <v>2852</v>
      </c>
      <c r="M1487" s="971" t="s">
        <v>537</v>
      </c>
      <c r="N1487" s="971" t="s">
        <v>127</v>
      </c>
      <c r="O1487" s="971" t="s">
        <v>539</v>
      </c>
      <c r="P1487" s="971"/>
      <c r="Q1487" s="971" t="s">
        <v>2423</v>
      </c>
      <c r="R1487" s="1266"/>
      <c r="S1487" s="2106">
        <v>0</v>
      </c>
      <c r="T1487" s="1266" t="s">
        <v>136</v>
      </c>
      <c r="U1487" s="1742">
        <v>0.22416666666666665</v>
      </c>
      <c r="V1487" s="1742">
        <v>2.8020833333333335</v>
      </c>
      <c r="W1487" s="1742">
        <v>19.758049999999997</v>
      </c>
      <c r="X1487" s="1742">
        <v>30.905858333333335</v>
      </c>
      <c r="Y1487" s="2106">
        <v>53.46599166666666</v>
      </c>
      <c r="Z1487" s="2106">
        <v>0</v>
      </c>
      <c r="AA1487" s="2106">
        <v>0</v>
      </c>
      <c r="AB1487" s="2106">
        <v>0</v>
      </c>
      <c r="AC1487" s="2106">
        <v>0</v>
      </c>
      <c r="AD1487" s="1744">
        <v>0</v>
      </c>
      <c r="AE1487" s="2126">
        <v>1</v>
      </c>
      <c r="AF1487" s="2126">
        <v>0</v>
      </c>
      <c r="AG1487" s="1212">
        <v>1</v>
      </c>
      <c r="AH1487" s="1212">
        <v>0</v>
      </c>
      <c r="AI1487" s="1212">
        <v>0</v>
      </c>
      <c r="AJ1487" s="1212">
        <v>1</v>
      </c>
      <c r="AK1487" s="2126">
        <v>0</v>
      </c>
      <c r="AL1487" s="2126">
        <v>0</v>
      </c>
      <c r="AM1487" s="2126">
        <v>0</v>
      </c>
      <c r="AN1487" s="2126">
        <v>0</v>
      </c>
      <c r="AO1487" s="1743" t="s">
        <v>131</v>
      </c>
      <c r="AP1487" s="1743" t="s">
        <v>1430</v>
      </c>
      <c r="AQ1487" s="1764">
        <v>2014</v>
      </c>
      <c r="AR1487" s="1743" t="s">
        <v>87</v>
      </c>
      <c r="AS1487" s="2135"/>
      <c r="AT1487" s="2135"/>
      <c r="AU1487" s="1212">
        <v>0.33333333333333331</v>
      </c>
      <c r="AV1487" s="1212">
        <v>0.33333333333333331</v>
      </c>
      <c r="AW1487" s="1212">
        <v>0.33333333333333331</v>
      </c>
      <c r="AX1487" s="1212"/>
      <c r="AY1487" s="1212"/>
      <c r="AZ1487" s="1212"/>
      <c r="BA1487" s="1212"/>
      <c r="BB1487" s="1212"/>
      <c r="BC1487" s="1212"/>
      <c r="BD1487" s="1212"/>
      <c r="BE1487" s="1212"/>
      <c r="BF1487" s="2126">
        <v>0</v>
      </c>
      <c r="BG1487" s="2126">
        <v>0</v>
      </c>
      <c r="BH1487" s="2126">
        <v>0</v>
      </c>
      <c r="BI1487" s="2126">
        <v>0</v>
      </c>
      <c r="BJ1487" s="2126">
        <v>0</v>
      </c>
      <c r="BK1487" s="2126">
        <v>0</v>
      </c>
      <c r="BL1487" s="2126">
        <v>0</v>
      </c>
      <c r="BM1487" s="2126">
        <v>0</v>
      </c>
      <c r="BN1487" s="2126">
        <v>0</v>
      </c>
      <c r="BO1487" s="2126">
        <v>0</v>
      </c>
      <c r="BP1487" s="2126">
        <v>0</v>
      </c>
      <c r="BQ1487" s="2126">
        <v>0</v>
      </c>
      <c r="BR1487" s="2126">
        <v>0</v>
      </c>
    </row>
    <row r="1488" spans="1:70" s="1765" customFormat="1" ht="49.5">
      <c r="A1488" s="1272">
        <v>7000</v>
      </c>
      <c r="B1488" s="971" t="s">
        <v>2420</v>
      </c>
      <c r="C1488" s="1272">
        <v>7200</v>
      </c>
      <c r="D1488" s="971" t="s">
        <v>119</v>
      </c>
      <c r="E1488" s="971">
        <v>7210</v>
      </c>
      <c r="F1488" s="971" t="s">
        <v>2421</v>
      </c>
      <c r="G1488" s="971">
        <v>7212</v>
      </c>
      <c r="H1488" s="971" t="s">
        <v>2422</v>
      </c>
      <c r="I1488" s="1273"/>
      <c r="J1488" s="971" t="s">
        <v>124</v>
      </c>
      <c r="K1488" s="971" t="s">
        <v>784</v>
      </c>
      <c r="L1488" s="971" t="s">
        <v>2852</v>
      </c>
      <c r="M1488" s="971" t="s">
        <v>537</v>
      </c>
      <c r="N1488" s="971" t="s">
        <v>127</v>
      </c>
      <c r="O1488" s="971" t="s">
        <v>539</v>
      </c>
      <c r="P1488" s="971"/>
      <c r="Q1488" s="971" t="s">
        <v>2424</v>
      </c>
      <c r="R1488" s="1266"/>
      <c r="S1488" s="2106">
        <v>950</v>
      </c>
      <c r="T1488" s="1266" t="s">
        <v>136</v>
      </c>
      <c r="U1488" s="1742">
        <v>0.22416666666666665</v>
      </c>
      <c r="V1488" s="1742">
        <v>2.8020833333333335</v>
      </c>
      <c r="W1488" s="1742">
        <v>19.758049999999997</v>
      </c>
      <c r="X1488" s="1742">
        <v>30.905858333333335</v>
      </c>
      <c r="Y1488" s="2106">
        <v>53.46599166666666</v>
      </c>
      <c r="Z1488" s="2106">
        <v>212.95833333333331</v>
      </c>
      <c r="AA1488" s="2106">
        <v>2661.979166666667</v>
      </c>
      <c r="AB1488" s="2106">
        <v>18770.147499999999</v>
      </c>
      <c r="AC1488" s="2106">
        <v>29360.565416666668</v>
      </c>
      <c r="AD1488" s="1744">
        <v>50792.692083333335</v>
      </c>
      <c r="AE1488" s="2126">
        <v>1</v>
      </c>
      <c r="AF1488" s="2126">
        <v>950</v>
      </c>
      <c r="AG1488" s="1212">
        <v>1</v>
      </c>
      <c r="AH1488" s="1212">
        <v>0</v>
      </c>
      <c r="AI1488" s="1212">
        <v>0</v>
      </c>
      <c r="AJ1488" s="1212">
        <v>1</v>
      </c>
      <c r="AK1488" s="2126">
        <v>50792.692083333335</v>
      </c>
      <c r="AL1488" s="2126">
        <v>0</v>
      </c>
      <c r="AM1488" s="2126">
        <v>0</v>
      </c>
      <c r="AN1488" s="2126">
        <v>50792.692083333335</v>
      </c>
      <c r="AO1488" s="1743" t="s">
        <v>85</v>
      </c>
      <c r="AP1488" s="1743" t="s">
        <v>2425</v>
      </c>
      <c r="AQ1488" s="1764">
        <v>2017</v>
      </c>
      <c r="AR1488" s="1743" t="s">
        <v>87</v>
      </c>
      <c r="AS1488" s="2135"/>
      <c r="AT1488" s="2135"/>
      <c r="AU1488" s="1212"/>
      <c r="AV1488" s="1212">
        <v>1</v>
      </c>
      <c r="AW1488" s="1212"/>
      <c r="AX1488" s="1212"/>
      <c r="AY1488" s="1212"/>
      <c r="AZ1488" s="1212"/>
      <c r="BA1488" s="1212"/>
      <c r="BB1488" s="1212"/>
      <c r="BC1488" s="1212"/>
      <c r="BD1488" s="1212"/>
      <c r="BE1488" s="1212"/>
      <c r="BF1488" s="2126">
        <v>0</v>
      </c>
      <c r="BG1488" s="2126">
        <v>0</v>
      </c>
      <c r="BH1488" s="2126">
        <v>0</v>
      </c>
      <c r="BI1488" s="2126">
        <v>50792.692083333335</v>
      </c>
      <c r="BJ1488" s="2126">
        <v>0</v>
      </c>
      <c r="BK1488" s="2126">
        <v>0</v>
      </c>
      <c r="BL1488" s="2126">
        <v>0</v>
      </c>
      <c r="BM1488" s="2126">
        <v>0</v>
      </c>
      <c r="BN1488" s="2126">
        <v>0</v>
      </c>
      <c r="BO1488" s="2126">
        <v>0</v>
      </c>
      <c r="BP1488" s="2126">
        <v>0</v>
      </c>
      <c r="BQ1488" s="2126">
        <v>0</v>
      </c>
      <c r="BR1488" s="2126">
        <v>0</v>
      </c>
    </row>
    <row r="1489" spans="1:70" s="1765" customFormat="1" ht="66">
      <c r="A1489" s="1272">
        <v>7000</v>
      </c>
      <c r="B1489" s="971" t="s">
        <v>2420</v>
      </c>
      <c r="C1489" s="1272">
        <v>7200</v>
      </c>
      <c r="D1489" s="971" t="s">
        <v>119</v>
      </c>
      <c r="E1489" s="971">
        <v>7210</v>
      </c>
      <c r="F1489" s="971" t="s">
        <v>2421</v>
      </c>
      <c r="G1489" s="971">
        <v>7211</v>
      </c>
      <c r="H1489" s="971" t="s">
        <v>2426</v>
      </c>
      <c r="I1489" s="1273"/>
      <c r="J1489" s="971" t="s">
        <v>124</v>
      </c>
      <c r="K1489" s="971" t="s">
        <v>1642</v>
      </c>
      <c r="L1489" s="971" t="s">
        <v>2866</v>
      </c>
      <c r="M1489" s="971" t="s">
        <v>1642</v>
      </c>
      <c r="N1489" s="971" t="s">
        <v>127</v>
      </c>
      <c r="O1489" s="971" t="s">
        <v>1643</v>
      </c>
      <c r="P1489" s="971"/>
      <c r="Q1489" s="971" t="s">
        <v>2427</v>
      </c>
      <c r="R1489" s="1266"/>
      <c r="S1489" s="2106">
        <v>5392.34</v>
      </c>
      <c r="T1489" s="1266" t="s">
        <v>136</v>
      </c>
      <c r="U1489" s="1742">
        <v>0.17933333333333332</v>
      </c>
      <c r="V1489" s="1742">
        <v>2.2416666666666667</v>
      </c>
      <c r="W1489" s="1742">
        <v>15.80644</v>
      </c>
      <c r="X1489" s="1742">
        <v>24.72468666666667</v>
      </c>
      <c r="Y1489" s="2106">
        <v>42.772793333333333</v>
      </c>
      <c r="Z1489" s="2106">
        <v>967.02630666666664</v>
      </c>
      <c r="AA1489" s="2106">
        <v>12087.828833333333</v>
      </c>
      <c r="AB1489" s="2106">
        <v>85233.698669600009</v>
      </c>
      <c r="AC1489" s="2106">
        <v>133323.91690013336</v>
      </c>
      <c r="AD1489" s="1744">
        <v>230645.44440306671</v>
      </c>
      <c r="AE1489" s="2126">
        <v>0.5</v>
      </c>
      <c r="AF1489" s="2126">
        <v>2696.17</v>
      </c>
      <c r="AG1489" s="1212">
        <v>1</v>
      </c>
      <c r="AH1489" s="1212">
        <v>0</v>
      </c>
      <c r="AI1489" s="1212">
        <v>0</v>
      </c>
      <c r="AJ1489" s="1212">
        <v>1</v>
      </c>
      <c r="AK1489" s="2126">
        <v>230645.44440306671</v>
      </c>
      <c r="AL1489" s="2126">
        <v>0</v>
      </c>
      <c r="AM1489" s="2126">
        <v>0</v>
      </c>
      <c r="AN1489" s="2126">
        <v>230645.44440306671</v>
      </c>
      <c r="AO1489" s="1743" t="s">
        <v>131</v>
      </c>
      <c r="AP1489" s="1743"/>
      <c r="AQ1489" s="1764">
        <v>2014</v>
      </c>
      <c r="AR1489" s="1743" t="s">
        <v>87</v>
      </c>
      <c r="AS1489" s="2135"/>
      <c r="AT1489" s="2135"/>
      <c r="AU1489" s="1212">
        <v>0.33333333333333331</v>
      </c>
      <c r="AV1489" s="1212">
        <v>0.33333333333333331</v>
      </c>
      <c r="AW1489" s="1212">
        <v>0.33333333333333331</v>
      </c>
      <c r="AX1489" s="1212"/>
      <c r="AY1489" s="1212"/>
      <c r="AZ1489" s="1212"/>
      <c r="BA1489" s="1212"/>
      <c r="BB1489" s="1212"/>
      <c r="BC1489" s="1212"/>
      <c r="BD1489" s="1212"/>
      <c r="BE1489" s="1212"/>
      <c r="BF1489" s="2126">
        <v>0</v>
      </c>
      <c r="BG1489" s="2126">
        <v>0</v>
      </c>
      <c r="BH1489" s="2126">
        <v>76881.814801022236</v>
      </c>
      <c r="BI1489" s="2126">
        <v>76881.814801022236</v>
      </c>
      <c r="BJ1489" s="2126">
        <v>76881.814801022236</v>
      </c>
      <c r="BK1489" s="2126">
        <v>0</v>
      </c>
      <c r="BL1489" s="2126">
        <v>0</v>
      </c>
      <c r="BM1489" s="2126">
        <v>0</v>
      </c>
      <c r="BN1489" s="2126">
        <v>0</v>
      </c>
      <c r="BO1489" s="2126">
        <v>0</v>
      </c>
      <c r="BP1489" s="2126">
        <v>0</v>
      </c>
      <c r="BQ1489" s="2126">
        <v>0</v>
      </c>
      <c r="BR1489" s="2126">
        <v>0</v>
      </c>
    </row>
    <row r="1490" spans="1:70" s="1765" customFormat="1" ht="66">
      <c r="A1490" s="1272">
        <v>7000</v>
      </c>
      <c r="B1490" s="971" t="s">
        <v>2420</v>
      </c>
      <c r="C1490" s="1272">
        <v>7200</v>
      </c>
      <c r="D1490" s="971" t="s">
        <v>119</v>
      </c>
      <c r="E1490" s="971">
        <v>7210</v>
      </c>
      <c r="F1490" s="971" t="s">
        <v>2421</v>
      </c>
      <c r="G1490" s="971">
        <v>7211</v>
      </c>
      <c r="H1490" s="971" t="s">
        <v>2426</v>
      </c>
      <c r="I1490" s="1273"/>
      <c r="J1490" s="971" t="s">
        <v>124</v>
      </c>
      <c r="K1490" s="971" t="s">
        <v>1642</v>
      </c>
      <c r="L1490" s="971" t="s">
        <v>2866</v>
      </c>
      <c r="M1490" s="971" t="s">
        <v>1642</v>
      </c>
      <c r="N1490" s="971" t="s">
        <v>127</v>
      </c>
      <c r="O1490" s="971" t="s">
        <v>1643</v>
      </c>
      <c r="P1490" s="971"/>
      <c r="Q1490" s="971" t="s">
        <v>2428</v>
      </c>
      <c r="R1490" s="1266"/>
      <c r="S1490" s="2106">
        <v>0</v>
      </c>
      <c r="T1490" s="1266" t="s">
        <v>136</v>
      </c>
      <c r="U1490" s="1742">
        <v>0.17933333333333332</v>
      </c>
      <c r="V1490" s="1742">
        <v>2.2416666666666667</v>
      </c>
      <c r="W1490" s="1742">
        <v>15.80644</v>
      </c>
      <c r="X1490" s="1742">
        <v>24.72468666666667</v>
      </c>
      <c r="Y1490" s="2106">
        <v>42.772793333333333</v>
      </c>
      <c r="Z1490" s="2106">
        <v>0</v>
      </c>
      <c r="AA1490" s="2106">
        <v>0</v>
      </c>
      <c r="AB1490" s="2106">
        <v>0</v>
      </c>
      <c r="AC1490" s="2106">
        <v>0</v>
      </c>
      <c r="AD1490" s="1744">
        <v>0</v>
      </c>
      <c r="AE1490" s="2126">
        <v>0.5</v>
      </c>
      <c r="AF1490" s="2126">
        <v>0</v>
      </c>
      <c r="AG1490" s="1212">
        <v>1</v>
      </c>
      <c r="AH1490" s="1212">
        <v>0</v>
      </c>
      <c r="AI1490" s="1212">
        <v>0</v>
      </c>
      <c r="AJ1490" s="1212">
        <v>1</v>
      </c>
      <c r="AK1490" s="2126">
        <v>0</v>
      </c>
      <c r="AL1490" s="2126">
        <v>0</v>
      </c>
      <c r="AM1490" s="2126">
        <v>0</v>
      </c>
      <c r="AN1490" s="2126">
        <v>0</v>
      </c>
      <c r="AO1490" s="1743" t="s">
        <v>131</v>
      </c>
      <c r="AP1490" s="1743"/>
      <c r="AQ1490" s="1764">
        <v>2014</v>
      </c>
      <c r="AR1490" s="1743" t="s">
        <v>87</v>
      </c>
      <c r="AS1490" s="2135"/>
      <c r="AT1490" s="2135"/>
      <c r="AU1490" s="1212"/>
      <c r="AV1490" s="1212">
        <v>1</v>
      </c>
      <c r="AW1490" s="1212"/>
      <c r="AX1490" s="1212"/>
      <c r="AY1490" s="1212"/>
      <c r="AZ1490" s="1212"/>
      <c r="BA1490" s="1212"/>
      <c r="BB1490" s="1212"/>
      <c r="BC1490" s="1212"/>
      <c r="BD1490" s="1212"/>
      <c r="BE1490" s="1212"/>
      <c r="BF1490" s="2126">
        <v>0</v>
      </c>
      <c r="BG1490" s="2126">
        <v>0</v>
      </c>
      <c r="BH1490" s="2126">
        <v>0</v>
      </c>
      <c r="BI1490" s="2126">
        <v>0</v>
      </c>
      <c r="BJ1490" s="2126">
        <v>0</v>
      </c>
      <c r="BK1490" s="2126">
        <v>0</v>
      </c>
      <c r="BL1490" s="2126">
        <v>0</v>
      </c>
      <c r="BM1490" s="2126">
        <v>0</v>
      </c>
      <c r="BN1490" s="2126">
        <v>0</v>
      </c>
      <c r="BO1490" s="2126">
        <v>0</v>
      </c>
      <c r="BP1490" s="2126">
        <v>0</v>
      </c>
      <c r="BQ1490" s="2126">
        <v>0</v>
      </c>
      <c r="BR1490" s="2126">
        <v>0</v>
      </c>
    </row>
    <row r="1491" spans="1:70" s="1765" customFormat="1" ht="66">
      <c r="A1491" s="1272">
        <v>7000</v>
      </c>
      <c r="B1491" s="971" t="s">
        <v>2420</v>
      </c>
      <c r="C1491" s="1272">
        <v>7200</v>
      </c>
      <c r="D1491" s="971" t="s">
        <v>119</v>
      </c>
      <c r="E1491" s="971">
        <v>7230</v>
      </c>
      <c r="F1491" s="971" t="s">
        <v>2430</v>
      </c>
      <c r="G1491" s="971">
        <v>7234</v>
      </c>
      <c r="H1491" s="971" t="s">
        <v>2431</v>
      </c>
      <c r="I1491" s="1273"/>
      <c r="J1491" s="971" t="s">
        <v>124</v>
      </c>
      <c r="K1491" s="971" t="s">
        <v>2022</v>
      </c>
      <c r="L1491" s="971" t="s">
        <v>2867</v>
      </c>
      <c r="M1491" s="971" t="s">
        <v>2022</v>
      </c>
      <c r="N1491" s="971" t="s">
        <v>488</v>
      </c>
      <c r="O1491" s="971" t="s">
        <v>1643</v>
      </c>
      <c r="P1491" s="971"/>
      <c r="Q1491" s="971" t="s">
        <v>2432</v>
      </c>
      <c r="R1491" s="1266"/>
      <c r="S1491" s="2106">
        <v>1252.3630000000001</v>
      </c>
      <c r="T1491" s="1266" t="s">
        <v>136</v>
      </c>
      <c r="U1491" s="1742">
        <v>0.58283333333333331</v>
      </c>
      <c r="V1491" s="1742">
        <v>2.2416666666666667</v>
      </c>
      <c r="W1491" s="1742">
        <v>56.121489214285731</v>
      </c>
      <c r="X1491" s="1742">
        <v>80.355231666666654</v>
      </c>
      <c r="Y1491" s="2106">
        <v>138.71838754761905</v>
      </c>
      <c r="Z1491" s="2106">
        <v>729.91890183333339</v>
      </c>
      <c r="AA1491" s="2106">
        <v>2807.380391666667</v>
      </c>
      <c r="AB1491" s="2106">
        <v>70284.476596870518</v>
      </c>
      <c r="AC1491" s="2106">
        <v>100633.91899576166</v>
      </c>
      <c r="AD1491" s="1744">
        <v>173725.77598429885</v>
      </c>
      <c r="AE1491" s="2126">
        <v>0.5</v>
      </c>
      <c r="AF1491" s="2126">
        <v>626.18150000000003</v>
      </c>
      <c r="AG1491" s="1212">
        <v>1</v>
      </c>
      <c r="AH1491" s="1212">
        <v>0</v>
      </c>
      <c r="AI1491" s="1212">
        <v>0</v>
      </c>
      <c r="AJ1491" s="1212">
        <v>1</v>
      </c>
      <c r="AK1491" s="2126">
        <v>173725.77598429885</v>
      </c>
      <c r="AL1491" s="2126">
        <v>0</v>
      </c>
      <c r="AM1491" s="2126">
        <v>0</v>
      </c>
      <c r="AN1491" s="2126">
        <v>173725.77598429885</v>
      </c>
      <c r="AO1491" s="1743" t="s">
        <v>131</v>
      </c>
      <c r="AP1491" s="1743"/>
      <c r="AQ1491" s="1764">
        <v>2014</v>
      </c>
      <c r="AR1491" s="1743" t="s">
        <v>87</v>
      </c>
      <c r="AS1491" s="2135"/>
      <c r="AT1491" s="2135"/>
      <c r="AU1491" s="1212">
        <v>0.33333333333333331</v>
      </c>
      <c r="AV1491" s="1212">
        <v>0.33333333333333331</v>
      </c>
      <c r="AW1491" s="1212">
        <v>0.33333333333333331</v>
      </c>
      <c r="AX1491" s="1212"/>
      <c r="AY1491" s="1212"/>
      <c r="AZ1491" s="1212"/>
      <c r="BA1491" s="1212"/>
      <c r="BB1491" s="1212"/>
      <c r="BC1491" s="1212"/>
      <c r="BD1491" s="1212"/>
      <c r="BE1491" s="1212"/>
      <c r="BF1491" s="2126">
        <v>0</v>
      </c>
      <c r="BG1491" s="2126">
        <v>0</v>
      </c>
      <c r="BH1491" s="2126">
        <v>57908.591994766277</v>
      </c>
      <c r="BI1491" s="2126">
        <v>57908.591994766277</v>
      </c>
      <c r="BJ1491" s="2126">
        <v>57908.591994766277</v>
      </c>
      <c r="BK1491" s="2126">
        <v>0</v>
      </c>
      <c r="BL1491" s="2126">
        <v>0</v>
      </c>
      <c r="BM1491" s="2126">
        <v>0</v>
      </c>
      <c r="BN1491" s="2126">
        <v>0</v>
      </c>
      <c r="BO1491" s="2126">
        <v>0</v>
      </c>
      <c r="BP1491" s="2126">
        <v>0</v>
      </c>
      <c r="BQ1491" s="2126">
        <v>0</v>
      </c>
      <c r="BR1491" s="2126">
        <v>0</v>
      </c>
    </row>
    <row r="1492" spans="1:70" s="1765" customFormat="1" ht="66">
      <c r="A1492" s="1272">
        <v>7000</v>
      </c>
      <c r="B1492" s="971" t="s">
        <v>2420</v>
      </c>
      <c r="C1492" s="1272">
        <v>7200</v>
      </c>
      <c r="D1492" s="971" t="s">
        <v>119</v>
      </c>
      <c r="E1492" s="971">
        <v>7230</v>
      </c>
      <c r="F1492" s="971" t="s">
        <v>2430</v>
      </c>
      <c r="G1492" s="971">
        <v>7234</v>
      </c>
      <c r="H1492" s="971" t="s">
        <v>2431</v>
      </c>
      <c r="I1492" s="1273"/>
      <c r="J1492" s="971" t="s">
        <v>124</v>
      </c>
      <c r="K1492" s="971" t="s">
        <v>2022</v>
      </c>
      <c r="L1492" s="971" t="s">
        <v>2867</v>
      </c>
      <c r="M1492" s="971" t="s">
        <v>2022</v>
      </c>
      <c r="N1492" s="971" t="s">
        <v>488</v>
      </c>
      <c r="O1492" s="971" t="s">
        <v>1643</v>
      </c>
      <c r="P1492" s="971"/>
      <c r="Q1492" s="971" t="s">
        <v>2432</v>
      </c>
      <c r="R1492" s="1266"/>
      <c r="S1492" s="2106">
        <v>878.16179999999997</v>
      </c>
      <c r="T1492" s="1266" t="s">
        <v>136</v>
      </c>
      <c r="U1492" s="1742">
        <v>0.58283333333333331</v>
      </c>
      <c r="V1492" s="1742">
        <v>2.2416666666666667</v>
      </c>
      <c r="W1492" s="1742">
        <v>56.121489214285731</v>
      </c>
      <c r="X1492" s="1742">
        <v>80.355231666666654</v>
      </c>
      <c r="Y1492" s="2106">
        <v>138.71838754761905</v>
      </c>
      <c r="Z1492" s="2106">
        <v>511.82196909999999</v>
      </c>
      <c r="AA1492" s="2106">
        <v>1968.5460350000001</v>
      </c>
      <c r="AB1492" s="2106">
        <v>49283.74798709774</v>
      </c>
      <c r="AC1492" s="2106">
        <v>70564.894879816988</v>
      </c>
      <c r="AD1492" s="1744">
        <v>121817.18890191472</v>
      </c>
      <c r="AE1492" s="2126">
        <v>0.5</v>
      </c>
      <c r="AF1492" s="2126">
        <v>439.08089999999999</v>
      </c>
      <c r="AG1492" s="1212">
        <v>1</v>
      </c>
      <c r="AH1492" s="1212">
        <v>0</v>
      </c>
      <c r="AI1492" s="1212">
        <v>0</v>
      </c>
      <c r="AJ1492" s="1212">
        <v>1</v>
      </c>
      <c r="AK1492" s="2126">
        <v>121817.18890191472</v>
      </c>
      <c r="AL1492" s="2126">
        <v>0</v>
      </c>
      <c r="AM1492" s="2126">
        <v>0</v>
      </c>
      <c r="AN1492" s="2126">
        <v>121817.18890191472</v>
      </c>
      <c r="AO1492" s="1743" t="s">
        <v>131</v>
      </c>
      <c r="AP1492" s="1743"/>
      <c r="AQ1492" s="1764">
        <v>2014</v>
      </c>
      <c r="AR1492" s="1743" t="s">
        <v>87</v>
      </c>
      <c r="AS1492" s="2135"/>
      <c r="AT1492" s="2135"/>
      <c r="AU1492" s="1212">
        <v>0.33333333333333331</v>
      </c>
      <c r="AV1492" s="1212">
        <v>0.33333333333333331</v>
      </c>
      <c r="AW1492" s="1212">
        <v>0.33333333333333331</v>
      </c>
      <c r="AX1492" s="1212"/>
      <c r="AY1492" s="1212"/>
      <c r="AZ1492" s="1212"/>
      <c r="BA1492" s="1212"/>
      <c r="BB1492" s="1212"/>
      <c r="BC1492" s="1212"/>
      <c r="BD1492" s="1212"/>
      <c r="BE1492" s="1212"/>
      <c r="BF1492" s="2126">
        <v>0</v>
      </c>
      <c r="BG1492" s="2126">
        <v>0</v>
      </c>
      <c r="BH1492" s="2126">
        <v>40605.729633971569</v>
      </c>
      <c r="BI1492" s="2126">
        <v>40605.729633971569</v>
      </c>
      <c r="BJ1492" s="2126">
        <v>40605.729633971569</v>
      </c>
      <c r="BK1492" s="2126">
        <v>0</v>
      </c>
      <c r="BL1492" s="2126">
        <v>0</v>
      </c>
      <c r="BM1492" s="2126">
        <v>0</v>
      </c>
      <c r="BN1492" s="2126">
        <v>0</v>
      </c>
      <c r="BO1492" s="2126">
        <v>0</v>
      </c>
      <c r="BP1492" s="2126">
        <v>0</v>
      </c>
      <c r="BQ1492" s="2126">
        <v>0</v>
      </c>
      <c r="BR1492" s="2126">
        <v>0</v>
      </c>
    </row>
    <row r="1493" spans="1:70" s="1765" customFormat="1" ht="66">
      <c r="A1493" s="1272">
        <v>7000</v>
      </c>
      <c r="B1493" s="971" t="s">
        <v>2420</v>
      </c>
      <c r="C1493" s="1272">
        <v>7200</v>
      </c>
      <c r="D1493" s="971" t="s">
        <v>119</v>
      </c>
      <c r="E1493" s="971">
        <v>7230</v>
      </c>
      <c r="F1493" s="971" t="s">
        <v>2430</v>
      </c>
      <c r="G1493" s="971">
        <v>7234</v>
      </c>
      <c r="H1493" s="971" t="s">
        <v>2431</v>
      </c>
      <c r="I1493" s="1273"/>
      <c r="J1493" s="971" t="s">
        <v>124</v>
      </c>
      <c r="K1493" s="971" t="s">
        <v>1747</v>
      </c>
      <c r="L1493" s="971" t="s">
        <v>6606</v>
      </c>
      <c r="M1493" s="971" t="s">
        <v>606</v>
      </c>
      <c r="N1493" s="971" t="s">
        <v>488</v>
      </c>
      <c r="O1493" s="971" t="s">
        <v>518</v>
      </c>
      <c r="P1493" s="971"/>
      <c r="Q1493" s="971" t="s">
        <v>2433</v>
      </c>
      <c r="R1493" s="1266"/>
      <c r="S1493" s="2106">
        <v>250.24000000000004</v>
      </c>
      <c r="T1493" s="1266" t="s">
        <v>136</v>
      </c>
      <c r="U1493" s="1742">
        <v>0.56041666666666667</v>
      </c>
      <c r="V1493" s="1742">
        <v>1.9614583333333333</v>
      </c>
      <c r="W1493" s="1742">
        <v>49.395125</v>
      </c>
      <c r="X1493" s="1742">
        <v>77.264645833333333</v>
      </c>
      <c r="Y1493" s="2106">
        <v>128.62122916666667</v>
      </c>
      <c r="Z1493" s="2106">
        <v>140.23866666666669</v>
      </c>
      <c r="AA1493" s="2106">
        <v>490.83533333333338</v>
      </c>
      <c r="AB1493" s="2106">
        <v>12360.636080000002</v>
      </c>
      <c r="AC1493" s="2106">
        <v>19334.704973333337</v>
      </c>
      <c r="AD1493" s="1744">
        <v>32186.176386666673</v>
      </c>
      <c r="AE1493" s="2126">
        <v>1</v>
      </c>
      <c r="AF1493" s="2126">
        <v>250.24000000000004</v>
      </c>
      <c r="AG1493" s="1212">
        <v>1</v>
      </c>
      <c r="AH1493" s="1212">
        <v>0</v>
      </c>
      <c r="AI1493" s="1212">
        <v>0</v>
      </c>
      <c r="AJ1493" s="1212">
        <v>1</v>
      </c>
      <c r="AK1493" s="2126">
        <v>32186.176386666673</v>
      </c>
      <c r="AL1493" s="2126">
        <v>0</v>
      </c>
      <c r="AM1493" s="2126">
        <v>0</v>
      </c>
      <c r="AN1493" s="2126">
        <v>32186.176386666673</v>
      </c>
      <c r="AO1493" s="1743" t="s">
        <v>131</v>
      </c>
      <c r="AP1493" s="1743"/>
      <c r="AQ1493" s="1764">
        <v>2014</v>
      </c>
      <c r="AR1493" s="1743" t="s">
        <v>87</v>
      </c>
      <c r="AS1493" s="2135"/>
      <c r="AT1493" s="2135"/>
      <c r="AU1493" s="1212"/>
      <c r="AV1493" s="1212">
        <v>1</v>
      </c>
      <c r="AW1493" s="1212"/>
      <c r="AX1493" s="1212"/>
      <c r="AY1493" s="1212"/>
      <c r="AZ1493" s="1212"/>
      <c r="BA1493" s="1212"/>
      <c r="BB1493" s="1212"/>
      <c r="BC1493" s="1212"/>
      <c r="BD1493" s="1212"/>
      <c r="BE1493" s="1212"/>
      <c r="BF1493" s="2126">
        <v>0</v>
      </c>
      <c r="BG1493" s="2126">
        <v>0</v>
      </c>
      <c r="BH1493" s="2126">
        <v>0</v>
      </c>
      <c r="BI1493" s="2126">
        <v>32186.176386666673</v>
      </c>
      <c r="BJ1493" s="2126">
        <v>0</v>
      </c>
      <c r="BK1493" s="2126">
        <v>0</v>
      </c>
      <c r="BL1493" s="2126">
        <v>0</v>
      </c>
      <c r="BM1493" s="2126">
        <v>0</v>
      </c>
      <c r="BN1493" s="2126">
        <v>0</v>
      </c>
      <c r="BO1493" s="2126">
        <v>0</v>
      </c>
      <c r="BP1493" s="2126">
        <v>0</v>
      </c>
      <c r="BQ1493" s="2126">
        <v>0</v>
      </c>
      <c r="BR1493" s="2126">
        <v>0</v>
      </c>
    </row>
    <row r="1494" spans="1:70" s="1765" customFormat="1" ht="33">
      <c r="A1494" s="1272">
        <v>7000</v>
      </c>
      <c r="B1494" s="971" t="s">
        <v>2420</v>
      </c>
      <c r="C1494" s="1272">
        <v>7200</v>
      </c>
      <c r="D1494" s="971" t="s">
        <v>119</v>
      </c>
      <c r="E1494" s="971">
        <v>7230</v>
      </c>
      <c r="F1494" s="971" t="s">
        <v>2430</v>
      </c>
      <c r="G1494" s="971">
        <v>7234</v>
      </c>
      <c r="H1494" s="971" t="s">
        <v>2431</v>
      </c>
      <c r="I1494" s="1273"/>
      <c r="J1494" s="971" t="s">
        <v>124</v>
      </c>
      <c r="K1494" s="971"/>
      <c r="L1494" s="971" t="e">
        <v>#N/A</v>
      </c>
      <c r="M1494" s="971"/>
      <c r="N1494" s="971"/>
      <c r="O1494" s="971"/>
      <c r="P1494" s="971"/>
      <c r="Q1494" s="971" t="s">
        <v>2434</v>
      </c>
      <c r="R1494" s="1266" t="s">
        <v>2435</v>
      </c>
      <c r="S1494" s="2106">
        <v>0</v>
      </c>
      <c r="T1494" s="1266" t="s">
        <v>136</v>
      </c>
      <c r="U1494" s="1742" t="s">
        <v>6588</v>
      </c>
      <c r="V1494" s="1742" t="s">
        <v>6588</v>
      </c>
      <c r="W1494" s="1742" t="s">
        <v>6588</v>
      </c>
      <c r="X1494" s="1742" t="s">
        <v>6588</v>
      </c>
      <c r="Y1494" s="2106" t="s">
        <v>6588</v>
      </c>
      <c r="Z1494" s="2106">
        <v>0</v>
      </c>
      <c r="AA1494" s="2106">
        <v>0</v>
      </c>
      <c r="AB1494" s="2106">
        <v>0</v>
      </c>
      <c r="AC1494" s="2106">
        <v>0</v>
      </c>
      <c r="AD1494" s="1744">
        <v>0</v>
      </c>
      <c r="AE1494" s="2126">
        <v>0</v>
      </c>
      <c r="AF1494" s="2126">
        <v>0</v>
      </c>
      <c r="AG1494" s="1212">
        <v>1</v>
      </c>
      <c r="AH1494" s="1212">
        <v>0</v>
      </c>
      <c r="AI1494" s="1212">
        <v>0</v>
      </c>
      <c r="AJ1494" s="1212">
        <v>1</v>
      </c>
      <c r="AK1494" s="2126">
        <v>0</v>
      </c>
      <c r="AL1494" s="2126">
        <v>0</v>
      </c>
      <c r="AM1494" s="2126">
        <v>0</v>
      </c>
      <c r="AN1494" s="2126">
        <v>0</v>
      </c>
      <c r="AO1494" s="1743" t="s">
        <v>131</v>
      </c>
      <c r="AP1494" s="1743"/>
      <c r="AQ1494" s="1764">
        <v>2014</v>
      </c>
      <c r="AR1494" s="1743" t="s">
        <v>87</v>
      </c>
      <c r="AS1494" s="2135"/>
      <c r="AT1494" s="2135"/>
      <c r="AU1494" s="1212">
        <v>0.33333333333333331</v>
      </c>
      <c r="AV1494" s="1212">
        <v>0.33333333333333331</v>
      </c>
      <c r="AW1494" s="1212">
        <v>0.33333333333333331</v>
      </c>
      <c r="AX1494" s="1212"/>
      <c r="AY1494" s="1212"/>
      <c r="AZ1494" s="1212"/>
      <c r="BA1494" s="1212"/>
      <c r="BB1494" s="1212"/>
      <c r="BC1494" s="1212"/>
      <c r="BD1494" s="1212"/>
      <c r="BE1494" s="1212"/>
      <c r="BF1494" s="2126">
        <v>0</v>
      </c>
      <c r="BG1494" s="2126">
        <v>0</v>
      </c>
      <c r="BH1494" s="2126">
        <v>0</v>
      </c>
      <c r="BI1494" s="2126">
        <v>0</v>
      </c>
      <c r="BJ1494" s="2126">
        <v>0</v>
      </c>
      <c r="BK1494" s="2126">
        <v>0</v>
      </c>
      <c r="BL1494" s="2126">
        <v>0</v>
      </c>
      <c r="BM1494" s="2126">
        <v>0</v>
      </c>
      <c r="BN1494" s="2126">
        <v>0</v>
      </c>
      <c r="BO1494" s="2126">
        <v>0</v>
      </c>
      <c r="BP1494" s="2126">
        <v>0</v>
      </c>
      <c r="BQ1494" s="2126">
        <v>0</v>
      </c>
      <c r="BR1494" s="2126">
        <v>0</v>
      </c>
    </row>
    <row r="1495" spans="1:70" s="1765" customFormat="1" ht="33">
      <c r="A1495" s="1272">
        <v>7000</v>
      </c>
      <c r="B1495" s="971" t="s">
        <v>2420</v>
      </c>
      <c r="C1495" s="1272">
        <v>7200</v>
      </c>
      <c r="D1495" s="971" t="s">
        <v>119</v>
      </c>
      <c r="E1495" s="971">
        <v>7230</v>
      </c>
      <c r="F1495" s="971" t="s">
        <v>2430</v>
      </c>
      <c r="G1495" s="971">
        <v>7234</v>
      </c>
      <c r="H1495" s="971" t="s">
        <v>2431</v>
      </c>
      <c r="I1495" s="1273"/>
      <c r="J1495" s="971" t="s">
        <v>124</v>
      </c>
      <c r="K1495" s="971" t="s">
        <v>140</v>
      </c>
      <c r="L1495" s="971" t="s">
        <v>2909</v>
      </c>
      <c r="M1495" s="971" t="s">
        <v>140</v>
      </c>
      <c r="N1495" s="971" t="s">
        <v>141</v>
      </c>
      <c r="O1495" s="971" t="s">
        <v>142</v>
      </c>
      <c r="P1495" s="971"/>
      <c r="Q1495" s="971" t="s">
        <v>2436</v>
      </c>
      <c r="R1495" s="1266" t="s">
        <v>2435</v>
      </c>
      <c r="S1495" s="2106">
        <v>0</v>
      </c>
      <c r="T1495" s="1266" t="s">
        <v>136</v>
      </c>
      <c r="U1495" s="1742">
        <v>0</v>
      </c>
      <c r="V1495" s="1742">
        <v>0</v>
      </c>
      <c r="W1495" s="1742">
        <v>0</v>
      </c>
      <c r="X1495" s="1742">
        <v>0</v>
      </c>
      <c r="Y1495" s="2106">
        <v>0</v>
      </c>
      <c r="Z1495" s="2106">
        <v>0</v>
      </c>
      <c r="AA1495" s="2106">
        <v>0</v>
      </c>
      <c r="AB1495" s="2106">
        <v>0</v>
      </c>
      <c r="AC1495" s="2106">
        <v>0</v>
      </c>
      <c r="AD1495" s="1744">
        <v>0</v>
      </c>
      <c r="AE1495" s="2126">
        <v>0</v>
      </c>
      <c r="AF1495" s="2126">
        <v>0</v>
      </c>
      <c r="AG1495" s="1212">
        <v>1</v>
      </c>
      <c r="AH1495" s="1212">
        <v>0</v>
      </c>
      <c r="AI1495" s="1212">
        <v>0</v>
      </c>
      <c r="AJ1495" s="1212">
        <v>1</v>
      </c>
      <c r="AK1495" s="2126">
        <v>0</v>
      </c>
      <c r="AL1495" s="2126">
        <v>0</v>
      </c>
      <c r="AM1495" s="2126">
        <v>0</v>
      </c>
      <c r="AN1495" s="2126">
        <v>0</v>
      </c>
      <c r="AO1495" s="1743" t="s">
        <v>131</v>
      </c>
      <c r="AP1495" s="1743"/>
      <c r="AQ1495" s="1764">
        <v>2014</v>
      </c>
      <c r="AR1495" s="1743" t="s">
        <v>87</v>
      </c>
      <c r="AS1495" s="2135"/>
      <c r="AT1495" s="2135"/>
      <c r="AU1495" s="1212">
        <v>0.33333333333333331</v>
      </c>
      <c r="AV1495" s="1212">
        <v>0.33333333333333331</v>
      </c>
      <c r="AW1495" s="1212">
        <v>0.33333333333333331</v>
      </c>
      <c r="AX1495" s="1212"/>
      <c r="AY1495" s="1212"/>
      <c r="AZ1495" s="1212"/>
      <c r="BA1495" s="1212"/>
      <c r="BB1495" s="1212"/>
      <c r="BC1495" s="1212"/>
      <c r="BD1495" s="1212"/>
      <c r="BE1495" s="1212"/>
      <c r="BF1495" s="2126">
        <v>0</v>
      </c>
      <c r="BG1495" s="2126">
        <v>0</v>
      </c>
      <c r="BH1495" s="2126">
        <v>0</v>
      </c>
      <c r="BI1495" s="2126">
        <v>0</v>
      </c>
      <c r="BJ1495" s="2126">
        <v>0</v>
      </c>
      <c r="BK1495" s="2126">
        <v>0</v>
      </c>
      <c r="BL1495" s="2126">
        <v>0</v>
      </c>
      <c r="BM1495" s="2126">
        <v>0</v>
      </c>
      <c r="BN1495" s="2126">
        <v>0</v>
      </c>
      <c r="BO1495" s="2126">
        <v>0</v>
      </c>
      <c r="BP1495" s="2126">
        <v>0</v>
      </c>
      <c r="BQ1495" s="2126">
        <v>0</v>
      </c>
      <c r="BR1495" s="2126">
        <v>0</v>
      </c>
    </row>
    <row r="1496" spans="1:70" s="1765" customFormat="1" ht="33">
      <c r="A1496" s="1272">
        <v>7000</v>
      </c>
      <c r="B1496" s="971" t="s">
        <v>2420</v>
      </c>
      <c r="C1496" s="1272">
        <v>7200</v>
      </c>
      <c r="D1496" s="971" t="s">
        <v>119</v>
      </c>
      <c r="E1496" s="971">
        <v>7230</v>
      </c>
      <c r="F1496" s="971" t="s">
        <v>2430</v>
      </c>
      <c r="G1496" s="971">
        <v>7234</v>
      </c>
      <c r="H1496" s="971" t="s">
        <v>2431</v>
      </c>
      <c r="I1496" s="1273"/>
      <c r="J1496" s="971" t="s">
        <v>124</v>
      </c>
      <c r="K1496" s="971" t="s">
        <v>140</v>
      </c>
      <c r="L1496" s="971" t="s">
        <v>2909</v>
      </c>
      <c r="M1496" s="971" t="s">
        <v>140</v>
      </c>
      <c r="N1496" s="971" t="s">
        <v>141</v>
      </c>
      <c r="O1496" s="971" t="s">
        <v>142</v>
      </c>
      <c r="P1496" s="971"/>
      <c r="Q1496" s="971" t="s">
        <v>2437</v>
      </c>
      <c r="R1496" s="1266" t="s">
        <v>2435</v>
      </c>
      <c r="S1496" s="2106">
        <v>0</v>
      </c>
      <c r="T1496" s="1266" t="s">
        <v>136</v>
      </c>
      <c r="U1496" s="1742">
        <v>0</v>
      </c>
      <c r="V1496" s="1742">
        <v>0</v>
      </c>
      <c r="W1496" s="1742">
        <v>0</v>
      </c>
      <c r="X1496" s="1742">
        <v>0</v>
      </c>
      <c r="Y1496" s="2106">
        <v>0</v>
      </c>
      <c r="Z1496" s="2106">
        <v>0</v>
      </c>
      <c r="AA1496" s="2106">
        <v>0</v>
      </c>
      <c r="AB1496" s="2106">
        <v>0</v>
      </c>
      <c r="AC1496" s="2106">
        <v>0</v>
      </c>
      <c r="AD1496" s="1744">
        <v>0</v>
      </c>
      <c r="AE1496" s="2126">
        <v>0</v>
      </c>
      <c r="AF1496" s="2126">
        <v>0</v>
      </c>
      <c r="AG1496" s="1212">
        <v>1</v>
      </c>
      <c r="AH1496" s="1212">
        <v>0</v>
      </c>
      <c r="AI1496" s="1212">
        <v>0</v>
      </c>
      <c r="AJ1496" s="1212">
        <v>1</v>
      </c>
      <c r="AK1496" s="2126">
        <v>0</v>
      </c>
      <c r="AL1496" s="2126">
        <v>0</v>
      </c>
      <c r="AM1496" s="2126">
        <v>0</v>
      </c>
      <c r="AN1496" s="2126">
        <v>0</v>
      </c>
      <c r="AO1496" s="1743" t="s">
        <v>131</v>
      </c>
      <c r="AP1496" s="1743"/>
      <c r="AQ1496" s="1764">
        <v>2014</v>
      </c>
      <c r="AR1496" s="1743" t="s">
        <v>87</v>
      </c>
      <c r="AS1496" s="2135"/>
      <c r="AT1496" s="2135"/>
      <c r="AU1496" s="1212">
        <v>0.33333333333333331</v>
      </c>
      <c r="AV1496" s="1212">
        <v>0.33333333333333331</v>
      </c>
      <c r="AW1496" s="1212">
        <v>0.33333333333333331</v>
      </c>
      <c r="AX1496" s="1212"/>
      <c r="AY1496" s="1212"/>
      <c r="AZ1496" s="1212"/>
      <c r="BA1496" s="1212"/>
      <c r="BB1496" s="1212"/>
      <c r="BC1496" s="1212"/>
      <c r="BD1496" s="1212"/>
      <c r="BE1496" s="1212"/>
      <c r="BF1496" s="2126">
        <v>0</v>
      </c>
      <c r="BG1496" s="2126">
        <v>0</v>
      </c>
      <c r="BH1496" s="2126">
        <v>0</v>
      </c>
      <c r="BI1496" s="2126">
        <v>0</v>
      </c>
      <c r="BJ1496" s="2126">
        <v>0</v>
      </c>
      <c r="BK1496" s="2126">
        <v>0</v>
      </c>
      <c r="BL1496" s="2126">
        <v>0</v>
      </c>
      <c r="BM1496" s="2126">
        <v>0</v>
      </c>
      <c r="BN1496" s="2126">
        <v>0</v>
      </c>
      <c r="BO1496" s="2126">
        <v>0</v>
      </c>
      <c r="BP1496" s="2126">
        <v>0</v>
      </c>
      <c r="BQ1496" s="2126">
        <v>0</v>
      </c>
      <c r="BR1496" s="2126">
        <v>0</v>
      </c>
    </row>
    <row r="1497" spans="1:70" s="1765" customFormat="1" ht="33">
      <c r="A1497" s="1272">
        <v>7000</v>
      </c>
      <c r="B1497" s="971" t="s">
        <v>2420</v>
      </c>
      <c r="C1497" s="1272">
        <v>7200</v>
      </c>
      <c r="D1497" s="971" t="s">
        <v>119</v>
      </c>
      <c r="E1497" s="971">
        <v>7230</v>
      </c>
      <c r="F1497" s="971" t="s">
        <v>2430</v>
      </c>
      <c r="G1497" s="971">
        <v>7234</v>
      </c>
      <c r="H1497" s="971" t="s">
        <v>2431</v>
      </c>
      <c r="I1497" s="1273"/>
      <c r="J1497" s="971" t="s">
        <v>124</v>
      </c>
      <c r="K1497" s="971"/>
      <c r="L1497" s="971" t="e">
        <v>#N/A</v>
      </c>
      <c r="M1497" s="971"/>
      <c r="N1497" s="971"/>
      <c r="O1497" s="971"/>
      <c r="P1497" s="971"/>
      <c r="Q1497" s="971" t="s">
        <v>2438</v>
      </c>
      <c r="R1497" s="1266" t="s">
        <v>2439</v>
      </c>
      <c r="S1497" s="2106">
        <v>0</v>
      </c>
      <c r="T1497" s="1266" t="s">
        <v>136</v>
      </c>
      <c r="U1497" s="1742" t="s">
        <v>6588</v>
      </c>
      <c r="V1497" s="1742" t="s">
        <v>6588</v>
      </c>
      <c r="W1497" s="1742" t="s">
        <v>6588</v>
      </c>
      <c r="X1497" s="1742" t="s">
        <v>6588</v>
      </c>
      <c r="Y1497" s="2106" t="s">
        <v>6588</v>
      </c>
      <c r="Z1497" s="2106">
        <v>0</v>
      </c>
      <c r="AA1497" s="2106">
        <v>0</v>
      </c>
      <c r="AB1497" s="2106">
        <v>0</v>
      </c>
      <c r="AC1497" s="2106">
        <v>0</v>
      </c>
      <c r="AD1497" s="1744">
        <v>0</v>
      </c>
      <c r="AE1497" s="2126">
        <v>0</v>
      </c>
      <c r="AF1497" s="2126">
        <v>0</v>
      </c>
      <c r="AG1497" s="1212">
        <v>1</v>
      </c>
      <c r="AH1497" s="1212">
        <v>0</v>
      </c>
      <c r="AI1497" s="1212">
        <v>0</v>
      </c>
      <c r="AJ1497" s="1212">
        <v>1</v>
      </c>
      <c r="AK1497" s="2126">
        <v>0</v>
      </c>
      <c r="AL1497" s="2126">
        <v>0</v>
      </c>
      <c r="AM1497" s="2126">
        <v>0</v>
      </c>
      <c r="AN1497" s="2126">
        <v>0</v>
      </c>
      <c r="AO1497" s="1743" t="s">
        <v>131</v>
      </c>
      <c r="AP1497" s="1743"/>
      <c r="AQ1497" s="1764">
        <v>2014</v>
      </c>
      <c r="AR1497" s="1743" t="s">
        <v>87</v>
      </c>
      <c r="AS1497" s="2135"/>
      <c r="AT1497" s="2135"/>
      <c r="AU1497" s="1212">
        <v>0.33333333333333331</v>
      </c>
      <c r="AV1497" s="1212">
        <v>0.33333333333333331</v>
      </c>
      <c r="AW1497" s="1212">
        <v>0.33333333333333331</v>
      </c>
      <c r="AX1497" s="1212"/>
      <c r="AY1497" s="1212"/>
      <c r="AZ1497" s="1212"/>
      <c r="BA1497" s="1212"/>
      <c r="BB1497" s="1212"/>
      <c r="BC1497" s="1212"/>
      <c r="BD1497" s="1212"/>
      <c r="BE1497" s="1212"/>
      <c r="BF1497" s="2126">
        <v>0</v>
      </c>
      <c r="BG1497" s="2126">
        <v>0</v>
      </c>
      <c r="BH1497" s="2126">
        <v>0</v>
      </c>
      <c r="BI1497" s="2126">
        <v>0</v>
      </c>
      <c r="BJ1497" s="2126">
        <v>0</v>
      </c>
      <c r="BK1497" s="2126">
        <v>0</v>
      </c>
      <c r="BL1497" s="2126">
        <v>0</v>
      </c>
      <c r="BM1497" s="2126">
        <v>0</v>
      </c>
      <c r="BN1497" s="2126">
        <v>0</v>
      </c>
      <c r="BO1497" s="2126">
        <v>0</v>
      </c>
      <c r="BP1497" s="2126">
        <v>0</v>
      </c>
      <c r="BQ1497" s="2126">
        <v>0</v>
      </c>
      <c r="BR1497" s="2126">
        <v>0</v>
      </c>
    </row>
    <row r="1498" spans="1:70" s="1765" customFormat="1" ht="33">
      <c r="A1498" s="1272">
        <v>7000</v>
      </c>
      <c r="B1498" s="971" t="s">
        <v>2420</v>
      </c>
      <c r="C1498" s="1272">
        <v>7200</v>
      </c>
      <c r="D1498" s="971" t="s">
        <v>119</v>
      </c>
      <c r="E1498" s="971">
        <v>7230</v>
      </c>
      <c r="F1498" s="971" t="s">
        <v>2430</v>
      </c>
      <c r="G1498" s="971">
        <v>7234</v>
      </c>
      <c r="H1498" s="971" t="s">
        <v>2431</v>
      </c>
      <c r="I1498" s="1273"/>
      <c r="J1498" s="971" t="s">
        <v>124</v>
      </c>
      <c r="K1498" s="971" t="s">
        <v>140</v>
      </c>
      <c r="L1498" s="971" t="s">
        <v>2909</v>
      </c>
      <c r="M1498" s="971" t="s">
        <v>140</v>
      </c>
      <c r="N1498" s="971" t="s">
        <v>141</v>
      </c>
      <c r="O1498" s="971" t="s">
        <v>142</v>
      </c>
      <c r="P1498" s="971"/>
      <c r="Q1498" s="971" t="s">
        <v>2440</v>
      </c>
      <c r="R1498" s="1266" t="s">
        <v>2439</v>
      </c>
      <c r="S1498" s="2106">
        <v>0</v>
      </c>
      <c r="T1498" s="1266" t="s">
        <v>136</v>
      </c>
      <c r="U1498" s="1742">
        <v>0</v>
      </c>
      <c r="V1498" s="1742">
        <v>0</v>
      </c>
      <c r="W1498" s="1742">
        <v>0</v>
      </c>
      <c r="X1498" s="1742">
        <v>0</v>
      </c>
      <c r="Y1498" s="2106">
        <v>0</v>
      </c>
      <c r="Z1498" s="2106">
        <v>0</v>
      </c>
      <c r="AA1498" s="2106">
        <v>0</v>
      </c>
      <c r="AB1498" s="2106">
        <v>0</v>
      </c>
      <c r="AC1498" s="2106">
        <v>0</v>
      </c>
      <c r="AD1498" s="1744">
        <v>0</v>
      </c>
      <c r="AE1498" s="2126">
        <v>0</v>
      </c>
      <c r="AF1498" s="2126">
        <v>0</v>
      </c>
      <c r="AG1498" s="1212">
        <v>1</v>
      </c>
      <c r="AH1498" s="1212">
        <v>0</v>
      </c>
      <c r="AI1498" s="1212">
        <v>0</v>
      </c>
      <c r="AJ1498" s="1212">
        <v>1</v>
      </c>
      <c r="AK1498" s="2126">
        <v>0</v>
      </c>
      <c r="AL1498" s="2126">
        <v>0</v>
      </c>
      <c r="AM1498" s="2126">
        <v>0</v>
      </c>
      <c r="AN1498" s="2126">
        <v>0</v>
      </c>
      <c r="AO1498" s="1743" t="s">
        <v>131</v>
      </c>
      <c r="AP1498" s="1743"/>
      <c r="AQ1498" s="1764">
        <v>2014</v>
      </c>
      <c r="AR1498" s="1743" t="s">
        <v>87</v>
      </c>
      <c r="AS1498" s="2135"/>
      <c r="AT1498" s="2135"/>
      <c r="AU1498" s="1212">
        <v>0.33333333333333331</v>
      </c>
      <c r="AV1498" s="1212">
        <v>0.33333333333333331</v>
      </c>
      <c r="AW1498" s="1212">
        <v>0.33333333333333331</v>
      </c>
      <c r="AX1498" s="1212"/>
      <c r="AY1498" s="1212"/>
      <c r="AZ1498" s="1212"/>
      <c r="BA1498" s="1212"/>
      <c r="BB1498" s="1212"/>
      <c r="BC1498" s="1212"/>
      <c r="BD1498" s="1212"/>
      <c r="BE1498" s="1212"/>
      <c r="BF1498" s="2126">
        <v>0</v>
      </c>
      <c r="BG1498" s="2126">
        <v>0</v>
      </c>
      <c r="BH1498" s="2126">
        <v>0</v>
      </c>
      <c r="BI1498" s="2126">
        <v>0</v>
      </c>
      <c r="BJ1498" s="2126">
        <v>0</v>
      </c>
      <c r="BK1498" s="2126">
        <v>0</v>
      </c>
      <c r="BL1498" s="2126">
        <v>0</v>
      </c>
      <c r="BM1498" s="2126">
        <v>0</v>
      </c>
      <c r="BN1498" s="2126">
        <v>0</v>
      </c>
      <c r="BO1498" s="2126">
        <v>0</v>
      </c>
      <c r="BP1498" s="2126">
        <v>0</v>
      </c>
      <c r="BQ1498" s="2126">
        <v>0</v>
      </c>
      <c r="BR1498" s="2126">
        <v>0</v>
      </c>
    </row>
    <row r="1499" spans="1:70" s="1765" customFormat="1" ht="33">
      <c r="A1499" s="1272">
        <v>7000</v>
      </c>
      <c r="B1499" s="971" t="s">
        <v>2420</v>
      </c>
      <c r="C1499" s="1272">
        <v>7200</v>
      </c>
      <c r="D1499" s="971" t="s">
        <v>119</v>
      </c>
      <c r="E1499" s="971">
        <v>7230</v>
      </c>
      <c r="F1499" s="971" t="s">
        <v>2430</v>
      </c>
      <c r="G1499" s="971">
        <v>7234</v>
      </c>
      <c r="H1499" s="971" t="s">
        <v>2431</v>
      </c>
      <c r="I1499" s="1273"/>
      <c r="J1499" s="971" t="s">
        <v>124</v>
      </c>
      <c r="K1499" s="971" t="s">
        <v>140</v>
      </c>
      <c r="L1499" s="971" t="s">
        <v>2909</v>
      </c>
      <c r="M1499" s="971" t="s">
        <v>140</v>
      </c>
      <c r="N1499" s="971" t="s">
        <v>141</v>
      </c>
      <c r="O1499" s="971" t="s">
        <v>142</v>
      </c>
      <c r="P1499" s="971"/>
      <c r="Q1499" s="971" t="s">
        <v>2441</v>
      </c>
      <c r="R1499" s="1266" t="s">
        <v>2439</v>
      </c>
      <c r="S1499" s="2106">
        <v>0</v>
      </c>
      <c r="T1499" s="1266" t="s">
        <v>136</v>
      </c>
      <c r="U1499" s="1742">
        <v>0</v>
      </c>
      <c r="V1499" s="1742">
        <v>0</v>
      </c>
      <c r="W1499" s="1742">
        <v>0</v>
      </c>
      <c r="X1499" s="1742">
        <v>0</v>
      </c>
      <c r="Y1499" s="2106">
        <v>0</v>
      </c>
      <c r="Z1499" s="2106">
        <v>0</v>
      </c>
      <c r="AA1499" s="2106">
        <v>0</v>
      </c>
      <c r="AB1499" s="2106">
        <v>0</v>
      </c>
      <c r="AC1499" s="2106">
        <v>0</v>
      </c>
      <c r="AD1499" s="1744">
        <v>0</v>
      </c>
      <c r="AE1499" s="2126">
        <v>0</v>
      </c>
      <c r="AF1499" s="2126">
        <v>0</v>
      </c>
      <c r="AG1499" s="1212">
        <v>1</v>
      </c>
      <c r="AH1499" s="1212">
        <v>0</v>
      </c>
      <c r="AI1499" s="1212">
        <v>0</v>
      </c>
      <c r="AJ1499" s="1212">
        <v>1</v>
      </c>
      <c r="AK1499" s="2126">
        <v>0</v>
      </c>
      <c r="AL1499" s="2126">
        <v>0</v>
      </c>
      <c r="AM1499" s="2126">
        <v>0</v>
      </c>
      <c r="AN1499" s="2126">
        <v>0</v>
      </c>
      <c r="AO1499" s="1743" t="s">
        <v>131</v>
      </c>
      <c r="AP1499" s="1743"/>
      <c r="AQ1499" s="1764">
        <v>2014</v>
      </c>
      <c r="AR1499" s="1743" t="s">
        <v>87</v>
      </c>
      <c r="AS1499" s="2135"/>
      <c r="AT1499" s="2135"/>
      <c r="AU1499" s="1212">
        <v>0.33333333333333331</v>
      </c>
      <c r="AV1499" s="1212">
        <v>0.33333333333333331</v>
      </c>
      <c r="AW1499" s="1212">
        <v>0.33333333333333331</v>
      </c>
      <c r="AX1499" s="1212"/>
      <c r="AY1499" s="1212"/>
      <c r="AZ1499" s="1212"/>
      <c r="BA1499" s="1212"/>
      <c r="BB1499" s="1212"/>
      <c r="BC1499" s="1212"/>
      <c r="BD1499" s="1212"/>
      <c r="BE1499" s="1212"/>
      <c r="BF1499" s="2126">
        <v>0</v>
      </c>
      <c r="BG1499" s="2126">
        <v>0</v>
      </c>
      <c r="BH1499" s="2126">
        <v>0</v>
      </c>
      <c r="BI1499" s="2126">
        <v>0</v>
      </c>
      <c r="BJ1499" s="2126">
        <v>0</v>
      </c>
      <c r="BK1499" s="2126">
        <v>0</v>
      </c>
      <c r="BL1499" s="2126">
        <v>0</v>
      </c>
      <c r="BM1499" s="2126">
        <v>0</v>
      </c>
      <c r="BN1499" s="2126">
        <v>0</v>
      </c>
      <c r="BO1499" s="2126">
        <v>0</v>
      </c>
      <c r="BP1499" s="2126">
        <v>0</v>
      </c>
      <c r="BQ1499" s="2126">
        <v>0</v>
      </c>
      <c r="BR1499" s="2126">
        <v>0</v>
      </c>
    </row>
    <row r="1500" spans="1:70" s="1765" customFormat="1" ht="66">
      <c r="A1500" s="1272">
        <v>7000</v>
      </c>
      <c r="B1500" s="971" t="s">
        <v>2420</v>
      </c>
      <c r="C1500" s="1272">
        <v>7200</v>
      </c>
      <c r="D1500" s="971" t="s">
        <v>119</v>
      </c>
      <c r="E1500" s="971">
        <v>7230</v>
      </c>
      <c r="F1500" s="971" t="s">
        <v>2430</v>
      </c>
      <c r="G1500" s="971">
        <v>7234</v>
      </c>
      <c r="H1500" s="971" t="s">
        <v>2431</v>
      </c>
      <c r="I1500" s="1273"/>
      <c r="J1500" s="971" t="s">
        <v>124</v>
      </c>
      <c r="K1500" s="971" t="s">
        <v>2022</v>
      </c>
      <c r="L1500" s="971" t="s">
        <v>2867</v>
      </c>
      <c r="M1500" s="971" t="s">
        <v>2022</v>
      </c>
      <c r="N1500" s="971" t="s">
        <v>488</v>
      </c>
      <c r="O1500" s="971" t="s">
        <v>1643</v>
      </c>
      <c r="P1500" s="971"/>
      <c r="Q1500" s="971" t="s">
        <v>2442</v>
      </c>
      <c r="R1500" s="1266"/>
      <c r="S1500" s="2106">
        <v>2046</v>
      </c>
      <c r="T1500" s="1266" t="s">
        <v>136</v>
      </c>
      <c r="U1500" s="1742">
        <v>0.58283333333333331</v>
      </c>
      <c r="V1500" s="1742">
        <v>2.2416666666666667</v>
      </c>
      <c r="W1500" s="1742">
        <v>56.121489214285731</v>
      </c>
      <c r="X1500" s="1742">
        <v>80.355231666666654</v>
      </c>
      <c r="Y1500" s="2106">
        <v>138.71838754761905</v>
      </c>
      <c r="Z1500" s="2106">
        <v>1192.4769999999999</v>
      </c>
      <c r="AA1500" s="2106">
        <v>4586.45</v>
      </c>
      <c r="AB1500" s="2106">
        <v>114824.5669324286</v>
      </c>
      <c r="AC1500" s="2106">
        <v>164406.80398999999</v>
      </c>
      <c r="AD1500" s="1744">
        <v>283817.82092242857</v>
      </c>
      <c r="AE1500" s="2126">
        <v>0.5</v>
      </c>
      <c r="AF1500" s="2126">
        <v>1023</v>
      </c>
      <c r="AG1500" s="1212">
        <v>1</v>
      </c>
      <c r="AH1500" s="1212">
        <v>0</v>
      </c>
      <c r="AI1500" s="1212">
        <v>0</v>
      </c>
      <c r="AJ1500" s="1212">
        <v>1</v>
      </c>
      <c r="AK1500" s="2126">
        <v>283817.82092242857</v>
      </c>
      <c r="AL1500" s="2126">
        <v>0</v>
      </c>
      <c r="AM1500" s="2126">
        <v>0</v>
      </c>
      <c r="AN1500" s="2126">
        <v>283817.82092242857</v>
      </c>
      <c r="AO1500" s="1743" t="s">
        <v>131</v>
      </c>
      <c r="AP1500" s="1743" t="s">
        <v>90</v>
      </c>
      <c r="AQ1500" s="1764" t="s">
        <v>112</v>
      </c>
      <c r="AR1500" s="1743" t="s">
        <v>87</v>
      </c>
      <c r="AS1500" s="2135"/>
      <c r="AT1500" s="2135"/>
      <c r="AU1500" s="1212">
        <v>0.33333333333333331</v>
      </c>
      <c r="AV1500" s="1212">
        <v>0.33333333333333331</v>
      </c>
      <c r="AW1500" s="1212">
        <v>0.33333333333333331</v>
      </c>
      <c r="AX1500" s="1212"/>
      <c r="AY1500" s="1212"/>
      <c r="AZ1500" s="1212"/>
      <c r="BA1500" s="1212"/>
      <c r="BB1500" s="1212"/>
      <c r="BC1500" s="1212"/>
      <c r="BD1500" s="1212"/>
      <c r="BE1500" s="1212"/>
      <c r="BF1500" s="2126">
        <v>0</v>
      </c>
      <c r="BG1500" s="2126">
        <v>0</v>
      </c>
      <c r="BH1500" s="2126">
        <v>94605.940307476179</v>
      </c>
      <c r="BI1500" s="2126">
        <v>94605.940307476179</v>
      </c>
      <c r="BJ1500" s="2126">
        <v>94605.940307476179</v>
      </c>
      <c r="BK1500" s="2126">
        <v>0</v>
      </c>
      <c r="BL1500" s="2126">
        <v>0</v>
      </c>
      <c r="BM1500" s="2126">
        <v>0</v>
      </c>
      <c r="BN1500" s="2126">
        <v>0</v>
      </c>
      <c r="BO1500" s="2126">
        <v>0</v>
      </c>
      <c r="BP1500" s="2126">
        <v>0</v>
      </c>
      <c r="BQ1500" s="2126">
        <v>0</v>
      </c>
      <c r="BR1500" s="2126">
        <v>0</v>
      </c>
    </row>
    <row r="1501" spans="1:70" s="1765" customFormat="1" ht="49.5">
      <c r="A1501" s="1272">
        <v>7000</v>
      </c>
      <c r="B1501" s="971" t="s">
        <v>2420</v>
      </c>
      <c r="C1501" s="1272">
        <v>7200</v>
      </c>
      <c r="D1501" s="971" t="s">
        <v>119</v>
      </c>
      <c r="E1501" s="971">
        <v>7230</v>
      </c>
      <c r="F1501" s="971" t="s">
        <v>2430</v>
      </c>
      <c r="G1501" s="971">
        <v>7234</v>
      </c>
      <c r="H1501" s="971" t="s">
        <v>2431</v>
      </c>
      <c r="I1501" s="1273"/>
      <c r="J1501" s="971" t="s">
        <v>124</v>
      </c>
      <c r="K1501" s="971" t="s">
        <v>506</v>
      </c>
      <c r="L1501" s="971" t="s">
        <v>6608</v>
      </c>
      <c r="M1501" s="971" t="s">
        <v>506</v>
      </c>
      <c r="N1501" s="971" t="s">
        <v>141</v>
      </c>
      <c r="O1501" s="971" t="s">
        <v>507</v>
      </c>
      <c r="P1501" s="971"/>
      <c r="Q1501" s="971" t="s">
        <v>2442</v>
      </c>
      <c r="R1501" s="1266"/>
      <c r="S1501" s="2106">
        <v>2046</v>
      </c>
      <c r="T1501" s="1266" t="s">
        <v>136</v>
      </c>
      <c r="U1501" s="1742">
        <v>0.125</v>
      </c>
      <c r="V1501" s="1742">
        <v>1.875</v>
      </c>
      <c r="W1501" s="1742">
        <v>11.0175</v>
      </c>
      <c r="X1501" s="1742">
        <v>18.75</v>
      </c>
      <c r="Y1501" s="2106">
        <v>31.642499999999998</v>
      </c>
      <c r="Z1501" s="2106">
        <v>255.75</v>
      </c>
      <c r="AA1501" s="2106">
        <v>3836.25</v>
      </c>
      <c r="AB1501" s="2106">
        <v>22541.805</v>
      </c>
      <c r="AC1501" s="2106">
        <v>38362.5</v>
      </c>
      <c r="AD1501" s="1744">
        <v>64740.555</v>
      </c>
      <c r="AE1501" s="2126">
        <v>0</v>
      </c>
      <c r="AF1501" s="2126">
        <v>0</v>
      </c>
      <c r="AG1501" s="1212">
        <v>1</v>
      </c>
      <c r="AH1501" s="1212">
        <v>0</v>
      </c>
      <c r="AI1501" s="1212">
        <v>0</v>
      </c>
      <c r="AJ1501" s="1212">
        <v>1</v>
      </c>
      <c r="AK1501" s="2126">
        <v>64740.555</v>
      </c>
      <c r="AL1501" s="2126">
        <v>0</v>
      </c>
      <c r="AM1501" s="2126">
        <v>0</v>
      </c>
      <c r="AN1501" s="2126">
        <v>64740.555</v>
      </c>
      <c r="AO1501" s="1743" t="s">
        <v>85</v>
      </c>
      <c r="AP1501" s="1743" t="s">
        <v>90</v>
      </c>
      <c r="AQ1501" s="1764" t="s">
        <v>112</v>
      </c>
      <c r="AR1501" s="1743" t="s">
        <v>87</v>
      </c>
      <c r="AS1501" s="2135"/>
      <c r="AT1501" s="2135"/>
      <c r="AU1501" s="1212"/>
      <c r="AV1501" s="1212">
        <v>1</v>
      </c>
      <c r="AW1501" s="1212"/>
      <c r="AX1501" s="1212"/>
      <c r="AY1501" s="1212"/>
      <c r="AZ1501" s="1212"/>
      <c r="BA1501" s="1212"/>
      <c r="BB1501" s="1212"/>
      <c r="BC1501" s="1212"/>
      <c r="BD1501" s="1212"/>
      <c r="BE1501" s="1212"/>
      <c r="BF1501" s="2126">
        <v>0</v>
      </c>
      <c r="BG1501" s="2126">
        <v>0</v>
      </c>
      <c r="BH1501" s="2126">
        <v>0</v>
      </c>
      <c r="BI1501" s="2126">
        <v>64740.555</v>
      </c>
      <c r="BJ1501" s="2126">
        <v>0</v>
      </c>
      <c r="BK1501" s="2126">
        <v>0</v>
      </c>
      <c r="BL1501" s="2126">
        <v>0</v>
      </c>
      <c r="BM1501" s="2126">
        <v>0</v>
      </c>
      <c r="BN1501" s="2126">
        <v>0</v>
      </c>
      <c r="BO1501" s="2126">
        <v>0</v>
      </c>
      <c r="BP1501" s="2126">
        <v>0</v>
      </c>
      <c r="BQ1501" s="2126">
        <v>0</v>
      </c>
      <c r="BR1501" s="2126">
        <v>0</v>
      </c>
    </row>
    <row r="1502" spans="1:70" s="1765" customFormat="1" ht="49.5">
      <c r="A1502" s="1272">
        <v>7000</v>
      </c>
      <c r="B1502" s="971" t="s">
        <v>2420</v>
      </c>
      <c r="C1502" s="1272">
        <v>7200</v>
      </c>
      <c r="D1502" s="971" t="s">
        <v>119</v>
      </c>
      <c r="E1502" s="971">
        <v>7230</v>
      </c>
      <c r="F1502" s="971" t="s">
        <v>2430</v>
      </c>
      <c r="G1502" s="971">
        <v>7231</v>
      </c>
      <c r="H1502" s="971" t="s">
        <v>2443</v>
      </c>
      <c r="I1502" s="1273" t="s">
        <v>2444</v>
      </c>
      <c r="J1502" s="971" t="s">
        <v>124</v>
      </c>
      <c r="K1502" s="971" t="s">
        <v>784</v>
      </c>
      <c r="L1502" s="971" t="s">
        <v>2852</v>
      </c>
      <c r="M1502" s="971" t="s">
        <v>537</v>
      </c>
      <c r="N1502" s="971" t="s">
        <v>127</v>
      </c>
      <c r="O1502" s="971" t="s">
        <v>539</v>
      </c>
      <c r="P1502" s="971"/>
      <c r="Q1502" s="971" t="s">
        <v>2445</v>
      </c>
      <c r="R1502" s="1266" t="s">
        <v>2446</v>
      </c>
      <c r="S1502" s="2106">
        <v>267.65799256505579</v>
      </c>
      <c r="T1502" s="1266" t="s">
        <v>136</v>
      </c>
      <c r="U1502" s="1742">
        <v>0.22416666666666665</v>
      </c>
      <c r="V1502" s="1742">
        <v>2.8020833333333335</v>
      </c>
      <c r="W1502" s="1742">
        <v>19.758049999999997</v>
      </c>
      <c r="X1502" s="1742">
        <v>30.905858333333335</v>
      </c>
      <c r="Y1502" s="2106">
        <v>53.46599166666666</v>
      </c>
      <c r="Z1502" s="2106">
        <v>60</v>
      </c>
      <c r="AA1502" s="2106">
        <v>750.00000000000011</v>
      </c>
      <c r="AB1502" s="2106">
        <v>5288.4</v>
      </c>
      <c r="AC1502" s="2106">
        <v>8272.2000000000007</v>
      </c>
      <c r="AD1502" s="1744">
        <v>14310.6</v>
      </c>
      <c r="AE1502" s="2126">
        <v>1</v>
      </c>
      <c r="AF1502" s="2126">
        <v>267.65799256505579</v>
      </c>
      <c r="AG1502" s="1212">
        <v>1</v>
      </c>
      <c r="AH1502" s="1212">
        <v>0</v>
      </c>
      <c r="AI1502" s="1212">
        <v>0</v>
      </c>
      <c r="AJ1502" s="1212">
        <v>1</v>
      </c>
      <c r="AK1502" s="2126">
        <v>14310.6</v>
      </c>
      <c r="AL1502" s="2126">
        <v>0</v>
      </c>
      <c r="AM1502" s="2126">
        <v>0</v>
      </c>
      <c r="AN1502" s="2126">
        <v>14310.6</v>
      </c>
      <c r="AO1502" s="1743" t="s">
        <v>131</v>
      </c>
      <c r="AP1502" s="1743"/>
      <c r="AQ1502" s="1764">
        <v>2014</v>
      </c>
      <c r="AR1502" s="1743" t="s">
        <v>87</v>
      </c>
      <c r="AS1502" s="2135"/>
      <c r="AT1502" s="2135"/>
      <c r="AU1502" s="1212">
        <v>0.33333333333333331</v>
      </c>
      <c r="AV1502" s="1212">
        <v>0.33333333333333331</v>
      </c>
      <c r="AW1502" s="1212">
        <v>0.33333333333333331</v>
      </c>
      <c r="AX1502" s="1212"/>
      <c r="AY1502" s="1212"/>
      <c r="AZ1502" s="1212"/>
      <c r="BA1502" s="1212"/>
      <c r="BB1502" s="1212"/>
      <c r="BC1502" s="1212"/>
      <c r="BD1502" s="1212"/>
      <c r="BE1502" s="1212"/>
      <c r="BF1502" s="2126">
        <v>0</v>
      </c>
      <c r="BG1502" s="2126">
        <v>0</v>
      </c>
      <c r="BH1502" s="2126">
        <v>4770.2</v>
      </c>
      <c r="BI1502" s="2126">
        <v>4770.2</v>
      </c>
      <c r="BJ1502" s="2126">
        <v>4770.2</v>
      </c>
      <c r="BK1502" s="2126">
        <v>0</v>
      </c>
      <c r="BL1502" s="2126">
        <v>0</v>
      </c>
      <c r="BM1502" s="2126">
        <v>0</v>
      </c>
      <c r="BN1502" s="2126">
        <v>0</v>
      </c>
      <c r="BO1502" s="2126">
        <v>0</v>
      </c>
      <c r="BP1502" s="2126">
        <v>0</v>
      </c>
      <c r="BQ1502" s="2126">
        <v>0</v>
      </c>
      <c r="BR1502" s="2126">
        <v>0</v>
      </c>
    </row>
    <row r="1503" spans="1:70" s="1765" customFormat="1" ht="82.5">
      <c r="A1503" s="1272">
        <v>7000</v>
      </c>
      <c r="B1503" s="971" t="s">
        <v>2420</v>
      </c>
      <c r="C1503" s="1272">
        <v>7200</v>
      </c>
      <c r="D1503" s="971" t="s">
        <v>119</v>
      </c>
      <c r="E1503" s="971">
        <v>7230</v>
      </c>
      <c r="F1503" s="971" t="s">
        <v>2430</v>
      </c>
      <c r="G1503" s="971">
        <v>7231</v>
      </c>
      <c r="H1503" s="971" t="s">
        <v>2443</v>
      </c>
      <c r="I1503" s="1273" t="s">
        <v>2447</v>
      </c>
      <c r="J1503" s="971" t="s">
        <v>177</v>
      </c>
      <c r="K1503" s="971" t="s">
        <v>530</v>
      </c>
      <c r="L1503" s="971" t="s">
        <v>531</v>
      </c>
      <c r="M1503" s="971" t="s">
        <v>530</v>
      </c>
      <c r="N1503" s="971" t="s">
        <v>179</v>
      </c>
      <c r="O1503" s="971" t="s">
        <v>531</v>
      </c>
      <c r="P1503" s="971"/>
      <c r="Q1503" s="971" t="s">
        <v>1517</v>
      </c>
      <c r="R1503" s="1266" t="s">
        <v>2448</v>
      </c>
      <c r="S1503" s="2106">
        <v>1</v>
      </c>
      <c r="T1503" s="1266" t="s">
        <v>242</v>
      </c>
      <c r="U1503" s="1742">
        <v>31</v>
      </c>
      <c r="V1503" s="1742">
        <v>325</v>
      </c>
      <c r="W1503" s="1742">
        <v>2732.34</v>
      </c>
      <c r="X1503" s="1742">
        <v>3584.62</v>
      </c>
      <c r="Y1503" s="2106">
        <v>6641.9599999999991</v>
      </c>
      <c r="Z1503" s="2106">
        <v>31</v>
      </c>
      <c r="AA1503" s="2106">
        <v>325</v>
      </c>
      <c r="AB1503" s="2106">
        <v>2732.34</v>
      </c>
      <c r="AC1503" s="2106">
        <v>3584.62</v>
      </c>
      <c r="AD1503" s="1744">
        <v>6641.96</v>
      </c>
      <c r="AE1503" s="2126">
        <v>2</v>
      </c>
      <c r="AF1503" s="2126">
        <v>2</v>
      </c>
      <c r="AG1503" s="1212">
        <v>1</v>
      </c>
      <c r="AH1503" s="1212">
        <v>0</v>
      </c>
      <c r="AI1503" s="1212">
        <v>0</v>
      </c>
      <c r="AJ1503" s="1212">
        <v>1</v>
      </c>
      <c r="AK1503" s="2126">
        <v>6641.96</v>
      </c>
      <c r="AL1503" s="2126">
        <v>0</v>
      </c>
      <c r="AM1503" s="2126">
        <v>0</v>
      </c>
      <c r="AN1503" s="2126">
        <v>6641.96</v>
      </c>
      <c r="AO1503" s="1743" t="s">
        <v>131</v>
      </c>
      <c r="AP1503" s="1743"/>
      <c r="AQ1503" s="1764">
        <v>2014</v>
      </c>
      <c r="AR1503" s="1743" t="s">
        <v>87</v>
      </c>
      <c r="AS1503" s="2135"/>
      <c r="AT1503" s="2135"/>
      <c r="AU1503" s="1212">
        <v>0.5</v>
      </c>
      <c r="AV1503" s="1212">
        <v>0.5</v>
      </c>
      <c r="AW1503" s="1212"/>
      <c r="AX1503" s="1212"/>
      <c r="AY1503" s="1212"/>
      <c r="AZ1503" s="1212"/>
      <c r="BA1503" s="1212"/>
      <c r="BB1503" s="1212"/>
      <c r="BC1503" s="1212"/>
      <c r="BD1503" s="1212"/>
      <c r="BE1503" s="1212"/>
      <c r="BF1503" s="2126">
        <v>0</v>
      </c>
      <c r="BG1503" s="2126">
        <v>0</v>
      </c>
      <c r="BH1503" s="2126">
        <v>3320.98</v>
      </c>
      <c r="BI1503" s="2126">
        <v>3320.98</v>
      </c>
      <c r="BJ1503" s="2126">
        <v>0</v>
      </c>
      <c r="BK1503" s="2126">
        <v>0</v>
      </c>
      <c r="BL1503" s="2126">
        <v>0</v>
      </c>
      <c r="BM1503" s="2126">
        <v>0</v>
      </c>
      <c r="BN1503" s="2126">
        <v>0</v>
      </c>
      <c r="BO1503" s="2126">
        <v>0</v>
      </c>
      <c r="BP1503" s="2126">
        <v>0</v>
      </c>
      <c r="BQ1503" s="2126">
        <v>0</v>
      </c>
      <c r="BR1503" s="2126">
        <v>0</v>
      </c>
    </row>
    <row r="1504" spans="1:70" s="1765" customFormat="1" ht="49.5">
      <c r="A1504" s="1272">
        <v>7000</v>
      </c>
      <c r="B1504" s="971" t="s">
        <v>2420</v>
      </c>
      <c r="C1504" s="1272">
        <v>7200</v>
      </c>
      <c r="D1504" s="971" t="s">
        <v>119</v>
      </c>
      <c r="E1504" s="971">
        <v>7230</v>
      </c>
      <c r="F1504" s="971" t="s">
        <v>2430</v>
      </c>
      <c r="G1504" s="971">
        <v>7231</v>
      </c>
      <c r="H1504" s="971" t="s">
        <v>2443</v>
      </c>
      <c r="I1504" s="1273" t="s">
        <v>2449</v>
      </c>
      <c r="J1504" s="971" t="s">
        <v>124</v>
      </c>
      <c r="K1504" s="971" t="s">
        <v>784</v>
      </c>
      <c r="L1504" s="971" t="s">
        <v>2852</v>
      </c>
      <c r="M1504" s="971" t="s">
        <v>214</v>
      </c>
      <c r="N1504" s="971" t="s">
        <v>127</v>
      </c>
      <c r="O1504" s="971" t="s">
        <v>215</v>
      </c>
      <c r="P1504" s="971"/>
      <c r="Q1504" s="971" t="s">
        <v>1521</v>
      </c>
      <c r="R1504" s="1266" t="s">
        <v>2450</v>
      </c>
      <c r="S1504" s="2106">
        <v>66.914498141263948</v>
      </c>
      <c r="T1504" s="1266" t="s">
        <v>136</v>
      </c>
      <c r="U1504" s="1742">
        <v>0.22416666666666665</v>
      </c>
      <c r="V1504" s="1742">
        <v>2.8020833333333335</v>
      </c>
      <c r="W1504" s="1742">
        <v>19.758049999999997</v>
      </c>
      <c r="X1504" s="1742">
        <v>30.905858333333335</v>
      </c>
      <c r="Y1504" s="2106">
        <v>53.46599166666666</v>
      </c>
      <c r="Z1504" s="2106">
        <v>15</v>
      </c>
      <c r="AA1504" s="2106">
        <v>187.50000000000003</v>
      </c>
      <c r="AB1504" s="2106">
        <v>1322.1</v>
      </c>
      <c r="AC1504" s="2106">
        <v>2068.0500000000002</v>
      </c>
      <c r="AD1504" s="1744">
        <v>3577.65</v>
      </c>
      <c r="AE1504" s="2126">
        <v>1</v>
      </c>
      <c r="AF1504" s="2126">
        <v>66.914498141263948</v>
      </c>
      <c r="AG1504" s="1212">
        <v>1</v>
      </c>
      <c r="AH1504" s="1212">
        <v>0</v>
      </c>
      <c r="AI1504" s="1212">
        <v>0</v>
      </c>
      <c r="AJ1504" s="1212">
        <v>1</v>
      </c>
      <c r="AK1504" s="2126">
        <v>3577.65</v>
      </c>
      <c r="AL1504" s="2126">
        <v>0</v>
      </c>
      <c r="AM1504" s="2126">
        <v>0</v>
      </c>
      <c r="AN1504" s="2126">
        <v>3577.65</v>
      </c>
      <c r="AO1504" s="1743" t="s">
        <v>131</v>
      </c>
      <c r="AP1504" s="1743"/>
      <c r="AQ1504" s="1764">
        <v>2014</v>
      </c>
      <c r="AR1504" s="1743" t="s">
        <v>87</v>
      </c>
      <c r="AS1504" s="2135"/>
      <c r="AT1504" s="2135"/>
      <c r="AU1504" s="1212">
        <v>0.33333333333333331</v>
      </c>
      <c r="AV1504" s="1212">
        <v>0.33333333333333331</v>
      </c>
      <c r="AW1504" s="1212">
        <v>0.33333333333333331</v>
      </c>
      <c r="AX1504" s="1212"/>
      <c r="AY1504" s="1212"/>
      <c r="AZ1504" s="1212"/>
      <c r="BA1504" s="1212"/>
      <c r="BB1504" s="1212"/>
      <c r="BC1504" s="1212"/>
      <c r="BD1504" s="1212"/>
      <c r="BE1504" s="1212"/>
      <c r="BF1504" s="2126">
        <v>0</v>
      </c>
      <c r="BG1504" s="2126">
        <v>0</v>
      </c>
      <c r="BH1504" s="2126">
        <v>1192.55</v>
      </c>
      <c r="BI1504" s="2126">
        <v>1192.55</v>
      </c>
      <c r="BJ1504" s="2126">
        <v>1192.55</v>
      </c>
      <c r="BK1504" s="2126">
        <v>0</v>
      </c>
      <c r="BL1504" s="2126">
        <v>0</v>
      </c>
      <c r="BM1504" s="2126">
        <v>0</v>
      </c>
      <c r="BN1504" s="2126">
        <v>0</v>
      </c>
      <c r="BO1504" s="2126">
        <v>0</v>
      </c>
      <c r="BP1504" s="2126">
        <v>0</v>
      </c>
      <c r="BQ1504" s="2126">
        <v>0</v>
      </c>
      <c r="BR1504" s="2126">
        <v>0</v>
      </c>
    </row>
    <row r="1505" spans="1:70" s="1765" customFormat="1" ht="66">
      <c r="A1505" s="1272">
        <v>7000</v>
      </c>
      <c r="B1505" s="971" t="s">
        <v>2420</v>
      </c>
      <c r="C1505" s="1272">
        <v>7200</v>
      </c>
      <c r="D1505" s="971" t="s">
        <v>119</v>
      </c>
      <c r="E1505" s="971">
        <v>7230</v>
      </c>
      <c r="F1505" s="971" t="s">
        <v>2430</v>
      </c>
      <c r="G1505" s="971">
        <v>7231</v>
      </c>
      <c r="H1505" s="971" t="s">
        <v>2443</v>
      </c>
      <c r="I1505" s="1273" t="s">
        <v>2451</v>
      </c>
      <c r="J1505" s="971" t="s">
        <v>177</v>
      </c>
      <c r="K1505" s="971" t="s">
        <v>196</v>
      </c>
      <c r="L1505" s="971" t="s">
        <v>197</v>
      </c>
      <c r="M1505" s="971" t="s">
        <v>196</v>
      </c>
      <c r="N1505" s="971" t="s">
        <v>179</v>
      </c>
      <c r="O1505" s="971" t="s">
        <v>197</v>
      </c>
      <c r="P1505" s="971"/>
      <c r="Q1505" s="971" t="s">
        <v>1524</v>
      </c>
      <c r="R1505" s="1266" t="s">
        <v>2452</v>
      </c>
      <c r="S1505" s="2106">
        <v>1</v>
      </c>
      <c r="T1505" s="1266" t="s">
        <v>242</v>
      </c>
      <c r="U1505" s="1742">
        <v>9.6666666666666661</v>
      </c>
      <c r="V1505" s="1742">
        <v>89.583333333333329</v>
      </c>
      <c r="W1505" s="1742">
        <v>852.02</v>
      </c>
      <c r="X1505" s="1742">
        <v>988.06833333333327</v>
      </c>
      <c r="Y1505" s="2106">
        <v>1929.6716666666666</v>
      </c>
      <c r="Z1505" s="2106">
        <v>9.6666666666666661</v>
      </c>
      <c r="AA1505" s="2106">
        <v>89.583333333333329</v>
      </c>
      <c r="AB1505" s="2106">
        <v>852.02</v>
      </c>
      <c r="AC1505" s="2106">
        <v>988.06833333333327</v>
      </c>
      <c r="AD1505" s="1744">
        <v>1929.6716666666666</v>
      </c>
      <c r="AE1505" s="2126">
        <v>1</v>
      </c>
      <c r="AF1505" s="2126">
        <v>1</v>
      </c>
      <c r="AG1505" s="1212">
        <v>1</v>
      </c>
      <c r="AH1505" s="1212">
        <v>0</v>
      </c>
      <c r="AI1505" s="1212">
        <v>0</v>
      </c>
      <c r="AJ1505" s="1212">
        <v>1</v>
      </c>
      <c r="AK1505" s="2126">
        <v>1929.6716666666666</v>
      </c>
      <c r="AL1505" s="2126">
        <v>0</v>
      </c>
      <c r="AM1505" s="2126">
        <v>0</v>
      </c>
      <c r="AN1505" s="2126">
        <v>1929.6716666666666</v>
      </c>
      <c r="AO1505" s="1743" t="s">
        <v>131</v>
      </c>
      <c r="AP1505" s="1743"/>
      <c r="AQ1505" s="1764">
        <v>2014</v>
      </c>
      <c r="AR1505" s="1743" t="s">
        <v>87</v>
      </c>
      <c r="AS1505" s="2135"/>
      <c r="AT1505" s="2135"/>
      <c r="AU1505" s="1212">
        <v>0.33333333333333331</v>
      </c>
      <c r="AV1505" s="1212">
        <v>0.33333333333333331</v>
      </c>
      <c r="AW1505" s="1212">
        <v>0.33333333333333331</v>
      </c>
      <c r="AX1505" s="1212"/>
      <c r="AY1505" s="1212"/>
      <c r="AZ1505" s="1212"/>
      <c r="BA1505" s="1212"/>
      <c r="BB1505" s="1212"/>
      <c r="BC1505" s="1212"/>
      <c r="BD1505" s="1212"/>
      <c r="BE1505" s="1212"/>
      <c r="BF1505" s="2126">
        <v>0</v>
      </c>
      <c r="BG1505" s="2126">
        <v>0</v>
      </c>
      <c r="BH1505" s="2126">
        <v>643.22388888888884</v>
      </c>
      <c r="BI1505" s="2126">
        <v>643.22388888888884</v>
      </c>
      <c r="BJ1505" s="2126">
        <v>643.22388888888884</v>
      </c>
      <c r="BK1505" s="2126">
        <v>0</v>
      </c>
      <c r="BL1505" s="2126">
        <v>0</v>
      </c>
      <c r="BM1505" s="2126">
        <v>0</v>
      </c>
      <c r="BN1505" s="2126">
        <v>0</v>
      </c>
      <c r="BO1505" s="2126">
        <v>0</v>
      </c>
      <c r="BP1505" s="2126">
        <v>0</v>
      </c>
      <c r="BQ1505" s="2126">
        <v>0</v>
      </c>
      <c r="BR1505" s="2126">
        <v>0</v>
      </c>
    </row>
    <row r="1506" spans="1:70" s="1765" customFormat="1" ht="33">
      <c r="A1506" s="1272">
        <v>7000</v>
      </c>
      <c r="B1506" s="971" t="s">
        <v>2420</v>
      </c>
      <c r="C1506" s="1272">
        <v>7200</v>
      </c>
      <c r="D1506" s="971" t="s">
        <v>119</v>
      </c>
      <c r="E1506" s="971">
        <v>7230</v>
      </c>
      <c r="F1506" s="971" t="s">
        <v>2430</v>
      </c>
      <c r="G1506" s="971">
        <v>7231</v>
      </c>
      <c r="H1506" s="971" t="s">
        <v>2443</v>
      </c>
      <c r="I1506" s="1273" t="s">
        <v>2453</v>
      </c>
      <c r="J1506" s="971" t="s">
        <v>124</v>
      </c>
      <c r="K1506" s="971" t="s">
        <v>145</v>
      </c>
      <c r="L1506" s="971" t="s">
        <v>2871</v>
      </c>
      <c r="M1506" s="971" t="s">
        <v>556</v>
      </c>
      <c r="N1506" s="971" t="s">
        <v>141</v>
      </c>
      <c r="O1506" s="971" t="s">
        <v>557</v>
      </c>
      <c r="P1506" s="971"/>
      <c r="Q1506" s="971" t="s">
        <v>1527</v>
      </c>
      <c r="R1506" s="1266" t="s">
        <v>2450</v>
      </c>
      <c r="S1506" s="2106">
        <v>66.914498141263948</v>
      </c>
      <c r="T1506" s="1266" t="s">
        <v>136</v>
      </c>
      <c r="U1506" s="1742">
        <v>0.12329166666666667</v>
      </c>
      <c r="V1506" s="1742">
        <v>0.98072916666666676</v>
      </c>
      <c r="W1506" s="1742">
        <v>6.9153175000000005</v>
      </c>
      <c r="X1506" s="1742">
        <v>10.817050416666667</v>
      </c>
      <c r="Y1506" s="2106">
        <v>18.713097083333334</v>
      </c>
      <c r="Z1506" s="2106">
        <v>8.2500000000000018</v>
      </c>
      <c r="AA1506" s="2106">
        <v>65.625000000000014</v>
      </c>
      <c r="AB1506" s="2106">
        <v>462.73500000000007</v>
      </c>
      <c r="AC1506" s="2106">
        <v>723.81750000000011</v>
      </c>
      <c r="AD1506" s="1744">
        <v>1252.1775000000002</v>
      </c>
      <c r="AE1506" s="2126">
        <v>0.3</v>
      </c>
      <c r="AF1506" s="2126">
        <v>20.074349442379184</v>
      </c>
      <c r="AG1506" s="1212">
        <v>1</v>
      </c>
      <c r="AH1506" s="1212">
        <v>0</v>
      </c>
      <c r="AI1506" s="1212">
        <v>0</v>
      </c>
      <c r="AJ1506" s="1212">
        <v>1</v>
      </c>
      <c r="AK1506" s="2126">
        <v>1252.1775000000002</v>
      </c>
      <c r="AL1506" s="2126">
        <v>0</v>
      </c>
      <c r="AM1506" s="2126">
        <v>0</v>
      </c>
      <c r="AN1506" s="2126">
        <v>1252.1775000000002</v>
      </c>
      <c r="AO1506" s="1743" t="s">
        <v>131</v>
      </c>
      <c r="AP1506" s="1743"/>
      <c r="AQ1506" s="1764">
        <v>2014</v>
      </c>
      <c r="AR1506" s="1743" t="s">
        <v>87</v>
      </c>
      <c r="AS1506" s="2135"/>
      <c r="AT1506" s="2135"/>
      <c r="AU1506" s="1212">
        <v>0.33333333333333331</v>
      </c>
      <c r="AV1506" s="1212">
        <v>0.33333333333333331</v>
      </c>
      <c r="AW1506" s="1212">
        <v>0.33333333333333331</v>
      </c>
      <c r="AX1506" s="1212"/>
      <c r="AY1506" s="1212"/>
      <c r="AZ1506" s="1212"/>
      <c r="BA1506" s="1212"/>
      <c r="BB1506" s="1212"/>
      <c r="BC1506" s="1212"/>
      <c r="BD1506" s="1212"/>
      <c r="BE1506" s="1212"/>
      <c r="BF1506" s="2126">
        <v>0</v>
      </c>
      <c r="BG1506" s="2126">
        <v>0</v>
      </c>
      <c r="BH1506" s="2126">
        <v>417.39250000000004</v>
      </c>
      <c r="BI1506" s="2126">
        <v>417.39250000000004</v>
      </c>
      <c r="BJ1506" s="2126">
        <v>417.39250000000004</v>
      </c>
      <c r="BK1506" s="2126">
        <v>0</v>
      </c>
      <c r="BL1506" s="2126">
        <v>0</v>
      </c>
      <c r="BM1506" s="2126">
        <v>0</v>
      </c>
      <c r="BN1506" s="2126">
        <v>0</v>
      </c>
      <c r="BO1506" s="2126">
        <v>0</v>
      </c>
      <c r="BP1506" s="2126">
        <v>0</v>
      </c>
      <c r="BQ1506" s="2126">
        <v>0</v>
      </c>
      <c r="BR1506" s="2126">
        <v>0</v>
      </c>
    </row>
    <row r="1507" spans="1:70" s="1765" customFormat="1" ht="33">
      <c r="A1507" s="1272">
        <v>7000</v>
      </c>
      <c r="B1507" s="971" t="s">
        <v>2420</v>
      </c>
      <c r="C1507" s="1272">
        <v>7200</v>
      </c>
      <c r="D1507" s="971" t="s">
        <v>119</v>
      </c>
      <c r="E1507" s="971">
        <v>7230</v>
      </c>
      <c r="F1507" s="971" t="s">
        <v>2430</v>
      </c>
      <c r="G1507" s="971">
        <v>7231</v>
      </c>
      <c r="H1507" s="971" t="s">
        <v>2443</v>
      </c>
      <c r="I1507" s="1273" t="s">
        <v>2454</v>
      </c>
      <c r="J1507" s="971" t="s">
        <v>124</v>
      </c>
      <c r="K1507" s="971" t="s">
        <v>145</v>
      </c>
      <c r="L1507" s="971" t="s">
        <v>2871</v>
      </c>
      <c r="M1507" s="971" t="s">
        <v>145</v>
      </c>
      <c r="N1507" s="971" t="s">
        <v>141</v>
      </c>
      <c r="O1507" s="971" t="s">
        <v>146</v>
      </c>
      <c r="P1507" s="971"/>
      <c r="Q1507" s="971" t="s">
        <v>1529</v>
      </c>
      <c r="R1507" s="1266" t="s">
        <v>2450</v>
      </c>
      <c r="S1507" s="2106">
        <v>66.914498141263948</v>
      </c>
      <c r="T1507" s="1266" t="s">
        <v>136</v>
      </c>
      <c r="U1507" s="1742">
        <v>0.12329166666666667</v>
      </c>
      <c r="V1507" s="1742">
        <v>0.98072916666666676</v>
      </c>
      <c r="W1507" s="1742">
        <v>6.9153175000000005</v>
      </c>
      <c r="X1507" s="1742">
        <v>10.817050416666667</v>
      </c>
      <c r="Y1507" s="2106">
        <v>18.713097083333334</v>
      </c>
      <c r="Z1507" s="2106">
        <v>8.2500000000000018</v>
      </c>
      <c r="AA1507" s="2106">
        <v>65.625000000000014</v>
      </c>
      <c r="AB1507" s="2106">
        <v>462.73500000000007</v>
      </c>
      <c r="AC1507" s="2106">
        <v>723.81750000000011</v>
      </c>
      <c r="AD1507" s="1744">
        <v>1252.1775000000002</v>
      </c>
      <c r="AE1507" s="2126">
        <v>0.3</v>
      </c>
      <c r="AF1507" s="2126">
        <v>20.074349442379184</v>
      </c>
      <c r="AG1507" s="1212">
        <v>1</v>
      </c>
      <c r="AH1507" s="1212">
        <v>0</v>
      </c>
      <c r="AI1507" s="1212">
        <v>0</v>
      </c>
      <c r="AJ1507" s="1212">
        <v>1</v>
      </c>
      <c r="AK1507" s="2126">
        <v>1252.1775000000002</v>
      </c>
      <c r="AL1507" s="2126">
        <v>0</v>
      </c>
      <c r="AM1507" s="2126">
        <v>0</v>
      </c>
      <c r="AN1507" s="2126">
        <v>1252.1775000000002</v>
      </c>
      <c r="AO1507" s="1743" t="s">
        <v>131</v>
      </c>
      <c r="AP1507" s="1743"/>
      <c r="AQ1507" s="1764">
        <v>2014</v>
      </c>
      <c r="AR1507" s="1743" t="s">
        <v>87</v>
      </c>
      <c r="AS1507" s="2135"/>
      <c r="AT1507" s="2135"/>
      <c r="AU1507" s="1212">
        <v>0.33333333333333331</v>
      </c>
      <c r="AV1507" s="1212">
        <v>0.33333333333333331</v>
      </c>
      <c r="AW1507" s="1212">
        <v>0.33333333333333331</v>
      </c>
      <c r="AX1507" s="1212"/>
      <c r="AY1507" s="1212"/>
      <c r="AZ1507" s="1212"/>
      <c r="BA1507" s="1212"/>
      <c r="BB1507" s="1212"/>
      <c r="BC1507" s="1212"/>
      <c r="BD1507" s="1212"/>
      <c r="BE1507" s="1212"/>
      <c r="BF1507" s="2126">
        <v>0</v>
      </c>
      <c r="BG1507" s="2126">
        <v>0</v>
      </c>
      <c r="BH1507" s="2126">
        <v>417.39250000000004</v>
      </c>
      <c r="BI1507" s="2126">
        <v>417.39250000000004</v>
      </c>
      <c r="BJ1507" s="2126">
        <v>417.39250000000004</v>
      </c>
      <c r="BK1507" s="2126">
        <v>0</v>
      </c>
      <c r="BL1507" s="2126">
        <v>0</v>
      </c>
      <c r="BM1507" s="2126">
        <v>0</v>
      </c>
      <c r="BN1507" s="2126">
        <v>0</v>
      </c>
      <c r="BO1507" s="2126">
        <v>0</v>
      </c>
      <c r="BP1507" s="2126">
        <v>0</v>
      </c>
      <c r="BQ1507" s="2126">
        <v>0</v>
      </c>
      <c r="BR1507" s="2126">
        <v>0</v>
      </c>
    </row>
    <row r="1508" spans="1:70" s="1765" customFormat="1" ht="33">
      <c r="A1508" s="1272">
        <v>7000</v>
      </c>
      <c r="B1508" s="971" t="s">
        <v>2420</v>
      </c>
      <c r="C1508" s="1272">
        <v>7200</v>
      </c>
      <c r="D1508" s="971" t="s">
        <v>119</v>
      </c>
      <c r="E1508" s="971">
        <v>7230</v>
      </c>
      <c r="F1508" s="971" t="s">
        <v>2430</v>
      </c>
      <c r="G1508" s="971">
        <v>7231</v>
      </c>
      <c r="H1508" s="971" t="s">
        <v>2443</v>
      </c>
      <c r="I1508" s="1273" t="s">
        <v>2455</v>
      </c>
      <c r="J1508" s="971" t="s">
        <v>124</v>
      </c>
      <c r="K1508" s="971" t="s">
        <v>140</v>
      </c>
      <c r="L1508" s="971" t="s">
        <v>2909</v>
      </c>
      <c r="M1508" s="971" t="s">
        <v>140</v>
      </c>
      <c r="N1508" s="971" t="s">
        <v>141</v>
      </c>
      <c r="O1508" s="971" t="s">
        <v>142</v>
      </c>
      <c r="P1508" s="971"/>
      <c r="Q1508" s="971" t="s">
        <v>2456</v>
      </c>
      <c r="R1508" s="1266" t="s">
        <v>2446</v>
      </c>
      <c r="S1508" s="2106">
        <v>267.65799256505579</v>
      </c>
      <c r="T1508" s="1266" t="s">
        <v>136</v>
      </c>
      <c r="U1508" s="1742">
        <v>0</v>
      </c>
      <c r="V1508" s="1742">
        <v>0</v>
      </c>
      <c r="W1508" s="1742">
        <v>0</v>
      </c>
      <c r="X1508" s="1742">
        <v>0</v>
      </c>
      <c r="Y1508" s="2106">
        <v>0</v>
      </c>
      <c r="Z1508" s="2106">
        <v>0</v>
      </c>
      <c r="AA1508" s="2106">
        <v>0</v>
      </c>
      <c r="AB1508" s="2106">
        <v>0</v>
      </c>
      <c r="AC1508" s="2106">
        <v>0</v>
      </c>
      <c r="AD1508" s="1744">
        <v>0</v>
      </c>
      <c r="AE1508" s="2126">
        <v>0</v>
      </c>
      <c r="AF1508" s="2126">
        <v>0</v>
      </c>
      <c r="AG1508" s="1212">
        <v>1</v>
      </c>
      <c r="AH1508" s="1212">
        <v>0</v>
      </c>
      <c r="AI1508" s="1212">
        <v>0</v>
      </c>
      <c r="AJ1508" s="1212">
        <v>1</v>
      </c>
      <c r="AK1508" s="2126">
        <v>0</v>
      </c>
      <c r="AL1508" s="2126">
        <v>0</v>
      </c>
      <c r="AM1508" s="2126">
        <v>0</v>
      </c>
      <c r="AN1508" s="2126">
        <v>0</v>
      </c>
      <c r="AO1508" s="1743" t="s">
        <v>131</v>
      </c>
      <c r="AP1508" s="1743"/>
      <c r="AQ1508" s="1764">
        <v>2014</v>
      </c>
      <c r="AR1508" s="1743" t="s">
        <v>87</v>
      </c>
      <c r="AS1508" s="2135"/>
      <c r="AT1508" s="2135"/>
      <c r="AU1508" s="1212">
        <v>0.33333333333333331</v>
      </c>
      <c r="AV1508" s="1212">
        <v>0.33333333333333331</v>
      </c>
      <c r="AW1508" s="1212">
        <v>0.33333333333333331</v>
      </c>
      <c r="AX1508" s="1212"/>
      <c r="AY1508" s="1212"/>
      <c r="AZ1508" s="1212"/>
      <c r="BA1508" s="1212"/>
      <c r="BB1508" s="1212"/>
      <c r="BC1508" s="1212"/>
      <c r="BD1508" s="1212"/>
      <c r="BE1508" s="1212"/>
      <c r="BF1508" s="2126">
        <v>0</v>
      </c>
      <c r="BG1508" s="2126">
        <v>0</v>
      </c>
      <c r="BH1508" s="2126">
        <v>0</v>
      </c>
      <c r="BI1508" s="2126">
        <v>0</v>
      </c>
      <c r="BJ1508" s="2126">
        <v>0</v>
      </c>
      <c r="BK1508" s="2126">
        <v>0</v>
      </c>
      <c r="BL1508" s="2126">
        <v>0</v>
      </c>
      <c r="BM1508" s="2126">
        <v>0</v>
      </c>
      <c r="BN1508" s="2126">
        <v>0</v>
      </c>
      <c r="BO1508" s="2126">
        <v>0</v>
      </c>
      <c r="BP1508" s="2126">
        <v>0</v>
      </c>
      <c r="BQ1508" s="2126">
        <v>0</v>
      </c>
      <c r="BR1508" s="2126">
        <v>0</v>
      </c>
    </row>
    <row r="1509" spans="1:70" s="1765" customFormat="1" ht="33">
      <c r="A1509" s="1272">
        <v>7000</v>
      </c>
      <c r="B1509" s="971" t="s">
        <v>2420</v>
      </c>
      <c r="C1509" s="1272">
        <v>7200</v>
      </c>
      <c r="D1509" s="971" t="s">
        <v>119</v>
      </c>
      <c r="E1509" s="971">
        <v>7230</v>
      </c>
      <c r="F1509" s="971" t="s">
        <v>2430</v>
      </c>
      <c r="G1509" s="971">
        <v>7231</v>
      </c>
      <c r="H1509" s="971" t="s">
        <v>2443</v>
      </c>
      <c r="I1509" s="1273" t="s">
        <v>2457</v>
      </c>
      <c r="J1509" s="971" t="s">
        <v>124</v>
      </c>
      <c r="K1509" s="971" t="s">
        <v>145</v>
      </c>
      <c r="L1509" s="971" t="s">
        <v>2871</v>
      </c>
      <c r="M1509" s="971" t="s">
        <v>145</v>
      </c>
      <c r="N1509" s="971" t="s">
        <v>141</v>
      </c>
      <c r="O1509" s="971" t="s">
        <v>146</v>
      </c>
      <c r="P1509" s="971"/>
      <c r="Q1509" s="971" t="s">
        <v>2458</v>
      </c>
      <c r="R1509" s="1266" t="s">
        <v>2446</v>
      </c>
      <c r="S1509" s="2106">
        <v>267.65799256505579</v>
      </c>
      <c r="T1509" s="1266" t="s">
        <v>136</v>
      </c>
      <c r="U1509" s="1742">
        <v>0.12329166666666667</v>
      </c>
      <c r="V1509" s="1742">
        <v>0.98072916666666676</v>
      </c>
      <c r="W1509" s="1742">
        <v>6.9153175000000005</v>
      </c>
      <c r="X1509" s="1742">
        <v>10.817050416666667</v>
      </c>
      <c r="Y1509" s="2106">
        <v>18.713097083333334</v>
      </c>
      <c r="Z1509" s="2106">
        <v>33.000000000000007</v>
      </c>
      <c r="AA1509" s="2106">
        <v>262.50000000000006</v>
      </c>
      <c r="AB1509" s="2106">
        <v>1850.9400000000003</v>
      </c>
      <c r="AC1509" s="2106">
        <v>2895.2700000000004</v>
      </c>
      <c r="AD1509" s="1744">
        <v>5008.7100000000009</v>
      </c>
      <c r="AE1509" s="2126">
        <v>0.3</v>
      </c>
      <c r="AF1509" s="2126">
        <v>80.297397769516735</v>
      </c>
      <c r="AG1509" s="1212">
        <v>1</v>
      </c>
      <c r="AH1509" s="1212">
        <v>0</v>
      </c>
      <c r="AI1509" s="1212">
        <v>0</v>
      </c>
      <c r="AJ1509" s="1212">
        <v>1</v>
      </c>
      <c r="AK1509" s="2126">
        <v>5008.7100000000009</v>
      </c>
      <c r="AL1509" s="2126">
        <v>0</v>
      </c>
      <c r="AM1509" s="2126">
        <v>0</v>
      </c>
      <c r="AN1509" s="2126">
        <v>5008.7100000000009</v>
      </c>
      <c r="AO1509" s="1743" t="s">
        <v>131</v>
      </c>
      <c r="AP1509" s="1743"/>
      <c r="AQ1509" s="1764">
        <v>2014</v>
      </c>
      <c r="AR1509" s="1743" t="s">
        <v>87</v>
      </c>
      <c r="AS1509" s="2135"/>
      <c r="AT1509" s="2135"/>
      <c r="AU1509" s="1212">
        <v>0.33333333333333331</v>
      </c>
      <c r="AV1509" s="1212">
        <v>0.33333333333333331</v>
      </c>
      <c r="AW1509" s="1212">
        <v>0.33333333333333331</v>
      </c>
      <c r="AX1509" s="1212"/>
      <c r="AY1509" s="1212"/>
      <c r="AZ1509" s="1212"/>
      <c r="BA1509" s="1212"/>
      <c r="BB1509" s="1212"/>
      <c r="BC1509" s="1212"/>
      <c r="BD1509" s="1212"/>
      <c r="BE1509" s="1212"/>
      <c r="BF1509" s="2126">
        <v>0</v>
      </c>
      <c r="BG1509" s="2126">
        <v>0</v>
      </c>
      <c r="BH1509" s="2126">
        <v>1669.5700000000002</v>
      </c>
      <c r="BI1509" s="2126">
        <v>1669.5700000000002</v>
      </c>
      <c r="BJ1509" s="2126">
        <v>1669.5700000000002</v>
      </c>
      <c r="BK1509" s="2126">
        <v>0</v>
      </c>
      <c r="BL1509" s="2126">
        <v>0</v>
      </c>
      <c r="BM1509" s="2126">
        <v>0</v>
      </c>
      <c r="BN1509" s="2126">
        <v>0</v>
      </c>
      <c r="BO1509" s="2126">
        <v>0</v>
      </c>
      <c r="BP1509" s="2126">
        <v>0</v>
      </c>
      <c r="BQ1509" s="2126">
        <v>0</v>
      </c>
      <c r="BR1509" s="2126">
        <v>0</v>
      </c>
    </row>
    <row r="1510" spans="1:70" s="1765" customFormat="1" ht="82.5">
      <c r="A1510" s="1272">
        <v>7000</v>
      </c>
      <c r="B1510" s="971" t="s">
        <v>2420</v>
      </c>
      <c r="C1510" s="1272">
        <v>7200</v>
      </c>
      <c r="D1510" s="971" t="s">
        <v>119</v>
      </c>
      <c r="E1510" s="971">
        <v>7230</v>
      </c>
      <c r="F1510" s="971" t="s">
        <v>2430</v>
      </c>
      <c r="G1510" s="971">
        <v>7235</v>
      </c>
      <c r="H1510" s="971" t="s">
        <v>2459</v>
      </c>
      <c r="I1510" s="1273"/>
      <c r="J1510" s="971"/>
      <c r="K1510" s="971" t="s">
        <v>2460</v>
      </c>
      <c r="L1510" s="971" t="s">
        <v>2851</v>
      </c>
      <c r="M1510" s="971" t="s">
        <v>2460</v>
      </c>
      <c r="N1510" s="971" t="s">
        <v>488</v>
      </c>
      <c r="O1510" s="971" t="s">
        <v>2461</v>
      </c>
      <c r="P1510" s="971"/>
      <c r="Q1510" s="971" t="s">
        <v>2462</v>
      </c>
      <c r="R1510" s="1266"/>
      <c r="S1510" s="2106">
        <v>1</v>
      </c>
      <c r="T1510" s="1266" t="s">
        <v>2700</v>
      </c>
      <c r="U1510" s="1742">
        <v>94.339622641509436</v>
      </c>
      <c r="V1510" s="1742">
        <v>1179.2452830188681</v>
      </c>
      <c r="W1510" s="1742">
        <v>9433.9622641509432</v>
      </c>
      <c r="X1510" s="1742">
        <v>13006.603773584906</v>
      </c>
      <c r="Y1510" s="2106">
        <v>23619.811320754718</v>
      </c>
      <c r="Z1510" s="2106">
        <v>94.339622641509436</v>
      </c>
      <c r="AA1510" s="2106">
        <v>1179.2452830188681</v>
      </c>
      <c r="AB1510" s="2106">
        <v>9433.9622641509432</v>
      </c>
      <c r="AC1510" s="2106">
        <v>13006.603773584906</v>
      </c>
      <c r="AD1510" s="1744">
        <v>23619.811320754718</v>
      </c>
      <c r="AE1510" s="2126">
        <v>0</v>
      </c>
      <c r="AF1510" s="2126">
        <v>0</v>
      </c>
      <c r="AG1510" s="1212">
        <v>1</v>
      </c>
      <c r="AH1510" s="1212">
        <v>0</v>
      </c>
      <c r="AI1510" s="1212">
        <v>0</v>
      </c>
      <c r="AJ1510" s="1212">
        <v>1</v>
      </c>
      <c r="AK1510" s="2126">
        <v>23619.811320754718</v>
      </c>
      <c r="AL1510" s="2126">
        <v>0</v>
      </c>
      <c r="AM1510" s="2126">
        <v>0</v>
      </c>
      <c r="AN1510" s="2126">
        <v>23619.811320754718</v>
      </c>
      <c r="AO1510" s="1743" t="s">
        <v>131</v>
      </c>
      <c r="AP1510" s="1743"/>
      <c r="AQ1510" s="1764">
        <v>2014</v>
      </c>
      <c r="AR1510" s="1743" t="s">
        <v>87</v>
      </c>
      <c r="AS1510" s="2135"/>
      <c r="AT1510" s="2135"/>
      <c r="AU1510" s="1212">
        <v>0.33333333333333331</v>
      </c>
      <c r="AV1510" s="1212">
        <v>0.33333333333333331</v>
      </c>
      <c r="AW1510" s="1212">
        <v>0.33333333333333331</v>
      </c>
      <c r="AX1510" s="1212"/>
      <c r="AY1510" s="1212"/>
      <c r="AZ1510" s="1212"/>
      <c r="BA1510" s="1212"/>
      <c r="BB1510" s="1212"/>
      <c r="BC1510" s="1212"/>
      <c r="BD1510" s="1212"/>
      <c r="BE1510" s="1212"/>
      <c r="BF1510" s="2126">
        <v>0</v>
      </c>
      <c r="BG1510" s="2126">
        <v>0</v>
      </c>
      <c r="BH1510" s="2126">
        <v>7873.2704402515719</v>
      </c>
      <c r="BI1510" s="2126">
        <v>7873.2704402515719</v>
      </c>
      <c r="BJ1510" s="2126">
        <v>7873.2704402515719</v>
      </c>
      <c r="BK1510" s="2126">
        <v>0</v>
      </c>
      <c r="BL1510" s="2126">
        <v>0</v>
      </c>
      <c r="BM1510" s="2126">
        <v>0</v>
      </c>
      <c r="BN1510" s="2126">
        <v>0</v>
      </c>
      <c r="BO1510" s="2126">
        <v>0</v>
      </c>
      <c r="BP1510" s="2126">
        <v>0</v>
      </c>
      <c r="BQ1510" s="2126">
        <v>0</v>
      </c>
      <c r="BR1510" s="2126">
        <v>0</v>
      </c>
    </row>
    <row r="1511" spans="1:70" s="1765" customFormat="1" ht="66">
      <c r="A1511" s="1272">
        <v>7000</v>
      </c>
      <c r="B1511" s="971" t="s">
        <v>2420</v>
      </c>
      <c r="C1511" s="1272">
        <v>7200</v>
      </c>
      <c r="D1511" s="971" t="s">
        <v>119</v>
      </c>
      <c r="E1511" s="971">
        <v>7230</v>
      </c>
      <c r="F1511" s="971" t="s">
        <v>2430</v>
      </c>
      <c r="G1511" s="971">
        <v>7235</v>
      </c>
      <c r="H1511" s="971" t="s">
        <v>2459</v>
      </c>
      <c r="I1511" s="1273" t="s">
        <v>2463</v>
      </c>
      <c r="J1511" s="971" t="s">
        <v>124</v>
      </c>
      <c r="K1511" s="971" t="s">
        <v>516</v>
      </c>
      <c r="L1511" s="971" t="s">
        <v>2860</v>
      </c>
      <c r="M1511" s="971" t="s">
        <v>517</v>
      </c>
      <c r="N1511" s="971" t="s">
        <v>127</v>
      </c>
      <c r="O1511" s="971" t="s">
        <v>518</v>
      </c>
      <c r="P1511" s="971"/>
      <c r="Q1511" s="971" t="s">
        <v>2464</v>
      </c>
      <c r="R1511" s="1266" t="s">
        <v>2465</v>
      </c>
      <c r="S1511" s="2106">
        <v>371.74721189591077</v>
      </c>
      <c r="T1511" s="1266" t="s">
        <v>136</v>
      </c>
      <c r="U1511" s="1742">
        <v>0.15691666666666668</v>
      </c>
      <c r="V1511" s="1742">
        <v>1.9614583333333333</v>
      </c>
      <c r="W1511" s="1742">
        <v>13.830634999999999</v>
      </c>
      <c r="X1511" s="1742">
        <v>21.634100833333331</v>
      </c>
      <c r="Y1511" s="2106">
        <v>37.426194166666662</v>
      </c>
      <c r="Z1511" s="2106">
        <v>58.333333333333336</v>
      </c>
      <c r="AA1511" s="2106">
        <v>729.16666666666663</v>
      </c>
      <c r="AB1511" s="2106">
        <v>5141.4999999999991</v>
      </c>
      <c r="AC1511" s="2106">
        <v>8042.4166666666661</v>
      </c>
      <c r="AD1511" s="1744">
        <v>13913.083333333332</v>
      </c>
      <c r="AE1511" s="2126">
        <v>1</v>
      </c>
      <c r="AF1511" s="2126">
        <v>371.74721189591077</v>
      </c>
      <c r="AG1511" s="1212">
        <v>1</v>
      </c>
      <c r="AH1511" s="1212">
        <v>0</v>
      </c>
      <c r="AI1511" s="1212">
        <v>0</v>
      </c>
      <c r="AJ1511" s="1212">
        <v>1</v>
      </c>
      <c r="AK1511" s="2126">
        <v>13913.083333333332</v>
      </c>
      <c r="AL1511" s="2126">
        <v>0</v>
      </c>
      <c r="AM1511" s="2126">
        <v>0</v>
      </c>
      <c r="AN1511" s="2126">
        <v>13913.083333333332</v>
      </c>
      <c r="AO1511" s="1743" t="s">
        <v>131</v>
      </c>
      <c r="AP1511" s="1743"/>
      <c r="AQ1511" s="1764">
        <v>2014</v>
      </c>
      <c r="AR1511" s="1743" t="s">
        <v>87</v>
      </c>
      <c r="AS1511" s="2135"/>
      <c r="AT1511" s="2135"/>
      <c r="AU1511" s="1212">
        <v>0.33333333333333331</v>
      </c>
      <c r="AV1511" s="1212">
        <v>0.33333333333333331</v>
      </c>
      <c r="AW1511" s="1212">
        <v>0.33333333333333331</v>
      </c>
      <c r="AX1511" s="1212"/>
      <c r="AY1511" s="1212"/>
      <c r="AZ1511" s="1212"/>
      <c r="BA1511" s="1212"/>
      <c r="BB1511" s="1212"/>
      <c r="BC1511" s="1212"/>
      <c r="BD1511" s="1212"/>
      <c r="BE1511" s="1212"/>
      <c r="BF1511" s="2126">
        <v>0</v>
      </c>
      <c r="BG1511" s="2126">
        <v>0</v>
      </c>
      <c r="BH1511" s="2126">
        <v>4637.6944444444434</v>
      </c>
      <c r="BI1511" s="2126">
        <v>4637.6944444444434</v>
      </c>
      <c r="BJ1511" s="2126">
        <v>4637.6944444444434</v>
      </c>
      <c r="BK1511" s="2126">
        <v>0</v>
      </c>
      <c r="BL1511" s="2126">
        <v>0</v>
      </c>
      <c r="BM1511" s="2126">
        <v>0</v>
      </c>
      <c r="BN1511" s="2126">
        <v>0</v>
      </c>
      <c r="BO1511" s="2126">
        <v>0</v>
      </c>
      <c r="BP1511" s="2126">
        <v>0</v>
      </c>
      <c r="BQ1511" s="2126">
        <v>0</v>
      </c>
      <c r="BR1511" s="2126">
        <v>0</v>
      </c>
    </row>
    <row r="1512" spans="1:70" s="1765" customFormat="1" ht="66">
      <c r="A1512" s="1272">
        <v>7000</v>
      </c>
      <c r="B1512" s="971" t="s">
        <v>2420</v>
      </c>
      <c r="C1512" s="1272">
        <v>7200</v>
      </c>
      <c r="D1512" s="971" t="s">
        <v>119</v>
      </c>
      <c r="E1512" s="971">
        <v>7230</v>
      </c>
      <c r="F1512" s="971" t="s">
        <v>2430</v>
      </c>
      <c r="G1512" s="971">
        <v>7235</v>
      </c>
      <c r="H1512" s="971" t="s">
        <v>2459</v>
      </c>
      <c r="I1512" s="1273" t="s">
        <v>2466</v>
      </c>
      <c r="J1512" s="971" t="s">
        <v>124</v>
      </c>
      <c r="K1512" s="971" t="s">
        <v>516</v>
      </c>
      <c r="L1512" s="971" t="s">
        <v>2860</v>
      </c>
      <c r="M1512" s="971" t="s">
        <v>517</v>
      </c>
      <c r="N1512" s="971" t="s">
        <v>127</v>
      </c>
      <c r="O1512" s="971" t="s">
        <v>518</v>
      </c>
      <c r="P1512" s="971"/>
      <c r="Q1512" s="971" t="s">
        <v>2467</v>
      </c>
      <c r="R1512" s="1266" t="s">
        <v>2468</v>
      </c>
      <c r="S1512" s="2106">
        <v>371.74721189591077</v>
      </c>
      <c r="T1512" s="1266" t="s">
        <v>136</v>
      </c>
      <c r="U1512" s="1742">
        <v>0.15691666666666668</v>
      </c>
      <c r="V1512" s="1742">
        <v>1.9614583333333333</v>
      </c>
      <c r="W1512" s="1742">
        <v>13.830634999999999</v>
      </c>
      <c r="X1512" s="1742">
        <v>21.634100833333331</v>
      </c>
      <c r="Y1512" s="2106">
        <v>37.426194166666662</v>
      </c>
      <c r="Z1512" s="2106">
        <v>58.333333333333336</v>
      </c>
      <c r="AA1512" s="2106">
        <v>729.16666666666663</v>
      </c>
      <c r="AB1512" s="2106">
        <v>5141.4999999999991</v>
      </c>
      <c r="AC1512" s="2106">
        <v>8042.4166666666661</v>
      </c>
      <c r="AD1512" s="1744">
        <v>13913.083333333332</v>
      </c>
      <c r="AE1512" s="2126">
        <v>1</v>
      </c>
      <c r="AF1512" s="2126">
        <v>371.74721189591077</v>
      </c>
      <c r="AG1512" s="1212">
        <v>1</v>
      </c>
      <c r="AH1512" s="1212">
        <v>0</v>
      </c>
      <c r="AI1512" s="1212">
        <v>0</v>
      </c>
      <c r="AJ1512" s="1212">
        <v>1</v>
      </c>
      <c r="AK1512" s="2126">
        <v>13913.083333333332</v>
      </c>
      <c r="AL1512" s="2126">
        <v>0</v>
      </c>
      <c r="AM1512" s="2126">
        <v>0</v>
      </c>
      <c r="AN1512" s="2126">
        <v>13913.083333333332</v>
      </c>
      <c r="AO1512" s="1743" t="s">
        <v>131</v>
      </c>
      <c r="AP1512" s="1743"/>
      <c r="AQ1512" s="1764">
        <v>2014</v>
      </c>
      <c r="AR1512" s="1743" t="s">
        <v>87</v>
      </c>
      <c r="AS1512" s="2135"/>
      <c r="AT1512" s="2135"/>
      <c r="AU1512" s="1212">
        <v>0.33333333333333331</v>
      </c>
      <c r="AV1512" s="1212">
        <v>0.33333333333333331</v>
      </c>
      <c r="AW1512" s="1212">
        <v>0.33333333333333331</v>
      </c>
      <c r="AX1512" s="1212"/>
      <c r="AY1512" s="1212"/>
      <c r="AZ1512" s="1212"/>
      <c r="BA1512" s="1212"/>
      <c r="BB1512" s="1212"/>
      <c r="BC1512" s="1212"/>
      <c r="BD1512" s="1212"/>
      <c r="BE1512" s="1212"/>
      <c r="BF1512" s="2126">
        <v>0</v>
      </c>
      <c r="BG1512" s="2126">
        <v>0</v>
      </c>
      <c r="BH1512" s="2126">
        <v>4637.6944444444434</v>
      </c>
      <c r="BI1512" s="2126">
        <v>4637.6944444444434</v>
      </c>
      <c r="BJ1512" s="2126">
        <v>4637.6944444444434</v>
      </c>
      <c r="BK1512" s="2126">
        <v>0</v>
      </c>
      <c r="BL1512" s="2126">
        <v>0</v>
      </c>
      <c r="BM1512" s="2126">
        <v>0</v>
      </c>
      <c r="BN1512" s="2126">
        <v>0</v>
      </c>
      <c r="BO1512" s="2126">
        <v>0</v>
      </c>
      <c r="BP1512" s="2126">
        <v>0</v>
      </c>
      <c r="BQ1512" s="2126">
        <v>0</v>
      </c>
      <c r="BR1512" s="2126">
        <v>0</v>
      </c>
    </row>
    <row r="1513" spans="1:70" s="1765" customFormat="1" ht="49.5">
      <c r="A1513" s="1272">
        <v>7000</v>
      </c>
      <c r="B1513" s="971" t="s">
        <v>2420</v>
      </c>
      <c r="C1513" s="1272">
        <v>7200</v>
      </c>
      <c r="D1513" s="971" t="s">
        <v>119</v>
      </c>
      <c r="E1513" s="971">
        <v>7230</v>
      </c>
      <c r="F1513" s="971" t="s">
        <v>2430</v>
      </c>
      <c r="G1513" s="971">
        <v>7235</v>
      </c>
      <c r="H1513" s="971" t="s">
        <v>2459</v>
      </c>
      <c r="I1513" s="1273" t="s">
        <v>2469</v>
      </c>
      <c r="J1513" s="971" t="s">
        <v>124</v>
      </c>
      <c r="K1513" s="971" t="s">
        <v>523</v>
      </c>
      <c r="L1513" s="971" t="s">
        <v>6607</v>
      </c>
      <c r="M1513" s="971" t="s">
        <v>523</v>
      </c>
      <c r="N1513" s="971" t="s">
        <v>141</v>
      </c>
      <c r="O1513" s="971" t="s">
        <v>524</v>
      </c>
      <c r="P1513" s="971"/>
      <c r="Q1513" s="971" t="s">
        <v>2470</v>
      </c>
      <c r="R1513" s="1266" t="s">
        <v>2465</v>
      </c>
      <c r="S1513" s="2106">
        <v>371.74721189591077</v>
      </c>
      <c r="T1513" s="1266" t="s">
        <v>136</v>
      </c>
      <c r="U1513" s="1742">
        <v>0.14520631503408685</v>
      </c>
      <c r="V1513" s="1742">
        <v>1.8150789379260854</v>
      </c>
      <c r="W1513" s="1742">
        <v>12.798484607104415</v>
      </c>
      <c r="X1513" s="1742">
        <v>20.019594653749554</v>
      </c>
      <c r="Y1513" s="2106">
        <v>34.633158198780052</v>
      </c>
      <c r="Z1513" s="2106">
        <v>53.980042763601055</v>
      </c>
      <c r="AA1513" s="2106">
        <v>674.75053454501312</v>
      </c>
      <c r="AB1513" s="2106">
        <v>4757.800969183797</v>
      </c>
      <c r="AC1513" s="2106">
        <v>7442.2284958176779</v>
      </c>
      <c r="AD1513" s="1744">
        <v>12874.779999546488</v>
      </c>
      <c r="AE1513" s="2126">
        <v>0.75</v>
      </c>
      <c r="AF1513" s="2126">
        <v>278.81040892193306</v>
      </c>
      <c r="AG1513" s="1212">
        <v>1</v>
      </c>
      <c r="AH1513" s="1212">
        <v>0</v>
      </c>
      <c r="AI1513" s="1212">
        <v>0</v>
      </c>
      <c r="AJ1513" s="1212">
        <v>1</v>
      </c>
      <c r="AK1513" s="2126">
        <v>12874.779999546488</v>
      </c>
      <c r="AL1513" s="2126">
        <v>0</v>
      </c>
      <c r="AM1513" s="2126">
        <v>0</v>
      </c>
      <c r="AN1513" s="2126">
        <v>12874.779999546488</v>
      </c>
      <c r="AO1513" s="1743" t="s">
        <v>131</v>
      </c>
      <c r="AP1513" s="1743"/>
      <c r="AQ1513" s="1764">
        <v>2014</v>
      </c>
      <c r="AR1513" s="1743" t="s">
        <v>87</v>
      </c>
      <c r="AS1513" s="2135"/>
      <c r="AT1513" s="2135"/>
      <c r="AU1513" s="1212">
        <v>0.33333333333333331</v>
      </c>
      <c r="AV1513" s="1212">
        <v>0.33333333333333331</v>
      </c>
      <c r="AW1513" s="1212">
        <v>0.33333333333333331</v>
      </c>
      <c r="AX1513" s="1212"/>
      <c r="AY1513" s="1212"/>
      <c r="AZ1513" s="1212"/>
      <c r="BA1513" s="1212"/>
      <c r="BB1513" s="1212"/>
      <c r="BC1513" s="1212"/>
      <c r="BD1513" s="1212"/>
      <c r="BE1513" s="1212"/>
      <c r="BF1513" s="2126">
        <v>0</v>
      </c>
      <c r="BG1513" s="2126">
        <v>0</v>
      </c>
      <c r="BH1513" s="2126">
        <v>4291.5933331821625</v>
      </c>
      <c r="BI1513" s="2126">
        <v>4291.5933331821625</v>
      </c>
      <c r="BJ1513" s="2126">
        <v>4291.5933331821625</v>
      </c>
      <c r="BK1513" s="2126">
        <v>0</v>
      </c>
      <c r="BL1513" s="2126">
        <v>0</v>
      </c>
      <c r="BM1513" s="2126">
        <v>0</v>
      </c>
      <c r="BN1513" s="2126">
        <v>0</v>
      </c>
      <c r="BO1513" s="2126">
        <v>0</v>
      </c>
      <c r="BP1513" s="2126">
        <v>0</v>
      </c>
      <c r="BQ1513" s="2126">
        <v>0</v>
      </c>
      <c r="BR1513" s="2126">
        <v>0</v>
      </c>
    </row>
    <row r="1514" spans="1:70" s="1765" customFormat="1" ht="49.5">
      <c r="A1514" s="1272">
        <v>7000</v>
      </c>
      <c r="B1514" s="971" t="s">
        <v>2420</v>
      </c>
      <c r="C1514" s="1272">
        <v>7200</v>
      </c>
      <c r="D1514" s="971" t="s">
        <v>119</v>
      </c>
      <c r="E1514" s="971">
        <v>7230</v>
      </c>
      <c r="F1514" s="971" t="s">
        <v>2430</v>
      </c>
      <c r="G1514" s="971">
        <v>7235</v>
      </c>
      <c r="H1514" s="971" t="s">
        <v>2459</v>
      </c>
      <c r="I1514" s="1273" t="s">
        <v>2471</v>
      </c>
      <c r="J1514" s="971" t="s">
        <v>124</v>
      </c>
      <c r="K1514" s="971" t="s">
        <v>523</v>
      </c>
      <c r="L1514" s="971" t="s">
        <v>6607</v>
      </c>
      <c r="M1514" s="971" t="s">
        <v>523</v>
      </c>
      <c r="N1514" s="971" t="s">
        <v>141</v>
      </c>
      <c r="O1514" s="971" t="s">
        <v>524</v>
      </c>
      <c r="P1514" s="971"/>
      <c r="Q1514" s="971" t="s">
        <v>2472</v>
      </c>
      <c r="R1514" s="1266" t="s">
        <v>2468</v>
      </c>
      <c r="S1514" s="2106">
        <v>371.74721189591077</v>
      </c>
      <c r="T1514" s="1266" t="s">
        <v>136</v>
      </c>
      <c r="U1514" s="1742">
        <v>0.14520631503408685</v>
      </c>
      <c r="V1514" s="1742">
        <v>1.8150789379260854</v>
      </c>
      <c r="W1514" s="1742">
        <v>12.798484607104415</v>
      </c>
      <c r="X1514" s="1742">
        <v>20.019594653749554</v>
      </c>
      <c r="Y1514" s="2106">
        <v>34.633158198780052</v>
      </c>
      <c r="Z1514" s="2106">
        <v>53.980042763601055</v>
      </c>
      <c r="AA1514" s="2106">
        <v>674.75053454501312</v>
      </c>
      <c r="AB1514" s="2106">
        <v>4757.800969183797</v>
      </c>
      <c r="AC1514" s="2106">
        <v>7442.2284958176779</v>
      </c>
      <c r="AD1514" s="1744">
        <v>12874.779999546488</v>
      </c>
      <c r="AE1514" s="2126">
        <v>0.75</v>
      </c>
      <c r="AF1514" s="2126">
        <v>278.81040892193306</v>
      </c>
      <c r="AG1514" s="1212">
        <v>1</v>
      </c>
      <c r="AH1514" s="1212">
        <v>0</v>
      </c>
      <c r="AI1514" s="1212">
        <v>0</v>
      </c>
      <c r="AJ1514" s="1212">
        <v>1</v>
      </c>
      <c r="AK1514" s="2126">
        <v>12874.779999546488</v>
      </c>
      <c r="AL1514" s="2126">
        <v>0</v>
      </c>
      <c r="AM1514" s="2126">
        <v>0</v>
      </c>
      <c r="AN1514" s="2126">
        <v>12874.779999546488</v>
      </c>
      <c r="AO1514" s="1743" t="s">
        <v>131</v>
      </c>
      <c r="AP1514" s="1743"/>
      <c r="AQ1514" s="1764">
        <v>2014</v>
      </c>
      <c r="AR1514" s="1743" t="s">
        <v>87</v>
      </c>
      <c r="AS1514" s="2135"/>
      <c r="AT1514" s="2135"/>
      <c r="AU1514" s="1212">
        <v>0.33333333333333331</v>
      </c>
      <c r="AV1514" s="1212">
        <v>0.33333333333333331</v>
      </c>
      <c r="AW1514" s="1212">
        <v>0.33333333333333331</v>
      </c>
      <c r="AX1514" s="1212"/>
      <c r="AY1514" s="1212"/>
      <c r="AZ1514" s="1212"/>
      <c r="BA1514" s="1212"/>
      <c r="BB1514" s="1212"/>
      <c r="BC1514" s="1212"/>
      <c r="BD1514" s="1212"/>
      <c r="BE1514" s="1212"/>
      <c r="BF1514" s="2126">
        <v>0</v>
      </c>
      <c r="BG1514" s="2126">
        <v>0</v>
      </c>
      <c r="BH1514" s="2126">
        <v>4291.5933331821625</v>
      </c>
      <c r="BI1514" s="2126">
        <v>4291.5933331821625</v>
      </c>
      <c r="BJ1514" s="2126">
        <v>4291.5933331821625</v>
      </c>
      <c r="BK1514" s="2126">
        <v>0</v>
      </c>
      <c r="BL1514" s="2126">
        <v>0</v>
      </c>
      <c r="BM1514" s="2126">
        <v>0</v>
      </c>
      <c r="BN1514" s="2126">
        <v>0</v>
      </c>
      <c r="BO1514" s="2126">
        <v>0</v>
      </c>
      <c r="BP1514" s="2126">
        <v>0</v>
      </c>
      <c r="BQ1514" s="2126">
        <v>0</v>
      </c>
      <c r="BR1514" s="2126">
        <v>0</v>
      </c>
    </row>
    <row r="1515" spans="1:70" s="1765" customFormat="1" ht="49.5">
      <c r="A1515" s="1272">
        <v>7000</v>
      </c>
      <c r="B1515" s="971" t="s">
        <v>2420</v>
      </c>
      <c r="C1515" s="1272">
        <v>7200</v>
      </c>
      <c r="D1515" s="971" t="s">
        <v>119</v>
      </c>
      <c r="E1515" s="971">
        <v>7230</v>
      </c>
      <c r="F1515" s="971" t="s">
        <v>2430</v>
      </c>
      <c r="G1515" s="971">
        <v>7235</v>
      </c>
      <c r="H1515" s="971" t="s">
        <v>2459</v>
      </c>
      <c r="I1515" s="1273" t="s">
        <v>2473</v>
      </c>
      <c r="J1515" s="971" t="s">
        <v>124</v>
      </c>
      <c r="K1515" s="971" t="s">
        <v>523</v>
      </c>
      <c r="L1515" s="971" t="s">
        <v>6607</v>
      </c>
      <c r="M1515" s="971" t="s">
        <v>523</v>
      </c>
      <c r="N1515" s="971" t="s">
        <v>141</v>
      </c>
      <c r="O1515" s="971" t="s">
        <v>524</v>
      </c>
      <c r="P1515" s="971"/>
      <c r="Q1515" s="971" t="s">
        <v>2474</v>
      </c>
      <c r="R1515" s="1266" t="s">
        <v>2475</v>
      </c>
      <c r="S1515" s="2106">
        <v>223.04832713754647</v>
      </c>
      <c r="T1515" s="1266" t="s">
        <v>136</v>
      </c>
      <c r="U1515" s="1742">
        <v>0.14520631503408685</v>
      </c>
      <c r="V1515" s="1742">
        <v>1.8150789379260854</v>
      </c>
      <c r="W1515" s="1742">
        <v>12.798484607104415</v>
      </c>
      <c r="X1515" s="1742">
        <v>20.019594653749554</v>
      </c>
      <c r="Y1515" s="2106">
        <v>34.633158198780052</v>
      </c>
      <c r="Z1515" s="2106">
        <v>32.388025658160636</v>
      </c>
      <c r="AA1515" s="2106">
        <v>404.8503207270079</v>
      </c>
      <c r="AB1515" s="2106">
        <v>2854.6805815102784</v>
      </c>
      <c r="AC1515" s="2106">
        <v>4465.3370974906065</v>
      </c>
      <c r="AD1515" s="1744">
        <v>7724.8679997278923</v>
      </c>
      <c r="AE1515" s="2126">
        <v>0.75</v>
      </c>
      <c r="AF1515" s="2126">
        <v>167.28624535315984</v>
      </c>
      <c r="AG1515" s="1212">
        <v>1</v>
      </c>
      <c r="AH1515" s="1212">
        <v>0</v>
      </c>
      <c r="AI1515" s="1212">
        <v>0</v>
      </c>
      <c r="AJ1515" s="1212">
        <v>1</v>
      </c>
      <c r="AK1515" s="2126">
        <v>7724.8679997278923</v>
      </c>
      <c r="AL1515" s="2126">
        <v>0</v>
      </c>
      <c r="AM1515" s="2126">
        <v>0</v>
      </c>
      <c r="AN1515" s="2126">
        <v>7724.8679997278923</v>
      </c>
      <c r="AO1515" s="1743" t="s">
        <v>131</v>
      </c>
      <c r="AP1515" s="1743" t="s">
        <v>2476</v>
      </c>
      <c r="AQ1515" s="1764">
        <v>2014</v>
      </c>
      <c r="AR1515" s="1743" t="s">
        <v>87</v>
      </c>
      <c r="AS1515" s="2135"/>
      <c r="AT1515" s="2135"/>
      <c r="AU1515" s="1212">
        <v>0.33333333333333331</v>
      </c>
      <c r="AV1515" s="1212">
        <v>0.33333333333333331</v>
      </c>
      <c r="AW1515" s="1212">
        <v>0.33333333333333331</v>
      </c>
      <c r="AX1515" s="1212"/>
      <c r="AY1515" s="1212"/>
      <c r="AZ1515" s="1212"/>
      <c r="BA1515" s="1212"/>
      <c r="BB1515" s="1212"/>
      <c r="BC1515" s="1212"/>
      <c r="BD1515" s="1212"/>
      <c r="BE1515" s="1212"/>
      <c r="BF1515" s="2126">
        <v>0</v>
      </c>
      <c r="BG1515" s="2126">
        <v>0</v>
      </c>
      <c r="BH1515" s="2126">
        <v>2574.9559999092971</v>
      </c>
      <c r="BI1515" s="2126">
        <v>2574.9559999092971</v>
      </c>
      <c r="BJ1515" s="2126">
        <v>2574.9559999092971</v>
      </c>
      <c r="BK1515" s="2126">
        <v>0</v>
      </c>
      <c r="BL1515" s="2126">
        <v>0</v>
      </c>
      <c r="BM1515" s="2126">
        <v>0</v>
      </c>
      <c r="BN1515" s="2126">
        <v>0</v>
      </c>
      <c r="BO1515" s="2126">
        <v>0</v>
      </c>
      <c r="BP1515" s="2126">
        <v>0</v>
      </c>
      <c r="BQ1515" s="2126">
        <v>0</v>
      </c>
      <c r="BR1515" s="2126">
        <v>0</v>
      </c>
    </row>
    <row r="1516" spans="1:70" s="1765" customFormat="1" ht="49.5">
      <c r="A1516" s="1272">
        <v>7000</v>
      </c>
      <c r="B1516" s="971" t="s">
        <v>2420</v>
      </c>
      <c r="C1516" s="1272">
        <v>7200</v>
      </c>
      <c r="D1516" s="971" t="s">
        <v>119</v>
      </c>
      <c r="E1516" s="971">
        <v>7230</v>
      </c>
      <c r="F1516" s="971" t="s">
        <v>2430</v>
      </c>
      <c r="G1516" s="971">
        <v>7235</v>
      </c>
      <c r="H1516" s="971" t="s">
        <v>2459</v>
      </c>
      <c r="I1516" s="1273" t="s">
        <v>2477</v>
      </c>
      <c r="J1516" s="971" t="s">
        <v>124</v>
      </c>
      <c r="K1516" s="971" t="s">
        <v>523</v>
      </c>
      <c r="L1516" s="971" t="s">
        <v>6607</v>
      </c>
      <c r="M1516" s="971" t="s">
        <v>523</v>
      </c>
      <c r="N1516" s="971" t="s">
        <v>141</v>
      </c>
      <c r="O1516" s="971" t="s">
        <v>524</v>
      </c>
      <c r="P1516" s="971"/>
      <c r="Q1516" s="971" t="s">
        <v>2478</v>
      </c>
      <c r="R1516" s="1266" t="s">
        <v>2475</v>
      </c>
      <c r="S1516" s="2106">
        <v>223.04832713754647</v>
      </c>
      <c r="T1516" s="1266" t="s">
        <v>136</v>
      </c>
      <c r="U1516" s="1742">
        <v>0.14520631503408685</v>
      </c>
      <c r="V1516" s="1742">
        <v>1.8150789379260854</v>
      </c>
      <c r="W1516" s="1742">
        <v>12.798484607104415</v>
      </c>
      <c r="X1516" s="1742">
        <v>20.019594653749554</v>
      </c>
      <c r="Y1516" s="2106">
        <v>34.633158198780052</v>
      </c>
      <c r="Z1516" s="2106">
        <v>32.388025658160636</v>
      </c>
      <c r="AA1516" s="2106">
        <v>404.8503207270079</v>
      </c>
      <c r="AB1516" s="2106">
        <v>2854.6805815102784</v>
      </c>
      <c r="AC1516" s="2106">
        <v>4465.3370974906065</v>
      </c>
      <c r="AD1516" s="1744">
        <v>7724.8679997278923</v>
      </c>
      <c r="AE1516" s="2126">
        <v>0.75</v>
      </c>
      <c r="AF1516" s="2126">
        <v>167.28624535315984</v>
      </c>
      <c r="AG1516" s="1212">
        <v>1</v>
      </c>
      <c r="AH1516" s="1212">
        <v>0</v>
      </c>
      <c r="AI1516" s="1212">
        <v>0</v>
      </c>
      <c r="AJ1516" s="1212">
        <v>1</v>
      </c>
      <c r="AK1516" s="2126">
        <v>7724.8679997278923</v>
      </c>
      <c r="AL1516" s="2126">
        <v>0</v>
      </c>
      <c r="AM1516" s="2126">
        <v>0</v>
      </c>
      <c r="AN1516" s="2126">
        <v>7724.8679997278923</v>
      </c>
      <c r="AO1516" s="1743" t="s">
        <v>131</v>
      </c>
      <c r="AP1516" s="1743" t="s">
        <v>2476</v>
      </c>
      <c r="AQ1516" s="1764">
        <v>2014</v>
      </c>
      <c r="AR1516" s="1743" t="s">
        <v>87</v>
      </c>
      <c r="AS1516" s="2135"/>
      <c r="AT1516" s="2135"/>
      <c r="AU1516" s="1212">
        <v>0.33333333333333331</v>
      </c>
      <c r="AV1516" s="1212">
        <v>0.33333333333333331</v>
      </c>
      <c r="AW1516" s="1212">
        <v>0.33333333333333331</v>
      </c>
      <c r="AX1516" s="1212"/>
      <c r="AY1516" s="1212"/>
      <c r="AZ1516" s="1212"/>
      <c r="BA1516" s="1212"/>
      <c r="BB1516" s="1212"/>
      <c r="BC1516" s="1212"/>
      <c r="BD1516" s="1212"/>
      <c r="BE1516" s="1212"/>
      <c r="BF1516" s="2126">
        <v>0</v>
      </c>
      <c r="BG1516" s="2126">
        <v>0</v>
      </c>
      <c r="BH1516" s="2126">
        <v>2574.9559999092971</v>
      </c>
      <c r="BI1516" s="2126">
        <v>2574.9559999092971</v>
      </c>
      <c r="BJ1516" s="2126">
        <v>2574.9559999092971</v>
      </c>
      <c r="BK1516" s="2126">
        <v>0</v>
      </c>
      <c r="BL1516" s="2126">
        <v>0</v>
      </c>
      <c r="BM1516" s="2126">
        <v>0</v>
      </c>
      <c r="BN1516" s="2126">
        <v>0</v>
      </c>
      <c r="BO1516" s="2126">
        <v>0</v>
      </c>
      <c r="BP1516" s="2126">
        <v>0</v>
      </c>
      <c r="BQ1516" s="2126">
        <v>0</v>
      </c>
      <c r="BR1516" s="2126">
        <v>0</v>
      </c>
    </row>
    <row r="1517" spans="1:70" s="1765" customFormat="1" ht="33">
      <c r="A1517" s="1272">
        <v>7000</v>
      </c>
      <c r="B1517" s="971" t="s">
        <v>2420</v>
      </c>
      <c r="C1517" s="1272">
        <v>7200</v>
      </c>
      <c r="D1517" s="971" t="s">
        <v>119</v>
      </c>
      <c r="E1517" s="971">
        <v>7230</v>
      </c>
      <c r="F1517" s="971" t="s">
        <v>2430</v>
      </c>
      <c r="G1517" s="971">
        <v>7235</v>
      </c>
      <c r="H1517" s="971" t="s">
        <v>2459</v>
      </c>
      <c r="I1517" s="1273" t="s">
        <v>2479</v>
      </c>
      <c r="J1517" s="971" t="s">
        <v>124</v>
      </c>
      <c r="K1517" s="971" t="s">
        <v>140</v>
      </c>
      <c r="L1517" s="971" t="s">
        <v>2909</v>
      </c>
      <c r="M1517" s="971" t="s">
        <v>140</v>
      </c>
      <c r="N1517" s="971" t="s">
        <v>141</v>
      </c>
      <c r="O1517" s="971" t="s">
        <v>142</v>
      </c>
      <c r="P1517" s="971"/>
      <c r="Q1517" s="971" t="s">
        <v>2480</v>
      </c>
      <c r="R1517" s="1266" t="s">
        <v>2475</v>
      </c>
      <c r="S1517" s="2106">
        <v>223.04832713754647</v>
      </c>
      <c r="T1517" s="1266" t="s">
        <v>136</v>
      </c>
      <c r="U1517" s="1742">
        <v>0</v>
      </c>
      <c r="V1517" s="1742">
        <v>0</v>
      </c>
      <c r="W1517" s="1742">
        <v>0</v>
      </c>
      <c r="X1517" s="1742">
        <v>0</v>
      </c>
      <c r="Y1517" s="2106">
        <v>0</v>
      </c>
      <c r="Z1517" s="2106">
        <v>0</v>
      </c>
      <c r="AA1517" s="2106">
        <v>0</v>
      </c>
      <c r="AB1517" s="2106">
        <v>0</v>
      </c>
      <c r="AC1517" s="2106">
        <v>0</v>
      </c>
      <c r="AD1517" s="1744">
        <v>0</v>
      </c>
      <c r="AE1517" s="2126">
        <v>0</v>
      </c>
      <c r="AF1517" s="2126">
        <v>0</v>
      </c>
      <c r="AG1517" s="1212">
        <v>1</v>
      </c>
      <c r="AH1517" s="1212">
        <v>0</v>
      </c>
      <c r="AI1517" s="1212">
        <v>0</v>
      </c>
      <c r="AJ1517" s="1212">
        <v>1</v>
      </c>
      <c r="AK1517" s="2126">
        <v>0</v>
      </c>
      <c r="AL1517" s="2126">
        <v>0</v>
      </c>
      <c r="AM1517" s="2126">
        <v>0</v>
      </c>
      <c r="AN1517" s="2126">
        <v>0</v>
      </c>
      <c r="AO1517" s="1743" t="s">
        <v>131</v>
      </c>
      <c r="AP1517" s="1743" t="s">
        <v>2476</v>
      </c>
      <c r="AQ1517" s="1764">
        <v>2014</v>
      </c>
      <c r="AR1517" s="1743" t="s">
        <v>87</v>
      </c>
      <c r="AS1517" s="2135"/>
      <c r="AT1517" s="2135"/>
      <c r="AU1517" s="1212">
        <v>0.33333333333333331</v>
      </c>
      <c r="AV1517" s="1212">
        <v>0.33333333333333331</v>
      </c>
      <c r="AW1517" s="1212">
        <v>0.33333333333333331</v>
      </c>
      <c r="AX1517" s="1212"/>
      <c r="AY1517" s="1212"/>
      <c r="AZ1517" s="1212"/>
      <c r="BA1517" s="1212"/>
      <c r="BB1517" s="1212"/>
      <c r="BC1517" s="1212"/>
      <c r="BD1517" s="1212"/>
      <c r="BE1517" s="1212"/>
      <c r="BF1517" s="2126">
        <v>0</v>
      </c>
      <c r="BG1517" s="2126">
        <v>0</v>
      </c>
      <c r="BH1517" s="2126">
        <v>0</v>
      </c>
      <c r="BI1517" s="2126">
        <v>0</v>
      </c>
      <c r="BJ1517" s="2126">
        <v>0</v>
      </c>
      <c r="BK1517" s="2126">
        <v>0</v>
      </c>
      <c r="BL1517" s="2126">
        <v>0</v>
      </c>
      <c r="BM1517" s="2126">
        <v>0</v>
      </c>
      <c r="BN1517" s="2126">
        <v>0</v>
      </c>
      <c r="BO1517" s="2126">
        <v>0</v>
      </c>
      <c r="BP1517" s="2126">
        <v>0</v>
      </c>
      <c r="BQ1517" s="2126">
        <v>0</v>
      </c>
      <c r="BR1517" s="2126">
        <v>0</v>
      </c>
    </row>
    <row r="1518" spans="1:70" s="1765" customFormat="1" ht="33">
      <c r="A1518" s="1272">
        <v>7000</v>
      </c>
      <c r="B1518" s="971" t="s">
        <v>2420</v>
      </c>
      <c r="C1518" s="1272">
        <v>7200</v>
      </c>
      <c r="D1518" s="971" t="s">
        <v>119</v>
      </c>
      <c r="E1518" s="971">
        <v>7230</v>
      </c>
      <c r="F1518" s="971" t="s">
        <v>2430</v>
      </c>
      <c r="G1518" s="971">
        <v>7235</v>
      </c>
      <c r="H1518" s="971" t="s">
        <v>2459</v>
      </c>
      <c r="I1518" s="1273" t="s">
        <v>2481</v>
      </c>
      <c r="J1518" s="971" t="s">
        <v>124</v>
      </c>
      <c r="K1518" s="971" t="s">
        <v>140</v>
      </c>
      <c r="L1518" s="971" t="s">
        <v>2909</v>
      </c>
      <c r="M1518" s="971" t="s">
        <v>140</v>
      </c>
      <c r="N1518" s="971" t="s">
        <v>141</v>
      </c>
      <c r="O1518" s="971" t="s">
        <v>142</v>
      </c>
      <c r="P1518" s="971"/>
      <c r="Q1518" s="971" t="s">
        <v>2482</v>
      </c>
      <c r="R1518" s="1266" t="s">
        <v>2465</v>
      </c>
      <c r="S1518" s="2106">
        <v>371.74721189591077</v>
      </c>
      <c r="T1518" s="1266" t="s">
        <v>136</v>
      </c>
      <c r="U1518" s="1742">
        <v>0</v>
      </c>
      <c r="V1518" s="1742">
        <v>0</v>
      </c>
      <c r="W1518" s="1742">
        <v>0</v>
      </c>
      <c r="X1518" s="1742">
        <v>0</v>
      </c>
      <c r="Y1518" s="2106">
        <v>0</v>
      </c>
      <c r="Z1518" s="2106">
        <v>0</v>
      </c>
      <c r="AA1518" s="2106">
        <v>0</v>
      </c>
      <c r="AB1518" s="2106">
        <v>0</v>
      </c>
      <c r="AC1518" s="2106">
        <v>0</v>
      </c>
      <c r="AD1518" s="1744">
        <v>0</v>
      </c>
      <c r="AE1518" s="2126">
        <v>0</v>
      </c>
      <c r="AF1518" s="2126">
        <v>0</v>
      </c>
      <c r="AG1518" s="1212">
        <v>1</v>
      </c>
      <c r="AH1518" s="1212">
        <v>0</v>
      </c>
      <c r="AI1518" s="1212">
        <v>0</v>
      </c>
      <c r="AJ1518" s="1212">
        <v>1</v>
      </c>
      <c r="AK1518" s="2126">
        <v>0</v>
      </c>
      <c r="AL1518" s="2126">
        <v>0</v>
      </c>
      <c r="AM1518" s="2126">
        <v>0</v>
      </c>
      <c r="AN1518" s="2126">
        <v>0</v>
      </c>
      <c r="AO1518" s="1743" t="s">
        <v>131</v>
      </c>
      <c r="AP1518" s="1743"/>
      <c r="AQ1518" s="1764">
        <v>2014</v>
      </c>
      <c r="AR1518" s="1743" t="s">
        <v>87</v>
      </c>
      <c r="AS1518" s="2135"/>
      <c r="AT1518" s="2135"/>
      <c r="AU1518" s="1212">
        <v>0.33333333333333331</v>
      </c>
      <c r="AV1518" s="1212">
        <v>0.33333333333333331</v>
      </c>
      <c r="AW1518" s="1212">
        <v>0.33333333333333331</v>
      </c>
      <c r="AX1518" s="1212"/>
      <c r="AY1518" s="1212"/>
      <c r="AZ1518" s="1212"/>
      <c r="BA1518" s="1212"/>
      <c r="BB1518" s="1212"/>
      <c r="BC1518" s="1212"/>
      <c r="BD1518" s="1212"/>
      <c r="BE1518" s="1212"/>
      <c r="BF1518" s="2126">
        <v>0</v>
      </c>
      <c r="BG1518" s="2126">
        <v>0</v>
      </c>
      <c r="BH1518" s="2126">
        <v>0</v>
      </c>
      <c r="BI1518" s="2126">
        <v>0</v>
      </c>
      <c r="BJ1518" s="2126">
        <v>0</v>
      </c>
      <c r="BK1518" s="2126">
        <v>0</v>
      </c>
      <c r="BL1518" s="2126">
        <v>0</v>
      </c>
      <c r="BM1518" s="2126">
        <v>0</v>
      </c>
      <c r="BN1518" s="2126">
        <v>0</v>
      </c>
      <c r="BO1518" s="2126">
        <v>0</v>
      </c>
      <c r="BP1518" s="2126">
        <v>0</v>
      </c>
      <c r="BQ1518" s="2126">
        <v>0</v>
      </c>
      <c r="BR1518" s="2126">
        <v>0</v>
      </c>
    </row>
    <row r="1519" spans="1:70" s="1765" customFormat="1" ht="33">
      <c r="A1519" s="1272">
        <v>7000</v>
      </c>
      <c r="B1519" s="971" t="s">
        <v>2420</v>
      </c>
      <c r="C1519" s="1272">
        <v>7200</v>
      </c>
      <c r="D1519" s="971" t="s">
        <v>119</v>
      </c>
      <c r="E1519" s="971">
        <v>7230</v>
      </c>
      <c r="F1519" s="971" t="s">
        <v>2430</v>
      </c>
      <c r="G1519" s="971">
        <v>7235</v>
      </c>
      <c r="H1519" s="971" t="s">
        <v>2459</v>
      </c>
      <c r="I1519" s="1273" t="s">
        <v>2483</v>
      </c>
      <c r="J1519" s="971" t="s">
        <v>124</v>
      </c>
      <c r="K1519" s="971" t="s">
        <v>140</v>
      </c>
      <c r="L1519" s="971" t="s">
        <v>2909</v>
      </c>
      <c r="M1519" s="971" t="s">
        <v>140</v>
      </c>
      <c r="N1519" s="971" t="s">
        <v>141</v>
      </c>
      <c r="O1519" s="971" t="s">
        <v>142</v>
      </c>
      <c r="P1519" s="971"/>
      <c r="Q1519" s="971" t="s">
        <v>2484</v>
      </c>
      <c r="R1519" s="1266" t="s">
        <v>2468</v>
      </c>
      <c r="S1519" s="2106">
        <v>371.74721189591077</v>
      </c>
      <c r="T1519" s="1266" t="s">
        <v>136</v>
      </c>
      <c r="U1519" s="1742">
        <v>0</v>
      </c>
      <c r="V1519" s="1742">
        <v>0</v>
      </c>
      <c r="W1519" s="1742">
        <v>0</v>
      </c>
      <c r="X1519" s="1742">
        <v>0</v>
      </c>
      <c r="Y1519" s="2106">
        <v>0</v>
      </c>
      <c r="Z1519" s="2106">
        <v>0</v>
      </c>
      <c r="AA1519" s="2106">
        <v>0</v>
      </c>
      <c r="AB1519" s="2106">
        <v>0</v>
      </c>
      <c r="AC1519" s="2106">
        <v>0</v>
      </c>
      <c r="AD1519" s="1744">
        <v>0</v>
      </c>
      <c r="AE1519" s="2126">
        <v>0</v>
      </c>
      <c r="AF1519" s="2126">
        <v>0</v>
      </c>
      <c r="AG1519" s="1212">
        <v>1</v>
      </c>
      <c r="AH1519" s="1212">
        <v>0</v>
      </c>
      <c r="AI1519" s="1212">
        <v>0</v>
      </c>
      <c r="AJ1519" s="1212">
        <v>1</v>
      </c>
      <c r="AK1519" s="2126">
        <v>0</v>
      </c>
      <c r="AL1519" s="2126">
        <v>0</v>
      </c>
      <c r="AM1519" s="2126">
        <v>0</v>
      </c>
      <c r="AN1519" s="2126">
        <v>0</v>
      </c>
      <c r="AO1519" s="1743" t="s">
        <v>131</v>
      </c>
      <c r="AP1519" s="1743"/>
      <c r="AQ1519" s="1764">
        <v>2014</v>
      </c>
      <c r="AR1519" s="1743" t="s">
        <v>87</v>
      </c>
      <c r="AS1519" s="2135"/>
      <c r="AT1519" s="2135"/>
      <c r="AU1519" s="1212">
        <v>0.33333333333333331</v>
      </c>
      <c r="AV1519" s="1212">
        <v>0.33333333333333331</v>
      </c>
      <c r="AW1519" s="1212">
        <v>0.33333333333333331</v>
      </c>
      <c r="AX1519" s="1212"/>
      <c r="AY1519" s="1212"/>
      <c r="AZ1519" s="1212"/>
      <c r="BA1519" s="1212"/>
      <c r="BB1519" s="1212"/>
      <c r="BC1519" s="1212"/>
      <c r="BD1519" s="1212"/>
      <c r="BE1519" s="1212"/>
      <c r="BF1519" s="2126">
        <v>0</v>
      </c>
      <c r="BG1519" s="2126">
        <v>0</v>
      </c>
      <c r="BH1519" s="2126">
        <v>0</v>
      </c>
      <c r="BI1519" s="2126">
        <v>0</v>
      </c>
      <c r="BJ1519" s="2126">
        <v>0</v>
      </c>
      <c r="BK1519" s="2126">
        <v>0</v>
      </c>
      <c r="BL1519" s="2126">
        <v>0</v>
      </c>
      <c r="BM1519" s="2126">
        <v>0</v>
      </c>
      <c r="BN1519" s="2126">
        <v>0</v>
      </c>
      <c r="BO1519" s="2126">
        <v>0</v>
      </c>
      <c r="BP1519" s="2126">
        <v>0</v>
      </c>
      <c r="BQ1519" s="2126">
        <v>0</v>
      </c>
      <c r="BR1519" s="2126">
        <v>0</v>
      </c>
    </row>
    <row r="1520" spans="1:70" s="1765" customFormat="1" ht="49.5">
      <c r="A1520" s="1272">
        <v>7000</v>
      </c>
      <c r="B1520" s="971" t="s">
        <v>2420</v>
      </c>
      <c r="C1520" s="1272">
        <v>7200</v>
      </c>
      <c r="D1520" s="971" t="s">
        <v>119</v>
      </c>
      <c r="E1520" s="971">
        <v>7230</v>
      </c>
      <c r="F1520" s="971" t="s">
        <v>2430</v>
      </c>
      <c r="G1520" s="971">
        <v>7235</v>
      </c>
      <c r="H1520" s="971" t="s">
        <v>2459</v>
      </c>
      <c r="I1520" s="1273" t="s">
        <v>590</v>
      </c>
      <c r="J1520" s="971" t="s">
        <v>124</v>
      </c>
      <c r="K1520" s="971" t="s">
        <v>784</v>
      </c>
      <c r="L1520" s="971" t="s">
        <v>2852</v>
      </c>
      <c r="M1520" s="971" t="s">
        <v>517</v>
      </c>
      <c r="N1520" s="971" t="s">
        <v>127</v>
      </c>
      <c r="O1520" s="971" t="s">
        <v>518</v>
      </c>
      <c r="P1520" s="971"/>
      <c r="Q1520" s="971" t="s">
        <v>2467</v>
      </c>
      <c r="R1520" s="1266" t="s">
        <v>2485</v>
      </c>
      <c r="S1520" s="2106">
        <v>0</v>
      </c>
      <c r="T1520" s="1266" t="s">
        <v>136</v>
      </c>
      <c r="U1520" s="1742">
        <v>0.22416666666666665</v>
      </c>
      <c r="V1520" s="1742">
        <v>2.8020833333333335</v>
      </c>
      <c r="W1520" s="1742">
        <v>19.758049999999997</v>
      </c>
      <c r="X1520" s="1742">
        <v>30.905858333333335</v>
      </c>
      <c r="Y1520" s="2106">
        <v>53.46599166666666</v>
      </c>
      <c r="Z1520" s="2106">
        <v>0</v>
      </c>
      <c r="AA1520" s="2106">
        <v>0</v>
      </c>
      <c r="AB1520" s="2106">
        <v>0</v>
      </c>
      <c r="AC1520" s="2106">
        <v>0</v>
      </c>
      <c r="AD1520" s="1744">
        <v>0</v>
      </c>
      <c r="AE1520" s="2126">
        <v>1</v>
      </c>
      <c r="AF1520" s="2126">
        <v>0</v>
      </c>
      <c r="AG1520" s="1212">
        <v>1</v>
      </c>
      <c r="AH1520" s="1212">
        <v>0</v>
      </c>
      <c r="AI1520" s="1212">
        <v>0</v>
      </c>
      <c r="AJ1520" s="1212">
        <v>1</v>
      </c>
      <c r="AK1520" s="2126">
        <v>0</v>
      </c>
      <c r="AL1520" s="2126">
        <v>0</v>
      </c>
      <c r="AM1520" s="2126">
        <v>0</v>
      </c>
      <c r="AN1520" s="2126">
        <v>0</v>
      </c>
      <c r="AO1520" s="1743" t="s">
        <v>85</v>
      </c>
      <c r="AP1520" s="1743" t="s">
        <v>96</v>
      </c>
      <c r="AQ1520" s="1764" t="s">
        <v>107</v>
      </c>
      <c r="AR1520" s="1743" t="s">
        <v>87</v>
      </c>
      <c r="AS1520" s="2135"/>
      <c r="AT1520" s="2135"/>
      <c r="AU1520" s="1212">
        <v>0.33333333333333331</v>
      </c>
      <c r="AV1520" s="1212">
        <v>0.33333333333333331</v>
      </c>
      <c r="AW1520" s="1212">
        <v>0.33333333333333331</v>
      </c>
      <c r="AX1520" s="1212"/>
      <c r="AY1520" s="1212"/>
      <c r="AZ1520" s="1212"/>
      <c r="BA1520" s="1212"/>
      <c r="BB1520" s="1212"/>
      <c r="BC1520" s="1212"/>
      <c r="BD1520" s="1212"/>
      <c r="BE1520" s="1212"/>
      <c r="BF1520" s="2126">
        <v>0</v>
      </c>
      <c r="BG1520" s="2126">
        <v>0</v>
      </c>
      <c r="BH1520" s="2126">
        <v>0</v>
      </c>
      <c r="BI1520" s="2126">
        <v>0</v>
      </c>
      <c r="BJ1520" s="2126">
        <v>0</v>
      </c>
      <c r="BK1520" s="2126">
        <v>0</v>
      </c>
      <c r="BL1520" s="2126">
        <v>0</v>
      </c>
      <c r="BM1520" s="2126">
        <v>0</v>
      </c>
      <c r="BN1520" s="2126">
        <v>0</v>
      </c>
      <c r="BO1520" s="2126">
        <v>0</v>
      </c>
      <c r="BP1520" s="2126">
        <v>0</v>
      </c>
      <c r="BQ1520" s="2126">
        <v>0</v>
      </c>
      <c r="BR1520" s="2126">
        <v>0</v>
      </c>
    </row>
    <row r="1521" spans="1:70" s="1765" customFormat="1" ht="49.5">
      <c r="A1521" s="1272">
        <v>7000</v>
      </c>
      <c r="B1521" s="971" t="s">
        <v>2420</v>
      </c>
      <c r="C1521" s="1272">
        <v>7200</v>
      </c>
      <c r="D1521" s="971" t="s">
        <v>119</v>
      </c>
      <c r="E1521" s="971">
        <v>7230</v>
      </c>
      <c r="F1521" s="971" t="s">
        <v>2430</v>
      </c>
      <c r="G1521" s="971">
        <v>7235</v>
      </c>
      <c r="H1521" s="971" t="s">
        <v>2459</v>
      </c>
      <c r="I1521" s="1273" t="s">
        <v>590</v>
      </c>
      <c r="J1521" s="971" t="s">
        <v>124</v>
      </c>
      <c r="K1521" s="971" t="s">
        <v>523</v>
      </c>
      <c r="L1521" s="971" t="s">
        <v>6607</v>
      </c>
      <c r="M1521" s="971" t="s">
        <v>523</v>
      </c>
      <c r="N1521" s="971" t="s">
        <v>141</v>
      </c>
      <c r="O1521" s="971" t="s">
        <v>524</v>
      </c>
      <c r="P1521" s="971"/>
      <c r="Q1521" s="971" t="s">
        <v>2472</v>
      </c>
      <c r="R1521" s="1266" t="s">
        <v>2485</v>
      </c>
      <c r="S1521" s="2106">
        <v>0</v>
      </c>
      <c r="T1521" s="1266" t="s">
        <v>136</v>
      </c>
      <c r="U1521" s="1742">
        <v>0.14520631503408685</v>
      </c>
      <c r="V1521" s="1742">
        <v>1.8150789379260854</v>
      </c>
      <c r="W1521" s="1742">
        <v>12.798484607104415</v>
      </c>
      <c r="X1521" s="1742">
        <v>20.019594653749554</v>
      </c>
      <c r="Y1521" s="2106">
        <v>34.633158198780052</v>
      </c>
      <c r="Z1521" s="2106">
        <v>0</v>
      </c>
      <c r="AA1521" s="2106">
        <v>0</v>
      </c>
      <c r="AB1521" s="2106">
        <v>0</v>
      </c>
      <c r="AC1521" s="2106">
        <v>0</v>
      </c>
      <c r="AD1521" s="1744">
        <v>0</v>
      </c>
      <c r="AE1521" s="2126">
        <v>0.75</v>
      </c>
      <c r="AF1521" s="2126">
        <v>0</v>
      </c>
      <c r="AG1521" s="1212">
        <v>1</v>
      </c>
      <c r="AH1521" s="1212">
        <v>0</v>
      </c>
      <c r="AI1521" s="1212">
        <v>0</v>
      </c>
      <c r="AJ1521" s="1212">
        <v>1</v>
      </c>
      <c r="AK1521" s="2126">
        <v>0</v>
      </c>
      <c r="AL1521" s="2126">
        <v>0</v>
      </c>
      <c r="AM1521" s="2126">
        <v>0</v>
      </c>
      <c r="AN1521" s="2126">
        <v>0</v>
      </c>
      <c r="AO1521" s="1743" t="s">
        <v>85</v>
      </c>
      <c r="AP1521" s="1743" t="s">
        <v>96</v>
      </c>
      <c r="AQ1521" s="1764" t="s">
        <v>107</v>
      </c>
      <c r="AR1521" s="1743" t="s">
        <v>87</v>
      </c>
      <c r="AS1521" s="2135"/>
      <c r="AT1521" s="2135"/>
      <c r="AU1521" s="1212">
        <v>0.33333333333333331</v>
      </c>
      <c r="AV1521" s="1212">
        <v>0.33333333333333331</v>
      </c>
      <c r="AW1521" s="1212">
        <v>0.33333333333333331</v>
      </c>
      <c r="AX1521" s="1212"/>
      <c r="AY1521" s="1212"/>
      <c r="AZ1521" s="1212"/>
      <c r="BA1521" s="1212"/>
      <c r="BB1521" s="1212"/>
      <c r="BC1521" s="1212"/>
      <c r="BD1521" s="1212"/>
      <c r="BE1521" s="1212"/>
      <c r="BF1521" s="2126">
        <v>0</v>
      </c>
      <c r="BG1521" s="2126">
        <v>0</v>
      </c>
      <c r="BH1521" s="2126">
        <v>0</v>
      </c>
      <c r="BI1521" s="2126">
        <v>0</v>
      </c>
      <c r="BJ1521" s="2126">
        <v>0</v>
      </c>
      <c r="BK1521" s="2126">
        <v>0</v>
      </c>
      <c r="BL1521" s="2126">
        <v>0</v>
      </c>
      <c r="BM1521" s="2126">
        <v>0</v>
      </c>
      <c r="BN1521" s="2126">
        <v>0</v>
      </c>
      <c r="BO1521" s="2126">
        <v>0</v>
      </c>
      <c r="BP1521" s="2126">
        <v>0</v>
      </c>
      <c r="BQ1521" s="2126">
        <v>0</v>
      </c>
      <c r="BR1521" s="2126">
        <v>0</v>
      </c>
    </row>
    <row r="1522" spans="1:70" s="1765" customFormat="1" ht="33">
      <c r="A1522" s="1272">
        <v>7000</v>
      </c>
      <c r="B1522" s="971" t="s">
        <v>2420</v>
      </c>
      <c r="C1522" s="1272">
        <v>7200</v>
      </c>
      <c r="D1522" s="971" t="s">
        <v>119</v>
      </c>
      <c r="E1522" s="971">
        <v>7230</v>
      </c>
      <c r="F1522" s="971" t="s">
        <v>2430</v>
      </c>
      <c r="G1522" s="971">
        <v>7235</v>
      </c>
      <c r="H1522" s="971" t="s">
        <v>2459</v>
      </c>
      <c r="I1522" s="1273" t="s">
        <v>590</v>
      </c>
      <c r="J1522" s="971" t="s">
        <v>124</v>
      </c>
      <c r="K1522" s="971" t="s">
        <v>140</v>
      </c>
      <c r="L1522" s="971" t="s">
        <v>2909</v>
      </c>
      <c r="M1522" s="971" t="s">
        <v>140</v>
      </c>
      <c r="N1522" s="971" t="s">
        <v>141</v>
      </c>
      <c r="O1522" s="971" t="s">
        <v>142</v>
      </c>
      <c r="P1522" s="971"/>
      <c r="Q1522" s="971" t="s">
        <v>2484</v>
      </c>
      <c r="R1522" s="1266" t="s">
        <v>2485</v>
      </c>
      <c r="S1522" s="2106">
        <v>0</v>
      </c>
      <c r="T1522" s="1266" t="s">
        <v>136</v>
      </c>
      <c r="U1522" s="1742">
        <v>0</v>
      </c>
      <c r="V1522" s="1742">
        <v>0</v>
      </c>
      <c r="W1522" s="1742">
        <v>0</v>
      </c>
      <c r="X1522" s="1742">
        <v>0</v>
      </c>
      <c r="Y1522" s="2106">
        <v>0</v>
      </c>
      <c r="Z1522" s="2106">
        <v>0</v>
      </c>
      <c r="AA1522" s="2106">
        <v>0</v>
      </c>
      <c r="AB1522" s="2106">
        <v>0</v>
      </c>
      <c r="AC1522" s="2106">
        <v>0</v>
      </c>
      <c r="AD1522" s="1744">
        <v>0</v>
      </c>
      <c r="AE1522" s="2126">
        <v>0</v>
      </c>
      <c r="AF1522" s="2126">
        <v>0</v>
      </c>
      <c r="AG1522" s="1212">
        <v>1</v>
      </c>
      <c r="AH1522" s="1212">
        <v>0</v>
      </c>
      <c r="AI1522" s="1212">
        <v>0</v>
      </c>
      <c r="AJ1522" s="1212">
        <v>1</v>
      </c>
      <c r="AK1522" s="2126">
        <v>0</v>
      </c>
      <c r="AL1522" s="2126">
        <v>0</v>
      </c>
      <c r="AM1522" s="2126">
        <v>0</v>
      </c>
      <c r="AN1522" s="2126">
        <v>0</v>
      </c>
      <c r="AO1522" s="1743" t="s">
        <v>85</v>
      </c>
      <c r="AP1522" s="1743" t="s">
        <v>96</v>
      </c>
      <c r="AQ1522" s="1764" t="s">
        <v>107</v>
      </c>
      <c r="AR1522" s="1743" t="s">
        <v>87</v>
      </c>
      <c r="AS1522" s="2135"/>
      <c r="AT1522" s="2135"/>
      <c r="AU1522" s="1212">
        <v>0.33333333333333331</v>
      </c>
      <c r="AV1522" s="1212">
        <v>0.33333333333333331</v>
      </c>
      <c r="AW1522" s="1212">
        <v>0.33333333333333331</v>
      </c>
      <c r="AX1522" s="1212"/>
      <c r="AY1522" s="1212"/>
      <c r="AZ1522" s="1212"/>
      <c r="BA1522" s="1212"/>
      <c r="BB1522" s="1212"/>
      <c r="BC1522" s="1212"/>
      <c r="BD1522" s="1212"/>
      <c r="BE1522" s="1212"/>
      <c r="BF1522" s="2126">
        <v>0</v>
      </c>
      <c r="BG1522" s="2126">
        <v>0</v>
      </c>
      <c r="BH1522" s="2126">
        <v>0</v>
      </c>
      <c r="BI1522" s="2126">
        <v>0</v>
      </c>
      <c r="BJ1522" s="2126">
        <v>0</v>
      </c>
      <c r="BK1522" s="2126">
        <v>0</v>
      </c>
      <c r="BL1522" s="2126">
        <v>0</v>
      </c>
      <c r="BM1522" s="2126">
        <v>0</v>
      </c>
      <c r="BN1522" s="2126">
        <v>0</v>
      </c>
      <c r="BO1522" s="2126">
        <v>0</v>
      </c>
      <c r="BP1522" s="2126">
        <v>0</v>
      </c>
      <c r="BQ1522" s="2126">
        <v>0</v>
      </c>
      <c r="BR1522" s="2126">
        <v>0</v>
      </c>
    </row>
    <row r="1523" spans="1:70" s="1765" customFormat="1" ht="49.5">
      <c r="A1523" s="1272">
        <v>7000</v>
      </c>
      <c r="B1523" s="971" t="s">
        <v>2420</v>
      </c>
      <c r="C1523" s="1272">
        <v>7200</v>
      </c>
      <c r="D1523" s="971" t="s">
        <v>119</v>
      </c>
      <c r="E1523" s="971">
        <v>7230</v>
      </c>
      <c r="F1523" s="971" t="s">
        <v>2430</v>
      </c>
      <c r="G1523" s="971">
        <v>7232</v>
      </c>
      <c r="H1523" s="971" t="s">
        <v>2486</v>
      </c>
      <c r="I1523" s="1273" t="s">
        <v>2487</v>
      </c>
      <c r="J1523" s="971" t="s">
        <v>177</v>
      </c>
      <c r="K1523" s="971" t="s">
        <v>530</v>
      </c>
      <c r="L1523" s="971" t="s">
        <v>531</v>
      </c>
      <c r="M1523" s="971" t="s">
        <v>530</v>
      </c>
      <c r="N1523" s="971" t="s">
        <v>179</v>
      </c>
      <c r="O1523" s="971" t="s">
        <v>531</v>
      </c>
      <c r="P1523" s="971"/>
      <c r="Q1523" s="971" t="s">
        <v>2488</v>
      </c>
      <c r="R1523" s="1266" t="s">
        <v>2489</v>
      </c>
      <c r="S1523" s="2106">
        <v>1</v>
      </c>
      <c r="T1523" s="1266" t="s">
        <v>242</v>
      </c>
      <c r="U1523" s="1742">
        <v>31</v>
      </c>
      <c r="V1523" s="1742">
        <v>325</v>
      </c>
      <c r="W1523" s="1742">
        <v>2732.34</v>
      </c>
      <c r="X1523" s="1742">
        <v>3584.62</v>
      </c>
      <c r="Y1523" s="2106">
        <v>6641.9599999999991</v>
      </c>
      <c r="Z1523" s="2106">
        <v>31</v>
      </c>
      <c r="AA1523" s="2106">
        <v>325</v>
      </c>
      <c r="AB1523" s="2106">
        <v>2732.34</v>
      </c>
      <c r="AC1523" s="2106">
        <v>3584.62</v>
      </c>
      <c r="AD1523" s="1744">
        <v>6641.96</v>
      </c>
      <c r="AE1523" s="2126">
        <v>2</v>
      </c>
      <c r="AF1523" s="2126">
        <v>2</v>
      </c>
      <c r="AG1523" s="1212">
        <v>1</v>
      </c>
      <c r="AH1523" s="1212">
        <v>0</v>
      </c>
      <c r="AI1523" s="1212">
        <v>0</v>
      </c>
      <c r="AJ1523" s="1212">
        <v>1</v>
      </c>
      <c r="AK1523" s="2126">
        <v>6641.96</v>
      </c>
      <c r="AL1523" s="2126">
        <v>0</v>
      </c>
      <c r="AM1523" s="2126">
        <v>0</v>
      </c>
      <c r="AN1523" s="2126">
        <v>6641.96</v>
      </c>
      <c r="AO1523" s="1743" t="s">
        <v>131</v>
      </c>
      <c r="AP1523" s="1743"/>
      <c r="AQ1523" s="1764">
        <v>2014</v>
      </c>
      <c r="AR1523" s="1743" t="s">
        <v>87</v>
      </c>
      <c r="AS1523" s="2135"/>
      <c r="AT1523" s="2135"/>
      <c r="AU1523" s="1212">
        <v>0.5</v>
      </c>
      <c r="AV1523" s="1212">
        <v>0.5</v>
      </c>
      <c r="AW1523" s="1212"/>
      <c r="AX1523" s="1212"/>
      <c r="AY1523" s="1212"/>
      <c r="AZ1523" s="1212"/>
      <c r="BA1523" s="1212"/>
      <c r="BB1523" s="1212"/>
      <c r="BC1523" s="1212"/>
      <c r="BD1523" s="1212"/>
      <c r="BE1523" s="1212"/>
      <c r="BF1523" s="2126">
        <v>0</v>
      </c>
      <c r="BG1523" s="2126">
        <v>0</v>
      </c>
      <c r="BH1523" s="2126">
        <v>3320.98</v>
      </c>
      <c r="BI1523" s="2126">
        <v>3320.98</v>
      </c>
      <c r="BJ1523" s="2126">
        <v>0</v>
      </c>
      <c r="BK1523" s="2126">
        <v>0</v>
      </c>
      <c r="BL1523" s="2126">
        <v>0</v>
      </c>
      <c r="BM1523" s="2126">
        <v>0</v>
      </c>
      <c r="BN1523" s="2126">
        <v>0</v>
      </c>
      <c r="BO1523" s="2126">
        <v>0</v>
      </c>
      <c r="BP1523" s="2126">
        <v>0</v>
      </c>
      <c r="BQ1523" s="2126">
        <v>0</v>
      </c>
      <c r="BR1523" s="2126">
        <v>0</v>
      </c>
    </row>
    <row r="1524" spans="1:70" s="1765" customFormat="1" ht="49.5">
      <c r="A1524" s="1272">
        <v>7000</v>
      </c>
      <c r="B1524" s="971" t="s">
        <v>2420</v>
      </c>
      <c r="C1524" s="1272">
        <v>7200</v>
      </c>
      <c r="D1524" s="971" t="s">
        <v>119</v>
      </c>
      <c r="E1524" s="971">
        <v>7230</v>
      </c>
      <c r="F1524" s="971" t="s">
        <v>2430</v>
      </c>
      <c r="G1524" s="971">
        <v>7232</v>
      </c>
      <c r="H1524" s="971" t="s">
        <v>2486</v>
      </c>
      <c r="I1524" s="1273" t="s">
        <v>2490</v>
      </c>
      <c r="J1524" s="971" t="s">
        <v>124</v>
      </c>
      <c r="K1524" s="971" t="s">
        <v>2857</v>
      </c>
      <c r="L1524" s="971" t="s">
        <v>2858</v>
      </c>
      <c r="M1524" s="971" t="s">
        <v>487</v>
      </c>
      <c r="N1524" s="971" t="s">
        <v>488</v>
      </c>
      <c r="O1524" s="971" t="s">
        <v>215</v>
      </c>
      <c r="P1524" s="971"/>
      <c r="Q1524" s="971" t="s">
        <v>2491</v>
      </c>
      <c r="R1524" s="1266" t="s">
        <v>2492</v>
      </c>
      <c r="S1524" s="2106">
        <v>35.687732342007436</v>
      </c>
      <c r="T1524" s="1266" t="s">
        <v>136</v>
      </c>
      <c r="U1524" s="1742">
        <v>0.56041666666666667</v>
      </c>
      <c r="V1524" s="1742">
        <v>2.8020833333333335</v>
      </c>
      <c r="W1524" s="1742">
        <v>49.395125</v>
      </c>
      <c r="X1524" s="1742">
        <v>77.264645833333333</v>
      </c>
      <c r="Y1524" s="2106">
        <v>129.46185416666665</v>
      </c>
      <c r="Z1524" s="2106">
        <v>20</v>
      </c>
      <c r="AA1524" s="2106">
        <v>100.00000000000001</v>
      </c>
      <c r="AB1524" s="2106">
        <v>1762.8</v>
      </c>
      <c r="AC1524" s="2106">
        <v>2757.4</v>
      </c>
      <c r="AD1524" s="1744">
        <v>4620.2</v>
      </c>
      <c r="AE1524" s="2126">
        <v>1</v>
      </c>
      <c r="AF1524" s="2126">
        <v>35.687732342007436</v>
      </c>
      <c r="AG1524" s="1212">
        <v>1</v>
      </c>
      <c r="AH1524" s="1212">
        <v>0</v>
      </c>
      <c r="AI1524" s="1212">
        <v>0</v>
      </c>
      <c r="AJ1524" s="1212">
        <v>1</v>
      </c>
      <c r="AK1524" s="2126">
        <v>4620.2</v>
      </c>
      <c r="AL1524" s="2126">
        <v>0</v>
      </c>
      <c r="AM1524" s="2126">
        <v>0</v>
      </c>
      <c r="AN1524" s="2126">
        <v>4620.2</v>
      </c>
      <c r="AO1524" s="1743" t="s">
        <v>131</v>
      </c>
      <c r="AP1524" s="1743"/>
      <c r="AQ1524" s="1764">
        <v>2014</v>
      </c>
      <c r="AR1524" s="1743" t="s">
        <v>87</v>
      </c>
      <c r="AS1524" s="2135"/>
      <c r="AT1524" s="2135"/>
      <c r="AU1524" s="1212">
        <v>0.33333333333333331</v>
      </c>
      <c r="AV1524" s="1212">
        <v>0.33333333333333331</v>
      </c>
      <c r="AW1524" s="1212">
        <v>0.33333333333333331</v>
      </c>
      <c r="AX1524" s="1212"/>
      <c r="AY1524" s="1212"/>
      <c r="AZ1524" s="1212"/>
      <c r="BA1524" s="1212"/>
      <c r="BB1524" s="1212"/>
      <c r="BC1524" s="1212"/>
      <c r="BD1524" s="1212"/>
      <c r="BE1524" s="1212"/>
      <c r="BF1524" s="2126">
        <v>0</v>
      </c>
      <c r="BG1524" s="2126">
        <v>0</v>
      </c>
      <c r="BH1524" s="2126">
        <v>1540.0666666666666</v>
      </c>
      <c r="BI1524" s="2126">
        <v>1540.0666666666666</v>
      </c>
      <c r="BJ1524" s="2126">
        <v>1540.0666666666666</v>
      </c>
      <c r="BK1524" s="2126">
        <v>0</v>
      </c>
      <c r="BL1524" s="2126">
        <v>0</v>
      </c>
      <c r="BM1524" s="2126">
        <v>0</v>
      </c>
      <c r="BN1524" s="2126">
        <v>0</v>
      </c>
      <c r="BO1524" s="2126">
        <v>0</v>
      </c>
      <c r="BP1524" s="2126">
        <v>0</v>
      </c>
      <c r="BQ1524" s="2126">
        <v>0</v>
      </c>
      <c r="BR1524" s="2126">
        <v>0</v>
      </c>
    </row>
    <row r="1525" spans="1:70" s="1765" customFormat="1" ht="49.5">
      <c r="A1525" s="1272">
        <v>7000</v>
      </c>
      <c r="B1525" s="971" t="s">
        <v>2420</v>
      </c>
      <c r="C1525" s="1272">
        <v>7200</v>
      </c>
      <c r="D1525" s="971" t="s">
        <v>119</v>
      </c>
      <c r="E1525" s="971">
        <v>7230</v>
      </c>
      <c r="F1525" s="971" t="s">
        <v>2430</v>
      </c>
      <c r="G1525" s="971">
        <v>7232</v>
      </c>
      <c r="H1525" s="971" t="s">
        <v>2486</v>
      </c>
      <c r="I1525" s="1273" t="s">
        <v>2493</v>
      </c>
      <c r="J1525" s="971" t="s">
        <v>124</v>
      </c>
      <c r="K1525" s="971" t="s">
        <v>2857</v>
      </c>
      <c r="L1525" s="971" t="s">
        <v>2858</v>
      </c>
      <c r="M1525" s="971" t="s">
        <v>487</v>
      </c>
      <c r="N1525" s="971" t="s">
        <v>488</v>
      </c>
      <c r="O1525" s="971" t="s">
        <v>215</v>
      </c>
      <c r="P1525" s="971"/>
      <c r="Q1525" s="971" t="s">
        <v>2494</v>
      </c>
      <c r="R1525" s="1266" t="s">
        <v>2495</v>
      </c>
      <c r="S1525" s="2106">
        <v>35.687732342007436</v>
      </c>
      <c r="T1525" s="1266" t="s">
        <v>136</v>
      </c>
      <c r="U1525" s="1742">
        <v>0.56041666666666667</v>
      </c>
      <c r="V1525" s="1742">
        <v>2.8020833333333335</v>
      </c>
      <c r="W1525" s="1742">
        <v>49.395125</v>
      </c>
      <c r="X1525" s="1742">
        <v>77.264645833333333</v>
      </c>
      <c r="Y1525" s="2106">
        <v>129.46185416666665</v>
      </c>
      <c r="Z1525" s="2106">
        <v>20</v>
      </c>
      <c r="AA1525" s="2106">
        <v>100.00000000000001</v>
      </c>
      <c r="AB1525" s="2106">
        <v>1762.8</v>
      </c>
      <c r="AC1525" s="2106">
        <v>2757.4</v>
      </c>
      <c r="AD1525" s="1744">
        <v>4620.2</v>
      </c>
      <c r="AE1525" s="2126">
        <v>1</v>
      </c>
      <c r="AF1525" s="2126">
        <v>35.687732342007436</v>
      </c>
      <c r="AG1525" s="1212">
        <v>1</v>
      </c>
      <c r="AH1525" s="1212">
        <v>0</v>
      </c>
      <c r="AI1525" s="1212">
        <v>0</v>
      </c>
      <c r="AJ1525" s="1212">
        <v>1</v>
      </c>
      <c r="AK1525" s="2126">
        <v>4620.2</v>
      </c>
      <c r="AL1525" s="2126">
        <v>0</v>
      </c>
      <c r="AM1525" s="2126">
        <v>0</v>
      </c>
      <c r="AN1525" s="2126">
        <v>4620.2</v>
      </c>
      <c r="AO1525" s="1743" t="s">
        <v>131</v>
      </c>
      <c r="AP1525" s="1743"/>
      <c r="AQ1525" s="1764">
        <v>2014</v>
      </c>
      <c r="AR1525" s="1743" t="s">
        <v>87</v>
      </c>
      <c r="AS1525" s="2135"/>
      <c r="AT1525" s="2135"/>
      <c r="AU1525" s="1212">
        <v>0.33333333333333331</v>
      </c>
      <c r="AV1525" s="1212">
        <v>0.33333333333333331</v>
      </c>
      <c r="AW1525" s="1212">
        <v>0.33333333333333331</v>
      </c>
      <c r="AX1525" s="1212"/>
      <c r="AY1525" s="1212"/>
      <c r="AZ1525" s="1212"/>
      <c r="BA1525" s="1212"/>
      <c r="BB1525" s="1212"/>
      <c r="BC1525" s="1212"/>
      <c r="BD1525" s="1212"/>
      <c r="BE1525" s="1212"/>
      <c r="BF1525" s="2126">
        <v>0</v>
      </c>
      <c r="BG1525" s="2126">
        <v>0</v>
      </c>
      <c r="BH1525" s="2126">
        <v>1540.0666666666666</v>
      </c>
      <c r="BI1525" s="2126">
        <v>1540.0666666666666</v>
      </c>
      <c r="BJ1525" s="2126">
        <v>1540.0666666666666</v>
      </c>
      <c r="BK1525" s="2126">
        <v>0</v>
      </c>
      <c r="BL1525" s="2126">
        <v>0</v>
      </c>
      <c r="BM1525" s="2126">
        <v>0</v>
      </c>
      <c r="BN1525" s="2126">
        <v>0</v>
      </c>
      <c r="BO1525" s="2126">
        <v>0</v>
      </c>
      <c r="BP1525" s="2126">
        <v>0</v>
      </c>
      <c r="BQ1525" s="2126">
        <v>0</v>
      </c>
      <c r="BR1525" s="2126">
        <v>0</v>
      </c>
    </row>
    <row r="1526" spans="1:70" s="1765" customFormat="1" ht="66">
      <c r="A1526" s="1272">
        <v>7000</v>
      </c>
      <c r="B1526" s="971" t="s">
        <v>2420</v>
      </c>
      <c r="C1526" s="1272">
        <v>7200</v>
      </c>
      <c r="D1526" s="971" t="s">
        <v>119</v>
      </c>
      <c r="E1526" s="971">
        <v>7230</v>
      </c>
      <c r="F1526" s="971" t="s">
        <v>2430</v>
      </c>
      <c r="G1526" s="971">
        <v>7232</v>
      </c>
      <c r="H1526" s="971" t="s">
        <v>2486</v>
      </c>
      <c r="I1526" s="1273" t="s">
        <v>2496</v>
      </c>
      <c r="J1526" s="971" t="s">
        <v>177</v>
      </c>
      <c r="K1526" s="971" t="s">
        <v>196</v>
      </c>
      <c r="L1526" s="971" t="s">
        <v>197</v>
      </c>
      <c r="M1526" s="971" t="s">
        <v>196</v>
      </c>
      <c r="N1526" s="971" t="s">
        <v>179</v>
      </c>
      <c r="O1526" s="971" t="s">
        <v>197</v>
      </c>
      <c r="P1526" s="971"/>
      <c r="Q1526" s="971" t="s">
        <v>2497</v>
      </c>
      <c r="R1526" s="1266" t="s">
        <v>2498</v>
      </c>
      <c r="S1526" s="2106">
        <v>1</v>
      </c>
      <c r="T1526" s="1266" t="s">
        <v>242</v>
      </c>
      <c r="U1526" s="1742">
        <v>9.6666666666666661</v>
      </c>
      <c r="V1526" s="1742">
        <v>89.583333333333329</v>
      </c>
      <c r="W1526" s="1742">
        <v>852.02</v>
      </c>
      <c r="X1526" s="1742">
        <v>988.06833333333327</v>
      </c>
      <c r="Y1526" s="2106">
        <v>1929.6716666666666</v>
      </c>
      <c r="Z1526" s="2106">
        <v>9.6666666666666661</v>
      </c>
      <c r="AA1526" s="2106">
        <v>89.583333333333329</v>
      </c>
      <c r="AB1526" s="2106">
        <v>852.02</v>
      </c>
      <c r="AC1526" s="2106">
        <v>988.06833333333327</v>
      </c>
      <c r="AD1526" s="1744">
        <v>1929.6716666666666</v>
      </c>
      <c r="AE1526" s="2126">
        <v>1</v>
      </c>
      <c r="AF1526" s="2126">
        <v>1</v>
      </c>
      <c r="AG1526" s="1212">
        <v>1</v>
      </c>
      <c r="AH1526" s="1212">
        <v>0</v>
      </c>
      <c r="AI1526" s="1212">
        <v>0</v>
      </c>
      <c r="AJ1526" s="1212">
        <v>1</v>
      </c>
      <c r="AK1526" s="2126">
        <v>1929.6716666666666</v>
      </c>
      <c r="AL1526" s="2126">
        <v>0</v>
      </c>
      <c r="AM1526" s="2126">
        <v>0</v>
      </c>
      <c r="AN1526" s="2126">
        <v>1929.6716666666666</v>
      </c>
      <c r="AO1526" s="1743" t="s">
        <v>131</v>
      </c>
      <c r="AP1526" s="1743"/>
      <c r="AQ1526" s="1764">
        <v>2014</v>
      </c>
      <c r="AR1526" s="1743" t="s">
        <v>87</v>
      </c>
      <c r="AS1526" s="2135"/>
      <c r="AT1526" s="2135"/>
      <c r="AU1526" s="1212">
        <v>0.33333333333333331</v>
      </c>
      <c r="AV1526" s="1212">
        <v>0.33333333333333331</v>
      </c>
      <c r="AW1526" s="1212">
        <v>0.33333333333333331</v>
      </c>
      <c r="AX1526" s="1212"/>
      <c r="AY1526" s="1212"/>
      <c r="AZ1526" s="1212"/>
      <c r="BA1526" s="1212"/>
      <c r="BB1526" s="1212"/>
      <c r="BC1526" s="1212"/>
      <c r="BD1526" s="1212"/>
      <c r="BE1526" s="1212"/>
      <c r="BF1526" s="2126">
        <v>0</v>
      </c>
      <c r="BG1526" s="2126">
        <v>0</v>
      </c>
      <c r="BH1526" s="2126">
        <v>643.22388888888884</v>
      </c>
      <c r="BI1526" s="2126">
        <v>643.22388888888884</v>
      </c>
      <c r="BJ1526" s="2126">
        <v>643.22388888888884</v>
      </c>
      <c r="BK1526" s="2126">
        <v>0</v>
      </c>
      <c r="BL1526" s="2126">
        <v>0</v>
      </c>
      <c r="BM1526" s="2126">
        <v>0</v>
      </c>
      <c r="BN1526" s="2126">
        <v>0</v>
      </c>
      <c r="BO1526" s="2126">
        <v>0</v>
      </c>
      <c r="BP1526" s="2126">
        <v>0</v>
      </c>
      <c r="BQ1526" s="2126">
        <v>0</v>
      </c>
      <c r="BR1526" s="2126">
        <v>0</v>
      </c>
    </row>
    <row r="1527" spans="1:70" s="1765" customFormat="1" ht="66">
      <c r="A1527" s="1272">
        <v>7000</v>
      </c>
      <c r="B1527" s="971" t="s">
        <v>2420</v>
      </c>
      <c r="C1527" s="1272">
        <v>7200</v>
      </c>
      <c r="D1527" s="971" t="s">
        <v>119</v>
      </c>
      <c r="E1527" s="971">
        <v>7230</v>
      </c>
      <c r="F1527" s="971" t="s">
        <v>2430</v>
      </c>
      <c r="G1527" s="971">
        <v>7232</v>
      </c>
      <c r="H1527" s="971" t="s">
        <v>2486</v>
      </c>
      <c r="I1527" s="1273" t="s">
        <v>2499</v>
      </c>
      <c r="J1527" s="971" t="s">
        <v>177</v>
      </c>
      <c r="K1527" s="971" t="s">
        <v>530</v>
      </c>
      <c r="L1527" s="971" t="s">
        <v>531</v>
      </c>
      <c r="M1527" s="971" t="s">
        <v>530</v>
      </c>
      <c r="N1527" s="971" t="s">
        <v>179</v>
      </c>
      <c r="O1527" s="971" t="s">
        <v>531</v>
      </c>
      <c r="P1527" s="971"/>
      <c r="Q1527" s="971" t="s">
        <v>2500</v>
      </c>
      <c r="R1527" s="1266" t="s">
        <v>2501</v>
      </c>
      <c r="S1527" s="2106">
        <v>1</v>
      </c>
      <c r="T1527" s="1266" t="s">
        <v>242</v>
      </c>
      <c r="U1527" s="1742">
        <v>31</v>
      </c>
      <c r="V1527" s="1742">
        <v>325</v>
      </c>
      <c r="W1527" s="1742">
        <v>2732.34</v>
      </c>
      <c r="X1527" s="1742">
        <v>3584.62</v>
      </c>
      <c r="Y1527" s="2106">
        <v>6641.9599999999991</v>
      </c>
      <c r="Z1527" s="2106">
        <v>31</v>
      </c>
      <c r="AA1527" s="2106">
        <v>325</v>
      </c>
      <c r="AB1527" s="2106">
        <v>2732.34</v>
      </c>
      <c r="AC1527" s="2106">
        <v>3584.62</v>
      </c>
      <c r="AD1527" s="1744">
        <v>6641.96</v>
      </c>
      <c r="AE1527" s="2126">
        <v>2</v>
      </c>
      <c r="AF1527" s="2126">
        <v>2</v>
      </c>
      <c r="AG1527" s="1212">
        <v>1</v>
      </c>
      <c r="AH1527" s="1212">
        <v>0</v>
      </c>
      <c r="AI1527" s="1212">
        <v>0</v>
      </c>
      <c r="AJ1527" s="1212">
        <v>1</v>
      </c>
      <c r="AK1527" s="2126">
        <v>6641.96</v>
      </c>
      <c r="AL1527" s="2126">
        <v>0</v>
      </c>
      <c r="AM1527" s="2126">
        <v>0</v>
      </c>
      <c r="AN1527" s="2126">
        <v>6641.96</v>
      </c>
      <c r="AO1527" s="1743" t="s">
        <v>131</v>
      </c>
      <c r="AP1527" s="1743"/>
      <c r="AQ1527" s="1764">
        <v>2014</v>
      </c>
      <c r="AR1527" s="1743" t="s">
        <v>87</v>
      </c>
      <c r="AS1527" s="2135"/>
      <c r="AT1527" s="2135"/>
      <c r="AU1527" s="1212">
        <v>0.5</v>
      </c>
      <c r="AV1527" s="1212">
        <v>0.5</v>
      </c>
      <c r="AW1527" s="1212"/>
      <c r="AX1527" s="1212"/>
      <c r="AY1527" s="1212"/>
      <c r="AZ1527" s="1212"/>
      <c r="BA1527" s="1212"/>
      <c r="BB1527" s="1212"/>
      <c r="BC1527" s="1212"/>
      <c r="BD1527" s="1212"/>
      <c r="BE1527" s="1212"/>
      <c r="BF1527" s="2126">
        <v>0</v>
      </c>
      <c r="BG1527" s="2126">
        <v>0</v>
      </c>
      <c r="BH1527" s="2126">
        <v>3320.98</v>
      </c>
      <c r="BI1527" s="2126">
        <v>3320.98</v>
      </c>
      <c r="BJ1527" s="2126">
        <v>0</v>
      </c>
      <c r="BK1527" s="2126">
        <v>0</v>
      </c>
      <c r="BL1527" s="2126">
        <v>0</v>
      </c>
      <c r="BM1527" s="2126">
        <v>0</v>
      </c>
      <c r="BN1527" s="2126">
        <v>0</v>
      </c>
      <c r="BO1527" s="2126">
        <v>0</v>
      </c>
      <c r="BP1527" s="2126">
        <v>0</v>
      </c>
      <c r="BQ1527" s="2126">
        <v>0</v>
      </c>
      <c r="BR1527" s="2126">
        <v>0</v>
      </c>
    </row>
    <row r="1528" spans="1:70" s="1765" customFormat="1" ht="49.5">
      <c r="A1528" s="1272">
        <v>7000</v>
      </c>
      <c r="B1528" s="971" t="s">
        <v>2420</v>
      </c>
      <c r="C1528" s="1272">
        <v>7200</v>
      </c>
      <c r="D1528" s="971" t="s">
        <v>119</v>
      </c>
      <c r="E1528" s="971">
        <v>7230</v>
      </c>
      <c r="F1528" s="971" t="s">
        <v>2430</v>
      </c>
      <c r="G1528" s="971">
        <v>7232</v>
      </c>
      <c r="H1528" s="971" t="s">
        <v>2486</v>
      </c>
      <c r="I1528" s="1273" t="s">
        <v>2502</v>
      </c>
      <c r="J1528" s="971" t="s">
        <v>177</v>
      </c>
      <c r="K1528" s="971" t="s">
        <v>196</v>
      </c>
      <c r="L1528" s="971" t="s">
        <v>197</v>
      </c>
      <c r="M1528" s="971" t="s">
        <v>196</v>
      </c>
      <c r="N1528" s="971" t="s">
        <v>179</v>
      </c>
      <c r="O1528" s="971" t="s">
        <v>197</v>
      </c>
      <c r="P1528" s="971"/>
      <c r="Q1528" s="971" t="s">
        <v>2503</v>
      </c>
      <c r="R1528" s="1266" t="s">
        <v>2504</v>
      </c>
      <c r="S1528" s="2106">
        <v>1</v>
      </c>
      <c r="T1528" s="1266" t="s">
        <v>242</v>
      </c>
      <c r="U1528" s="1742">
        <v>9.6666666666666661</v>
      </c>
      <c r="V1528" s="1742">
        <v>89.583333333333329</v>
      </c>
      <c r="W1528" s="1742">
        <v>852.02</v>
      </c>
      <c r="X1528" s="1742">
        <v>988.06833333333327</v>
      </c>
      <c r="Y1528" s="2106">
        <v>1929.6716666666666</v>
      </c>
      <c r="Z1528" s="2106">
        <v>9.6666666666666661</v>
      </c>
      <c r="AA1528" s="2106">
        <v>89.583333333333329</v>
      </c>
      <c r="AB1528" s="2106">
        <v>852.02</v>
      </c>
      <c r="AC1528" s="2106">
        <v>988.06833333333327</v>
      </c>
      <c r="AD1528" s="1744">
        <v>1929.6716666666666</v>
      </c>
      <c r="AE1528" s="2126">
        <v>1</v>
      </c>
      <c r="AF1528" s="2126">
        <v>1</v>
      </c>
      <c r="AG1528" s="1212">
        <v>1</v>
      </c>
      <c r="AH1528" s="1212">
        <v>0</v>
      </c>
      <c r="AI1528" s="1212">
        <v>0</v>
      </c>
      <c r="AJ1528" s="1212">
        <v>1</v>
      </c>
      <c r="AK1528" s="2126">
        <v>1929.6716666666666</v>
      </c>
      <c r="AL1528" s="2126">
        <v>0</v>
      </c>
      <c r="AM1528" s="2126">
        <v>0</v>
      </c>
      <c r="AN1528" s="2126">
        <v>1929.6716666666666</v>
      </c>
      <c r="AO1528" s="1743" t="s">
        <v>131</v>
      </c>
      <c r="AP1528" s="1743"/>
      <c r="AQ1528" s="1764">
        <v>2014</v>
      </c>
      <c r="AR1528" s="1743" t="s">
        <v>87</v>
      </c>
      <c r="AS1528" s="2135"/>
      <c r="AT1528" s="2135"/>
      <c r="AU1528" s="1212">
        <v>0.5</v>
      </c>
      <c r="AV1528" s="1212">
        <v>0.5</v>
      </c>
      <c r="AW1528" s="1212"/>
      <c r="AX1528" s="1212"/>
      <c r="AY1528" s="1212"/>
      <c r="AZ1528" s="1212"/>
      <c r="BA1528" s="1212"/>
      <c r="BB1528" s="1212"/>
      <c r="BC1528" s="1212"/>
      <c r="BD1528" s="1212"/>
      <c r="BE1528" s="1212"/>
      <c r="BF1528" s="2126">
        <v>0</v>
      </c>
      <c r="BG1528" s="2126">
        <v>0</v>
      </c>
      <c r="BH1528" s="2126">
        <v>964.83583333333331</v>
      </c>
      <c r="BI1528" s="2126">
        <v>964.83583333333331</v>
      </c>
      <c r="BJ1528" s="2126">
        <v>0</v>
      </c>
      <c r="BK1528" s="2126">
        <v>0</v>
      </c>
      <c r="BL1528" s="2126">
        <v>0</v>
      </c>
      <c r="BM1528" s="2126">
        <v>0</v>
      </c>
      <c r="BN1528" s="2126">
        <v>0</v>
      </c>
      <c r="BO1528" s="2126">
        <v>0</v>
      </c>
      <c r="BP1528" s="2126">
        <v>0</v>
      </c>
      <c r="BQ1528" s="2126">
        <v>0</v>
      </c>
      <c r="BR1528" s="2126">
        <v>0</v>
      </c>
    </row>
    <row r="1529" spans="1:70" s="1765" customFormat="1" ht="82.5">
      <c r="A1529" s="1272">
        <v>7000</v>
      </c>
      <c r="B1529" s="971" t="s">
        <v>2420</v>
      </c>
      <c r="C1529" s="1272">
        <v>7200</v>
      </c>
      <c r="D1529" s="971" t="s">
        <v>119</v>
      </c>
      <c r="E1529" s="971">
        <v>7230</v>
      </c>
      <c r="F1529" s="971" t="s">
        <v>2430</v>
      </c>
      <c r="G1529" s="971">
        <v>7232</v>
      </c>
      <c r="H1529" s="971" t="s">
        <v>2486</v>
      </c>
      <c r="I1529" s="1273" t="s">
        <v>2505</v>
      </c>
      <c r="J1529" s="971" t="s">
        <v>177</v>
      </c>
      <c r="K1529" s="971" t="s">
        <v>196</v>
      </c>
      <c r="L1529" s="971" t="s">
        <v>197</v>
      </c>
      <c r="M1529" s="971" t="s">
        <v>196</v>
      </c>
      <c r="N1529" s="971" t="s">
        <v>179</v>
      </c>
      <c r="O1529" s="971" t="s">
        <v>197</v>
      </c>
      <c r="P1529" s="971"/>
      <c r="Q1529" s="971" t="s">
        <v>2506</v>
      </c>
      <c r="R1529" s="1266" t="s">
        <v>2507</v>
      </c>
      <c r="S1529" s="2106">
        <v>1</v>
      </c>
      <c r="T1529" s="1266" t="s">
        <v>242</v>
      </c>
      <c r="U1529" s="1742">
        <v>9.6666666666666661</v>
      </c>
      <c r="V1529" s="1742">
        <v>89.583333333333329</v>
      </c>
      <c r="W1529" s="1742">
        <v>852.02</v>
      </c>
      <c r="X1529" s="1742">
        <v>988.06833333333327</v>
      </c>
      <c r="Y1529" s="2106">
        <v>1929.6716666666666</v>
      </c>
      <c r="Z1529" s="2106">
        <v>9.6666666666666661</v>
      </c>
      <c r="AA1529" s="2106">
        <v>89.583333333333329</v>
      </c>
      <c r="AB1529" s="2106">
        <v>852.02</v>
      </c>
      <c r="AC1529" s="2106">
        <v>988.06833333333327</v>
      </c>
      <c r="AD1529" s="1744">
        <v>1929.6716666666666</v>
      </c>
      <c r="AE1529" s="2126">
        <v>1</v>
      </c>
      <c r="AF1529" s="2126">
        <v>1</v>
      </c>
      <c r="AG1529" s="1212">
        <v>1</v>
      </c>
      <c r="AH1529" s="1212">
        <v>0</v>
      </c>
      <c r="AI1529" s="1212">
        <v>0</v>
      </c>
      <c r="AJ1529" s="1212">
        <v>1</v>
      </c>
      <c r="AK1529" s="2126">
        <v>1929.6716666666666</v>
      </c>
      <c r="AL1529" s="2126">
        <v>0</v>
      </c>
      <c r="AM1529" s="2126">
        <v>0</v>
      </c>
      <c r="AN1529" s="2126">
        <v>1929.6716666666666</v>
      </c>
      <c r="AO1529" s="1743" t="s">
        <v>131</v>
      </c>
      <c r="AP1529" s="1743"/>
      <c r="AQ1529" s="1764">
        <v>2014</v>
      </c>
      <c r="AR1529" s="1743" t="s">
        <v>87</v>
      </c>
      <c r="AS1529" s="2135"/>
      <c r="AT1529" s="2135"/>
      <c r="AU1529" s="1212">
        <v>0.33333333333333331</v>
      </c>
      <c r="AV1529" s="1212">
        <v>0.33333333333333331</v>
      </c>
      <c r="AW1529" s="1212">
        <v>0.33333333333333331</v>
      </c>
      <c r="AX1529" s="1212"/>
      <c r="AY1529" s="1212"/>
      <c r="AZ1529" s="1212"/>
      <c r="BA1529" s="1212"/>
      <c r="BB1529" s="1212"/>
      <c r="BC1529" s="1212"/>
      <c r="BD1529" s="1212"/>
      <c r="BE1529" s="1212"/>
      <c r="BF1529" s="2126">
        <v>0</v>
      </c>
      <c r="BG1529" s="2126">
        <v>0</v>
      </c>
      <c r="BH1529" s="2126">
        <v>643.22388888888884</v>
      </c>
      <c r="BI1529" s="2126">
        <v>643.22388888888884</v>
      </c>
      <c r="BJ1529" s="2126">
        <v>643.22388888888884</v>
      </c>
      <c r="BK1529" s="2126">
        <v>0</v>
      </c>
      <c r="BL1529" s="2126">
        <v>0</v>
      </c>
      <c r="BM1529" s="2126">
        <v>0</v>
      </c>
      <c r="BN1529" s="2126">
        <v>0</v>
      </c>
      <c r="BO1529" s="2126">
        <v>0</v>
      </c>
      <c r="BP1529" s="2126">
        <v>0</v>
      </c>
      <c r="BQ1529" s="2126">
        <v>0</v>
      </c>
      <c r="BR1529" s="2126">
        <v>0</v>
      </c>
    </row>
    <row r="1530" spans="1:70" s="1765" customFormat="1" ht="33">
      <c r="A1530" s="1272">
        <v>7000</v>
      </c>
      <c r="B1530" s="971" t="s">
        <v>2420</v>
      </c>
      <c r="C1530" s="1272">
        <v>7200</v>
      </c>
      <c r="D1530" s="971" t="s">
        <v>119</v>
      </c>
      <c r="E1530" s="971">
        <v>7230</v>
      </c>
      <c r="F1530" s="971" t="s">
        <v>2430</v>
      </c>
      <c r="G1530" s="971">
        <v>7232</v>
      </c>
      <c r="H1530" s="971" t="s">
        <v>2486</v>
      </c>
      <c r="I1530" s="1273" t="s">
        <v>2508</v>
      </c>
      <c r="J1530" s="971" t="s">
        <v>124</v>
      </c>
      <c r="K1530" s="971" t="s">
        <v>145</v>
      </c>
      <c r="L1530" s="971" t="s">
        <v>2871</v>
      </c>
      <c r="M1530" s="971" t="s">
        <v>556</v>
      </c>
      <c r="N1530" s="971" t="s">
        <v>141</v>
      </c>
      <c r="O1530" s="971" t="s">
        <v>557</v>
      </c>
      <c r="P1530" s="971"/>
      <c r="Q1530" s="971" t="s">
        <v>2509</v>
      </c>
      <c r="R1530" s="1266" t="s">
        <v>2492</v>
      </c>
      <c r="S1530" s="2106">
        <v>35.687732342007436</v>
      </c>
      <c r="T1530" s="1266" t="s">
        <v>136</v>
      </c>
      <c r="U1530" s="1742">
        <v>0.12329166666666667</v>
      </c>
      <c r="V1530" s="1742">
        <v>0.98072916666666676</v>
      </c>
      <c r="W1530" s="1742">
        <v>6.9153175000000005</v>
      </c>
      <c r="X1530" s="1742">
        <v>10.817050416666667</v>
      </c>
      <c r="Y1530" s="2106">
        <v>18.713097083333334</v>
      </c>
      <c r="Z1530" s="2106">
        <v>4.4000000000000004</v>
      </c>
      <c r="AA1530" s="2106">
        <v>35.000000000000007</v>
      </c>
      <c r="AB1530" s="2106">
        <v>246.79200000000003</v>
      </c>
      <c r="AC1530" s="2106">
        <v>386.03600000000006</v>
      </c>
      <c r="AD1530" s="1744">
        <v>667.82800000000009</v>
      </c>
      <c r="AE1530" s="2126">
        <v>0.3</v>
      </c>
      <c r="AF1530" s="2126">
        <v>10.706319702602231</v>
      </c>
      <c r="AG1530" s="1212">
        <v>1</v>
      </c>
      <c r="AH1530" s="1212">
        <v>0</v>
      </c>
      <c r="AI1530" s="1212">
        <v>0</v>
      </c>
      <c r="AJ1530" s="1212">
        <v>1</v>
      </c>
      <c r="AK1530" s="2126">
        <v>667.82800000000009</v>
      </c>
      <c r="AL1530" s="2126">
        <v>0</v>
      </c>
      <c r="AM1530" s="2126">
        <v>0</v>
      </c>
      <c r="AN1530" s="2126">
        <v>667.82800000000009</v>
      </c>
      <c r="AO1530" s="1743" t="s">
        <v>131</v>
      </c>
      <c r="AP1530" s="1743"/>
      <c r="AQ1530" s="1764">
        <v>2014</v>
      </c>
      <c r="AR1530" s="1743" t="s">
        <v>87</v>
      </c>
      <c r="AS1530" s="2135"/>
      <c r="AT1530" s="2135"/>
      <c r="AU1530" s="1212">
        <v>0.33333333333333331</v>
      </c>
      <c r="AV1530" s="1212">
        <v>0.33333333333333331</v>
      </c>
      <c r="AW1530" s="1212">
        <v>0.33333333333333331</v>
      </c>
      <c r="AX1530" s="1212"/>
      <c r="AY1530" s="1212"/>
      <c r="AZ1530" s="1212"/>
      <c r="BA1530" s="1212"/>
      <c r="BB1530" s="1212"/>
      <c r="BC1530" s="1212"/>
      <c r="BD1530" s="1212"/>
      <c r="BE1530" s="1212"/>
      <c r="BF1530" s="2126">
        <v>0</v>
      </c>
      <c r="BG1530" s="2126">
        <v>0</v>
      </c>
      <c r="BH1530" s="2126">
        <v>222.60933333333335</v>
      </c>
      <c r="BI1530" s="2126">
        <v>222.60933333333335</v>
      </c>
      <c r="BJ1530" s="2126">
        <v>222.60933333333335</v>
      </c>
      <c r="BK1530" s="2126">
        <v>0</v>
      </c>
      <c r="BL1530" s="2126">
        <v>0</v>
      </c>
      <c r="BM1530" s="2126">
        <v>0</v>
      </c>
      <c r="BN1530" s="2126">
        <v>0</v>
      </c>
      <c r="BO1530" s="2126">
        <v>0</v>
      </c>
      <c r="BP1530" s="2126">
        <v>0</v>
      </c>
      <c r="BQ1530" s="2126">
        <v>0</v>
      </c>
      <c r="BR1530" s="2126">
        <v>0</v>
      </c>
    </row>
    <row r="1531" spans="1:70" s="1765" customFormat="1" ht="33">
      <c r="A1531" s="1272">
        <v>7000</v>
      </c>
      <c r="B1531" s="971" t="s">
        <v>2420</v>
      </c>
      <c r="C1531" s="1272">
        <v>7200</v>
      </c>
      <c r="D1531" s="971" t="s">
        <v>119</v>
      </c>
      <c r="E1531" s="971">
        <v>7230</v>
      </c>
      <c r="F1531" s="971" t="s">
        <v>2430</v>
      </c>
      <c r="G1531" s="971">
        <v>7232</v>
      </c>
      <c r="H1531" s="971" t="s">
        <v>2486</v>
      </c>
      <c r="I1531" s="1273" t="s">
        <v>2510</v>
      </c>
      <c r="J1531" s="971" t="s">
        <v>124</v>
      </c>
      <c r="K1531" s="971" t="s">
        <v>145</v>
      </c>
      <c r="L1531" s="971" t="s">
        <v>2871</v>
      </c>
      <c r="M1531" s="971" t="s">
        <v>556</v>
      </c>
      <c r="N1531" s="971" t="s">
        <v>141</v>
      </c>
      <c r="O1531" s="971" t="s">
        <v>557</v>
      </c>
      <c r="P1531" s="971"/>
      <c r="Q1531" s="971" t="s">
        <v>2511</v>
      </c>
      <c r="R1531" s="1266" t="s">
        <v>2495</v>
      </c>
      <c r="S1531" s="2106">
        <v>35.687732342007436</v>
      </c>
      <c r="T1531" s="1266" t="s">
        <v>136</v>
      </c>
      <c r="U1531" s="1742">
        <v>0.12329166666666667</v>
      </c>
      <c r="V1531" s="1742">
        <v>0.98072916666666676</v>
      </c>
      <c r="W1531" s="1742">
        <v>6.9153175000000005</v>
      </c>
      <c r="X1531" s="1742">
        <v>10.817050416666667</v>
      </c>
      <c r="Y1531" s="2106">
        <v>18.713097083333334</v>
      </c>
      <c r="Z1531" s="2106">
        <v>4.4000000000000004</v>
      </c>
      <c r="AA1531" s="2106">
        <v>35.000000000000007</v>
      </c>
      <c r="AB1531" s="2106">
        <v>246.79200000000003</v>
      </c>
      <c r="AC1531" s="2106">
        <v>386.03600000000006</v>
      </c>
      <c r="AD1531" s="1744">
        <v>667.82800000000009</v>
      </c>
      <c r="AE1531" s="2126">
        <v>0.3</v>
      </c>
      <c r="AF1531" s="2126">
        <v>10.706319702602231</v>
      </c>
      <c r="AG1531" s="1212">
        <v>1</v>
      </c>
      <c r="AH1531" s="1212">
        <v>0</v>
      </c>
      <c r="AI1531" s="1212">
        <v>0</v>
      </c>
      <c r="AJ1531" s="1212">
        <v>1</v>
      </c>
      <c r="AK1531" s="2126">
        <v>667.82800000000009</v>
      </c>
      <c r="AL1531" s="2126">
        <v>0</v>
      </c>
      <c r="AM1531" s="2126">
        <v>0</v>
      </c>
      <c r="AN1531" s="2126">
        <v>667.82800000000009</v>
      </c>
      <c r="AO1531" s="1743" t="s">
        <v>131</v>
      </c>
      <c r="AP1531" s="1743"/>
      <c r="AQ1531" s="1764">
        <v>2014</v>
      </c>
      <c r="AR1531" s="1743" t="s">
        <v>87</v>
      </c>
      <c r="AS1531" s="2135"/>
      <c r="AT1531" s="2135"/>
      <c r="AU1531" s="1212">
        <v>0.33333333333333331</v>
      </c>
      <c r="AV1531" s="1212">
        <v>0.33333333333333331</v>
      </c>
      <c r="AW1531" s="1212">
        <v>0.33333333333333331</v>
      </c>
      <c r="AX1531" s="1212"/>
      <c r="AY1531" s="1212"/>
      <c r="AZ1531" s="1212"/>
      <c r="BA1531" s="1212"/>
      <c r="BB1531" s="1212"/>
      <c r="BC1531" s="1212"/>
      <c r="BD1531" s="1212"/>
      <c r="BE1531" s="1212"/>
      <c r="BF1531" s="2126">
        <v>0</v>
      </c>
      <c r="BG1531" s="2126">
        <v>0</v>
      </c>
      <c r="BH1531" s="2126">
        <v>222.60933333333335</v>
      </c>
      <c r="BI1531" s="2126">
        <v>222.60933333333335</v>
      </c>
      <c r="BJ1531" s="2126">
        <v>222.60933333333335</v>
      </c>
      <c r="BK1531" s="2126">
        <v>0</v>
      </c>
      <c r="BL1531" s="2126">
        <v>0</v>
      </c>
      <c r="BM1531" s="2126">
        <v>0</v>
      </c>
      <c r="BN1531" s="2126">
        <v>0</v>
      </c>
      <c r="BO1531" s="2126">
        <v>0</v>
      </c>
      <c r="BP1531" s="2126">
        <v>0</v>
      </c>
      <c r="BQ1531" s="2126">
        <v>0</v>
      </c>
      <c r="BR1531" s="2126">
        <v>0</v>
      </c>
    </row>
    <row r="1532" spans="1:70" s="1765" customFormat="1" ht="49.5">
      <c r="A1532" s="1272">
        <v>7000</v>
      </c>
      <c r="B1532" s="971" t="s">
        <v>2420</v>
      </c>
      <c r="C1532" s="1272">
        <v>7200</v>
      </c>
      <c r="D1532" s="971" t="s">
        <v>119</v>
      </c>
      <c r="E1532" s="971">
        <v>7230</v>
      </c>
      <c r="F1532" s="971" t="s">
        <v>2430</v>
      </c>
      <c r="G1532" s="971">
        <v>7232</v>
      </c>
      <c r="H1532" s="971" t="s">
        <v>2486</v>
      </c>
      <c r="I1532" s="1273" t="s">
        <v>2512</v>
      </c>
      <c r="J1532" s="971" t="s">
        <v>124</v>
      </c>
      <c r="K1532" s="971" t="s">
        <v>784</v>
      </c>
      <c r="L1532" s="971" t="s">
        <v>2852</v>
      </c>
      <c r="M1532" s="971" t="s">
        <v>214</v>
      </c>
      <c r="N1532" s="971" t="s">
        <v>127</v>
      </c>
      <c r="O1532" s="971" t="s">
        <v>215</v>
      </c>
      <c r="P1532" s="971"/>
      <c r="Q1532" s="971" t="s">
        <v>2513</v>
      </c>
      <c r="R1532" s="1266" t="s">
        <v>2514</v>
      </c>
      <c r="S1532" s="2106">
        <v>66.914498141263948</v>
      </c>
      <c r="T1532" s="1266" t="s">
        <v>136</v>
      </c>
      <c r="U1532" s="1742">
        <v>0.22416666666666665</v>
      </c>
      <c r="V1532" s="1742">
        <v>2.8020833333333335</v>
      </c>
      <c r="W1532" s="1742">
        <v>19.758049999999997</v>
      </c>
      <c r="X1532" s="1742">
        <v>30.905858333333335</v>
      </c>
      <c r="Y1532" s="2106">
        <v>53.46599166666666</v>
      </c>
      <c r="Z1532" s="2106">
        <v>15</v>
      </c>
      <c r="AA1532" s="2106">
        <v>187.50000000000003</v>
      </c>
      <c r="AB1532" s="2106">
        <v>1322.1</v>
      </c>
      <c r="AC1532" s="2106">
        <v>2068.0500000000002</v>
      </c>
      <c r="AD1532" s="1744">
        <v>3577.65</v>
      </c>
      <c r="AE1532" s="2126">
        <v>1</v>
      </c>
      <c r="AF1532" s="2126">
        <v>66.914498141263948</v>
      </c>
      <c r="AG1532" s="1212">
        <v>1</v>
      </c>
      <c r="AH1532" s="1212">
        <v>0</v>
      </c>
      <c r="AI1532" s="1212">
        <v>0</v>
      </c>
      <c r="AJ1532" s="1212">
        <v>1</v>
      </c>
      <c r="AK1532" s="2126">
        <v>3577.65</v>
      </c>
      <c r="AL1532" s="2126">
        <v>0</v>
      </c>
      <c r="AM1532" s="2126">
        <v>0</v>
      </c>
      <c r="AN1532" s="2126">
        <v>3577.65</v>
      </c>
      <c r="AO1532" s="1743" t="s">
        <v>131</v>
      </c>
      <c r="AP1532" s="1743"/>
      <c r="AQ1532" s="1764">
        <v>2014</v>
      </c>
      <c r="AR1532" s="1743" t="s">
        <v>87</v>
      </c>
      <c r="AS1532" s="2135"/>
      <c r="AT1532" s="2135"/>
      <c r="AU1532" s="1212">
        <v>0.33333333333333331</v>
      </c>
      <c r="AV1532" s="1212">
        <v>0.33333333333333331</v>
      </c>
      <c r="AW1532" s="1212">
        <v>0.33333333333333331</v>
      </c>
      <c r="AX1532" s="1212"/>
      <c r="AY1532" s="1212"/>
      <c r="AZ1532" s="1212"/>
      <c r="BA1532" s="1212"/>
      <c r="BB1532" s="1212"/>
      <c r="BC1532" s="1212"/>
      <c r="BD1532" s="1212"/>
      <c r="BE1532" s="1212"/>
      <c r="BF1532" s="2126">
        <v>0</v>
      </c>
      <c r="BG1532" s="2126">
        <v>0</v>
      </c>
      <c r="BH1532" s="2126">
        <v>1192.55</v>
      </c>
      <c r="BI1532" s="2126">
        <v>1192.55</v>
      </c>
      <c r="BJ1532" s="2126">
        <v>1192.55</v>
      </c>
      <c r="BK1532" s="2126">
        <v>0</v>
      </c>
      <c r="BL1532" s="2126">
        <v>0</v>
      </c>
      <c r="BM1532" s="2126">
        <v>0</v>
      </c>
      <c r="BN1532" s="2126">
        <v>0</v>
      </c>
      <c r="BO1532" s="2126">
        <v>0</v>
      </c>
      <c r="BP1532" s="2126">
        <v>0</v>
      </c>
      <c r="BQ1532" s="2126">
        <v>0</v>
      </c>
      <c r="BR1532" s="2126">
        <v>0</v>
      </c>
    </row>
    <row r="1533" spans="1:70" s="1765" customFormat="1" ht="49.5">
      <c r="A1533" s="1272">
        <v>7000</v>
      </c>
      <c r="B1533" s="971" t="s">
        <v>2420</v>
      </c>
      <c r="C1533" s="1272">
        <v>7200</v>
      </c>
      <c r="D1533" s="971" t="s">
        <v>119</v>
      </c>
      <c r="E1533" s="971">
        <v>7230</v>
      </c>
      <c r="F1533" s="971" t="s">
        <v>2430</v>
      </c>
      <c r="G1533" s="971">
        <v>7232</v>
      </c>
      <c r="H1533" s="971" t="s">
        <v>2486</v>
      </c>
      <c r="I1533" s="1273" t="s">
        <v>2515</v>
      </c>
      <c r="J1533" s="971" t="s">
        <v>124</v>
      </c>
      <c r="K1533" s="971" t="s">
        <v>784</v>
      </c>
      <c r="L1533" s="971" t="s">
        <v>2852</v>
      </c>
      <c r="M1533" s="971" t="s">
        <v>214</v>
      </c>
      <c r="N1533" s="971" t="s">
        <v>127</v>
      </c>
      <c r="O1533" s="971" t="s">
        <v>215</v>
      </c>
      <c r="P1533" s="971"/>
      <c r="Q1533" s="971" t="s">
        <v>2516</v>
      </c>
      <c r="R1533" s="1266" t="s">
        <v>2517</v>
      </c>
      <c r="S1533" s="2106">
        <v>66.914498141263948</v>
      </c>
      <c r="T1533" s="1266" t="s">
        <v>136</v>
      </c>
      <c r="U1533" s="1742">
        <v>0.22416666666666665</v>
      </c>
      <c r="V1533" s="1742">
        <v>2.8020833333333335</v>
      </c>
      <c r="W1533" s="1742">
        <v>19.758049999999997</v>
      </c>
      <c r="X1533" s="1742">
        <v>30.905858333333335</v>
      </c>
      <c r="Y1533" s="2106">
        <v>53.46599166666666</v>
      </c>
      <c r="Z1533" s="2106">
        <v>15</v>
      </c>
      <c r="AA1533" s="2106">
        <v>187.50000000000003</v>
      </c>
      <c r="AB1533" s="2106">
        <v>1322.1</v>
      </c>
      <c r="AC1533" s="2106">
        <v>2068.0500000000002</v>
      </c>
      <c r="AD1533" s="1744">
        <v>3577.65</v>
      </c>
      <c r="AE1533" s="2126">
        <v>1</v>
      </c>
      <c r="AF1533" s="2126">
        <v>66.914498141263948</v>
      </c>
      <c r="AG1533" s="1212">
        <v>1</v>
      </c>
      <c r="AH1533" s="1212">
        <v>0</v>
      </c>
      <c r="AI1533" s="1212">
        <v>0</v>
      </c>
      <c r="AJ1533" s="1212">
        <v>1</v>
      </c>
      <c r="AK1533" s="2126">
        <v>3577.65</v>
      </c>
      <c r="AL1533" s="2126">
        <v>0</v>
      </c>
      <c r="AM1533" s="2126">
        <v>0</v>
      </c>
      <c r="AN1533" s="2126">
        <v>3577.65</v>
      </c>
      <c r="AO1533" s="1743" t="s">
        <v>131</v>
      </c>
      <c r="AP1533" s="1743"/>
      <c r="AQ1533" s="1764">
        <v>2014</v>
      </c>
      <c r="AR1533" s="1743" t="s">
        <v>87</v>
      </c>
      <c r="AS1533" s="2135"/>
      <c r="AT1533" s="2135"/>
      <c r="AU1533" s="1212">
        <v>0.33333333333333331</v>
      </c>
      <c r="AV1533" s="1212">
        <v>0.33333333333333331</v>
      </c>
      <c r="AW1533" s="1212">
        <v>0.33333333333333331</v>
      </c>
      <c r="AX1533" s="1212"/>
      <c r="AY1533" s="1212"/>
      <c r="AZ1533" s="1212"/>
      <c r="BA1533" s="1212"/>
      <c r="BB1533" s="1212"/>
      <c r="BC1533" s="1212"/>
      <c r="BD1533" s="1212"/>
      <c r="BE1533" s="1212"/>
      <c r="BF1533" s="2126">
        <v>0</v>
      </c>
      <c r="BG1533" s="2126">
        <v>0</v>
      </c>
      <c r="BH1533" s="2126">
        <v>1192.55</v>
      </c>
      <c r="BI1533" s="2126">
        <v>1192.55</v>
      </c>
      <c r="BJ1533" s="2126">
        <v>1192.55</v>
      </c>
      <c r="BK1533" s="2126">
        <v>0</v>
      </c>
      <c r="BL1533" s="2126">
        <v>0</v>
      </c>
      <c r="BM1533" s="2126">
        <v>0</v>
      </c>
      <c r="BN1533" s="2126">
        <v>0</v>
      </c>
      <c r="BO1533" s="2126">
        <v>0</v>
      </c>
      <c r="BP1533" s="2126">
        <v>0</v>
      </c>
      <c r="BQ1533" s="2126">
        <v>0</v>
      </c>
      <c r="BR1533" s="2126">
        <v>0</v>
      </c>
    </row>
    <row r="1534" spans="1:70" s="1765" customFormat="1" ht="49.5">
      <c r="A1534" s="1272">
        <v>7000</v>
      </c>
      <c r="B1534" s="971" t="s">
        <v>2420</v>
      </c>
      <c r="C1534" s="1272">
        <v>7200</v>
      </c>
      <c r="D1534" s="971" t="s">
        <v>119</v>
      </c>
      <c r="E1534" s="971">
        <v>7230</v>
      </c>
      <c r="F1534" s="971" t="s">
        <v>2430</v>
      </c>
      <c r="G1534" s="971">
        <v>7232</v>
      </c>
      <c r="H1534" s="971" t="s">
        <v>2486</v>
      </c>
      <c r="I1534" s="1273" t="s">
        <v>2518</v>
      </c>
      <c r="J1534" s="971" t="s">
        <v>124</v>
      </c>
      <c r="K1534" s="971" t="s">
        <v>784</v>
      </c>
      <c r="L1534" s="971" t="s">
        <v>2852</v>
      </c>
      <c r="M1534" s="971" t="s">
        <v>214</v>
      </c>
      <c r="N1534" s="971" t="s">
        <v>127</v>
      </c>
      <c r="O1534" s="971" t="s">
        <v>215</v>
      </c>
      <c r="P1534" s="971"/>
      <c r="Q1534" s="971" t="s">
        <v>2519</v>
      </c>
      <c r="R1534" s="1266" t="s">
        <v>2520</v>
      </c>
      <c r="S1534" s="2106">
        <v>66.914498141263948</v>
      </c>
      <c r="T1534" s="1266" t="s">
        <v>136</v>
      </c>
      <c r="U1534" s="1742">
        <v>0.22416666666666665</v>
      </c>
      <c r="V1534" s="1742">
        <v>2.8020833333333335</v>
      </c>
      <c r="W1534" s="1742">
        <v>19.758049999999997</v>
      </c>
      <c r="X1534" s="1742">
        <v>30.905858333333335</v>
      </c>
      <c r="Y1534" s="2106">
        <v>53.46599166666666</v>
      </c>
      <c r="Z1534" s="2106">
        <v>15</v>
      </c>
      <c r="AA1534" s="2106">
        <v>187.50000000000003</v>
      </c>
      <c r="AB1534" s="2106">
        <v>1322.1</v>
      </c>
      <c r="AC1534" s="2106">
        <v>2068.0500000000002</v>
      </c>
      <c r="AD1534" s="1744">
        <v>3577.65</v>
      </c>
      <c r="AE1534" s="2126">
        <v>1</v>
      </c>
      <c r="AF1534" s="2126">
        <v>66.914498141263948</v>
      </c>
      <c r="AG1534" s="1212">
        <v>1</v>
      </c>
      <c r="AH1534" s="1212">
        <v>0</v>
      </c>
      <c r="AI1534" s="1212">
        <v>0</v>
      </c>
      <c r="AJ1534" s="1212">
        <v>1</v>
      </c>
      <c r="AK1534" s="2126">
        <v>3577.65</v>
      </c>
      <c r="AL1534" s="2126">
        <v>0</v>
      </c>
      <c r="AM1534" s="2126">
        <v>0</v>
      </c>
      <c r="AN1534" s="2126">
        <v>3577.65</v>
      </c>
      <c r="AO1534" s="1743" t="s">
        <v>131</v>
      </c>
      <c r="AP1534" s="1743"/>
      <c r="AQ1534" s="1764">
        <v>2014</v>
      </c>
      <c r="AR1534" s="1743" t="s">
        <v>87</v>
      </c>
      <c r="AS1534" s="2135"/>
      <c r="AT1534" s="2135"/>
      <c r="AU1534" s="1212">
        <v>0.33333333333333331</v>
      </c>
      <c r="AV1534" s="1212">
        <v>0.33333333333333331</v>
      </c>
      <c r="AW1534" s="1212">
        <v>0.33333333333333331</v>
      </c>
      <c r="AX1534" s="1212"/>
      <c r="AY1534" s="1212"/>
      <c r="AZ1534" s="1212"/>
      <c r="BA1534" s="1212"/>
      <c r="BB1534" s="1212"/>
      <c r="BC1534" s="1212"/>
      <c r="BD1534" s="1212"/>
      <c r="BE1534" s="1212"/>
      <c r="BF1534" s="2126">
        <v>0</v>
      </c>
      <c r="BG1534" s="2126">
        <v>0</v>
      </c>
      <c r="BH1534" s="2126">
        <v>1192.55</v>
      </c>
      <c r="BI1534" s="2126">
        <v>1192.55</v>
      </c>
      <c r="BJ1534" s="2126">
        <v>1192.55</v>
      </c>
      <c r="BK1534" s="2126">
        <v>0</v>
      </c>
      <c r="BL1534" s="2126">
        <v>0</v>
      </c>
      <c r="BM1534" s="2126">
        <v>0</v>
      </c>
      <c r="BN1534" s="2126">
        <v>0</v>
      </c>
      <c r="BO1534" s="2126">
        <v>0</v>
      </c>
      <c r="BP1534" s="2126">
        <v>0</v>
      </c>
      <c r="BQ1534" s="2126">
        <v>0</v>
      </c>
      <c r="BR1534" s="2126">
        <v>0</v>
      </c>
    </row>
    <row r="1535" spans="1:70" s="1765" customFormat="1" ht="49.5">
      <c r="A1535" s="1272">
        <v>7000</v>
      </c>
      <c r="B1535" s="971" t="s">
        <v>2420</v>
      </c>
      <c r="C1535" s="1272">
        <v>7200</v>
      </c>
      <c r="D1535" s="971" t="s">
        <v>119</v>
      </c>
      <c r="E1535" s="971">
        <v>7230</v>
      </c>
      <c r="F1535" s="971" t="s">
        <v>2430</v>
      </c>
      <c r="G1535" s="971">
        <v>7232</v>
      </c>
      <c r="H1535" s="971" t="s">
        <v>2486</v>
      </c>
      <c r="I1535" s="1273" t="s">
        <v>2521</v>
      </c>
      <c r="J1535" s="971" t="s">
        <v>124</v>
      </c>
      <c r="K1535" s="971" t="s">
        <v>784</v>
      </c>
      <c r="L1535" s="971" t="s">
        <v>2852</v>
      </c>
      <c r="M1535" s="971" t="s">
        <v>214</v>
      </c>
      <c r="N1535" s="971" t="s">
        <v>127</v>
      </c>
      <c r="O1535" s="971" t="s">
        <v>215</v>
      </c>
      <c r="P1535" s="971"/>
      <c r="Q1535" s="971" t="s">
        <v>2522</v>
      </c>
      <c r="R1535" s="1266" t="s">
        <v>2523</v>
      </c>
      <c r="S1535" s="2106">
        <v>44.609665427509292</v>
      </c>
      <c r="T1535" s="1266" t="s">
        <v>136</v>
      </c>
      <c r="U1535" s="1742">
        <v>0.22416666666666665</v>
      </c>
      <c r="V1535" s="1742">
        <v>2.8020833333333335</v>
      </c>
      <c r="W1535" s="1742">
        <v>19.758049999999997</v>
      </c>
      <c r="X1535" s="1742">
        <v>30.905858333333335</v>
      </c>
      <c r="Y1535" s="2106">
        <v>53.46599166666666</v>
      </c>
      <c r="Z1535" s="2106">
        <v>9.9999999999999982</v>
      </c>
      <c r="AA1535" s="2106">
        <v>125</v>
      </c>
      <c r="AB1535" s="2106">
        <v>881.39999999999986</v>
      </c>
      <c r="AC1535" s="2106">
        <v>1378.7</v>
      </c>
      <c r="AD1535" s="1744">
        <v>2385.1</v>
      </c>
      <c r="AE1535" s="2126">
        <v>1</v>
      </c>
      <c r="AF1535" s="2126">
        <v>44.609665427509292</v>
      </c>
      <c r="AG1535" s="1212">
        <v>1</v>
      </c>
      <c r="AH1535" s="1212">
        <v>0</v>
      </c>
      <c r="AI1535" s="1212">
        <v>0</v>
      </c>
      <c r="AJ1535" s="1212">
        <v>1</v>
      </c>
      <c r="AK1535" s="2126">
        <v>2385.1</v>
      </c>
      <c r="AL1535" s="2126">
        <v>0</v>
      </c>
      <c r="AM1535" s="2126">
        <v>0</v>
      </c>
      <c r="AN1535" s="2126">
        <v>2385.1</v>
      </c>
      <c r="AO1535" s="1743" t="s">
        <v>131</v>
      </c>
      <c r="AP1535" s="1743"/>
      <c r="AQ1535" s="1764">
        <v>2014</v>
      </c>
      <c r="AR1535" s="1743" t="s">
        <v>87</v>
      </c>
      <c r="AS1535" s="2135"/>
      <c r="AT1535" s="2135"/>
      <c r="AU1535" s="1212">
        <v>0.5</v>
      </c>
      <c r="AV1535" s="1212">
        <v>0.5</v>
      </c>
      <c r="AW1535" s="1212"/>
      <c r="AX1535" s="1212"/>
      <c r="AY1535" s="1212"/>
      <c r="AZ1535" s="1212"/>
      <c r="BA1535" s="1212"/>
      <c r="BB1535" s="1212"/>
      <c r="BC1535" s="1212"/>
      <c r="BD1535" s="1212"/>
      <c r="BE1535" s="1212"/>
      <c r="BF1535" s="2126">
        <v>0</v>
      </c>
      <c r="BG1535" s="2126">
        <v>0</v>
      </c>
      <c r="BH1535" s="2126">
        <v>1192.55</v>
      </c>
      <c r="BI1535" s="2126">
        <v>1192.55</v>
      </c>
      <c r="BJ1535" s="2126">
        <v>0</v>
      </c>
      <c r="BK1535" s="2126">
        <v>0</v>
      </c>
      <c r="BL1535" s="2126">
        <v>0</v>
      </c>
      <c r="BM1535" s="2126">
        <v>0</v>
      </c>
      <c r="BN1535" s="2126">
        <v>0</v>
      </c>
      <c r="BO1535" s="2126">
        <v>0</v>
      </c>
      <c r="BP1535" s="2126">
        <v>0</v>
      </c>
      <c r="BQ1535" s="2126">
        <v>0</v>
      </c>
      <c r="BR1535" s="2126">
        <v>0</v>
      </c>
    </row>
    <row r="1536" spans="1:70" s="1765" customFormat="1" ht="49.5">
      <c r="A1536" s="1272">
        <v>7000</v>
      </c>
      <c r="B1536" s="971" t="s">
        <v>2420</v>
      </c>
      <c r="C1536" s="1272">
        <v>7200</v>
      </c>
      <c r="D1536" s="971" t="s">
        <v>119</v>
      </c>
      <c r="E1536" s="971">
        <v>7230</v>
      </c>
      <c r="F1536" s="971" t="s">
        <v>2430</v>
      </c>
      <c r="G1536" s="971">
        <v>7232</v>
      </c>
      <c r="H1536" s="971" t="s">
        <v>2486</v>
      </c>
      <c r="I1536" s="1273" t="s">
        <v>2524</v>
      </c>
      <c r="J1536" s="971" t="s">
        <v>124</v>
      </c>
      <c r="K1536" s="971" t="s">
        <v>784</v>
      </c>
      <c r="L1536" s="971" t="s">
        <v>2852</v>
      </c>
      <c r="M1536" s="971" t="s">
        <v>214</v>
      </c>
      <c r="N1536" s="971" t="s">
        <v>127</v>
      </c>
      <c r="O1536" s="971" t="s">
        <v>215</v>
      </c>
      <c r="P1536" s="971"/>
      <c r="Q1536" s="971" t="s">
        <v>2525</v>
      </c>
      <c r="R1536" s="1266" t="s">
        <v>2526</v>
      </c>
      <c r="S1536" s="2106">
        <v>44.609665427509292</v>
      </c>
      <c r="T1536" s="1266" t="s">
        <v>136</v>
      </c>
      <c r="U1536" s="1742">
        <v>0.22416666666666665</v>
      </c>
      <c r="V1536" s="1742">
        <v>2.8020833333333335</v>
      </c>
      <c r="W1536" s="1742">
        <v>19.758049999999997</v>
      </c>
      <c r="X1536" s="1742">
        <v>30.905858333333335</v>
      </c>
      <c r="Y1536" s="2106">
        <v>53.46599166666666</v>
      </c>
      <c r="Z1536" s="2106">
        <v>9.9999999999999982</v>
      </c>
      <c r="AA1536" s="2106">
        <v>125</v>
      </c>
      <c r="AB1536" s="2106">
        <v>881.39999999999986</v>
      </c>
      <c r="AC1536" s="2106">
        <v>1378.7</v>
      </c>
      <c r="AD1536" s="1744">
        <v>2385.1</v>
      </c>
      <c r="AE1536" s="2126">
        <v>1</v>
      </c>
      <c r="AF1536" s="2126">
        <v>44.609665427509292</v>
      </c>
      <c r="AG1536" s="1212">
        <v>1</v>
      </c>
      <c r="AH1536" s="1212">
        <v>0</v>
      </c>
      <c r="AI1536" s="1212">
        <v>0</v>
      </c>
      <c r="AJ1536" s="1212">
        <v>1</v>
      </c>
      <c r="AK1536" s="2126">
        <v>2385.1</v>
      </c>
      <c r="AL1536" s="2126">
        <v>0</v>
      </c>
      <c r="AM1536" s="2126">
        <v>0</v>
      </c>
      <c r="AN1536" s="2126">
        <v>2385.1</v>
      </c>
      <c r="AO1536" s="1743" t="s">
        <v>131</v>
      </c>
      <c r="AP1536" s="1743"/>
      <c r="AQ1536" s="1764">
        <v>2014</v>
      </c>
      <c r="AR1536" s="1743" t="s">
        <v>87</v>
      </c>
      <c r="AS1536" s="2135"/>
      <c r="AT1536" s="2135"/>
      <c r="AU1536" s="1212">
        <v>0.5</v>
      </c>
      <c r="AV1536" s="1212">
        <v>0.5</v>
      </c>
      <c r="AW1536" s="1212"/>
      <c r="AX1536" s="1212"/>
      <c r="AY1536" s="1212"/>
      <c r="AZ1536" s="1212"/>
      <c r="BA1536" s="1212"/>
      <c r="BB1536" s="1212"/>
      <c r="BC1536" s="1212"/>
      <c r="BD1536" s="1212"/>
      <c r="BE1536" s="1212"/>
      <c r="BF1536" s="2126">
        <v>0</v>
      </c>
      <c r="BG1536" s="2126">
        <v>0</v>
      </c>
      <c r="BH1536" s="2126">
        <v>1192.55</v>
      </c>
      <c r="BI1536" s="2126">
        <v>1192.55</v>
      </c>
      <c r="BJ1536" s="2126">
        <v>0</v>
      </c>
      <c r="BK1536" s="2126">
        <v>0</v>
      </c>
      <c r="BL1536" s="2126">
        <v>0</v>
      </c>
      <c r="BM1536" s="2126">
        <v>0</v>
      </c>
      <c r="BN1536" s="2126">
        <v>0</v>
      </c>
      <c r="BO1536" s="2126">
        <v>0</v>
      </c>
      <c r="BP1536" s="2126">
        <v>0</v>
      </c>
      <c r="BQ1536" s="2126">
        <v>0</v>
      </c>
      <c r="BR1536" s="2126">
        <v>0</v>
      </c>
    </row>
    <row r="1537" spans="1:70" s="1765" customFormat="1" ht="49.5">
      <c r="A1537" s="1272">
        <v>7000</v>
      </c>
      <c r="B1537" s="971" t="s">
        <v>2420</v>
      </c>
      <c r="C1537" s="1272">
        <v>7200</v>
      </c>
      <c r="D1537" s="971" t="s">
        <v>119</v>
      </c>
      <c r="E1537" s="971">
        <v>7230</v>
      </c>
      <c r="F1537" s="971" t="s">
        <v>2430</v>
      </c>
      <c r="G1537" s="971">
        <v>7232</v>
      </c>
      <c r="H1537" s="971" t="s">
        <v>2486</v>
      </c>
      <c r="I1537" s="1273" t="s">
        <v>2527</v>
      </c>
      <c r="J1537" s="971" t="s">
        <v>177</v>
      </c>
      <c r="K1537" s="971" t="s">
        <v>196</v>
      </c>
      <c r="L1537" s="971" t="s">
        <v>197</v>
      </c>
      <c r="M1537" s="971" t="s">
        <v>196</v>
      </c>
      <c r="N1537" s="971" t="s">
        <v>179</v>
      </c>
      <c r="O1537" s="971" t="s">
        <v>197</v>
      </c>
      <c r="P1537" s="971"/>
      <c r="Q1537" s="971" t="s">
        <v>2528</v>
      </c>
      <c r="R1537" s="1266" t="s">
        <v>2529</v>
      </c>
      <c r="S1537" s="2106">
        <v>1</v>
      </c>
      <c r="T1537" s="1266" t="s">
        <v>242</v>
      </c>
      <c r="U1537" s="1742">
        <v>9.6666666666666661</v>
      </c>
      <c r="V1537" s="1742">
        <v>89.583333333333329</v>
      </c>
      <c r="W1537" s="1742">
        <v>852.02</v>
      </c>
      <c r="X1537" s="1742">
        <v>988.06833333333327</v>
      </c>
      <c r="Y1537" s="2106">
        <v>1929.6716666666666</v>
      </c>
      <c r="Z1537" s="2106">
        <v>9.6666666666666661</v>
      </c>
      <c r="AA1537" s="2106">
        <v>89.583333333333329</v>
      </c>
      <c r="AB1537" s="2106">
        <v>852.02</v>
      </c>
      <c r="AC1537" s="2106">
        <v>988.06833333333327</v>
      </c>
      <c r="AD1537" s="1744">
        <v>1929.6716666666666</v>
      </c>
      <c r="AE1537" s="2126">
        <v>1</v>
      </c>
      <c r="AF1537" s="2126">
        <v>1</v>
      </c>
      <c r="AG1537" s="1212">
        <v>1</v>
      </c>
      <c r="AH1537" s="1212">
        <v>0</v>
      </c>
      <c r="AI1537" s="1212">
        <v>0</v>
      </c>
      <c r="AJ1537" s="1212">
        <v>1</v>
      </c>
      <c r="AK1537" s="2126">
        <v>1929.6716666666666</v>
      </c>
      <c r="AL1537" s="2126">
        <v>0</v>
      </c>
      <c r="AM1537" s="2126">
        <v>0</v>
      </c>
      <c r="AN1537" s="2126">
        <v>1929.6716666666666</v>
      </c>
      <c r="AO1537" s="1743" t="s">
        <v>131</v>
      </c>
      <c r="AP1537" s="1743"/>
      <c r="AQ1537" s="1764">
        <v>2014</v>
      </c>
      <c r="AR1537" s="1743" t="s">
        <v>87</v>
      </c>
      <c r="AS1537" s="2135"/>
      <c r="AT1537" s="2135"/>
      <c r="AU1537" s="1212">
        <v>0.33333333333333331</v>
      </c>
      <c r="AV1537" s="1212">
        <v>0.33333333333333331</v>
      </c>
      <c r="AW1537" s="1212">
        <v>0.33333333333333331</v>
      </c>
      <c r="AX1537" s="1212"/>
      <c r="AY1537" s="1212"/>
      <c r="AZ1537" s="1212"/>
      <c r="BA1537" s="1212"/>
      <c r="BB1537" s="1212"/>
      <c r="BC1537" s="1212"/>
      <c r="BD1537" s="1212"/>
      <c r="BE1537" s="1212"/>
      <c r="BF1537" s="2126">
        <v>0</v>
      </c>
      <c r="BG1537" s="2126">
        <v>0</v>
      </c>
      <c r="BH1537" s="2126">
        <v>643.22388888888884</v>
      </c>
      <c r="BI1537" s="2126">
        <v>643.22388888888884</v>
      </c>
      <c r="BJ1537" s="2126">
        <v>643.22388888888884</v>
      </c>
      <c r="BK1537" s="2126">
        <v>0</v>
      </c>
      <c r="BL1537" s="2126">
        <v>0</v>
      </c>
      <c r="BM1537" s="2126">
        <v>0</v>
      </c>
      <c r="BN1537" s="2126">
        <v>0</v>
      </c>
      <c r="BO1537" s="2126">
        <v>0</v>
      </c>
      <c r="BP1537" s="2126">
        <v>0</v>
      </c>
      <c r="BQ1537" s="2126">
        <v>0</v>
      </c>
      <c r="BR1537" s="2126">
        <v>0</v>
      </c>
    </row>
    <row r="1538" spans="1:70" s="1765" customFormat="1" ht="49.5">
      <c r="A1538" s="1272">
        <v>7000</v>
      </c>
      <c r="B1538" s="971" t="s">
        <v>2420</v>
      </c>
      <c r="C1538" s="1272">
        <v>7200</v>
      </c>
      <c r="D1538" s="971" t="s">
        <v>119</v>
      </c>
      <c r="E1538" s="971">
        <v>7230</v>
      </c>
      <c r="F1538" s="971" t="s">
        <v>2430</v>
      </c>
      <c r="G1538" s="971">
        <v>7232</v>
      </c>
      <c r="H1538" s="971" t="s">
        <v>2486</v>
      </c>
      <c r="I1538" s="1273"/>
      <c r="J1538" s="971" t="s">
        <v>124</v>
      </c>
      <c r="K1538" s="971" t="s">
        <v>784</v>
      </c>
      <c r="L1538" s="971" t="s">
        <v>2852</v>
      </c>
      <c r="M1538" s="971" t="s">
        <v>214</v>
      </c>
      <c r="N1538" s="971" t="s">
        <v>127</v>
      </c>
      <c r="O1538" s="971" t="s">
        <v>215</v>
      </c>
      <c r="P1538" s="971"/>
      <c r="Q1538" s="971" t="s">
        <v>2530</v>
      </c>
      <c r="R1538" s="1266" t="s">
        <v>2531</v>
      </c>
      <c r="S1538" s="2106">
        <v>0</v>
      </c>
      <c r="T1538" s="1266" t="s">
        <v>136</v>
      </c>
      <c r="U1538" s="1742">
        <v>0.22416666666666665</v>
      </c>
      <c r="V1538" s="1742">
        <v>2.8020833333333335</v>
      </c>
      <c r="W1538" s="1742">
        <v>19.758049999999997</v>
      </c>
      <c r="X1538" s="1742">
        <v>30.905858333333335</v>
      </c>
      <c r="Y1538" s="2106">
        <v>53.46599166666666</v>
      </c>
      <c r="Z1538" s="2106">
        <v>0</v>
      </c>
      <c r="AA1538" s="2106">
        <v>0</v>
      </c>
      <c r="AB1538" s="2106">
        <v>0</v>
      </c>
      <c r="AC1538" s="2106">
        <v>0</v>
      </c>
      <c r="AD1538" s="1744">
        <v>0</v>
      </c>
      <c r="AE1538" s="2126">
        <v>1</v>
      </c>
      <c r="AF1538" s="2126">
        <v>0</v>
      </c>
      <c r="AG1538" s="1212">
        <v>1</v>
      </c>
      <c r="AH1538" s="1212">
        <v>0</v>
      </c>
      <c r="AI1538" s="1212">
        <v>0</v>
      </c>
      <c r="AJ1538" s="1212">
        <v>1</v>
      </c>
      <c r="AK1538" s="2126">
        <v>0</v>
      </c>
      <c r="AL1538" s="2126">
        <v>0</v>
      </c>
      <c r="AM1538" s="2126">
        <v>0</v>
      </c>
      <c r="AN1538" s="2126">
        <v>0</v>
      </c>
      <c r="AO1538" s="1743" t="s">
        <v>131</v>
      </c>
      <c r="AP1538" s="1743"/>
      <c r="AQ1538" s="1764">
        <v>2014</v>
      </c>
      <c r="AR1538" s="1743" t="s">
        <v>87</v>
      </c>
      <c r="AS1538" s="2135"/>
      <c r="AT1538" s="2135"/>
      <c r="AU1538" s="1212">
        <v>0.5</v>
      </c>
      <c r="AV1538" s="1212">
        <v>0.5</v>
      </c>
      <c r="AW1538" s="1212"/>
      <c r="AX1538" s="1212"/>
      <c r="AY1538" s="1212"/>
      <c r="AZ1538" s="1212"/>
      <c r="BA1538" s="1212"/>
      <c r="BB1538" s="1212"/>
      <c r="BC1538" s="1212"/>
      <c r="BD1538" s="1212"/>
      <c r="BE1538" s="1212"/>
      <c r="BF1538" s="2126">
        <v>0</v>
      </c>
      <c r="BG1538" s="2126">
        <v>0</v>
      </c>
      <c r="BH1538" s="2126">
        <v>0</v>
      </c>
      <c r="BI1538" s="2126">
        <v>0</v>
      </c>
      <c r="BJ1538" s="2126">
        <v>0</v>
      </c>
      <c r="BK1538" s="2126">
        <v>0</v>
      </c>
      <c r="BL1538" s="2126">
        <v>0</v>
      </c>
      <c r="BM1538" s="2126">
        <v>0</v>
      </c>
      <c r="BN1538" s="2126">
        <v>0</v>
      </c>
      <c r="BO1538" s="2126">
        <v>0</v>
      </c>
      <c r="BP1538" s="2126">
        <v>0</v>
      </c>
      <c r="BQ1538" s="2126">
        <v>0</v>
      </c>
      <c r="BR1538" s="2126">
        <v>0</v>
      </c>
    </row>
    <row r="1539" spans="1:70" s="1765" customFormat="1" ht="33">
      <c r="A1539" s="1272">
        <v>7000</v>
      </c>
      <c r="B1539" s="971" t="s">
        <v>2420</v>
      </c>
      <c r="C1539" s="1272">
        <v>7200</v>
      </c>
      <c r="D1539" s="971" t="s">
        <v>119</v>
      </c>
      <c r="E1539" s="971">
        <v>7230</v>
      </c>
      <c r="F1539" s="971" t="s">
        <v>2430</v>
      </c>
      <c r="G1539" s="971">
        <v>7232</v>
      </c>
      <c r="H1539" s="971" t="s">
        <v>2486</v>
      </c>
      <c r="I1539" s="1273"/>
      <c r="J1539" s="971" t="s">
        <v>124</v>
      </c>
      <c r="K1539" s="971" t="s">
        <v>140</v>
      </c>
      <c r="L1539" s="971" t="s">
        <v>2909</v>
      </c>
      <c r="M1539" s="971" t="s">
        <v>140</v>
      </c>
      <c r="N1539" s="971" t="s">
        <v>141</v>
      </c>
      <c r="O1539" s="971" t="s">
        <v>142</v>
      </c>
      <c r="P1539" s="971"/>
      <c r="Q1539" s="971" t="s">
        <v>2532</v>
      </c>
      <c r="R1539" s="1266" t="s">
        <v>2531</v>
      </c>
      <c r="S1539" s="2106">
        <v>0</v>
      </c>
      <c r="T1539" s="1266" t="s">
        <v>136</v>
      </c>
      <c r="U1539" s="1742">
        <v>0</v>
      </c>
      <c r="V1539" s="1742">
        <v>0</v>
      </c>
      <c r="W1539" s="1742">
        <v>0</v>
      </c>
      <c r="X1539" s="1742">
        <v>0</v>
      </c>
      <c r="Y1539" s="2106">
        <v>0</v>
      </c>
      <c r="Z1539" s="2106">
        <v>0</v>
      </c>
      <c r="AA1539" s="2106">
        <v>0</v>
      </c>
      <c r="AB1539" s="2106">
        <v>0</v>
      </c>
      <c r="AC1539" s="2106">
        <v>0</v>
      </c>
      <c r="AD1539" s="1744">
        <v>0</v>
      </c>
      <c r="AE1539" s="2126">
        <v>0</v>
      </c>
      <c r="AF1539" s="2126">
        <v>0</v>
      </c>
      <c r="AG1539" s="1212">
        <v>1</v>
      </c>
      <c r="AH1539" s="1212">
        <v>0</v>
      </c>
      <c r="AI1539" s="1212">
        <v>0</v>
      </c>
      <c r="AJ1539" s="1212">
        <v>1</v>
      </c>
      <c r="AK1539" s="2126">
        <v>0</v>
      </c>
      <c r="AL1539" s="2126">
        <v>0</v>
      </c>
      <c r="AM1539" s="2126">
        <v>0</v>
      </c>
      <c r="AN1539" s="2126">
        <v>0</v>
      </c>
      <c r="AO1539" s="1743" t="s">
        <v>131</v>
      </c>
      <c r="AP1539" s="1743"/>
      <c r="AQ1539" s="1764">
        <v>2014</v>
      </c>
      <c r="AR1539" s="1743" t="s">
        <v>87</v>
      </c>
      <c r="AS1539" s="2135"/>
      <c r="AT1539" s="2135"/>
      <c r="AU1539" s="1212">
        <v>0.5</v>
      </c>
      <c r="AV1539" s="1212">
        <v>0.5</v>
      </c>
      <c r="AW1539" s="1212"/>
      <c r="AX1539" s="1212"/>
      <c r="AY1539" s="1212"/>
      <c r="AZ1539" s="1212"/>
      <c r="BA1539" s="1212"/>
      <c r="BB1539" s="1212"/>
      <c r="BC1539" s="1212"/>
      <c r="BD1539" s="1212"/>
      <c r="BE1539" s="1212"/>
      <c r="BF1539" s="2126">
        <v>0</v>
      </c>
      <c r="BG1539" s="2126">
        <v>0</v>
      </c>
      <c r="BH1539" s="2126">
        <v>0</v>
      </c>
      <c r="BI1539" s="2126">
        <v>0</v>
      </c>
      <c r="BJ1539" s="2126">
        <v>0</v>
      </c>
      <c r="BK1539" s="2126">
        <v>0</v>
      </c>
      <c r="BL1539" s="2126">
        <v>0</v>
      </c>
      <c r="BM1539" s="2126">
        <v>0</v>
      </c>
      <c r="BN1539" s="2126">
        <v>0</v>
      </c>
      <c r="BO1539" s="2126">
        <v>0</v>
      </c>
      <c r="BP1539" s="2126">
        <v>0</v>
      </c>
      <c r="BQ1539" s="2126">
        <v>0</v>
      </c>
      <c r="BR1539" s="2126">
        <v>0</v>
      </c>
    </row>
    <row r="1540" spans="1:70" s="1765" customFormat="1" ht="33">
      <c r="A1540" s="1272">
        <v>7000</v>
      </c>
      <c r="B1540" s="971" t="s">
        <v>2420</v>
      </c>
      <c r="C1540" s="1272">
        <v>7200</v>
      </c>
      <c r="D1540" s="971" t="s">
        <v>119</v>
      </c>
      <c r="E1540" s="971">
        <v>7230</v>
      </c>
      <c r="F1540" s="971" t="s">
        <v>2430</v>
      </c>
      <c r="G1540" s="971">
        <v>7232</v>
      </c>
      <c r="H1540" s="971" t="s">
        <v>2486</v>
      </c>
      <c r="I1540" s="1273"/>
      <c r="J1540" s="971" t="s">
        <v>124</v>
      </c>
      <c r="K1540" s="971"/>
      <c r="L1540" s="971" t="e">
        <v>#N/A</v>
      </c>
      <c r="M1540" s="971" t="s">
        <v>145</v>
      </c>
      <c r="N1540" s="971" t="s">
        <v>141</v>
      </c>
      <c r="O1540" s="971" t="s">
        <v>146</v>
      </c>
      <c r="P1540" s="971"/>
      <c r="Q1540" s="971" t="s">
        <v>2533</v>
      </c>
      <c r="R1540" s="1266" t="s">
        <v>2531</v>
      </c>
      <c r="S1540" s="2106">
        <v>0</v>
      </c>
      <c r="T1540" s="1266" t="s">
        <v>136</v>
      </c>
      <c r="U1540" s="1742" t="s">
        <v>6588</v>
      </c>
      <c r="V1540" s="1742" t="s">
        <v>6588</v>
      </c>
      <c r="W1540" s="1742" t="s">
        <v>6588</v>
      </c>
      <c r="X1540" s="1742" t="s">
        <v>6588</v>
      </c>
      <c r="Y1540" s="2106" t="s">
        <v>6588</v>
      </c>
      <c r="Z1540" s="2106">
        <v>0</v>
      </c>
      <c r="AA1540" s="2106">
        <v>0</v>
      </c>
      <c r="AB1540" s="2106">
        <v>0</v>
      </c>
      <c r="AC1540" s="2106">
        <v>0</v>
      </c>
      <c r="AD1540" s="1744">
        <v>0</v>
      </c>
      <c r="AE1540" s="2126">
        <v>0</v>
      </c>
      <c r="AF1540" s="2126">
        <v>0</v>
      </c>
      <c r="AG1540" s="1212">
        <v>1</v>
      </c>
      <c r="AH1540" s="1212">
        <v>0</v>
      </c>
      <c r="AI1540" s="1212">
        <v>0</v>
      </c>
      <c r="AJ1540" s="1212">
        <v>1</v>
      </c>
      <c r="AK1540" s="2126">
        <v>0</v>
      </c>
      <c r="AL1540" s="2126">
        <v>0</v>
      </c>
      <c r="AM1540" s="2126">
        <v>0</v>
      </c>
      <c r="AN1540" s="2126">
        <v>0</v>
      </c>
      <c r="AO1540" s="1743" t="s">
        <v>131</v>
      </c>
      <c r="AP1540" s="1743"/>
      <c r="AQ1540" s="1764">
        <v>2014</v>
      </c>
      <c r="AR1540" s="1743" t="s">
        <v>87</v>
      </c>
      <c r="AS1540" s="2135"/>
      <c r="AT1540" s="2135"/>
      <c r="AU1540" s="1212">
        <v>0.5</v>
      </c>
      <c r="AV1540" s="1212">
        <v>0.5</v>
      </c>
      <c r="AW1540" s="1212"/>
      <c r="AX1540" s="1212"/>
      <c r="AY1540" s="1212"/>
      <c r="AZ1540" s="1212"/>
      <c r="BA1540" s="1212"/>
      <c r="BB1540" s="1212"/>
      <c r="BC1540" s="1212"/>
      <c r="BD1540" s="1212"/>
      <c r="BE1540" s="1212"/>
      <c r="BF1540" s="2126">
        <v>0</v>
      </c>
      <c r="BG1540" s="2126">
        <v>0</v>
      </c>
      <c r="BH1540" s="2126">
        <v>0</v>
      </c>
      <c r="BI1540" s="2126">
        <v>0</v>
      </c>
      <c r="BJ1540" s="2126">
        <v>0</v>
      </c>
      <c r="BK1540" s="2126">
        <v>0</v>
      </c>
      <c r="BL1540" s="2126">
        <v>0</v>
      </c>
      <c r="BM1540" s="2126">
        <v>0</v>
      </c>
      <c r="BN1540" s="2126">
        <v>0</v>
      </c>
      <c r="BO1540" s="2126">
        <v>0</v>
      </c>
      <c r="BP1540" s="2126">
        <v>0</v>
      </c>
      <c r="BQ1540" s="2126">
        <v>0</v>
      </c>
      <c r="BR1540" s="2126">
        <v>0</v>
      </c>
    </row>
    <row r="1541" spans="1:70" s="1765" customFormat="1" ht="49.5">
      <c r="A1541" s="1272">
        <v>7000</v>
      </c>
      <c r="B1541" s="971" t="s">
        <v>2420</v>
      </c>
      <c r="C1541" s="1272">
        <v>7200</v>
      </c>
      <c r="D1541" s="971" t="s">
        <v>119</v>
      </c>
      <c r="E1541" s="971">
        <v>7230</v>
      </c>
      <c r="F1541" s="971" t="s">
        <v>2430</v>
      </c>
      <c r="G1541" s="971">
        <v>7232</v>
      </c>
      <c r="H1541" s="971" t="s">
        <v>2486</v>
      </c>
      <c r="I1541" s="1273" t="s">
        <v>2534</v>
      </c>
      <c r="J1541" s="971" t="s">
        <v>124</v>
      </c>
      <c r="K1541" s="971" t="s">
        <v>2857</v>
      </c>
      <c r="L1541" s="971" t="s">
        <v>2858</v>
      </c>
      <c r="M1541" s="971" t="s">
        <v>734</v>
      </c>
      <c r="N1541" s="971" t="s">
        <v>488</v>
      </c>
      <c r="O1541" s="971" t="s">
        <v>128</v>
      </c>
      <c r="P1541" s="971"/>
      <c r="Q1541" s="971" t="s">
        <v>2535</v>
      </c>
      <c r="R1541" s="1266" t="s">
        <v>2536</v>
      </c>
      <c r="S1541" s="2106">
        <v>14.869888475836431</v>
      </c>
      <c r="T1541" s="1266" t="s">
        <v>136</v>
      </c>
      <c r="U1541" s="1742">
        <v>0.56041666666666667</v>
      </c>
      <c r="V1541" s="1742">
        <v>2.8020833333333335</v>
      </c>
      <c r="W1541" s="1742">
        <v>49.395125</v>
      </c>
      <c r="X1541" s="1742">
        <v>77.264645833333333</v>
      </c>
      <c r="Y1541" s="2106">
        <v>129.46185416666665</v>
      </c>
      <c r="Z1541" s="2106">
        <v>8.3333333333333339</v>
      </c>
      <c r="AA1541" s="2106">
        <v>41.666666666666671</v>
      </c>
      <c r="AB1541" s="2106">
        <v>734.5</v>
      </c>
      <c r="AC1541" s="2106">
        <v>1148.9166666666667</v>
      </c>
      <c r="AD1541" s="1744">
        <v>1925.0833333333335</v>
      </c>
      <c r="AE1541" s="2126">
        <v>1</v>
      </c>
      <c r="AF1541" s="2126">
        <v>14.869888475836431</v>
      </c>
      <c r="AG1541" s="1212">
        <v>1</v>
      </c>
      <c r="AH1541" s="1212">
        <v>0</v>
      </c>
      <c r="AI1541" s="1212">
        <v>0</v>
      </c>
      <c r="AJ1541" s="1212">
        <v>1</v>
      </c>
      <c r="AK1541" s="2126">
        <v>1925.0833333333335</v>
      </c>
      <c r="AL1541" s="2126">
        <v>0</v>
      </c>
      <c r="AM1541" s="2126">
        <v>0</v>
      </c>
      <c r="AN1541" s="2126">
        <v>1925.0833333333335</v>
      </c>
      <c r="AO1541" s="1743" t="s">
        <v>131</v>
      </c>
      <c r="AP1541" s="1743"/>
      <c r="AQ1541" s="1764">
        <v>2014</v>
      </c>
      <c r="AR1541" s="1743" t="s">
        <v>87</v>
      </c>
      <c r="AS1541" s="2135"/>
      <c r="AT1541" s="2135"/>
      <c r="AU1541" s="1212">
        <v>0.33333333333333331</v>
      </c>
      <c r="AV1541" s="1212">
        <v>0.33333333333333331</v>
      </c>
      <c r="AW1541" s="1212">
        <v>0.33333333333333331</v>
      </c>
      <c r="AX1541" s="1212"/>
      <c r="AY1541" s="1212"/>
      <c r="AZ1541" s="1212"/>
      <c r="BA1541" s="1212"/>
      <c r="BB1541" s="1212"/>
      <c r="BC1541" s="1212"/>
      <c r="BD1541" s="1212"/>
      <c r="BE1541" s="1212"/>
      <c r="BF1541" s="2126">
        <v>0</v>
      </c>
      <c r="BG1541" s="2126">
        <v>0</v>
      </c>
      <c r="BH1541" s="2126">
        <v>641.69444444444446</v>
      </c>
      <c r="BI1541" s="2126">
        <v>641.69444444444446</v>
      </c>
      <c r="BJ1541" s="2126">
        <v>641.69444444444446</v>
      </c>
      <c r="BK1541" s="2126">
        <v>0</v>
      </c>
      <c r="BL1541" s="2126">
        <v>0</v>
      </c>
      <c r="BM1541" s="2126">
        <v>0</v>
      </c>
      <c r="BN1541" s="2126">
        <v>0</v>
      </c>
      <c r="BO1541" s="2126">
        <v>0</v>
      </c>
      <c r="BP1541" s="2126">
        <v>0</v>
      </c>
      <c r="BQ1541" s="2126">
        <v>0</v>
      </c>
      <c r="BR1541" s="2126">
        <v>0</v>
      </c>
    </row>
    <row r="1542" spans="1:70" s="1765" customFormat="1" ht="33">
      <c r="A1542" s="1272">
        <v>7000</v>
      </c>
      <c r="B1542" s="971" t="s">
        <v>2420</v>
      </c>
      <c r="C1542" s="1272">
        <v>7200</v>
      </c>
      <c r="D1542" s="971" t="s">
        <v>119</v>
      </c>
      <c r="E1542" s="971">
        <v>7230</v>
      </c>
      <c r="F1542" s="971" t="s">
        <v>2430</v>
      </c>
      <c r="G1542" s="971">
        <v>7232</v>
      </c>
      <c r="H1542" s="971" t="s">
        <v>2486</v>
      </c>
      <c r="I1542" s="1273" t="s">
        <v>2537</v>
      </c>
      <c r="J1542" s="971" t="s">
        <v>124</v>
      </c>
      <c r="K1542" s="971" t="s">
        <v>145</v>
      </c>
      <c r="L1542" s="971" t="s">
        <v>2871</v>
      </c>
      <c r="M1542" s="971" t="s">
        <v>556</v>
      </c>
      <c r="N1542" s="971" t="s">
        <v>141</v>
      </c>
      <c r="O1542" s="971" t="s">
        <v>557</v>
      </c>
      <c r="P1542" s="971"/>
      <c r="Q1542" s="971" t="s">
        <v>2538</v>
      </c>
      <c r="R1542" s="1266" t="s">
        <v>2514</v>
      </c>
      <c r="S1542" s="2106">
        <v>66.914498141263948</v>
      </c>
      <c r="T1542" s="1266" t="s">
        <v>136</v>
      </c>
      <c r="U1542" s="1742">
        <v>0.12329166666666667</v>
      </c>
      <c r="V1542" s="1742">
        <v>0.98072916666666676</v>
      </c>
      <c r="W1542" s="1742">
        <v>6.9153175000000005</v>
      </c>
      <c r="X1542" s="1742">
        <v>10.817050416666667</v>
      </c>
      <c r="Y1542" s="2106">
        <v>18.713097083333334</v>
      </c>
      <c r="Z1542" s="2106">
        <v>8.2500000000000018</v>
      </c>
      <c r="AA1542" s="2106">
        <v>65.625000000000014</v>
      </c>
      <c r="AB1542" s="2106">
        <v>462.73500000000007</v>
      </c>
      <c r="AC1542" s="2106">
        <v>723.81750000000011</v>
      </c>
      <c r="AD1542" s="1744">
        <v>1252.1775000000002</v>
      </c>
      <c r="AE1542" s="2126">
        <v>0.3</v>
      </c>
      <c r="AF1542" s="2126">
        <v>20.074349442379184</v>
      </c>
      <c r="AG1542" s="1212">
        <v>1</v>
      </c>
      <c r="AH1542" s="1212">
        <v>0</v>
      </c>
      <c r="AI1542" s="1212">
        <v>0</v>
      </c>
      <c r="AJ1542" s="1212">
        <v>1</v>
      </c>
      <c r="AK1542" s="2126">
        <v>1252.1775000000002</v>
      </c>
      <c r="AL1542" s="2126">
        <v>0</v>
      </c>
      <c r="AM1542" s="2126">
        <v>0</v>
      </c>
      <c r="AN1542" s="2126">
        <v>1252.1775000000002</v>
      </c>
      <c r="AO1542" s="1743" t="s">
        <v>131</v>
      </c>
      <c r="AP1542" s="1743"/>
      <c r="AQ1542" s="1764">
        <v>2014</v>
      </c>
      <c r="AR1542" s="1743" t="s">
        <v>87</v>
      </c>
      <c r="AS1542" s="2135"/>
      <c r="AT1542" s="2135"/>
      <c r="AU1542" s="1212">
        <v>0.33333333333333331</v>
      </c>
      <c r="AV1542" s="1212">
        <v>0.33333333333333331</v>
      </c>
      <c r="AW1542" s="1212">
        <v>0.33333333333333331</v>
      </c>
      <c r="AX1542" s="1212"/>
      <c r="AY1542" s="1212"/>
      <c r="AZ1542" s="1212"/>
      <c r="BA1542" s="1212"/>
      <c r="BB1542" s="1212"/>
      <c r="BC1542" s="1212"/>
      <c r="BD1542" s="1212"/>
      <c r="BE1542" s="1212"/>
      <c r="BF1542" s="2126">
        <v>0</v>
      </c>
      <c r="BG1542" s="2126">
        <v>0</v>
      </c>
      <c r="BH1542" s="2126">
        <v>417.39250000000004</v>
      </c>
      <c r="BI1542" s="2126">
        <v>417.39250000000004</v>
      </c>
      <c r="BJ1542" s="2126">
        <v>417.39250000000004</v>
      </c>
      <c r="BK1542" s="2126">
        <v>0</v>
      </c>
      <c r="BL1542" s="2126">
        <v>0</v>
      </c>
      <c r="BM1542" s="2126">
        <v>0</v>
      </c>
      <c r="BN1542" s="2126">
        <v>0</v>
      </c>
      <c r="BO1542" s="2126">
        <v>0</v>
      </c>
      <c r="BP1542" s="2126">
        <v>0</v>
      </c>
      <c r="BQ1542" s="2126">
        <v>0</v>
      </c>
      <c r="BR1542" s="2126">
        <v>0</v>
      </c>
    </row>
    <row r="1543" spans="1:70" s="1765" customFormat="1" ht="33">
      <c r="A1543" s="1272">
        <v>7000</v>
      </c>
      <c r="B1543" s="971" t="s">
        <v>2420</v>
      </c>
      <c r="C1543" s="1272">
        <v>7200</v>
      </c>
      <c r="D1543" s="971" t="s">
        <v>119</v>
      </c>
      <c r="E1543" s="971">
        <v>7230</v>
      </c>
      <c r="F1543" s="971" t="s">
        <v>2430</v>
      </c>
      <c r="G1543" s="971">
        <v>7232</v>
      </c>
      <c r="H1543" s="971" t="s">
        <v>2486</v>
      </c>
      <c r="I1543" s="1273" t="s">
        <v>2539</v>
      </c>
      <c r="J1543" s="971" t="s">
        <v>124</v>
      </c>
      <c r="K1543" s="971" t="s">
        <v>145</v>
      </c>
      <c r="L1543" s="971" t="s">
        <v>2871</v>
      </c>
      <c r="M1543" s="971" t="s">
        <v>556</v>
      </c>
      <c r="N1543" s="971" t="s">
        <v>141</v>
      </c>
      <c r="O1543" s="971" t="s">
        <v>557</v>
      </c>
      <c r="P1543" s="971"/>
      <c r="Q1543" s="971" t="s">
        <v>2540</v>
      </c>
      <c r="R1543" s="1266" t="s">
        <v>2517</v>
      </c>
      <c r="S1543" s="2106">
        <v>66.914498141263948</v>
      </c>
      <c r="T1543" s="1266" t="s">
        <v>136</v>
      </c>
      <c r="U1543" s="1742">
        <v>0.12329166666666667</v>
      </c>
      <c r="V1543" s="1742">
        <v>0.98072916666666676</v>
      </c>
      <c r="W1543" s="1742">
        <v>6.9153175000000005</v>
      </c>
      <c r="X1543" s="1742">
        <v>10.817050416666667</v>
      </c>
      <c r="Y1543" s="2106">
        <v>18.713097083333334</v>
      </c>
      <c r="Z1543" s="2106">
        <v>8.2500000000000018</v>
      </c>
      <c r="AA1543" s="2106">
        <v>65.625000000000014</v>
      </c>
      <c r="AB1543" s="2106">
        <v>462.73500000000007</v>
      </c>
      <c r="AC1543" s="2106">
        <v>723.81750000000011</v>
      </c>
      <c r="AD1543" s="1744">
        <v>1252.1775000000002</v>
      </c>
      <c r="AE1543" s="2126">
        <v>0.3</v>
      </c>
      <c r="AF1543" s="2126">
        <v>20.074349442379184</v>
      </c>
      <c r="AG1543" s="1212">
        <v>1</v>
      </c>
      <c r="AH1543" s="1212">
        <v>0</v>
      </c>
      <c r="AI1543" s="1212">
        <v>0</v>
      </c>
      <c r="AJ1543" s="1212">
        <v>1</v>
      </c>
      <c r="AK1543" s="2126">
        <v>1252.1775000000002</v>
      </c>
      <c r="AL1543" s="2126">
        <v>0</v>
      </c>
      <c r="AM1543" s="2126">
        <v>0</v>
      </c>
      <c r="AN1543" s="2126">
        <v>1252.1775000000002</v>
      </c>
      <c r="AO1543" s="1743" t="s">
        <v>131</v>
      </c>
      <c r="AP1543" s="1743"/>
      <c r="AQ1543" s="1764">
        <v>2014</v>
      </c>
      <c r="AR1543" s="1743" t="s">
        <v>87</v>
      </c>
      <c r="AS1543" s="2135"/>
      <c r="AT1543" s="2135"/>
      <c r="AU1543" s="1212">
        <v>0.33333333333333331</v>
      </c>
      <c r="AV1543" s="1212">
        <v>0.33333333333333331</v>
      </c>
      <c r="AW1543" s="1212">
        <v>0.33333333333333331</v>
      </c>
      <c r="AX1543" s="1212"/>
      <c r="AY1543" s="1212"/>
      <c r="AZ1543" s="1212"/>
      <c r="BA1543" s="1212"/>
      <c r="BB1543" s="1212"/>
      <c r="BC1543" s="1212"/>
      <c r="BD1543" s="1212"/>
      <c r="BE1543" s="1212"/>
      <c r="BF1543" s="2126">
        <v>0</v>
      </c>
      <c r="BG1543" s="2126">
        <v>0</v>
      </c>
      <c r="BH1543" s="2126">
        <v>417.39250000000004</v>
      </c>
      <c r="BI1543" s="2126">
        <v>417.39250000000004</v>
      </c>
      <c r="BJ1543" s="2126">
        <v>417.39250000000004</v>
      </c>
      <c r="BK1543" s="2126">
        <v>0</v>
      </c>
      <c r="BL1543" s="2126">
        <v>0</v>
      </c>
      <c r="BM1543" s="2126">
        <v>0</v>
      </c>
      <c r="BN1543" s="2126">
        <v>0</v>
      </c>
      <c r="BO1543" s="2126">
        <v>0</v>
      </c>
      <c r="BP1543" s="2126">
        <v>0</v>
      </c>
      <c r="BQ1543" s="2126">
        <v>0</v>
      </c>
      <c r="BR1543" s="2126">
        <v>0</v>
      </c>
    </row>
    <row r="1544" spans="1:70" s="1765" customFormat="1" ht="33">
      <c r="A1544" s="1272">
        <v>7000</v>
      </c>
      <c r="B1544" s="971" t="s">
        <v>2420</v>
      </c>
      <c r="C1544" s="1272">
        <v>7200</v>
      </c>
      <c r="D1544" s="971" t="s">
        <v>119</v>
      </c>
      <c r="E1544" s="971">
        <v>7230</v>
      </c>
      <c r="F1544" s="971" t="s">
        <v>2430</v>
      </c>
      <c r="G1544" s="971">
        <v>7232</v>
      </c>
      <c r="H1544" s="971" t="s">
        <v>2486</v>
      </c>
      <c r="I1544" s="1273" t="s">
        <v>2541</v>
      </c>
      <c r="J1544" s="971" t="s">
        <v>124</v>
      </c>
      <c r="K1544" s="971" t="s">
        <v>145</v>
      </c>
      <c r="L1544" s="971" t="s">
        <v>2871</v>
      </c>
      <c r="M1544" s="971" t="s">
        <v>556</v>
      </c>
      <c r="N1544" s="971" t="s">
        <v>141</v>
      </c>
      <c r="O1544" s="971" t="s">
        <v>557</v>
      </c>
      <c r="P1544" s="971"/>
      <c r="Q1544" s="971" t="s">
        <v>2542</v>
      </c>
      <c r="R1544" s="1266" t="s">
        <v>2520</v>
      </c>
      <c r="S1544" s="2106">
        <v>66.914498141263948</v>
      </c>
      <c r="T1544" s="1266" t="s">
        <v>136</v>
      </c>
      <c r="U1544" s="1742">
        <v>0.12329166666666667</v>
      </c>
      <c r="V1544" s="1742">
        <v>0.98072916666666676</v>
      </c>
      <c r="W1544" s="1742">
        <v>6.9153175000000005</v>
      </c>
      <c r="X1544" s="1742">
        <v>10.817050416666667</v>
      </c>
      <c r="Y1544" s="2106">
        <v>18.713097083333334</v>
      </c>
      <c r="Z1544" s="2106">
        <v>8.2500000000000018</v>
      </c>
      <c r="AA1544" s="2106">
        <v>65.625000000000014</v>
      </c>
      <c r="AB1544" s="2106">
        <v>462.73500000000007</v>
      </c>
      <c r="AC1544" s="2106">
        <v>723.81750000000011</v>
      </c>
      <c r="AD1544" s="1744">
        <v>1252.1775000000002</v>
      </c>
      <c r="AE1544" s="2126">
        <v>0.3</v>
      </c>
      <c r="AF1544" s="2126">
        <v>20.074349442379184</v>
      </c>
      <c r="AG1544" s="1212">
        <v>1</v>
      </c>
      <c r="AH1544" s="1212">
        <v>0</v>
      </c>
      <c r="AI1544" s="1212">
        <v>0</v>
      </c>
      <c r="AJ1544" s="1212">
        <v>1</v>
      </c>
      <c r="AK1544" s="2126">
        <v>1252.1775000000002</v>
      </c>
      <c r="AL1544" s="2126">
        <v>0</v>
      </c>
      <c r="AM1544" s="2126">
        <v>0</v>
      </c>
      <c r="AN1544" s="2126">
        <v>1252.1775000000002</v>
      </c>
      <c r="AO1544" s="1743" t="s">
        <v>131</v>
      </c>
      <c r="AP1544" s="1743"/>
      <c r="AQ1544" s="1764">
        <v>2014</v>
      </c>
      <c r="AR1544" s="1743" t="s">
        <v>87</v>
      </c>
      <c r="AS1544" s="2135"/>
      <c r="AT1544" s="2135"/>
      <c r="AU1544" s="1212">
        <v>0.33333333333333331</v>
      </c>
      <c r="AV1544" s="1212">
        <v>0.33333333333333331</v>
      </c>
      <c r="AW1544" s="1212">
        <v>0.33333333333333331</v>
      </c>
      <c r="AX1544" s="1212"/>
      <c r="AY1544" s="1212"/>
      <c r="AZ1544" s="1212"/>
      <c r="BA1544" s="1212"/>
      <c r="BB1544" s="1212"/>
      <c r="BC1544" s="1212"/>
      <c r="BD1544" s="1212"/>
      <c r="BE1544" s="1212"/>
      <c r="BF1544" s="2126">
        <v>0</v>
      </c>
      <c r="BG1544" s="2126">
        <v>0</v>
      </c>
      <c r="BH1544" s="2126">
        <v>417.39250000000004</v>
      </c>
      <c r="BI1544" s="2126">
        <v>417.39250000000004</v>
      </c>
      <c r="BJ1544" s="2126">
        <v>417.39250000000004</v>
      </c>
      <c r="BK1544" s="2126">
        <v>0</v>
      </c>
      <c r="BL1544" s="2126">
        <v>0</v>
      </c>
      <c r="BM1544" s="2126">
        <v>0</v>
      </c>
      <c r="BN1544" s="2126">
        <v>0</v>
      </c>
      <c r="BO1544" s="2126">
        <v>0</v>
      </c>
      <c r="BP1544" s="2126">
        <v>0</v>
      </c>
      <c r="BQ1544" s="2126">
        <v>0</v>
      </c>
      <c r="BR1544" s="2126">
        <v>0</v>
      </c>
    </row>
    <row r="1545" spans="1:70" s="1765" customFormat="1" ht="49.5">
      <c r="A1545" s="1272">
        <v>7000</v>
      </c>
      <c r="B1545" s="971" t="s">
        <v>2420</v>
      </c>
      <c r="C1545" s="1272">
        <v>7200</v>
      </c>
      <c r="D1545" s="971" t="s">
        <v>119</v>
      </c>
      <c r="E1545" s="971">
        <v>7230</v>
      </c>
      <c r="F1545" s="971" t="s">
        <v>2430</v>
      </c>
      <c r="G1545" s="971">
        <v>7232</v>
      </c>
      <c r="H1545" s="971" t="s">
        <v>2486</v>
      </c>
      <c r="I1545" s="1273"/>
      <c r="J1545" s="971" t="s">
        <v>124</v>
      </c>
      <c r="K1545" s="971" t="s">
        <v>784</v>
      </c>
      <c r="L1545" s="971" t="s">
        <v>2852</v>
      </c>
      <c r="M1545" s="971" t="s">
        <v>214</v>
      </c>
      <c r="N1545" s="971" t="s">
        <v>127</v>
      </c>
      <c r="O1545" s="971" t="s">
        <v>215</v>
      </c>
      <c r="P1545" s="971"/>
      <c r="Q1545" s="971" t="s">
        <v>2543</v>
      </c>
      <c r="R1545" s="1266" t="s">
        <v>2544</v>
      </c>
      <c r="S1545" s="2106">
        <v>0</v>
      </c>
      <c r="T1545" s="1266" t="s">
        <v>136</v>
      </c>
      <c r="U1545" s="1742">
        <v>0.22416666666666665</v>
      </c>
      <c r="V1545" s="1742">
        <v>2.8020833333333335</v>
      </c>
      <c r="W1545" s="1742">
        <v>19.758049999999997</v>
      </c>
      <c r="X1545" s="1742">
        <v>30.905858333333335</v>
      </c>
      <c r="Y1545" s="2106">
        <v>53.46599166666666</v>
      </c>
      <c r="Z1545" s="2106">
        <v>0</v>
      </c>
      <c r="AA1545" s="2106">
        <v>0</v>
      </c>
      <c r="AB1545" s="2106">
        <v>0</v>
      </c>
      <c r="AC1545" s="2106">
        <v>0</v>
      </c>
      <c r="AD1545" s="1744">
        <v>0</v>
      </c>
      <c r="AE1545" s="2126">
        <v>1</v>
      </c>
      <c r="AF1545" s="2126">
        <v>0</v>
      </c>
      <c r="AG1545" s="1212">
        <v>1</v>
      </c>
      <c r="AH1545" s="1212">
        <v>0</v>
      </c>
      <c r="AI1545" s="1212">
        <v>0</v>
      </c>
      <c r="AJ1545" s="1212">
        <v>1</v>
      </c>
      <c r="AK1545" s="2126">
        <v>0</v>
      </c>
      <c r="AL1545" s="2126">
        <v>0</v>
      </c>
      <c r="AM1545" s="2126">
        <v>0</v>
      </c>
      <c r="AN1545" s="2126">
        <v>0</v>
      </c>
      <c r="AO1545" s="1743" t="s">
        <v>131</v>
      </c>
      <c r="AP1545" s="1743"/>
      <c r="AQ1545" s="1764">
        <v>2014</v>
      </c>
      <c r="AR1545" s="1743" t="s">
        <v>87</v>
      </c>
      <c r="AS1545" s="2135"/>
      <c r="AT1545" s="2135"/>
      <c r="AU1545" s="1212">
        <v>0.5</v>
      </c>
      <c r="AV1545" s="1212">
        <v>0.5</v>
      </c>
      <c r="AW1545" s="1212"/>
      <c r="AX1545" s="1212"/>
      <c r="AY1545" s="1212"/>
      <c r="AZ1545" s="1212"/>
      <c r="BA1545" s="1212"/>
      <c r="BB1545" s="1212"/>
      <c r="BC1545" s="1212"/>
      <c r="BD1545" s="1212"/>
      <c r="BE1545" s="1212"/>
      <c r="BF1545" s="2126">
        <v>0</v>
      </c>
      <c r="BG1545" s="2126">
        <v>0</v>
      </c>
      <c r="BH1545" s="2126">
        <v>0</v>
      </c>
      <c r="BI1545" s="2126">
        <v>0</v>
      </c>
      <c r="BJ1545" s="2126">
        <v>0</v>
      </c>
      <c r="BK1545" s="2126">
        <v>0</v>
      </c>
      <c r="BL1545" s="2126">
        <v>0</v>
      </c>
      <c r="BM1545" s="2126">
        <v>0</v>
      </c>
      <c r="BN1545" s="2126">
        <v>0</v>
      </c>
      <c r="BO1545" s="2126">
        <v>0</v>
      </c>
      <c r="BP1545" s="2126">
        <v>0</v>
      </c>
      <c r="BQ1545" s="2126">
        <v>0</v>
      </c>
      <c r="BR1545" s="2126">
        <v>0</v>
      </c>
    </row>
    <row r="1546" spans="1:70" s="1765" customFormat="1" ht="33">
      <c r="A1546" s="1272">
        <v>7000</v>
      </c>
      <c r="B1546" s="971" t="s">
        <v>2420</v>
      </c>
      <c r="C1546" s="1272">
        <v>7200</v>
      </c>
      <c r="D1546" s="971" t="s">
        <v>119</v>
      </c>
      <c r="E1546" s="971">
        <v>7230</v>
      </c>
      <c r="F1546" s="971" t="s">
        <v>2430</v>
      </c>
      <c r="G1546" s="971">
        <v>7232</v>
      </c>
      <c r="H1546" s="971" t="s">
        <v>2486</v>
      </c>
      <c r="I1546" s="1273"/>
      <c r="J1546" s="971" t="s">
        <v>124</v>
      </c>
      <c r="K1546" s="971" t="s">
        <v>140</v>
      </c>
      <c r="L1546" s="971" t="s">
        <v>2909</v>
      </c>
      <c r="M1546" s="971" t="s">
        <v>140</v>
      </c>
      <c r="N1546" s="971" t="s">
        <v>141</v>
      </c>
      <c r="O1546" s="971" t="s">
        <v>142</v>
      </c>
      <c r="P1546" s="971"/>
      <c r="Q1546" s="971" t="s">
        <v>2545</v>
      </c>
      <c r="R1546" s="1266" t="s">
        <v>2544</v>
      </c>
      <c r="S1546" s="2106">
        <v>0</v>
      </c>
      <c r="T1546" s="1266" t="s">
        <v>136</v>
      </c>
      <c r="U1546" s="1742">
        <v>0</v>
      </c>
      <c r="V1546" s="1742">
        <v>0</v>
      </c>
      <c r="W1546" s="1742">
        <v>0</v>
      </c>
      <c r="X1546" s="1742">
        <v>0</v>
      </c>
      <c r="Y1546" s="2106">
        <v>0</v>
      </c>
      <c r="Z1546" s="2106">
        <v>0</v>
      </c>
      <c r="AA1546" s="2106">
        <v>0</v>
      </c>
      <c r="AB1546" s="2106">
        <v>0</v>
      </c>
      <c r="AC1546" s="2106">
        <v>0</v>
      </c>
      <c r="AD1546" s="1744">
        <v>0</v>
      </c>
      <c r="AE1546" s="2126">
        <v>0</v>
      </c>
      <c r="AF1546" s="2126">
        <v>0</v>
      </c>
      <c r="AG1546" s="1212">
        <v>1</v>
      </c>
      <c r="AH1546" s="1212">
        <v>0</v>
      </c>
      <c r="AI1546" s="1212">
        <v>0</v>
      </c>
      <c r="AJ1546" s="1212">
        <v>1</v>
      </c>
      <c r="AK1546" s="2126">
        <v>0</v>
      </c>
      <c r="AL1546" s="2126">
        <v>0</v>
      </c>
      <c r="AM1546" s="2126">
        <v>0</v>
      </c>
      <c r="AN1546" s="2126">
        <v>0</v>
      </c>
      <c r="AO1546" s="1743" t="s">
        <v>131</v>
      </c>
      <c r="AP1546" s="1743"/>
      <c r="AQ1546" s="1764">
        <v>2014</v>
      </c>
      <c r="AR1546" s="1743" t="s">
        <v>87</v>
      </c>
      <c r="AS1546" s="2135"/>
      <c r="AT1546" s="2135"/>
      <c r="AU1546" s="1212">
        <v>0.5</v>
      </c>
      <c r="AV1546" s="1212">
        <v>0.5</v>
      </c>
      <c r="AW1546" s="1212"/>
      <c r="AX1546" s="1212"/>
      <c r="AY1546" s="1212"/>
      <c r="AZ1546" s="1212"/>
      <c r="BA1546" s="1212"/>
      <c r="BB1546" s="1212"/>
      <c r="BC1546" s="1212"/>
      <c r="BD1546" s="1212"/>
      <c r="BE1546" s="1212"/>
      <c r="BF1546" s="2126">
        <v>0</v>
      </c>
      <c r="BG1546" s="2126">
        <v>0</v>
      </c>
      <c r="BH1546" s="2126">
        <v>0</v>
      </c>
      <c r="BI1546" s="2126">
        <v>0</v>
      </c>
      <c r="BJ1546" s="2126">
        <v>0</v>
      </c>
      <c r="BK1546" s="2126">
        <v>0</v>
      </c>
      <c r="BL1546" s="2126">
        <v>0</v>
      </c>
      <c r="BM1546" s="2126">
        <v>0</v>
      </c>
      <c r="BN1546" s="2126">
        <v>0</v>
      </c>
      <c r="BO1546" s="2126">
        <v>0</v>
      </c>
      <c r="BP1546" s="2126">
        <v>0</v>
      </c>
      <c r="BQ1546" s="2126">
        <v>0</v>
      </c>
      <c r="BR1546" s="2126">
        <v>0</v>
      </c>
    </row>
    <row r="1547" spans="1:70" s="1765" customFormat="1" ht="33">
      <c r="A1547" s="1272">
        <v>7000</v>
      </c>
      <c r="B1547" s="971" t="s">
        <v>2420</v>
      </c>
      <c r="C1547" s="1272">
        <v>7200</v>
      </c>
      <c r="D1547" s="971" t="s">
        <v>119</v>
      </c>
      <c r="E1547" s="971">
        <v>7230</v>
      </c>
      <c r="F1547" s="971" t="s">
        <v>2430</v>
      </c>
      <c r="G1547" s="971">
        <v>7232</v>
      </c>
      <c r="H1547" s="971" t="s">
        <v>2486</v>
      </c>
      <c r="I1547" s="1273"/>
      <c r="J1547" s="971" t="s">
        <v>124</v>
      </c>
      <c r="K1547" s="971" t="s">
        <v>145</v>
      </c>
      <c r="L1547" s="971" t="s">
        <v>2871</v>
      </c>
      <c r="M1547" s="971" t="s">
        <v>145</v>
      </c>
      <c r="N1547" s="971" t="s">
        <v>141</v>
      </c>
      <c r="O1547" s="971" t="s">
        <v>146</v>
      </c>
      <c r="P1547" s="971"/>
      <c r="Q1547" s="971" t="s">
        <v>2546</v>
      </c>
      <c r="R1547" s="1266" t="s">
        <v>2544</v>
      </c>
      <c r="S1547" s="2106">
        <v>0</v>
      </c>
      <c r="T1547" s="1266" t="s">
        <v>136</v>
      </c>
      <c r="U1547" s="1742">
        <v>0.12329166666666667</v>
      </c>
      <c r="V1547" s="1742">
        <v>0.98072916666666676</v>
      </c>
      <c r="W1547" s="1742">
        <v>6.9153175000000005</v>
      </c>
      <c r="X1547" s="1742">
        <v>10.817050416666667</v>
      </c>
      <c r="Y1547" s="2106">
        <v>18.713097083333334</v>
      </c>
      <c r="Z1547" s="2106">
        <v>0</v>
      </c>
      <c r="AA1547" s="2106">
        <v>0</v>
      </c>
      <c r="AB1547" s="2106">
        <v>0</v>
      </c>
      <c r="AC1547" s="2106">
        <v>0</v>
      </c>
      <c r="AD1547" s="1744">
        <v>0</v>
      </c>
      <c r="AE1547" s="2126">
        <v>0.3</v>
      </c>
      <c r="AF1547" s="2126">
        <v>0</v>
      </c>
      <c r="AG1547" s="1212">
        <v>1</v>
      </c>
      <c r="AH1547" s="1212">
        <v>0</v>
      </c>
      <c r="AI1547" s="1212">
        <v>0</v>
      </c>
      <c r="AJ1547" s="1212">
        <v>1</v>
      </c>
      <c r="AK1547" s="2126">
        <v>0</v>
      </c>
      <c r="AL1547" s="2126">
        <v>0</v>
      </c>
      <c r="AM1547" s="2126">
        <v>0</v>
      </c>
      <c r="AN1547" s="2126">
        <v>0</v>
      </c>
      <c r="AO1547" s="1743" t="s">
        <v>131</v>
      </c>
      <c r="AP1547" s="1743"/>
      <c r="AQ1547" s="1764">
        <v>2014</v>
      </c>
      <c r="AR1547" s="1743" t="s">
        <v>87</v>
      </c>
      <c r="AS1547" s="2135"/>
      <c r="AT1547" s="2135"/>
      <c r="AU1547" s="1212">
        <v>0.5</v>
      </c>
      <c r="AV1547" s="1212">
        <v>0.5</v>
      </c>
      <c r="AW1547" s="1212"/>
      <c r="AX1547" s="1212"/>
      <c r="AY1547" s="1212"/>
      <c r="AZ1547" s="1212"/>
      <c r="BA1547" s="1212"/>
      <c r="BB1547" s="1212"/>
      <c r="BC1547" s="1212"/>
      <c r="BD1547" s="1212"/>
      <c r="BE1547" s="1212"/>
      <c r="BF1547" s="2126">
        <v>0</v>
      </c>
      <c r="BG1547" s="2126">
        <v>0</v>
      </c>
      <c r="BH1547" s="2126">
        <v>0</v>
      </c>
      <c r="BI1547" s="2126">
        <v>0</v>
      </c>
      <c r="BJ1547" s="2126">
        <v>0</v>
      </c>
      <c r="BK1547" s="2126">
        <v>0</v>
      </c>
      <c r="BL1547" s="2126">
        <v>0</v>
      </c>
      <c r="BM1547" s="2126">
        <v>0</v>
      </c>
      <c r="BN1547" s="2126">
        <v>0</v>
      </c>
      <c r="BO1547" s="2126">
        <v>0</v>
      </c>
      <c r="BP1547" s="2126">
        <v>0</v>
      </c>
      <c r="BQ1547" s="2126">
        <v>0</v>
      </c>
      <c r="BR1547" s="2126">
        <v>0</v>
      </c>
    </row>
    <row r="1548" spans="1:70" s="1765" customFormat="1" ht="33">
      <c r="A1548" s="1272">
        <v>7000</v>
      </c>
      <c r="B1548" s="971" t="s">
        <v>2420</v>
      </c>
      <c r="C1548" s="1272">
        <v>7200</v>
      </c>
      <c r="D1548" s="971" t="s">
        <v>119</v>
      </c>
      <c r="E1548" s="971">
        <v>7230</v>
      </c>
      <c r="F1548" s="971" t="s">
        <v>2430</v>
      </c>
      <c r="G1548" s="971">
        <v>7232</v>
      </c>
      <c r="H1548" s="971" t="s">
        <v>2486</v>
      </c>
      <c r="I1548" s="1273" t="s">
        <v>2547</v>
      </c>
      <c r="J1548" s="971" t="s">
        <v>124</v>
      </c>
      <c r="K1548" s="971" t="s">
        <v>145</v>
      </c>
      <c r="L1548" s="971" t="s">
        <v>2871</v>
      </c>
      <c r="M1548" s="971" t="s">
        <v>145</v>
      </c>
      <c r="N1548" s="971" t="s">
        <v>141</v>
      </c>
      <c r="O1548" s="971" t="s">
        <v>146</v>
      </c>
      <c r="P1548" s="971"/>
      <c r="Q1548" s="971" t="s">
        <v>2548</v>
      </c>
      <c r="R1548" s="1266" t="s">
        <v>2492</v>
      </c>
      <c r="S1548" s="2106">
        <v>35.687732342007436</v>
      </c>
      <c r="T1548" s="1266" t="s">
        <v>136</v>
      </c>
      <c r="U1548" s="1742">
        <v>0.12329166666666667</v>
      </c>
      <c r="V1548" s="1742">
        <v>0.98072916666666676</v>
      </c>
      <c r="W1548" s="1742">
        <v>6.9153175000000005</v>
      </c>
      <c r="X1548" s="1742">
        <v>10.817050416666667</v>
      </c>
      <c r="Y1548" s="2106">
        <v>18.713097083333334</v>
      </c>
      <c r="Z1548" s="2106">
        <v>4.4000000000000004</v>
      </c>
      <c r="AA1548" s="2106">
        <v>35.000000000000007</v>
      </c>
      <c r="AB1548" s="2106">
        <v>246.79200000000003</v>
      </c>
      <c r="AC1548" s="2106">
        <v>386.03600000000006</v>
      </c>
      <c r="AD1548" s="1744">
        <v>667.82800000000009</v>
      </c>
      <c r="AE1548" s="2126">
        <v>0.3</v>
      </c>
      <c r="AF1548" s="2126">
        <v>10.706319702602231</v>
      </c>
      <c r="AG1548" s="1212">
        <v>1</v>
      </c>
      <c r="AH1548" s="1212">
        <v>0</v>
      </c>
      <c r="AI1548" s="1212">
        <v>0</v>
      </c>
      <c r="AJ1548" s="1212">
        <v>1</v>
      </c>
      <c r="AK1548" s="2126">
        <v>667.82800000000009</v>
      </c>
      <c r="AL1548" s="2126">
        <v>0</v>
      </c>
      <c r="AM1548" s="2126">
        <v>0</v>
      </c>
      <c r="AN1548" s="2126">
        <v>667.82800000000009</v>
      </c>
      <c r="AO1548" s="1743" t="s">
        <v>131</v>
      </c>
      <c r="AP1548" s="1743"/>
      <c r="AQ1548" s="1764">
        <v>2014</v>
      </c>
      <c r="AR1548" s="1743" t="s">
        <v>87</v>
      </c>
      <c r="AS1548" s="2135"/>
      <c r="AT1548" s="2135"/>
      <c r="AU1548" s="1212">
        <v>0.33333333333333331</v>
      </c>
      <c r="AV1548" s="1212">
        <v>0.33333333333333331</v>
      </c>
      <c r="AW1548" s="1212">
        <v>0.33333333333333331</v>
      </c>
      <c r="AX1548" s="1212"/>
      <c r="AY1548" s="1212"/>
      <c r="AZ1548" s="1212"/>
      <c r="BA1548" s="1212"/>
      <c r="BB1548" s="1212"/>
      <c r="BC1548" s="1212"/>
      <c r="BD1548" s="1212"/>
      <c r="BE1548" s="1212"/>
      <c r="BF1548" s="2126">
        <v>0</v>
      </c>
      <c r="BG1548" s="2126">
        <v>0</v>
      </c>
      <c r="BH1548" s="2126">
        <v>222.60933333333335</v>
      </c>
      <c r="BI1548" s="2126">
        <v>222.60933333333335</v>
      </c>
      <c r="BJ1548" s="2126">
        <v>222.60933333333335</v>
      </c>
      <c r="BK1548" s="2126">
        <v>0</v>
      </c>
      <c r="BL1548" s="2126">
        <v>0</v>
      </c>
      <c r="BM1548" s="2126">
        <v>0</v>
      </c>
      <c r="BN1548" s="2126">
        <v>0</v>
      </c>
      <c r="BO1548" s="2126">
        <v>0</v>
      </c>
      <c r="BP1548" s="2126">
        <v>0</v>
      </c>
      <c r="BQ1548" s="2126">
        <v>0</v>
      </c>
      <c r="BR1548" s="2126">
        <v>0</v>
      </c>
    </row>
    <row r="1549" spans="1:70" s="1765" customFormat="1" ht="33">
      <c r="A1549" s="1272">
        <v>7000</v>
      </c>
      <c r="B1549" s="971" t="s">
        <v>2420</v>
      </c>
      <c r="C1549" s="1272">
        <v>7200</v>
      </c>
      <c r="D1549" s="971" t="s">
        <v>119</v>
      </c>
      <c r="E1549" s="971">
        <v>7230</v>
      </c>
      <c r="F1549" s="971" t="s">
        <v>2430</v>
      </c>
      <c r="G1549" s="971">
        <v>7232</v>
      </c>
      <c r="H1549" s="971" t="s">
        <v>2486</v>
      </c>
      <c r="I1549" s="1273" t="s">
        <v>2549</v>
      </c>
      <c r="J1549" s="971" t="s">
        <v>124</v>
      </c>
      <c r="K1549" s="971" t="s">
        <v>145</v>
      </c>
      <c r="L1549" s="971" t="s">
        <v>2871</v>
      </c>
      <c r="M1549" s="971" t="s">
        <v>145</v>
      </c>
      <c r="N1549" s="971" t="s">
        <v>141</v>
      </c>
      <c r="O1549" s="971" t="s">
        <v>146</v>
      </c>
      <c r="P1549" s="971"/>
      <c r="Q1549" s="971" t="s">
        <v>2550</v>
      </c>
      <c r="R1549" s="1266" t="s">
        <v>2495</v>
      </c>
      <c r="S1549" s="2106">
        <v>35.687732342007436</v>
      </c>
      <c r="T1549" s="1266" t="s">
        <v>136</v>
      </c>
      <c r="U1549" s="1742">
        <v>0.12329166666666667</v>
      </c>
      <c r="V1549" s="1742">
        <v>0.98072916666666676</v>
      </c>
      <c r="W1549" s="1742">
        <v>6.9153175000000005</v>
      </c>
      <c r="X1549" s="1742">
        <v>10.817050416666667</v>
      </c>
      <c r="Y1549" s="2106">
        <v>18.713097083333334</v>
      </c>
      <c r="Z1549" s="2106">
        <v>4.4000000000000004</v>
      </c>
      <c r="AA1549" s="2106">
        <v>35.000000000000007</v>
      </c>
      <c r="AB1549" s="2106">
        <v>246.79200000000003</v>
      </c>
      <c r="AC1549" s="2106">
        <v>386.03600000000006</v>
      </c>
      <c r="AD1549" s="1744">
        <v>667.82800000000009</v>
      </c>
      <c r="AE1549" s="2126">
        <v>0.3</v>
      </c>
      <c r="AF1549" s="2126">
        <v>10.706319702602231</v>
      </c>
      <c r="AG1549" s="1212">
        <v>1</v>
      </c>
      <c r="AH1549" s="1212">
        <v>0</v>
      </c>
      <c r="AI1549" s="1212">
        <v>0</v>
      </c>
      <c r="AJ1549" s="1212">
        <v>1</v>
      </c>
      <c r="AK1549" s="2126">
        <v>667.82800000000009</v>
      </c>
      <c r="AL1549" s="2126">
        <v>0</v>
      </c>
      <c r="AM1549" s="2126">
        <v>0</v>
      </c>
      <c r="AN1549" s="2126">
        <v>667.82800000000009</v>
      </c>
      <c r="AO1549" s="1743" t="s">
        <v>131</v>
      </c>
      <c r="AP1549" s="1743"/>
      <c r="AQ1549" s="1764">
        <v>2014</v>
      </c>
      <c r="AR1549" s="1743" t="s">
        <v>87</v>
      </c>
      <c r="AS1549" s="2135"/>
      <c r="AT1549" s="2135"/>
      <c r="AU1549" s="1212">
        <v>0.33333333333333331</v>
      </c>
      <c r="AV1549" s="1212">
        <v>0.33333333333333331</v>
      </c>
      <c r="AW1549" s="1212">
        <v>0.33333333333333331</v>
      </c>
      <c r="AX1549" s="1212"/>
      <c r="AY1549" s="1212"/>
      <c r="AZ1549" s="1212"/>
      <c r="BA1549" s="1212"/>
      <c r="BB1549" s="1212"/>
      <c r="BC1549" s="1212"/>
      <c r="BD1549" s="1212"/>
      <c r="BE1549" s="1212"/>
      <c r="BF1549" s="2126">
        <v>0</v>
      </c>
      <c r="BG1549" s="2126">
        <v>0</v>
      </c>
      <c r="BH1549" s="2126">
        <v>222.60933333333335</v>
      </c>
      <c r="BI1549" s="2126">
        <v>222.60933333333335</v>
      </c>
      <c r="BJ1549" s="2126">
        <v>222.60933333333335</v>
      </c>
      <c r="BK1549" s="2126">
        <v>0</v>
      </c>
      <c r="BL1549" s="2126">
        <v>0</v>
      </c>
      <c r="BM1549" s="2126">
        <v>0</v>
      </c>
      <c r="BN1549" s="2126">
        <v>0</v>
      </c>
      <c r="BO1549" s="2126">
        <v>0</v>
      </c>
      <c r="BP1549" s="2126">
        <v>0</v>
      </c>
      <c r="BQ1549" s="2126">
        <v>0</v>
      </c>
      <c r="BR1549" s="2126">
        <v>0</v>
      </c>
    </row>
    <row r="1550" spans="1:70" s="1765" customFormat="1" ht="33">
      <c r="A1550" s="1272">
        <v>7000</v>
      </c>
      <c r="B1550" s="971" t="s">
        <v>2420</v>
      </c>
      <c r="C1550" s="1272">
        <v>7200</v>
      </c>
      <c r="D1550" s="971" t="s">
        <v>119</v>
      </c>
      <c r="E1550" s="971">
        <v>7230</v>
      </c>
      <c r="F1550" s="971" t="s">
        <v>2430</v>
      </c>
      <c r="G1550" s="971">
        <v>7232</v>
      </c>
      <c r="H1550" s="971" t="s">
        <v>2486</v>
      </c>
      <c r="I1550" s="1273" t="s">
        <v>2551</v>
      </c>
      <c r="J1550" s="971" t="s">
        <v>124</v>
      </c>
      <c r="K1550" s="971" t="s">
        <v>140</v>
      </c>
      <c r="L1550" s="971" t="s">
        <v>2909</v>
      </c>
      <c r="M1550" s="971" t="s">
        <v>140</v>
      </c>
      <c r="N1550" s="971" t="s">
        <v>141</v>
      </c>
      <c r="O1550" s="971" t="s">
        <v>142</v>
      </c>
      <c r="P1550" s="971"/>
      <c r="Q1550" s="971" t="s">
        <v>2552</v>
      </c>
      <c r="R1550" s="1266" t="s">
        <v>2536</v>
      </c>
      <c r="S1550" s="2106">
        <v>14.869888475836431</v>
      </c>
      <c r="T1550" s="1266" t="s">
        <v>136</v>
      </c>
      <c r="U1550" s="1742">
        <v>0</v>
      </c>
      <c r="V1550" s="1742">
        <v>0</v>
      </c>
      <c r="W1550" s="1742">
        <v>0</v>
      </c>
      <c r="X1550" s="1742">
        <v>0</v>
      </c>
      <c r="Y1550" s="2106">
        <v>0</v>
      </c>
      <c r="Z1550" s="2106">
        <v>0</v>
      </c>
      <c r="AA1550" s="2106">
        <v>0</v>
      </c>
      <c r="AB1550" s="2106">
        <v>0</v>
      </c>
      <c r="AC1550" s="2106">
        <v>0</v>
      </c>
      <c r="AD1550" s="1744">
        <v>0</v>
      </c>
      <c r="AE1550" s="2126">
        <v>0</v>
      </c>
      <c r="AF1550" s="2126">
        <v>0</v>
      </c>
      <c r="AG1550" s="1212">
        <v>1</v>
      </c>
      <c r="AH1550" s="1212">
        <v>0</v>
      </c>
      <c r="AI1550" s="1212">
        <v>0</v>
      </c>
      <c r="AJ1550" s="1212">
        <v>1</v>
      </c>
      <c r="AK1550" s="2126">
        <v>0</v>
      </c>
      <c r="AL1550" s="2126">
        <v>0</v>
      </c>
      <c r="AM1550" s="2126">
        <v>0</v>
      </c>
      <c r="AN1550" s="2126">
        <v>0</v>
      </c>
      <c r="AO1550" s="1743" t="s">
        <v>131</v>
      </c>
      <c r="AP1550" s="1743"/>
      <c r="AQ1550" s="1764">
        <v>2014</v>
      </c>
      <c r="AR1550" s="1743" t="s">
        <v>87</v>
      </c>
      <c r="AS1550" s="2135"/>
      <c r="AT1550" s="2135"/>
      <c r="AU1550" s="1212">
        <v>0.33333333333333331</v>
      </c>
      <c r="AV1550" s="1212">
        <v>0.33333333333333331</v>
      </c>
      <c r="AW1550" s="1212">
        <v>0.33333333333333331</v>
      </c>
      <c r="AX1550" s="1212"/>
      <c r="AY1550" s="1212"/>
      <c r="AZ1550" s="1212"/>
      <c r="BA1550" s="1212"/>
      <c r="BB1550" s="1212"/>
      <c r="BC1550" s="1212"/>
      <c r="BD1550" s="1212"/>
      <c r="BE1550" s="1212"/>
      <c r="BF1550" s="2126">
        <v>0</v>
      </c>
      <c r="BG1550" s="2126">
        <v>0</v>
      </c>
      <c r="BH1550" s="2126">
        <v>0</v>
      </c>
      <c r="BI1550" s="2126">
        <v>0</v>
      </c>
      <c r="BJ1550" s="2126">
        <v>0</v>
      </c>
      <c r="BK1550" s="2126">
        <v>0</v>
      </c>
      <c r="BL1550" s="2126">
        <v>0</v>
      </c>
      <c r="BM1550" s="2126">
        <v>0</v>
      </c>
      <c r="BN1550" s="2126">
        <v>0</v>
      </c>
      <c r="BO1550" s="2126">
        <v>0</v>
      </c>
      <c r="BP1550" s="2126">
        <v>0</v>
      </c>
      <c r="BQ1550" s="2126">
        <v>0</v>
      </c>
      <c r="BR1550" s="2126">
        <v>0</v>
      </c>
    </row>
    <row r="1551" spans="1:70" s="1765" customFormat="1" ht="33">
      <c r="A1551" s="1272">
        <v>7000</v>
      </c>
      <c r="B1551" s="971" t="s">
        <v>2420</v>
      </c>
      <c r="C1551" s="1272">
        <v>7200</v>
      </c>
      <c r="D1551" s="971" t="s">
        <v>119</v>
      </c>
      <c r="E1551" s="971">
        <v>7230</v>
      </c>
      <c r="F1551" s="971" t="s">
        <v>2430</v>
      </c>
      <c r="G1551" s="971">
        <v>7232</v>
      </c>
      <c r="H1551" s="971" t="s">
        <v>2486</v>
      </c>
      <c r="I1551" s="1273" t="s">
        <v>2553</v>
      </c>
      <c r="J1551" s="971" t="s">
        <v>124</v>
      </c>
      <c r="K1551" s="971"/>
      <c r="L1551" s="971" t="e">
        <v>#N/A</v>
      </c>
      <c r="M1551" s="971" t="s">
        <v>145</v>
      </c>
      <c r="N1551" s="971" t="s">
        <v>141</v>
      </c>
      <c r="O1551" s="971" t="s">
        <v>146</v>
      </c>
      <c r="P1551" s="971"/>
      <c r="Q1551" s="971" t="s">
        <v>2554</v>
      </c>
      <c r="R1551" s="1266" t="s">
        <v>2536</v>
      </c>
      <c r="S1551" s="2106">
        <v>14.869888475836431</v>
      </c>
      <c r="T1551" s="1266" t="s">
        <v>136</v>
      </c>
      <c r="U1551" s="1742" t="s">
        <v>6588</v>
      </c>
      <c r="V1551" s="1742" t="s">
        <v>6588</v>
      </c>
      <c r="W1551" s="1742" t="s">
        <v>6588</v>
      </c>
      <c r="X1551" s="1742" t="s">
        <v>6588</v>
      </c>
      <c r="Y1551" s="2106" t="s">
        <v>6588</v>
      </c>
      <c r="Z1551" s="2106">
        <v>0</v>
      </c>
      <c r="AA1551" s="2106">
        <v>0</v>
      </c>
      <c r="AB1551" s="2106">
        <v>0</v>
      </c>
      <c r="AC1551" s="2106">
        <v>0</v>
      </c>
      <c r="AD1551" s="1744">
        <v>0</v>
      </c>
      <c r="AE1551" s="2126">
        <v>0</v>
      </c>
      <c r="AF1551" s="2126">
        <v>0</v>
      </c>
      <c r="AG1551" s="1212">
        <v>1</v>
      </c>
      <c r="AH1551" s="1212">
        <v>0</v>
      </c>
      <c r="AI1551" s="1212">
        <v>0</v>
      </c>
      <c r="AJ1551" s="1212">
        <v>1</v>
      </c>
      <c r="AK1551" s="2126">
        <v>0</v>
      </c>
      <c r="AL1551" s="2126">
        <v>0</v>
      </c>
      <c r="AM1551" s="2126">
        <v>0</v>
      </c>
      <c r="AN1551" s="2126">
        <v>0</v>
      </c>
      <c r="AO1551" s="1743" t="s">
        <v>131</v>
      </c>
      <c r="AP1551" s="1743"/>
      <c r="AQ1551" s="1764">
        <v>2014</v>
      </c>
      <c r="AR1551" s="1743" t="s">
        <v>87</v>
      </c>
      <c r="AS1551" s="2135"/>
      <c r="AT1551" s="2135"/>
      <c r="AU1551" s="1212">
        <v>0.33333333333333331</v>
      </c>
      <c r="AV1551" s="1212">
        <v>0.33333333333333331</v>
      </c>
      <c r="AW1551" s="1212">
        <v>0.33333333333333331</v>
      </c>
      <c r="AX1551" s="1212"/>
      <c r="AY1551" s="1212"/>
      <c r="AZ1551" s="1212"/>
      <c r="BA1551" s="1212"/>
      <c r="BB1551" s="1212"/>
      <c r="BC1551" s="1212"/>
      <c r="BD1551" s="1212"/>
      <c r="BE1551" s="1212"/>
      <c r="BF1551" s="2126">
        <v>0</v>
      </c>
      <c r="BG1551" s="2126">
        <v>0</v>
      </c>
      <c r="BH1551" s="2126">
        <v>0</v>
      </c>
      <c r="BI1551" s="2126">
        <v>0</v>
      </c>
      <c r="BJ1551" s="2126">
        <v>0</v>
      </c>
      <c r="BK1551" s="2126">
        <v>0</v>
      </c>
      <c r="BL1551" s="2126">
        <v>0</v>
      </c>
      <c r="BM1551" s="2126">
        <v>0</v>
      </c>
      <c r="BN1551" s="2126">
        <v>0</v>
      </c>
      <c r="BO1551" s="2126">
        <v>0</v>
      </c>
      <c r="BP1551" s="2126">
        <v>0</v>
      </c>
      <c r="BQ1551" s="2126">
        <v>0</v>
      </c>
      <c r="BR1551" s="2126">
        <v>0</v>
      </c>
    </row>
    <row r="1552" spans="1:70" s="1765" customFormat="1" ht="33">
      <c r="A1552" s="1272">
        <v>7000</v>
      </c>
      <c r="B1552" s="971" t="s">
        <v>2420</v>
      </c>
      <c r="C1552" s="1272">
        <v>7200</v>
      </c>
      <c r="D1552" s="971" t="s">
        <v>119</v>
      </c>
      <c r="E1552" s="971">
        <v>7230</v>
      </c>
      <c r="F1552" s="971" t="s">
        <v>2430</v>
      </c>
      <c r="G1552" s="971">
        <v>7232</v>
      </c>
      <c r="H1552" s="971" t="s">
        <v>2486</v>
      </c>
      <c r="I1552" s="1273" t="s">
        <v>2555</v>
      </c>
      <c r="J1552" s="971" t="s">
        <v>124</v>
      </c>
      <c r="K1552" s="971" t="s">
        <v>140</v>
      </c>
      <c r="L1552" s="971" t="s">
        <v>2909</v>
      </c>
      <c r="M1552" s="971" t="s">
        <v>140</v>
      </c>
      <c r="N1552" s="971" t="s">
        <v>141</v>
      </c>
      <c r="O1552" s="971" t="s">
        <v>142</v>
      </c>
      <c r="P1552" s="971"/>
      <c r="Q1552" s="971" t="s">
        <v>2556</v>
      </c>
      <c r="R1552" s="1266" t="s">
        <v>2523</v>
      </c>
      <c r="S1552" s="2106">
        <v>44.609665427509292</v>
      </c>
      <c r="T1552" s="1266" t="s">
        <v>136</v>
      </c>
      <c r="U1552" s="1742">
        <v>0</v>
      </c>
      <c r="V1552" s="1742">
        <v>0</v>
      </c>
      <c r="W1552" s="1742">
        <v>0</v>
      </c>
      <c r="X1552" s="1742">
        <v>0</v>
      </c>
      <c r="Y1552" s="2106">
        <v>0</v>
      </c>
      <c r="Z1552" s="2106">
        <v>0</v>
      </c>
      <c r="AA1552" s="2106">
        <v>0</v>
      </c>
      <c r="AB1552" s="2106">
        <v>0</v>
      </c>
      <c r="AC1552" s="2106">
        <v>0</v>
      </c>
      <c r="AD1552" s="1744">
        <v>0</v>
      </c>
      <c r="AE1552" s="2126">
        <v>0</v>
      </c>
      <c r="AF1552" s="2126">
        <v>0</v>
      </c>
      <c r="AG1552" s="1212">
        <v>1</v>
      </c>
      <c r="AH1552" s="1212">
        <v>0</v>
      </c>
      <c r="AI1552" s="1212">
        <v>0</v>
      </c>
      <c r="AJ1552" s="1212">
        <v>1</v>
      </c>
      <c r="AK1552" s="2126">
        <v>0</v>
      </c>
      <c r="AL1552" s="2126">
        <v>0</v>
      </c>
      <c r="AM1552" s="2126">
        <v>0</v>
      </c>
      <c r="AN1552" s="2126">
        <v>0</v>
      </c>
      <c r="AO1552" s="1743" t="s">
        <v>131</v>
      </c>
      <c r="AP1552" s="1743"/>
      <c r="AQ1552" s="1764">
        <v>2014</v>
      </c>
      <c r="AR1552" s="1743" t="s">
        <v>87</v>
      </c>
      <c r="AS1552" s="2135"/>
      <c r="AT1552" s="2135"/>
      <c r="AU1552" s="1212">
        <v>0.5</v>
      </c>
      <c r="AV1552" s="1212">
        <v>0.5</v>
      </c>
      <c r="AW1552" s="1212"/>
      <c r="AX1552" s="1212"/>
      <c r="AY1552" s="1212"/>
      <c r="AZ1552" s="1212"/>
      <c r="BA1552" s="1212"/>
      <c r="BB1552" s="1212"/>
      <c r="BC1552" s="1212"/>
      <c r="BD1552" s="1212"/>
      <c r="BE1552" s="1212"/>
      <c r="BF1552" s="2126">
        <v>0</v>
      </c>
      <c r="BG1552" s="2126">
        <v>0</v>
      </c>
      <c r="BH1552" s="2126">
        <v>0</v>
      </c>
      <c r="BI1552" s="2126">
        <v>0</v>
      </c>
      <c r="BJ1552" s="2126">
        <v>0</v>
      </c>
      <c r="BK1552" s="2126">
        <v>0</v>
      </c>
      <c r="BL1552" s="2126">
        <v>0</v>
      </c>
      <c r="BM1552" s="2126">
        <v>0</v>
      </c>
      <c r="BN1552" s="2126">
        <v>0</v>
      </c>
      <c r="BO1552" s="2126">
        <v>0</v>
      </c>
      <c r="BP1552" s="2126">
        <v>0</v>
      </c>
      <c r="BQ1552" s="2126">
        <v>0</v>
      </c>
      <c r="BR1552" s="2126">
        <v>0</v>
      </c>
    </row>
    <row r="1553" spans="1:70" s="1765" customFormat="1" ht="33">
      <c r="A1553" s="1272">
        <v>7000</v>
      </c>
      <c r="B1553" s="971" t="s">
        <v>2420</v>
      </c>
      <c r="C1553" s="1272">
        <v>7200</v>
      </c>
      <c r="D1553" s="971" t="s">
        <v>119</v>
      </c>
      <c r="E1553" s="971">
        <v>7230</v>
      </c>
      <c r="F1553" s="971" t="s">
        <v>2430</v>
      </c>
      <c r="G1553" s="971">
        <v>7232</v>
      </c>
      <c r="H1553" s="971" t="s">
        <v>2486</v>
      </c>
      <c r="I1553" s="1273" t="s">
        <v>2557</v>
      </c>
      <c r="J1553" s="971" t="s">
        <v>124</v>
      </c>
      <c r="K1553" s="971"/>
      <c r="L1553" s="971" t="e">
        <v>#N/A</v>
      </c>
      <c r="M1553" s="971" t="s">
        <v>145</v>
      </c>
      <c r="N1553" s="971" t="s">
        <v>141</v>
      </c>
      <c r="O1553" s="971" t="s">
        <v>146</v>
      </c>
      <c r="P1553" s="971"/>
      <c r="Q1553" s="971" t="s">
        <v>2558</v>
      </c>
      <c r="R1553" s="1266" t="s">
        <v>2523</v>
      </c>
      <c r="S1553" s="2106">
        <v>44.609665427509292</v>
      </c>
      <c r="T1553" s="1266" t="s">
        <v>136</v>
      </c>
      <c r="U1553" s="1742" t="s">
        <v>6588</v>
      </c>
      <c r="V1553" s="1742" t="s">
        <v>6588</v>
      </c>
      <c r="W1553" s="1742" t="s">
        <v>6588</v>
      </c>
      <c r="X1553" s="1742" t="s">
        <v>6588</v>
      </c>
      <c r="Y1553" s="2106" t="s">
        <v>6588</v>
      </c>
      <c r="Z1553" s="2106">
        <v>0</v>
      </c>
      <c r="AA1553" s="2106">
        <v>0</v>
      </c>
      <c r="AB1553" s="2106">
        <v>0</v>
      </c>
      <c r="AC1553" s="2106">
        <v>0</v>
      </c>
      <c r="AD1553" s="1744">
        <v>0</v>
      </c>
      <c r="AE1553" s="2126">
        <v>0</v>
      </c>
      <c r="AF1553" s="2126">
        <v>0</v>
      </c>
      <c r="AG1553" s="1212">
        <v>1</v>
      </c>
      <c r="AH1553" s="1212">
        <v>0</v>
      </c>
      <c r="AI1553" s="1212">
        <v>0</v>
      </c>
      <c r="AJ1553" s="1212">
        <v>1</v>
      </c>
      <c r="AK1553" s="2126">
        <v>0</v>
      </c>
      <c r="AL1553" s="2126">
        <v>0</v>
      </c>
      <c r="AM1553" s="2126">
        <v>0</v>
      </c>
      <c r="AN1553" s="2126">
        <v>0</v>
      </c>
      <c r="AO1553" s="1743" t="s">
        <v>131</v>
      </c>
      <c r="AP1553" s="1743"/>
      <c r="AQ1553" s="1764">
        <v>2014</v>
      </c>
      <c r="AR1553" s="1743" t="s">
        <v>87</v>
      </c>
      <c r="AS1553" s="2135"/>
      <c r="AT1553" s="2135"/>
      <c r="AU1553" s="1212">
        <v>0.5</v>
      </c>
      <c r="AV1553" s="1212">
        <v>0.5</v>
      </c>
      <c r="AW1553" s="1212"/>
      <c r="AX1553" s="1212"/>
      <c r="AY1553" s="1212"/>
      <c r="AZ1553" s="1212"/>
      <c r="BA1553" s="1212"/>
      <c r="BB1553" s="1212"/>
      <c r="BC1553" s="1212"/>
      <c r="BD1553" s="1212"/>
      <c r="BE1553" s="1212"/>
      <c r="BF1553" s="2126">
        <v>0</v>
      </c>
      <c r="BG1553" s="2126">
        <v>0</v>
      </c>
      <c r="BH1553" s="2126">
        <v>0</v>
      </c>
      <c r="BI1553" s="2126">
        <v>0</v>
      </c>
      <c r="BJ1553" s="2126">
        <v>0</v>
      </c>
      <c r="BK1553" s="2126">
        <v>0</v>
      </c>
      <c r="BL1553" s="2126">
        <v>0</v>
      </c>
      <c r="BM1553" s="2126">
        <v>0</v>
      </c>
      <c r="BN1553" s="2126">
        <v>0</v>
      </c>
      <c r="BO1553" s="2126">
        <v>0</v>
      </c>
      <c r="BP1553" s="2126">
        <v>0</v>
      </c>
      <c r="BQ1553" s="2126">
        <v>0</v>
      </c>
      <c r="BR1553" s="2126">
        <v>0</v>
      </c>
    </row>
    <row r="1554" spans="1:70" s="1765" customFormat="1" ht="33">
      <c r="A1554" s="1272">
        <v>7000</v>
      </c>
      <c r="B1554" s="971" t="s">
        <v>2420</v>
      </c>
      <c r="C1554" s="1272">
        <v>7200</v>
      </c>
      <c r="D1554" s="971" t="s">
        <v>119</v>
      </c>
      <c r="E1554" s="971">
        <v>7230</v>
      </c>
      <c r="F1554" s="971" t="s">
        <v>2430</v>
      </c>
      <c r="G1554" s="971">
        <v>7232</v>
      </c>
      <c r="H1554" s="971" t="s">
        <v>2486</v>
      </c>
      <c r="I1554" s="1273" t="s">
        <v>2559</v>
      </c>
      <c r="J1554" s="971" t="s">
        <v>124</v>
      </c>
      <c r="K1554" s="971" t="s">
        <v>140</v>
      </c>
      <c r="L1554" s="971" t="s">
        <v>2909</v>
      </c>
      <c r="M1554" s="971" t="s">
        <v>140</v>
      </c>
      <c r="N1554" s="971" t="s">
        <v>141</v>
      </c>
      <c r="O1554" s="971" t="s">
        <v>142</v>
      </c>
      <c r="P1554" s="971"/>
      <c r="Q1554" s="971" t="s">
        <v>2560</v>
      </c>
      <c r="R1554" s="1266" t="s">
        <v>2526</v>
      </c>
      <c r="S1554" s="2106">
        <v>44.609665427509292</v>
      </c>
      <c r="T1554" s="1266" t="s">
        <v>136</v>
      </c>
      <c r="U1554" s="1742">
        <v>0</v>
      </c>
      <c r="V1554" s="1742">
        <v>0</v>
      </c>
      <c r="W1554" s="1742">
        <v>0</v>
      </c>
      <c r="X1554" s="1742">
        <v>0</v>
      </c>
      <c r="Y1554" s="2106">
        <v>0</v>
      </c>
      <c r="Z1554" s="2106">
        <v>0</v>
      </c>
      <c r="AA1554" s="2106">
        <v>0</v>
      </c>
      <c r="AB1554" s="2106">
        <v>0</v>
      </c>
      <c r="AC1554" s="2106">
        <v>0</v>
      </c>
      <c r="AD1554" s="1744">
        <v>0</v>
      </c>
      <c r="AE1554" s="2126">
        <v>0</v>
      </c>
      <c r="AF1554" s="2126">
        <v>0</v>
      </c>
      <c r="AG1554" s="1212">
        <v>1</v>
      </c>
      <c r="AH1554" s="1212">
        <v>0</v>
      </c>
      <c r="AI1554" s="1212">
        <v>0</v>
      </c>
      <c r="AJ1554" s="1212">
        <v>1</v>
      </c>
      <c r="AK1554" s="2126">
        <v>0</v>
      </c>
      <c r="AL1554" s="2126">
        <v>0</v>
      </c>
      <c r="AM1554" s="2126">
        <v>0</v>
      </c>
      <c r="AN1554" s="2126">
        <v>0</v>
      </c>
      <c r="AO1554" s="1743" t="s">
        <v>131</v>
      </c>
      <c r="AP1554" s="1743"/>
      <c r="AQ1554" s="1764">
        <v>2014</v>
      </c>
      <c r="AR1554" s="1743" t="s">
        <v>87</v>
      </c>
      <c r="AS1554" s="2135"/>
      <c r="AT1554" s="2135"/>
      <c r="AU1554" s="1212">
        <v>0.5</v>
      </c>
      <c r="AV1554" s="1212">
        <v>0.5</v>
      </c>
      <c r="AW1554" s="1212"/>
      <c r="AX1554" s="1212"/>
      <c r="AY1554" s="1212"/>
      <c r="AZ1554" s="1212"/>
      <c r="BA1554" s="1212"/>
      <c r="BB1554" s="1212"/>
      <c r="BC1554" s="1212"/>
      <c r="BD1554" s="1212"/>
      <c r="BE1554" s="1212"/>
      <c r="BF1554" s="2126">
        <v>0</v>
      </c>
      <c r="BG1554" s="2126">
        <v>0</v>
      </c>
      <c r="BH1554" s="2126">
        <v>0</v>
      </c>
      <c r="BI1554" s="2126">
        <v>0</v>
      </c>
      <c r="BJ1554" s="2126">
        <v>0</v>
      </c>
      <c r="BK1554" s="2126">
        <v>0</v>
      </c>
      <c r="BL1554" s="2126">
        <v>0</v>
      </c>
      <c r="BM1554" s="2126">
        <v>0</v>
      </c>
      <c r="BN1554" s="2126">
        <v>0</v>
      </c>
      <c r="BO1554" s="2126">
        <v>0</v>
      </c>
      <c r="BP1554" s="2126">
        <v>0</v>
      </c>
      <c r="BQ1554" s="2126">
        <v>0</v>
      </c>
      <c r="BR1554" s="2126">
        <v>0</v>
      </c>
    </row>
    <row r="1555" spans="1:70" s="1765" customFormat="1" ht="33">
      <c r="A1555" s="1272">
        <v>7000</v>
      </c>
      <c r="B1555" s="971" t="s">
        <v>2420</v>
      </c>
      <c r="C1555" s="1272">
        <v>7200</v>
      </c>
      <c r="D1555" s="971" t="s">
        <v>119</v>
      </c>
      <c r="E1555" s="971">
        <v>7230</v>
      </c>
      <c r="F1555" s="971" t="s">
        <v>2430</v>
      </c>
      <c r="G1555" s="971">
        <v>7232</v>
      </c>
      <c r="H1555" s="971" t="s">
        <v>2486</v>
      </c>
      <c r="I1555" s="1273" t="s">
        <v>2561</v>
      </c>
      <c r="J1555" s="971" t="s">
        <v>124</v>
      </c>
      <c r="K1555" s="971"/>
      <c r="L1555" s="971" t="e">
        <v>#N/A</v>
      </c>
      <c r="M1555" s="971" t="s">
        <v>145</v>
      </c>
      <c r="N1555" s="971" t="s">
        <v>141</v>
      </c>
      <c r="O1555" s="971" t="s">
        <v>146</v>
      </c>
      <c r="P1555" s="971"/>
      <c r="Q1555" s="971" t="s">
        <v>2562</v>
      </c>
      <c r="R1555" s="1266" t="s">
        <v>2526</v>
      </c>
      <c r="S1555" s="2106">
        <v>44.609665427509292</v>
      </c>
      <c r="T1555" s="1266" t="s">
        <v>136</v>
      </c>
      <c r="U1555" s="1742" t="s">
        <v>6588</v>
      </c>
      <c r="V1555" s="1742" t="s">
        <v>6588</v>
      </c>
      <c r="W1555" s="1742" t="s">
        <v>6588</v>
      </c>
      <c r="X1555" s="1742" t="s">
        <v>6588</v>
      </c>
      <c r="Y1555" s="2106" t="s">
        <v>6588</v>
      </c>
      <c r="Z1555" s="2106">
        <v>0</v>
      </c>
      <c r="AA1555" s="2106">
        <v>0</v>
      </c>
      <c r="AB1555" s="2106">
        <v>0</v>
      </c>
      <c r="AC1555" s="2106">
        <v>0</v>
      </c>
      <c r="AD1555" s="1744">
        <v>0</v>
      </c>
      <c r="AE1555" s="2126">
        <v>0</v>
      </c>
      <c r="AF1555" s="2126">
        <v>0</v>
      </c>
      <c r="AG1555" s="1212">
        <v>1</v>
      </c>
      <c r="AH1555" s="1212">
        <v>0</v>
      </c>
      <c r="AI1555" s="1212">
        <v>0</v>
      </c>
      <c r="AJ1555" s="1212">
        <v>1</v>
      </c>
      <c r="AK1555" s="2126">
        <v>0</v>
      </c>
      <c r="AL1555" s="2126">
        <v>0</v>
      </c>
      <c r="AM1555" s="2126">
        <v>0</v>
      </c>
      <c r="AN1555" s="2126">
        <v>0</v>
      </c>
      <c r="AO1555" s="1743" t="s">
        <v>131</v>
      </c>
      <c r="AP1555" s="1743"/>
      <c r="AQ1555" s="1764">
        <v>2014</v>
      </c>
      <c r="AR1555" s="1743" t="s">
        <v>87</v>
      </c>
      <c r="AS1555" s="2135"/>
      <c r="AT1555" s="2135"/>
      <c r="AU1555" s="1212">
        <v>0.5</v>
      </c>
      <c r="AV1555" s="1212">
        <v>0.5</v>
      </c>
      <c r="AW1555" s="1212"/>
      <c r="AX1555" s="1212"/>
      <c r="AY1555" s="1212"/>
      <c r="AZ1555" s="1212"/>
      <c r="BA1555" s="1212"/>
      <c r="BB1555" s="1212"/>
      <c r="BC1555" s="1212"/>
      <c r="BD1555" s="1212"/>
      <c r="BE1555" s="1212"/>
      <c r="BF1555" s="2126">
        <v>0</v>
      </c>
      <c r="BG1555" s="2126">
        <v>0</v>
      </c>
      <c r="BH1555" s="2126">
        <v>0</v>
      </c>
      <c r="BI1555" s="2126">
        <v>0</v>
      </c>
      <c r="BJ1555" s="2126">
        <v>0</v>
      </c>
      <c r="BK1555" s="2126">
        <v>0</v>
      </c>
      <c r="BL1555" s="2126">
        <v>0</v>
      </c>
      <c r="BM1555" s="2126">
        <v>0</v>
      </c>
      <c r="BN1555" s="2126">
        <v>0</v>
      </c>
      <c r="BO1555" s="2126">
        <v>0</v>
      </c>
      <c r="BP1555" s="2126">
        <v>0</v>
      </c>
      <c r="BQ1555" s="2126">
        <v>0</v>
      </c>
      <c r="BR1555" s="2126">
        <v>0</v>
      </c>
    </row>
    <row r="1556" spans="1:70" s="1765" customFormat="1" ht="33">
      <c r="A1556" s="1272">
        <v>7000</v>
      </c>
      <c r="B1556" s="971" t="s">
        <v>2420</v>
      </c>
      <c r="C1556" s="1272">
        <v>7200</v>
      </c>
      <c r="D1556" s="971" t="s">
        <v>119</v>
      </c>
      <c r="E1556" s="971">
        <v>7230</v>
      </c>
      <c r="F1556" s="971" t="s">
        <v>2430</v>
      </c>
      <c r="G1556" s="971">
        <v>7232</v>
      </c>
      <c r="H1556" s="971" t="s">
        <v>2486</v>
      </c>
      <c r="I1556" s="1273" t="s">
        <v>2563</v>
      </c>
      <c r="J1556" s="971" t="s">
        <v>124</v>
      </c>
      <c r="K1556" s="971"/>
      <c r="L1556" s="971" t="e">
        <v>#N/A</v>
      </c>
      <c r="M1556" s="971" t="s">
        <v>145</v>
      </c>
      <c r="N1556" s="971" t="s">
        <v>141</v>
      </c>
      <c r="O1556" s="971" t="s">
        <v>146</v>
      </c>
      <c r="P1556" s="971"/>
      <c r="Q1556" s="971" t="s">
        <v>2564</v>
      </c>
      <c r="R1556" s="1266" t="s">
        <v>2514</v>
      </c>
      <c r="S1556" s="2106">
        <v>66.914498141263948</v>
      </c>
      <c r="T1556" s="1266" t="s">
        <v>136</v>
      </c>
      <c r="U1556" s="1742" t="s">
        <v>6588</v>
      </c>
      <c r="V1556" s="1742" t="s">
        <v>6588</v>
      </c>
      <c r="W1556" s="1742" t="s">
        <v>6588</v>
      </c>
      <c r="X1556" s="1742" t="s">
        <v>6588</v>
      </c>
      <c r="Y1556" s="2106" t="s">
        <v>6588</v>
      </c>
      <c r="Z1556" s="2106">
        <v>0</v>
      </c>
      <c r="AA1556" s="2106">
        <v>0</v>
      </c>
      <c r="AB1556" s="2106">
        <v>0</v>
      </c>
      <c r="AC1556" s="2106">
        <v>0</v>
      </c>
      <c r="AD1556" s="1744">
        <v>0</v>
      </c>
      <c r="AE1556" s="2126">
        <v>0</v>
      </c>
      <c r="AF1556" s="2126">
        <v>0</v>
      </c>
      <c r="AG1556" s="1212">
        <v>1</v>
      </c>
      <c r="AH1556" s="1212">
        <v>0</v>
      </c>
      <c r="AI1556" s="1212">
        <v>0</v>
      </c>
      <c r="AJ1556" s="1212">
        <v>1</v>
      </c>
      <c r="AK1556" s="2126">
        <v>0</v>
      </c>
      <c r="AL1556" s="2126">
        <v>0</v>
      </c>
      <c r="AM1556" s="2126">
        <v>0</v>
      </c>
      <c r="AN1556" s="2126">
        <v>0</v>
      </c>
      <c r="AO1556" s="1743" t="s">
        <v>131</v>
      </c>
      <c r="AP1556" s="1743"/>
      <c r="AQ1556" s="1764">
        <v>2014</v>
      </c>
      <c r="AR1556" s="1743" t="s">
        <v>87</v>
      </c>
      <c r="AS1556" s="2135"/>
      <c r="AT1556" s="2135"/>
      <c r="AU1556" s="1212">
        <v>0.33333333333333331</v>
      </c>
      <c r="AV1556" s="1212">
        <v>0.33333333333333331</v>
      </c>
      <c r="AW1556" s="1212">
        <v>0.33333333333333331</v>
      </c>
      <c r="AX1556" s="1212"/>
      <c r="AY1556" s="1212"/>
      <c r="AZ1556" s="1212"/>
      <c r="BA1556" s="1212"/>
      <c r="BB1556" s="1212"/>
      <c r="BC1556" s="1212"/>
      <c r="BD1556" s="1212"/>
      <c r="BE1556" s="1212"/>
      <c r="BF1556" s="2126">
        <v>0</v>
      </c>
      <c r="BG1556" s="2126">
        <v>0</v>
      </c>
      <c r="BH1556" s="2126">
        <v>0</v>
      </c>
      <c r="BI1556" s="2126">
        <v>0</v>
      </c>
      <c r="BJ1556" s="2126">
        <v>0</v>
      </c>
      <c r="BK1556" s="2126">
        <v>0</v>
      </c>
      <c r="BL1556" s="2126">
        <v>0</v>
      </c>
      <c r="BM1556" s="2126">
        <v>0</v>
      </c>
      <c r="BN1556" s="2126">
        <v>0</v>
      </c>
      <c r="BO1556" s="2126">
        <v>0</v>
      </c>
      <c r="BP1556" s="2126">
        <v>0</v>
      </c>
      <c r="BQ1556" s="2126">
        <v>0</v>
      </c>
      <c r="BR1556" s="2126">
        <v>0</v>
      </c>
    </row>
    <row r="1557" spans="1:70" s="1765" customFormat="1" ht="33">
      <c r="A1557" s="1272">
        <v>7000</v>
      </c>
      <c r="B1557" s="971" t="s">
        <v>2420</v>
      </c>
      <c r="C1557" s="1272">
        <v>7200</v>
      </c>
      <c r="D1557" s="971" t="s">
        <v>119</v>
      </c>
      <c r="E1557" s="971">
        <v>7230</v>
      </c>
      <c r="F1557" s="971" t="s">
        <v>2430</v>
      </c>
      <c r="G1557" s="971">
        <v>7232</v>
      </c>
      <c r="H1557" s="971" t="s">
        <v>2486</v>
      </c>
      <c r="I1557" s="1273" t="s">
        <v>2565</v>
      </c>
      <c r="J1557" s="971" t="s">
        <v>124</v>
      </c>
      <c r="K1557" s="971"/>
      <c r="L1557" s="971" t="e">
        <v>#N/A</v>
      </c>
      <c r="M1557" s="971" t="s">
        <v>145</v>
      </c>
      <c r="N1557" s="971" t="s">
        <v>141</v>
      </c>
      <c r="O1557" s="971" t="s">
        <v>146</v>
      </c>
      <c r="P1557" s="971"/>
      <c r="Q1557" s="971" t="s">
        <v>2566</v>
      </c>
      <c r="R1557" s="1266" t="s">
        <v>2517</v>
      </c>
      <c r="S1557" s="2106">
        <v>66.914498141263948</v>
      </c>
      <c r="T1557" s="1266" t="s">
        <v>136</v>
      </c>
      <c r="U1557" s="1742" t="s">
        <v>6588</v>
      </c>
      <c r="V1557" s="1742" t="s">
        <v>6588</v>
      </c>
      <c r="W1557" s="1742" t="s">
        <v>6588</v>
      </c>
      <c r="X1557" s="1742" t="s">
        <v>6588</v>
      </c>
      <c r="Y1557" s="2106" t="s">
        <v>6588</v>
      </c>
      <c r="Z1557" s="2106">
        <v>0</v>
      </c>
      <c r="AA1557" s="2106">
        <v>0</v>
      </c>
      <c r="AB1557" s="2106">
        <v>0</v>
      </c>
      <c r="AC1557" s="2106">
        <v>0</v>
      </c>
      <c r="AD1557" s="1744">
        <v>0</v>
      </c>
      <c r="AE1557" s="2126">
        <v>0</v>
      </c>
      <c r="AF1557" s="2126">
        <v>0</v>
      </c>
      <c r="AG1557" s="1212">
        <v>1</v>
      </c>
      <c r="AH1557" s="1212">
        <v>0</v>
      </c>
      <c r="AI1557" s="1212">
        <v>0</v>
      </c>
      <c r="AJ1557" s="1212">
        <v>1</v>
      </c>
      <c r="AK1557" s="2126">
        <v>0</v>
      </c>
      <c r="AL1557" s="2126">
        <v>0</v>
      </c>
      <c r="AM1557" s="2126">
        <v>0</v>
      </c>
      <c r="AN1557" s="2126">
        <v>0</v>
      </c>
      <c r="AO1557" s="1743" t="s">
        <v>131</v>
      </c>
      <c r="AP1557" s="1743"/>
      <c r="AQ1557" s="1764">
        <v>2014</v>
      </c>
      <c r="AR1557" s="1743" t="s">
        <v>87</v>
      </c>
      <c r="AS1557" s="2135"/>
      <c r="AT1557" s="2135"/>
      <c r="AU1557" s="1212">
        <v>0.33333333333333331</v>
      </c>
      <c r="AV1557" s="1212">
        <v>0.33333333333333331</v>
      </c>
      <c r="AW1557" s="1212">
        <v>0.33333333333333331</v>
      </c>
      <c r="AX1557" s="1212"/>
      <c r="AY1557" s="1212"/>
      <c r="AZ1557" s="1212"/>
      <c r="BA1557" s="1212"/>
      <c r="BB1557" s="1212"/>
      <c r="BC1557" s="1212"/>
      <c r="BD1557" s="1212"/>
      <c r="BE1557" s="1212"/>
      <c r="BF1557" s="2126">
        <v>0</v>
      </c>
      <c r="BG1557" s="2126">
        <v>0</v>
      </c>
      <c r="BH1557" s="2126">
        <v>0</v>
      </c>
      <c r="BI1557" s="2126">
        <v>0</v>
      </c>
      <c r="BJ1557" s="2126">
        <v>0</v>
      </c>
      <c r="BK1557" s="2126">
        <v>0</v>
      </c>
      <c r="BL1557" s="2126">
        <v>0</v>
      </c>
      <c r="BM1557" s="2126">
        <v>0</v>
      </c>
      <c r="BN1557" s="2126">
        <v>0</v>
      </c>
      <c r="BO1557" s="2126">
        <v>0</v>
      </c>
      <c r="BP1557" s="2126">
        <v>0</v>
      </c>
      <c r="BQ1557" s="2126">
        <v>0</v>
      </c>
      <c r="BR1557" s="2126">
        <v>0</v>
      </c>
    </row>
    <row r="1558" spans="1:70" s="1765" customFormat="1" ht="33">
      <c r="A1558" s="1272">
        <v>7000</v>
      </c>
      <c r="B1558" s="971" t="s">
        <v>2420</v>
      </c>
      <c r="C1558" s="1272">
        <v>7200</v>
      </c>
      <c r="D1558" s="971" t="s">
        <v>119</v>
      </c>
      <c r="E1558" s="971">
        <v>7230</v>
      </c>
      <c r="F1558" s="971" t="s">
        <v>2430</v>
      </c>
      <c r="G1558" s="971">
        <v>7232</v>
      </c>
      <c r="H1558" s="971" t="s">
        <v>2486</v>
      </c>
      <c r="I1558" s="1273" t="s">
        <v>2567</v>
      </c>
      <c r="J1558" s="971" t="s">
        <v>124</v>
      </c>
      <c r="K1558" s="971"/>
      <c r="L1558" s="971" t="e">
        <v>#N/A</v>
      </c>
      <c r="M1558" s="971" t="s">
        <v>145</v>
      </c>
      <c r="N1558" s="971" t="s">
        <v>141</v>
      </c>
      <c r="O1558" s="971" t="s">
        <v>146</v>
      </c>
      <c r="P1558" s="971"/>
      <c r="Q1558" s="971" t="s">
        <v>2568</v>
      </c>
      <c r="R1558" s="1266" t="s">
        <v>2520</v>
      </c>
      <c r="S1558" s="2106">
        <v>66.914498141263948</v>
      </c>
      <c r="T1558" s="1266" t="s">
        <v>136</v>
      </c>
      <c r="U1558" s="1742" t="s">
        <v>6588</v>
      </c>
      <c r="V1558" s="1742" t="s">
        <v>6588</v>
      </c>
      <c r="W1558" s="1742" t="s">
        <v>6588</v>
      </c>
      <c r="X1558" s="1742" t="s">
        <v>6588</v>
      </c>
      <c r="Y1558" s="2106" t="s">
        <v>6588</v>
      </c>
      <c r="Z1558" s="2106">
        <v>0</v>
      </c>
      <c r="AA1558" s="2106">
        <v>0</v>
      </c>
      <c r="AB1558" s="2106">
        <v>0</v>
      </c>
      <c r="AC1558" s="2106">
        <v>0</v>
      </c>
      <c r="AD1558" s="1744">
        <v>0</v>
      </c>
      <c r="AE1558" s="2126">
        <v>0</v>
      </c>
      <c r="AF1558" s="2126">
        <v>0</v>
      </c>
      <c r="AG1558" s="1212">
        <v>1</v>
      </c>
      <c r="AH1558" s="1212">
        <v>0</v>
      </c>
      <c r="AI1558" s="1212">
        <v>0</v>
      </c>
      <c r="AJ1558" s="1212">
        <v>1</v>
      </c>
      <c r="AK1558" s="2126">
        <v>0</v>
      </c>
      <c r="AL1558" s="2126">
        <v>0</v>
      </c>
      <c r="AM1558" s="2126">
        <v>0</v>
      </c>
      <c r="AN1558" s="2126">
        <v>0</v>
      </c>
      <c r="AO1558" s="1743" t="s">
        <v>131</v>
      </c>
      <c r="AP1558" s="1743"/>
      <c r="AQ1558" s="1764">
        <v>2014</v>
      </c>
      <c r="AR1558" s="1743" t="s">
        <v>87</v>
      </c>
      <c r="AS1558" s="2135"/>
      <c r="AT1558" s="2135"/>
      <c r="AU1558" s="1212">
        <v>0.33333333333333331</v>
      </c>
      <c r="AV1558" s="1212">
        <v>0.33333333333333331</v>
      </c>
      <c r="AW1558" s="1212">
        <v>0.33333333333333331</v>
      </c>
      <c r="AX1558" s="1212"/>
      <c r="AY1558" s="1212"/>
      <c r="AZ1558" s="1212"/>
      <c r="BA1558" s="1212"/>
      <c r="BB1558" s="1212"/>
      <c r="BC1558" s="1212"/>
      <c r="BD1558" s="1212"/>
      <c r="BE1558" s="1212"/>
      <c r="BF1558" s="2126">
        <v>0</v>
      </c>
      <c r="BG1558" s="2126">
        <v>0</v>
      </c>
      <c r="BH1558" s="2126">
        <v>0</v>
      </c>
      <c r="BI1558" s="2126">
        <v>0</v>
      </c>
      <c r="BJ1558" s="2126">
        <v>0</v>
      </c>
      <c r="BK1558" s="2126">
        <v>0</v>
      </c>
      <c r="BL1558" s="2126">
        <v>0</v>
      </c>
      <c r="BM1558" s="2126">
        <v>0</v>
      </c>
      <c r="BN1558" s="2126">
        <v>0</v>
      </c>
      <c r="BO1558" s="2126">
        <v>0</v>
      </c>
      <c r="BP1558" s="2126">
        <v>0</v>
      </c>
      <c r="BQ1558" s="2126">
        <v>0</v>
      </c>
      <c r="BR1558" s="2126">
        <v>0</v>
      </c>
    </row>
    <row r="1559" spans="1:70" s="1765" customFormat="1" ht="66">
      <c r="A1559" s="1272">
        <v>7000</v>
      </c>
      <c r="B1559" s="971" t="s">
        <v>2420</v>
      </c>
      <c r="C1559" s="1272">
        <v>7200</v>
      </c>
      <c r="D1559" s="971" t="s">
        <v>119</v>
      </c>
      <c r="E1559" s="971">
        <v>7250</v>
      </c>
      <c r="F1559" s="971" t="s">
        <v>2569</v>
      </c>
      <c r="G1559" s="971">
        <v>7251</v>
      </c>
      <c r="H1559" s="971" t="s">
        <v>2570</v>
      </c>
      <c r="I1559" s="1273" t="s">
        <v>2571</v>
      </c>
      <c r="J1559" s="971" t="s">
        <v>124</v>
      </c>
      <c r="K1559" s="971" t="s">
        <v>1747</v>
      </c>
      <c r="L1559" s="971" t="s">
        <v>6606</v>
      </c>
      <c r="M1559" s="971" t="s">
        <v>606</v>
      </c>
      <c r="N1559" s="971" t="s">
        <v>488</v>
      </c>
      <c r="O1559" s="971" t="s">
        <v>518</v>
      </c>
      <c r="P1559" s="971"/>
      <c r="Q1559" s="971" t="s">
        <v>2572</v>
      </c>
      <c r="R1559" s="1266" t="s">
        <v>2573</v>
      </c>
      <c r="S1559" s="2106">
        <v>669.14498141263937</v>
      </c>
      <c r="T1559" s="1266" t="s">
        <v>136</v>
      </c>
      <c r="U1559" s="1742">
        <v>0.56041666666666667</v>
      </c>
      <c r="V1559" s="1742">
        <v>1.9614583333333333</v>
      </c>
      <c r="W1559" s="1742">
        <v>49.395125</v>
      </c>
      <c r="X1559" s="1742">
        <v>77.264645833333333</v>
      </c>
      <c r="Y1559" s="2106">
        <v>128.62122916666667</v>
      </c>
      <c r="Z1559" s="2106">
        <v>375</v>
      </c>
      <c r="AA1559" s="2106">
        <v>1312.5</v>
      </c>
      <c r="AB1559" s="2106">
        <v>33052.5</v>
      </c>
      <c r="AC1559" s="2106">
        <v>51701.25</v>
      </c>
      <c r="AD1559" s="1744">
        <v>86066.25</v>
      </c>
      <c r="AE1559" s="2126">
        <v>1</v>
      </c>
      <c r="AF1559" s="2126">
        <v>669.14498141263937</v>
      </c>
      <c r="AG1559" s="1212">
        <v>1</v>
      </c>
      <c r="AH1559" s="1212">
        <v>0</v>
      </c>
      <c r="AI1559" s="1212">
        <v>0</v>
      </c>
      <c r="AJ1559" s="1212">
        <v>1</v>
      </c>
      <c r="AK1559" s="2126">
        <v>86066.25</v>
      </c>
      <c r="AL1559" s="2126">
        <v>0</v>
      </c>
      <c r="AM1559" s="2126">
        <v>0</v>
      </c>
      <c r="AN1559" s="2126">
        <v>86066.25</v>
      </c>
      <c r="AO1559" s="1743" t="s">
        <v>131</v>
      </c>
      <c r="AP1559" s="1743"/>
      <c r="AQ1559" s="1764">
        <v>2014</v>
      </c>
      <c r="AR1559" s="1743" t="s">
        <v>87</v>
      </c>
      <c r="AS1559" s="2135"/>
      <c r="AT1559" s="2135"/>
      <c r="AU1559" s="1212">
        <v>0.33333333333333331</v>
      </c>
      <c r="AV1559" s="1212">
        <v>0.33333333333333331</v>
      </c>
      <c r="AW1559" s="1212">
        <v>0.33333333333333331</v>
      </c>
      <c r="AX1559" s="1212"/>
      <c r="AY1559" s="1212"/>
      <c r="AZ1559" s="1212"/>
      <c r="BA1559" s="1212"/>
      <c r="BB1559" s="1212"/>
      <c r="BC1559" s="1212"/>
      <c r="BD1559" s="1212"/>
      <c r="BE1559" s="1212"/>
      <c r="BF1559" s="2126">
        <v>0</v>
      </c>
      <c r="BG1559" s="2126">
        <v>0</v>
      </c>
      <c r="BH1559" s="2126">
        <v>28688.75</v>
      </c>
      <c r="BI1559" s="2126">
        <v>28688.75</v>
      </c>
      <c r="BJ1559" s="2126">
        <v>28688.75</v>
      </c>
      <c r="BK1559" s="2126">
        <v>0</v>
      </c>
      <c r="BL1559" s="2126">
        <v>0</v>
      </c>
      <c r="BM1559" s="2126">
        <v>0</v>
      </c>
      <c r="BN1559" s="2126">
        <v>0</v>
      </c>
      <c r="BO1559" s="2126">
        <v>0</v>
      </c>
      <c r="BP1559" s="2126">
        <v>0</v>
      </c>
      <c r="BQ1559" s="2126">
        <v>0</v>
      </c>
      <c r="BR1559" s="2126">
        <v>0</v>
      </c>
    </row>
    <row r="1560" spans="1:70" s="1765" customFormat="1" ht="66">
      <c r="A1560" s="1272">
        <v>7000</v>
      </c>
      <c r="B1560" s="971" t="s">
        <v>2420</v>
      </c>
      <c r="C1560" s="1272">
        <v>7200</v>
      </c>
      <c r="D1560" s="971" t="s">
        <v>119</v>
      </c>
      <c r="E1560" s="971">
        <v>7250</v>
      </c>
      <c r="F1560" s="971" t="s">
        <v>2569</v>
      </c>
      <c r="G1560" s="971">
        <v>7251</v>
      </c>
      <c r="H1560" s="971" t="s">
        <v>2570</v>
      </c>
      <c r="I1560" s="1273" t="s">
        <v>2574</v>
      </c>
      <c r="J1560" s="971" t="s">
        <v>124</v>
      </c>
      <c r="K1560" s="971" t="s">
        <v>1747</v>
      </c>
      <c r="L1560" s="971" t="s">
        <v>6606</v>
      </c>
      <c r="M1560" s="971" t="s">
        <v>606</v>
      </c>
      <c r="N1560" s="971" t="s">
        <v>488</v>
      </c>
      <c r="O1560" s="971" t="s">
        <v>518</v>
      </c>
      <c r="P1560" s="971"/>
      <c r="Q1560" s="971" t="s">
        <v>2575</v>
      </c>
      <c r="R1560" s="1266" t="s">
        <v>2573</v>
      </c>
      <c r="S1560" s="2106">
        <v>669.14498141263937</v>
      </c>
      <c r="T1560" s="1266" t="s">
        <v>136</v>
      </c>
      <c r="U1560" s="1742">
        <v>0.56041666666666667</v>
      </c>
      <c r="V1560" s="1742">
        <v>1.9614583333333333</v>
      </c>
      <c r="W1560" s="1742">
        <v>49.395125</v>
      </c>
      <c r="X1560" s="1742">
        <v>77.264645833333333</v>
      </c>
      <c r="Y1560" s="2106">
        <v>128.62122916666667</v>
      </c>
      <c r="Z1560" s="2106">
        <v>375</v>
      </c>
      <c r="AA1560" s="2106">
        <v>1312.5</v>
      </c>
      <c r="AB1560" s="2106">
        <v>33052.5</v>
      </c>
      <c r="AC1560" s="2106">
        <v>51701.25</v>
      </c>
      <c r="AD1560" s="1744">
        <v>86066.25</v>
      </c>
      <c r="AE1560" s="2126">
        <v>1</v>
      </c>
      <c r="AF1560" s="2126">
        <v>669.14498141263937</v>
      </c>
      <c r="AG1560" s="1212">
        <v>1</v>
      </c>
      <c r="AH1560" s="1212">
        <v>0</v>
      </c>
      <c r="AI1560" s="1212">
        <v>0</v>
      </c>
      <c r="AJ1560" s="1212">
        <v>1</v>
      </c>
      <c r="AK1560" s="2126">
        <v>86066.25</v>
      </c>
      <c r="AL1560" s="2126">
        <v>0</v>
      </c>
      <c r="AM1560" s="2126">
        <v>0</v>
      </c>
      <c r="AN1560" s="2126">
        <v>86066.25</v>
      </c>
      <c r="AO1560" s="1743" t="s">
        <v>131</v>
      </c>
      <c r="AP1560" s="1743"/>
      <c r="AQ1560" s="1764">
        <v>2014</v>
      </c>
      <c r="AR1560" s="1743" t="s">
        <v>87</v>
      </c>
      <c r="AS1560" s="2135"/>
      <c r="AT1560" s="2135"/>
      <c r="AU1560" s="1212">
        <v>0.33333333333333331</v>
      </c>
      <c r="AV1560" s="1212">
        <v>0.33333333333333331</v>
      </c>
      <c r="AW1560" s="1212">
        <v>0.33333333333333331</v>
      </c>
      <c r="AX1560" s="1212"/>
      <c r="AY1560" s="1212"/>
      <c r="AZ1560" s="1212"/>
      <c r="BA1560" s="1212"/>
      <c r="BB1560" s="1212"/>
      <c r="BC1560" s="1212"/>
      <c r="BD1560" s="1212"/>
      <c r="BE1560" s="1212"/>
      <c r="BF1560" s="2126">
        <v>0</v>
      </c>
      <c r="BG1560" s="2126">
        <v>0</v>
      </c>
      <c r="BH1560" s="2126">
        <v>28688.75</v>
      </c>
      <c r="BI1560" s="2126">
        <v>28688.75</v>
      </c>
      <c r="BJ1560" s="2126">
        <v>28688.75</v>
      </c>
      <c r="BK1560" s="2126">
        <v>0</v>
      </c>
      <c r="BL1560" s="2126">
        <v>0</v>
      </c>
      <c r="BM1560" s="2126">
        <v>0</v>
      </c>
      <c r="BN1560" s="2126">
        <v>0</v>
      </c>
      <c r="BO1560" s="2126">
        <v>0</v>
      </c>
      <c r="BP1560" s="2126">
        <v>0</v>
      </c>
      <c r="BQ1560" s="2126">
        <v>0</v>
      </c>
      <c r="BR1560" s="2126">
        <v>0</v>
      </c>
    </row>
    <row r="1561" spans="1:70" s="1765" customFormat="1" ht="33">
      <c r="A1561" s="1272">
        <v>7000</v>
      </c>
      <c r="B1561" s="971" t="s">
        <v>2420</v>
      </c>
      <c r="C1561" s="1272">
        <v>7200</v>
      </c>
      <c r="D1561" s="971" t="s">
        <v>119</v>
      </c>
      <c r="E1561" s="971">
        <v>7250</v>
      </c>
      <c r="F1561" s="971" t="s">
        <v>2569</v>
      </c>
      <c r="G1561" s="971">
        <v>7251</v>
      </c>
      <c r="H1561" s="971" t="s">
        <v>2570</v>
      </c>
      <c r="I1561" s="1273"/>
      <c r="J1561" s="971"/>
      <c r="K1561" s="971" t="s">
        <v>150</v>
      </c>
      <c r="L1561" s="971" t="s">
        <v>2800</v>
      </c>
      <c r="M1561" s="971" t="s">
        <v>80</v>
      </c>
      <c r="N1561" s="971" t="s">
        <v>83</v>
      </c>
      <c r="O1561" s="971" t="s">
        <v>151</v>
      </c>
      <c r="P1561" s="971" t="s">
        <v>152</v>
      </c>
      <c r="Q1561" s="971" t="s">
        <v>2576</v>
      </c>
      <c r="R1561" s="1266"/>
      <c r="S1561" s="2106">
        <v>5180.4399999999996</v>
      </c>
      <c r="T1561" s="1266" t="s">
        <v>136</v>
      </c>
      <c r="U1561" s="1742">
        <v>1.2691883296460175E-2</v>
      </c>
      <c r="V1561" s="1742">
        <v>0.14624999999999999</v>
      </c>
      <c r="W1561" s="1742">
        <v>1.1186625937499999</v>
      </c>
      <c r="X1561" s="1742">
        <v>0.4015178457754629</v>
      </c>
      <c r="Y1561" s="2106">
        <v>1.6649423457754629</v>
      </c>
      <c r="Z1561" s="2106">
        <v>65.749539904314148</v>
      </c>
      <c r="AA1561" s="2106">
        <v>757.63934999999992</v>
      </c>
      <c r="AB1561" s="2106">
        <v>5795.1644471662494</v>
      </c>
      <c r="AC1561" s="2106">
        <v>2080.0391089690388</v>
      </c>
      <c r="AD1561" s="1744">
        <v>8632.8429061352872</v>
      </c>
      <c r="AE1561" s="2126">
        <v>0</v>
      </c>
      <c r="AF1561" s="2126">
        <v>0</v>
      </c>
      <c r="AG1561" s="1212">
        <v>1</v>
      </c>
      <c r="AH1561" s="1212">
        <v>0</v>
      </c>
      <c r="AI1561" s="1212">
        <v>0</v>
      </c>
      <c r="AJ1561" s="1212">
        <v>1</v>
      </c>
      <c r="AK1561" s="2126">
        <v>8632.8429061352872</v>
      </c>
      <c r="AL1561" s="2126">
        <v>0</v>
      </c>
      <c r="AM1561" s="2126">
        <v>0</v>
      </c>
      <c r="AN1561" s="2126">
        <v>8632.8429061352872</v>
      </c>
      <c r="AO1561" s="1743" t="s">
        <v>131</v>
      </c>
      <c r="AP1561" s="1743"/>
      <c r="AQ1561" s="1764">
        <v>2014</v>
      </c>
      <c r="AR1561" s="1743" t="s">
        <v>87</v>
      </c>
      <c r="AS1561" s="2135"/>
      <c r="AT1561" s="2135"/>
      <c r="AU1561" s="1212">
        <v>0.33333333333333331</v>
      </c>
      <c r="AV1561" s="1212">
        <v>0.33333333333333331</v>
      </c>
      <c r="AW1561" s="1212">
        <v>0.33333333333333331</v>
      </c>
      <c r="AX1561" s="1212"/>
      <c r="AY1561" s="1212"/>
      <c r="AZ1561" s="1212"/>
      <c r="BA1561" s="1212"/>
      <c r="BB1561" s="1212"/>
      <c r="BC1561" s="1212"/>
      <c r="BD1561" s="1212"/>
      <c r="BE1561" s="1212"/>
      <c r="BF1561" s="2126">
        <v>0</v>
      </c>
      <c r="BG1561" s="2126">
        <v>0</v>
      </c>
      <c r="BH1561" s="2126">
        <v>2877.6143020450954</v>
      </c>
      <c r="BI1561" s="2126">
        <v>2877.6143020450954</v>
      </c>
      <c r="BJ1561" s="2126">
        <v>2877.6143020450954</v>
      </c>
      <c r="BK1561" s="2126">
        <v>0</v>
      </c>
      <c r="BL1561" s="2126">
        <v>0</v>
      </c>
      <c r="BM1561" s="2126">
        <v>0</v>
      </c>
      <c r="BN1561" s="2126">
        <v>0</v>
      </c>
      <c r="BO1561" s="2126">
        <v>0</v>
      </c>
      <c r="BP1561" s="2126">
        <v>0</v>
      </c>
      <c r="BQ1561" s="2126">
        <v>0</v>
      </c>
      <c r="BR1561" s="2126">
        <v>0</v>
      </c>
    </row>
    <row r="1562" spans="1:70" s="1765" customFormat="1" ht="33">
      <c r="A1562" s="1272">
        <v>7000</v>
      </c>
      <c r="B1562" s="971" t="s">
        <v>2420</v>
      </c>
      <c r="C1562" s="1272">
        <v>7200</v>
      </c>
      <c r="D1562" s="971" t="s">
        <v>119</v>
      </c>
      <c r="E1562" s="971">
        <v>7250</v>
      </c>
      <c r="F1562" s="971" t="s">
        <v>2569</v>
      </c>
      <c r="G1562" s="971">
        <v>7251</v>
      </c>
      <c r="H1562" s="971" t="s">
        <v>2570</v>
      </c>
      <c r="I1562" s="1273" t="s">
        <v>2577</v>
      </c>
      <c r="J1562" s="971" t="s">
        <v>124</v>
      </c>
      <c r="K1562" s="971" t="s">
        <v>140</v>
      </c>
      <c r="L1562" s="971" t="s">
        <v>2909</v>
      </c>
      <c r="M1562" s="971" t="s">
        <v>140</v>
      </c>
      <c r="N1562" s="971" t="s">
        <v>141</v>
      </c>
      <c r="O1562" s="971" t="s">
        <v>142</v>
      </c>
      <c r="P1562" s="971"/>
      <c r="Q1562" s="971" t="s">
        <v>2578</v>
      </c>
      <c r="R1562" s="1266" t="s">
        <v>2573</v>
      </c>
      <c r="S1562" s="2106">
        <v>669.14498141263937</v>
      </c>
      <c r="T1562" s="1266" t="s">
        <v>136</v>
      </c>
      <c r="U1562" s="1742">
        <v>0</v>
      </c>
      <c r="V1562" s="1742">
        <v>0</v>
      </c>
      <c r="W1562" s="1742">
        <v>0</v>
      </c>
      <c r="X1562" s="1742">
        <v>0</v>
      </c>
      <c r="Y1562" s="2106">
        <v>0</v>
      </c>
      <c r="Z1562" s="2106">
        <v>0</v>
      </c>
      <c r="AA1562" s="2106">
        <v>0</v>
      </c>
      <c r="AB1562" s="2106">
        <v>0</v>
      </c>
      <c r="AC1562" s="2106">
        <v>0</v>
      </c>
      <c r="AD1562" s="1744">
        <v>0</v>
      </c>
      <c r="AE1562" s="2126">
        <v>0</v>
      </c>
      <c r="AF1562" s="2126">
        <v>0</v>
      </c>
      <c r="AG1562" s="1212">
        <v>1</v>
      </c>
      <c r="AH1562" s="1212">
        <v>0</v>
      </c>
      <c r="AI1562" s="1212">
        <v>0</v>
      </c>
      <c r="AJ1562" s="1212">
        <v>1</v>
      </c>
      <c r="AK1562" s="2126">
        <v>0</v>
      </c>
      <c r="AL1562" s="2126">
        <v>0</v>
      </c>
      <c r="AM1562" s="2126">
        <v>0</v>
      </c>
      <c r="AN1562" s="2126">
        <v>0</v>
      </c>
      <c r="AO1562" s="1743" t="s">
        <v>131</v>
      </c>
      <c r="AP1562" s="1743"/>
      <c r="AQ1562" s="1764">
        <v>2014</v>
      </c>
      <c r="AR1562" s="1743" t="s">
        <v>87</v>
      </c>
      <c r="AS1562" s="2135"/>
      <c r="AT1562" s="2135"/>
      <c r="AU1562" s="1212">
        <v>0.33333333333333331</v>
      </c>
      <c r="AV1562" s="1212">
        <v>0.33333333333333331</v>
      </c>
      <c r="AW1562" s="1212">
        <v>0.33333333333333331</v>
      </c>
      <c r="AX1562" s="1212"/>
      <c r="AY1562" s="1212"/>
      <c r="AZ1562" s="1212"/>
      <c r="BA1562" s="1212"/>
      <c r="BB1562" s="1212"/>
      <c r="BC1562" s="1212"/>
      <c r="BD1562" s="1212"/>
      <c r="BE1562" s="1212"/>
      <c r="BF1562" s="2126">
        <v>0</v>
      </c>
      <c r="BG1562" s="2126">
        <v>0</v>
      </c>
      <c r="BH1562" s="2126">
        <v>0</v>
      </c>
      <c r="BI1562" s="2126">
        <v>0</v>
      </c>
      <c r="BJ1562" s="2126">
        <v>0</v>
      </c>
      <c r="BK1562" s="2126">
        <v>0</v>
      </c>
      <c r="BL1562" s="2126">
        <v>0</v>
      </c>
      <c r="BM1562" s="2126">
        <v>0</v>
      </c>
      <c r="BN1562" s="2126">
        <v>0</v>
      </c>
      <c r="BO1562" s="2126">
        <v>0</v>
      </c>
      <c r="BP1562" s="2126">
        <v>0</v>
      </c>
      <c r="BQ1562" s="2126">
        <v>0</v>
      </c>
      <c r="BR1562" s="2126">
        <v>0</v>
      </c>
    </row>
    <row r="1563" spans="1:70" s="1765" customFormat="1" ht="33">
      <c r="A1563" s="1272">
        <v>7000</v>
      </c>
      <c r="B1563" s="971" t="s">
        <v>2420</v>
      </c>
      <c r="C1563" s="1272">
        <v>7200</v>
      </c>
      <c r="D1563" s="971" t="s">
        <v>119</v>
      </c>
      <c r="E1563" s="971">
        <v>7250</v>
      </c>
      <c r="F1563" s="971" t="s">
        <v>2569</v>
      </c>
      <c r="G1563" s="971">
        <v>7251</v>
      </c>
      <c r="H1563" s="971" t="s">
        <v>2570</v>
      </c>
      <c r="I1563" s="1273"/>
      <c r="J1563" s="971"/>
      <c r="K1563" s="971"/>
      <c r="L1563" s="971" t="e">
        <v>#N/A</v>
      </c>
      <c r="M1563" s="971"/>
      <c r="N1563" s="971"/>
      <c r="O1563" s="971"/>
      <c r="P1563" s="971" t="s">
        <v>2579</v>
      </c>
      <c r="Q1563" s="971" t="s">
        <v>2579</v>
      </c>
      <c r="R1563" s="1266"/>
      <c r="S1563" s="2106">
        <v>3281.62</v>
      </c>
      <c r="T1563" s="1266" t="s">
        <v>136</v>
      </c>
      <c r="U1563" s="1742" t="s">
        <v>6588</v>
      </c>
      <c r="V1563" s="1742" t="s">
        <v>6588</v>
      </c>
      <c r="W1563" s="1742" t="s">
        <v>6588</v>
      </c>
      <c r="X1563" s="1742" t="s">
        <v>6588</v>
      </c>
      <c r="Y1563" s="2106" t="s">
        <v>6588</v>
      </c>
      <c r="Z1563" s="2106">
        <v>0</v>
      </c>
      <c r="AA1563" s="2106">
        <v>0</v>
      </c>
      <c r="AB1563" s="2106">
        <v>0</v>
      </c>
      <c r="AC1563" s="2106">
        <v>0</v>
      </c>
      <c r="AD1563" s="1744">
        <v>0</v>
      </c>
      <c r="AE1563" s="2126">
        <v>0</v>
      </c>
      <c r="AF1563" s="2126">
        <v>0</v>
      </c>
      <c r="AG1563" s="1212">
        <v>1</v>
      </c>
      <c r="AH1563" s="1212">
        <v>0</v>
      </c>
      <c r="AI1563" s="1212">
        <v>0</v>
      </c>
      <c r="AJ1563" s="1212">
        <v>1</v>
      </c>
      <c r="AK1563" s="2126">
        <v>0</v>
      </c>
      <c r="AL1563" s="2126">
        <v>0</v>
      </c>
      <c r="AM1563" s="2126">
        <v>0</v>
      </c>
      <c r="AN1563" s="2126">
        <v>0</v>
      </c>
      <c r="AO1563" s="1743" t="s">
        <v>131</v>
      </c>
      <c r="AP1563" s="1743"/>
      <c r="AQ1563" s="1764">
        <v>2014</v>
      </c>
      <c r="AR1563" s="1743" t="s">
        <v>87</v>
      </c>
      <c r="AS1563" s="2135"/>
      <c r="AT1563" s="2135"/>
      <c r="AU1563" s="1212">
        <v>0.33333333333333331</v>
      </c>
      <c r="AV1563" s="1212">
        <v>0.33333333333333331</v>
      </c>
      <c r="AW1563" s="1212">
        <v>0.33333333333333331</v>
      </c>
      <c r="AX1563" s="1212"/>
      <c r="AY1563" s="1212"/>
      <c r="AZ1563" s="1212"/>
      <c r="BA1563" s="1212"/>
      <c r="BB1563" s="1212"/>
      <c r="BC1563" s="1212"/>
      <c r="BD1563" s="1212"/>
      <c r="BE1563" s="1212"/>
      <c r="BF1563" s="2126">
        <v>0</v>
      </c>
      <c r="BG1563" s="2126">
        <v>0</v>
      </c>
      <c r="BH1563" s="2126">
        <v>0</v>
      </c>
      <c r="BI1563" s="2126">
        <v>0</v>
      </c>
      <c r="BJ1563" s="2126">
        <v>0</v>
      </c>
      <c r="BK1563" s="2126">
        <v>0</v>
      </c>
      <c r="BL1563" s="2126">
        <v>0</v>
      </c>
      <c r="BM1563" s="2126">
        <v>0</v>
      </c>
      <c r="BN1563" s="2126">
        <v>0</v>
      </c>
      <c r="BO1563" s="2126">
        <v>0</v>
      </c>
      <c r="BP1563" s="2126">
        <v>0</v>
      </c>
      <c r="BQ1563" s="2126">
        <v>0</v>
      </c>
      <c r="BR1563" s="2126">
        <v>0</v>
      </c>
    </row>
    <row r="1564" spans="1:70" s="1765" customFormat="1" ht="49.5">
      <c r="A1564" s="1272">
        <v>7000</v>
      </c>
      <c r="B1564" s="971" t="s">
        <v>2420</v>
      </c>
      <c r="C1564" s="1272">
        <v>7200</v>
      </c>
      <c r="D1564" s="971" t="s">
        <v>119</v>
      </c>
      <c r="E1564" s="971">
        <v>7270</v>
      </c>
      <c r="F1564" s="971" t="s">
        <v>2580</v>
      </c>
      <c r="G1564" s="971">
        <v>7273</v>
      </c>
      <c r="H1564" s="971" t="s">
        <v>2581</v>
      </c>
      <c r="I1564" s="1273"/>
      <c r="J1564" s="971" t="s">
        <v>121</v>
      </c>
      <c r="K1564" s="971" t="s">
        <v>255</v>
      </c>
      <c r="L1564" s="971" t="s">
        <v>2802</v>
      </c>
      <c r="M1564" s="971" t="s">
        <v>255</v>
      </c>
      <c r="N1564" s="971" t="s">
        <v>83</v>
      </c>
      <c r="O1564" s="971" t="s">
        <v>256</v>
      </c>
      <c r="P1564" s="971"/>
      <c r="Q1564" s="971" t="s">
        <v>2582</v>
      </c>
      <c r="R1564" s="1266"/>
      <c r="S1564" s="2106">
        <v>985.34</v>
      </c>
      <c r="T1564" s="1266" t="s">
        <v>136</v>
      </c>
      <c r="U1564" s="1742">
        <v>4.4491883296460179E-2</v>
      </c>
      <c r="V1564" s="1742">
        <v>0.1701</v>
      </c>
      <c r="W1564" s="1742">
        <v>3.92151459375</v>
      </c>
      <c r="X1564" s="1742">
        <v>0.68180304577546291</v>
      </c>
      <c r="Y1564" s="2106">
        <v>4.7480795457754628</v>
      </c>
      <c r="Z1564" s="2106">
        <v>43.839632287334076</v>
      </c>
      <c r="AA1564" s="2106">
        <v>167.606334</v>
      </c>
      <c r="AB1564" s="2106">
        <v>3864.0251898056249</v>
      </c>
      <c r="AC1564" s="2106">
        <v>671.80781312439467</v>
      </c>
      <c r="AD1564" s="1744">
        <v>4703.4393369300196</v>
      </c>
      <c r="AE1564" s="2126">
        <v>0</v>
      </c>
      <c r="AF1564" s="2126">
        <v>0</v>
      </c>
      <c r="AG1564" s="1212">
        <v>1</v>
      </c>
      <c r="AH1564" s="1212">
        <v>0</v>
      </c>
      <c r="AI1564" s="1212">
        <v>0</v>
      </c>
      <c r="AJ1564" s="1212">
        <v>1</v>
      </c>
      <c r="AK1564" s="2126">
        <v>4703.4393369300196</v>
      </c>
      <c r="AL1564" s="2126">
        <v>0</v>
      </c>
      <c r="AM1564" s="2126">
        <v>0</v>
      </c>
      <c r="AN1564" s="2126">
        <v>4703.4393369300196</v>
      </c>
      <c r="AO1564" s="1743" t="s">
        <v>131</v>
      </c>
      <c r="AP1564" s="1743" t="s">
        <v>1167</v>
      </c>
      <c r="AQ1564" s="1764">
        <v>2014</v>
      </c>
      <c r="AR1564" s="1743" t="s">
        <v>87</v>
      </c>
      <c r="AS1564" s="2135"/>
      <c r="AT1564" s="2135"/>
      <c r="AU1564" s="1212">
        <v>0.33333333333333331</v>
      </c>
      <c r="AV1564" s="1212">
        <v>0.33333333333333331</v>
      </c>
      <c r="AW1564" s="1212">
        <v>0.33333333333333331</v>
      </c>
      <c r="AX1564" s="1212"/>
      <c r="AY1564" s="1212"/>
      <c r="AZ1564" s="1212"/>
      <c r="BA1564" s="1212"/>
      <c r="BB1564" s="1212"/>
      <c r="BC1564" s="1212"/>
      <c r="BD1564" s="1212"/>
      <c r="BE1564" s="1212"/>
      <c r="BF1564" s="2126">
        <v>0</v>
      </c>
      <c r="BG1564" s="2126">
        <v>0</v>
      </c>
      <c r="BH1564" s="2126">
        <v>1567.8131123100065</v>
      </c>
      <c r="BI1564" s="2126">
        <v>1567.8131123100065</v>
      </c>
      <c r="BJ1564" s="2126">
        <v>1567.8131123100065</v>
      </c>
      <c r="BK1564" s="2126">
        <v>0</v>
      </c>
      <c r="BL1564" s="2126">
        <v>0</v>
      </c>
      <c r="BM1564" s="2126">
        <v>0</v>
      </c>
      <c r="BN1564" s="2126">
        <v>0</v>
      </c>
      <c r="BO1564" s="2126">
        <v>0</v>
      </c>
      <c r="BP1564" s="2126">
        <v>0</v>
      </c>
      <c r="BQ1564" s="2126">
        <v>0</v>
      </c>
      <c r="BR1564" s="2126">
        <v>0</v>
      </c>
    </row>
    <row r="1565" spans="1:70" s="1765" customFormat="1" ht="49.5">
      <c r="A1565" s="1272">
        <v>7000</v>
      </c>
      <c r="B1565" s="971" t="s">
        <v>2420</v>
      </c>
      <c r="C1565" s="1272">
        <v>7200</v>
      </c>
      <c r="D1565" s="971" t="s">
        <v>119</v>
      </c>
      <c r="E1565" s="971">
        <v>7270</v>
      </c>
      <c r="F1565" s="971" t="s">
        <v>2580</v>
      </c>
      <c r="G1565" s="971">
        <v>7273</v>
      </c>
      <c r="H1565" s="971" t="s">
        <v>2581</v>
      </c>
      <c r="I1565" s="1273"/>
      <c r="J1565" s="971" t="s">
        <v>121</v>
      </c>
      <c r="K1565" s="971" t="s">
        <v>255</v>
      </c>
      <c r="L1565" s="971" t="s">
        <v>2802</v>
      </c>
      <c r="M1565" s="971" t="s">
        <v>255</v>
      </c>
      <c r="N1565" s="971" t="s">
        <v>83</v>
      </c>
      <c r="O1565" s="971" t="s">
        <v>256</v>
      </c>
      <c r="P1565" s="971"/>
      <c r="Q1565" s="971" t="s">
        <v>2582</v>
      </c>
      <c r="R1565" s="1266"/>
      <c r="S1565" s="2106">
        <v>985.34</v>
      </c>
      <c r="T1565" s="1266" t="s">
        <v>136</v>
      </c>
      <c r="U1565" s="1742">
        <v>4.4491883296460179E-2</v>
      </c>
      <c r="V1565" s="1742">
        <v>0.1701</v>
      </c>
      <c r="W1565" s="1742">
        <v>3.92151459375</v>
      </c>
      <c r="X1565" s="1742">
        <v>0.68180304577546291</v>
      </c>
      <c r="Y1565" s="2106">
        <v>4.7480795457754628</v>
      </c>
      <c r="Z1565" s="2106">
        <v>43.839632287334076</v>
      </c>
      <c r="AA1565" s="2106">
        <v>167.606334</v>
      </c>
      <c r="AB1565" s="2106">
        <v>3864.0251898056249</v>
      </c>
      <c r="AC1565" s="2106">
        <v>671.80781312439467</v>
      </c>
      <c r="AD1565" s="1744">
        <v>4703.4393369300196</v>
      </c>
      <c r="AE1565" s="2126">
        <v>0</v>
      </c>
      <c r="AF1565" s="2126">
        <v>0</v>
      </c>
      <c r="AG1565" s="1212">
        <v>1</v>
      </c>
      <c r="AH1565" s="1212">
        <v>0</v>
      </c>
      <c r="AI1565" s="1212">
        <v>0</v>
      </c>
      <c r="AJ1565" s="1212">
        <v>1</v>
      </c>
      <c r="AK1565" s="2126">
        <v>4703.4393369300196</v>
      </c>
      <c r="AL1565" s="2126">
        <v>0</v>
      </c>
      <c r="AM1565" s="2126">
        <v>0</v>
      </c>
      <c r="AN1565" s="2126">
        <v>4703.4393369300196</v>
      </c>
      <c r="AO1565" s="1743" t="s">
        <v>131</v>
      </c>
      <c r="AP1565" s="1743" t="s">
        <v>1167</v>
      </c>
      <c r="AQ1565" s="1764">
        <v>2014</v>
      </c>
      <c r="AR1565" s="1743" t="s">
        <v>87</v>
      </c>
      <c r="AS1565" s="2135"/>
      <c r="AT1565" s="2135"/>
      <c r="AU1565" s="1212">
        <v>0.33333333333333331</v>
      </c>
      <c r="AV1565" s="1212">
        <v>0.33333333333333331</v>
      </c>
      <c r="AW1565" s="1212">
        <v>0.33333333333333331</v>
      </c>
      <c r="AX1565" s="1212"/>
      <c r="AY1565" s="1212"/>
      <c r="AZ1565" s="1212"/>
      <c r="BA1565" s="1212"/>
      <c r="BB1565" s="1212"/>
      <c r="BC1565" s="1212"/>
      <c r="BD1565" s="1212"/>
      <c r="BE1565" s="1212"/>
      <c r="BF1565" s="2126">
        <v>0</v>
      </c>
      <c r="BG1565" s="2126">
        <v>0</v>
      </c>
      <c r="BH1565" s="2126">
        <v>1567.8131123100065</v>
      </c>
      <c r="BI1565" s="2126">
        <v>1567.8131123100065</v>
      </c>
      <c r="BJ1565" s="2126">
        <v>1567.8131123100065</v>
      </c>
      <c r="BK1565" s="2126">
        <v>0</v>
      </c>
      <c r="BL1565" s="2126">
        <v>0</v>
      </c>
      <c r="BM1565" s="2126">
        <v>0</v>
      </c>
      <c r="BN1565" s="2126">
        <v>0</v>
      </c>
      <c r="BO1565" s="2126">
        <v>0</v>
      </c>
      <c r="BP1565" s="2126">
        <v>0</v>
      </c>
      <c r="BQ1565" s="2126">
        <v>0</v>
      </c>
      <c r="BR1565" s="2126">
        <v>0</v>
      </c>
    </row>
    <row r="1566" spans="1:70" s="1765" customFormat="1" ht="49.5">
      <c r="A1566" s="1272">
        <v>7000</v>
      </c>
      <c r="B1566" s="971" t="s">
        <v>2420</v>
      </c>
      <c r="C1566" s="1272">
        <v>7200</v>
      </c>
      <c r="D1566" s="971" t="s">
        <v>119</v>
      </c>
      <c r="E1566" s="971">
        <v>7270</v>
      </c>
      <c r="F1566" s="971" t="s">
        <v>2580</v>
      </c>
      <c r="G1566" s="971">
        <v>7273</v>
      </c>
      <c r="H1566" s="971" t="s">
        <v>2581</v>
      </c>
      <c r="I1566" s="1273"/>
      <c r="J1566" s="971" t="s">
        <v>121</v>
      </c>
      <c r="K1566" s="971" t="s">
        <v>255</v>
      </c>
      <c r="L1566" s="971" t="s">
        <v>2802</v>
      </c>
      <c r="M1566" s="971" t="s">
        <v>255</v>
      </c>
      <c r="N1566" s="971" t="s">
        <v>83</v>
      </c>
      <c r="O1566" s="971" t="s">
        <v>256</v>
      </c>
      <c r="P1566" s="971"/>
      <c r="Q1566" s="971" t="s">
        <v>2584</v>
      </c>
      <c r="R1566" s="1266"/>
      <c r="S1566" s="2106">
        <v>0</v>
      </c>
      <c r="T1566" s="1266" t="s">
        <v>136</v>
      </c>
      <c r="U1566" s="1742">
        <v>4.4491883296460179E-2</v>
      </c>
      <c r="V1566" s="1742">
        <v>0.1701</v>
      </c>
      <c r="W1566" s="1742">
        <v>3.92151459375</v>
      </c>
      <c r="X1566" s="1742">
        <v>0.68180304577546291</v>
      </c>
      <c r="Y1566" s="2106">
        <v>4.7480795457754628</v>
      </c>
      <c r="Z1566" s="2106">
        <v>0</v>
      </c>
      <c r="AA1566" s="2106">
        <v>0</v>
      </c>
      <c r="AB1566" s="2106">
        <v>0</v>
      </c>
      <c r="AC1566" s="2106">
        <v>0</v>
      </c>
      <c r="AD1566" s="1744">
        <v>0</v>
      </c>
      <c r="AE1566" s="2126">
        <v>0</v>
      </c>
      <c r="AF1566" s="2126">
        <v>0</v>
      </c>
      <c r="AG1566" s="1212">
        <v>1</v>
      </c>
      <c r="AH1566" s="1212">
        <v>0</v>
      </c>
      <c r="AI1566" s="1212">
        <v>0</v>
      </c>
      <c r="AJ1566" s="1212">
        <v>1</v>
      </c>
      <c r="AK1566" s="2126">
        <v>0</v>
      </c>
      <c r="AL1566" s="2126">
        <v>0</v>
      </c>
      <c r="AM1566" s="2126">
        <v>0</v>
      </c>
      <c r="AN1566" s="2126">
        <v>0</v>
      </c>
      <c r="AO1566" s="1743" t="s">
        <v>131</v>
      </c>
      <c r="AP1566" s="1743" t="s">
        <v>96</v>
      </c>
      <c r="AQ1566" s="1764">
        <v>2014</v>
      </c>
      <c r="AR1566" s="1743" t="s">
        <v>87</v>
      </c>
      <c r="AS1566" s="2135"/>
      <c r="AT1566" s="2135"/>
      <c r="AU1566" s="1212">
        <v>0.33333333333333331</v>
      </c>
      <c r="AV1566" s="1212">
        <v>0.33333333333333331</v>
      </c>
      <c r="AW1566" s="1212">
        <v>0.33333333333333331</v>
      </c>
      <c r="AX1566" s="1212"/>
      <c r="AY1566" s="1212"/>
      <c r="AZ1566" s="1212"/>
      <c r="BA1566" s="1212"/>
      <c r="BB1566" s="1212"/>
      <c r="BC1566" s="1212"/>
      <c r="BD1566" s="1212"/>
      <c r="BE1566" s="1212"/>
      <c r="BF1566" s="2126">
        <v>0</v>
      </c>
      <c r="BG1566" s="2126">
        <v>0</v>
      </c>
      <c r="BH1566" s="2126">
        <v>0</v>
      </c>
      <c r="BI1566" s="2126">
        <v>0</v>
      </c>
      <c r="BJ1566" s="2126">
        <v>0</v>
      </c>
      <c r="BK1566" s="2126">
        <v>0</v>
      </c>
      <c r="BL1566" s="2126">
        <v>0</v>
      </c>
      <c r="BM1566" s="2126">
        <v>0</v>
      </c>
      <c r="BN1566" s="2126">
        <v>0</v>
      </c>
      <c r="BO1566" s="2126">
        <v>0</v>
      </c>
      <c r="BP1566" s="2126">
        <v>0</v>
      </c>
      <c r="BQ1566" s="2126">
        <v>0</v>
      </c>
      <c r="BR1566" s="2126">
        <v>0</v>
      </c>
    </row>
    <row r="1567" spans="1:70" s="1765" customFormat="1" ht="49.5">
      <c r="A1567" s="1272">
        <v>7000</v>
      </c>
      <c r="B1567" s="971" t="s">
        <v>2420</v>
      </c>
      <c r="C1567" s="1272">
        <v>7200</v>
      </c>
      <c r="D1567" s="971" t="s">
        <v>119</v>
      </c>
      <c r="E1567" s="971">
        <v>7270</v>
      </c>
      <c r="F1567" s="971" t="s">
        <v>2580</v>
      </c>
      <c r="G1567" s="971">
        <v>7273</v>
      </c>
      <c r="H1567" s="971" t="s">
        <v>2581</v>
      </c>
      <c r="I1567" s="1273"/>
      <c r="J1567" s="971"/>
      <c r="K1567" s="971" t="s">
        <v>255</v>
      </c>
      <c r="L1567" s="971" t="s">
        <v>2802</v>
      </c>
      <c r="M1567" s="971" t="s">
        <v>255</v>
      </c>
      <c r="N1567" s="971" t="s">
        <v>83</v>
      </c>
      <c r="O1567" s="971" t="s">
        <v>256</v>
      </c>
      <c r="P1567" s="971"/>
      <c r="Q1567" s="971" t="s">
        <v>2585</v>
      </c>
      <c r="R1567" s="1266"/>
      <c r="S1567" s="2106">
        <v>0</v>
      </c>
      <c r="T1567" s="1266" t="s">
        <v>136</v>
      </c>
      <c r="U1567" s="1742">
        <v>4.4491883296460179E-2</v>
      </c>
      <c r="V1567" s="1742">
        <v>0.1701</v>
      </c>
      <c r="W1567" s="1742">
        <v>3.92151459375</v>
      </c>
      <c r="X1567" s="1742">
        <v>0.68180304577546291</v>
      </c>
      <c r="Y1567" s="2106">
        <v>4.7480795457754628</v>
      </c>
      <c r="Z1567" s="2106">
        <v>0</v>
      </c>
      <c r="AA1567" s="2106">
        <v>0</v>
      </c>
      <c r="AB1567" s="2106">
        <v>0</v>
      </c>
      <c r="AC1567" s="2106">
        <v>0</v>
      </c>
      <c r="AD1567" s="1744">
        <v>0</v>
      </c>
      <c r="AE1567" s="2126">
        <v>0</v>
      </c>
      <c r="AF1567" s="2126">
        <v>0</v>
      </c>
      <c r="AG1567" s="1212">
        <v>1</v>
      </c>
      <c r="AH1567" s="1212">
        <v>0</v>
      </c>
      <c r="AI1567" s="1212">
        <v>0</v>
      </c>
      <c r="AJ1567" s="1212">
        <v>1</v>
      </c>
      <c r="AK1567" s="2126">
        <v>0</v>
      </c>
      <c r="AL1567" s="2126">
        <v>0</v>
      </c>
      <c r="AM1567" s="2126">
        <v>0</v>
      </c>
      <c r="AN1567" s="2126">
        <v>0</v>
      </c>
      <c r="AO1567" s="1743" t="s">
        <v>131</v>
      </c>
      <c r="AP1567" s="1743" t="s">
        <v>96</v>
      </c>
      <c r="AQ1567" s="1764">
        <v>2014</v>
      </c>
      <c r="AR1567" s="1743" t="s">
        <v>87</v>
      </c>
      <c r="AS1567" s="2135"/>
      <c r="AT1567" s="2135"/>
      <c r="AU1567" s="1212">
        <v>0.33333333333333331</v>
      </c>
      <c r="AV1567" s="1212">
        <v>0.33333333333333331</v>
      </c>
      <c r="AW1567" s="1212">
        <v>0.33333333333333331</v>
      </c>
      <c r="AX1567" s="1212"/>
      <c r="AY1567" s="1212"/>
      <c r="AZ1567" s="1212"/>
      <c r="BA1567" s="1212"/>
      <c r="BB1567" s="1212"/>
      <c r="BC1567" s="1212"/>
      <c r="BD1567" s="1212"/>
      <c r="BE1567" s="1212"/>
      <c r="BF1567" s="2126">
        <v>0</v>
      </c>
      <c r="BG1567" s="2126">
        <v>0</v>
      </c>
      <c r="BH1567" s="2126">
        <v>0</v>
      </c>
      <c r="BI1567" s="2126">
        <v>0</v>
      </c>
      <c r="BJ1567" s="2126">
        <v>0</v>
      </c>
      <c r="BK1567" s="2126">
        <v>0</v>
      </c>
      <c r="BL1567" s="2126">
        <v>0</v>
      </c>
      <c r="BM1567" s="2126">
        <v>0</v>
      </c>
      <c r="BN1567" s="2126">
        <v>0</v>
      </c>
      <c r="BO1567" s="2126">
        <v>0</v>
      </c>
      <c r="BP1567" s="2126">
        <v>0</v>
      </c>
      <c r="BQ1567" s="2126">
        <v>0</v>
      </c>
      <c r="BR1567" s="2126">
        <v>0</v>
      </c>
    </row>
    <row r="1568" spans="1:70" s="1765" customFormat="1" ht="33">
      <c r="A1568" s="1272">
        <v>7000</v>
      </c>
      <c r="B1568" s="971" t="s">
        <v>2420</v>
      </c>
      <c r="C1568" s="1272">
        <v>7200</v>
      </c>
      <c r="D1568" s="971" t="s">
        <v>119</v>
      </c>
      <c r="E1568" s="971">
        <v>7270</v>
      </c>
      <c r="F1568" s="971" t="s">
        <v>2580</v>
      </c>
      <c r="G1568" s="971">
        <v>7273</v>
      </c>
      <c r="H1568" s="971" t="s">
        <v>2581</v>
      </c>
      <c r="I1568" s="1273"/>
      <c r="J1568" s="971" t="s">
        <v>121</v>
      </c>
      <c r="K1568" s="971"/>
      <c r="L1568" s="971" t="e">
        <v>#N/A</v>
      </c>
      <c r="M1568" s="971"/>
      <c r="N1568" s="971"/>
      <c r="O1568" s="971"/>
      <c r="P1568" s="971"/>
      <c r="Q1568" s="971" t="s">
        <v>2586</v>
      </c>
      <c r="R1568" s="1266"/>
      <c r="S1568" s="2106">
        <v>0</v>
      </c>
      <c r="T1568" s="1266" t="s">
        <v>2587</v>
      </c>
      <c r="U1568" s="1742" t="s">
        <v>6588</v>
      </c>
      <c r="V1568" s="1742" t="s">
        <v>6588</v>
      </c>
      <c r="W1568" s="1742" t="s">
        <v>6588</v>
      </c>
      <c r="X1568" s="1742" t="s">
        <v>6588</v>
      </c>
      <c r="Y1568" s="2106" t="s">
        <v>6588</v>
      </c>
      <c r="Z1568" s="2106">
        <v>0</v>
      </c>
      <c r="AA1568" s="2106">
        <v>0</v>
      </c>
      <c r="AB1568" s="2106">
        <v>0</v>
      </c>
      <c r="AC1568" s="2106">
        <v>0</v>
      </c>
      <c r="AD1568" s="1744">
        <v>0</v>
      </c>
      <c r="AE1568" s="2126">
        <v>0</v>
      </c>
      <c r="AF1568" s="2126">
        <v>0</v>
      </c>
      <c r="AG1568" s="1212">
        <v>1</v>
      </c>
      <c r="AH1568" s="1212">
        <v>0</v>
      </c>
      <c r="AI1568" s="1212">
        <v>0</v>
      </c>
      <c r="AJ1568" s="1212">
        <v>1</v>
      </c>
      <c r="AK1568" s="2126">
        <v>0</v>
      </c>
      <c r="AL1568" s="2126">
        <v>0</v>
      </c>
      <c r="AM1568" s="2126">
        <v>0</v>
      </c>
      <c r="AN1568" s="2126">
        <v>0</v>
      </c>
      <c r="AO1568" s="1743" t="s">
        <v>131</v>
      </c>
      <c r="AP1568" s="1743" t="s">
        <v>1430</v>
      </c>
      <c r="AQ1568" s="1764">
        <v>2014</v>
      </c>
      <c r="AR1568" s="1743" t="s">
        <v>87</v>
      </c>
      <c r="AS1568" s="2135"/>
      <c r="AT1568" s="2135"/>
      <c r="AU1568" s="1212">
        <v>0.33333333333333331</v>
      </c>
      <c r="AV1568" s="1212">
        <v>0.33333333333333331</v>
      </c>
      <c r="AW1568" s="1212">
        <v>0.33333333333333331</v>
      </c>
      <c r="AX1568" s="1212"/>
      <c r="AY1568" s="1212"/>
      <c r="AZ1568" s="1212"/>
      <c r="BA1568" s="1212"/>
      <c r="BB1568" s="1212"/>
      <c r="BC1568" s="1212"/>
      <c r="BD1568" s="1212"/>
      <c r="BE1568" s="1212"/>
      <c r="BF1568" s="2126">
        <v>0</v>
      </c>
      <c r="BG1568" s="2126">
        <v>0</v>
      </c>
      <c r="BH1568" s="2126">
        <v>0</v>
      </c>
      <c r="BI1568" s="2126">
        <v>0</v>
      </c>
      <c r="BJ1568" s="2126">
        <v>0</v>
      </c>
      <c r="BK1568" s="2126">
        <v>0</v>
      </c>
      <c r="BL1568" s="2126">
        <v>0</v>
      </c>
      <c r="BM1568" s="2126">
        <v>0</v>
      </c>
      <c r="BN1568" s="2126">
        <v>0</v>
      </c>
      <c r="BO1568" s="2126">
        <v>0</v>
      </c>
      <c r="BP1568" s="2126">
        <v>0</v>
      </c>
      <c r="BQ1568" s="2126">
        <v>0</v>
      </c>
      <c r="BR1568" s="2126">
        <v>0</v>
      </c>
    </row>
    <row r="1569" spans="1:70" s="1765" customFormat="1" ht="49.5">
      <c r="A1569" s="1272">
        <v>7000</v>
      </c>
      <c r="B1569" s="971" t="s">
        <v>2420</v>
      </c>
      <c r="C1569" s="1272">
        <v>7200</v>
      </c>
      <c r="D1569" s="971" t="s">
        <v>119</v>
      </c>
      <c r="E1569" s="971">
        <v>7270</v>
      </c>
      <c r="F1569" s="971" t="s">
        <v>2580</v>
      </c>
      <c r="G1569" s="971">
        <v>7273</v>
      </c>
      <c r="H1569" s="971" t="s">
        <v>2581</v>
      </c>
      <c r="I1569" s="1273"/>
      <c r="J1569" s="971" t="s">
        <v>121</v>
      </c>
      <c r="K1569" s="971" t="s">
        <v>255</v>
      </c>
      <c r="L1569" s="971" t="s">
        <v>2802</v>
      </c>
      <c r="M1569" s="971" t="s">
        <v>255</v>
      </c>
      <c r="N1569" s="971" t="s">
        <v>83</v>
      </c>
      <c r="O1569" s="971" t="s">
        <v>256</v>
      </c>
      <c r="P1569" s="971"/>
      <c r="Q1569" s="971" t="s">
        <v>2589</v>
      </c>
      <c r="R1569" s="1266"/>
      <c r="S1569" s="2106">
        <v>0</v>
      </c>
      <c r="T1569" s="1266" t="s">
        <v>136</v>
      </c>
      <c r="U1569" s="1742">
        <v>4.4491883296460179E-2</v>
      </c>
      <c r="V1569" s="1742">
        <v>0.1701</v>
      </c>
      <c r="W1569" s="1742">
        <v>3.92151459375</v>
      </c>
      <c r="X1569" s="1742">
        <v>0.68180304577546291</v>
      </c>
      <c r="Y1569" s="2106">
        <v>4.7480795457754628</v>
      </c>
      <c r="Z1569" s="2106">
        <v>0</v>
      </c>
      <c r="AA1569" s="2106">
        <v>0</v>
      </c>
      <c r="AB1569" s="2106">
        <v>0</v>
      </c>
      <c r="AC1569" s="2106">
        <v>0</v>
      </c>
      <c r="AD1569" s="1744">
        <v>0</v>
      </c>
      <c r="AE1569" s="2126">
        <v>0</v>
      </c>
      <c r="AF1569" s="2126">
        <v>0</v>
      </c>
      <c r="AG1569" s="1212">
        <v>1</v>
      </c>
      <c r="AH1569" s="1212">
        <v>0</v>
      </c>
      <c r="AI1569" s="1212">
        <v>0</v>
      </c>
      <c r="AJ1569" s="1212">
        <v>1</v>
      </c>
      <c r="AK1569" s="2126">
        <v>0</v>
      </c>
      <c r="AL1569" s="2126">
        <v>0</v>
      </c>
      <c r="AM1569" s="2126">
        <v>0</v>
      </c>
      <c r="AN1569" s="2126">
        <v>0</v>
      </c>
      <c r="AO1569" s="1743" t="s">
        <v>131</v>
      </c>
      <c r="AP1569" s="1743" t="s">
        <v>1430</v>
      </c>
      <c r="AQ1569" s="1764">
        <v>2014</v>
      </c>
      <c r="AR1569" s="1743" t="s">
        <v>87</v>
      </c>
      <c r="AS1569" s="2135"/>
      <c r="AT1569" s="2135"/>
      <c r="AU1569" s="1212"/>
      <c r="AV1569" s="1212">
        <v>1</v>
      </c>
      <c r="AW1569" s="1212"/>
      <c r="AX1569" s="1212"/>
      <c r="AY1569" s="1212"/>
      <c r="AZ1569" s="1212"/>
      <c r="BA1569" s="1212"/>
      <c r="BB1569" s="1212"/>
      <c r="BC1569" s="1212"/>
      <c r="BD1569" s="1212"/>
      <c r="BE1569" s="1212"/>
      <c r="BF1569" s="2126">
        <v>0</v>
      </c>
      <c r="BG1569" s="2126">
        <v>0</v>
      </c>
      <c r="BH1569" s="2126">
        <v>0</v>
      </c>
      <c r="BI1569" s="2126">
        <v>0</v>
      </c>
      <c r="BJ1569" s="2126">
        <v>0</v>
      </c>
      <c r="BK1569" s="2126">
        <v>0</v>
      </c>
      <c r="BL1569" s="2126">
        <v>0</v>
      </c>
      <c r="BM1569" s="2126">
        <v>0</v>
      </c>
      <c r="BN1569" s="2126">
        <v>0</v>
      </c>
      <c r="BO1569" s="2126">
        <v>0</v>
      </c>
      <c r="BP1569" s="2126">
        <v>0</v>
      </c>
      <c r="BQ1569" s="2126">
        <v>0</v>
      </c>
      <c r="BR1569" s="2126">
        <v>0</v>
      </c>
    </row>
    <row r="1570" spans="1:70" s="1765" customFormat="1" ht="49.5">
      <c r="A1570" s="1272">
        <v>7000</v>
      </c>
      <c r="B1570" s="971" t="s">
        <v>2420</v>
      </c>
      <c r="C1570" s="1272">
        <v>7200</v>
      </c>
      <c r="D1570" s="971" t="s">
        <v>119</v>
      </c>
      <c r="E1570" s="971">
        <v>7270</v>
      </c>
      <c r="F1570" s="971" t="s">
        <v>2580</v>
      </c>
      <c r="G1570" s="971">
        <v>7273</v>
      </c>
      <c r="H1570" s="971" t="s">
        <v>2581</v>
      </c>
      <c r="I1570" s="1273"/>
      <c r="J1570" s="971" t="s">
        <v>121</v>
      </c>
      <c r="K1570" s="971" t="s">
        <v>255</v>
      </c>
      <c r="L1570" s="971" t="s">
        <v>2802</v>
      </c>
      <c r="M1570" s="971" t="s">
        <v>255</v>
      </c>
      <c r="N1570" s="971" t="s">
        <v>83</v>
      </c>
      <c r="O1570" s="971" t="s">
        <v>256</v>
      </c>
      <c r="P1570" s="971"/>
      <c r="Q1570" s="971" t="s">
        <v>2589</v>
      </c>
      <c r="R1570" s="1266"/>
      <c r="S1570" s="2106">
        <v>0</v>
      </c>
      <c r="T1570" s="1266" t="s">
        <v>136</v>
      </c>
      <c r="U1570" s="1742">
        <v>4.4491883296460179E-2</v>
      </c>
      <c r="V1570" s="1742">
        <v>0.1701</v>
      </c>
      <c r="W1570" s="1742">
        <v>3.92151459375</v>
      </c>
      <c r="X1570" s="1742">
        <v>0.68180304577546291</v>
      </c>
      <c r="Y1570" s="2106">
        <v>4.7480795457754628</v>
      </c>
      <c r="Z1570" s="2106">
        <v>0</v>
      </c>
      <c r="AA1570" s="2106">
        <v>0</v>
      </c>
      <c r="AB1570" s="2106">
        <v>0</v>
      </c>
      <c r="AC1570" s="2106">
        <v>0</v>
      </c>
      <c r="AD1570" s="1744">
        <v>0</v>
      </c>
      <c r="AE1570" s="2126">
        <v>0</v>
      </c>
      <c r="AF1570" s="2126">
        <v>0</v>
      </c>
      <c r="AG1570" s="1212">
        <v>1</v>
      </c>
      <c r="AH1570" s="1212">
        <v>0</v>
      </c>
      <c r="AI1570" s="1212">
        <v>0</v>
      </c>
      <c r="AJ1570" s="1212">
        <v>1</v>
      </c>
      <c r="AK1570" s="2126">
        <v>0</v>
      </c>
      <c r="AL1570" s="2126">
        <v>0</v>
      </c>
      <c r="AM1570" s="2126">
        <v>0</v>
      </c>
      <c r="AN1570" s="2126">
        <v>0</v>
      </c>
      <c r="AO1570" s="1743" t="s">
        <v>131</v>
      </c>
      <c r="AP1570" s="1743" t="s">
        <v>1430</v>
      </c>
      <c r="AQ1570" s="1764">
        <v>2014</v>
      </c>
      <c r="AR1570" s="1743" t="s">
        <v>87</v>
      </c>
      <c r="AS1570" s="2135"/>
      <c r="AT1570" s="2135"/>
      <c r="AU1570" s="1212"/>
      <c r="AV1570" s="1212">
        <v>1</v>
      </c>
      <c r="AW1570" s="1212"/>
      <c r="AX1570" s="1212"/>
      <c r="AY1570" s="1212"/>
      <c r="AZ1570" s="1212"/>
      <c r="BA1570" s="1212"/>
      <c r="BB1570" s="1212"/>
      <c r="BC1570" s="1212"/>
      <c r="BD1570" s="1212"/>
      <c r="BE1570" s="1212"/>
      <c r="BF1570" s="2126">
        <v>0</v>
      </c>
      <c r="BG1570" s="2126">
        <v>0</v>
      </c>
      <c r="BH1570" s="2126">
        <v>0</v>
      </c>
      <c r="BI1570" s="2126">
        <v>0</v>
      </c>
      <c r="BJ1570" s="2126">
        <v>0</v>
      </c>
      <c r="BK1570" s="2126">
        <v>0</v>
      </c>
      <c r="BL1570" s="2126">
        <v>0</v>
      </c>
      <c r="BM1570" s="2126">
        <v>0</v>
      </c>
      <c r="BN1570" s="2126">
        <v>0</v>
      </c>
      <c r="BO1570" s="2126">
        <v>0</v>
      </c>
      <c r="BP1570" s="2126">
        <v>0</v>
      </c>
      <c r="BQ1570" s="2126">
        <v>0</v>
      </c>
      <c r="BR1570" s="2126">
        <v>0</v>
      </c>
    </row>
    <row r="1571" spans="1:70" s="1765" customFormat="1" ht="33">
      <c r="A1571" s="1802">
        <v>7000</v>
      </c>
      <c r="B1571" s="1803" t="s">
        <v>2420</v>
      </c>
      <c r="C1571" s="1802">
        <v>7300</v>
      </c>
      <c r="D1571" s="1803" t="s">
        <v>1072</v>
      </c>
      <c r="E1571" s="1803"/>
      <c r="F1571" s="1803"/>
      <c r="G1571" s="1803"/>
      <c r="H1571" s="1803"/>
      <c r="I1571" s="1803"/>
      <c r="J1571" s="1803" t="s">
        <v>121</v>
      </c>
      <c r="K1571" s="1803"/>
      <c r="L1571" s="1803"/>
      <c r="M1571" s="1803"/>
      <c r="N1571" s="1803"/>
      <c r="O1571" s="1803"/>
      <c r="P1571" s="1803"/>
      <c r="Q1571" s="1803"/>
      <c r="R1571" s="1774"/>
      <c r="S1571" s="2107"/>
      <c r="T1571" s="1774"/>
      <c r="U1571" s="1776"/>
      <c r="V1571" s="1776"/>
      <c r="W1571" s="1776"/>
      <c r="X1571" s="1776"/>
      <c r="Y1571" s="2107"/>
      <c r="Z1571" s="2107"/>
      <c r="AA1571" s="2107"/>
      <c r="AB1571" s="2107"/>
      <c r="AC1571" s="2107"/>
      <c r="AD1571" s="1775"/>
      <c r="AE1571" s="2127"/>
      <c r="AF1571" s="2127"/>
      <c r="AG1571" s="1777"/>
      <c r="AH1571" s="1777"/>
      <c r="AI1571" s="1777"/>
      <c r="AJ1571" s="1777"/>
      <c r="AK1571" s="2127"/>
      <c r="AL1571" s="2127"/>
      <c r="AM1571" s="2127"/>
      <c r="AN1571" s="2127"/>
      <c r="AO1571" s="1775"/>
      <c r="AP1571" s="1775"/>
      <c r="AQ1571" s="1786"/>
      <c r="AR1571" s="1775"/>
      <c r="AS1571" s="1777"/>
      <c r="AT1571" s="1777"/>
      <c r="AU1571" s="1777"/>
      <c r="AV1571" s="1777"/>
      <c r="AW1571" s="1777"/>
      <c r="AX1571" s="1777"/>
      <c r="AY1571" s="1777"/>
      <c r="AZ1571" s="1777"/>
      <c r="BA1571" s="1777"/>
      <c r="BB1571" s="1777"/>
      <c r="BC1571" s="1777"/>
      <c r="BD1571" s="1777"/>
      <c r="BE1571" s="1777"/>
      <c r="BF1571" s="2127"/>
      <c r="BG1571" s="2127"/>
      <c r="BH1571" s="2127"/>
      <c r="BI1571" s="2127"/>
      <c r="BJ1571" s="2127"/>
      <c r="BK1571" s="2127"/>
      <c r="BL1571" s="2127"/>
      <c r="BM1571" s="2127"/>
      <c r="BN1571" s="2127"/>
      <c r="BO1571" s="2127"/>
      <c r="BP1571" s="2127"/>
      <c r="BQ1571" s="2127"/>
      <c r="BR1571" s="2127"/>
    </row>
    <row r="1572" spans="1:70" s="1772" customFormat="1" ht="33">
      <c r="A1572" s="1802">
        <v>7000</v>
      </c>
      <c r="B1572" s="1803" t="s">
        <v>2420</v>
      </c>
      <c r="C1572" s="1802">
        <v>7400</v>
      </c>
      <c r="D1572" s="1803" t="s">
        <v>1316</v>
      </c>
      <c r="E1572" s="1803"/>
      <c r="F1572" s="1803"/>
      <c r="G1572" s="1803"/>
      <c r="H1572" s="1803"/>
      <c r="I1572" s="1803"/>
      <c r="J1572" s="1803" t="s">
        <v>121</v>
      </c>
      <c r="K1572" s="1803"/>
      <c r="L1572" s="1803"/>
      <c r="M1572" s="1803"/>
      <c r="N1572" s="1803"/>
      <c r="O1572" s="1803"/>
      <c r="P1572" s="1803"/>
      <c r="Q1572" s="1803"/>
      <c r="R1572" s="1774"/>
      <c r="S1572" s="2107"/>
      <c r="T1572" s="1774"/>
      <c r="U1572" s="1776"/>
      <c r="V1572" s="1776"/>
      <c r="W1572" s="1776"/>
      <c r="X1572" s="1776"/>
      <c r="Y1572" s="2107"/>
      <c r="Z1572" s="2107"/>
      <c r="AA1572" s="2107"/>
      <c r="AB1572" s="2107"/>
      <c r="AC1572" s="2107"/>
      <c r="AD1572" s="1775"/>
      <c r="AE1572" s="2127"/>
      <c r="AF1572" s="2127"/>
      <c r="AG1572" s="1777"/>
      <c r="AH1572" s="1777"/>
      <c r="AI1572" s="1777"/>
      <c r="AJ1572" s="1777"/>
      <c r="AK1572" s="2127"/>
      <c r="AL1572" s="2127"/>
      <c r="AM1572" s="2127"/>
      <c r="AN1572" s="2127"/>
      <c r="AO1572" s="1775"/>
      <c r="AP1572" s="1775"/>
      <c r="AQ1572" s="1786"/>
      <c r="AR1572" s="1775"/>
      <c r="AS1572" s="1777"/>
      <c r="AT1572" s="1777"/>
      <c r="AU1572" s="1777"/>
      <c r="AV1572" s="1777"/>
      <c r="AW1572" s="1777"/>
      <c r="AX1572" s="1777"/>
      <c r="AY1572" s="1777"/>
      <c r="AZ1572" s="1777"/>
      <c r="BA1572" s="1777"/>
      <c r="BB1572" s="1777"/>
      <c r="BC1572" s="1777"/>
      <c r="BD1572" s="1777"/>
      <c r="BE1572" s="1777"/>
      <c r="BF1572" s="2127"/>
      <c r="BG1572" s="2127"/>
      <c r="BH1572" s="2127"/>
      <c r="BI1572" s="2127"/>
      <c r="BJ1572" s="2127"/>
      <c r="BK1572" s="2127"/>
      <c r="BL1572" s="2127"/>
      <c r="BM1572" s="2127"/>
      <c r="BN1572" s="2127"/>
      <c r="BO1572" s="2127"/>
      <c r="BP1572" s="2127"/>
      <c r="BQ1572" s="2127"/>
      <c r="BR1572" s="2127"/>
    </row>
    <row r="1573" spans="1:70" s="1765" customFormat="1" ht="49.5">
      <c r="A1573" s="1272">
        <v>7000</v>
      </c>
      <c r="B1573" s="971" t="s">
        <v>2420</v>
      </c>
      <c r="C1573" s="1272">
        <v>7400</v>
      </c>
      <c r="D1573" s="971" t="s">
        <v>1316</v>
      </c>
      <c r="E1573" s="971">
        <v>7410</v>
      </c>
      <c r="F1573" s="971" t="s">
        <v>2421</v>
      </c>
      <c r="G1573" s="971">
        <v>7411</v>
      </c>
      <c r="H1573" s="971" t="s">
        <v>2426</v>
      </c>
      <c r="I1573" s="1273"/>
      <c r="J1573" s="971" t="s">
        <v>124</v>
      </c>
      <c r="K1573" s="971" t="s">
        <v>506</v>
      </c>
      <c r="L1573" s="971" t="s">
        <v>6608</v>
      </c>
      <c r="M1573" s="971" t="s">
        <v>506</v>
      </c>
      <c r="N1573" s="971" t="s">
        <v>141</v>
      </c>
      <c r="O1573" s="971" t="s">
        <v>507</v>
      </c>
      <c r="P1573" s="971"/>
      <c r="Q1573" s="971" t="s">
        <v>2591</v>
      </c>
      <c r="R1573" s="1266"/>
      <c r="S1573" s="2106">
        <v>9432.14</v>
      </c>
      <c r="T1573" s="1266" t="s">
        <v>136</v>
      </c>
      <c r="U1573" s="1742">
        <v>0.125</v>
      </c>
      <c r="V1573" s="1742">
        <v>1.875</v>
      </c>
      <c r="W1573" s="1742">
        <v>11.0175</v>
      </c>
      <c r="X1573" s="1742">
        <v>18.75</v>
      </c>
      <c r="Y1573" s="2106">
        <v>31.642499999999998</v>
      </c>
      <c r="Z1573" s="2106">
        <v>1179.0174999999999</v>
      </c>
      <c r="AA1573" s="2106">
        <v>17685.262499999997</v>
      </c>
      <c r="AB1573" s="2106">
        <v>103918.60244999999</v>
      </c>
      <c r="AC1573" s="2106">
        <v>176852.625</v>
      </c>
      <c r="AD1573" s="1744">
        <v>298456.48994999996</v>
      </c>
      <c r="AE1573" s="2126">
        <v>0</v>
      </c>
      <c r="AF1573" s="2126">
        <v>0</v>
      </c>
      <c r="AG1573" s="1212">
        <v>1</v>
      </c>
      <c r="AH1573" s="1212">
        <v>0</v>
      </c>
      <c r="AI1573" s="1212">
        <v>0</v>
      </c>
      <c r="AJ1573" s="1212">
        <v>1</v>
      </c>
      <c r="AK1573" s="2126">
        <v>298456.48994999996</v>
      </c>
      <c r="AL1573" s="2126">
        <v>0</v>
      </c>
      <c r="AM1573" s="2126">
        <v>0</v>
      </c>
      <c r="AN1573" s="2126">
        <v>298456.48994999996</v>
      </c>
      <c r="AO1573" s="1743" t="s">
        <v>85</v>
      </c>
      <c r="AP1573" s="1743"/>
      <c r="AQ1573" s="1764">
        <v>2014</v>
      </c>
      <c r="AR1573" s="1743" t="s">
        <v>87</v>
      </c>
      <c r="AS1573" s="2135"/>
      <c r="AT1573" s="2135"/>
      <c r="AU1573" s="1212"/>
      <c r="AV1573" s="1212">
        <v>1</v>
      </c>
      <c r="AW1573" s="1212"/>
      <c r="AX1573" s="1212"/>
      <c r="AY1573" s="1212"/>
      <c r="AZ1573" s="1212"/>
      <c r="BA1573" s="1212"/>
      <c r="BB1573" s="1212"/>
      <c r="BC1573" s="1212"/>
      <c r="BD1573" s="1212"/>
      <c r="BE1573" s="1212"/>
      <c r="BF1573" s="2126">
        <v>0</v>
      </c>
      <c r="BG1573" s="2126">
        <v>0</v>
      </c>
      <c r="BH1573" s="2126">
        <v>0</v>
      </c>
      <c r="BI1573" s="2126">
        <v>298456.48994999996</v>
      </c>
      <c r="BJ1573" s="2126">
        <v>0</v>
      </c>
      <c r="BK1573" s="2126">
        <v>0</v>
      </c>
      <c r="BL1573" s="2126">
        <v>0</v>
      </c>
      <c r="BM1573" s="2126">
        <v>0</v>
      </c>
      <c r="BN1573" s="2126">
        <v>0</v>
      </c>
      <c r="BO1573" s="2126">
        <v>0</v>
      </c>
      <c r="BP1573" s="2126">
        <v>0</v>
      </c>
      <c r="BQ1573" s="2126">
        <v>0</v>
      </c>
      <c r="BR1573" s="2126">
        <v>0</v>
      </c>
    </row>
    <row r="1574" spans="1:70" s="1765" customFormat="1" ht="66">
      <c r="A1574" s="1272">
        <v>7000</v>
      </c>
      <c r="B1574" s="971" t="s">
        <v>2420</v>
      </c>
      <c r="C1574" s="1272">
        <v>7400</v>
      </c>
      <c r="D1574" s="971" t="s">
        <v>1316</v>
      </c>
      <c r="E1574" s="971">
        <v>7410</v>
      </c>
      <c r="F1574" s="971" t="s">
        <v>2421</v>
      </c>
      <c r="G1574" s="971">
        <v>7411</v>
      </c>
      <c r="H1574" s="971" t="s">
        <v>2426</v>
      </c>
      <c r="I1574" s="1273"/>
      <c r="J1574" s="971" t="s">
        <v>124</v>
      </c>
      <c r="K1574" s="971" t="s">
        <v>1642</v>
      </c>
      <c r="L1574" s="971" t="s">
        <v>2866</v>
      </c>
      <c r="M1574" s="971" t="s">
        <v>1642</v>
      </c>
      <c r="N1574" s="971" t="s">
        <v>127</v>
      </c>
      <c r="O1574" s="971" t="s">
        <v>1643</v>
      </c>
      <c r="P1574" s="971"/>
      <c r="Q1574" s="971" t="s">
        <v>2592</v>
      </c>
      <c r="R1574" s="1266"/>
      <c r="S1574" s="2106">
        <v>6017.14</v>
      </c>
      <c r="T1574" s="1266" t="s">
        <v>136</v>
      </c>
      <c r="U1574" s="1742">
        <v>0.17933333333333332</v>
      </c>
      <c r="V1574" s="1742">
        <v>2.2416666666666667</v>
      </c>
      <c r="W1574" s="1742">
        <v>15.80644</v>
      </c>
      <c r="X1574" s="1742">
        <v>24.72468666666667</v>
      </c>
      <c r="Y1574" s="2106">
        <v>42.772793333333333</v>
      </c>
      <c r="Z1574" s="2106">
        <v>1079.0737733333333</v>
      </c>
      <c r="AA1574" s="2106">
        <v>13488.422166666667</v>
      </c>
      <c r="AB1574" s="2106">
        <v>95109.562381600001</v>
      </c>
      <c r="AC1574" s="2106">
        <v>148771.90112946669</v>
      </c>
      <c r="AD1574" s="1744">
        <v>257369.88567773334</v>
      </c>
      <c r="AE1574" s="2126">
        <v>0.5</v>
      </c>
      <c r="AF1574" s="2126">
        <v>3008.57</v>
      </c>
      <c r="AG1574" s="1212">
        <v>1</v>
      </c>
      <c r="AH1574" s="1212">
        <v>0</v>
      </c>
      <c r="AI1574" s="1212">
        <v>0</v>
      </c>
      <c r="AJ1574" s="1212">
        <v>1</v>
      </c>
      <c r="AK1574" s="2126">
        <v>257369.88567773334</v>
      </c>
      <c r="AL1574" s="2126">
        <v>0</v>
      </c>
      <c r="AM1574" s="2126">
        <v>0</v>
      </c>
      <c r="AN1574" s="2126">
        <v>257369.88567773334</v>
      </c>
      <c r="AO1574" s="1743" t="s">
        <v>85</v>
      </c>
      <c r="AP1574" s="1743"/>
      <c r="AQ1574" s="1764">
        <v>2014</v>
      </c>
      <c r="AR1574" s="1743" t="s">
        <v>87</v>
      </c>
      <c r="AS1574" s="2135"/>
      <c r="AT1574" s="2135"/>
      <c r="AU1574" s="1212"/>
      <c r="AV1574" s="1212">
        <v>1</v>
      </c>
      <c r="AW1574" s="1212"/>
      <c r="AX1574" s="1212"/>
      <c r="AY1574" s="1212"/>
      <c r="AZ1574" s="1212"/>
      <c r="BA1574" s="1212"/>
      <c r="BB1574" s="1212"/>
      <c r="BC1574" s="1212"/>
      <c r="BD1574" s="1212"/>
      <c r="BE1574" s="1212"/>
      <c r="BF1574" s="2126">
        <v>0</v>
      </c>
      <c r="BG1574" s="2126">
        <v>0</v>
      </c>
      <c r="BH1574" s="2126">
        <v>0</v>
      </c>
      <c r="BI1574" s="2126">
        <v>257369.88567773334</v>
      </c>
      <c r="BJ1574" s="2126">
        <v>0</v>
      </c>
      <c r="BK1574" s="2126">
        <v>0</v>
      </c>
      <c r="BL1574" s="2126">
        <v>0</v>
      </c>
      <c r="BM1574" s="2126">
        <v>0</v>
      </c>
      <c r="BN1574" s="2126">
        <v>0</v>
      </c>
      <c r="BO1574" s="2126">
        <v>0</v>
      </c>
      <c r="BP1574" s="2126">
        <v>0</v>
      </c>
      <c r="BQ1574" s="2126">
        <v>0</v>
      </c>
      <c r="BR1574" s="2126">
        <v>0</v>
      </c>
    </row>
    <row r="1575" spans="1:70" s="1765" customFormat="1" ht="66">
      <c r="A1575" s="1272">
        <v>7000</v>
      </c>
      <c r="B1575" s="971" t="s">
        <v>2420</v>
      </c>
      <c r="C1575" s="1272">
        <v>7400</v>
      </c>
      <c r="D1575" s="971" t="s">
        <v>1316</v>
      </c>
      <c r="E1575" s="971">
        <v>7410</v>
      </c>
      <c r="F1575" s="971" t="s">
        <v>2421</v>
      </c>
      <c r="G1575" s="971">
        <v>7411</v>
      </c>
      <c r="H1575" s="971" t="s">
        <v>2426</v>
      </c>
      <c r="I1575" s="1273"/>
      <c r="J1575" s="971" t="s">
        <v>124</v>
      </c>
      <c r="K1575" s="971" t="s">
        <v>1642</v>
      </c>
      <c r="L1575" s="971" t="s">
        <v>2866</v>
      </c>
      <c r="M1575" s="971" t="s">
        <v>1642</v>
      </c>
      <c r="N1575" s="971" t="s">
        <v>127</v>
      </c>
      <c r="O1575" s="971" t="s">
        <v>1643</v>
      </c>
      <c r="P1575" s="971"/>
      <c r="Q1575" s="971" t="s">
        <v>2593</v>
      </c>
      <c r="R1575" s="1266"/>
      <c r="S1575" s="2106">
        <v>2400</v>
      </c>
      <c r="T1575" s="1266" t="s">
        <v>136</v>
      </c>
      <c r="U1575" s="1742">
        <v>0.17933333333333332</v>
      </c>
      <c r="V1575" s="1742">
        <v>2.2416666666666667</v>
      </c>
      <c r="W1575" s="1742">
        <v>15.80644</v>
      </c>
      <c r="X1575" s="1742">
        <v>24.72468666666667</v>
      </c>
      <c r="Y1575" s="2106">
        <v>42.772793333333333</v>
      </c>
      <c r="Z1575" s="2106">
        <v>430.4</v>
      </c>
      <c r="AA1575" s="2106">
        <v>5380</v>
      </c>
      <c r="AB1575" s="2106">
        <v>37935.455999999998</v>
      </c>
      <c r="AC1575" s="2106">
        <v>59339.248000000007</v>
      </c>
      <c r="AD1575" s="1744">
        <v>102654.704</v>
      </c>
      <c r="AE1575" s="2126">
        <v>0.5</v>
      </c>
      <c r="AF1575" s="2126">
        <v>1200</v>
      </c>
      <c r="AG1575" s="1212">
        <v>1</v>
      </c>
      <c r="AH1575" s="1212">
        <v>0</v>
      </c>
      <c r="AI1575" s="1212">
        <v>0</v>
      </c>
      <c r="AJ1575" s="1212">
        <v>1</v>
      </c>
      <c r="AK1575" s="2126">
        <v>102654.704</v>
      </c>
      <c r="AL1575" s="2126">
        <v>0</v>
      </c>
      <c r="AM1575" s="2126">
        <v>0</v>
      </c>
      <c r="AN1575" s="2126">
        <v>102654.704</v>
      </c>
      <c r="AO1575" s="1743" t="s">
        <v>85</v>
      </c>
      <c r="AP1575" s="1743"/>
      <c r="AQ1575" s="1764">
        <v>2014</v>
      </c>
      <c r="AR1575" s="1743" t="s">
        <v>87</v>
      </c>
      <c r="AS1575" s="2135"/>
      <c r="AT1575" s="2135"/>
      <c r="AU1575" s="1212"/>
      <c r="AV1575" s="1212">
        <v>1</v>
      </c>
      <c r="AW1575" s="1212"/>
      <c r="AX1575" s="1212"/>
      <c r="AY1575" s="1212"/>
      <c r="AZ1575" s="1212"/>
      <c r="BA1575" s="1212"/>
      <c r="BB1575" s="1212"/>
      <c r="BC1575" s="1212"/>
      <c r="BD1575" s="1212"/>
      <c r="BE1575" s="1212"/>
      <c r="BF1575" s="2126">
        <v>0</v>
      </c>
      <c r="BG1575" s="2126">
        <v>0</v>
      </c>
      <c r="BH1575" s="2126">
        <v>0</v>
      </c>
      <c r="BI1575" s="2126">
        <v>102654.704</v>
      </c>
      <c r="BJ1575" s="2126">
        <v>0</v>
      </c>
      <c r="BK1575" s="2126">
        <v>0</v>
      </c>
      <c r="BL1575" s="2126">
        <v>0</v>
      </c>
      <c r="BM1575" s="2126">
        <v>0</v>
      </c>
      <c r="BN1575" s="2126">
        <v>0</v>
      </c>
      <c r="BO1575" s="2126">
        <v>0</v>
      </c>
      <c r="BP1575" s="2126">
        <v>0</v>
      </c>
      <c r="BQ1575" s="2126">
        <v>0</v>
      </c>
      <c r="BR1575" s="2126">
        <v>0</v>
      </c>
    </row>
    <row r="1576" spans="1:70" s="1765" customFormat="1" ht="33">
      <c r="A1576" s="1272">
        <v>7000</v>
      </c>
      <c r="B1576" s="971" t="s">
        <v>2420</v>
      </c>
      <c r="C1576" s="1272">
        <v>7400</v>
      </c>
      <c r="D1576" s="971" t="s">
        <v>1316</v>
      </c>
      <c r="E1576" s="971">
        <v>7410</v>
      </c>
      <c r="F1576" s="971" t="s">
        <v>2421</v>
      </c>
      <c r="G1576" s="971">
        <v>7412</v>
      </c>
      <c r="H1576" s="971" t="s">
        <v>2594</v>
      </c>
      <c r="I1576" s="1273"/>
      <c r="J1576" s="971" t="s">
        <v>121</v>
      </c>
      <c r="K1576" s="971"/>
      <c r="L1576" s="971" t="e">
        <v>#N/A</v>
      </c>
      <c r="M1576" s="971" t="s">
        <v>1993</v>
      </c>
      <c r="N1576" s="971" t="s">
        <v>269</v>
      </c>
      <c r="O1576" s="971"/>
      <c r="P1576" s="971"/>
      <c r="Q1576" s="971" t="s">
        <v>2595</v>
      </c>
      <c r="R1576" s="1266"/>
      <c r="S1576" s="2106">
        <v>1</v>
      </c>
      <c r="T1576" s="1266" t="s">
        <v>242</v>
      </c>
      <c r="U1576" s="1742" t="s">
        <v>6588</v>
      </c>
      <c r="V1576" s="1742" t="s">
        <v>6588</v>
      </c>
      <c r="W1576" s="1742" t="s">
        <v>6588</v>
      </c>
      <c r="X1576" s="1742" t="s">
        <v>6588</v>
      </c>
      <c r="Y1576" s="2106" t="s">
        <v>6588</v>
      </c>
      <c r="Z1576" s="2106">
        <v>0</v>
      </c>
      <c r="AA1576" s="2106">
        <v>0</v>
      </c>
      <c r="AB1576" s="2106">
        <v>0</v>
      </c>
      <c r="AC1576" s="2106">
        <v>0</v>
      </c>
      <c r="AD1576" s="1744">
        <v>0</v>
      </c>
      <c r="AE1576" s="2126">
        <v>0</v>
      </c>
      <c r="AF1576" s="2126">
        <v>0</v>
      </c>
      <c r="AG1576" s="1212">
        <v>1</v>
      </c>
      <c r="AH1576" s="1212">
        <v>0</v>
      </c>
      <c r="AI1576" s="1212">
        <v>0</v>
      </c>
      <c r="AJ1576" s="1212">
        <v>1</v>
      </c>
      <c r="AK1576" s="2126">
        <v>0</v>
      </c>
      <c r="AL1576" s="2126">
        <v>0</v>
      </c>
      <c r="AM1576" s="2126">
        <v>0</v>
      </c>
      <c r="AN1576" s="2126">
        <v>0</v>
      </c>
      <c r="AO1576" s="1743" t="s">
        <v>85</v>
      </c>
      <c r="AP1576" s="1743"/>
      <c r="AQ1576" s="1764">
        <v>2014</v>
      </c>
      <c r="AR1576" s="1743" t="s">
        <v>87</v>
      </c>
      <c r="AS1576" s="2135"/>
      <c r="AT1576" s="2135"/>
      <c r="AU1576" s="1212"/>
      <c r="AV1576" s="1212">
        <v>1</v>
      </c>
      <c r="AW1576" s="1212"/>
      <c r="AX1576" s="1212"/>
      <c r="AY1576" s="1212"/>
      <c r="AZ1576" s="1212"/>
      <c r="BA1576" s="1212"/>
      <c r="BB1576" s="1212"/>
      <c r="BC1576" s="1212"/>
      <c r="BD1576" s="1212"/>
      <c r="BE1576" s="1212"/>
      <c r="BF1576" s="2126">
        <v>0</v>
      </c>
      <c r="BG1576" s="2126">
        <v>0</v>
      </c>
      <c r="BH1576" s="2126">
        <v>0</v>
      </c>
      <c r="BI1576" s="2126">
        <v>0</v>
      </c>
      <c r="BJ1576" s="2126">
        <v>0</v>
      </c>
      <c r="BK1576" s="2126">
        <v>0</v>
      </c>
      <c r="BL1576" s="2126">
        <v>0</v>
      </c>
      <c r="BM1576" s="2126">
        <v>0</v>
      </c>
      <c r="BN1576" s="2126">
        <v>0</v>
      </c>
      <c r="BO1576" s="2126">
        <v>0</v>
      </c>
      <c r="BP1576" s="2126">
        <v>0</v>
      </c>
      <c r="BQ1576" s="2126">
        <v>0</v>
      </c>
      <c r="BR1576" s="2126">
        <v>0</v>
      </c>
    </row>
    <row r="1577" spans="1:70" s="1765" customFormat="1" ht="66">
      <c r="A1577" s="1272">
        <v>7000</v>
      </c>
      <c r="B1577" s="971" t="s">
        <v>2420</v>
      </c>
      <c r="C1577" s="1272">
        <v>7400</v>
      </c>
      <c r="D1577" s="971" t="s">
        <v>1316</v>
      </c>
      <c r="E1577" s="971">
        <v>7430</v>
      </c>
      <c r="F1577" s="971" t="s">
        <v>2430</v>
      </c>
      <c r="G1577" s="971">
        <v>7434</v>
      </c>
      <c r="H1577" s="971" t="s">
        <v>2431</v>
      </c>
      <c r="I1577" s="1273"/>
      <c r="J1577" s="971" t="s">
        <v>124</v>
      </c>
      <c r="K1577" s="971" t="s">
        <v>1747</v>
      </c>
      <c r="L1577" s="971" t="s">
        <v>6606</v>
      </c>
      <c r="M1577" s="971" t="s">
        <v>606</v>
      </c>
      <c r="N1577" s="971" t="s">
        <v>488</v>
      </c>
      <c r="O1577" s="971" t="s">
        <v>518</v>
      </c>
      <c r="P1577" s="971"/>
      <c r="Q1577" s="971" t="s">
        <v>2433</v>
      </c>
      <c r="R1577" s="1266"/>
      <c r="S1577" s="2106">
        <v>182.2</v>
      </c>
      <c r="T1577" s="1266" t="s">
        <v>136</v>
      </c>
      <c r="U1577" s="1742">
        <v>0.56041666666666667</v>
      </c>
      <c r="V1577" s="1742">
        <v>1.9614583333333333</v>
      </c>
      <c r="W1577" s="1742">
        <v>49.395125</v>
      </c>
      <c r="X1577" s="1742">
        <v>77.264645833333333</v>
      </c>
      <c r="Y1577" s="2106">
        <v>128.62122916666667</v>
      </c>
      <c r="Z1577" s="2106">
        <v>102.10791666666667</v>
      </c>
      <c r="AA1577" s="2106">
        <v>357.37770833333332</v>
      </c>
      <c r="AB1577" s="2106">
        <v>8999.7917749999997</v>
      </c>
      <c r="AC1577" s="2106">
        <v>14077.618470833333</v>
      </c>
      <c r="AD1577" s="1744">
        <v>23434.787954166666</v>
      </c>
      <c r="AE1577" s="2126">
        <v>1</v>
      </c>
      <c r="AF1577" s="2126">
        <v>182.2</v>
      </c>
      <c r="AG1577" s="1212">
        <v>1</v>
      </c>
      <c r="AH1577" s="1212">
        <v>0</v>
      </c>
      <c r="AI1577" s="1212">
        <v>0</v>
      </c>
      <c r="AJ1577" s="1212">
        <v>1</v>
      </c>
      <c r="AK1577" s="2126">
        <v>23434.787954166666</v>
      </c>
      <c r="AL1577" s="2126">
        <v>0</v>
      </c>
      <c r="AM1577" s="2126">
        <v>0</v>
      </c>
      <c r="AN1577" s="2126">
        <v>23434.787954166666</v>
      </c>
      <c r="AO1577" s="1743" t="s">
        <v>85</v>
      </c>
      <c r="AP1577" s="1743"/>
      <c r="AQ1577" s="1764">
        <v>2014</v>
      </c>
      <c r="AR1577" s="1743" t="s">
        <v>87</v>
      </c>
      <c r="AS1577" s="2135"/>
      <c r="AT1577" s="2135"/>
      <c r="AU1577" s="1212"/>
      <c r="AV1577" s="1212">
        <v>1</v>
      </c>
      <c r="AW1577" s="1212"/>
      <c r="AX1577" s="1212"/>
      <c r="AY1577" s="1212"/>
      <c r="AZ1577" s="1212"/>
      <c r="BA1577" s="1212"/>
      <c r="BB1577" s="1212"/>
      <c r="BC1577" s="1212"/>
      <c r="BD1577" s="1212"/>
      <c r="BE1577" s="1212"/>
      <c r="BF1577" s="2126">
        <v>0</v>
      </c>
      <c r="BG1577" s="2126">
        <v>0</v>
      </c>
      <c r="BH1577" s="2126">
        <v>0</v>
      </c>
      <c r="BI1577" s="2126">
        <v>23434.787954166666</v>
      </c>
      <c r="BJ1577" s="2126">
        <v>0</v>
      </c>
      <c r="BK1577" s="2126">
        <v>0</v>
      </c>
      <c r="BL1577" s="2126">
        <v>0</v>
      </c>
      <c r="BM1577" s="2126">
        <v>0</v>
      </c>
      <c r="BN1577" s="2126">
        <v>0</v>
      </c>
      <c r="BO1577" s="2126">
        <v>0</v>
      </c>
      <c r="BP1577" s="2126">
        <v>0</v>
      </c>
      <c r="BQ1577" s="2126">
        <v>0</v>
      </c>
      <c r="BR1577" s="2126">
        <v>0</v>
      </c>
    </row>
    <row r="1578" spans="1:70" s="1765" customFormat="1" ht="66">
      <c r="A1578" s="1272">
        <v>7000</v>
      </c>
      <c r="B1578" s="971" t="s">
        <v>2420</v>
      </c>
      <c r="C1578" s="1272">
        <v>7400</v>
      </c>
      <c r="D1578" s="971" t="s">
        <v>1316</v>
      </c>
      <c r="E1578" s="971">
        <v>7430</v>
      </c>
      <c r="F1578" s="971" t="s">
        <v>2430</v>
      </c>
      <c r="G1578" s="971">
        <v>7434</v>
      </c>
      <c r="H1578" s="971" t="s">
        <v>2431</v>
      </c>
      <c r="I1578" s="1273"/>
      <c r="J1578" s="971" t="s">
        <v>124</v>
      </c>
      <c r="K1578" s="971" t="s">
        <v>2022</v>
      </c>
      <c r="L1578" s="971" t="s">
        <v>2867</v>
      </c>
      <c r="M1578" s="971" t="s">
        <v>2022</v>
      </c>
      <c r="N1578" s="971" t="s">
        <v>488</v>
      </c>
      <c r="O1578" s="971" t="s">
        <v>1643</v>
      </c>
      <c r="P1578" s="971"/>
      <c r="Q1578" s="971" t="s">
        <v>2442</v>
      </c>
      <c r="R1578" s="1266"/>
      <c r="S1578" s="2106">
        <v>2046</v>
      </c>
      <c r="T1578" s="1266" t="s">
        <v>136</v>
      </c>
      <c r="U1578" s="1742">
        <v>0.58283333333333331</v>
      </c>
      <c r="V1578" s="1742">
        <v>2.2416666666666667</v>
      </c>
      <c r="W1578" s="1742">
        <v>56.121489214285731</v>
      </c>
      <c r="X1578" s="1742">
        <v>80.355231666666654</v>
      </c>
      <c r="Y1578" s="2106">
        <v>138.71838754761905</v>
      </c>
      <c r="Z1578" s="2106">
        <v>1192.4769999999999</v>
      </c>
      <c r="AA1578" s="2106">
        <v>4586.45</v>
      </c>
      <c r="AB1578" s="2106">
        <v>114824.5669324286</v>
      </c>
      <c r="AC1578" s="2106">
        <v>164406.80398999999</v>
      </c>
      <c r="AD1578" s="1744">
        <v>283817.82092242857</v>
      </c>
      <c r="AE1578" s="2126">
        <v>0.5</v>
      </c>
      <c r="AF1578" s="2126">
        <v>1023</v>
      </c>
      <c r="AG1578" s="1212">
        <v>1</v>
      </c>
      <c r="AH1578" s="1212">
        <v>0</v>
      </c>
      <c r="AI1578" s="1212">
        <v>0</v>
      </c>
      <c r="AJ1578" s="1212">
        <v>1</v>
      </c>
      <c r="AK1578" s="2126">
        <v>283817.82092242857</v>
      </c>
      <c r="AL1578" s="2126">
        <v>0</v>
      </c>
      <c r="AM1578" s="2126">
        <v>0</v>
      </c>
      <c r="AN1578" s="2126">
        <v>283817.82092242857</v>
      </c>
      <c r="AO1578" s="1743" t="s">
        <v>131</v>
      </c>
      <c r="AP1578" s="1743" t="s">
        <v>90</v>
      </c>
      <c r="AQ1578" s="1764" t="s">
        <v>112</v>
      </c>
      <c r="AR1578" s="1743" t="s">
        <v>87</v>
      </c>
      <c r="AS1578" s="2135"/>
      <c r="AT1578" s="2135"/>
      <c r="AU1578" s="1212">
        <v>0.33333333333333331</v>
      </c>
      <c r="AV1578" s="1212">
        <v>0.33333333333333331</v>
      </c>
      <c r="AW1578" s="1212">
        <v>0.33333333333333331</v>
      </c>
      <c r="AX1578" s="1212"/>
      <c r="AY1578" s="1212"/>
      <c r="AZ1578" s="1212"/>
      <c r="BA1578" s="1212"/>
      <c r="BB1578" s="1212"/>
      <c r="BC1578" s="1212"/>
      <c r="BD1578" s="1212"/>
      <c r="BE1578" s="1212"/>
      <c r="BF1578" s="2126">
        <v>0</v>
      </c>
      <c r="BG1578" s="2126">
        <v>0</v>
      </c>
      <c r="BH1578" s="2126">
        <v>94605.940307476179</v>
      </c>
      <c r="BI1578" s="2126">
        <v>94605.940307476179</v>
      </c>
      <c r="BJ1578" s="2126">
        <v>94605.940307476179</v>
      </c>
      <c r="BK1578" s="2126">
        <v>0</v>
      </c>
      <c r="BL1578" s="2126">
        <v>0</v>
      </c>
      <c r="BM1578" s="2126">
        <v>0</v>
      </c>
      <c r="BN1578" s="2126">
        <v>0</v>
      </c>
      <c r="BO1578" s="2126">
        <v>0</v>
      </c>
      <c r="BP1578" s="2126">
        <v>0</v>
      </c>
      <c r="BQ1578" s="2126">
        <v>0</v>
      </c>
      <c r="BR1578" s="2126">
        <v>0</v>
      </c>
    </row>
    <row r="1579" spans="1:70" s="1765" customFormat="1" ht="49.5">
      <c r="A1579" s="1272">
        <v>7000</v>
      </c>
      <c r="B1579" s="971" t="s">
        <v>2420</v>
      </c>
      <c r="C1579" s="1272">
        <v>7400</v>
      </c>
      <c r="D1579" s="971" t="s">
        <v>1316</v>
      </c>
      <c r="E1579" s="971">
        <v>7430</v>
      </c>
      <c r="F1579" s="971" t="s">
        <v>2430</v>
      </c>
      <c r="G1579" s="971">
        <v>7434</v>
      </c>
      <c r="H1579" s="971" t="s">
        <v>2431</v>
      </c>
      <c r="I1579" s="1273"/>
      <c r="J1579" s="971" t="s">
        <v>124</v>
      </c>
      <c r="K1579" s="971" t="s">
        <v>506</v>
      </c>
      <c r="L1579" s="971" t="s">
        <v>6608</v>
      </c>
      <c r="M1579" s="971" t="s">
        <v>506</v>
      </c>
      <c r="N1579" s="971" t="s">
        <v>141</v>
      </c>
      <c r="O1579" s="971" t="s">
        <v>507</v>
      </c>
      <c r="P1579" s="971"/>
      <c r="Q1579" s="971" t="s">
        <v>2442</v>
      </c>
      <c r="R1579" s="1266"/>
      <c r="S1579" s="2106">
        <v>2046</v>
      </c>
      <c r="T1579" s="1266" t="s">
        <v>136</v>
      </c>
      <c r="U1579" s="1742">
        <v>0.125</v>
      </c>
      <c r="V1579" s="1742">
        <v>1.875</v>
      </c>
      <c r="W1579" s="1742">
        <v>11.0175</v>
      </c>
      <c r="X1579" s="1742">
        <v>18.75</v>
      </c>
      <c r="Y1579" s="2106">
        <v>31.642499999999998</v>
      </c>
      <c r="Z1579" s="2106">
        <v>255.75</v>
      </c>
      <c r="AA1579" s="2106">
        <v>3836.25</v>
      </c>
      <c r="AB1579" s="2106">
        <v>22541.805</v>
      </c>
      <c r="AC1579" s="2106">
        <v>38362.5</v>
      </c>
      <c r="AD1579" s="1744">
        <v>64740.555</v>
      </c>
      <c r="AE1579" s="2126">
        <v>0</v>
      </c>
      <c r="AF1579" s="2126">
        <v>0</v>
      </c>
      <c r="AG1579" s="1212">
        <v>1</v>
      </c>
      <c r="AH1579" s="1212">
        <v>0</v>
      </c>
      <c r="AI1579" s="1212">
        <v>0</v>
      </c>
      <c r="AJ1579" s="1212">
        <v>1</v>
      </c>
      <c r="AK1579" s="2126">
        <v>64740.555</v>
      </c>
      <c r="AL1579" s="2126">
        <v>0</v>
      </c>
      <c r="AM1579" s="2126">
        <v>0</v>
      </c>
      <c r="AN1579" s="2126">
        <v>64740.555</v>
      </c>
      <c r="AO1579" s="1743" t="s">
        <v>85</v>
      </c>
      <c r="AP1579" s="1743" t="s">
        <v>90</v>
      </c>
      <c r="AQ1579" s="1764" t="s">
        <v>112</v>
      </c>
      <c r="AR1579" s="1743" t="s">
        <v>87</v>
      </c>
      <c r="AS1579" s="2135"/>
      <c r="AT1579" s="2135"/>
      <c r="AU1579" s="1212"/>
      <c r="AV1579" s="1212">
        <v>1</v>
      </c>
      <c r="AW1579" s="1212"/>
      <c r="AX1579" s="1212"/>
      <c r="AY1579" s="1212"/>
      <c r="AZ1579" s="1212"/>
      <c r="BA1579" s="1212"/>
      <c r="BB1579" s="1212"/>
      <c r="BC1579" s="1212"/>
      <c r="BD1579" s="1212"/>
      <c r="BE1579" s="1212"/>
      <c r="BF1579" s="2126">
        <v>0</v>
      </c>
      <c r="BG1579" s="2126">
        <v>0</v>
      </c>
      <c r="BH1579" s="2126">
        <v>0</v>
      </c>
      <c r="BI1579" s="2126">
        <v>64740.555</v>
      </c>
      <c r="BJ1579" s="2126">
        <v>0</v>
      </c>
      <c r="BK1579" s="2126">
        <v>0</v>
      </c>
      <c r="BL1579" s="2126">
        <v>0</v>
      </c>
      <c r="BM1579" s="2126">
        <v>0</v>
      </c>
      <c r="BN1579" s="2126">
        <v>0</v>
      </c>
      <c r="BO1579" s="2126">
        <v>0</v>
      </c>
      <c r="BP1579" s="2126">
        <v>0</v>
      </c>
      <c r="BQ1579" s="2126">
        <v>0</v>
      </c>
      <c r="BR1579" s="2126">
        <v>0</v>
      </c>
    </row>
    <row r="1580" spans="1:70" s="1765" customFormat="1" ht="82.5">
      <c r="A1580" s="1272">
        <v>7000</v>
      </c>
      <c r="B1580" s="971" t="s">
        <v>2420</v>
      </c>
      <c r="C1580" s="1272">
        <v>7400</v>
      </c>
      <c r="D1580" s="971" t="s">
        <v>1316</v>
      </c>
      <c r="E1580" s="971">
        <v>7430</v>
      </c>
      <c r="F1580" s="971" t="s">
        <v>2430</v>
      </c>
      <c r="G1580" s="971">
        <v>7435</v>
      </c>
      <c r="H1580" s="971" t="s">
        <v>2459</v>
      </c>
      <c r="I1580" s="1273"/>
      <c r="J1580" s="971"/>
      <c r="K1580" s="971" t="s">
        <v>2460</v>
      </c>
      <c r="L1580" s="971" t="s">
        <v>2851</v>
      </c>
      <c r="M1580" s="971" t="s">
        <v>2460</v>
      </c>
      <c r="N1580" s="971" t="s">
        <v>488</v>
      </c>
      <c r="O1580" s="971" t="s">
        <v>2461</v>
      </c>
      <c r="P1580" s="971"/>
      <c r="Q1580" s="971" t="s">
        <v>2462</v>
      </c>
      <c r="R1580" s="1266"/>
      <c r="S1580" s="2106">
        <v>1</v>
      </c>
      <c r="T1580" s="1266" t="s">
        <v>2700</v>
      </c>
      <c r="U1580" s="1742">
        <v>94.339622641509436</v>
      </c>
      <c r="V1580" s="1742">
        <v>1179.2452830188681</v>
      </c>
      <c r="W1580" s="1742">
        <v>9433.9622641509432</v>
      </c>
      <c r="X1580" s="1742">
        <v>13006.603773584906</v>
      </c>
      <c r="Y1580" s="2106">
        <v>23619.811320754718</v>
      </c>
      <c r="Z1580" s="2106">
        <v>94.339622641509436</v>
      </c>
      <c r="AA1580" s="2106">
        <v>1179.2452830188681</v>
      </c>
      <c r="AB1580" s="2106">
        <v>9433.9622641509432</v>
      </c>
      <c r="AC1580" s="2106">
        <v>13006.603773584906</v>
      </c>
      <c r="AD1580" s="1744">
        <v>23619.811320754718</v>
      </c>
      <c r="AE1580" s="2126">
        <v>0</v>
      </c>
      <c r="AF1580" s="2126">
        <v>0</v>
      </c>
      <c r="AG1580" s="1212">
        <v>1</v>
      </c>
      <c r="AH1580" s="1212">
        <v>0</v>
      </c>
      <c r="AI1580" s="1212">
        <v>0</v>
      </c>
      <c r="AJ1580" s="1212">
        <v>1</v>
      </c>
      <c r="AK1580" s="2126">
        <v>23619.811320754718</v>
      </c>
      <c r="AL1580" s="2126">
        <v>0</v>
      </c>
      <c r="AM1580" s="2126">
        <v>0</v>
      </c>
      <c r="AN1580" s="2126">
        <v>23619.811320754718</v>
      </c>
      <c r="AO1580" s="1743" t="s">
        <v>85</v>
      </c>
      <c r="AP1580" s="1743"/>
      <c r="AQ1580" s="1764">
        <v>2014</v>
      </c>
      <c r="AR1580" s="1743" t="s">
        <v>87</v>
      </c>
      <c r="AS1580" s="2135"/>
      <c r="AT1580" s="2135"/>
      <c r="AU1580" s="1212">
        <v>0.33333333333333331</v>
      </c>
      <c r="AV1580" s="1212">
        <v>0.33333333333333331</v>
      </c>
      <c r="AW1580" s="1212">
        <v>0.33333333333333331</v>
      </c>
      <c r="AX1580" s="1212"/>
      <c r="AY1580" s="1212"/>
      <c r="AZ1580" s="1212"/>
      <c r="BA1580" s="1212"/>
      <c r="BB1580" s="1212"/>
      <c r="BC1580" s="1212"/>
      <c r="BD1580" s="1212"/>
      <c r="BE1580" s="1212"/>
      <c r="BF1580" s="2126">
        <v>0</v>
      </c>
      <c r="BG1580" s="2126">
        <v>0</v>
      </c>
      <c r="BH1580" s="2126">
        <v>7873.2704402515719</v>
      </c>
      <c r="BI1580" s="2126">
        <v>7873.2704402515719</v>
      </c>
      <c r="BJ1580" s="2126">
        <v>7873.2704402515719</v>
      </c>
      <c r="BK1580" s="2126">
        <v>0</v>
      </c>
      <c r="BL1580" s="2126">
        <v>0</v>
      </c>
      <c r="BM1580" s="2126">
        <v>0</v>
      </c>
      <c r="BN1580" s="2126">
        <v>0</v>
      </c>
      <c r="BO1580" s="2126">
        <v>0</v>
      </c>
      <c r="BP1580" s="2126">
        <v>0</v>
      </c>
      <c r="BQ1580" s="2126">
        <v>0</v>
      </c>
      <c r="BR1580" s="2126">
        <v>0</v>
      </c>
    </row>
    <row r="1581" spans="1:70" s="1765" customFormat="1" ht="49.5">
      <c r="A1581" s="1272">
        <v>7000</v>
      </c>
      <c r="B1581" s="971" t="s">
        <v>2420</v>
      </c>
      <c r="C1581" s="1272">
        <v>7400</v>
      </c>
      <c r="D1581" s="971" t="s">
        <v>1316</v>
      </c>
      <c r="E1581" s="971">
        <v>7430</v>
      </c>
      <c r="F1581" s="971" t="s">
        <v>2430</v>
      </c>
      <c r="G1581" s="971">
        <v>7432</v>
      </c>
      <c r="H1581" s="971" t="s">
        <v>2486</v>
      </c>
      <c r="I1581" s="1273" t="s">
        <v>2597</v>
      </c>
      <c r="J1581" s="971" t="s">
        <v>177</v>
      </c>
      <c r="K1581" s="971" t="s">
        <v>530</v>
      </c>
      <c r="L1581" s="971" t="s">
        <v>531</v>
      </c>
      <c r="M1581" s="971" t="s">
        <v>530</v>
      </c>
      <c r="N1581" s="971" t="s">
        <v>179</v>
      </c>
      <c r="O1581" s="971" t="s">
        <v>531</v>
      </c>
      <c r="P1581" s="971"/>
      <c r="Q1581" s="971" t="s">
        <v>2598</v>
      </c>
      <c r="R1581" s="1266" t="s">
        <v>2599</v>
      </c>
      <c r="S1581" s="2106">
        <v>1</v>
      </c>
      <c r="T1581" s="1266" t="s">
        <v>242</v>
      </c>
      <c r="U1581" s="1742">
        <v>31</v>
      </c>
      <c r="V1581" s="1742">
        <v>325</v>
      </c>
      <c r="W1581" s="1742">
        <v>2732.34</v>
      </c>
      <c r="X1581" s="1742">
        <v>3584.62</v>
      </c>
      <c r="Y1581" s="2106">
        <v>6641.9599999999991</v>
      </c>
      <c r="Z1581" s="2106">
        <v>31</v>
      </c>
      <c r="AA1581" s="2106">
        <v>325</v>
      </c>
      <c r="AB1581" s="2106">
        <v>2732.34</v>
      </c>
      <c r="AC1581" s="2106">
        <v>3584.62</v>
      </c>
      <c r="AD1581" s="1744">
        <v>6641.96</v>
      </c>
      <c r="AE1581" s="2126">
        <v>2</v>
      </c>
      <c r="AF1581" s="2126">
        <v>2</v>
      </c>
      <c r="AG1581" s="1212">
        <v>1</v>
      </c>
      <c r="AH1581" s="1212">
        <v>0</v>
      </c>
      <c r="AI1581" s="1212">
        <v>0</v>
      </c>
      <c r="AJ1581" s="1212">
        <v>1</v>
      </c>
      <c r="AK1581" s="2126">
        <v>6641.96</v>
      </c>
      <c r="AL1581" s="2126">
        <v>0</v>
      </c>
      <c r="AM1581" s="2126">
        <v>0</v>
      </c>
      <c r="AN1581" s="2126">
        <v>6641.96</v>
      </c>
      <c r="AO1581" s="1743" t="s">
        <v>85</v>
      </c>
      <c r="AP1581" s="1743"/>
      <c r="AQ1581" s="1764">
        <v>2014</v>
      </c>
      <c r="AR1581" s="1743" t="s">
        <v>87</v>
      </c>
      <c r="AS1581" s="2135"/>
      <c r="AT1581" s="2135"/>
      <c r="AU1581" s="1212">
        <v>0.5</v>
      </c>
      <c r="AV1581" s="1212">
        <v>0.5</v>
      </c>
      <c r="AW1581" s="1212"/>
      <c r="AX1581" s="1212"/>
      <c r="AY1581" s="1212"/>
      <c r="AZ1581" s="1212"/>
      <c r="BA1581" s="1212"/>
      <c r="BB1581" s="1212"/>
      <c r="BC1581" s="1212"/>
      <c r="BD1581" s="1212"/>
      <c r="BE1581" s="1212"/>
      <c r="BF1581" s="2126">
        <v>0</v>
      </c>
      <c r="BG1581" s="2126">
        <v>0</v>
      </c>
      <c r="BH1581" s="2126">
        <v>3320.98</v>
      </c>
      <c r="BI1581" s="2126">
        <v>3320.98</v>
      </c>
      <c r="BJ1581" s="2126">
        <v>0</v>
      </c>
      <c r="BK1581" s="2126">
        <v>0</v>
      </c>
      <c r="BL1581" s="2126">
        <v>0</v>
      </c>
      <c r="BM1581" s="2126">
        <v>0</v>
      </c>
      <c r="BN1581" s="2126">
        <v>0</v>
      </c>
      <c r="BO1581" s="2126">
        <v>0</v>
      </c>
      <c r="BP1581" s="2126">
        <v>0</v>
      </c>
      <c r="BQ1581" s="2126">
        <v>0</v>
      </c>
      <c r="BR1581" s="2126">
        <v>0</v>
      </c>
    </row>
    <row r="1582" spans="1:70" s="1765" customFormat="1" ht="49.5">
      <c r="A1582" s="1272">
        <v>7000</v>
      </c>
      <c r="B1582" s="971" t="s">
        <v>2420</v>
      </c>
      <c r="C1582" s="1272">
        <v>7400</v>
      </c>
      <c r="D1582" s="971" t="s">
        <v>1316</v>
      </c>
      <c r="E1582" s="971">
        <v>7430</v>
      </c>
      <c r="F1582" s="971" t="s">
        <v>2430</v>
      </c>
      <c r="G1582" s="971">
        <v>7432</v>
      </c>
      <c r="H1582" s="971" t="s">
        <v>2486</v>
      </c>
      <c r="I1582" s="1273" t="s">
        <v>2600</v>
      </c>
      <c r="J1582" s="971" t="s">
        <v>177</v>
      </c>
      <c r="K1582" s="971" t="s">
        <v>530</v>
      </c>
      <c r="L1582" s="971" t="s">
        <v>531</v>
      </c>
      <c r="M1582" s="971" t="s">
        <v>530</v>
      </c>
      <c r="N1582" s="971" t="s">
        <v>179</v>
      </c>
      <c r="O1582" s="971" t="s">
        <v>531</v>
      </c>
      <c r="P1582" s="971"/>
      <c r="Q1582" s="971" t="s">
        <v>2488</v>
      </c>
      <c r="R1582" s="1266" t="s">
        <v>2601</v>
      </c>
      <c r="S1582" s="2106">
        <v>1</v>
      </c>
      <c r="T1582" s="1266" t="s">
        <v>242</v>
      </c>
      <c r="U1582" s="1742">
        <v>31</v>
      </c>
      <c r="V1582" s="1742">
        <v>325</v>
      </c>
      <c r="W1582" s="1742">
        <v>2732.34</v>
      </c>
      <c r="X1582" s="1742">
        <v>3584.62</v>
      </c>
      <c r="Y1582" s="2106">
        <v>6641.9599999999991</v>
      </c>
      <c r="Z1582" s="2106">
        <v>31</v>
      </c>
      <c r="AA1582" s="2106">
        <v>325</v>
      </c>
      <c r="AB1582" s="2106">
        <v>2732.34</v>
      </c>
      <c r="AC1582" s="2106">
        <v>3584.62</v>
      </c>
      <c r="AD1582" s="1744">
        <v>6641.96</v>
      </c>
      <c r="AE1582" s="2126">
        <v>2</v>
      </c>
      <c r="AF1582" s="2126">
        <v>2</v>
      </c>
      <c r="AG1582" s="1212">
        <v>1</v>
      </c>
      <c r="AH1582" s="1212">
        <v>0</v>
      </c>
      <c r="AI1582" s="1212">
        <v>0</v>
      </c>
      <c r="AJ1582" s="1212">
        <v>1</v>
      </c>
      <c r="AK1582" s="2126">
        <v>6641.96</v>
      </c>
      <c r="AL1582" s="2126">
        <v>0</v>
      </c>
      <c r="AM1582" s="2126">
        <v>0</v>
      </c>
      <c r="AN1582" s="2126">
        <v>6641.96</v>
      </c>
      <c r="AO1582" s="1743" t="s">
        <v>85</v>
      </c>
      <c r="AP1582" s="1743"/>
      <c r="AQ1582" s="1764">
        <v>2014</v>
      </c>
      <c r="AR1582" s="1743" t="s">
        <v>87</v>
      </c>
      <c r="AS1582" s="2135"/>
      <c r="AT1582" s="2135"/>
      <c r="AU1582" s="1212">
        <v>0.5</v>
      </c>
      <c r="AV1582" s="1212">
        <v>0.5</v>
      </c>
      <c r="AW1582" s="1212"/>
      <c r="AX1582" s="1212"/>
      <c r="AY1582" s="1212"/>
      <c r="AZ1582" s="1212"/>
      <c r="BA1582" s="1212"/>
      <c r="BB1582" s="1212"/>
      <c r="BC1582" s="1212"/>
      <c r="BD1582" s="1212"/>
      <c r="BE1582" s="1212"/>
      <c r="BF1582" s="2126">
        <v>0</v>
      </c>
      <c r="BG1582" s="2126">
        <v>0</v>
      </c>
      <c r="BH1582" s="2126">
        <v>3320.98</v>
      </c>
      <c r="BI1582" s="2126">
        <v>3320.98</v>
      </c>
      <c r="BJ1582" s="2126">
        <v>0</v>
      </c>
      <c r="BK1582" s="2126">
        <v>0</v>
      </c>
      <c r="BL1582" s="2126">
        <v>0</v>
      </c>
      <c r="BM1582" s="2126">
        <v>0</v>
      </c>
      <c r="BN1582" s="2126">
        <v>0</v>
      </c>
      <c r="BO1582" s="2126">
        <v>0</v>
      </c>
      <c r="BP1582" s="2126">
        <v>0</v>
      </c>
      <c r="BQ1582" s="2126">
        <v>0</v>
      </c>
      <c r="BR1582" s="2126">
        <v>0</v>
      </c>
    </row>
    <row r="1583" spans="1:70" s="1765" customFormat="1" ht="49.5">
      <c r="A1583" s="1272">
        <v>7000</v>
      </c>
      <c r="B1583" s="971" t="s">
        <v>2420</v>
      </c>
      <c r="C1583" s="1272">
        <v>7400</v>
      </c>
      <c r="D1583" s="971" t="s">
        <v>1316</v>
      </c>
      <c r="E1583" s="971">
        <v>7430</v>
      </c>
      <c r="F1583" s="971" t="s">
        <v>2430</v>
      </c>
      <c r="G1583" s="971">
        <v>7432</v>
      </c>
      <c r="H1583" s="971" t="s">
        <v>2486</v>
      </c>
      <c r="I1583" s="1273" t="s">
        <v>2602</v>
      </c>
      <c r="J1583" s="971" t="s">
        <v>177</v>
      </c>
      <c r="K1583" s="971" t="s">
        <v>530</v>
      </c>
      <c r="L1583" s="971" t="s">
        <v>531</v>
      </c>
      <c r="M1583" s="971" t="s">
        <v>530</v>
      </c>
      <c r="N1583" s="971" t="s">
        <v>179</v>
      </c>
      <c r="O1583" s="971" t="s">
        <v>531</v>
      </c>
      <c r="P1583" s="971"/>
      <c r="Q1583" s="971" t="s">
        <v>2503</v>
      </c>
      <c r="R1583" s="1266" t="s">
        <v>2603</v>
      </c>
      <c r="S1583" s="2106">
        <v>1</v>
      </c>
      <c r="T1583" s="1266" t="s">
        <v>242</v>
      </c>
      <c r="U1583" s="1742">
        <v>31</v>
      </c>
      <c r="V1583" s="1742">
        <v>325</v>
      </c>
      <c r="W1583" s="1742">
        <v>2732.34</v>
      </c>
      <c r="X1583" s="1742">
        <v>3584.62</v>
      </c>
      <c r="Y1583" s="2106">
        <v>6641.9599999999991</v>
      </c>
      <c r="Z1583" s="2106">
        <v>31</v>
      </c>
      <c r="AA1583" s="2106">
        <v>325</v>
      </c>
      <c r="AB1583" s="2106">
        <v>2732.34</v>
      </c>
      <c r="AC1583" s="2106">
        <v>3584.62</v>
      </c>
      <c r="AD1583" s="1744">
        <v>6641.96</v>
      </c>
      <c r="AE1583" s="2126">
        <v>2</v>
      </c>
      <c r="AF1583" s="2126">
        <v>2</v>
      </c>
      <c r="AG1583" s="1212">
        <v>1</v>
      </c>
      <c r="AH1583" s="1212">
        <v>0</v>
      </c>
      <c r="AI1583" s="1212">
        <v>0</v>
      </c>
      <c r="AJ1583" s="1212">
        <v>1</v>
      </c>
      <c r="AK1583" s="2126">
        <v>6641.96</v>
      </c>
      <c r="AL1583" s="2126">
        <v>0</v>
      </c>
      <c r="AM1583" s="2126">
        <v>0</v>
      </c>
      <c r="AN1583" s="2126">
        <v>6641.96</v>
      </c>
      <c r="AO1583" s="1743" t="s">
        <v>85</v>
      </c>
      <c r="AP1583" s="1743"/>
      <c r="AQ1583" s="1764">
        <v>2014</v>
      </c>
      <c r="AR1583" s="1743" t="s">
        <v>87</v>
      </c>
      <c r="AS1583" s="2135"/>
      <c r="AT1583" s="2135"/>
      <c r="AU1583" s="1212">
        <v>0.5</v>
      </c>
      <c r="AV1583" s="1212">
        <v>0.5</v>
      </c>
      <c r="AW1583" s="1212"/>
      <c r="AX1583" s="1212"/>
      <c r="AY1583" s="1212"/>
      <c r="AZ1583" s="1212"/>
      <c r="BA1583" s="1212"/>
      <c r="BB1583" s="1212"/>
      <c r="BC1583" s="1212"/>
      <c r="BD1583" s="1212"/>
      <c r="BE1583" s="1212"/>
      <c r="BF1583" s="2126">
        <v>0</v>
      </c>
      <c r="BG1583" s="2126">
        <v>0</v>
      </c>
      <c r="BH1583" s="2126">
        <v>3320.98</v>
      </c>
      <c r="BI1583" s="2126">
        <v>3320.98</v>
      </c>
      <c r="BJ1583" s="2126">
        <v>0</v>
      </c>
      <c r="BK1583" s="2126">
        <v>0</v>
      </c>
      <c r="BL1583" s="2126">
        <v>0</v>
      </c>
      <c r="BM1583" s="2126">
        <v>0</v>
      </c>
      <c r="BN1583" s="2126">
        <v>0</v>
      </c>
      <c r="BO1583" s="2126">
        <v>0</v>
      </c>
      <c r="BP1583" s="2126">
        <v>0</v>
      </c>
      <c r="BQ1583" s="2126">
        <v>0</v>
      </c>
      <c r="BR1583" s="2126">
        <v>0</v>
      </c>
    </row>
    <row r="1584" spans="1:70" s="1765" customFormat="1" ht="49.5">
      <c r="A1584" s="1272">
        <v>7000</v>
      </c>
      <c r="B1584" s="971" t="s">
        <v>2420</v>
      </c>
      <c r="C1584" s="1272">
        <v>7400</v>
      </c>
      <c r="D1584" s="971" t="s">
        <v>1316</v>
      </c>
      <c r="E1584" s="971">
        <v>7430</v>
      </c>
      <c r="F1584" s="971" t="s">
        <v>2430</v>
      </c>
      <c r="G1584" s="971">
        <v>7432</v>
      </c>
      <c r="H1584" s="971" t="s">
        <v>2486</v>
      </c>
      <c r="I1584" s="1273" t="s">
        <v>2604</v>
      </c>
      <c r="J1584" s="971" t="s">
        <v>124</v>
      </c>
      <c r="K1584" s="971" t="s">
        <v>2857</v>
      </c>
      <c r="L1584" s="971" t="s">
        <v>2858</v>
      </c>
      <c r="M1584" s="971" t="s">
        <v>487</v>
      </c>
      <c r="N1584" s="971" t="s">
        <v>488</v>
      </c>
      <c r="O1584" s="971" t="s">
        <v>215</v>
      </c>
      <c r="P1584" s="971"/>
      <c r="Q1584" s="971" t="s">
        <v>2605</v>
      </c>
      <c r="R1584" s="1266" t="s">
        <v>2606</v>
      </c>
      <c r="S1584" s="2106">
        <v>35.687732342007436</v>
      </c>
      <c r="T1584" s="1266" t="s">
        <v>136</v>
      </c>
      <c r="U1584" s="1742">
        <v>0.56041666666666667</v>
      </c>
      <c r="V1584" s="1742">
        <v>2.8020833333333335</v>
      </c>
      <c r="W1584" s="1742">
        <v>49.395125</v>
      </c>
      <c r="X1584" s="1742">
        <v>77.264645833333333</v>
      </c>
      <c r="Y1584" s="2106">
        <v>129.46185416666665</v>
      </c>
      <c r="Z1584" s="2106">
        <v>20</v>
      </c>
      <c r="AA1584" s="2106">
        <v>100.00000000000001</v>
      </c>
      <c r="AB1584" s="2106">
        <v>1762.8</v>
      </c>
      <c r="AC1584" s="2106">
        <v>2757.4</v>
      </c>
      <c r="AD1584" s="1744">
        <v>4620.2</v>
      </c>
      <c r="AE1584" s="2126">
        <v>1</v>
      </c>
      <c r="AF1584" s="2126">
        <v>35.687732342007436</v>
      </c>
      <c r="AG1584" s="1212">
        <v>1</v>
      </c>
      <c r="AH1584" s="1212">
        <v>0</v>
      </c>
      <c r="AI1584" s="1212">
        <v>0</v>
      </c>
      <c r="AJ1584" s="1212">
        <v>1</v>
      </c>
      <c r="AK1584" s="2126">
        <v>4620.2</v>
      </c>
      <c r="AL1584" s="2126">
        <v>0</v>
      </c>
      <c r="AM1584" s="2126">
        <v>0</v>
      </c>
      <c r="AN1584" s="2126">
        <v>4620.2</v>
      </c>
      <c r="AO1584" s="1743" t="s">
        <v>85</v>
      </c>
      <c r="AP1584" s="1743"/>
      <c r="AQ1584" s="1764">
        <v>2014</v>
      </c>
      <c r="AR1584" s="1743" t="s">
        <v>87</v>
      </c>
      <c r="AS1584" s="2135"/>
      <c r="AT1584" s="2135"/>
      <c r="AU1584" s="1212">
        <v>0.5</v>
      </c>
      <c r="AV1584" s="1212">
        <v>0.5</v>
      </c>
      <c r="AW1584" s="1212"/>
      <c r="AX1584" s="1212"/>
      <c r="AY1584" s="1212"/>
      <c r="AZ1584" s="1212"/>
      <c r="BA1584" s="1212"/>
      <c r="BB1584" s="1212"/>
      <c r="BC1584" s="1212"/>
      <c r="BD1584" s="1212"/>
      <c r="BE1584" s="1212"/>
      <c r="BF1584" s="2126">
        <v>0</v>
      </c>
      <c r="BG1584" s="2126">
        <v>0</v>
      </c>
      <c r="BH1584" s="2126">
        <v>2310.1</v>
      </c>
      <c r="BI1584" s="2126">
        <v>2310.1</v>
      </c>
      <c r="BJ1584" s="2126">
        <v>0</v>
      </c>
      <c r="BK1584" s="2126">
        <v>0</v>
      </c>
      <c r="BL1584" s="2126">
        <v>0</v>
      </c>
      <c r="BM1584" s="2126">
        <v>0</v>
      </c>
      <c r="BN1584" s="2126">
        <v>0</v>
      </c>
      <c r="BO1584" s="2126">
        <v>0</v>
      </c>
      <c r="BP1584" s="2126">
        <v>0</v>
      </c>
      <c r="BQ1584" s="2126">
        <v>0</v>
      </c>
      <c r="BR1584" s="2126">
        <v>0</v>
      </c>
    </row>
    <row r="1585" spans="1:70" s="1765" customFormat="1" ht="49.5">
      <c r="A1585" s="1272">
        <v>7000</v>
      </c>
      <c r="B1585" s="971" t="s">
        <v>2420</v>
      </c>
      <c r="C1585" s="1272">
        <v>7400</v>
      </c>
      <c r="D1585" s="971" t="s">
        <v>1316</v>
      </c>
      <c r="E1585" s="971">
        <v>7430</v>
      </c>
      <c r="F1585" s="971" t="s">
        <v>2430</v>
      </c>
      <c r="G1585" s="971">
        <v>7432</v>
      </c>
      <c r="H1585" s="971" t="s">
        <v>2486</v>
      </c>
      <c r="I1585" s="1273" t="s">
        <v>2607</v>
      </c>
      <c r="J1585" s="971" t="s">
        <v>124</v>
      </c>
      <c r="K1585" s="971" t="s">
        <v>2857</v>
      </c>
      <c r="L1585" s="971" t="s">
        <v>2858</v>
      </c>
      <c r="M1585" s="971" t="s">
        <v>487</v>
      </c>
      <c r="N1585" s="971" t="s">
        <v>488</v>
      </c>
      <c r="O1585" s="971" t="s">
        <v>215</v>
      </c>
      <c r="P1585" s="971"/>
      <c r="Q1585" s="971" t="s">
        <v>2491</v>
      </c>
      <c r="R1585" s="1266" t="s">
        <v>2608</v>
      </c>
      <c r="S1585" s="2106">
        <v>35.687732342007436</v>
      </c>
      <c r="T1585" s="1266" t="s">
        <v>136</v>
      </c>
      <c r="U1585" s="1742">
        <v>0.56041666666666667</v>
      </c>
      <c r="V1585" s="1742">
        <v>2.8020833333333335</v>
      </c>
      <c r="W1585" s="1742">
        <v>49.395125</v>
      </c>
      <c r="X1585" s="1742">
        <v>77.264645833333333</v>
      </c>
      <c r="Y1585" s="2106">
        <v>129.46185416666665</v>
      </c>
      <c r="Z1585" s="2106">
        <v>20</v>
      </c>
      <c r="AA1585" s="2106">
        <v>100.00000000000001</v>
      </c>
      <c r="AB1585" s="2106">
        <v>1762.8</v>
      </c>
      <c r="AC1585" s="2106">
        <v>2757.4</v>
      </c>
      <c r="AD1585" s="1744">
        <v>4620.2</v>
      </c>
      <c r="AE1585" s="2126">
        <v>1</v>
      </c>
      <c r="AF1585" s="2126">
        <v>35.687732342007436</v>
      </c>
      <c r="AG1585" s="1212">
        <v>1</v>
      </c>
      <c r="AH1585" s="1212">
        <v>0</v>
      </c>
      <c r="AI1585" s="1212">
        <v>0</v>
      </c>
      <c r="AJ1585" s="1212">
        <v>1</v>
      </c>
      <c r="AK1585" s="2126">
        <v>4620.2</v>
      </c>
      <c r="AL1585" s="2126">
        <v>0</v>
      </c>
      <c r="AM1585" s="2126">
        <v>0</v>
      </c>
      <c r="AN1585" s="2126">
        <v>4620.2</v>
      </c>
      <c r="AO1585" s="1743" t="s">
        <v>85</v>
      </c>
      <c r="AP1585" s="1743"/>
      <c r="AQ1585" s="1764">
        <v>2014</v>
      </c>
      <c r="AR1585" s="1743" t="s">
        <v>87</v>
      </c>
      <c r="AS1585" s="2135"/>
      <c r="AT1585" s="2135"/>
      <c r="AU1585" s="1212">
        <v>0.33333333333333331</v>
      </c>
      <c r="AV1585" s="1212">
        <v>0.33333333333333331</v>
      </c>
      <c r="AW1585" s="1212">
        <v>0.33333333333333331</v>
      </c>
      <c r="AX1585" s="1212"/>
      <c r="AY1585" s="1212"/>
      <c r="AZ1585" s="1212"/>
      <c r="BA1585" s="1212"/>
      <c r="BB1585" s="1212"/>
      <c r="BC1585" s="1212"/>
      <c r="BD1585" s="1212"/>
      <c r="BE1585" s="1212"/>
      <c r="BF1585" s="2126">
        <v>0</v>
      </c>
      <c r="BG1585" s="2126">
        <v>0</v>
      </c>
      <c r="BH1585" s="2126">
        <v>1540.0666666666666</v>
      </c>
      <c r="BI1585" s="2126">
        <v>1540.0666666666666</v>
      </c>
      <c r="BJ1585" s="2126">
        <v>1540.0666666666666</v>
      </c>
      <c r="BK1585" s="2126">
        <v>0</v>
      </c>
      <c r="BL1585" s="2126">
        <v>0</v>
      </c>
      <c r="BM1585" s="2126">
        <v>0</v>
      </c>
      <c r="BN1585" s="2126">
        <v>0</v>
      </c>
      <c r="BO1585" s="2126">
        <v>0</v>
      </c>
      <c r="BP1585" s="2126">
        <v>0</v>
      </c>
      <c r="BQ1585" s="2126">
        <v>0</v>
      </c>
      <c r="BR1585" s="2126">
        <v>0</v>
      </c>
    </row>
    <row r="1586" spans="1:70" s="1765" customFormat="1" ht="49.5">
      <c r="A1586" s="1272">
        <v>7000</v>
      </c>
      <c r="B1586" s="971" t="s">
        <v>2420</v>
      </c>
      <c r="C1586" s="1272">
        <v>7400</v>
      </c>
      <c r="D1586" s="971" t="s">
        <v>1316</v>
      </c>
      <c r="E1586" s="971">
        <v>7430</v>
      </c>
      <c r="F1586" s="971" t="s">
        <v>2430</v>
      </c>
      <c r="G1586" s="971">
        <v>7432</v>
      </c>
      <c r="H1586" s="971" t="s">
        <v>2486</v>
      </c>
      <c r="I1586" s="1273" t="s">
        <v>2609</v>
      </c>
      <c r="J1586" s="971" t="s">
        <v>124</v>
      </c>
      <c r="K1586" s="971" t="s">
        <v>2857</v>
      </c>
      <c r="L1586" s="971" t="s">
        <v>2858</v>
      </c>
      <c r="M1586" s="971" t="s">
        <v>487</v>
      </c>
      <c r="N1586" s="971" t="s">
        <v>488</v>
      </c>
      <c r="O1586" s="971" t="s">
        <v>215</v>
      </c>
      <c r="P1586" s="971"/>
      <c r="Q1586" s="971" t="s">
        <v>2494</v>
      </c>
      <c r="R1586" s="1266" t="s">
        <v>2610</v>
      </c>
      <c r="S1586" s="2106">
        <v>35.687732342007436</v>
      </c>
      <c r="T1586" s="1266" t="s">
        <v>136</v>
      </c>
      <c r="U1586" s="1742">
        <v>0.56041666666666667</v>
      </c>
      <c r="V1586" s="1742">
        <v>2.8020833333333335</v>
      </c>
      <c r="W1586" s="1742">
        <v>49.395125</v>
      </c>
      <c r="X1586" s="1742">
        <v>77.264645833333333</v>
      </c>
      <c r="Y1586" s="2106">
        <v>129.46185416666665</v>
      </c>
      <c r="Z1586" s="2106">
        <v>20</v>
      </c>
      <c r="AA1586" s="2106">
        <v>100.00000000000001</v>
      </c>
      <c r="AB1586" s="2106">
        <v>1762.8</v>
      </c>
      <c r="AC1586" s="2106">
        <v>2757.4</v>
      </c>
      <c r="AD1586" s="1744">
        <v>4620.2</v>
      </c>
      <c r="AE1586" s="2126">
        <v>1</v>
      </c>
      <c r="AF1586" s="2126">
        <v>35.687732342007436</v>
      </c>
      <c r="AG1586" s="1212">
        <v>1</v>
      </c>
      <c r="AH1586" s="1212">
        <v>0</v>
      </c>
      <c r="AI1586" s="1212">
        <v>0</v>
      </c>
      <c r="AJ1586" s="1212">
        <v>1</v>
      </c>
      <c r="AK1586" s="2126">
        <v>4620.2</v>
      </c>
      <c r="AL1586" s="2126">
        <v>0</v>
      </c>
      <c r="AM1586" s="2126">
        <v>0</v>
      </c>
      <c r="AN1586" s="2126">
        <v>4620.2</v>
      </c>
      <c r="AO1586" s="1743" t="s">
        <v>85</v>
      </c>
      <c r="AP1586" s="1743"/>
      <c r="AQ1586" s="1764">
        <v>2014</v>
      </c>
      <c r="AR1586" s="1743" t="s">
        <v>87</v>
      </c>
      <c r="AS1586" s="2135"/>
      <c r="AT1586" s="2135"/>
      <c r="AU1586" s="1212">
        <v>0.33333333333333331</v>
      </c>
      <c r="AV1586" s="1212">
        <v>0.33333333333333331</v>
      </c>
      <c r="AW1586" s="1212">
        <v>0.33333333333333331</v>
      </c>
      <c r="AX1586" s="1212"/>
      <c r="AY1586" s="1212"/>
      <c r="AZ1586" s="1212"/>
      <c r="BA1586" s="1212"/>
      <c r="BB1586" s="1212"/>
      <c r="BC1586" s="1212"/>
      <c r="BD1586" s="1212"/>
      <c r="BE1586" s="1212"/>
      <c r="BF1586" s="2126">
        <v>0</v>
      </c>
      <c r="BG1586" s="2126">
        <v>0</v>
      </c>
      <c r="BH1586" s="2126">
        <v>1540.0666666666666</v>
      </c>
      <c r="BI1586" s="2126">
        <v>1540.0666666666666</v>
      </c>
      <c r="BJ1586" s="2126">
        <v>1540.0666666666666</v>
      </c>
      <c r="BK1586" s="2126">
        <v>0</v>
      </c>
      <c r="BL1586" s="2126">
        <v>0</v>
      </c>
      <c r="BM1586" s="2126">
        <v>0</v>
      </c>
      <c r="BN1586" s="2126">
        <v>0</v>
      </c>
      <c r="BO1586" s="2126">
        <v>0</v>
      </c>
      <c r="BP1586" s="2126">
        <v>0</v>
      </c>
      <c r="BQ1586" s="2126">
        <v>0</v>
      </c>
      <c r="BR1586" s="2126">
        <v>0</v>
      </c>
    </row>
    <row r="1587" spans="1:70" s="1765" customFormat="1" ht="66">
      <c r="A1587" s="1272">
        <v>7000</v>
      </c>
      <c r="B1587" s="971" t="s">
        <v>2420</v>
      </c>
      <c r="C1587" s="1272">
        <v>7400</v>
      </c>
      <c r="D1587" s="971" t="s">
        <v>1316</v>
      </c>
      <c r="E1587" s="971">
        <v>7430</v>
      </c>
      <c r="F1587" s="971" t="s">
        <v>2430</v>
      </c>
      <c r="G1587" s="971">
        <v>7432</v>
      </c>
      <c r="H1587" s="971" t="s">
        <v>2486</v>
      </c>
      <c r="I1587" s="1273" t="s">
        <v>2611</v>
      </c>
      <c r="J1587" s="971" t="s">
        <v>177</v>
      </c>
      <c r="K1587" s="971" t="s">
        <v>530</v>
      </c>
      <c r="L1587" s="971" t="s">
        <v>531</v>
      </c>
      <c r="M1587" s="971" t="s">
        <v>530</v>
      </c>
      <c r="N1587" s="971" t="s">
        <v>179</v>
      </c>
      <c r="O1587" s="971" t="s">
        <v>531</v>
      </c>
      <c r="P1587" s="971"/>
      <c r="Q1587" s="971" t="s">
        <v>2612</v>
      </c>
      <c r="R1587" s="1266" t="s">
        <v>2613</v>
      </c>
      <c r="S1587" s="2106">
        <v>1</v>
      </c>
      <c r="T1587" s="1266" t="s">
        <v>242</v>
      </c>
      <c r="U1587" s="1742">
        <v>31</v>
      </c>
      <c r="V1587" s="1742">
        <v>325</v>
      </c>
      <c r="W1587" s="1742">
        <v>2732.34</v>
      </c>
      <c r="X1587" s="1742">
        <v>3584.62</v>
      </c>
      <c r="Y1587" s="2106">
        <v>6641.9599999999991</v>
      </c>
      <c r="Z1587" s="2106">
        <v>31</v>
      </c>
      <c r="AA1587" s="2106">
        <v>325</v>
      </c>
      <c r="AB1587" s="2106">
        <v>2732.34</v>
      </c>
      <c r="AC1587" s="2106">
        <v>3584.62</v>
      </c>
      <c r="AD1587" s="1744">
        <v>6641.96</v>
      </c>
      <c r="AE1587" s="2126">
        <v>2</v>
      </c>
      <c r="AF1587" s="2126">
        <v>2</v>
      </c>
      <c r="AG1587" s="1212">
        <v>1</v>
      </c>
      <c r="AH1587" s="1212">
        <v>0</v>
      </c>
      <c r="AI1587" s="1212">
        <v>0</v>
      </c>
      <c r="AJ1587" s="1212">
        <v>1</v>
      </c>
      <c r="AK1587" s="2126">
        <v>6641.96</v>
      </c>
      <c r="AL1587" s="2126">
        <v>0</v>
      </c>
      <c r="AM1587" s="2126">
        <v>0</v>
      </c>
      <c r="AN1587" s="2126">
        <v>6641.96</v>
      </c>
      <c r="AO1587" s="1743" t="s">
        <v>85</v>
      </c>
      <c r="AP1587" s="1743"/>
      <c r="AQ1587" s="1764">
        <v>2014</v>
      </c>
      <c r="AR1587" s="1743" t="s">
        <v>87</v>
      </c>
      <c r="AS1587" s="2135"/>
      <c r="AT1587" s="2135"/>
      <c r="AU1587" s="1212">
        <v>0.5</v>
      </c>
      <c r="AV1587" s="1212">
        <v>0.5</v>
      </c>
      <c r="AW1587" s="1212"/>
      <c r="AX1587" s="1212"/>
      <c r="AY1587" s="1212"/>
      <c r="AZ1587" s="1212"/>
      <c r="BA1587" s="1212"/>
      <c r="BB1587" s="1212"/>
      <c r="BC1587" s="1212"/>
      <c r="BD1587" s="1212"/>
      <c r="BE1587" s="1212"/>
      <c r="BF1587" s="2126">
        <v>0</v>
      </c>
      <c r="BG1587" s="2126">
        <v>0</v>
      </c>
      <c r="BH1587" s="2126">
        <v>3320.98</v>
      </c>
      <c r="BI1587" s="2126">
        <v>3320.98</v>
      </c>
      <c r="BJ1587" s="2126">
        <v>0</v>
      </c>
      <c r="BK1587" s="2126">
        <v>0</v>
      </c>
      <c r="BL1587" s="2126">
        <v>0</v>
      </c>
      <c r="BM1587" s="2126">
        <v>0</v>
      </c>
      <c r="BN1587" s="2126">
        <v>0</v>
      </c>
      <c r="BO1587" s="2126">
        <v>0</v>
      </c>
      <c r="BP1587" s="2126">
        <v>0</v>
      </c>
      <c r="BQ1587" s="2126">
        <v>0</v>
      </c>
      <c r="BR1587" s="2126">
        <v>0</v>
      </c>
    </row>
    <row r="1588" spans="1:70" s="1765" customFormat="1" ht="66">
      <c r="A1588" s="1272">
        <v>7000</v>
      </c>
      <c r="B1588" s="971" t="s">
        <v>2420</v>
      </c>
      <c r="C1588" s="1272">
        <v>7400</v>
      </c>
      <c r="D1588" s="971" t="s">
        <v>1316</v>
      </c>
      <c r="E1588" s="971">
        <v>7430</v>
      </c>
      <c r="F1588" s="971" t="s">
        <v>2430</v>
      </c>
      <c r="G1588" s="971">
        <v>7432</v>
      </c>
      <c r="H1588" s="971" t="s">
        <v>2486</v>
      </c>
      <c r="I1588" s="1273" t="s">
        <v>2614</v>
      </c>
      <c r="J1588" s="971" t="s">
        <v>177</v>
      </c>
      <c r="K1588" s="971" t="s">
        <v>196</v>
      </c>
      <c r="L1588" s="971" t="s">
        <v>197</v>
      </c>
      <c r="M1588" s="971" t="s">
        <v>196</v>
      </c>
      <c r="N1588" s="971" t="s">
        <v>179</v>
      </c>
      <c r="O1588" s="971" t="s">
        <v>197</v>
      </c>
      <c r="P1588" s="971"/>
      <c r="Q1588" s="971" t="s">
        <v>2615</v>
      </c>
      <c r="R1588" s="1266" t="s">
        <v>2616</v>
      </c>
      <c r="S1588" s="2106">
        <v>1</v>
      </c>
      <c r="T1588" s="1266" t="s">
        <v>242</v>
      </c>
      <c r="U1588" s="1742">
        <v>9.6666666666666661</v>
      </c>
      <c r="V1588" s="1742">
        <v>89.583333333333329</v>
      </c>
      <c r="W1588" s="1742">
        <v>852.02</v>
      </c>
      <c r="X1588" s="1742">
        <v>988.06833333333327</v>
      </c>
      <c r="Y1588" s="2106">
        <v>1929.6716666666666</v>
      </c>
      <c r="Z1588" s="2106">
        <v>9.6666666666666661</v>
      </c>
      <c r="AA1588" s="2106">
        <v>89.583333333333329</v>
      </c>
      <c r="AB1588" s="2106">
        <v>852.02</v>
      </c>
      <c r="AC1588" s="2106">
        <v>988.06833333333327</v>
      </c>
      <c r="AD1588" s="1744">
        <v>1929.6716666666666</v>
      </c>
      <c r="AE1588" s="2126">
        <v>1</v>
      </c>
      <c r="AF1588" s="2126">
        <v>1</v>
      </c>
      <c r="AG1588" s="1212">
        <v>1</v>
      </c>
      <c r="AH1588" s="1212">
        <v>0</v>
      </c>
      <c r="AI1588" s="1212">
        <v>0</v>
      </c>
      <c r="AJ1588" s="1212">
        <v>1</v>
      </c>
      <c r="AK1588" s="2126">
        <v>1929.6716666666666</v>
      </c>
      <c r="AL1588" s="2126">
        <v>0</v>
      </c>
      <c r="AM1588" s="2126">
        <v>0</v>
      </c>
      <c r="AN1588" s="2126">
        <v>1929.6716666666666</v>
      </c>
      <c r="AO1588" s="1743" t="s">
        <v>85</v>
      </c>
      <c r="AP1588" s="1743"/>
      <c r="AQ1588" s="1764">
        <v>2014</v>
      </c>
      <c r="AR1588" s="1743" t="s">
        <v>87</v>
      </c>
      <c r="AS1588" s="2135"/>
      <c r="AT1588" s="2135"/>
      <c r="AU1588" s="1212">
        <v>0.5</v>
      </c>
      <c r="AV1588" s="1212">
        <v>0.5</v>
      </c>
      <c r="AW1588" s="1212"/>
      <c r="AX1588" s="1212"/>
      <c r="AY1588" s="1212"/>
      <c r="AZ1588" s="1212"/>
      <c r="BA1588" s="1212"/>
      <c r="BB1588" s="1212"/>
      <c r="BC1588" s="1212"/>
      <c r="BD1588" s="1212"/>
      <c r="BE1588" s="1212"/>
      <c r="BF1588" s="2126">
        <v>0</v>
      </c>
      <c r="BG1588" s="2126">
        <v>0</v>
      </c>
      <c r="BH1588" s="2126">
        <v>964.83583333333331</v>
      </c>
      <c r="BI1588" s="2126">
        <v>964.83583333333331</v>
      </c>
      <c r="BJ1588" s="2126">
        <v>0</v>
      </c>
      <c r="BK1588" s="2126">
        <v>0</v>
      </c>
      <c r="BL1588" s="2126">
        <v>0</v>
      </c>
      <c r="BM1588" s="2126">
        <v>0</v>
      </c>
      <c r="BN1588" s="2126">
        <v>0</v>
      </c>
      <c r="BO1588" s="2126">
        <v>0</v>
      </c>
      <c r="BP1588" s="2126">
        <v>0</v>
      </c>
      <c r="BQ1588" s="2126">
        <v>0</v>
      </c>
      <c r="BR1588" s="2126">
        <v>0</v>
      </c>
    </row>
    <row r="1589" spans="1:70" s="1765" customFormat="1" ht="66">
      <c r="A1589" s="1272">
        <v>7000</v>
      </c>
      <c r="B1589" s="971" t="s">
        <v>2420</v>
      </c>
      <c r="C1589" s="1272">
        <v>7400</v>
      </c>
      <c r="D1589" s="971" t="s">
        <v>1316</v>
      </c>
      <c r="E1589" s="971">
        <v>7430</v>
      </c>
      <c r="F1589" s="971" t="s">
        <v>2430</v>
      </c>
      <c r="G1589" s="971">
        <v>7432</v>
      </c>
      <c r="H1589" s="971" t="s">
        <v>2486</v>
      </c>
      <c r="I1589" s="1273" t="s">
        <v>2617</v>
      </c>
      <c r="J1589" s="971" t="s">
        <v>177</v>
      </c>
      <c r="K1589" s="971" t="s">
        <v>196</v>
      </c>
      <c r="L1589" s="971" t="s">
        <v>197</v>
      </c>
      <c r="M1589" s="971" t="s">
        <v>196</v>
      </c>
      <c r="N1589" s="971" t="s">
        <v>179</v>
      </c>
      <c r="O1589" s="971" t="s">
        <v>197</v>
      </c>
      <c r="P1589" s="971"/>
      <c r="Q1589" s="971" t="s">
        <v>2618</v>
      </c>
      <c r="R1589" s="1266" t="s">
        <v>2619</v>
      </c>
      <c r="S1589" s="2106">
        <v>1</v>
      </c>
      <c r="T1589" s="1266" t="s">
        <v>242</v>
      </c>
      <c r="U1589" s="1742">
        <v>9.6666666666666661</v>
      </c>
      <c r="V1589" s="1742">
        <v>89.583333333333329</v>
      </c>
      <c r="W1589" s="1742">
        <v>852.02</v>
      </c>
      <c r="X1589" s="1742">
        <v>988.06833333333327</v>
      </c>
      <c r="Y1589" s="2106">
        <v>1929.6716666666666</v>
      </c>
      <c r="Z1589" s="2106">
        <v>9.6666666666666661</v>
      </c>
      <c r="AA1589" s="2106">
        <v>89.583333333333329</v>
      </c>
      <c r="AB1589" s="2106">
        <v>852.02</v>
      </c>
      <c r="AC1589" s="2106">
        <v>988.06833333333327</v>
      </c>
      <c r="AD1589" s="1744">
        <v>1929.6716666666666</v>
      </c>
      <c r="AE1589" s="2126">
        <v>1</v>
      </c>
      <c r="AF1589" s="2126">
        <v>1</v>
      </c>
      <c r="AG1589" s="1212">
        <v>1</v>
      </c>
      <c r="AH1589" s="1212">
        <v>0</v>
      </c>
      <c r="AI1589" s="1212">
        <v>0</v>
      </c>
      <c r="AJ1589" s="1212">
        <v>1</v>
      </c>
      <c r="AK1589" s="2126">
        <v>1929.6716666666666</v>
      </c>
      <c r="AL1589" s="2126">
        <v>0</v>
      </c>
      <c r="AM1589" s="2126">
        <v>0</v>
      </c>
      <c r="AN1589" s="2126">
        <v>1929.6716666666666</v>
      </c>
      <c r="AO1589" s="1743" t="s">
        <v>85</v>
      </c>
      <c r="AP1589" s="1743"/>
      <c r="AQ1589" s="1764">
        <v>2014</v>
      </c>
      <c r="AR1589" s="1743" t="s">
        <v>87</v>
      </c>
      <c r="AS1589" s="2135"/>
      <c r="AT1589" s="2135"/>
      <c r="AU1589" s="1212">
        <v>0.33333333333333331</v>
      </c>
      <c r="AV1589" s="1212">
        <v>0.33333333333333331</v>
      </c>
      <c r="AW1589" s="1212">
        <v>0.33333333333333331</v>
      </c>
      <c r="AX1589" s="1212"/>
      <c r="AY1589" s="1212"/>
      <c r="AZ1589" s="1212"/>
      <c r="BA1589" s="1212"/>
      <c r="BB1589" s="1212"/>
      <c r="BC1589" s="1212"/>
      <c r="BD1589" s="1212"/>
      <c r="BE1589" s="1212"/>
      <c r="BF1589" s="2126">
        <v>0</v>
      </c>
      <c r="BG1589" s="2126">
        <v>0</v>
      </c>
      <c r="BH1589" s="2126">
        <v>643.22388888888884</v>
      </c>
      <c r="BI1589" s="2126">
        <v>643.22388888888884</v>
      </c>
      <c r="BJ1589" s="2126">
        <v>643.22388888888884</v>
      </c>
      <c r="BK1589" s="2126">
        <v>0</v>
      </c>
      <c r="BL1589" s="2126">
        <v>0</v>
      </c>
      <c r="BM1589" s="2126">
        <v>0</v>
      </c>
      <c r="BN1589" s="2126">
        <v>0</v>
      </c>
      <c r="BO1589" s="2126">
        <v>0</v>
      </c>
      <c r="BP1589" s="2126">
        <v>0</v>
      </c>
      <c r="BQ1589" s="2126">
        <v>0</v>
      </c>
      <c r="BR1589" s="2126">
        <v>0</v>
      </c>
    </row>
    <row r="1590" spans="1:70" s="1765" customFormat="1" ht="66">
      <c r="A1590" s="1272">
        <v>7000</v>
      </c>
      <c r="B1590" s="971" t="s">
        <v>2420</v>
      </c>
      <c r="C1590" s="1272">
        <v>7400</v>
      </c>
      <c r="D1590" s="971" t="s">
        <v>1316</v>
      </c>
      <c r="E1590" s="971">
        <v>7430</v>
      </c>
      <c r="F1590" s="971" t="s">
        <v>2430</v>
      </c>
      <c r="G1590" s="971">
        <v>7432</v>
      </c>
      <c r="H1590" s="971" t="s">
        <v>2486</v>
      </c>
      <c r="I1590" s="1273" t="s">
        <v>2620</v>
      </c>
      <c r="J1590" s="971" t="s">
        <v>177</v>
      </c>
      <c r="K1590" s="971" t="s">
        <v>196</v>
      </c>
      <c r="L1590" s="971" t="s">
        <v>197</v>
      </c>
      <c r="M1590" s="971" t="s">
        <v>196</v>
      </c>
      <c r="N1590" s="971" t="s">
        <v>179</v>
      </c>
      <c r="O1590" s="971" t="s">
        <v>197</v>
      </c>
      <c r="P1590" s="971"/>
      <c r="Q1590" s="971" t="s">
        <v>2621</v>
      </c>
      <c r="R1590" s="1266" t="s">
        <v>2622</v>
      </c>
      <c r="S1590" s="2106">
        <v>1</v>
      </c>
      <c r="T1590" s="1266" t="s">
        <v>242</v>
      </c>
      <c r="U1590" s="1742">
        <v>9.6666666666666661</v>
      </c>
      <c r="V1590" s="1742">
        <v>89.583333333333329</v>
      </c>
      <c r="W1590" s="1742">
        <v>852.02</v>
      </c>
      <c r="X1590" s="1742">
        <v>988.06833333333327</v>
      </c>
      <c r="Y1590" s="2106">
        <v>1929.6716666666666</v>
      </c>
      <c r="Z1590" s="2106">
        <v>9.6666666666666661</v>
      </c>
      <c r="AA1590" s="2106">
        <v>89.583333333333329</v>
      </c>
      <c r="AB1590" s="2106">
        <v>852.02</v>
      </c>
      <c r="AC1590" s="2106">
        <v>988.06833333333327</v>
      </c>
      <c r="AD1590" s="1744">
        <v>1929.6716666666666</v>
      </c>
      <c r="AE1590" s="2126">
        <v>1</v>
      </c>
      <c r="AF1590" s="2126">
        <v>1</v>
      </c>
      <c r="AG1590" s="1212">
        <v>1</v>
      </c>
      <c r="AH1590" s="1212">
        <v>0</v>
      </c>
      <c r="AI1590" s="1212">
        <v>0</v>
      </c>
      <c r="AJ1590" s="1212">
        <v>1</v>
      </c>
      <c r="AK1590" s="2126">
        <v>1929.6716666666666</v>
      </c>
      <c r="AL1590" s="2126">
        <v>0</v>
      </c>
      <c r="AM1590" s="2126">
        <v>0</v>
      </c>
      <c r="AN1590" s="2126">
        <v>1929.6716666666666</v>
      </c>
      <c r="AO1590" s="1743" t="s">
        <v>85</v>
      </c>
      <c r="AP1590" s="1743"/>
      <c r="AQ1590" s="1764">
        <v>2014</v>
      </c>
      <c r="AR1590" s="1743" t="s">
        <v>87</v>
      </c>
      <c r="AS1590" s="2135"/>
      <c r="AT1590" s="2135"/>
      <c r="AU1590" s="1212">
        <v>0.33333333333333331</v>
      </c>
      <c r="AV1590" s="1212">
        <v>0.33333333333333331</v>
      </c>
      <c r="AW1590" s="1212">
        <v>0.33333333333333331</v>
      </c>
      <c r="AX1590" s="1212"/>
      <c r="AY1590" s="1212"/>
      <c r="AZ1590" s="1212"/>
      <c r="BA1590" s="1212"/>
      <c r="BB1590" s="1212"/>
      <c r="BC1590" s="1212"/>
      <c r="BD1590" s="1212"/>
      <c r="BE1590" s="1212"/>
      <c r="BF1590" s="2126">
        <v>0</v>
      </c>
      <c r="BG1590" s="2126">
        <v>0</v>
      </c>
      <c r="BH1590" s="2126">
        <v>643.22388888888884</v>
      </c>
      <c r="BI1590" s="2126">
        <v>643.22388888888884</v>
      </c>
      <c r="BJ1590" s="2126">
        <v>643.22388888888884</v>
      </c>
      <c r="BK1590" s="2126">
        <v>0</v>
      </c>
      <c r="BL1590" s="2126">
        <v>0</v>
      </c>
      <c r="BM1590" s="2126">
        <v>0</v>
      </c>
      <c r="BN1590" s="2126">
        <v>0</v>
      </c>
      <c r="BO1590" s="2126">
        <v>0</v>
      </c>
      <c r="BP1590" s="2126">
        <v>0</v>
      </c>
      <c r="BQ1590" s="2126">
        <v>0</v>
      </c>
      <c r="BR1590" s="2126">
        <v>0</v>
      </c>
    </row>
    <row r="1591" spans="1:70" s="1765" customFormat="1" ht="33">
      <c r="A1591" s="1272">
        <v>7000</v>
      </c>
      <c r="B1591" s="971" t="s">
        <v>2420</v>
      </c>
      <c r="C1591" s="1272">
        <v>7400</v>
      </c>
      <c r="D1591" s="971" t="s">
        <v>1316</v>
      </c>
      <c r="E1591" s="971">
        <v>7430</v>
      </c>
      <c r="F1591" s="971" t="s">
        <v>2430</v>
      </c>
      <c r="G1591" s="971">
        <v>7432</v>
      </c>
      <c r="H1591" s="971" t="s">
        <v>2486</v>
      </c>
      <c r="I1591" s="1273" t="s">
        <v>2623</v>
      </c>
      <c r="J1591" s="971" t="s">
        <v>124</v>
      </c>
      <c r="K1591" s="971" t="s">
        <v>145</v>
      </c>
      <c r="L1591" s="971" t="s">
        <v>2871</v>
      </c>
      <c r="M1591" s="971" t="s">
        <v>556</v>
      </c>
      <c r="N1591" s="971" t="s">
        <v>141</v>
      </c>
      <c r="O1591" s="971" t="s">
        <v>557</v>
      </c>
      <c r="P1591" s="971"/>
      <c r="Q1591" s="971" t="s">
        <v>2624</v>
      </c>
      <c r="R1591" s="1266" t="s">
        <v>2606</v>
      </c>
      <c r="S1591" s="2106">
        <v>35.687732342007436</v>
      </c>
      <c r="T1591" s="1266" t="s">
        <v>136</v>
      </c>
      <c r="U1591" s="1742">
        <v>0.12329166666666667</v>
      </c>
      <c r="V1591" s="1742">
        <v>0.98072916666666676</v>
      </c>
      <c r="W1591" s="1742">
        <v>6.9153175000000005</v>
      </c>
      <c r="X1591" s="1742">
        <v>10.817050416666667</v>
      </c>
      <c r="Y1591" s="2106">
        <v>18.713097083333334</v>
      </c>
      <c r="Z1591" s="2106">
        <v>4.4000000000000004</v>
      </c>
      <c r="AA1591" s="2106">
        <v>35.000000000000007</v>
      </c>
      <c r="AB1591" s="2106">
        <v>246.79200000000003</v>
      </c>
      <c r="AC1591" s="2106">
        <v>386.03600000000006</v>
      </c>
      <c r="AD1591" s="1744">
        <v>667.82800000000009</v>
      </c>
      <c r="AE1591" s="2126">
        <v>0.3</v>
      </c>
      <c r="AF1591" s="2126">
        <v>10.706319702602231</v>
      </c>
      <c r="AG1591" s="1212">
        <v>1</v>
      </c>
      <c r="AH1591" s="1212">
        <v>0</v>
      </c>
      <c r="AI1591" s="1212">
        <v>0</v>
      </c>
      <c r="AJ1591" s="1212">
        <v>1</v>
      </c>
      <c r="AK1591" s="2126">
        <v>667.82800000000009</v>
      </c>
      <c r="AL1591" s="2126">
        <v>0</v>
      </c>
      <c r="AM1591" s="2126">
        <v>0</v>
      </c>
      <c r="AN1591" s="2126">
        <v>667.82800000000009</v>
      </c>
      <c r="AO1591" s="1743" t="s">
        <v>85</v>
      </c>
      <c r="AP1591" s="1743"/>
      <c r="AQ1591" s="1764">
        <v>2014</v>
      </c>
      <c r="AR1591" s="1743" t="s">
        <v>87</v>
      </c>
      <c r="AS1591" s="2135"/>
      <c r="AT1591" s="2135"/>
      <c r="AU1591" s="1212">
        <v>0.5</v>
      </c>
      <c r="AV1591" s="1212">
        <v>0.5</v>
      </c>
      <c r="AW1591" s="1212"/>
      <c r="AX1591" s="1212"/>
      <c r="AY1591" s="1212"/>
      <c r="AZ1591" s="1212"/>
      <c r="BA1591" s="1212"/>
      <c r="BB1591" s="1212"/>
      <c r="BC1591" s="1212"/>
      <c r="BD1591" s="1212"/>
      <c r="BE1591" s="1212"/>
      <c r="BF1591" s="2126">
        <v>0</v>
      </c>
      <c r="BG1591" s="2126">
        <v>0</v>
      </c>
      <c r="BH1591" s="2126">
        <v>333.91400000000004</v>
      </c>
      <c r="BI1591" s="2126">
        <v>333.91400000000004</v>
      </c>
      <c r="BJ1591" s="2126">
        <v>0</v>
      </c>
      <c r="BK1591" s="2126">
        <v>0</v>
      </c>
      <c r="BL1591" s="2126">
        <v>0</v>
      </c>
      <c r="BM1591" s="2126">
        <v>0</v>
      </c>
      <c r="BN1591" s="2126">
        <v>0</v>
      </c>
      <c r="BO1591" s="2126">
        <v>0</v>
      </c>
      <c r="BP1591" s="2126">
        <v>0</v>
      </c>
      <c r="BQ1591" s="2126">
        <v>0</v>
      </c>
      <c r="BR1591" s="2126">
        <v>0</v>
      </c>
    </row>
    <row r="1592" spans="1:70" s="1765" customFormat="1" ht="33">
      <c r="A1592" s="1272">
        <v>7000</v>
      </c>
      <c r="B1592" s="971" t="s">
        <v>2420</v>
      </c>
      <c r="C1592" s="1272">
        <v>7400</v>
      </c>
      <c r="D1592" s="971" t="s">
        <v>1316</v>
      </c>
      <c r="E1592" s="971">
        <v>7430</v>
      </c>
      <c r="F1592" s="971" t="s">
        <v>2430</v>
      </c>
      <c r="G1592" s="971">
        <v>7432</v>
      </c>
      <c r="H1592" s="971" t="s">
        <v>2486</v>
      </c>
      <c r="I1592" s="1273" t="s">
        <v>2625</v>
      </c>
      <c r="J1592" s="971" t="s">
        <v>124</v>
      </c>
      <c r="K1592" s="971" t="s">
        <v>145</v>
      </c>
      <c r="L1592" s="971" t="s">
        <v>2871</v>
      </c>
      <c r="M1592" s="971" t="s">
        <v>556</v>
      </c>
      <c r="N1592" s="971" t="s">
        <v>141</v>
      </c>
      <c r="O1592" s="971" t="s">
        <v>557</v>
      </c>
      <c r="P1592" s="971"/>
      <c r="Q1592" s="971" t="s">
        <v>2509</v>
      </c>
      <c r="R1592" s="1266" t="s">
        <v>2608</v>
      </c>
      <c r="S1592" s="2106">
        <v>35.687732342007436</v>
      </c>
      <c r="T1592" s="1266" t="s">
        <v>136</v>
      </c>
      <c r="U1592" s="1742">
        <v>0.12329166666666667</v>
      </c>
      <c r="V1592" s="1742">
        <v>0.98072916666666676</v>
      </c>
      <c r="W1592" s="1742">
        <v>6.9153175000000005</v>
      </c>
      <c r="X1592" s="1742">
        <v>10.817050416666667</v>
      </c>
      <c r="Y1592" s="2106">
        <v>18.713097083333334</v>
      </c>
      <c r="Z1592" s="2106">
        <v>4.4000000000000004</v>
      </c>
      <c r="AA1592" s="2106">
        <v>35.000000000000007</v>
      </c>
      <c r="AB1592" s="2106">
        <v>246.79200000000003</v>
      </c>
      <c r="AC1592" s="2106">
        <v>386.03600000000006</v>
      </c>
      <c r="AD1592" s="1744">
        <v>667.82800000000009</v>
      </c>
      <c r="AE1592" s="2126">
        <v>0.3</v>
      </c>
      <c r="AF1592" s="2126">
        <v>10.706319702602231</v>
      </c>
      <c r="AG1592" s="1212">
        <v>1</v>
      </c>
      <c r="AH1592" s="1212">
        <v>0</v>
      </c>
      <c r="AI1592" s="1212">
        <v>0</v>
      </c>
      <c r="AJ1592" s="1212">
        <v>1</v>
      </c>
      <c r="AK1592" s="2126">
        <v>667.82800000000009</v>
      </c>
      <c r="AL1592" s="2126">
        <v>0</v>
      </c>
      <c r="AM1592" s="2126">
        <v>0</v>
      </c>
      <c r="AN1592" s="2126">
        <v>667.82800000000009</v>
      </c>
      <c r="AO1592" s="1743" t="s">
        <v>85</v>
      </c>
      <c r="AP1592" s="1743"/>
      <c r="AQ1592" s="1764">
        <v>2014</v>
      </c>
      <c r="AR1592" s="1743" t="s">
        <v>87</v>
      </c>
      <c r="AS1592" s="2135"/>
      <c r="AT1592" s="2135"/>
      <c r="AU1592" s="1212">
        <v>0.33333333333333331</v>
      </c>
      <c r="AV1592" s="1212">
        <v>0.33333333333333331</v>
      </c>
      <c r="AW1592" s="1212">
        <v>0.33333333333333331</v>
      </c>
      <c r="AX1592" s="1212"/>
      <c r="AY1592" s="1212"/>
      <c r="AZ1592" s="1212"/>
      <c r="BA1592" s="1212"/>
      <c r="BB1592" s="1212"/>
      <c r="BC1592" s="1212"/>
      <c r="BD1592" s="1212"/>
      <c r="BE1592" s="1212"/>
      <c r="BF1592" s="2126">
        <v>0</v>
      </c>
      <c r="BG1592" s="2126">
        <v>0</v>
      </c>
      <c r="BH1592" s="2126">
        <v>222.60933333333335</v>
      </c>
      <c r="BI1592" s="2126">
        <v>222.60933333333335</v>
      </c>
      <c r="BJ1592" s="2126">
        <v>222.60933333333335</v>
      </c>
      <c r="BK1592" s="2126">
        <v>0</v>
      </c>
      <c r="BL1592" s="2126">
        <v>0</v>
      </c>
      <c r="BM1592" s="2126">
        <v>0</v>
      </c>
      <c r="BN1592" s="2126">
        <v>0</v>
      </c>
      <c r="BO1592" s="2126">
        <v>0</v>
      </c>
      <c r="BP1592" s="2126">
        <v>0</v>
      </c>
      <c r="BQ1592" s="2126">
        <v>0</v>
      </c>
      <c r="BR1592" s="2126">
        <v>0</v>
      </c>
    </row>
    <row r="1593" spans="1:70" s="1765" customFormat="1" ht="49.5">
      <c r="A1593" s="1272">
        <v>7000</v>
      </c>
      <c r="B1593" s="971" t="s">
        <v>2420</v>
      </c>
      <c r="C1593" s="1272">
        <v>7400</v>
      </c>
      <c r="D1593" s="971" t="s">
        <v>1316</v>
      </c>
      <c r="E1593" s="971">
        <v>7430</v>
      </c>
      <c r="F1593" s="971" t="s">
        <v>2430</v>
      </c>
      <c r="G1593" s="971">
        <v>7432</v>
      </c>
      <c r="H1593" s="971" t="s">
        <v>2486</v>
      </c>
      <c r="I1593" s="1273" t="s">
        <v>2626</v>
      </c>
      <c r="J1593" s="971" t="s">
        <v>124</v>
      </c>
      <c r="K1593" s="971" t="s">
        <v>784</v>
      </c>
      <c r="L1593" s="971" t="s">
        <v>2852</v>
      </c>
      <c r="M1593" s="971" t="s">
        <v>214</v>
      </c>
      <c r="N1593" s="971" t="s">
        <v>127</v>
      </c>
      <c r="O1593" s="971" t="s">
        <v>215</v>
      </c>
      <c r="P1593" s="971"/>
      <c r="Q1593" s="971" t="s">
        <v>2513</v>
      </c>
      <c r="R1593" s="1266" t="s">
        <v>2627</v>
      </c>
      <c r="S1593" s="2106">
        <v>66.914498141263948</v>
      </c>
      <c r="T1593" s="1266" t="s">
        <v>136</v>
      </c>
      <c r="U1593" s="1742">
        <v>0.22416666666666665</v>
      </c>
      <c r="V1593" s="1742">
        <v>2.8020833333333335</v>
      </c>
      <c r="W1593" s="1742">
        <v>19.758049999999997</v>
      </c>
      <c r="X1593" s="1742">
        <v>30.905858333333335</v>
      </c>
      <c r="Y1593" s="2106">
        <v>53.46599166666666</v>
      </c>
      <c r="Z1593" s="2106">
        <v>15</v>
      </c>
      <c r="AA1593" s="2106">
        <v>187.50000000000003</v>
      </c>
      <c r="AB1593" s="2106">
        <v>1322.1</v>
      </c>
      <c r="AC1593" s="2106">
        <v>2068.0500000000002</v>
      </c>
      <c r="AD1593" s="1744">
        <v>3577.65</v>
      </c>
      <c r="AE1593" s="2126">
        <v>1</v>
      </c>
      <c r="AF1593" s="2126">
        <v>66.914498141263948</v>
      </c>
      <c r="AG1593" s="1212">
        <v>1</v>
      </c>
      <c r="AH1593" s="1212">
        <v>0</v>
      </c>
      <c r="AI1593" s="1212">
        <v>0</v>
      </c>
      <c r="AJ1593" s="1212">
        <v>1</v>
      </c>
      <c r="AK1593" s="2126">
        <v>3577.65</v>
      </c>
      <c r="AL1593" s="2126">
        <v>0</v>
      </c>
      <c r="AM1593" s="2126">
        <v>0</v>
      </c>
      <c r="AN1593" s="2126">
        <v>3577.65</v>
      </c>
      <c r="AO1593" s="1743" t="s">
        <v>85</v>
      </c>
      <c r="AP1593" s="1743"/>
      <c r="AQ1593" s="1764">
        <v>2014</v>
      </c>
      <c r="AR1593" s="1743" t="s">
        <v>87</v>
      </c>
      <c r="AS1593" s="2135"/>
      <c r="AT1593" s="2135"/>
      <c r="AU1593" s="1212">
        <v>0.33333333333333331</v>
      </c>
      <c r="AV1593" s="1212">
        <v>0.33333333333333331</v>
      </c>
      <c r="AW1593" s="1212">
        <v>0.33333333333333331</v>
      </c>
      <c r="AX1593" s="1212"/>
      <c r="AY1593" s="1212"/>
      <c r="AZ1593" s="1212"/>
      <c r="BA1593" s="1212"/>
      <c r="BB1593" s="1212"/>
      <c r="BC1593" s="1212"/>
      <c r="BD1593" s="1212"/>
      <c r="BE1593" s="1212"/>
      <c r="BF1593" s="2126">
        <v>0</v>
      </c>
      <c r="BG1593" s="2126">
        <v>0</v>
      </c>
      <c r="BH1593" s="2126">
        <v>1192.55</v>
      </c>
      <c r="BI1593" s="2126">
        <v>1192.55</v>
      </c>
      <c r="BJ1593" s="2126">
        <v>1192.55</v>
      </c>
      <c r="BK1593" s="2126">
        <v>0</v>
      </c>
      <c r="BL1593" s="2126">
        <v>0</v>
      </c>
      <c r="BM1593" s="2126">
        <v>0</v>
      </c>
      <c r="BN1593" s="2126">
        <v>0</v>
      </c>
      <c r="BO1593" s="2126">
        <v>0</v>
      </c>
      <c r="BP1593" s="2126">
        <v>0</v>
      </c>
      <c r="BQ1593" s="2126">
        <v>0</v>
      </c>
      <c r="BR1593" s="2126">
        <v>0</v>
      </c>
    </row>
    <row r="1594" spans="1:70" s="1765" customFormat="1" ht="49.5">
      <c r="A1594" s="1272">
        <v>7000</v>
      </c>
      <c r="B1594" s="971" t="s">
        <v>2420</v>
      </c>
      <c r="C1594" s="1272">
        <v>7400</v>
      </c>
      <c r="D1594" s="971" t="s">
        <v>1316</v>
      </c>
      <c r="E1594" s="971">
        <v>7430</v>
      </c>
      <c r="F1594" s="971" t="s">
        <v>2430</v>
      </c>
      <c r="G1594" s="971">
        <v>7432</v>
      </c>
      <c r="H1594" s="971" t="s">
        <v>2486</v>
      </c>
      <c r="I1594" s="1273" t="s">
        <v>2628</v>
      </c>
      <c r="J1594" s="971" t="s">
        <v>124</v>
      </c>
      <c r="K1594" s="971" t="s">
        <v>784</v>
      </c>
      <c r="L1594" s="971" t="s">
        <v>2852</v>
      </c>
      <c r="M1594" s="971" t="s">
        <v>214</v>
      </c>
      <c r="N1594" s="971" t="s">
        <v>127</v>
      </c>
      <c r="O1594" s="971" t="s">
        <v>215</v>
      </c>
      <c r="P1594" s="971"/>
      <c r="Q1594" s="971" t="s">
        <v>2525</v>
      </c>
      <c r="R1594" s="1266" t="s">
        <v>2629</v>
      </c>
      <c r="S1594" s="2106">
        <v>66.914498141263948</v>
      </c>
      <c r="T1594" s="1266" t="s">
        <v>136</v>
      </c>
      <c r="U1594" s="1742">
        <v>0.22416666666666665</v>
      </c>
      <c r="V1594" s="1742">
        <v>2.8020833333333335</v>
      </c>
      <c r="W1594" s="1742">
        <v>19.758049999999997</v>
      </c>
      <c r="X1594" s="1742">
        <v>30.905858333333335</v>
      </c>
      <c r="Y1594" s="2106">
        <v>53.46599166666666</v>
      </c>
      <c r="Z1594" s="2106">
        <v>15</v>
      </c>
      <c r="AA1594" s="2106">
        <v>187.50000000000003</v>
      </c>
      <c r="AB1594" s="2106">
        <v>1322.1</v>
      </c>
      <c r="AC1594" s="2106">
        <v>2068.0500000000002</v>
      </c>
      <c r="AD1594" s="1744">
        <v>3577.65</v>
      </c>
      <c r="AE1594" s="2126">
        <v>1</v>
      </c>
      <c r="AF1594" s="2126">
        <v>66.914498141263948</v>
      </c>
      <c r="AG1594" s="1212">
        <v>1</v>
      </c>
      <c r="AH1594" s="1212">
        <v>0</v>
      </c>
      <c r="AI1594" s="1212">
        <v>0</v>
      </c>
      <c r="AJ1594" s="1212">
        <v>1</v>
      </c>
      <c r="AK1594" s="2126">
        <v>3577.65</v>
      </c>
      <c r="AL1594" s="2126">
        <v>0</v>
      </c>
      <c r="AM1594" s="2126">
        <v>0</v>
      </c>
      <c r="AN1594" s="2126">
        <v>3577.65</v>
      </c>
      <c r="AO1594" s="1743" t="s">
        <v>85</v>
      </c>
      <c r="AP1594" s="1743"/>
      <c r="AQ1594" s="1764">
        <v>2014</v>
      </c>
      <c r="AR1594" s="1743" t="s">
        <v>87</v>
      </c>
      <c r="AS1594" s="2135"/>
      <c r="AT1594" s="2135"/>
      <c r="AU1594" s="1212">
        <v>0.5</v>
      </c>
      <c r="AV1594" s="1212">
        <v>0.5</v>
      </c>
      <c r="AW1594" s="1212"/>
      <c r="AX1594" s="1212"/>
      <c r="AY1594" s="1212"/>
      <c r="AZ1594" s="1212"/>
      <c r="BA1594" s="1212"/>
      <c r="BB1594" s="1212"/>
      <c r="BC1594" s="1212"/>
      <c r="BD1594" s="1212"/>
      <c r="BE1594" s="1212"/>
      <c r="BF1594" s="2126">
        <v>0</v>
      </c>
      <c r="BG1594" s="2126">
        <v>0</v>
      </c>
      <c r="BH1594" s="2126">
        <v>1788.825</v>
      </c>
      <c r="BI1594" s="2126">
        <v>1788.825</v>
      </c>
      <c r="BJ1594" s="2126">
        <v>0</v>
      </c>
      <c r="BK1594" s="2126">
        <v>0</v>
      </c>
      <c r="BL1594" s="2126">
        <v>0</v>
      </c>
      <c r="BM1594" s="2126">
        <v>0</v>
      </c>
      <c r="BN1594" s="2126">
        <v>0</v>
      </c>
      <c r="BO1594" s="2126">
        <v>0</v>
      </c>
      <c r="BP1594" s="2126">
        <v>0</v>
      </c>
      <c r="BQ1594" s="2126">
        <v>0</v>
      </c>
      <c r="BR1594" s="2126">
        <v>0</v>
      </c>
    </row>
    <row r="1595" spans="1:70" s="1765" customFormat="1" ht="49.5">
      <c r="A1595" s="1272">
        <v>7000</v>
      </c>
      <c r="B1595" s="971" t="s">
        <v>2420</v>
      </c>
      <c r="C1595" s="1272">
        <v>7400</v>
      </c>
      <c r="D1595" s="971" t="s">
        <v>1316</v>
      </c>
      <c r="E1595" s="971">
        <v>7430</v>
      </c>
      <c r="F1595" s="971" t="s">
        <v>2430</v>
      </c>
      <c r="G1595" s="971">
        <v>7432</v>
      </c>
      <c r="H1595" s="971" t="s">
        <v>2486</v>
      </c>
      <c r="I1595" s="1273" t="s">
        <v>2630</v>
      </c>
      <c r="J1595" s="971" t="s">
        <v>124</v>
      </c>
      <c r="K1595" s="971" t="s">
        <v>784</v>
      </c>
      <c r="L1595" s="971" t="s">
        <v>2852</v>
      </c>
      <c r="M1595" s="971" t="s">
        <v>214</v>
      </c>
      <c r="N1595" s="971" t="s">
        <v>127</v>
      </c>
      <c r="O1595" s="971" t="s">
        <v>215</v>
      </c>
      <c r="P1595" s="971"/>
      <c r="Q1595" s="971" t="s">
        <v>2516</v>
      </c>
      <c r="R1595" s="1266" t="s">
        <v>2631</v>
      </c>
      <c r="S1595" s="2106">
        <v>66.914498141263948</v>
      </c>
      <c r="T1595" s="1266" t="s">
        <v>136</v>
      </c>
      <c r="U1595" s="1742">
        <v>0.22416666666666665</v>
      </c>
      <c r="V1595" s="1742">
        <v>2.8020833333333335</v>
      </c>
      <c r="W1595" s="1742">
        <v>19.758049999999997</v>
      </c>
      <c r="X1595" s="1742">
        <v>30.905858333333335</v>
      </c>
      <c r="Y1595" s="2106">
        <v>53.46599166666666</v>
      </c>
      <c r="Z1595" s="2106">
        <v>15</v>
      </c>
      <c r="AA1595" s="2106">
        <v>187.50000000000003</v>
      </c>
      <c r="AB1595" s="2106">
        <v>1322.1</v>
      </c>
      <c r="AC1595" s="2106">
        <v>2068.0500000000002</v>
      </c>
      <c r="AD1595" s="1744">
        <v>3577.65</v>
      </c>
      <c r="AE1595" s="2126">
        <v>1</v>
      </c>
      <c r="AF1595" s="2126">
        <v>66.914498141263948</v>
      </c>
      <c r="AG1595" s="1212">
        <v>1</v>
      </c>
      <c r="AH1595" s="1212">
        <v>0</v>
      </c>
      <c r="AI1595" s="1212">
        <v>0</v>
      </c>
      <c r="AJ1595" s="1212">
        <v>1</v>
      </c>
      <c r="AK1595" s="2126">
        <v>3577.65</v>
      </c>
      <c r="AL1595" s="2126">
        <v>0</v>
      </c>
      <c r="AM1595" s="2126">
        <v>0</v>
      </c>
      <c r="AN1595" s="2126">
        <v>3577.65</v>
      </c>
      <c r="AO1595" s="1743" t="s">
        <v>85</v>
      </c>
      <c r="AP1595" s="1743"/>
      <c r="AQ1595" s="1764">
        <v>2014</v>
      </c>
      <c r="AR1595" s="1743" t="s">
        <v>87</v>
      </c>
      <c r="AS1595" s="2135"/>
      <c r="AT1595" s="2135"/>
      <c r="AU1595" s="1212">
        <v>0.33333333333333331</v>
      </c>
      <c r="AV1595" s="1212">
        <v>0.33333333333333331</v>
      </c>
      <c r="AW1595" s="1212">
        <v>0.33333333333333331</v>
      </c>
      <c r="AX1595" s="1212"/>
      <c r="AY1595" s="1212"/>
      <c r="AZ1595" s="1212"/>
      <c r="BA1595" s="1212"/>
      <c r="BB1595" s="1212"/>
      <c r="BC1595" s="1212"/>
      <c r="BD1595" s="1212"/>
      <c r="BE1595" s="1212"/>
      <c r="BF1595" s="2126">
        <v>0</v>
      </c>
      <c r="BG1595" s="2126">
        <v>0</v>
      </c>
      <c r="BH1595" s="2126">
        <v>1192.55</v>
      </c>
      <c r="BI1595" s="2126">
        <v>1192.55</v>
      </c>
      <c r="BJ1595" s="2126">
        <v>1192.55</v>
      </c>
      <c r="BK1595" s="2126">
        <v>0</v>
      </c>
      <c r="BL1595" s="2126">
        <v>0</v>
      </c>
      <c r="BM1595" s="2126">
        <v>0</v>
      </c>
      <c r="BN1595" s="2126">
        <v>0</v>
      </c>
      <c r="BO1595" s="2126">
        <v>0</v>
      </c>
      <c r="BP1595" s="2126">
        <v>0</v>
      </c>
      <c r="BQ1595" s="2126">
        <v>0</v>
      </c>
      <c r="BR1595" s="2126">
        <v>0</v>
      </c>
    </row>
    <row r="1596" spans="1:70" s="1765" customFormat="1" ht="49.5">
      <c r="A1596" s="1272">
        <v>7000</v>
      </c>
      <c r="B1596" s="971" t="s">
        <v>2420</v>
      </c>
      <c r="C1596" s="1272">
        <v>7400</v>
      </c>
      <c r="D1596" s="971" t="s">
        <v>1316</v>
      </c>
      <c r="E1596" s="971">
        <v>7430</v>
      </c>
      <c r="F1596" s="971" t="s">
        <v>2430</v>
      </c>
      <c r="G1596" s="971">
        <v>7432</v>
      </c>
      <c r="H1596" s="971" t="s">
        <v>2486</v>
      </c>
      <c r="I1596" s="1273" t="s">
        <v>2632</v>
      </c>
      <c r="J1596" s="971" t="s">
        <v>124</v>
      </c>
      <c r="K1596" s="971" t="s">
        <v>784</v>
      </c>
      <c r="L1596" s="971" t="s">
        <v>2852</v>
      </c>
      <c r="M1596" s="971" t="s">
        <v>214</v>
      </c>
      <c r="N1596" s="971" t="s">
        <v>127</v>
      </c>
      <c r="O1596" s="971" t="s">
        <v>215</v>
      </c>
      <c r="P1596" s="971"/>
      <c r="Q1596" s="971" t="s">
        <v>2519</v>
      </c>
      <c r="R1596" s="1266" t="s">
        <v>2633</v>
      </c>
      <c r="S1596" s="2106">
        <v>66.914498141263948</v>
      </c>
      <c r="T1596" s="1266" t="s">
        <v>136</v>
      </c>
      <c r="U1596" s="1742">
        <v>0.22416666666666665</v>
      </c>
      <c r="V1596" s="1742">
        <v>2.8020833333333335</v>
      </c>
      <c r="W1596" s="1742">
        <v>19.758049999999997</v>
      </c>
      <c r="X1596" s="1742">
        <v>30.905858333333335</v>
      </c>
      <c r="Y1596" s="2106">
        <v>53.46599166666666</v>
      </c>
      <c r="Z1596" s="2106">
        <v>15</v>
      </c>
      <c r="AA1596" s="2106">
        <v>187.50000000000003</v>
      </c>
      <c r="AB1596" s="2106">
        <v>1322.1</v>
      </c>
      <c r="AC1596" s="2106">
        <v>2068.0500000000002</v>
      </c>
      <c r="AD1596" s="1744">
        <v>3577.65</v>
      </c>
      <c r="AE1596" s="2126">
        <v>1</v>
      </c>
      <c r="AF1596" s="2126">
        <v>66.914498141263948</v>
      </c>
      <c r="AG1596" s="1212">
        <v>1</v>
      </c>
      <c r="AH1596" s="1212">
        <v>0</v>
      </c>
      <c r="AI1596" s="1212">
        <v>0</v>
      </c>
      <c r="AJ1596" s="1212">
        <v>1</v>
      </c>
      <c r="AK1596" s="2126">
        <v>3577.65</v>
      </c>
      <c r="AL1596" s="2126">
        <v>0</v>
      </c>
      <c r="AM1596" s="2126">
        <v>0</v>
      </c>
      <c r="AN1596" s="2126">
        <v>3577.65</v>
      </c>
      <c r="AO1596" s="1743" t="s">
        <v>85</v>
      </c>
      <c r="AP1596" s="1743"/>
      <c r="AQ1596" s="1764">
        <v>2014</v>
      </c>
      <c r="AR1596" s="1743" t="s">
        <v>87</v>
      </c>
      <c r="AS1596" s="2135"/>
      <c r="AT1596" s="2135"/>
      <c r="AU1596" s="1212">
        <v>0.33333333333333331</v>
      </c>
      <c r="AV1596" s="1212">
        <v>0.33333333333333331</v>
      </c>
      <c r="AW1596" s="1212">
        <v>0.33333333333333331</v>
      </c>
      <c r="AX1596" s="1212"/>
      <c r="AY1596" s="1212"/>
      <c r="AZ1596" s="1212"/>
      <c r="BA1596" s="1212"/>
      <c r="BB1596" s="1212"/>
      <c r="BC1596" s="1212"/>
      <c r="BD1596" s="1212"/>
      <c r="BE1596" s="1212"/>
      <c r="BF1596" s="2126">
        <v>0</v>
      </c>
      <c r="BG1596" s="2126">
        <v>0</v>
      </c>
      <c r="BH1596" s="2126">
        <v>1192.55</v>
      </c>
      <c r="BI1596" s="2126">
        <v>1192.55</v>
      </c>
      <c r="BJ1596" s="2126">
        <v>1192.55</v>
      </c>
      <c r="BK1596" s="2126">
        <v>0</v>
      </c>
      <c r="BL1596" s="2126">
        <v>0</v>
      </c>
      <c r="BM1596" s="2126">
        <v>0</v>
      </c>
      <c r="BN1596" s="2126">
        <v>0</v>
      </c>
      <c r="BO1596" s="2126">
        <v>0</v>
      </c>
      <c r="BP1596" s="2126">
        <v>0</v>
      </c>
      <c r="BQ1596" s="2126">
        <v>0</v>
      </c>
      <c r="BR1596" s="2126">
        <v>0</v>
      </c>
    </row>
    <row r="1597" spans="1:70" s="1765" customFormat="1" ht="33">
      <c r="A1597" s="1272">
        <v>7000</v>
      </c>
      <c r="B1597" s="971" t="s">
        <v>2420</v>
      </c>
      <c r="C1597" s="1272">
        <v>7400</v>
      </c>
      <c r="D1597" s="971" t="s">
        <v>1316</v>
      </c>
      <c r="E1597" s="971">
        <v>7430</v>
      </c>
      <c r="F1597" s="971" t="s">
        <v>2430</v>
      </c>
      <c r="G1597" s="971">
        <v>7432</v>
      </c>
      <c r="H1597" s="971" t="s">
        <v>2486</v>
      </c>
      <c r="I1597" s="1273" t="s">
        <v>2634</v>
      </c>
      <c r="J1597" s="971" t="s">
        <v>124</v>
      </c>
      <c r="K1597" s="971" t="s">
        <v>145</v>
      </c>
      <c r="L1597" s="971" t="s">
        <v>2871</v>
      </c>
      <c r="M1597" s="971" t="s">
        <v>556</v>
      </c>
      <c r="N1597" s="971" t="s">
        <v>141</v>
      </c>
      <c r="O1597" s="971" t="s">
        <v>557</v>
      </c>
      <c r="P1597" s="971"/>
      <c r="Q1597" s="971" t="s">
        <v>2511</v>
      </c>
      <c r="R1597" s="1266" t="s">
        <v>2610</v>
      </c>
      <c r="S1597" s="2106">
        <v>35.687732342007436</v>
      </c>
      <c r="T1597" s="1266" t="s">
        <v>136</v>
      </c>
      <c r="U1597" s="1742">
        <v>0.12329166666666667</v>
      </c>
      <c r="V1597" s="1742">
        <v>0.98072916666666676</v>
      </c>
      <c r="W1597" s="1742">
        <v>6.9153175000000005</v>
      </c>
      <c r="X1597" s="1742">
        <v>10.817050416666667</v>
      </c>
      <c r="Y1597" s="2106">
        <v>18.713097083333334</v>
      </c>
      <c r="Z1597" s="2106">
        <v>4.4000000000000004</v>
      </c>
      <c r="AA1597" s="2106">
        <v>35.000000000000007</v>
      </c>
      <c r="AB1597" s="2106">
        <v>246.79200000000003</v>
      </c>
      <c r="AC1597" s="2106">
        <v>386.03600000000006</v>
      </c>
      <c r="AD1597" s="1744">
        <v>667.82800000000009</v>
      </c>
      <c r="AE1597" s="2126">
        <v>0.3</v>
      </c>
      <c r="AF1597" s="2126">
        <v>10.706319702602231</v>
      </c>
      <c r="AG1597" s="1212">
        <v>1</v>
      </c>
      <c r="AH1597" s="1212">
        <v>0</v>
      </c>
      <c r="AI1597" s="1212">
        <v>0</v>
      </c>
      <c r="AJ1597" s="1212">
        <v>1</v>
      </c>
      <c r="AK1597" s="2126">
        <v>667.82800000000009</v>
      </c>
      <c r="AL1597" s="2126">
        <v>0</v>
      </c>
      <c r="AM1597" s="2126">
        <v>0</v>
      </c>
      <c r="AN1597" s="2126">
        <v>667.82800000000009</v>
      </c>
      <c r="AO1597" s="1743" t="s">
        <v>85</v>
      </c>
      <c r="AP1597" s="1743"/>
      <c r="AQ1597" s="1764">
        <v>2014</v>
      </c>
      <c r="AR1597" s="1743" t="s">
        <v>87</v>
      </c>
      <c r="AS1597" s="2135"/>
      <c r="AT1597" s="2135"/>
      <c r="AU1597" s="1212">
        <v>0.33333333333333331</v>
      </c>
      <c r="AV1597" s="1212">
        <v>0.33333333333333331</v>
      </c>
      <c r="AW1597" s="1212">
        <v>0.33333333333333331</v>
      </c>
      <c r="AX1597" s="1212"/>
      <c r="AY1597" s="1212"/>
      <c r="AZ1597" s="1212"/>
      <c r="BA1597" s="1212"/>
      <c r="BB1597" s="1212"/>
      <c r="BC1597" s="1212"/>
      <c r="BD1597" s="1212"/>
      <c r="BE1597" s="1212"/>
      <c r="BF1597" s="2126">
        <v>0</v>
      </c>
      <c r="BG1597" s="2126">
        <v>0</v>
      </c>
      <c r="BH1597" s="2126">
        <v>222.60933333333335</v>
      </c>
      <c r="BI1597" s="2126">
        <v>222.60933333333335</v>
      </c>
      <c r="BJ1597" s="2126">
        <v>222.60933333333335</v>
      </c>
      <c r="BK1597" s="2126">
        <v>0</v>
      </c>
      <c r="BL1597" s="2126">
        <v>0</v>
      </c>
      <c r="BM1597" s="2126">
        <v>0</v>
      </c>
      <c r="BN1597" s="2126">
        <v>0</v>
      </c>
      <c r="BO1597" s="2126">
        <v>0</v>
      </c>
      <c r="BP1597" s="2126">
        <v>0</v>
      </c>
      <c r="BQ1597" s="2126">
        <v>0</v>
      </c>
      <c r="BR1597" s="2126">
        <v>0</v>
      </c>
    </row>
    <row r="1598" spans="1:70" s="1765" customFormat="1" ht="49.5">
      <c r="A1598" s="1272">
        <v>7000</v>
      </c>
      <c r="B1598" s="971" t="s">
        <v>2420</v>
      </c>
      <c r="C1598" s="1272">
        <v>7400</v>
      </c>
      <c r="D1598" s="971" t="s">
        <v>1316</v>
      </c>
      <c r="E1598" s="971">
        <v>7430</v>
      </c>
      <c r="F1598" s="971" t="s">
        <v>2430</v>
      </c>
      <c r="G1598" s="971">
        <v>7432</v>
      </c>
      <c r="H1598" s="971" t="s">
        <v>2486</v>
      </c>
      <c r="I1598" s="1273" t="s">
        <v>2635</v>
      </c>
      <c r="J1598" s="971" t="s">
        <v>177</v>
      </c>
      <c r="K1598" s="971" t="s">
        <v>196</v>
      </c>
      <c r="L1598" s="971" t="s">
        <v>197</v>
      </c>
      <c r="M1598" s="971" t="s">
        <v>196</v>
      </c>
      <c r="N1598" s="971" t="s">
        <v>179</v>
      </c>
      <c r="O1598" s="971" t="s">
        <v>197</v>
      </c>
      <c r="P1598" s="971"/>
      <c r="Q1598" s="971" t="s">
        <v>2636</v>
      </c>
      <c r="R1598" s="1266" t="s">
        <v>2637</v>
      </c>
      <c r="S1598" s="2106">
        <v>1</v>
      </c>
      <c r="T1598" s="1266" t="s">
        <v>242</v>
      </c>
      <c r="U1598" s="1742">
        <v>9.6666666666666661</v>
      </c>
      <c r="V1598" s="1742">
        <v>89.583333333333329</v>
      </c>
      <c r="W1598" s="1742">
        <v>852.02</v>
      </c>
      <c r="X1598" s="1742">
        <v>988.06833333333327</v>
      </c>
      <c r="Y1598" s="2106">
        <v>1929.6716666666666</v>
      </c>
      <c r="Z1598" s="2106">
        <v>9.6666666666666661</v>
      </c>
      <c r="AA1598" s="2106">
        <v>89.583333333333329</v>
      </c>
      <c r="AB1598" s="2106">
        <v>852.02</v>
      </c>
      <c r="AC1598" s="2106">
        <v>988.06833333333327</v>
      </c>
      <c r="AD1598" s="1744">
        <v>1929.6716666666666</v>
      </c>
      <c r="AE1598" s="2126">
        <v>1</v>
      </c>
      <c r="AF1598" s="2126">
        <v>1</v>
      </c>
      <c r="AG1598" s="1212">
        <v>1</v>
      </c>
      <c r="AH1598" s="1212">
        <v>0</v>
      </c>
      <c r="AI1598" s="1212">
        <v>0</v>
      </c>
      <c r="AJ1598" s="1212">
        <v>1</v>
      </c>
      <c r="AK1598" s="2126">
        <v>1929.6716666666666</v>
      </c>
      <c r="AL1598" s="2126">
        <v>0</v>
      </c>
      <c r="AM1598" s="2126">
        <v>0</v>
      </c>
      <c r="AN1598" s="2126">
        <v>1929.6716666666666</v>
      </c>
      <c r="AO1598" s="1743" t="s">
        <v>85</v>
      </c>
      <c r="AP1598" s="1743"/>
      <c r="AQ1598" s="1764">
        <v>2014</v>
      </c>
      <c r="AR1598" s="1743" t="s">
        <v>87</v>
      </c>
      <c r="AS1598" s="2135"/>
      <c r="AT1598" s="2135"/>
      <c r="AU1598" s="1212">
        <v>0.33333333333333331</v>
      </c>
      <c r="AV1598" s="1212">
        <v>0.33333333333333331</v>
      </c>
      <c r="AW1598" s="1212">
        <v>0.33333333333333331</v>
      </c>
      <c r="AX1598" s="1212"/>
      <c r="AY1598" s="1212"/>
      <c r="AZ1598" s="1212"/>
      <c r="BA1598" s="1212"/>
      <c r="BB1598" s="1212"/>
      <c r="BC1598" s="1212"/>
      <c r="BD1598" s="1212"/>
      <c r="BE1598" s="1212"/>
      <c r="BF1598" s="2126">
        <v>0</v>
      </c>
      <c r="BG1598" s="2126">
        <v>0</v>
      </c>
      <c r="BH1598" s="2126">
        <v>643.22388888888884</v>
      </c>
      <c r="BI1598" s="2126">
        <v>643.22388888888884</v>
      </c>
      <c r="BJ1598" s="2126">
        <v>643.22388888888884</v>
      </c>
      <c r="BK1598" s="2126">
        <v>0</v>
      </c>
      <c r="BL1598" s="2126">
        <v>0</v>
      </c>
      <c r="BM1598" s="2126">
        <v>0</v>
      </c>
      <c r="BN1598" s="2126">
        <v>0</v>
      </c>
      <c r="BO1598" s="2126">
        <v>0</v>
      </c>
      <c r="BP1598" s="2126">
        <v>0</v>
      </c>
      <c r="BQ1598" s="2126">
        <v>0</v>
      </c>
      <c r="BR1598" s="2126">
        <v>0</v>
      </c>
    </row>
    <row r="1599" spans="1:70" s="1765" customFormat="1" ht="49.5">
      <c r="A1599" s="1272">
        <v>7000</v>
      </c>
      <c r="B1599" s="971" t="s">
        <v>2420</v>
      </c>
      <c r="C1599" s="1272">
        <v>7400</v>
      </c>
      <c r="D1599" s="971" t="s">
        <v>1316</v>
      </c>
      <c r="E1599" s="971">
        <v>7430</v>
      </c>
      <c r="F1599" s="971" t="s">
        <v>2430</v>
      </c>
      <c r="G1599" s="971">
        <v>7432</v>
      </c>
      <c r="H1599" s="971" t="s">
        <v>2486</v>
      </c>
      <c r="I1599" s="1273" t="s">
        <v>2638</v>
      </c>
      <c r="J1599" s="971" t="s">
        <v>124</v>
      </c>
      <c r="K1599" s="971" t="s">
        <v>2857</v>
      </c>
      <c r="L1599" s="971" t="s">
        <v>2858</v>
      </c>
      <c r="M1599" s="971" t="s">
        <v>734</v>
      </c>
      <c r="N1599" s="971" t="s">
        <v>488</v>
      </c>
      <c r="O1599" s="971" t="s">
        <v>128</v>
      </c>
      <c r="P1599" s="971"/>
      <c r="Q1599" s="971" t="s">
        <v>2535</v>
      </c>
      <c r="R1599" s="1266" t="s">
        <v>2639</v>
      </c>
      <c r="S1599" s="2106">
        <v>14.869888475836431</v>
      </c>
      <c r="T1599" s="1266" t="s">
        <v>136</v>
      </c>
      <c r="U1599" s="1742">
        <v>0.56041666666666667</v>
      </c>
      <c r="V1599" s="1742">
        <v>2.8020833333333335</v>
      </c>
      <c r="W1599" s="1742">
        <v>49.395125</v>
      </c>
      <c r="X1599" s="1742">
        <v>77.264645833333333</v>
      </c>
      <c r="Y1599" s="2106">
        <v>129.46185416666665</v>
      </c>
      <c r="Z1599" s="2106">
        <v>8.3333333333333339</v>
      </c>
      <c r="AA1599" s="2106">
        <v>41.666666666666671</v>
      </c>
      <c r="AB1599" s="2106">
        <v>734.5</v>
      </c>
      <c r="AC1599" s="2106">
        <v>1148.9166666666667</v>
      </c>
      <c r="AD1599" s="1744">
        <v>1925.0833333333335</v>
      </c>
      <c r="AE1599" s="2126">
        <v>1</v>
      </c>
      <c r="AF1599" s="2126">
        <v>14.869888475836431</v>
      </c>
      <c r="AG1599" s="1212">
        <v>1</v>
      </c>
      <c r="AH1599" s="1212">
        <v>0</v>
      </c>
      <c r="AI1599" s="1212">
        <v>0</v>
      </c>
      <c r="AJ1599" s="1212">
        <v>1</v>
      </c>
      <c r="AK1599" s="2126">
        <v>1925.0833333333335</v>
      </c>
      <c r="AL1599" s="2126">
        <v>0</v>
      </c>
      <c r="AM1599" s="2126">
        <v>0</v>
      </c>
      <c r="AN1599" s="2126">
        <v>1925.0833333333335</v>
      </c>
      <c r="AO1599" s="1743" t="s">
        <v>85</v>
      </c>
      <c r="AP1599" s="1743"/>
      <c r="AQ1599" s="1764">
        <v>2014</v>
      </c>
      <c r="AR1599" s="1743" t="s">
        <v>87</v>
      </c>
      <c r="AS1599" s="2135"/>
      <c r="AT1599" s="2135"/>
      <c r="AU1599" s="1212">
        <v>0.33333333333333331</v>
      </c>
      <c r="AV1599" s="1212">
        <v>0.33333333333333331</v>
      </c>
      <c r="AW1599" s="1212">
        <v>0.33333333333333331</v>
      </c>
      <c r="AX1599" s="1212"/>
      <c r="AY1599" s="1212"/>
      <c r="AZ1599" s="1212"/>
      <c r="BA1599" s="1212"/>
      <c r="BB1599" s="1212"/>
      <c r="BC1599" s="1212"/>
      <c r="BD1599" s="1212"/>
      <c r="BE1599" s="1212"/>
      <c r="BF1599" s="2126">
        <v>0</v>
      </c>
      <c r="BG1599" s="2126">
        <v>0</v>
      </c>
      <c r="BH1599" s="2126">
        <v>641.69444444444446</v>
      </c>
      <c r="BI1599" s="2126">
        <v>641.69444444444446</v>
      </c>
      <c r="BJ1599" s="2126">
        <v>641.69444444444446</v>
      </c>
      <c r="BK1599" s="2126">
        <v>0</v>
      </c>
      <c r="BL1599" s="2126">
        <v>0</v>
      </c>
      <c r="BM1599" s="2126">
        <v>0</v>
      </c>
      <c r="BN1599" s="2126">
        <v>0</v>
      </c>
      <c r="BO1599" s="2126">
        <v>0</v>
      </c>
      <c r="BP1599" s="2126">
        <v>0</v>
      </c>
      <c r="BQ1599" s="2126">
        <v>0</v>
      </c>
      <c r="BR1599" s="2126">
        <v>0</v>
      </c>
    </row>
    <row r="1600" spans="1:70" s="1765" customFormat="1" ht="33">
      <c r="A1600" s="1272">
        <v>7000</v>
      </c>
      <c r="B1600" s="971" t="s">
        <v>2420</v>
      </c>
      <c r="C1600" s="1272">
        <v>7400</v>
      </c>
      <c r="D1600" s="971" t="s">
        <v>1316</v>
      </c>
      <c r="E1600" s="971">
        <v>7430</v>
      </c>
      <c r="F1600" s="971" t="s">
        <v>2430</v>
      </c>
      <c r="G1600" s="971">
        <v>7432</v>
      </c>
      <c r="H1600" s="971" t="s">
        <v>2486</v>
      </c>
      <c r="I1600" s="1273" t="s">
        <v>2640</v>
      </c>
      <c r="J1600" s="971" t="s">
        <v>124</v>
      </c>
      <c r="K1600" s="971" t="s">
        <v>145</v>
      </c>
      <c r="L1600" s="971" t="s">
        <v>2871</v>
      </c>
      <c r="M1600" s="971" t="s">
        <v>556</v>
      </c>
      <c r="N1600" s="971" t="s">
        <v>141</v>
      </c>
      <c r="O1600" s="971" t="s">
        <v>557</v>
      </c>
      <c r="P1600" s="971"/>
      <c r="Q1600" s="971" t="s">
        <v>2538</v>
      </c>
      <c r="R1600" s="1266" t="s">
        <v>2627</v>
      </c>
      <c r="S1600" s="2106">
        <v>66.914498141263948</v>
      </c>
      <c r="T1600" s="1266" t="s">
        <v>136</v>
      </c>
      <c r="U1600" s="1742">
        <v>0.12329166666666667</v>
      </c>
      <c r="V1600" s="1742">
        <v>0.98072916666666676</v>
      </c>
      <c r="W1600" s="1742">
        <v>6.9153175000000005</v>
      </c>
      <c r="X1600" s="1742">
        <v>10.817050416666667</v>
      </c>
      <c r="Y1600" s="2106">
        <v>18.713097083333334</v>
      </c>
      <c r="Z1600" s="2106">
        <v>8.2500000000000018</v>
      </c>
      <c r="AA1600" s="2106">
        <v>65.625000000000014</v>
      </c>
      <c r="AB1600" s="2106">
        <v>462.73500000000007</v>
      </c>
      <c r="AC1600" s="2106">
        <v>723.81750000000011</v>
      </c>
      <c r="AD1600" s="1744">
        <v>1252.1775000000002</v>
      </c>
      <c r="AE1600" s="2126">
        <v>0.3</v>
      </c>
      <c r="AF1600" s="2126">
        <v>20.074349442379184</v>
      </c>
      <c r="AG1600" s="1212">
        <v>1</v>
      </c>
      <c r="AH1600" s="1212">
        <v>0</v>
      </c>
      <c r="AI1600" s="1212">
        <v>0</v>
      </c>
      <c r="AJ1600" s="1212">
        <v>1</v>
      </c>
      <c r="AK1600" s="2126">
        <v>1252.1775000000002</v>
      </c>
      <c r="AL1600" s="2126">
        <v>0</v>
      </c>
      <c r="AM1600" s="2126">
        <v>0</v>
      </c>
      <c r="AN1600" s="2126">
        <v>1252.1775000000002</v>
      </c>
      <c r="AO1600" s="1743" t="s">
        <v>85</v>
      </c>
      <c r="AP1600" s="1743"/>
      <c r="AQ1600" s="1764">
        <v>2014</v>
      </c>
      <c r="AR1600" s="1743" t="s">
        <v>87</v>
      </c>
      <c r="AS1600" s="2135"/>
      <c r="AT1600" s="2135"/>
      <c r="AU1600" s="1212">
        <v>0.33333333333333331</v>
      </c>
      <c r="AV1600" s="1212">
        <v>0.33333333333333331</v>
      </c>
      <c r="AW1600" s="1212">
        <v>0.33333333333333331</v>
      </c>
      <c r="AX1600" s="1212"/>
      <c r="AY1600" s="1212"/>
      <c r="AZ1600" s="1212"/>
      <c r="BA1600" s="1212"/>
      <c r="BB1600" s="1212"/>
      <c r="BC1600" s="1212"/>
      <c r="BD1600" s="1212"/>
      <c r="BE1600" s="1212"/>
      <c r="BF1600" s="2126">
        <v>0</v>
      </c>
      <c r="BG1600" s="2126">
        <v>0</v>
      </c>
      <c r="BH1600" s="2126">
        <v>417.39250000000004</v>
      </c>
      <c r="BI1600" s="2126">
        <v>417.39250000000004</v>
      </c>
      <c r="BJ1600" s="2126">
        <v>417.39250000000004</v>
      </c>
      <c r="BK1600" s="2126">
        <v>0</v>
      </c>
      <c r="BL1600" s="2126">
        <v>0</v>
      </c>
      <c r="BM1600" s="2126">
        <v>0</v>
      </c>
      <c r="BN1600" s="2126">
        <v>0</v>
      </c>
      <c r="BO1600" s="2126">
        <v>0</v>
      </c>
      <c r="BP1600" s="2126">
        <v>0</v>
      </c>
      <c r="BQ1600" s="2126">
        <v>0</v>
      </c>
      <c r="BR1600" s="2126">
        <v>0</v>
      </c>
    </row>
    <row r="1601" spans="1:70" s="1765" customFormat="1" ht="33">
      <c r="A1601" s="1272">
        <v>7000</v>
      </c>
      <c r="B1601" s="971" t="s">
        <v>2420</v>
      </c>
      <c r="C1601" s="1272">
        <v>7400</v>
      </c>
      <c r="D1601" s="971" t="s">
        <v>1316</v>
      </c>
      <c r="E1601" s="971">
        <v>7430</v>
      </c>
      <c r="F1601" s="971" t="s">
        <v>2430</v>
      </c>
      <c r="G1601" s="971">
        <v>7432</v>
      </c>
      <c r="H1601" s="971" t="s">
        <v>2486</v>
      </c>
      <c r="I1601" s="1273" t="s">
        <v>2641</v>
      </c>
      <c r="J1601" s="971" t="s">
        <v>124</v>
      </c>
      <c r="K1601" s="971" t="s">
        <v>145</v>
      </c>
      <c r="L1601" s="971" t="s">
        <v>2871</v>
      </c>
      <c r="M1601" s="971" t="s">
        <v>556</v>
      </c>
      <c r="N1601" s="971" t="s">
        <v>141</v>
      </c>
      <c r="O1601" s="971" t="s">
        <v>557</v>
      </c>
      <c r="P1601" s="971"/>
      <c r="Q1601" s="971" t="s">
        <v>2642</v>
      </c>
      <c r="R1601" s="1266" t="s">
        <v>2629</v>
      </c>
      <c r="S1601" s="2106">
        <v>66.914498141263948</v>
      </c>
      <c r="T1601" s="1266" t="s">
        <v>136</v>
      </c>
      <c r="U1601" s="1742">
        <v>0.12329166666666667</v>
      </c>
      <c r="V1601" s="1742">
        <v>0.98072916666666676</v>
      </c>
      <c r="W1601" s="1742">
        <v>6.9153175000000005</v>
      </c>
      <c r="X1601" s="1742">
        <v>10.817050416666667</v>
      </c>
      <c r="Y1601" s="2106">
        <v>18.713097083333334</v>
      </c>
      <c r="Z1601" s="2106">
        <v>8.2500000000000018</v>
      </c>
      <c r="AA1601" s="2106">
        <v>65.625000000000014</v>
      </c>
      <c r="AB1601" s="2106">
        <v>462.73500000000007</v>
      </c>
      <c r="AC1601" s="2106">
        <v>723.81750000000011</v>
      </c>
      <c r="AD1601" s="1744">
        <v>1252.1775000000002</v>
      </c>
      <c r="AE1601" s="2126">
        <v>0.3</v>
      </c>
      <c r="AF1601" s="2126">
        <v>20.074349442379184</v>
      </c>
      <c r="AG1601" s="1212">
        <v>1</v>
      </c>
      <c r="AH1601" s="1212">
        <v>0</v>
      </c>
      <c r="AI1601" s="1212">
        <v>0</v>
      </c>
      <c r="AJ1601" s="1212">
        <v>1</v>
      </c>
      <c r="AK1601" s="2126">
        <v>1252.1775000000002</v>
      </c>
      <c r="AL1601" s="2126">
        <v>0</v>
      </c>
      <c r="AM1601" s="2126">
        <v>0</v>
      </c>
      <c r="AN1601" s="2126">
        <v>1252.1775000000002</v>
      </c>
      <c r="AO1601" s="1743" t="s">
        <v>85</v>
      </c>
      <c r="AP1601" s="1743"/>
      <c r="AQ1601" s="1764">
        <v>2014</v>
      </c>
      <c r="AR1601" s="1743" t="s">
        <v>87</v>
      </c>
      <c r="AS1601" s="2135"/>
      <c r="AT1601" s="2135"/>
      <c r="AU1601" s="1212">
        <v>0.5</v>
      </c>
      <c r="AV1601" s="1212">
        <v>0.5</v>
      </c>
      <c r="AW1601" s="1212"/>
      <c r="AX1601" s="1212"/>
      <c r="AY1601" s="1212"/>
      <c r="AZ1601" s="1212"/>
      <c r="BA1601" s="1212"/>
      <c r="BB1601" s="1212"/>
      <c r="BC1601" s="1212"/>
      <c r="BD1601" s="1212"/>
      <c r="BE1601" s="1212"/>
      <c r="BF1601" s="2126">
        <v>0</v>
      </c>
      <c r="BG1601" s="2126">
        <v>0</v>
      </c>
      <c r="BH1601" s="2126">
        <v>626.08875000000012</v>
      </c>
      <c r="BI1601" s="2126">
        <v>626.08875000000012</v>
      </c>
      <c r="BJ1601" s="2126">
        <v>0</v>
      </c>
      <c r="BK1601" s="2126">
        <v>0</v>
      </c>
      <c r="BL1601" s="2126">
        <v>0</v>
      </c>
      <c r="BM1601" s="2126">
        <v>0</v>
      </c>
      <c r="BN1601" s="2126">
        <v>0</v>
      </c>
      <c r="BO1601" s="2126">
        <v>0</v>
      </c>
      <c r="BP1601" s="2126">
        <v>0</v>
      </c>
      <c r="BQ1601" s="2126">
        <v>0</v>
      </c>
      <c r="BR1601" s="2126">
        <v>0</v>
      </c>
    </row>
    <row r="1602" spans="1:70" s="1765" customFormat="1" ht="33">
      <c r="A1602" s="1272">
        <v>7000</v>
      </c>
      <c r="B1602" s="971" t="s">
        <v>2420</v>
      </c>
      <c r="C1602" s="1272">
        <v>7400</v>
      </c>
      <c r="D1602" s="971" t="s">
        <v>1316</v>
      </c>
      <c r="E1602" s="971">
        <v>7430</v>
      </c>
      <c r="F1602" s="971" t="s">
        <v>2430</v>
      </c>
      <c r="G1602" s="971">
        <v>7432</v>
      </c>
      <c r="H1602" s="971" t="s">
        <v>2486</v>
      </c>
      <c r="I1602" s="1273" t="s">
        <v>2643</v>
      </c>
      <c r="J1602" s="971" t="s">
        <v>124</v>
      </c>
      <c r="K1602" s="971" t="s">
        <v>145</v>
      </c>
      <c r="L1602" s="971" t="s">
        <v>2871</v>
      </c>
      <c r="M1602" s="971" t="s">
        <v>556</v>
      </c>
      <c r="N1602" s="971" t="s">
        <v>141</v>
      </c>
      <c r="O1602" s="971" t="s">
        <v>557</v>
      </c>
      <c r="P1602" s="971"/>
      <c r="Q1602" s="971" t="s">
        <v>2540</v>
      </c>
      <c r="R1602" s="1266" t="s">
        <v>2631</v>
      </c>
      <c r="S1602" s="2106">
        <v>66.914498141263948</v>
      </c>
      <c r="T1602" s="1266" t="s">
        <v>136</v>
      </c>
      <c r="U1602" s="1742">
        <v>0.12329166666666667</v>
      </c>
      <c r="V1602" s="1742">
        <v>0.98072916666666676</v>
      </c>
      <c r="W1602" s="1742">
        <v>6.9153175000000005</v>
      </c>
      <c r="X1602" s="1742">
        <v>10.817050416666667</v>
      </c>
      <c r="Y1602" s="2106">
        <v>18.713097083333334</v>
      </c>
      <c r="Z1602" s="2106">
        <v>8.2500000000000018</v>
      </c>
      <c r="AA1602" s="2106">
        <v>65.625000000000014</v>
      </c>
      <c r="AB1602" s="2106">
        <v>462.73500000000007</v>
      </c>
      <c r="AC1602" s="2106">
        <v>723.81750000000011</v>
      </c>
      <c r="AD1602" s="1744">
        <v>1252.1775000000002</v>
      </c>
      <c r="AE1602" s="2126">
        <v>0.3</v>
      </c>
      <c r="AF1602" s="2126">
        <v>20.074349442379184</v>
      </c>
      <c r="AG1602" s="1212">
        <v>1</v>
      </c>
      <c r="AH1602" s="1212">
        <v>0</v>
      </c>
      <c r="AI1602" s="1212">
        <v>0</v>
      </c>
      <c r="AJ1602" s="1212">
        <v>1</v>
      </c>
      <c r="AK1602" s="2126">
        <v>1252.1775000000002</v>
      </c>
      <c r="AL1602" s="2126">
        <v>0</v>
      </c>
      <c r="AM1602" s="2126">
        <v>0</v>
      </c>
      <c r="AN1602" s="2126">
        <v>1252.1775000000002</v>
      </c>
      <c r="AO1602" s="1743" t="s">
        <v>85</v>
      </c>
      <c r="AP1602" s="1743"/>
      <c r="AQ1602" s="1764">
        <v>2014</v>
      </c>
      <c r="AR1602" s="1743" t="s">
        <v>87</v>
      </c>
      <c r="AS1602" s="2135"/>
      <c r="AT1602" s="2135"/>
      <c r="AU1602" s="1212">
        <v>0.33333333333333331</v>
      </c>
      <c r="AV1602" s="1212">
        <v>0.33333333333333331</v>
      </c>
      <c r="AW1602" s="1212">
        <v>0.33333333333333331</v>
      </c>
      <c r="AX1602" s="1212"/>
      <c r="AY1602" s="1212"/>
      <c r="AZ1602" s="1212"/>
      <c r="BA1602" s="1212"/>
      <c r="BB1602" s="1212"/>
      <c r="BC1602" s="1212"/>
      <c r="BD1602" s="1212"/>
      <c r="BE1602" s="1212"/>
      <c r="BF1602" s="2126">
        <v>0</v>
      </c>
      <c r="BG1602" s="2126">
        <v>0</v>
      </c>
      <c r="BH1602" s="2126">
        <v>417.39250000000004</v>
      </c>
      <c r="BI1602" s="2126">
        <v>417.39250000000004</v>
      </c>
      <c r="BJ1602" s="2126">
        <v>417.39250000000004</v>
      </c>
      <c r="BK1602" s="2126">
        <v>0</v>
      </c>
      <c r="BL1602" s="2126">
        <v>0</v>
      </c>
      <c r="BM1602" s="2126">
        <v>0</v>
      </c>
      <c r="BN1602" s="2126">
        <v>0</v>
      </c>
      <c r="BO1602" s="2126">
        <v>0</v>
      </c>
      <c r="BP1602" s="2126">
        <v>0</v>
      </c>
      <c r="BQ1602" s="2126">
        <v>0</v>
      </c>
      <c r="BR1602" s="2126">
        <v>0</v>
      </c>
    </row>
    <row r="1603" spans="1:70" s="1765" customFormat="1" ht="33">
      <c r="A1603" s="1272">
        <v>7000</v>
      </c>
      <c r="B1603" s="971" t="s">
        <v>2420</v>
      </c>
      <c r="C1603" s="1272">
        <v>7400</v>
      </c>
      <c r="D1603" s="971" t="s">
        <v>1316</v>
      </c>
      <c r="E1603" s="971">
        <v>7430</v>
      </c>
      <c r="F1603" s="971" t="s">
        <v>2430</v>
      </c>
      <c r="G1603" s="971">
        <v>7432</v>
      </c>
      <c r="H1603" s="971" t="s">
        <v>2486</v>
      </c>
      <c r="I1603" s="1273" t="s">
        <v>2644</v>
      </c>
      <c r="J1603" s="971" t="s">
        <v>124</v>
      </c>
      <c r="K1603" s="971" t="s">
        <v>145</v>
      </c>
      <c r="L1603" s="971" t="s">
        <v>2871</v>
      </c>
      <c r="M1603" s="971" t="s">
        <v>556</v>
      </c>
      <c r="N1603" s="971" t="s">
        <v>141</v>
      </c>
      <c r="O1603" s="971" t="s">
        <v>557</v>
      </c>
      <c r="P1603" s="971"/>
      <c r="Q1603" s="971" t="s">
        <v>2542</v>
      </c>
      <c r="R1603" s="1266" t="s">
        <v>2633</v>
      </c>
      <c r="S1603" s="2106">
        <v>66.914498141263948</v>
      </c>
      <c r="T1603" s="1266" t="s">
        <v>136</v>
      </c>
      <c r="U1603" s="1742">
        <v>0.12329166666666667</v>
      </c>
      <c r="V1603" s="1742">
        <v>0.98072916666666676</v>
      </c>
      <c r="W1603" s="1742">
        <v>6.9153175000000005</v>
      </c>
      <c r="X1603" s="1742">
        <v>10.817050416666667</v>
      </c>
      <c r="Y1603" s="2106">
        <v>18.713097083333334</v>
      </c>
      <c r="Z1603" s="2106">
        <v>8.2500000000000018</v>
      </c>
      <c r="AA1603" s="2106">
        <v>65.625000000000014</v>
      </c>
      <c r="AB1603" s="2106">
        <v>462.73500000000007</v>
      </c>
      <c r="AC1603" s="2106">
        <v>723.81750000000011</v>
      </c>
      <c r="AD1603" s="1744">
        <v>1252.1775000000002</v>
      </c>
      <c r="AE1603" s="2126">
        <v>0.3</v>
      </c>
      <c r="AF1603" s="2126">
        <v>20.074349442379184</v>
      </c>
      <c r="AG1603" s="1212">
        <v>1</v>
      </c>
      <c r="AH1603" s="1212">
        <v>0</v>
      </c>
      <c r="AI1603" s="1212">
        <v>0</v>
      </c>
      <c r="AJ1603" s="1212">
        <v>1</v>
      </c>
      <c r="AK1603" s="2126">
        <v>1252.1775000000002</v>
      </c>
      <c r="AL1603" s="2126">
        <v>0</v>
      </c>
      <c r="AM1603" s="2126">
        <v>0</v>
      </c>
      <c r="AN1603" s="2126">
        <v>1252.1775000000002</v>
      </c>
      <c r="AO1603" s="1743" t="s">
        <v>85</v>
      </c>
      <c r="AP1603" s="1743"/>
      <c r="AQ1603" s="1764">
        <v>2014</v>
      </c>
      <c r="AR1603" s="1743" t="s">
        <v>87</v>
      </c>
      <c r="AS1603" s="2135"/>
      <c r="AT1603" s="2135"/>
      <c r="AU1603" s="1212">
        <v>0.33333333333333331</v>
      </c>
      <c r="AV1603" s="1212">
        <v>0.33333333333333331</v>
      </c>
      <c r="AW1603" s="1212">
        <v>0.33333333333333331</v>
      </c>
      <c r="AX1603" s="1212"/>
      <c r="AY1603" s="1212"/>
      <c r="AZ1603" s="1212"/>
      <c r="BA1603" s="1212"/>
      <c r="BB1603" s="1212"/>
      <c r="BC1603" s="1212"/>
      <c r="BD1603" s="1212"/>
      <c r="BE1603" s="1212"/>
      <c r="BF1603" s="2126">
        <v>0</v>
      </c>
      <c r="BG1603" s="2126">
        <v>0</v>
      </c>
      <c r="BH1603" s="2126">
        <v>417.39250000000004</v>
      </c>
      <c r="BI1603" s="2126">
        <v>417.39250000000004</v>
      </c>
      <c r="BJ1603" s="2126">
        <v>417.39250000000004</v>
      </c>
      <c r="BK1603" s="2126">
        <v>0</v>
      </c>
      <c r="BL1603" s="2126">
        <v>0</v>
      </c>
      <c r="BM1603" s="2126">
        <v>0</v>
      </c>
      <c r="BN1603" s="2126">
        <v>0</v>
      </c>
      <c r="BO1603" s="2126">
        <v>0</v>
      </c>
      <c r="BP1603" s="2126">
        <v>0</v>
      </c>
      <c r="BQ1603" s="2126">
        <v>0</v>
      </c>
      <c r="BR1603" s="2126">
        <v>0</v>
      </c>
    </row>
    <row r="1604" spans="1:70" s="1765" customFormat="1" ht="33">
      <c r="A1604" s="1272">
        <v>7000</v>
      </c>
      <c r="B1604" s="971" t="s">
        <v>2420</v>
      </c>
      <c r="C1604" s="1272">
        <v>7400</v>
      </c>
      <c r="D1604" s="971" t="s">
        <v>1316</v>
      </c>
      <c r="E1604" s="971">
        <v>7430</v>
      </c>
      <c r="F1604" s="971" t="s">
        <v>2430</v>
      </c>
      <c r="G1604" s="971">
        <v>7432</v>
      </c>
      <c r="H1604" s="971" t="s">
        <v>2486</v>
      </c>
      <c r="I1604" s="1273" t="s">
        <v>2645</v>
      </c>
      <c r="J1604" s="971" t="s">
        <v>124</v>
      </c>
      <c r="K1604" s="971"/>
      <c r="L1604" s="971" t="e">
        <v>#N/A</v>
      </c>
      <c r="M1604" s="971" t="s">
        <v>145</v>
      </c>
      <c r="N1604" s="971" t="s">
        <v>141</v>
      </c>
      <c r="O1604" s="971" t="s">
        <v>146</v>
      </c>
      <c r="P1604" s="971"/>
      <c r="Q1604" s="971" t="s">
        <v>2646</v>
      </c>
      <c r="R1604" s="1266" t="s">
        <v>2606</v>
      </c>
      <c r="S1604" s="2106">
        <v>35.687732342007436</v>
      </c>
      <c r="T1604" s="1266" t="s">
        <v>136</v>
      </c>
      <c r="U1604" s="1742" t="s">
        <v>6588</v>
      </c>
      <c r="V1604" s="1742" t="s">
        <v>6588</v>
      </c>
      <c r="W1604" s="1742" t="s">
        <v>6588</v>
      </c>
      <c r="X1604" s="1742" t="s">
        <v>6588</v>
      </c>
      <c r="Y1604" s="2106" t="s">
        <v>6588</v>
      </c>
      <c r="Z1604" s="2106">
        <v>0</v>
      </c>
      <c r="AA1604" s="2106">
        <v>0</v>
      </c>
      <c r="AB1604" s="2106">
        <v>0</v>
      </c>
      <c r="AC1604" s="2106">
        <v>0</v>
      </c>
      <c r="AD1604" s="1744">
        <v>0</v>
      </c>
      <c r="AE1604" s="2126">
        <v>0</v>
      </c>
      <c r="AF1604" s="2126">
        <v>0</v>
      </c>
      <c r="AG1604" s="1212">
        <v>1</v>
      </c>
      <c r="AH1604" s="1212">
        <v>0</v>
      </c>
      <c r="AI1604" s="1212">
        <v>0</v>
      </c>
      <c r="AJ1604" s="1212">
        <v>1</v>
      </c>
      <c r="AK1604" s="2126">
        <v>0</v>
      </c>
      <c r="AL1604" s="2126">
        <v>0</v>
      </c>
      <c r="AM1604" s="2126">
        <v>0</v>
      </c>
      <c r="AN1604" s="2126">
        <v>0</v>
      </c>
      <c r="AO1604" s="1743" t="s">
        <v>85</v>
      </c>
      <c r="AP1604" s="1743"/>
      <c r="AQ1604" s="1764">
        <v>2014</v>
      </c>
      <c r="AR1604" s="1743" t="s">
        <v>87</v>
      </c>
      <c r="AS1604" s="2135"/>
      <c r="AT1604" s="2135"/>
      <c r="AU1604" s="1212">
        <v>0.5</v>
      </c>
      <c r="AV1604" s="1212">
        <v>0.5</v>
      </c>
      <c r="AW1604" s="1212"/>
      <c r="AX1604" s="1212"/>
      <c r="AY1604" s="1212"/>
      <c r="AZ1604" s="1212"/>
      <c r="BA1604" s="1212"/>
      <c r="BB1604" s="1212"/>
      <c r="BC1604" s="1212"/>
      <c r="BD1604" s="1212"/>
      <c r="BE1604" s="1212"/>
      <c r="BF1604" s="2126">
        <v>0</v>
      </c>
      <c r="BG1604" s="2126">
        <v>0</v>
      </c>
      <c r="BH1604" s="2126">
        <v>0</v>
      </c>
      <c r="BI1604" s="2126">
        <v>0</v>
      </c>
      <c r="BJ1604" s="2126">
        <v>0</v>
      </c>
      <c r="BK1604" s="2126">
        <v>0</v>
      </c>
      <c r="BL1604" s="2126">
        <v>0</v>
      </c>
      <c r="BM1604" s="2126">
        <v>0</v>
      </c>
      <c r="BN1604" s="2126">
        <v>0</v>
      </c>
      <c r="BO1604" s="2126">
        <v>0</v>
      </c>
      <c r="BP1604" s="2126">
        <v>0</v>
      </c>
      <c r="BQ1604" s="2126">
        <v>0</v>
      </c>
      <c r="BR1604" s="2126">
        <v>0</v>
      </c>
    </row>
    <row r="1605" spans="1:70" s="1765" customFormat="1" ht="33">
      <c r="A1605" s="1272">
        <v>7000</v>
      </c>
      <c r="B1605" s="971" t="s">
        <v>2420</v>
      </c>
      <c r="C1605" s="1272">
        <v>7400</v>
      </c>
      <c r="D1605" s="971" t="s">
        <v>1316</v>
      </c>
      <c r="E1605" s="971">
        <v>7430</v>
      </c>
      <c r="F1605" s="971" t="s">
        <v>2430</v>
      </c>
      <c r="G1605" s="971">
        <v>7432</v>
      </c>
      <c r="H1605" s="971" t="s">
        <v>2486</v>
      </c>
      <c r="I1605" s="1273" t="s">
        <v>2647</v>
      </c>
      <c r="J1605" s="971" t="s">
        <v>124</v>
      </c>
      <c r="K1605" s="971"/>
      <c r="L1605" s="971" t="e">
        <v>#N/A</v>
      </c>
      <c r="M1605" s="971" t="s">
        <v>145</v>
      </c>
      <c r="N1605" s="971" t="s">
        <v>141</v>
      </c>
      <c r="O1605" s="971" t="s">
        <v>146</v>
      </c>
      <c r="P1605" s="971"/>
      <c r="Q1605" s="971" t="s">
        <v>2548</v>
      </c>
      <c r="R1605" s="1266" t="s">
        <v>2608</v>
      </c>
      <c r="S1605" s="2106">
        <v>35.687732342007436</v>
      </c>
      <c r="T1605" s="1266" t="s">
        <v>136</v>
      </c>
      <c r="U1605" s="1742" t="s">
        <v>6588</v>
      </c>
      <c r="V1605" s="1742" t="s">
        <v>6588</v>
      </c>
      <c r="W1605" s="1742" t="s">
        <v>6588</v>
      </c>
      <c r="X1605" s="1742" t="s">
        <v>6588</v>
      </c>
      <c r="Y1605" s="2106" t="s">
        <v>6588</v>
      </c>
      <c r="Z1605" s="2106">
        <v>0</v>
      </c>
      <c r="AA1605" s="2106">
        <v>0</v>
      </c>
      <c r="AB1605" s="2106">
        <v>0</v>
      </c>
      <c r="AC1605" s="2106">
        <v>0</v>
      </c>
      <c r="AD1605" s="1744">
        <v>0</v>
      </c>
      <c r="AE1605" s="2126">
        <v>0</v>
      </c>
      <c r="AF1605" s="2126">
        <v>0</v>
      </c>
      <c r="AG1605" s="1212">
        <v>1</v>
      </c>
      <c r="AH1605" s="1212">
        <v>0</v>
      </c>
      <c r="AI1605" s="1212">
        <v>0</v>
      </c>
      <c r="AJ1605" s="1212">
        <v>1</v>
      </c>
      <c r="AK1605" s="2126">
        <v>0</v>
      </c>
      <c r="AL1605" s="2126">
        <v>0</v>
      </c>
      <c r="AM1605" s="2126">
        <v>0</v>
      </c>
      <c r="AN1605" s="2126">
        <v>0</v>
      </c>
      <c r="AO1605" s="1743" t="s">
        <v>85</v>
      </c>
      <c r="AP1605" s="1743"/>
      <c r="AQ1605" s="1764">
        <v>2014</v>
      </c>
      <c r="AR1605" s="1743" t="s">
        <v>87</v>
      </c>
      <c r="AS1605" s="2135"/>
      <c r="AT1605" s="2135"/>
      <c r="AU1605" s="1212">
        <v>0.33333333333333331</v>
      </c>
      <c r="AV1605" s="1212">
        <v>0.33333333333333331</v>
      </c>
      <c r="AW1605" s="1212">
        <v>0.33333333333333331</v>
      </c>
      <c r="AX1605" s="1212"/>
      <c r="AY1605" s="1212"/>
      <c r="AZ1605" s="1212"/>
      <c r="BA1605" s="1212"/>
      <c r="BB1605" s="1212"/>
      <c r="BC1605" s="1212"/>
      <c r="BD1605" s="1212"/>
      <c r="BE1605" s="1212"/>
      <c r="BF1605" s="2126">
        <v>0</v>
      </c>
      <c r="BG1605" s="2126">
        <v>0</v>
      </c>
      <c r="BH1605" s="2126">
        <v>0</v>
      </c>
      <c r="BI1605" s="2126">
        <v>0</v>
      </c>
      <c r="BJ1605" s="2126">
        <v>0</v>
      </c>
      <c r="BK1605" s="2126">
        <v>0</v>
      </c>
      <c r="BL1605" s="2126">
        <v>0</v>
      </c>
      <c r="BM1605" s="2126">
        <v>0</v>
      </c>
      <c r="BN1605" s="2126">
        <v>0</v>
      </c>
      <c r="BO1605" s="2126">
        <v>0</v>
      </c>
      <c r="BP1605" s="2126">
        <v>0</v>
      </c>
      <c r="BQ1605" s="2126">
        <v>0</v>
      </c>
      <c r="BR1605" s="2126">
        <v>0</v>
      </c>
    </row>
    <row r="1606" spans="1:70" s="1765" customFormat="1" ht="33">
      <c r="A1606" s="1272">
        <v>7000</v>
      </c>
      <c r="B1606" s="971" t="s">
        <v>2420</v>
      </c>
      <c r="C1606" s="1272">
        <v>7400</v>
      </c>
      <c r="D1606" s="971" t="s">
        <v>1316</v>
      </c>
      <c r="E1606" s="971">
        <v>7430</v>
      </c>
      <c r="F1606" s="971" t="s">
        <v>2430</v>
      </c>
      <c r="G1606" s="971">
        <v>7432</v>
      </c>
      <c r="H1606" s="971" t="s">
        <v>2486</v>
      </c>
      <c r="I1606" s="1273" t="s">
        <v>2648</v>
      </c>
      <c r="J1606" s="971" t="s">
        <v>124</v>
      </c>
      <c r="K1606" s="971"/>
      <c r="L1606" s="971" t="e">
        <v>#N/A</v>
      </c>
      <c r="M1606" s="971" t="s">
        <v>145</v>
      </c>
      <c r="N1606" s="971" t="s">
        <v>141</v>
      </c>
      <c r="O1606" s="971" t="s">
        <v>146</v>
      </c>
      <c r="P1606" s="971"/>
      <c r="Q1606" s="971" t="s">
        <v>2550</v>
      </c>
      <c r="R1606" s="1266" t="s">
        <v>2610</v>
      </c>
      <c r="S1606" s="2106">
        <v>35.687732342007436</v>
      </c>
      <c r="T1606" s="1266" t="s">
        <v>136</v>
      </c>
      <c r="U1606" s="1742" t="s">
        <v>6588</v>
      </c>
      <c r="V1606" s="1742" t="s">
        <v>6588</v>
      </c>
      <c r="W1606" s="1742" t="s">
        <v>6588</v>
      </c>
      <c r="X1606" s="1742" t="s">
        <v>6588</v>
      </c>
      <c r="Y1606" s="2106" t="s">
        <v>6588</v>
      </c>
      <c r="Z1606" s="2106">
        <v>0</v>
      </c>
      <c r="AA1606" s="2106">
        <v>0</v>
      </c>
      <c r="AB1606" s="2106">
        <v>0</v>
      </c>
      <c r="AC1606" s="2106">
        <v>0</v>
      </c>
      <c r="AD1606" s="1744">
        <v>0</v>
      </c>
      <c r="AE1606" s="2126">
        <v>0</v>
      </c>
      <c r="AF1606" s="2126">
        <v>0</v>
      </c>
      <c r="AG1606" s="1212">
        <v>1</v>
      </c>
      <c r="AH1606" s="1212">
        <v>0</v>
      </c>
      <c r="AI1606" s="1212">
        <v>0</v>
      </c>
      <c r="AJ1606" s="1212">
        <v>1</v>
      </c>
      <c r="AK1606" s="2126">
        <v>0</v>
      </c>
      <c r="AL1606" s="2126">
        <v>0</v>
      </c>
      <c r="AM1606" s="2126">
        <v>0</v>
      </c>
      <c r="AN1606" s="2126">
        <v>0</v>
      </c>
      <c r="AO1606" s="1743" t="s">
        <v>85</v>
      </c>
      <c r="AP1606" s="1743"/>
      <c r="AQ1606" s="1764">
        <v>2014</v>
      </c>
      <c r="AR1606" s="1743" t="s">
        <v>87</v>
      </c>
      <c r="AS1606" s="2135"/>
      <c r="AT1606" s="2135"/>
      <c r="AU1606" s="1212">
        <v>0.33333333333333331</v>
      </c>
      <c r="AV1606" s="1212">
        <v>0.33333333333333331</v>
      </c>
      <c r="AW1606" s="1212">
        <v>0.33333333333333331</v>
      </c>
      <c r="AX1606" s="1212"/>
      <c r="AY1606" s="1212"/>
      <c r="AZ1606" s="1212"/>
      <c r="BA1606" s="1212"/>
      <c r="BB1606" s="1212"/>
      <c r="BC1606" s="1212"/>
      <c r="BD1606" s="1212"/>
      <c r="BE1606" s="1212"/>
      <c r="BF1606" s="2126">
        <v>0</v>
      </c>
      <c r="BG1606" s="2126">
        <v>0</v>
      </c>
      <c r="BH1606" s="2126">
        <v>0</v>
      </c>
      <c r="BI1606" s="2126">
        <v>0</v>
      </c>
      <c r="BJ1606" s="2126">
        <v>0</v>
      </c>
      <c r="BK1606" s="2126">
        <v>0</v>
      </c>
      <c r="BL1606" s="2126">
        <v>0</v>
      </c>
      <c r="BM1606" s="2126">
        <v>0</v>
      </c>
      <c r="BN1606" s="2126">
        <v>0</v>
      </c>
      <c r="BO1606" s="2126">
        <v>0</v>
      </c>
      <c r="BP1606" s="2126">
        <v>0</v>
      </c>
      <c r="BQ1606" s="2126">
        <v>0</v>
      </c>
      <c r="BR1606" s="2126">
        <v>0</v>
      </c>
    </row>
    <row r="1607" spans="1:70" s="1765" customFormat="1" ht="33">
      <c r="A1607" s="1272">
        <v>7000</v>
      </c>
      <c r="B1607" s="971" t="s">
        <v>2420</v>
      </c>
      <c r="C1607" s="1272">
        <v>7400</v>
      </c>
      <c r="D1607" s="971" t="s">
        <v>1316</v>
      </c>
      <c r="E1607" s="971">
        <v>7430</v>
      </c>
      <c r="F1607" s="971" t="s">
        <v>2430</v>
      </c>
      <c r="G1607" s="971">
        <v>7432</v>
      </c>
      <c r="H1607" s="971" t="s">
        <v>2486</v>
      </c>
      <c r="I1607" s="1273"/>
      <c r="J1607" s="971" t="s">
        <v>124</v>
      </c>
      <c r="K1607" s="971"/>
      <c r="L1607" s="971" t="e">
        <v>#N/A</v>
      </c>
      <c r="M1607" s="971"/>
      <c r="N1607" s="971"/>
      <c r="O1607" s="971"/>
      <c r="P1607" s="971"/>
      <c r="Q1607" s="971" t="s">
        <v>2434</v>
      </c>
      <c r="R1607" s="1266" t="s">
        <v>2649</v>
      </c>
      <c r="S1607" s="2106">
        <v>0</v>
      </c>
      <c r="T1607" s="1266" t="s">
        <v>136</v>
      </c>
      <c r="U1607" s="1742" t="s">
        <v>6588</v>
      </c>
      <c r="V1607" s="1742" t="s">
        <v>6588</v>
      </c>
      <c r="W1607" s="1742" t="s">
        <v>6588</v>
      </c>
      <c r="X1607" s="1742" t="s">
        <v>6588</v>
      </c>
      <c r="Y1607" s="2106" t="s">
        <v>6588</v>
      </c>
      <c r="Z1607" s="2106">
        <v>0</v>
      </c>
      <c r="AA1607" s="2106">
        <v>0</v>
      </c>
      <c r="AB1607" s="2106">
        <v>0</v>
      </c>
      <c r="AC1607" s="2106">
        <v>0</v>
      </c>
      <c r="AD1607" s="1744">
        <v>0</v>
      </c>
      <c r="AE1607" s="2126">
        <v>0</v>
      </c>
      <c r="AF1607" s="2126">
        <v>0</v>
      </c>
      <c r="AG1607" s="1212">
        <v>1</v>
      </c>
      <c r="AH1607" s="1212">
        <v>0</v>
      </c>
      <c r="AI1607" s="1212">
        <v>0</v>
      </c>
      <c r="AJ1607" s="1212">
        <v>1</v>
      </c>
      <c r="AK1607" s="2126">
        <v>0</v>
      </c>
      <c r="AL1607" s="2126">
        <v>0</v>
      </c>
      <c r="AM1607" s="2126">
        <v>0</v>
      </c>
      <c r="AN1607" s="2126">
        <v>0</v>
      </c>
      <c r="AO1607" s="1743" t="s">
        <v>85</v>
      </c>
      <c r="AP1607" s="1743"/>
      <c r="AQ1607" s="1764">
        <v>2014</v>
      </c>
      <c r="AR1607" s="1743" t="s">
        <v>87</v>
      </c>
      <c r="AS1607" s="2135"/>
      <c r="AT1607" s="2135"/>
      <c r="AU1607" s="1212">
        <v>0.33333333333333331</v>
      </c>
      <c r="AV1607" s="1212">
        <v>0.33333333333333331</v>
      </c>
      <c r="AW1607" s="1212">
        <v>0.33333333333333331</v>
      </c>
      <c r="AX1607" s="1212"/>
      <c r="AY1607" s="1212"/>
      <c r="AZ1607" s="1212"/>
      <c r="BA1607" s="1212"/>
      <c r="BB1607" s="1212"/>
      <c r="BC1607" s="1212"/>
      <c r="BD1607" s="1212"/>
      <c r="BE1607" s="1212"/>
      <c r="BF1607" s="2126">
        <v>0</v>
      </c>
      <c r="BG1607" s="2126">
        <v>0</v>
      </c>
      <c r="BH1607" s="2126">
        <v>0</v>
      </c>
      <c r="BI1607" s="2126">
        <v>0</v>
      </c>
      <c r="BJ1607" s="2126">
        <v>0</v>
      </c>
      <c r="BK1607" s="2126">
        <v>0</v>
      </c>
      <c r="BL1607" s="2126">
        <v>0</v>
      </c>
      <c r="BM1607" s="2126">
        <v>0</v>
      </c>
      <c r="BN1607" s="2126">
        <v>0</v>
      </c>
      <c r="BO1607" s="2126">
        <v>0</v>
      </c>
      <c r="BP1607" s="2126">
        <v>0</v>
      </c>
      <c r="BQ1607" s="2126">
        <v>0</v>
      </c>
      <c r="BR1607" s="2126">
        <v>0</v>
      </c>
    </row>
    <row r="1608" spans="1:70" s="1765" customFormat="1" ht="33">
      <c r="A1608" s="1272">
        <v>7000</v>
      </c>
      <c r="B1608" s="971" t="s">
        <v>2420</v>
      </c>
      <c r="C1608" s="1272">
        <v>7400</v>
      </c>
      <c r="D1608" s="971" t="s">
        <v>1316</v>
      </c>
      <c r="E1608" s="971">
        <v>7430</v>
      </c>
      <c r="F1608" s="971" t="s">
        <v>2430</v>
      </c>
      <c r="G1608" s="971">
        <v>7432</v>
      </c>
      <c r="H1608" s="971" t="s">
        <v>2486</v>
      </c>
      <c r="I1608" s="1273"/>
      <c r="J1608" s="971" t="s">
        <v>124</v>
      </c>
      <c r="K1608" s="971" t="s">
        <v>140</v>
      </c>
      <c r="L1608" s="971" t="s">
        <v>2909</v>
      </c>
      <c r="M1608" s="971" t="s">
        <v>140</v>
      </c>
      <c r="N1608" s="971" t="s">
        <v>141</v>
      </c>
      <c r="O1608" s="971" t="s">
        <v>142</v>
      </c>
      <c r="P1608" s="971"/>
      <c r="Q1608" s="971" t="s">
        <v>2436</v>
      </c>
      <c r="R1608" s="1266" t="s">
        <v>2649</v>
      </c>
      <c r="S1608" s="2106">
        <v>0</v>
      </c>
      <c r="T1608" s="1266" t="s">
        <v>136</v>
      </c>
      <c r="U1608" s="1742">
        <v>0</v>
      </c>
      <c r="V1608" s="1742">
        <v>0</v>
      </c>
      <c r="W1608" s="1742">
        <v>0</v>
      </c>
      <c r="X1608" s="1742">
        <v>0</v>
      </c>
      <c r="Y1608" s="2106">
        <v>0</v>
      </c>
      <c r="Z1608" s="2106">
        <v>0</v>
      </c>
      <c r="AA1608" s="2106">
        <v>0</v>
      </c>
      <c r="AB1608" s="2106">
        <v>0</v>
      </c>
      <c r="AC1608" s="2106">
        <v>0</v>
      </c>
      <c r="AD1608" s="1744">
        <v>0</v>
      </c>
      <c r="AE1608" s="2126">
        <v>0</v>
      </c>
      <c r="AF1608" s="2126">
        <v>0</v>
      </c>
      <c r="AG1608" s="1212">
        <v>1</v>
      </c>
      <c r="AH1608" s="1212">
        <v>0</v>
      </c>
      <c r="AI1608" s="1212">
        <v>0</v>
      </c>
      <c r="AJ1608" s="1212">
        <v>1</v>
      </c>
      <c r="AK1608" s="2126">
        <v>0</v>
      </c>
      <c r="AL1608" s="2126">
        <v>0</v>
      </c>
      <c r="AM1608" s="2126">
        <v>0</v>
      </c>
      <c r="AN1608" s="2126">
        <v>0</v>
      </c>
      <c r="AO1608" s="1743" t="s">
        <v>85</v>
      </c>
      <c r="AP1608" s="1743"/>
      <c r="AQ1608" s="1764">
        <v>2014</v>
      </c>
      <c r="AR1608" s="1743" t="s">
        <v>87</v>
      </c>
      <c r="AS1608" s="2135"/>
      <c r="AT1608" s="2135"/>
      <c r="AU1608" s="1212">
        <v>0.33333333333333331</v>
      </c>
      <c r="AV1608" s="1212">
        <v>0.33333333333333331</v>
      </c>
      <c r="AW1608" s="1212">
        <v>0.33333333333333331</v>
      </c>
      <c r="AX1608" s="1212"/>
      <c r="AY1608" s="1212"/>
      <c r="AZ1608" s="1212"/>
      <c r="BA1608" s="1212"/>
      <c r="BB1608" s="1212"/>
      <c r="BC1608" s="1212"/>
      <c r="BD1608" s="1212"/>
      <c r="BE1608" s="1212"/>
      <c r="BF1608" s="2126">
        <v>0</v>
      </c>
      <c r="BG1608" s="2126">
        <v>0</v>
      </c>
      <c r="BH1608" s="2126">
        <v>0</v>
      </c>
      <c r="BI1608" s="2126">
        <v>0</v>
      </c>
      <c r="BJ1608" s="2126">
        <v>0</v>
      </c>
      <c r="BK1608" s="2126">
        <v>0</v>
      </c>
      <c r="BL1608" s="2126">
        <v>0</v>
      </c>
      <c r="BM1608" s="2126">
        <v>0</v>
      </c>
      <c r="BN1608" s="2126">
        <v>0</v>
      </c>
      <c r="BO1608" s="2126">
        <v>0</v>
      </c>
      <c r="BP1608" s="2126">
        <v>0</v>
      </c>
      <c r="BQ1608" s="2126">
        <v>0</v>
      </c>
      <c r="BR1608" s="2126">
        <v>0</v>
      </c>
    </row>
    <row r="1609" spans="1:70" s="1765" customFormat="1" ht="33">
      <c r="A1609" s="1272">
        <v>7000</v>
      </c>
      <c r="B1609" s="971" t="s">
        <v>2420</v>
      </c>
      <c r="C1609" s="1272">
        <v>7400</v>
      </c>
      <c r="D1609" s="971" t="s">
        <v>1316</v>
      </c>
      <c r="E1609" s="971">
        <v>7430</v>
      </c>
      <c r="F1609" s="971" t="s">
        <v>2430</v>
      </c>
      <c r="G1609" s="971">
        <v>7432</v>
      </c>
      <c r="H1609" s="971" t="s">
        <v>2486</v>
      </c>
      <c r="I1609" s="1273"/>
      <c r="J1609" s="971" t="s">
        <v>124</v>
      </c>
      <c r="K1609" s="971" t="s">
        <v>140</v>
      </c>
      <c r="L1609" s="971" t="s">
        <v>2909</v>
      </c>
      <c r="M1609" s="971" t="s">
        <v>140</v>
      </c>
      <c r="N1609" s="971" t="s">
        <v>141</v>
      </c>
      <c r="O1609" s="971" t="s">
        <v>142</v>
      </c>
      <c r="P1609" s="971"/>
      <c r="Q1609" s="971" t="s">
        <v>2437</v>
      </c>
      <c r="R1609" s="1266" t="s">
        <v>2649</v>
      </c>
      <c r="S1609" s="2106">
        <v>0</v>
      </c>
      <c r="T1609" s="1266" t="s">
        <v>136</v>
      </c>
      <c r="U1609" s="1742">
        <v>0</v>
      </c>
      <c r="V1609" s="1742">
        <v>0</v>
      </c>
      <c r="W1609" s="1742">
        <v>0</v>
      </c>
      <c r="X1609" s="1742">
        <v>0</v>
      </c>
      <c r="Y1609" s="2106">
        <v>0</v>
      </c>
      <c r="Z1609" s="2106">
        <v>0</v>
      </c>
      <c r="AA1609" s="2106">
        <v>0</v>
      </c>
      <c r="AB1609" s="2106">
        <v>0</v>
      </c>
      <c r="AC1609" s="2106">
        <v>0</v>
      </c>
      <c r="AD1609" s="1744">
        <v>0</v>
      </c>
      <c r="AE1609" s="2126">
        <v>0</v>
      </c>
      <c r="AF1609" s="2126">
        <v>0</v>
      </c>
      <c r="AG1609" s="1212">
        <v>1</v>
      </c>
      <c r="AH1609" s="1212">
        <v>0</v>
      </c>
      <c r="AI1609" s="1212">
        <v>0</v>
      </c>
      <c r="AJ1609" s="1212">
        <v>1</v>
      </c>
      <c r="AK1609" s="2126">
        <v>0</v>
      </c>
      <c r="AL1609" s="2126">
        <v>0</v>
      </c>
      <c r="AM1609" s="2126">
        <v>0</v>
      </c>
      <c r="AN1609" s="2126">
        <v>0</v>
      </c>
      <c r="AO1609" s="1743" t="s">
        <v>85</v>
      </c>
      <c r="AP1609" s="1743"/>
      <c r="AQ1609" s="1764">
        <v>2014</v>
      </c>
      <c r="AR1609" s="1743" t="s">
        <v>87</v>
      </c>
      <c r="AS1609" s="2135"/>
      <c r="AT1609" s="2135"/>
      <c r="AU1609" s="1212">
        <v>0.33333333333333331</v>
      </c>
      <c r="AV1609" s="1212">
        <v>0.33333333333333331</v>
      </c>
      <c r="AW1609" s="1212">
        <v>0.33333333333333331</v>
      </c>
      <c r="AX1609" s="1212"/>
      <c r="AY1609" s="1212"/>
      <c r="AZ1609" s="1212"/>
      <c r="BA1609" s="1212"/>
      <c r="BB1609" s="1212"/>
      <c r="BC1609" s="1212"/>
      <c r="BD1609" s="1212"/>
      <c r="BE1609" s="1212"/>
      <c r="BF1609" s="2126">
        <v>0</v>
      </c>
      <c r="BG1609" s="2126">
        <v>0</v>
      </c>
      <c r="BH1609" s="2126">
        <v>0</v>
      </c>
      <c r="BI1609" s="2126">
        <v>0</v>
      </c>
      <c r="BJ1609" s="2126">
        <v>0</v>
      </c>
      <c r="BK1609" s="2126">
        <v>0</v>
      </c>
      <c r="BL1609" s="2126">
        <v>0</v>
      </c>
      <c r="BM1609" s="2126">
        <v>0</v>
      </c>
      <c r="BN1609" s="2126">
        <v>0</v>
      </c>
      <c r="BO1609" s="2126">
        <v>0</v>
      </c>
      <c r="BP1609" s="2126">
        <v>0</v>
      </c>
      <c r="BQ1609" s="2126">
        <v>0</v>
      </c>
      <c r="BR1609" s="2126">
        <v>0</v>
      </c>
    </row>
    <row r="1610" spans="1:70" s="1765" customFormat="1" ht="33">
      <c r="A1610" s="1272">
        <v>7000</v>
      </c>
      <c r="B1610" s="971" t="s">
        <v>2420</v>
      </c>
      <c r="C1610" s="1272">
        <v>7400</v>
      </c>
      <c r="D1610" s="971" t="s">
        <v>1316</v>
      </c>
      <c r="E1610" s="971">
        <v>7430</v>
      </c>
      <c r="F1610" s="971" t="s">
        <v>2430</v>
      </c>
      <c r="G1610" s="971">
        <v>7432</v>
      </c>
      <c r="H1610" s="971" t="s">
        <v>2486</v>
      </c>
      <c r="I1610" s="1273" t="s">
        <v>2650</v>
      </c>
      <c r="J1610" s="971" t="s">
        <v>124</v>
      </c>
      <c r="K1610" s="971" t="s">
        <v>140</v>
      </c>
      <c r="L1610" s="971" t="s">
        <v>2909</v>
      </c>
      <c r="M1610" s="971" t="s">
        <v>140</v>
      </c>
      <c r="N1610" s="971" t="s">
        <v>141</v>
      </c>
      <c r="O1610" s="971" t="s">
        <v>142</v>
      </c>
      <c r="P1610" s="971"/>
      <c r="Q1610" s="971" t="s">
        <v>2552</v>
      </c>
      <c r="R1610" s="1266" t="s">
        <v>2639</v>
      </c>
      <c r="S1610" s="2106">
        <v>14.869888475836431</v>
      </c>
      <c r="T1610" s="1266" t="s">
        <v>136</v>
      </c>
      <c r="U1610" s="1742">
        <v>0</v>
      </c>
      <c r="V1610" s="1742">
        <v>0</v>
      </c>
      <c r="W1610" s="1742">
        <v>0</v>
      </c>
      <c r="X1610" s="1742">
        <v>0</v>
      </c>
      <c r="Y1610" s="2106">
        <v>0</v>
      </c>
      <c r="Z1610" s="2106">
        <v>0</v>
      </c>
      <c r="AA1610" s="2106">
        <v>0</v>
      </c>
      <c r="AB1610" s="2106">
        <v>0</v>
      </c>
      <c r="AC1610" s="2106">
        <v>0</v>
      </c>
      <c r="AD1610" s="1744">
        <v>0</v>
      </c>
      <c r="AE1610" s="2126">
        <v>0</v>
      </c>
      <c r="AF1610" s="2126">
        <v>0</v>
      </c>
      <c r="AG1610" s="1212">
        <v>1</v>
      </c>
      <c r="AH1610" s="1212">
        <v>0</v>
      </c>
      <c r="AI1610" s="1212">
        <v>0</v>
      </c>
      <c r="AJ1610" s="1212">
        <v>1</v>
      </c>
      <c r="AK1610" s="2126">
        <v>0</v>
      </c>
      <c r="AL1610" s="2126">
        <v>0</v>
      </c>
      <c r="AM1610" s="2126">
        <v>0</v>
      </c>
      <c r="AN1610" s="2126">
        <v>0</v>
      </c>
      <c r="AO1610" s="1743" t="s">
        <v>85</v>
      </c>
      <c r="AP1610" s="1743"/>
      <c r="AQ1610" s="1764">
        <v>2014</v>
      </c>
      <c r="AR1610" s="1743" t="s">
        <v>87</v>
      </c>
      <c r="AS1610" s="2135"/>
      <c r="AT1610" s="2135"/>
      <c r="AU1610" s="1212">
        <v>0.33333333333333331</v>
      </c>
      <c r="AV1610" s="1212">
        <v>0.33333333333333331</v>
      </c>
      <c r="AW1610" s="1212">
        <v>0.33333333333333331</v>
      </c>
      <c r="AX1610" s="1212"/>
      <c r="AY1610" s="1212"/>
      <c r="AZ1610" s="1212"/>
      <c r="BA1610" s="1212"/>
      <c r="BB1610" s="1212"/>
      <c r="BC1610" s="1212"/>
      <c r="BD1610" s="1212"/>
      <c r="BE1610" s="1212"/>
      <c r="BF1610" s="2126">
        <v>0</v>
      </c>
      <c r="BG1610" s="2126">
        <v>0</v>
      </c>
      <c r="BH1610" s="2126">
        <v>0</v>
      </c>
      <c r="BI1610" s="2126">
        <v>0</v>
      </c>
      <c r="BJ1610" s="2126">
        <v>0</v>
      </c>
      <c r="BK1610" s="2126">
        <v>0</v>
      </c>
      <c r="BL1610" s="2126">
        <v>0</v>
      </c>
      <c r="BM1610" s="2126">
        <v>0</v>
      </c>
      <c r="BN1610" s="2126">
        <v>0</v>
      </c>
      <c r="BO1610" s="2126">
        <v>0</v>
      </c>
      <c r="BP1610" s="2126">
        <v>0</v>
      </c>
      <c r="BQ1610" s="2126">
        <v>0</v>
      </c>
      <c r="BR1610" s="2126">
        <v>0</v>
      </c>
    </row>
    <row r="1611" spans="1:70" s="1765" customFormat="1" ht="33">
      <c r="A1611" s="1272">
        <v>7000</v>
      </c>
      <c r="B1611" s="971" t="s">
        <v>2420</v>
      </c>
      <c r="C1611" s="1272">
        <v>7400</v>
      </c>
      <c r="D1611" s="971" t="s">
        <v>1316</v>
      </c>
      <c r="E1611" s="971">
        <v>7430</v>
      </c>
      <c r="F1611" s="971" t="s">
        <v>2430</v>
      </c>
      <c r="G1611" s="971">
        <v>7432</v>
      </c>
      <c r="H1611" s="971" t="s">
        <v>2486</v>
      </c>
      <c r="I1611" s="1273" t="s">
        <v>2651</v>
      </c>
      <c r="J1611" s="971" t="s">
        <v>124</v>
      </c>
      <c r="K1611" s="971"/>
      <c r="L1611" s="971" t="e">
        <v>#N/A</v>
      </c>
      <c r="M1611" s="971" t="s">
        <v>145</v>
      </c>
      <c r="N1611" s="971" t="s">
        <v>141</v>
      </c>
      <c r="O1611" s="971" t="s">
        <v>146</v>
      </c>
      <c r="P1611" s="971"/>
      <c r="Q1611" s="971" t="s">
        <v>2554</v>
      </c>
      <c r="R1611" s="1266" t="s">
        <v>2639</v>
      </c>
      <c r="S1611" s="2106">
        <v>14.869888475836431</v>
      </c>
      <c r="T1611" s="1266" t="s">
        <v>136</v>
      </c>
      <c r="U1611" s="1742" t="s">
        <v>6588</v>
      </c>
      <c r="V1611" s="1742" t="s">
        <v>6588</v>
      </c>
      <c r="W1611" s="1742" t="s">
        <v>6588</v>
      </c>
      <c r="X1611" s="1742" t="s">
        <v>6588</v>
      </c>
      <c r="Y1611" s="2106" t="s">
        <v>6588</v>
      </c>
      <c r="Z1611" s="2106">
        <v>0</v>
      </c>
      <c r="AA1611" s="2106">
        <v>0</v>
      </c>
      <c r="AB1611" s="2106">
        <v>0</v>
      </c>
      <c r="AC1611" s="2106">
        <v>0</v>
      </c>
      <c r="AD1611" s="1744">
        <v>0</v>
      </c>
      <c r="AE1611" s="2126">
        <v>0</v>
      </c>
      <c r="AF1611" s="2126">
        <v>0</v>
      </c>
      <c r="AG1611" s="1212">
        <v>1</v>
      </c>
      <c r="AH1611" s="1212">
        <v>0</v>
      </c>
      <c r="AI1611" s="1212">
        <v>0</v>
      </c>
      <c r="AJ1611" s="1212">
        <v>1</v>
      </c>
      <c r="AK1611" s="2126">
        <v>0</v>
      </c>
      <c r="AL1611" s="2126">
        <v>0</v>
      </c>
      <c r="AM1611" s="2126">
        <v>0</v>
      </c>
      <c r="AN1611" s="2126">
        <v>0</v>
      </c>
      <c r="AO1611" s="1743" t="s">
        <v>85</v>
      </c>
      <c r="AP1611" s="1743"/>
      <c r="AQ1611" s="1764">
        <v>2014</v>
      </c>
      <c r="AR1611" s="1743" t="s">
        <v>87</v>
      </c>
      <c r="AS1611" s="2135"/>
      <c r="AT1611" s="2135"/>
      <c r="AU1611" s="1212">
        <v>0.33333333333333331</v>
      </c>
      <c r="AV1611" s="1212">
        <v>0.33333333333333331</v>
      </c>
      <c r="AW1611" s="1212">
        <v>0.33333333333333331</v>
      </c>
      <c r="AX1611" s="1212"/>
      <c r="AY1611" s="1212"/>
      <c r="AZ1611" s="1212"/>
      <c r="BA1611" s="1212"/>
      <c r="BB1611" s="1212"/>
      <c r="BC1611" s="1212"/>
      <c r="BD1611" s="1212"/>
      <c r="BE1611" s="1212"/>
      <c r="BF1611" s="2126">
        <v>0</v>
      </c>
      <c r="BG1611" s="2126">
        <v>0</v>
      </c>
      <c r="BH1611" s="2126">
        <v>0</v>
      </c>
      <c r="BI1611" s="2126">
        <v>0</v>
      </c>
      <c r="BJ1611" s="2126">
        <v>0</v>
      </c>
      <c r="BK1611" s="2126">
        <v>0</v>
      </c>
      <c r="BL1611" s="2126">
        <v>0</v>
      </c>
      <c r="BM1611" s="2126">
        <v>0</v>
      </c>
      <c r="BN1611" s="2126">
        <v>0</v>
      </c>
      <c r="BO1611" s="2126">
        <v>0</v>
      </c>
      <c r="BP1611" s="2126">
        <v>0</v>
      </c>
      <c r="BQ1611" s="2126">
        <v>0</v>
      </c>
      <c r="BR1611" s="2126">
        <v>0</v>
      </c>
    </row>
    <row r="1612" spans="1:70" s="1765" customFormat="1" ht="33">
      <c r="A1612" s="1272">
        <v>7000</v>
      </c>
      <c r="B1612" s="971" t="s">
        <v>2420</v>
      </c>
      <c r="C1612" s="1272">
        <v>7400</v>
      </c>
      <c r="D1612" s="971" t="s">
        <v>1316</v>
      </c>
      <c r="E1612" s="971">
        <v>7430</v>
      </c>
      <c r="F1612" s="971" t="s">
        <v>2430</v>
      </c>
      <c r="G1612" s="971">
        <v>7432</v>
      </c>
      <c r="H1612" s="971" t="s">
        <v>2486</v>
      </c>
      <c r="I1612" s="1273" t="s">
        <v>2652</v>
      </c>
      <c r="J1612" s="971" t="s">
        <v>124</v>
      </c>
      <c r="K1612" s="971"/>
      <c r="L1612" s="971" t="e">
        <v>#N/A</v>
      </c>
      <c r="M1612" s="971" t="s">
        <v>145</v>
      </c>
      <c r="N1612" s="971" t="s">
        <v>141</v>
      </c>
      <c r="O1612" s="971" t="s">
        <v>146</v>
      </c>
      <c r="P1612" s="971"/>
      <c r="Q1612" s="971" t="s">
        <v>2564</v>
      </c>
      <c r="R1612" s="1266" t="s">
        <v>2627</v>
      </c>
      <c r="S1612" s="2106">
        <v>66.914498141263948</v>
      </c>
      <c r="T1612" s="1266" t="s">
        <v>136</v>
      </c>
      <c r="U1612" s="1742" t="s">
        <v>6588</v>
      </c>
      <c r="V1612" s="1742" t="s">
        <v>6588</v>
      </c>
      <c r="W1612" s="1742" t="s">
        <v>6588</v>
      </c>
      <c r="X1612" s="1742" t="s">
        <v>6588</v>
      </c>
      <c r="Y1612" s="2106" t="s">
        <v>6588</v>
      </c>
      <c r="Z1612" s="2106">
        <v>0</v>
      </c>
      <c r="AA1612" s="2106">
        <v>0</v>
      </c>
      <c r="AB1612" s="2106">
        <v>0</v>
      </c>
      <c r="AC1612" s="2106">
        <v>0</v>
      </c>
      <c r="AD1612" s="1744">
        <v>0</v>
      </c>
      <c r="AE1612" s="2126">
        <v>0</v>
      </c>
      <c r="AF1612" s="2126">
        <v>0</v>
      </c>
      <c r="AG1612" s="1212">
        <v>1</v>
      </c>
      <c r="AH1612" s="1212">
        <v>0</v>
      </c>
      <c r="AI1612" s="1212">
        <v>0</v>
      </c>
      <c r="AJ1612" s="1212">
        <v>1</v>
      </c>
      <c r="AK1612" s="2126">
        <v>0</v>
      </c>
      <c r="AL1612" s="2126">
        <v>0</v>
      </c>
      <c r="AM1612" s="2126">
        <v>0</v>
      </c>
      <c r="AN1612" s="2126">
        <v>0</v>
      </c>
      <c r="AO1612" s="1743" t="s">
        <v>85</v>
      </c>
      <c r="AP1612" s="1743"/>
      <c r="AQ1612" s="1764">
        <v>2014</v>
      </c>
      <c r="AR1612" s="1743" t="s">
        <v>87</v>
      </c>
      <c r="AS1612" s="2135"/>
      <c r="AT1612" s="2135"/>
      <c r="AU1612" s="1212">
        <v>0.33333333333333331</v>
      </c>
      <c r="AV1612" s="1212">
        <v>0.33333333333333331</v>
      </c>
      <c r="AW1612" s="1212">
        <v>0.33333333333333331</v>
      </c>
      <c r="AX1612" s="1212"/>
      <c r="AY1612" s="1212"/>
      <c r="AZ1612" s="1212"/>
      <c r="BA1612" s="1212"/>
      <c r="BB1612" s="1212"/>
      <c r="BC1612" s="1212"/>
      <c r="BD1612" s="1212"/>
      <c r="BE1612" s="1212"/>
      <c r="BF1612" s="2126">
        <v>0</v>
      </c>
      <c r="BG1612" s="2126">
        <v>0</v>
      </c>
      <c r="BH1612" s="2126">
        <v>0</v>
      </c>
      <c r="BI1612" s="2126">
        <v>0</v>
      </c>
      <c r="BJ1612" s="2126">
        <v>0</v>
      </c>
      <c r="BK1612" s="2126">
        <v>0</v>
      </c>
      <c r="BL1612" s="2126">
        <v>0</v>
      </c>
      <c r="BM1612" s="2126">
        <v>0</v>
      </c>
      <c r="BN1612" s="2126">
        <v>0</v>
      </c>
      <c r="BO1612" s="2126">
        <v>0</v>
      </c>
      <c r="BP1612" s="2126">
        <v>0</v>
      </c>
      <c r="BQ1612" s="2126">
        <v>0</v>
      </c>
      <c r="BR1612" s="2126">
        <v>0</v>
      </c>
    </row>
    <row r="1613" spans="1:70" s="1765" customFormat="1" ht="33">
      <c r="A1613" s="1272">
        <v>7000</v>
      </c>
      <c r="B1613" s="971" t="s">
        <v>2420</v>
      </c>
      <c r="C1613" s="1272">
        <v>7400</v>
      </c>
      <c r="D1613" s="971" t="s">
        <v>1316</v>
      </c>
      <c r="E1613" s="971">
        <v>7430</v>
      </c>
      <c r="F1613" s="971" t="s">
        <v>2430</v>
      </c>
      <c r="G1613" s="971">
        <v>7432</v>
      </c>
      <c r="H1613" s="971" t="s">
        <v>2486</v>
      </c>
      <c r="I1613" s="1273" t="s">
        <v>2653</v>
      </c>
      <c r="J1613" s="971" t="s">
        <v>124</v>
      </c>
      <c r="K1613" s="971"/>
      <c r="L1613" s="971" t="e">
        <v>#N/A</v>
      </c>
      <c r="M1613" s="971" t="s">
        <v>145</v>
      </c>
      <c r="N1613" s="971" t="s">
        <v>141</v>
      </c>
      <c r="O1613" s="971" t="s">
        <v>146</v>
      </c>
      <c r="P1613" s="971"/>
      <c r="Q1613" s="971" t="s">
        <v>2562</v>
      </c>
      <c r="R1613" s="1266" t="s">
        <v>2629</v>
      </c>
      <c r="S1613" s="2106">
        <v>66.914498141263948</v>
      </c>
      <c r="T1613" s="1266" t="s">
        <v>136</v>
      </c>
      <c r="U1613" s="1742" t="s">
        <v>6588</v>
      </c>
      <c r="V1613" s="1742" t="s">
        <v>6588</v>
      </c>
      <c r="W1613" s="1742" t="s">
        <v>6588</v>
      </c>
      <c r="X1613" s="1742" t="s">
        <v>6588</v>
      </c>
      <c r="Y1613" s="2106" t="s">
        <v>6588</v>
      </c>
      <c r="Z1613" s="2106">
        <v>0</v>
      </c>
      <c r="AA1613" s="2106">
        <v>0</v>
      </c>
      <c r="AB1613" s="2106">
        <v>0</v>
      </c>
      <c r="AC1613" s="2106">
        <v>0</v>
      </c>
      <c r="AD1613" s="1744">
        <v>0</v>
      </c>
      <c r="AE1613" s="2126">
        <v>0</v>
      </c>
      <c r="AF1613" s="2126">
        <v>0</v>
      </c>
      <c r="AG1613" s="1212">
        <v>1</v>
      </c>
      <c r="AH1613" s="1212">
        <v>0</v>
      </c>
      <c r="AI1613" s="1212">
        <v>0</v>
      </c>
      <c r="AJ1613" s="1212">
        <v>1</v>
      </c>
      <c r="AK1613" s="2126">
        <v>0</v>
      </c>
      <c r="AL1613" s="2126">
        <v>0</v>
      </c>
      <c r="AM1613" s="2126">
        <v>0</v>
      </c>
      <c r="AN1613" s="2126">
        <v>0</v>
      </c>
      <c r="AO1613" s="1743" t="s">
        <v>85</v>
      </c>
      <c r="AP1613" s="1743"/>
      <c r="AQ1613" s="1764">
        <v>2014</v>
      </c>
      <c r="AR1613" s="1743" t="s">
        <v>87</v>
      </c>
      <c r="AS1613" s="2135"/>
      <c r="AT1613" s="2135"/>
      <c r="AU1613" s="1212">
        <v>0.5</v>
      </c>
      <c r="AV1613" s="1212">
        <v>0.5</v>
      </c>
      <c r="AW1613" s="1212"/>
      <c r="AX1613" s="1212"/>
      <c r="AY1613" s="1212"/>
      <c r="AZ1613" s="1212"/>
      <c r="BA1613" s="1212"/>
      <c r="BB1613" s="1212"/>
      <c r="BC1613" s="1212"/>
      <c r="BD1613" s="1212"/>
      <c r="BE1613" s="1212"/>
      <c r="BF1613" s="2126">
        <v>0</v>
      </c>
      <c r="BG1613" s="2126">
        <v>0</v>
      </c>
      <c r="BH1613" s="2126">
        <v>0</v>
      </c>
      <c r="BI1613" s="2126">
        <v>0</v>
      </c>
      <c r="BJ1613" s="2126">
        <v>0</v>
      </c>
      <c r="BK1613" s="2126">
        <v>0</v>
      </c>
      <c r="BL1613" s="2126">
        <v>0</v>
      </c>
      <c r="BM1613" s="2126">
        <v>0</v>
      </c>
      <c r="BN1613" s="2126">
        <v>0</v>
      </c>
      <c r="BO1613" s="2126">
        <v>0</v>
      </c>
      <c r="BP1613" s="2126">
        <v>0</v>
      </c>
      <c r="BQ1613" s="2126">
        <v>0</v>
      </c>
      <c r="BR1613" s="2126">
        <v>0</v>
      </c>
    </row>
    <row r="1614" spans="1:70" s="1765" customFormat="1" ht="33">
      <c r="A1614" s="1272">
        <v>7000</v>
      </c>
      <c r="B1614" s="971" t="s">
        <v>2420</v>
      </c>
      <c r="C1614" s="1272">
        <v>7400</v>
      </c>
      <c r="D1614" s="971" t="s">
        <v>1316</v>
      </c>
      <c r="E1614" s="971">
        <v>7430</v>
      </c>
      <c r="F1614" s="971" t="s">
        <v>2430</v>
      </c>
      <c r="G1614" s="971">
        <v>7432</v>
      </c>
      <c r="H1614" s="971" t="s">
        <v>2486</v>
      </c>
      <c r="I1614" s="1273" t="s">
        <v>2654</v>
      </c>
      <c r="J1614" s="971" t="s">
        <v>124</v>
      </c>
      <c r="K1614" s="971"/>
      <c r="L1614" s="971" t="e">
        <v>#N/A</v>
      </c>
      <c r="M1614" s="971" t="s">
        <v>145</v>
      </c>
      <c r="N1614" s="971" t="s">
        <v>141</v>
      </c>
      <c r="O1614" s="971" t="s">
        <v>146</v>
      </c>
      <c r="P1614" s="971"/>
      <c r="Q1614" s="971" t="s">
        <v>2566</v>
      </c>
      <c r="R1614" s="1266" t="s">
        <v>2631</v>
      </c>
      <c r="S1614" s="2106">
        <v>66.914498141263948</v>
      </c>
      <c r="T1614" s="1266" t="s">
        <v>136</v>
      </c>
      <c r="U1614" s="1742" t="s">
        <v>6588</v>
      </c>
      <c r="V1614" s="1742" t="s">
        <v>6588</v>
      </c>
      <c r="W1614" s="1742" t="s">
        <v>6588</v>
      </c>
      <c r="X1614" s="1742" t="s">
        <v>6588</v>
      </c>
      <c r="Y1614" s="2106" t="s">
        <v>6588</v>
      </c>
      <c r="Z1614" s="2106">
        <v>0</v>
      </c>
      <c r="AA1614" s="2106">
        <v>0</v>
      </c>
      <c r="AB1614" s="2106">
        <v>0</v>
      </c>
      <c r="AC1614" s="2106">
        <v>0</v>
      </c>
      <c r="AD1614" s="1744">
        <v>0</v>
      </c>
      <c r="AE1614" s="2126">
        <v>0</v>
      </c>
      <c r="AF1614" s="2126">
        <v>0</v>
      </c>
      <c r="AG1614" s="1212">
        <v>1</v>
      </c>
      <c r="AH1614" s="1212">
        <v>0</v>
      </c>
      <c r="AI1614" s="1212">
        <v>0</v>
      </c>
      <c r="AJ1614" s="1212">
        <v>1</v>
      </c>
      <c r="AK1614" s="2126">
        <v>0</v>
      </c>
      <c r="AL1614" s="2126">
        <v>0</v>
      </c>
      <c r="AM1614" s="2126">
        <v>0</v>
      </c>
      <c r="AN1614" s="2126">
        <v>0</v>
      </c>
      <c r="AO1614" s="1743" t="s">
        <v>85</v>
      </c>
      <c r="AP1614" s="1743"/>
      <c r="AQ1614" s="1764">
        <v>2014</v>
      </c>
      <c r="AR1614" s="1743" t="s">
        <v>87</v>
      </c>
      <c r="AS1614" s="2135"/>
      <c r="AT1614" s="2135"/>
      <c r="AU1614" s="1212">
        <v>0.33333333333333331</v>
      </c>
      <c r="AV1614" s="1212">
        <v>0.33333333333333331</v>
      </c>
      <c r="AW1614" s="1212">
        <v>0.33333333333333331</v>
      </c>
      <c r="AX1614" s="1212"/>
      <c r="AY1614" s="1212"/>
      <c r="AZ1614" s="1212"/>
      <c r="BA1614" s="1212"/>
      <c r="BB1614" s="1212"/>
      <c r="BC1614" s="1212"/>
      <c r="BD1614" s="1212"/>
      <c r="BE1614" s="1212"/>
      <c r="BF1614" s="2126">
        <v>0</v>
      </c>
      <c r="BG1614" s="2126">
        <v>0</v>
      </c>
      <c r="BH1614" s="2126">
        <v>0</v>
      </c>
      <c r="BI1614" s="2126">
        <v>0</v>
      </c>
      <c r="BJ1614" s="2126">
        <v>0</v>
      </c>
      <c r="BK1614" s="2126">
        <v>0</v>
      </c>
      <c r="BL1614" s="2126">
        <v>0</v>
      </c>
      <c r="BM1614" s="2126">
        <v>0</v>
      </c>
      <c r="BN1614" s="2126">
        <v>0</v>
      </c>
      <c r="BO1614" s="2126">
        <v>0</v>
      </c>
      <c r="BP1614" s="2126">
        <v>0</v>
      </c>
      <c r="BQ1614" s="2126">
        <v>0</v>
      </c>
      <c r="BR1614" s="2126">
        <v>0</v>
      </c>
    </row>
    <row r="1615" spans="1:70" s="1765" customFormat="1" ht="33">
      <c r="A1615" s="1272">
        <v>7000</v>
      </c>
      <c r="B1615" s="971" t="s">
        <v>2420</v>
      </c>
      <c r="C1615" s="1272">
        <v>7400</v>
      </c>
      <c r="D1615" s="971" t="s">
        <v>1316</v>
      </c>
      <c r="E1615" s="971">
        <v>7430</v>
      </c>
      <c r="F1615" s="971" t="s">
        <v>2430</v>
      </c>
      <c r="G1615" s="971">
        <v>7432</v>
      </c>
      <c r="H1615" s="971" t="s">
        <v>2486</v>
      </c>
      <c r="I1615" s="1273" t="s">
        <v>2655</v>
      </c>
      <c r="J1615" s="971" t="s">
        <v>124</v>
      </c>
      <c r="K1615" s="971"/>
      <c r="L1615" s="971" t="e">
        <v>#N/A</v>
      </c>
      <c r="M1615" s="971" t="s">
        <v>145</v>
      </c>
      <c r="N1615" s="971" t="s">
        <v>141</v>
      </c>
      <c r="O1615" s="971" t="s">
        <v>146</v>
      </c>
      <c r="P1615" s="971"/>
      <c r="Q1615" s="971" t="s">
        <v>2568</v>
      </c>
      <c r="R1615" s="1266" t="s">
        <v>2633</v>
      </c>
      <c r="S1615" s="2106">
        <v>66.914498141263948</v>
      </c>
      <c r="T1615" s="1266" t="s">
        <v>136</v>
      </c>
      <c r="U1615" s="1742" t="s">
        <v>6588</v>
      </c>
      <c r="V1615" s="1742" t="s">
        <v>6588</v>
      </c>
      <c r="W1615" s="1742" t="s">
        <v>6588</v>
      </c>
      <c r="X1615" s="1742" t="s">
        <v>6588</v>
      </c>
      <c r="Y1615" s="2106" t="s">
        <v>6588</v>
      </c>
      <c r="Z1615" s="2106">
        <v>0</v>
      </c>
      <c r="AA1615" s="2106">
        <v>0</v>
      </c>
      <c r="AB1615" s="2106">
        <v>0</v>
      </c>
      <c r="AC1615" s="2106">
        <v>0</v>
      </c>
      <c r="AD1615" s="1744">
        <v>0</v>
      </c>
      <c r="AE1615" s="2126">
        <v>0</v>
      </c>
      <c r="AF1615" s="2126">
        <v>0</v>
      </c>
      <c r="AG1615" s="1212">
        <v>1</v>
      </c>
      <c r="AH1615" s="1212">
        <v>0</v>
      </c>
      <c r="AI1615" s="1212">
        <v>0</v>
      </c>
      <c r="AJ1615" s="1212">
        <v>1</v>
      </c>
      <c r="AK1615" s="2126">
        <v>0</v>
      </c>
      <c r="AL1615" s="2126">
        <v>0</v>
      </c>
      <c r="AM1615" s="2126">
        <v>0</v>
      </c>
      <c r="AN1615" s="2126">
        <v>0</v>
      </c>
      <c r="AO1615" s="1743" t="s">
        <v>85</v>
      </c>
      <c r="AP1615" s="1743"/>
      <c r="AQ1615" s="1764">
        <v>2014</v>
      </c>
      <c r="AR1615" s="1743" t="s">
        <v>87</v>
      </c>
      <c r="AS1615" s="2135"/>
      <c r="AT1615" s="2135"/>
      <c r="AU1615" s="1212">
        <v>0.33333333333333331</v>
      </c>
      <c r="AV1615" s="1212">
        <v>0.33333333333333331</v>
      </c>
      <c r="AW1615" s="1212">
        <v>0.33333333333333331</v>
      </c>
      <c r="AX1615" s="1212"/>
      <c r="AY1615" s="1212"/>
      <c r="AZ1615" s="1212"/>
      <c r="BA1615" s="1212"/>
      <c r="BB1615" s="1212"/>
      <c r="BC1615" s="1212"/>
      <c r="BD1615" s="1212"/>
      <c r="BE1615" s="1212"/>
      <c r="BF1615" s="2126">
        <v>0</v>
      </c>
      <c r="BG1615" s="2126">
        <v>0</v>
      </c>
      <c r="BH1615" s="2126">
        <v>0</v>
      </c>
      <c r="BI1615" s="2126">
        <v>0</v>
      </c>
      <c r="BJ1615" s="2126">
        <v>0</v>
      </c>
      <c r="BK1615" s="2126">
        <v>0</v>
      </c>
      <c r="BL1615" s="2126">
        <v>0</v>
      </c>
      <c r="BM1615" s="2126">
        <v>0</v>
      </c>
      <c r="BN1615" s="2126">
        <v>0</v>
      </c>
      <c r="BO1615" s="2126">
        <v>0</v>
      </c>
      <c r="BP1615" s="2126">
        <v>0</v>
      </c>
      <c r="BQ1615" s="2126">
        <v>0</v>
      </c>
      <c r="BR1615" s="2126">
        <v>0</v>
      </c>
    </row>
    <row r="1616" spans="1:70" s="1765" customFormat="1" ht="66">
      <c r="A1616" s="1272">
        <v>7000</v>
      </c>
      <c r="B1616" s="971" t="s">
        <v>2420</v>
      </c>
      <c r="C1616" s="1272">
        <v>7400</v>
      </c>
      <c r="D1616" s="971" t="s">
        <v>1316</v>
      </c>
      <c r="E1616" s="971" t="s">
        <v>2656</v>
      </c>
      <c r="F1616" s="971" t="s">
        <v>2569</v>
      </c>
      <c r="G1616" s="971" t="s">
        <v>2657</v>
      </c>
      <c r="H1616" s="971" t="s">
        <v>2570</v>
      </c>
      <c r="I1616" s="1273" t="s">
        <v>2658</v>
      </c>
      <c r="J1616" s="971" t="s">
        <v>124</v>
      </c>
      <c r="K1616" s="971" t="s">
        <v>1747</v>
      </c>
      <c r="L1616" s="971" t="s">
        <v>6606</v>
      </c>
      <c r="M1616" s="971" t="s">
        <v>606</v>
      </c>
      <c r="N1616" s="971" t="s">
        <v>488</v>
      </c>
      <c r="O1616" s="971" t="s">
        <v>518</v>
      </c>
      <c r="P1616" s="971"/>
      <c r="Q1616" s="971" t="s">
        <v>2572</v>
      </c>
      <c r="R1616" s="1266" t="s">
        <v>2659</v>
      </c>
      <c r="S1616" s="2106">
        <v>669.14498141263937</v>
      </c>
      <c r="T1616" s="1266" t="s">
        <v>136</v>
      </c>
      <c r="U1616" s="1742">
        <v>0.56041666666666667</v>
      </c>
      <c r="V1616" s="1742">
        <v>1.9614583333333333</v>
      </c>
      <c r="W1616" s="1742">
        <v>49.395125</v>
      </c>
      <c r="X1616" s="1742">
        <v>77.264645833333333</v>
      </c>
      <c r="Y1616" s="2106">
        <v>128.62122916666667</v>
      </c>
      <c r="Z1616" s="2106">
        <v>375</v>
      </c>
      <c r="AA1616" s="2106">
        <v>1312.5</v>
      </c>
      <c r="AB1616" s="2106">
        <v>33052.5</v>
      </c>
      <c r="AC1616" s="2106">
        <v>51701.25</v>
      </c>
      <c r="AD1616" s="1744">
        <v>86066.25</v>
      </c>
      <c r="AE1616" s="2126">
        <v>1</v>
      </c>
      <c r="AF1616" s="2126">
        <v>669.14498141263937</v>
      </c>
      <c r="AG1616" s="1212">
        <v>1</v>
      </c>
      <c r="AH1616" s="1212">
        <v>0</v>
      </c>
      <c r="AI1616" s="1212">
        <v>0</v>
      </c>
      <c r="AJ1616" s="1212">
        <v>1</v>
      </c>
      <c r="AK1616" s="2126">
        <v>86066.25</v>
      </c>
      <c r="AL1616" s="2126">
        <v>0</v>
      </c>
      <c r="AM1616" s="2126">
        <v>0</v>
      </c>
      <c r="AN1616" s="2126">
        <v>86066.25</v>
      </c>
      <c r="AO1616" s="1743" t="s">
        <v>85</v>
      </c>
      <c r="AP1616" s="1743"/>
      <c r="AQ1616" s="1764">
        <v>2014</v>
      </c>
      <c r="AR1616" s="1743" t="s">
        <v>87</v>
      </c>
      <c r="AS1616" s="2135"/>
      <c r="AT1616" s="2135"/>
      <c r="AU1616" s="1212">
        <v>0.33333333333333331</v>
      </c>
      <c r="AV1616" s="1212">
        <v>0.33333333333333331</v>
      </c>
      <c r="AW1616" s="1212">
        <v>0.33333333333333331</v>
      </c>
      <c r="AX1616" s="1212"/>
      <c r="AY1616" s="1212"/>
      <c r="AZ1616" s="1212"/>
      <c r="BA1616" s="1212"/>
      <c r="BB1616" s="1212"/>
      <c r="BC1616" s="1212"/>
      <c r="BD1616" s="1212"/>
      <c r="BE1616" s="1212"/>
      <c r="BF1616" s="2126">
        <v>0</v>
      </c>
      <c r="BG1616" s="2126">
        <v>0</v>
      </c>
      <c r="BH1616" s="2126">
        <v>28688.75</v>
      </c>
      <c r="BI1616" s="2126">
        <v>28688.75</v>
      </c>
      <c r="BJ1616" s="2126">
        <v>28688.75</v>
      </c>
      <c r="BK1616" s="2126">
        <v>0</v>
      </c>
      <c r="BL1616" s="2126">
        <v>0</v>
      </c>
      <c r="BM1616" s="2126">
        <v>0</v>
      </c>
      <c r="BN1616" s="2126">
        <v>0</v>
      </c>
      <c r="BO1616" s="2126">
        <v>0</v>
      </c>
      <c r="BP1616" s="2126">
        <v>0</v>
      </c>
      <c r="BQ1616" s="2126">
        <v>0</v>
      </c>
      <c r="BR1616" s="2126">
        <v>0</v>
      </c>
    </row>
    <row r="1617" spans="1:70" s="1765" customFormat="1" ht="66">
      <c r="A1617" s="1272">
        <v>7000</v>
      </c>
      <c r="B1617" s="971" t="s">
        <v>2420</v>
      </c>
      <c r="C1617" s="1272">
        <v>7400</v>
      </c>
      <c r="D1617" s="971" t="s">
        <v>1316</v>
      </c>
      <c r="E1617" s="971" t="s">
        <v>2656</v>
      </c>
      <c r="F1617" s="971" t="s">
        <v>2569</v>
      </c>
      <c r="G1617" s="971" t="s">
        <v>2657</v>
      </c>
      <c r="H1617" s="971" t="s">
        <v>2570</v>
      </c>
      <c r="I1617" s="1273" t="s">
        <v>2660</v>
      </c>
      <c r="J1617" s="971" t="s">
        <v>124</v>
      </c>
      <c r="K1617" s="971" t="s">
        <v>1747</v>
      </c>
      <c r="L1617" s="971" t="s">
        <v>6606</v>
      </c>
      <c r="M1617" s="971" t="s">
        <v>606</v>
      </c>
      <c r="N1617" s="971" t="s">
        <v>488</v>
      </c>
      <c r="O1617" s="971" t="s">
        <v>518</v>
      </c>
      <c r="P1617" s="971"/>
      <c r="Q1617" s="971" t="s">
        <v>2575</v>
      </c>
      <c r="R1617" s="1266" t="s">
        <v>2659</v>
      </c>
      <c r="S1617" s="2106">
        <v>669.14498141263937</v>
      </c>
      <c r="T1617" s="1266" t="s">
        <v>136</v>
      </c>
      <c r="U1617" s="1742">
        <v>0.56041666666666667</v>
      </c>
      <c r="V1617" s="1742">
        <v>1.9614583333333333</v>
      </c>
      <c r="W1617" s="1742">
        <v>49.395125</v>
      </c>
      <c r="X1617" s="1742">
        <v>77.264645833333333</v>
      </c>
      <c r="Y1617" s="2106">
        <v>128.62122916666667</v>
      </c>
      <c r="Z1617" s="2106">
        <v>375</v>
      </c>
      <c r="AA1617" s="2106">
        <v>1312.5</v>
      </c>
      <c r="AB1617" s="2106">
        <v>33052.5</v>
      </c>
      <c r="AC1617" s="2106">
        <v>51701.25</v>
      </c>
      <c r="AD1617" s="1744">
        <v>86066.25</v>
      </c>
      <c r="AE1617" s="2126">
        <v>1</v>
      </c>
      <c r="AF1617" s="2126">
        <v>669.14498141263937</v>
      </c>
      <c r="AG1617" s="1212">
        <v>1</v>
      </c>
      <c r="AH1617" s="1212">
        <v>0</v>
      </c>
      <c r="AI1617" s="1212">
        <v>0</v>
      </c>
      <c r="AJ1617" s="1212">
        <v>1</v>
      </c>
      <c r="AK1617" s="2126">
        <v>86066.25</v>
      </c>
      <c r="AL1617" s="2126">
        <v>0</v>
      </c>
      <c r="AM1617" s="2126">
        <v>0</v>
      </c>
      <c r="AN1617" s="2126">
        <v>86066.25</v>
      </c>
      <c r="AO1617" s="1743" t="s">
        <v>85</v>
      </c>
      <c r="AP1617" s="1743"/>
      <c r="AQ1617" s="1764">
        <v>2014</v>
      </c>
      <c r="AR1617" s="1743" t="s">
        <v>87</v>
      </c>
      <c r="AS1617" s="2135"/>
      <c r="AT1617" s="2135"/>
      <c r="AU1617" s="1212">
        <v>0.33333333333333331</v>
      </c>
      <c r="AV1617" s="1212">
        <v>0.33333333333333331</v>
      </c>
      <c r="AW1617" s="1212">
        <v>0.33333333333333331</v>
      </c>
      <c r="AX1617" s="1212"/>
      <c r="AY1617" s="1212"/>
      <c r="AZ1617" s="1212"/>
      <c r="BA1617" s="1212"/>
      <c r="BB1617" s="1212"/>
      <c r="BC1617" s="1212"/>
      <c r="BD1617" s="1212"/>
      <c r="BE1617" s="1212"/>
      <c r="BF1617" s="2126">
        <v>0</v>
      </c>
      <c r="BG1617" s="2126">
        <v>0</v>
      </c>
      <c r="BH1617" s="2126">
        <v>28688.75</v>
      </c>
      <c r="BI1617" s="2126">
        <v>28688.75</v>
      </c>
      <c r="BJ1617" s="2126">
        <v>28688.75</v>
      </c>
      <c r="BK1617" s="2126">
        <v>0</v>
      </c>
      <c r="BL1617" s="2126">
        <v>0</v>
      </c>
      <c r="BM1617" s="2126">
        <v>0</v>
      </c>
      <c r="BN1617" s="2126">
        <v>0</v>
      </c>
      <c r="BO1617" s="2126">
        <v>0</v>
      </c>
      <c r="BP1617" s="2126">
        <v>0</v>
      </c>
      <c r="BQ1617" s="2126">
        <v>0</v>
      </c>
      <c r="BR1617" s="2126">
        <v>0</v>
      </c>
    </row>
    <row r="1618" spans="1:70" s="1765" customFormat="1" ht="33">
      <c r="A1618" s="1272">
        <v>7000</v>
      </c>
      <c r="B1618" s="971" t="s">
        <v>2420</v>
      </c>
      <c r="C1618" s="1272">
        <v>7400</v>
      </c>
      <c r="D1618" s="971" t="s">
        <v>1316</v>
      </c>
      <c r="E1618" s="971" t="s">
        <v>2656</v>
      </c>
      <c r="F1618" s="971" t="s">
        <v>2569</v>
      </c>
      <c r="G1618" s="971" t="s">
        <v>2657</v>
      </c>
      <c r="H1618" s="971" t="s">
        <v>2570</v>
      </c>
      <c r="I1618" s="1273" t="s">
        <v>2661</v>
      </c>
      <c r="J1618" s="971" t="s">
        <v>124</v>
      </c>
      <c r="K1618" s="971" t="s">
        <v>140</v>
      </c>
      <c r="L1618" s="971" t="s">
        <v>2909</v>
      </c>
      <c r="M1618" s="971" t="s">
        <v>140</v>
      </c>
      <c r="N1618" s="971" t="s">
        <v>141</v>
      </c>
      <c r="O1618" s="971" t="s">
        <v>142</v>
      </c>
      <c r="P1618" s="971"/>
      <c r="Q1618" s="971" t="s">
        <v>2578</v>
      </c>
      <c r="R1618" s="1266" t="s">
        <v>2659</v>
      </c>
      <c r="S1618" s="2106">
        <v>669.14498141263937</v>
      </c>
      <c r="T1618" s="1266" t="s">
        <v>136</v>
      </c>
      <c r="U1618" s="1742">
        <v>0</v>
      </c>
      <c r="V1618" s="1742">
        <v>0</v>
      </c>
      <c r="W1618" s="1742">
        <v>0</v>
      </c>
      <c r="X1618" s="1742">
        <v>0</v>
      </c>
      <c r="Y1618" s="2106">
        <v>0</v>
      </c>
      <c r="Z1618" s="2106">
        <v>0</v>
      </c>
      <c r="AA1618" s="2106">
        <v>0</v>
      </c>
      <c r="AB1618" s="2106">
        <v>0</v>
      </c>
      <c r="AC1618" s="2106">
        <v>0</v>
      </c>
      <c r="AD1618" s="1744">
        <v>0</v>
      </c>
      <c r="AE1618" s="2126">
        <v>0</v>
      </c>
      <c r="AF1618" s="2126">
        <v>0</v>
      </c>
      <c r="AG1618" s="1212">
        <v>1</v>
      </c>
      <c r="AH1618" s="1212">
        <v>0</v>
      </c>
      <c r="AI1618" s="1212">
        <v>0</v>
      </c>
      <c r="AJ1618" s="1212">
        <v>1</v>
      </c>
      <c r="AK1618" s="2126">
        <v>0</v>
      </c>
      <c r="AL1618" s="2126">
        <v>0</v>
      </c>
      <c r="AM1618" s="2126">
        <v>0</v>
      </c>
      <c r="AN1618" s="2126">
        <v>0</v>
      </c>
      <c r="AO1618" s="1743" t="s">
        <v>85</v>
      </c>
      <c r="AP1618" s="1743"/>
      <c r="AQ1618" s="1764">
        <v>2014</v>
      </c>
      <c r="AR1618" s="1743" t="s">
        <v>87</v>
      </c>
      <c r="AS1618" s="2135"/>
      <c r="AT1618" s="2135"/>
      <c r="AU1618" s="1212">
        <v>0.33333333333333331</v>
      </c>
      <c r="AV1618" s="1212">
        <v>0.33333333333333331</v>
      </c>
      <c r="AW1618" s="1212">
        <v>0.33333333333333331</v>
      </c>
      <c r="AX1618" s="1212"/>
      <c r="AY1618" s="1212"/>
      <c r="AZ1618" s="1212"/>
      <c r="BA1618" s="1212"/>
      <c r="BB1618" s="1212"/>
      <c r="BC1618" s="1212"/>
      <c r="BD1618" s="1212"/>
      <c r="BE1618" s="1212"/>
      <c r="BF1618" s="2126">
        <v>0</v>
      </c>
      <c r="BG1618" s="2126">
        <v>0</v>
      </c>
      <c r="BH1618" s="2126">
        <v>0</v>
      </c>
      <c r="BI1618" s="2126">
        <v>0</v>
      </c>
      <c r="BJ1618" s="2126">
        <v>0</v>
      </c>
      <c r="BK1618" s="2126">
        <v>0</v>
      </c>
      <c r="BL1618" s="2126">
        <v>0</v>
      </c>
      <c r="BM1618" s="2126">
        <v>0</v>
      </c>
      <c r="BN1618" s="2126">
        <v>0</v>
      </c>
      <c r="BO1618" s="2126">
        <v>0</v>
      </c>
      <c r="BP1618" s="2126">
        <v>0</v>
      </c>
      <c r="BQ1618" s="2126">
        <v>0</v>
      </c>
      <c r="BR1618" s="2126">
        <v>0</v>
      </c>
    </row>
    <row r="1619" spans="1:70" s="1765" customFormat="1" ht="49.5">
      <c r="A1619" s="1272">
        <v>7000</v>
      </c>
      <c r="B1619" s="971" t="s">
        <v>2420</v>
      </c>
      <c r="C1619" s="1272">
        <v>7400</v>
      </c>
      <c r="D1619" s="971" t="s">
        <v>1316</v>
      </c>
      <c r="E1619" s="971">
        <v>7470</v>
      </c>
      <c r="F1619" s="971" t="s">
        <v>2580</v>
      </c>
      <c r="G1619" s="971">
        <v>7470</v>
      </c>
      <c r="H1619" s="971" t="s">
        <v>2580</v>
      </c>
      <c r="I1619" s="1273"/>
      <c r="J1619" s="971"/>
      <c r="K1619" s="971" t="s">
        <v>255</v>
      </c>
      <c r="L1619" s="971" t="s">
        <v>2802</v>
      </c>
      <c r="M1619" s="971" t="s">
        <v>255</v>
      </c>
      <c r="N1619" s="971" t="s">
        <v>83</v>
      </c>
      <c r="O1619" s="971" t="s">
        <v>256</v>
      </c>
      <c r="P1619" s="971"/>
      <c r="Q1619" s="971" t="s">
        <v>2662</v>
      </c>
      <c r="R1619" s="1266"/>
      <c r="S1619" s="2106">
        <v>0</v>
      </c>
      <c r="T1619" s="1266" t="s">
        <v>136</v>
      </c>
      <c r="U1619" s="1742">
        <v>4.4491883296460179E-2</v>
      </c>
      <c r="V1619" s="1742">
        <v>0.1701</v>
      </c>
      <c r="W1619" s="1742">
        <v>3.92151459375</v>
      </c>
      <c r="X1619" s="1742">
        <v>0.68180304577546291</v>
      </c>
      <c r="Y1619" s="2106">
        <v>4.7480795457754628</v>
      </c>
      <c r="Z1619" s="2106">
        <v>0</v>
      </c>
      <c r="AA1619" s="2106">
        <v>0</v>
      </c>
      <c r="AB1619" s="2106">
        <v>0</v>
      </c>
      <c r="AC1619" s="2106">
        <v>0</v>
      </c>
      <c r="AD1619" s="1744">
        <v>0</v>
      </c>
      <c r="AE1619" s="2126">
        <v>0</v>
      </c>
      <c r="AF1619" s="2126">
        <v>0</v>
      </c>
      <c r="AG1619" s="1212">
        <v>1</v>
      </c>
      <c r="AH1619" s="1212">
        <v>0</v>
      </c>
      <c r="AI1619" s="1212">
        <v>0</v>
      </c>
      <c r="AJ1619" s="1212">
        <v>1</v>
      </c>
      <c r="AK1619" s="2126">
        <v>0</v>
      </c>
      <c r="AL1619" s="2126">
        <v>0</v>
      </c>
      <c r="AM1619" s="2126">
        <v>0</v>
      </c>
      <c r="AN1619" s="2126">
        <v>0</v>
      </c>
      <c r="AO1619" s="1743" t="s">
        <v>85</v>
      </c>
      <c r="AP1619" s="1743"/>
      <c r="AQ1619" s="1764">
        <v>2014</v>
      </c>
      <c r="AR1619" s="1743" t="s">
        <v>87</v>
      </c>
      <c r="AS1619" s="2135"/>
      <c r="AT1619" s="2135"/>
      <c r="AU1619" s="1212">
        <v>0.33333333333333331</v>
      </c>
      <c r="AV1619" s="1212">
        <v>0.33333333333333331</v>
      </c>
      <c r="AW1619" s="1212">
        <v>0.33333333333333331</v>
      </c>
      <c r="AX1619" s="1212"/>
      <c r="AY1619" s="1212"/>
      <c r="AZ1619" s="1212"/>
      <c r="BA1619" s="1212"/>
      <c r="BB1619" s="1212"/>
      <c r="BC1619" s="1212"/>
      <c r="BD1619" s="1212"/>
      <c r="BE1619" s="1212"/>
      <c r="BF1619" s="2126">
        <v>0</v>
      </c>
      <c r="BG1619" s="2126">
        <v>0</v>
      </c>
      <c r="BH1619" s="2126">
        <v>0</v>
      </c>
      <c r="BI1619" s="2126">
        <v>0</v>
      </c>
      <c r="BJ1619" s="2126">
        <v>0</v>
      </c>
      <c r="BK1619" s="2126">
        <v>0</v>
      </c>
      <c r="BL1619" s="2126">
        <v>0</v>
      </c>
      <c r="BM1619" s="2126">
        <v>0</v>
      </c>
      <c r="BN1619" s="2126">
        <v>0</v>
      </c>
      <c r="BO1619" s="2126">
        <v>0</v>
      </c>
      <c r="BP1619" s="2126">
        <v>0</v>
      </c>
      <c r="BQ1619" s="2126">
        <v>0</v>
      </c>
      <c r="BR1619" s="2126">
        <v>0</v>
      </c>
    </row>
    <row r="1620" spans="1:70" s="1765" customFormat="1" ht="49.5">
      <c r="A1620" s="1272">
        <v>7000</v>
      </c>
      <c r="B1620" s="971" t="s">
        <v>2420</v>
      </c>
      <c r="C1620" s="1272">
        <v>7400</v>
      </c>
      <c r="D1620" s="971" t="s">
        <v>1316</v>
      </c>
      <c r="E1620" s="971">
        <v>7470</v>
      </c>
      <c r="F1620" s="971" t="s">
        <v>2580</v>
      </c>
      <c r="G1620" s="971">
        <v>7470</v>
      </c>
      <c r="H1620" s="971" t="s">
        <v>2580</v>
      </c>
      <c r="I1620" s="1273"/>
      <c r="J1620" s="971"/>
      <c r="K1620" s="971" t="s">
        <v>255</v>
      </c>
      <c r="L1620" s="971" t="s">
        <v>2802</v>
      </c>
      <c r="M1620" s="971" t="s">
        <v>255</v>
      </c>
      <c r="N1620" s="971" t="s">
        <v>83</v>
      </c>
      <c r="O1620" s="971" t="s">
        <v>256</v>
      </c>
      <c r="P1620" s="971"/>
      <c r="Q1620" s="971" t="s">
        <v>2663</v>
      </c>
      <c r="R1620" s="1266"/>
      <c r="S1620" s="2106"/>
      <c r="T1620" s="1266" t="s">
        <v>136</v>
      </c>
      <c r="U1620" s="1742">
        <v>4.4491883296460179E-2</v>
      </c>
      <c r="V1620" s="1742">
        <v>0.1701</v>
      </c>
      <c r="W1620" s="1742">
        <v>3.92151459375</v>
      </c>
      <c r="X1620" s="1742">
        <v>0.68180304577546291</v>
      </c>
      <c r="Y1620" s="2106">
        <v>4.7480795457754628</v>
      </c>
      <c r="Z1620" s="2106">
        <v>0</v>
      </c>
      <c r="AA1620" s="2106">
        <v>0</v>
      </c>
      <c r="AB1620" s="2106">
        <v>0</v>
      </c>
      <c r="AC1620" s="2106">
        <v>0</v>
      </c>
      <c r="AD1620" s="1744">
        <v>0</v>
      </c>
      <c r="AE1620" s="2126">
        <v>0</v>
      </c>
      <c r="AF1620" s="2126">
        <v>0</v>
      </c>
      <c r="AG1620" s="1212">
        <v>1</v>
      </c>
      <c r="AH1620" s="1212">
        <v>0</v>
      </c>
      <c r="AI1620" s="1212">
        <v>0</v>
      </c>
      <c r="AJ1620" s="1212">
        <v>1</v>
      </c>
      <c r="AK1620" s="2126">
        <v>0</v>
      </c>
      <c r="AL1620" s="2126">
        <v>0</v>
      </c>
      <c r="AM1620" s="2126">
        <v>0</v>
      </c>
      <c r="AN1620" s="2126">
        <v>0</v>
      </c>
      <c r="AO1620" s="1743" t="s">
        <v>85</v>
      </c>
      <c r="AP1620" s="1743" t="s">
        <v>96</v>
      </c>
      <c r="AQ1620" s="1764">
        <v>2014</v>
      </c>
      <c r="AR1620" s="1743" t="s">
        <v>87</v>
      </c>
      <c r="AS1620" s="2135"/>
      <c r="AT1620" s="2135"/>
      <c r="AU1620" s="1212">
        <v>0.33333333333333331</v>
      </c>
      <c r="AV1620" s="1212">
        <v>0.33333333333333331</v>
      </c>
      <c r="AW1620" s="1212">
        <v>0.33333333333333331</v>
      </c>
      <c r="AX1620" s="1212"/>
      <c r="AY1620" s="1212"/>
      <c r="AZ1620" s="1212"/>
      <c r="BA1620" s="1212"/>
      <c r="BB1620" s="1212"/>
      <c r="BC1620" s="1212"/>
      <c r="BD1620" s="1212"/>
      <c r="BE1620" s="1212"/>
      <c r="BF1620" s="2126">
        <v>0</v>
      </c>
      <c r="BG1620" s="2126">
        <v>0</v>
      </c>
      <c r="BH1620" s="2126">
        <v>0</v>
      </c>
      <c r="BI1620" s="2126">
        <v>0</v>
      </c>
      <c r="BJ1620" s="2126">
        <v>0</v>
      </c>
      <c r="BK1620" s="2126">
        <v>0</v>
      </c>
      <c r="BL1620" s="2126">
        <v>0</v>
      </c>
      <c r="BM1620" s="2126">
        <v>0</v>
      </c>
      <c r="BN1620" s="2126">
        <v>0</v>
      </c>
      <c r="BO1620" s="2126">
        <v>0</v>
      </c>
      <c r="BP1620" s="2126">
        <v>0</v>
      </c>
      <c r="BQ1620" s="2126">
        <v>0</v>
      </c>
      <c r="BR1620" s="2126">
        <v>0</v>
      </c>
    </row>
    <row r="1621" spans="1:70" s="1765" customFormat="1" ht="49.5">
      <c r="A1621" s="1272">
        <v>7000</v>
      </c>
      <c r="B1621" s="971" t="s">
        <v>2420</v>
      </c>
      <c r="C1621" s="1272">
        <v>7400</v>
      </c>
      <c r="D1621" s="971" t="s">
        <v>1316</v>
      </c>
      <c r="E1621" s="971">
        <v>7470</v>
      </c>
      <c r="F1621" s="971" t="s">
        <v>2580</v>
      </c>
      <c r="G1621" s="971">
        <v>7473</v>
      </c>
      <c r="H1621" s="971" t="s">
        <v>2581</v>
      </c>
      <c r="I1621" s="1273"/>
      <c r="J1621" s="971"/>
      <c r="K1621" s="971" t="s">
        <v>255</v>
      </c>
      <c r="L1621" s="971" t="s">
        <v>2802</v>
      </c>
      <c r="M1621" s="971" t="s">
        <v>255</v>
      </c>
      <c r="N1621" s="971" t="s">
        <v>83</v>
      </c>
      <c r="O1621" s="971" t="s">
        <v>256</v>
      </c>
      <c r="P1621" s="971"/>
      <c r="Q1621" s="971" t="s">
        <v>2664</v>
      </c>
      <c r="R1621" s="1266"/>
      <c r="S1621" s="2106">
        <v>5787.68</v>
      </c>
      <c r="T1621" s="1266" t="s">
        <v>136</v>
      </c>
      <c r="U1621" s="1742">
        <v>4.4491883296460179E-2</v>
      </c>
      <c r="V1621" s="1742">
        <v>0.1701</v>
      </c>
      <c r="W1621" s="1742">
        <v>3.92151459375</v>
      </c>
      <c r="X1621" s="1742">
        <v>0.68180304577546291</v>
      </c>
      <c r="Y1621" s="2106">
        <v>4.7480795457754628</v>
      </c>
      <c r="Z1621" s="2106">
        <v>257.50478311725664</v>
      </c>
      <c r="AA1621" s="2106">
        <v>984.48436800000002</v>
      </c>
      <c r="AB1621" s="2106">
        <v>22696.471583955001</v>
      </c>
      <c r="AC1621" s="2106">
        <v>3946.0578519737314</v>
      </c>
      <c r="AD1621" s="1744">
        <v>27627.013803928734</v>
      </c>
      <c r="AE1621" s="2126">
        <v>0</v>
      </c>
      <c r="AF1621" s="2126">
        <v>0</v>
      </c>
      <c r="AG1621" s="1212">
        <v>1</v>
      </c>
      <c r="AH1621" s="1212">
        <v>0</v>
      </c>
      <c r="AI1621" s="1212">
        <v>0</v>
      </c>
      <c r="AJ1621" s="1212">
        <v>1</v>
      </c>
      <c r="AK1621" s="2126">
        <v>27627.013803928734</v>
      </c>
      <c r="AL1621" s="2126">
        <v>0</v>
      </c>
      <c r="AM1621" s="2126">
        <v>0</v>
      </c>
      <c r="AN1621" s="2126">
        <v>27627.013803928734</v>
      </c>
      <c r="AO1621" s="1743" t="s">
        <v>85</v>
      </c>
      <c r="AP1621" s="1743"/>
      <c r="AQ1621" s="1764">
        <v>2014</v>
      </c>
      <c r="AR1621" s="1743" t="s">
        <v>87</v>
      </c>
      <c r="AS1621" s="2135"/>
      <c r="AT1621" s="2135"/>
      <c r="AU1621" s="1212">
        <v>0.5</v>
      </c>
      <c r="AV1621" s="1212">
        <v>0.5</v>
      </c>
      <c r="AW1621" s="1212"/>
      <c r="AX1621" s="1212"/>
      <c r="AY1621" s="1212"/>
      <c r="AZ1621" s="1212"/>
      <c r="BA1621" s="1212"/>
      <c r="BB1621" s="1212"/>
      <c r="BC1621" s="1212"/>
      <c r="BD1621" s="1212"/>
      <c r="BE1621" s="1212"/>
      <c r="BF1621" s="2126">
        <v>0</v>
      </c>
      <c r="BG1621" s="2126">
        <v>0</v>
      </c>
      <c r="BH1621" s="2126">
        <v>13813.506901964367</v>
      </c>
      <c r="BI1621" s="2126">
        <v>13813.506901964367</v>
      </c>
      <c r="BJ1621" s="2126">
        <v>0</v>
      </c>
      <c r="BK1621" s="2126">
        <v>0</v>
      </c>
      <c r="BL1621" s="2126">
        <v>0</v>
      </c>
      <c r="BM1621" s="2126">
        <v>0</v>
      </c>
      <c r="BN1621" s="2126">
        <v>0</v>
      </c>
      <c r="BO1621" s="2126">
        <v>0</v>
      </c>
      <c r="BP1621" s="2126">
        <v>0</v>
      </c>
      <c r="BQ1621" s="2126">
        <v>0</v>
      </c>
      <c r="BR1621" s="2126">
        <v>0</v>
      </c>
    </row>
    <row r="1622" spans="1:70" s="1765" customFormat="1" ht="49.5">
      <c r="A1622" s="1272">
        <v>7000</v>
      </c>
      <c r="B1622" s="971" t="s">
        <v>2420</v>
      </c>
      <c r="C1622" s="1272">
        <v>7400</v>
      </c>
      <c r="D1622" s="971" t="s">
        <v>1316</v>
      </c>
      <c r="E1622" s="971">
        <v>7470</v>
      </c>
      <c r="F1622" s="971" t="s">
        <v>2580</v>
      </c>
      <c r="G1622" s="971">
        <v>7473</v>
      </c>
      <c r="H1622" s="971" t="s">
        <v>2581</v>
      </c>
      <c r="I1622" s="1273"/>
      <c r="J1622" s="971"/>
      <c r="K1622" s="971" t="s">
        <v>255</v>
      </c>
      <c r="L1622" s="971" t="s">
        <v>2802</v>
      </c>
      <c r="M1622" s="971" t="s">
        <v>255</v>
      </c>
      <c r="N1622" s="971" t="s">
        <v>83</v>
      </c>
      <c r="O1622" s="971" t="s">
        <v>256</v>
      </c>
      <c r="P1622" s="971"/>
      <c r="Q1622" s="971" t="s">
        <v>2665</v>
      </c>
      <c r="R1622" s="1266"/>
      <c r="S1622" s="2106">
        <v>5411.65</v>
      </c>
      <c r="T1622" s="1266" t="s">
        <v>136</v>
      </c>
      <c r="U1622" s="1742">
        <v>4.4491883296460179E-2</v>
      </c>
      <c r="V1622" s="1742">
        <v>0.1701</v>
      </c>
      <c r="W1622" s="1742">
        <v>3.92151459375</v>
      </c>
      <c r="X1622" s="1742">
        <v>0.68180304577546291</v>
      </c>
      <c r="Y1622" s="2106">
        <v>4.7480795457754628</v>
      </c>
      <c r="Z1622" s="2106">
        <v>240.77450024128871</v>
      </c>
      <c r="AA1622" s="2106">
        <v>920.52166499999998</v>
      </c>
      <c r="AB1622" s="2106">
        <v>21221.864451267185</v>
      </c>
      <c r="AC1622" s="2106">
        <v>3689.6794526707836</v>
      </c>
      <c r="AD1622" s="1744">
        <v>25832.065568937971</v>
      </c>
      <c r="AE1622" s="2126">
        <v>0</v>
      </c>
      <c r="AF1622" s="2126">
        <v>0</v>
      </c>
      <c r="AG1622" s="1212">
        <v>1</v>
      </c>
      <c r="AH1622" s="1212">
        <v>0</v>
      </c>
      <c r="AI1622" s="1212">
        <v>0</v>
      </c>
      <c r="AJ1622" s="1212">
        <v>1</v>
      </c>
      <c r="AK1622" s="2126">
        <v>25832.065568937971</v>
      </c>
      <c r="AL1622" s="2126">
        <v>0</v>
      </c>
      <c r="AM1622" s="2126">
        <v>0</v>
      </c>
      <c r="AN1622" s="2126">
        <v>25832.065568937971</v>
      </c>
      <c r="AO1622" s="1743" t="s">
        <v>85</v>
      </c>
      <c r="AP1622" s="1743"/>
      <c r="AQ1622" s="1764">
        <v>2014</v>
      </c>
      <c r="AR1622" s="1743" t="s">
        <v>87</v>
      </c>
      <c r="AS1622" s="2135"/>
      <c r="AT1622" s="2135"/>
      <c r="AU1622" s="1212">
        <v>0.5</v>
      </c>
      <c r="AV1622" s="1212">
        <v>0.5</v>
      </c>
      <c r="AW1622" s="1212"/>
      <c r="AX1622" s="1212"/>
      <c r="AY1622" s="1212"/>
      <c r="AZ1622" s="1212"/>
      <c r="BA1622" s="1212"/>
      <c r="BB1622" s="1212"/>
      <c r="BC1622" s="1212"/>
      <c r="BD1622" s="1212"/>
      <c r="BE1622" s="1212"/>
      <c r="BF1622" s="2126">
        <v>0</v>
      </c>
      <c r="BG1622" s="2126">
        <v>0</v>
      </c>
      <c r="BH1622" s="2126">
        <v>12916.032784468985</v>
      </c>
      <c r="BI1622" s="2126">
        <v>12916.032784468985</v>
      </c>
      <c r="BJ1622" s="2126">
        <v>0</v>
      </c>
      <c r="BK1622" s="2126">
        <v>0</v>
      </c>
      <c r="BL1622" s="2126">
        <v>0</v>
      </c>
      <c r="BM1622" s="2126">
        <v>0</v>
      </c>
      <c r="BN1622" s="2126">
        <v>0</v>
      </c>
      <c r="BO1622" s="2126">
        <v>0</v>
      </c>
      <c r="BP1622" s="2126">
        <v>0</v>
      </c>
      <c r="BQ1622" s="2126">
        <v>0</v>
      </c>
      <c r="BR1622" s="2126">
        <v>0</v>
      </c>
    </row>
    <row r="1623" spans="1:70" s="1772" customFormat="1">
      <c r="A1623" s="1317">
        <v>8000</v>
      </c>
      <c r="B1623" s="1318" t="s">
        <v>2666</v>
      </c>
      <c r="C1623" s="1317"/>
      <c r="D1623" s="1318"/>
      <c r="E1623" s="1318"/>
      <c r="F1623" s="1318"/>
      <c r="G1623" s="1318"/>
      <c r="H1623" s="1318"/>
      <c r="I1623" s="1318"/>
      <c r="J1623" s="1318"/>
      <c r="K1623" s="1318"/>
      <c r="L1623" s="1318"/>
      <c r="M1623" s="1318"/>
      <c r="N1623" s="1318"/>
      <c r="O1623" s="1318"/>
      <c r="P1623" s="1318"/>
      <c r="Q1623" s="1318"/>
      <c r="R1623" s="1320"/>
      <c r="S1623" s="2105"/>
      <c r="T1623" s="1320"/>
      <c r="U1623" s="1321"/>
      <c r="V1623" s="1321"/>
      <c r="W1623" s="1321"/>
      <c r="X1623" s="1321"/>
      <c r="Y1623" s="2105"/>
      <c r="Z1623" s="2105"/>
      <c r="AA1623" s="2105"/>
      <c r="AB1623" s="2105"/>
      <c r="AC1623" s="2105"/>
      <c r="AD1623" s="1319"/>
      <c r="AE1623" s="2125"/>
      <c r="AF1623" s="2125"/>
      <c r="AG1623" s="1322"/>
      <c r="AH1623" s="1322"/>
      <c r="AI1623" s="1322"/>
      <c r="AJ1623" s="1322"/>
      <c r="AK1623" s="2125"/>
      <c r="AL1623" s="2125"/>
      <c r="AM1623" s="2125"/>
      <c r="AN1623" s="2125"/>
      <c r="AO1623" s="1319"/>
      <c r="AP1623" s="1319"/>
      <c r="AQ1623" s="1763"/>
      <c r="AR1623" s="1319"/>
      <c r="AS1623" s="1322"/>
      <c r="AT1623" s="1322"/>
      <c r="AU1623" s="1322"/>
      <c r="AV1623" s="1322"/>
      <c r="AW1623" s="1322"/>
      <c r="AX1623" s="1322"/>
      <c r="AY1623" s="1322"/>
      <c r="AZ1623" s="1322"/>
      <c r="BA1623" s="1322"/>
      <c r="BB1623" s="1322"/>
      <c r="BC1623" s="1322"/>
      <c r="BD1623" s="1322"/>
      <c r="BE1623" s="1322"/>
      <c r="BF1623" s="2149"/>
      <c r="BG1623" s="2149"/>
      <c r="BH1623" s="2125"/>
      <c r="BI1623" s="2125"/>
      <c r="BJ1623" s="2125"/>
      <c r="BK1623" s="2125"/>
      <c r="BL1623" s="2125"/>
      <c r="BM1623" s="2125"/>
      <c r="BN1623" s="2125"/>
      <c r="BO1623" s="2125"/>
      <c r="BP1623" s="2125"/>
      <c r="BQ1623" s="2125"/>
      <c r="BR1623" s="2125"/>
    </row>
    <row r="1624" spans="1:70" s="1772" customFormat="1">
      <c r="A1624" s="1802">
        <v>8000</v>
      </c>
      <c r="B1624" s="1803" t="s">
        <v>2666</v>
      </c>
      <c r="C1624" s="1802">
        <v>8100</v>
      </c>
      <c r="D1624" s="1803" t="s">
        <v>2666</v>
      </c>
      <c r="E1624" s="1803"/>
      <c r="F1624" s="1803"/>
      <c r="G1624" s="1803"/>
      <c r="H1624" s="1803"/>
      <c r="I1624" s="1803"/>
      <c r="J1624" s="1803"/>
      <c r="K1624" s="1803"/>
      <c r="L1624" s="1803"/>
      <c r="M1624" s="1803"/>
      <c r="N1624" s="1803"/>
      <c r="O1624" s="1803"/>
      <c r="P1624" s="1803"/>
      <c r="Q1624" s="1803"/>
      <c r="R1624" s="1774"/>
      <c r="S1624" s="2107"/>
      <c r="T1624" s="1774"/>
      <c r="U1624" s="1776"/>
      <c r="V1624" s="1776"/>
      <c r="W1624" s="1776"/>
      <c r="X1624" s="1776"/>
      <c r="Y1624" s="2107"/>
      <c r="Z1624" s="2107"/>
      <c r="AA1624" s="2107"/>
      <c r="AB1624" s="2107"/>
      <c r="AC1624" s="2107"/>
      <c r="AD1624" s="1775"/>
      <c r="AE1624" s="2127"/>
      <c r="AF1624" s="2127"/>
      <c r="AG1624" s="1777"/>
      <c r="AH1624" s="1777"/>
      <c r="AI1624" s="1777"/>
      <c r="AJ1624" s="1777"/>
      <c r="AK1624" s="2127"/>
      <c r="AL1624" s="2127"/>
      <c r="AM1624" s="2127"/>
      <c r="AN1624" s="2127"/>
      <c r="AO1624" s="1775"/>
      <c r="AP1624" s="1775"/>
      <c r="AQ1624" s="1773"/>
      <c r="AR1624" s="1775"/>
      <c r="AS1624" s="1777"/>
      <c r="AT1624" s="1777"/>
      <c r="AU1624" s="1777"/>
      <c r="AV1624" s="1777"/>
      <c r="AW1624" s="1777"/>
      <c r="AX1624" s="1777"/>
      <c r="AY1624" s="1777"/>
      <c r="AZ1624" s="1777"/>
      <c r="BA1624" s="1777"/>
      <c r="BB1624" s="1777"/>
      <c r="BC1624" s="1777"/>
      <c r="BD1624" s="1777"/>
      <c r="BE1624" s="1777"/>
      <c r="BF1624" s="2127"/>
      <c r="BG1624" s="2127"/>
      <c r="BH1624" s="2127"/>
      <c r="BI1624" s="2127"/>
      <c r="BJ1624" s="2127"/>
      <c r="BK1624" s="2127"/>
      <c r="BL1624" s="2127"/>
      <c r="BM1624" s="2127"/>
      <c r="BN1624" s="2127"/>
      <c r="BO1624" s="2127"/>
      <c r="BP1624" s="2127"/>
      <c r="BQ1624" s="2127"/>
      <c r="BR1624" s="2127"/>
    </row>
    <row r="1625" spans="1:70" s="1765" customFormat="1" ht="33">
      <c r="A1625" s="1272">
        <v>8000</v>
      </c>
      <c r="B1625" s="971" t="s">
        <v>2666</v>
      </c>
      <c r="C1625" s="1272">
        <v>8100</v>
      </c>
      <c r="D1625" s="971" t="s">
        <v>2666</v>
      </c>
      <c r="E1625" s="971">
        <v>8110</v>
      </c>
      <c r="F1625" s="971" t="s">
        <v>2667</v>
      </c>
      <c r="G1625" s="971">
        <v>8111</v>
      </c>
      <c r="H1625" s="971" t="s">
        <v>2668</v>
      </c>
      <c r="I1625" s="1273"/>
      <c r="J1625" s="971"/>
      <c r="K1625" s="971"/>
      <c r="L1625" s="971" t="s">
        <v>2669</v>
      </c>
      <c r="M1625" s="971" t="s">
        <v>2669</v>
      </c>
      <c r="N1625" s="971" t="s">
        <v>2669</v>
      </c>
      <c r="O1625" s="971" t="s">
        <v>2669</v>
      </c>
      <c r="P1625" s="971"/>
      <c r="Q1625" s="971" t="s">
        <v>2670</v>
      </c>
      <c r="R1625" s="1266"/>
      <c r="S1625" s="2106"/>
      <c r="T1625" s="1266"/>
      <c r="U1625" s="1742"/>
      <c r="V1625" s="1742"/>
      <c r="W1625" s="1742"/>
      <c r="X1625" s="1742"/>
      <c r="Y1625" s="2106"/>
      <c r="Z1625" s="2106"/>
      <c r="AA1625" s="2106"/>
      <c r="AB1625" s="2106"/>
      <c r="AC1625" s="2106"/>
      <c r="AD1625" s="1744">
        <v>1712000</v>
      </c>
      <c r="AE1625" s="2126">
        <v>0</v>
      </c>
      <c r="AF1625" s="2126">
        <v>0</v>
      </c>
      <c r="AG1625" s="1212">
        <v>0.98305466206380498</v>
      </c>
      <c r="AH1625" s="1212">
        <v>1.6945337936195015E-2</v>
      </c>
      <c r="AI1625" s="1212">
        <v>0</v>
      </c>
      <c r="AJ1625" s="1212">
        <v>1</v>
      </c>
      <c r="AK1625" s="2126">
        <v>1682989.5814532342</v>
      </c>
      <c r="AL1625" s="2126">
        <v>29010.418546765864</v>
      </c>
      <c r="AM1625" s="2126">
        <v>0</v>
      </c>
      <c r="AN1625" s="2126">
        <v>1712000</v>
      </c>
      <c r="AO1625" s="1743" t="s">
        <v>85</v>
      </c>
      <c r="AP1625" s="1743" t="s">
        <v>90</v>
      </c>
      <c r="AQ1625" s="1764">
        <v>2019</v>
      </c>
      <c r="AR1625" s="1743" t="s">
        <v>2669</v>
      </c>
      <c r="AS1625" s="2135">
        <v>0.2</v>
      </c>
      <c r="AT1625" s="2135">
        <v>0.25</v>
      </c>
      <c r="AU1625" s="1212">
        <v>3.7905413443114662E-2</v>
      </c>
      <c r="AV1625" s="1212">
        <v>5.6937646838900999E-2</v>
      </c>
      <c r="AW1625" s="1212">
        <v>3.7905413443114662E-2</v>
      </c>
      <c r="AX1625" s="1212">
        <v>0.09</v>
      </c>
      <c r="AY1625" s="1212">
        <v>7.0000000000000007E-2</v>
      </c>
      <c r="AZ1625" s="1212">
        <v>6.5323927146662589E-2</v>
      </c>
      <c r="BA1625" s="1212">
        <v>5.5633356275252045E-2</v>
      </c>
      <c r="BB1625" s="1212">
        <v>4.7596249845991749E-2</v>
      </c>
      <c r="BC1625" s="1212">
        <v>0.02</v>
      </c>
      <c r="BD1625" s="1212">
        <v>0.02</v>
      </c>
      <c r="BE1625" s="1212">
        <v>0.05</v>
      </c>
      <c r="BF1625" s="2126">
        <v>342400</v>
      </c>
      <c r="BG1625" s="2126">
        <v>428000</v>
      </c>
      <c r="BH1625" s="2126">
        <v>64894.067814612303</v>
      </c>
      <c r="BI1625" s="2126">
        <v>97477.251388198507</v>
      </c>
      <c r="BJ1625" s="2126">
        <v>64894.067814612303</v>
      </c>
      <c r="BK1625" s="2126">
        <v>154080</v>
      </c>
      <c r="BL1625" s="2126">
        <v>119840.00000000001</v>
      </c>
      <c r="BM1625" s="2126">
        <v>111834.56327508636</v>
      </c>
      <c r="BN1625" s="2126">
        <v>95244.305943231506</v>
      </c>
      <c r="BO1625" s="2126">
        <v>81484.779736337878</v>
      </c>
      <c r="BP1625" s="2126">
        <v>34240</v>
      </c>
      <c r="BQ1625" s="2126">
        <v>34240</v>
      </c>
      <c r="BR1625" s="2126">
        <v>85600</v>
      </c>
    </row>
    <row r="1626" spans="1:70" s="1765" customFormat="1" ht="33">
      <c r="A1626" s="1272">
        <v>8000</v>
      </c>
      <c r="B1626" s="971" t="s">
        <v>2666</v>
      </c>
      <c r="C1626" s="1272">
        <v>8100</v>
      </c>
      <c r="D1626" s="971" t="s">
        <v>2666</v>
      </c>
      <c r="E1626" s="971">
        <v>8110</v>
      </c>
      <c r="F1626" s="971" t="s">
        <v>2667</v>
      </c>
      <c r="G1626" s="971">
        <v>8111</v>
      </c>
      <c r="H1626" s="971" t="s">
        <v>2668</v>
      </c>
      <c r="I1626" s="1273"/>
      <c r="J1626" s="971"/>
      <c r="K1626" s="971"/>
      <c r="L1626" s="971" t="s">
        <v>2669</v>
      </c>
      <c r="M1626" s="971" t="s">
        <v>2669</v>
      </c>
      <c r="N1626" s="971" t="s">
        <v>2669</v>
      </c>
      <c r="O1626" s="971" t="s">
        <v>2669</v>
      </c>
      <c r="P1626" s="971"/>
      <c r="Q1626" s="971" t="s">
        <v>2670</v>
      </c>
      <c r="R1626" s="1266"/>
      <c r="S1626" s="2106"/>
      <c r="T1626" s="1266"/>
      <c r="U1626" s="1742"/>
      <c r="V1626" s="1742"/>
      <c r="W1626" s="1742"/>
      <c r="X1626" s="1742"/>
      <c r="Y1626" s="2106"/>
      <c r="Z1626" s="2106"/>
      <c r="AA1626" s="2106"/>
      <c r="AB1626" s="2106"/>
      <c r="AC1626" s="2106"/>
      <c r="AD1626" s="1744">
        <v>3766032</v>
      </c>
      <c r="AE1626" s="2126">
        <v>0</v>
      </c>
      <c r="AF1626" s="2126">
        <v>0</v>
      </c>
      <c r="AG1626" s="1212">
        <v>0.98305466206380498</v>
      </c>
      <c r="AH1626" s="1212">
        <v>1.6945337936195015E-2</v>
      </c>
      <c r="AI1626" s="1212">
        <v>0</v>
      </c>
      <c r="AJ1626" s="1212">
        <v>1</v>
      </c>
      <c r="AK1626" s="2126">
        <v>3702215.3150814758</v>
      </c>
      <c r="AL1626" s="2126">
        <v>63816.684918524385</v>
      </c>
      <c r="AM1626" s="2126">
        <v>0</v>
      </c>
      <c r="AN1626" s="2126">
        <v>3766032</v>
      </c>
      <c r="AO1626" s="1743" t="s">
        <v>85</v>
      </c>
      <c r="AP1626" s="1743" t="s">
        <v>90</v>
      </c>
      <c r="AQ1626" s="1764" t="s">
        <v>108</v>
      </c>
      <c r="AR1626" s="1743" t="s">
        <v>2669</v>
      </c>
      <c r="AS1626" s="2135">
        <v>0.2</v>
      </c>
      <c r="AT1626" s="2135">
        <v>0.25</v>
      </c>
      <c r="AU1626" s="1212">
        <v>3.7905413443114662E-2</v>
      </c>
      <c r="AV1626" s="1212">
        <v>5.6937646838900999E-2</v>
      </c>
      <c r="AW1626" s="1212">
        <v>3.7905413443114662E-2</v>
      </c>
      <c r="AX1626" s="1212">
        <v>0.09</v>
      </c>
      <c r="AY1626" s="1212">
        <v>7.0000000000000007E-2</v>
      </c>
      <c r="AZ1626" s="1212">
        <v>6.5323927146662589E-2</v>
      </c>
      <c r="BA1626" s="1212">
        <v>5.5633356275252045E-2</v>
      </c>
      <c r="BB1626" s="1212">
        <v>4.7596249845991749E-2</v>
      </c>
      <c r="BC1626" s="1212">
        <v>0.02</v>
      </c>
      <c r="BD1626" s="1212">
        <v>0.02</v>
      </c>
      <c r="BE1626" s="1212">
        <v>0.05</v>
      </c>
      <c r="BF1626" s="2126">
        <v>753206.4</v>
      </c>
      <c r="BG1626" s="2126">
        <v>941508</v>
      </c>
      <c r="BH1626" s="2126">
        <v>142753</v>
      </c>
      <c r="BI1626" s="2126">
        <v>214429</v>
      </c>
      <c r="BJ1626" s="2126">
        <v>142753</v>
      </c>
      <c r="BK1626" s="2126">
        <v>338942.88</v>
      </c>
      <c r="BL1626" s="2126">
        <v>263622.24000000005</v>
      </c>
      <c r="BM1626" s="2126">
        <v>246012</v>
      </c>
      <c r="BN1626" s="2126">
        <v>209517</v>
      </c>
      <c r="BO1626" s="2126">
        <v>179249</v>
      </c>
      <c r="BP1626" s="2126">
        <v>75320.639999999999</v>
      </c>
      <c r="BQ1626" s="2126">
        <v>75320.639999999999</v>
      </c>
      <c r="BR1626" s="2126">
        <v>188301.6</v>
      </c>
    </row>
    <row r="1627" spans="1:70" s="1765" customFormat="1" ht="49.5">
      <c r="A1627" s="1272">
        <v>8000</v>
      </c>
      <c r="B1627" s="971" t="s">
        <v>2666</v>
      </c>
      <c r="C1627" s="1272">
        <v>8100</v>
      </c>
      <c r="D1627" s="971" t="s">
        <v>2666</v>
      </c>
      <c r="E1627" s="971">
        <v>8110</v>
      </c>
      <c r="F1627" s="971" t="s">
        <v>2667</v>
      </c>
      <c r="G1627" s="971">
        <v>8111</v>
      </c>
      <c r="H1627" s="971" t="s">
        <v>2668</v>
      </c>
      <c r="I1627" s="1273"/>
      <c r="J1627" s="971"/>
      <c r="K1627" s="971"/>
      <c r="L1627" s="971" t="s">
        <v>2669</v>
      </c>
      <c r="M1627" s="971" t="s">
        <v>2669</v>
      </c>
      <c r="N1627" s="971" t="s">
        <v>2669</v>
      </c>
      <c r="O1627" s="971" t="s">
        <v>2669</v>
      </c>
      <c r="P1627" s="971"/>
      <c r="Q1627" s="971" t="s">
        <v>2671</v>
      </c>
      <c r="R1627" s="1266"/>
      <c r="S1627" s="2106"/>
      <c r="T1627" s="1266"/>
      <c r="U1627" s="1742"/>
      <c r="V1627" s="1742"/>
      <c r="W1627" s="1742"/>
      <c r="X1627" s="1742"/>
      <c r="Y1627" s="2106"/>
      <c r="Z1627" s="2106"/>
      <c r="AA1627" s="2106"/>
      <c r="AB1627" s="2106"/>
      <c r="AC1627" s="2106"/>
      <c r="AD1627" s="1744">
        <v>2300000</v>
      </c>
      <c r="AE1627" s="2126">
        <v>0</v>
      </c>
      <c r="AF1627" s="2126">
        <v>0</v>
      </c>
      <c r="AG1627" s="1212">
        <v>0.98284071353217928</v>
      </c>
      <c r="AH1627" s="1212">
        <v>1.7159286467820722E-2</v>
      </c>
      <c r="AI1627" s="1212">
        <v>0</v>
      </c>
      <c r="AJ1627" s="1212">
        <v>1</v>
      </c>
      <c r="AK1627" s="2126">
        <v>2260533.6411240124</v>
      </c>
      <c r="AL1627" s="2126">
        <v>39466.358875987658</v>
      </c>
      <c r="AM1627" s="2126">
        <v>0</v>
      </c>
      <c r="AN1627" s="2126">
        <v>2300000</v>
      </c>
      <c r="AO1627" s="1743" t="s">
        <v>85</v>
      </c>
      <c r="AP1627" s="1743" t="s">
        <v>90</v>
      </c>
      <c r="AQ1627" s="1764">
        <v>2019</v>
      </c>
      <c r="AR1627" s="1743" t="s">
        <v>2669</v>
      </c>
      <c r="AS1627" s="2135">
        <v>0.2</v>
      </c>
      <c r="AT1627" s="2135">
        <v>0.25</v>
      </c>
      <c r="AU1627" s="1212">
        <v>3.7905413443114662E-2</v>
      </c>
      <c r="AV1627" s="1212">
        <v>5.6937646838900999E-2</v>
      </c>
      <c r="AW1627" s="1212">
        <v>3.7905413443114662E-2</v>
      </c>
      <c r="AX1627" s="1212">
        <v>0.09</v>
      </c>
      <c r="AY1627" s="1212">
        <v>7.0000000000000007E-2</v>
      </c>
      <c r="AZ1627" s="1212">
        <v>6.5323927146662589E-2</v>
      </c>
      <c r="BA1627" s="1212">
        <v>5.5633356275252045E-2</v>
      </c>
      <c r="BB1627" s="1212">
        <v>4.7596249845991749E-2</v>
      </c>
      <c r="BC1627" s="1212">
        <v>0.02</v>
      </c>
      <c r="BD1627" s="1212">
        <v>0.02</v>
      </c>
      <c r="BE1627" s="1212">
        <v>0.05</v>
      </c>
      <c r="BF1627" s="2126">
        <v>460000</v>
      </c>
      <c r="BG1627" s="2126">
        <v>575000</v>
      </c>
      <c r="BH1627" s="2126">
        <v>87182.450919163719</v>
      </c>
      <c r="BI1627" s="2126">
        <v>130956.5877294723</v>
      </c>
      <c r="BJ1627" s="2126">
        <v>87182.450919163719</v>
      </c>
      <c r="BK1627" s="2126">
        <v>207000</v>
      </c>
      <c r="BL1627" s="2126">
        <v>161000.00000000003</v>
      </c>
      <c r="BM1627" s="2126">
        <v>150245.03243732394</v>
      </c>
      <c r="BN1627" s="2126">
        <v>127956.71943307971</v>
      </c>
      <c r="BO1627" s="2126">
        <v>109471.37464578102</v>
      </c>
      <c r="BP1627" s="2126">
        <v>46000</v>
      </c>
      <c r="BQ1627" s="2126">
        <v>46000</v>
      </c>
      <c r="BR1627" s="2126">
        <v>115000</v>
      </c>
    </row>
    <row r="1628" spans="1:70" s="1765" customFormat="1" ht="33">
      <c r="A1628" s="1272">
        <v>8000</v>
      </c>
      <c r="B1628" s="971" t="s">
        <v>2666</v>
      </c>
      <c r="C1628" s="1272">
        <v>8100</v>
      </c>
      <c r="D1628" s="971" t="s">
        <v>2666</v>
      </c>
      <c r="E1628" s="971">
        <v>8110</v>
      </c>
      <c r="F1628" s="971" t="s">
        <v>2667</v>
      </c>
      <c r="G1628" s="971">
        <v>8111</v>
      </c>
      <c r="H1628" s="971" t="s">
        <v>2668</v>
      </c>
      <c r="I1628" s="1273"/>
      <c r="J1628" s="971"/>
      <c r="K1628" s="971"/>
      <c r="L1628" s="971" t="s">
        <v>2669</v>
      </c>
      <c r="M1628" s="971" t="s">
        <v>2669</v>
      </c>
      <c r="N1628" s="971" t="s">
        <v>2669</v>
      </c>
      <c r="O1628" s="971" t="s">
        <v>2669</v>
      </c>
      <c r="P1628" s="971"/>
      <c r="Q1628" s="971" t="s">
        <v>2672</v>
      </c>
      <c r="R1628" s="1266"/>
      <c r="S1628" s="2106"/>
      <c r="T1628" s="1266"/>
      <c r="U1628" s="1742"/>
      <c r="V1628" s="1742"/>
      <c r="W1628" s="1742"/>
      <c r="X1628" s="1742"/>
      <c r="Y1628" s="2106"/>
      <c r="Z1628" s="2106"/>
      <c r="AA1628" s="2106"/>
      <c r="AB1628" s="2106"/>
      <c r="AC1628" s="2106"/>
      <c r="AD1628" s="1744">
        <v>70800</v>
      </c>
      <c r="AE1628" s="2126">
        <v>0</v>
      </c>
      <c r="AF1628" s="2126">
        <v>0</v>
      </c>
      <c r="AG1628" s="1212">
        <v>0.98283376324550575</v>
      </c>
      <c r="AH1628" s="1212">
        <v>1.7166236754494246E-2</v>
      </c>
      <c r="AI1628" s="1212">
        <v>0</v>
      </c>
      <c r="AJ1628" s="1212">
        <v>1</v>
      </c>
      <c r="AK1628" s="2126">
        <v>69584.630437781801</v>
      </c>
      <c r="AL1628" s="2126">
        <v>1215.3695622181926</v>
      </c>
      <c r="AM1628" s="2126">
        <v>0</v>
      </c>
      <c r="AN1628" s="2126">
        <v>70800</v>
      </c>
      <c r="AO1628" s="1743" t="s">
        <v>85</v>
      </c>
      <c r="AP1628" s="1743" t="s">
        <v>90</v>
      </c>
      <c r="AQ1628" s="1764">
        <v>2021</v>
      </c>
      <c r="AR1628" s="1743" t="s">
        <v>2669</v>
      </c>
      <c r="AS1628" s="2135">
        <v>0.2</v>
      </c>
      <c r="AT1628" s="2135">
        <v>0.25</v>
      </c>
      <c r="AU1628" s="1212">
        <v>3.7905413443114662E-2</v>
      </c>
      <c r="AV1628" s="1212">
        <v>5.6937646838900999E-2</v>
      </c>
      <c r="AW1628" s="1212">
        <v>3.7905413443114662E-2</v>
      </c>
      <c r="AX1628" s="1212">
        <v>0.09</v>
      </c>
      <c r="AY1628" s="1212">
        <v>7.0000000000000007E-2</v>
      </c>
      <c r="AZ1628" s="1212">
        <v>6.5323927146662589E-2</v>
      </c>
      <c r="BA1628" s="1212">
        <v>5.5633356275252045E-2</v>
      </c>
      <c r="BB1628" s="1212">
        <v>4.7596249845991749E-2</v>
      </c>
      <c r="BC1628" s="1212">
        <v>0.02</v>
      </c>
      <c r="BD1628" s="1212">
        <v>0.02</v>
      </c>
      <c r="BE1628" s="1212">
        <v>0.05</v>
      </c>
      <c r="BF1628" s="2126">
        <v>14160</v>
      </c>
      <c r="BG1628" s="2126">
        <v>17700</v>
      </c>
      <c r="BH1628" s="2126">
        <v>2683.7032717725178</v>
      </c>
      <c r="BI1628" s="2126">
        <v>4031.1853961941906</v>
      </c>
      <c r="BJ1628" s="2126">
        <v>2683.7032717725178</v>
      </c>
      <c r="BK1628" s="2126">
        <v>6372</v>
      </c>
      <c r="BL1628" s="2126">
        <v>4956.0000000000009</v>
      </c>
      <c r="BM1628" s="2126">
        <v>4624.9340419837117</v>
      </c>
      <c r="BN1628" s="2126">
        <v>3938.8416242878448</v>
      </c>
      <c r="BO1628" s="2126">
        <v>3369.8144890962158</v>
      </c>
      <c r="BP1628" s="2126">
        <v>1416</v>
      </c>
      <c r="BQ1628" s="2126">
        <v>1416</v>
      </c>
      <c r="BR1628" s="2126">
        <v>3540</v>
      </c>
    </row>
    <row r="1629" spans="1:70" s="1765" customFormat="1" ht="33">
      <c r="A1629" s="1272">
        <v>8000</v>
      </c>
      <c r="B1629" s="971" t="s">
        <v>2666</v>
      </c>
      <c r="C1629" s="1272">
        <v>8100</v>
      </c>
      <c r="D1629" s="971" t="s">
        <v>2666</v>
      </c>
      <c r="E1629" s="971">
        <v>8110</v>
      </c>
      <c r="F1629" s="971" t="s">
        <v>2667</v>
      </c>
      <c r="G1629" s="971">
        <v>8111</v>
      </c>
      <c r="H1629" s="971" t="s">
        <v>2668</v>
      </c>
      <c r="I1629" s="1273"/>
      <c r="J1629" s="971"/>
      <c r="K1629" s="971"/>
      <c r="L1629" s="971" t="s">
        <v>2669</v>
      </c>
      <c r="M1629" s="971" t="s">
        <v>2669</v>
      </c>
      <c r="N1629" s="971" t="s">
        <v>2669</v>
      </c>
      <c r="O1629" s="971" t="s">
        <v>2669</v>
      </c>
      <c r="P1629" s="971"/>
      <c r="Q1629" s="971" t="s">
        <v>2673</v>
      </c>
      <c r="R1629" s="1266"/>
      <c r="S1629" s="2106"/>
      <c r="T1629" s="1266"/>
      <c r="U1629" s="1742"/>
      <c r="V1629" s="1742"/>
      <c r="W1629" s="1742"/>
      <c r="X1629" s="1742"/>
      <c r="Y1629" s="2106"/>
      <c r="Z1629" s="2106"/>
      <c r="AA1629" s="2106"/>
      <c r="AB1629" s="2106"/>
      <c r="AC1629" s="2106"/>
      <c r="AD1629" s="1744">
        <v>7306.6200719189401</v>
      </c>
      <c r="AE1629" s="2126">
        <v>0</v>
      </c>
      <c r="AF1629" s="2126">
        <v>0</v>
      </c>
      <c r="AG1629" s="1212">
        <v>0.98305466206380498</v>
      </c>
      <c r="AH1629" s="1212">
        <v>1.6945337936195015E-2</v>
      </c>
      <c r="AI1629" s="1212">
        <v>0</v>
      </c>
      <c r="AJ1629" s="1212">
        <v>1</v>
      </c>
      <c r="AK1629" s="2126">
        <v>7182.8069256288882</v>
      </c>
      <c r="AL1629" s="2126">
        <v>123.81314629005196</v>
      </c>
      <c r="AM1629" s="2126">
        <v>0</v>
      </c>
      <c r="AN1629" s="2126">
        <v>7306.6200719189401</v>
      </c>
      <c r="AO1629" s="1743" t="s">
        <v>85</v>
      </c>
      <c r="AP1629" s="1743" t="s">
        <v>90</v>
      </c>
      <c r="AQ1629" s="1764">
        <v>2022</v>
      </c>
      <c r="AR1629" s="1743" t="s">
        <v>2669</v>
      </c>
      <c r="AS1629" s="2135">
        <v>0.2</v>
      </c>
      <c r="AT1629" s="2135">
        <v>0.25</v>
      </c>
      <c r="AU1629" s="1212">
        <v>3.7905413443114662E-2</v>
      </c>
      <c r="AV1629" s="1212">
        <v>5.6937646838900999E-2</v>
      </c>
      <c r="AW1629" s="1212">
        <v>3.7905413443114662E-2</v>
      </c>
      <c r="AX1629" s="1212">
        <v>0.09</v>
      </c>
      <c r="AY1629" s="1212">
        <v>7.0000000000000007E-2</v>
      </c>
      <c r="AZ1629" s="1212">
        <v>6.5323927146662589E-2</v>
      </c>
      <c r="BA1629" s="1212">
        <v>5.5633356275252045E-2</v>
      </c>
      <c r="BB1629" s="1212">
        <v>4.7596249845991749E-2</v>
      </c>
      <c r="BC1629" s="1212">
        <v>0.02</v>
      </c>
      <c r="BD1629" s="1212">
        <v>0.02</v>
      </c>
      <c r="BE1629" s="1212">
        <v>0.05</v>
      </c>
      <c r="BF1629" s="2126">
        <v>1461.3240143837882</v>
      </c>
      <c r="BG1629" s="2126">
        <v>1826.655017979735</v>
      </c>
      <c r="BH1629" s="2126">
        <v>276.96045469784764</v>
      </c>
      <c r="BI1629" s="2126">
        <v>416.02175324094605</v>
      </c>
      <c r="BJ1629" s="2126">
        <v>276.96045469784764</v>
      </c>
      <c r="BK1629" s="2126">
        <v>657.59580647270457</v>
      </c>
      <c r="BL1629" s="2126">
        <v>511.46340503432583</v>
      </c>
      <c r="BM1629" s="2126">
        <v>477.29711726637538</v>
      </c>
      <c r="BN1629" s="2126">
        <v>406.4917976289741</v>
      </c>
      <c r="BO1629" s="2126">
        <v>347.76771447279208</v>
      </c>
      <c r="BP1629" s="2126">
        <v>146.13240143837879</v>
      </c>
      <c r="BQ1629" s="2126">
        <v>146.13240143837879</v>
      </c>
      <c r="BR1629" s="2126">
        <v>365.33100359594704</v>
      </c>
    </row>
    <row r="1630" spans="1:70" s="1765" customFormat="1" ht="33">
      <c r="A1630" s="1272">
        <v>8000</v>
      </c>
      <c r="B1630" s="971" t="s">
        <v>2666</v>
      </c>
      <c r="C1630" s="1272">
        <v>8100</v>
      </c>
      <c r="D1630" s="971" t="s">
        <v>2666</v>
      </c>
      <c r="E1630" s="971">
        <v>8110</v>
      </c>
      <c r="F1630" s="971" t="s">
        <v>2667</v>
      </c>
      <c r="G1630" s="971">
        <v>8111</v>
      </c>
      <c r="H1630" s="971" t="s">
        <v>2668</v>
      </c>
      <c r="I1630" s="1273"/>
      <c r="J1630" s="971"/>
      <c r="K1630" s="971"/>
      <c r="L1630" s="971" t="s">
        <v>2669</v>
      </c>
      <c r="M1630" s="971" t="s">
        <v>2669</v>
      </c>
      <c r="N1630" s="971" t="s">
        <v>2669</v>
      </c>
      <c r="O1630" s="971" t="s">
        <v>2669</v>
      </c>
      <c r="P1630" s="971"/>
      <c r="Q1630" s="971" t="s">
        <v>2674</v>
      </c>
      <c r="R1630" s="1266"/>
      <c r="S1630" s="2106"/>
      <c r="T1630" s="1266"/>
      <c r="U1630" s="1742"/>
      <c r="V1630" s="1742"/>
      <c r="W1630" s="1742"/>
      <c r="X1630" s="1742"/>
      <c r="Y1630" s="2106"/>
      <c r="Z1630" s="2106"/>
      <c r="AA1630" s="2106"/>
      <c r="AB1630" s="2106"/>
      <c r="AC1630" s="2106"/>
      <c r="AD1630" s="1744">
        <v>49360</v>
      </c>
      <c r="AE1630" s="2126">
        <v>0</v>
      </c>
      <c r="AF1630" s="2126">
        <v>0</v>
      </c>
      <c r="AG1630" s="1212">
        <v>0.98305466206380498</v>
      </c>
      <c r="AH1630" s="1212">
        <v>1.6945337936195015E-2</v>
      </c>
      <c r="AI1630" s="1212">
        <v>0</v>
      </c>
      <c r="AJ1630" s="1212">
        <v>1</v>
      </c>
      <c r="AK1630" s="2126">
        <v>48523.578119469414</v>
      </c>
      <c r="AL1630" s="2126">
        <v>836.4218805305859</v>
      </c>
      <c r="AM1630" s="2126">
        <v>0</v>
      </c>
      <c r="AN1630" s="2126">
        <v>49360</v>
      </c>
      <c r="AO1630" s="1743" t="s">
        <v>85</v>
      </c>
      <c r="AP1630" s="1743" t="s">
        <v>90</v>
      </c>
      <c r="AQ1630" s="1764">
        <v>2023</v>
      </c>
      <c r="AR1630" s="1743" t="s">
        <v>2669</v>
      </c>
      <c r="AS1630" s="2135">
        <v>0.2</v>
      </c>
      <c r="AT1630" s="2135">
        <v>0.25</v>
      </c>
      <c r="AU1630" s="1212">
        <v>3.7905413443114662E-2</v>
      </c>
      <c r="AV1630" s="1212">
        <v>5.6937646838900999E-2</v>
      </c>
      <c r="AW1630" s="1212">
        <v>3.7905413443114662E-2</v>
      </c>
      <c r="AX1630" s="1212">
        <v>0.09</v>
      </c>
      <c r="AY1630" s="1212">
        <v>7.0000000000000007E-2</v>
      </c>
      <c r="AZ1630" s="1212">
        <v>6.5323927146662589E-2</v>
      </c>
      <c r="BA1630" s="1212">
        <v>5.5633356275252045E-2</v>
      </c>
      <c r="BB1630" s="1212">
        <v>4.7596249845991749E-2</v>
      </c>
      <c r="BC1630" s="1212">
        <v>0.02</v>
      </c>
      <c r="BD1630" s="1212">
        <v>0.02</v>
      </c>
      <c r="BE1630" s="1212">
        <v>0.05</v>
      </c>
      <c r="BF1630" s="2126">
        <v>9872</v>
      </c>
      <c r="BG1630" s="2126">
        <v>12340</v>
      </c>
      <c r="BH1630" s="2126">
        <v>1871.0112075521397</v>
      </c>
      <c r="BI1630" s="2126">
        <v>2810.4422479681534</v>
      </c>
      <c r="BJ1630" s="2126">
        <v>1871.0112075521397</v>
      </c>
      <c r="BK1630" s="2126">
        <v>4442.3999999999996</v>
      </c>
      <c r="BL1630" s="2126">
        <v>3455.2000000000003</v>
      </c>
      <c r="BM1630" s="2126">
        <v>3224.3890439592656</v>
      </c>
      <c r="BN1630" s="2126">
        <v>2746.0624657464409</v>
      </c>
      <c r="BO1630" s="2126">
        <v>2349.3508923981526</v>
      </c>
      <c r="BP1630" s="2126">
        <v>987.2</v>
      </c>
      <c r="BQ1630" s="2126">
        <v>987.2</v>
      </c>
      <c r="BR1630" s="2126">
        <v>2468</v>
      </c>
    </row>
    <row r="1631" spans="1:70" s="1765" customFormat="1" ht="66">
      <c r="A1631" s="1272">
        <v>8000</v>
      </c>
      <c r="B1631" s="971" t="s">
        <v>2666</v>
      </c>
      <c r="C1631" s="1272">
        <v>8100</v>
      </c>
      <c r="D1631" s="971" t="s">
        <v>2666</v>
      </c>
      <c r="E1631" s="971">
        <v>8110</v>
      </c>
      <c r="F1631" s="971" t="s">
        <v>2667</v>
      </c>
      <c r="G1631" s="971">
        <v>8112</v>
      </c>
      <c r="H1631" s="971" t="s">
        <v>2675</v>
      </c>
      <c r="I1631" s="1273"/>
      <c r="J1631" s="971"/>
      <c r="K1631" s="971"/>
      <c r="L1631" s="971" t="s">
        <v>2669</v>
      </c>
      <c r="M1631" s="971" t="s">
        <v>2669</v>
      </c>
      <c r="N1631" s="971" t="s">
        <v>2669</v>
      </c>
      <c r="O1631" s="971" t="s">
        <v>2669</v>
      </c>
      <c r="P1631" s="971"/>
      <c r="Q1631" s="971" t="s">
        <v>2676</v>
      </c>
      <c r="R1631" s="1266"/>
      <c r="S1631" s="2106"/>
      <c r="T1631" s="1266"/>
      <c r="U1631" s="1742"/>
      <c r="V1631" s="1742"/>
      <c r="W1631" s="1742"/>
      <c r="X1631" s="1742"/>
      <c r="Y1631" s="2106"/>
      <c r="Z1631" s="2106"/>
      <c r="AA1631" s="2106"/>
      <c r="AB1631" s="2106"/>
      <c r="AC1631" s="2106"/>
      <c r="AD1631" s="1744">
        <v>159526.86467088925</v>
      </c>
      <c r="AE1631" s="2126">
        <v>0</v>
      </c>
      <c r="AF1631" s="2126">
        <v>0</v>
      </c>
      <c r="AG1631" s="1212">
        <v>1</v>
      </c>
      <c r="AH1631" s="1212">
        <v>0</v>
      </c>
      <c r="AI1631" s="1212">
        <v>0</v>
      </c>
      <c r="AJ1631" s="1212">
        <v>1</v>
      </c>
      <c r="AK1631" s="2126">
        <v>159526.86467088925</v>
      </c>
      <c r="AL1631" s="2126">
        <v>0</v>
      </c>
      <c r="AM1631" s="2126">
        <v>0</v>
      </c>
      <c r="AN1631" s="2126">
        <v>159526.86467088925</v>
      </c>
      <c r="AO1631" s="1743" t="s">
        <v>85</v>
      </c>
      <c r="AP1631" s="1743" t="s">
        <v>90</v>
      </c>
      <c r="AQ1631" s="1764">
        <v>2022</v>
      </c>
      <c r="AR1631" s="1743" t="s">
        <v>2669</v>
      </c>
      <c r="AS1631" s="2135"/>
      <c r="AT1631" s="2135"/>
      <c r="AU1631" s="1212">
        <v>0.4</v>
      </c>
      <c r="AV1631" s="1212">
        <v>0.3</v>
      </c>
      <c r="AW1631" s="1212">
        <v>0.2</v>
      </c>
      <c r="AX1631" s="1212">
        <v>0.1</v>
      </c>
      <c r="AY1631" s="1212"/>
      <c r="AZ1631" s="1212"/>
      <c r="BA1631" s="1212"/>
      <c r="BB1631" s="1212"/>
      <c r="BC1631" s="1212"/>
      <c r="BD1631" s="1212"/>
      <c r="BE1631" s="1212"/>
      <c r="BF1631" s="2126">
        <v>0</v>
      </c>
      <c r="BG1631" s="2126">
        <v>0</v>
      </c>
      <c r="BH1631" s="2126">
        <v>63810.745868355705</v>
      </c>
      <c r="BI1631" s="2126">
        <v>47858.059401266772</v>
      </c>
      <c r="BJ1631" s="2126">
        <v>31905.372934177853</v>
      </c>
      <c r="BK1631" s="2126">
        <v>15952.686467088926</v>
      </c>
      <c r="BL1631" s="2126">
        <v>0</v>
      </c>
      <c r="BM1631" s="2126">
        <v>0</v>
      </c>
      <c r="BN1631" s="2126">
        <v>0</v>
      </c>
      <c r="BO1631" s="2126">
        <v>0</v>
      </c>
      <c r="BP1631" s="2126">
        <v>0</v>
      </c>
      <c r="BQ1631" s="2126">
        <v>0</v>
      </c>
      <c r="BR1631" s="2126">
        <v>0</v>
      </c>
    </row>
    <row r="1632" spans="1:70" s="1765" customFormat="1" ht="66">
      <c r="A1632" s="1272">
        <v>8000</v>
      </c>
      <c r="B1632" s="971" t="s">
        <v>2666</v>
      </c>
      <c r="C1632" s="1272">
        <v>8100</v>
      </c>
      <c r="D1632" s="971" t="s">
        <v>2666</v>
      </c>
      <c r="E1632" s="971">
        <v>8110</v>
      </c>
      <c r="F1632" s="971" t="s">
        <v>2667</v>
      </c>
      <c r="G1632" s="971">
        <v>8112</v>
      </c>
      <c r="H1632" s="971" t="s">
        <v>2675</v>
      </c>
      <c r="I1632" s="1273"/>
      <c r="J1632" s="971"/>
      <c r="K1632" s="971"/>
      <c r="L1632" s="971" t="s">
        <v>2669</v>
      </c>
      <c r="M1632" s="971" t="s">
        <v>2669</v>
      </c>
      <c r="N1632" s="971" t="s">
        <v>2669</v>
      </c>
      <c r="O1632" s="971" t="s">
        <v>2669</v>
      </c>
      <c r="P1632" s="971"/>
      <c r="Q1632" s="971" t="s">
        <v>2676</v>
      </c>
      <c r="R1632" s="1266"/>
      <c r="S1632" s="2106"/>
      <c r="T1632" s="1266"/>
      <c r="U1632" s="1742"/>
      <c r="V1632" s="1742"/>
      <c r="W1632" s="1742"/>
      <c r="X1632" s="1742"/>
      <c r="Y1632" s="2106"/>
      <c r="Z1632" s="2106"/>
      <c r="AA1632" s="2106"/>
      <c r="AB1632" s="2106"/>
      <c r="AC1632" s="2106"/>
      <c r="AD1632" s="1744">
        <v>59000</v>
      </c>
      <c r="AE1632" s="2126">
        <v>0</v>
      </c>
      <c r="AF1632" s="2126">
        <v>0</v>
      </c>
      <c r="AG1632" s="1212">
        <v>1</v>
      </c>
      <c r="AH1632" s="1212">
        <v>0</v>
      </c>
      <c r="AI1632" s="1212">
        <v>0</v>
      </c>
      <c r="AJ1632" s="1212">
        <v>1</v>
      </c>
      <c r="AK1632" s="2126">
        <v>59000</v>
      </c>
      <c r="AL1632" s="2126">
        <v>0</v>
      </c>
      <c r="AM1632" s="2126">
        <v>0</v>
      </c>
      <c r="AN1632" s="2126">
        <v>59000</v>
      </c>
      <c r="AO1632" s="1743" t="s">
        <v>85</v>
      </c>
      <c r="AP1632" s="1743" t="s">
        <v>90</v>
      </c>
      <c r="AQ1632" s="1764">
        <v>2021</v>
      </c>
      <c r="AR1632" s="1743" t="s">
        <v>2669</v>
      </c>
      <c r="AS1632" s="2135"/>
      <c r="AT1632" s="2135"/>
      <c r="AU1632" s="1212">
        <v>0.4</v>
      </c>
      <c r="AV1632" s="1212">
        <v>0.3</v>
      </c>
      <c r="AW1632" s="1212">
        <v>0.2</v>
      </c>
      <c r="AX1632" s="1212">
        <v>0.1</v>
      </c>
      <c r="AY1632" s="1212"/>
      <c r="AZ1632" s="1212"/>
      <c r="BA1632" s="1212"/>
      <c r="BB1632" s="1212"/>
      <c r="BC1632" s="1212"/>
      <c r="BD1632" s="1212"/>
      <c r="BE1632" s="1212"/>
      <c r="BF1632" s="2126">
        <v>0</v>
      </c>
      <c r="BG1632" s="2126">
        <v>0</v>
      </c>
      <c r="BH1632" s="2126">
        <v>23600</v>
      </c>
      <c r="BI1632" s="2126">
        <v>17700</v>
      </c>
      <c r="BJ1632" s="2126">
        <v>11800</v>
      </c>
      <c r="BK1632" s="2126">
        <v>5900</v>
      </c>
      <c r="BL1632" s="2126">
        <v>0</v>
      </c>
      <c r="BM1632" s="2126">
        <v>0</v>
      </c>
      <c r="BN1632" s="2126">
        <v>0</v>
      </c>
      <c r="BO1632" s="2126">
        <v>0</v>
      </c>
      <c r="BP1632" s="2126">
        <v>0</v>
      </c>
      <c r="BQ1632" s="2126">
        <v>0</v>
      </c>
      <c r="BR1632" s="2126">
        <v>0</v>
      </c>
    </row>
    <row r="1633" spans="1:70" s="1765" customFormat="1" ht="66">
      <c r="A1633" s="1272">
        <v>8000</v>
      </c>
      <c r="B1633" s="971" t="s">
        <v>2666</v>
      </c>
      <c r="C1633" s="1272">
        <v>8100</v>
      </c>
      <c r="D1633" s="971" t="s">
        <v>2666</v>
      </c>
      <c r="E1633" s="971">
        <v>8110</v>
      </c>
      <c r="F1633" s="971" t="s">
        <v>2667</v>
      </c>
      <c r="G1633" s="971">
        <v>8112</v>
      </c>
      <c r="H1633" s="971" t="s">
        <v>2675</v>
      </c>
      <c r="I1633" s="1273"/>
      <c r="J1633" s="971"/>
      <c r="K1633" s="971"/>
      <c r="L1633" s="971" t="s">
        <v>2669</v>
      </c>
      <c r="M1633" s="971" t="s">
        <v>2669</v>
      </c>
      <c r="N1633" s="971" t="s">
        <v>2669</v>
      </c>
      <c r="O1633" s="971" t="s">
        <v>2669</v>
      </c>
      <c r="P1633" s="971"/>
      <c r="Q1633" s="971" t="s">
        <v>2676</v>
      </c>
      <c r="R1633" s="1266"/>
      <c r="S1633" s="2106"/>
      <c r="T1633" s="1266"/>
      <c r="U1633" s="1742"/>
      <c r="V1633" s="1742"/>
      <c r="W1633" s="1742"/>
      <c r="X1633" s="1742"/>
      <c r="Y1633" s="2106"/>
      <c r="Z1633" s="2106"/>
      <c r="AA1633" s="2106"/>
      <c r="AB1633" s="2106"/>
      <c r="AC1633" s="2106"/>
      <c r="AD1633" s="1744">
        <v>27000</v>
      </c>
      <c r="AE1633" s="2126">
        <v>0</v>
      </c>
      <c r="AF1633" s="2126">
        <v>0</v>
      </c>
      <c r="AG1633" s="1212">
        <v>1</v>
      </c>
      <c r="AH1633" s="1212">
        <v>0</v>
      </c>
      <c r="AI1633" s="1212">
        <v>0</v>
      </c>
      <c r="AJ1633" s="1212">
        <v>1</v>
      </c>
      <c r="AK1633" s="2126">
        <v>27000</v>
      </c>
      <c r="AL1633" s="2126">
        <v>0</v>
      </c>
      <c r="AM1633" s="2126">
        <v>0</v>
      </c>
      <c r="AN1633" s="2126">
        <v>27000</v>
      </c>
      <c r="AO1633" s="1743" t="s">
        <v>85</v>
      </c>
      <c r="AP1633" s="1743" t="s">
        <v>90</v>
      </c>
      <c r="AQ1633" s="1764">
        <v>2020</v>
      </c>
      <c r="AR1633" s="1743" t="s">
        <v>2669</v>
      </c>
      <c r="AS1633" s="2135"/>
      <c r="AT1633" s="2135"/>
      <c r="AU1633" s="1212">
        <v>0.4</v>
      </c>
      <c r="AV1633" s="1212">
        <v>0.3</v>
      </c>
      <c r="AW1633" s="1212">
        <v>0.2</v>
      </c>
      <c r="AX1633" s="1212">
        <v>0.1</v>
      </c>
      <c r="AY1633" s="1212"/>
      <c r="AZ1633" s="1212"/>
      <c r="BA1633" s="1212"/>
      <c r="BB1633" s="1212"/>
      <c r="BC1633" s="1212"/>
      <c r="BD1633" s="1212"/>
      <c r="BE1633" s="1212"/>
      <c r="BF1633" s="2126">
        <v>0</v>
      </c>
      <c r="BG1633" s="2126">
        <v>0</v>
      </c>
      <c r="BH1633" s="2126">
        <v>10800</v>
      </c>
      <c r="BI1633" s="2126">
        <v>8100</v>
      </c>
      <c r="BJ1633" s="2126">
        <v>5400</v>
      </c>
      <c r="BK1633" s="2126">
        <v>2700</v>
      </c>
      <c r="BL1633" s="2126">
        <v>0</v>
      </c>
      <c r="BM1633" s="2126">
        <v>0</v>
      </c>
      <c r="BN1633" s="2126">
        <v>0</v>
      </c>
      <c r="BO1633" s="2126">
        <v>0</v>
      </c>
      <c r="BP1633" s="2126">
        <v>0</v>
      </c>
      <c r="BQ1633" s="2126">
        <v>0</v>
      </c>
      <c r="BR1633" s="2126">
        <v>0</v>
      </c>
    </row>
    <row r="1634" spans="1:70" s="1765" customFormat="1" ht="66">
      <c r="A1634" s="1272">
        <v>8000</v>
      </c>
      <c r="B1634" s="971" t="s">
        <v>2666</v>
      </c>
      <c r="C1634" s="1272">
        <v>8100</v>
      </c>
      <c r="D1634" s="971" t="s">
        <v>2666</v>
      </c>
      <c r="E1634" s="971">
        <v>8110</v>
      </c>
      <c r="F1634" s="971" t="s">
        <v>2667</v>
      </c>
      <c r="G1634" s="971">
        <v>8112</v>
      </c>
      <c r="H1634" s="971" t="s">
        <v>2675</v>
      </c>
      <c r="I1634" s="1273"/>
      <c r="J1634" s="971"/>
      <c r="K1634" s="971"/>
      <c r="L1634" s="971" t="s">
        <v>2669</v>
      </c>
      <c r="M1634" s="971" t="s">
        <v>2669</v>
      </c>
      <c r="N1634" s="971" t="s">
        <v>2669</v>
      </c>
      <c r="O1634" s="971" t="s">
        <v>2669</v>
      </c>
      <c r="P1634" s="971"/>
      <c r="Q1634" s="971" t="s">
        <v>2679</v>
      </c>
      <c r="R1634" s="1266"/>
      <c r="S1634" s="2106"/>
      <c r="T1634" s="1266"/>
      <c r="U1634" s="1742"/>
      <c r="V1634" s="1742"/>
      <c r="W1634" s="1742"/>
      <c r="X1634" s="1742"/>
      <c r="Y1634" s="2106"/>
      <c r="Z1634" s="2106"/>
      <c r="AA1634" s="2106"/>
      <c r="AB1634" s="2106"/>
      <c r="AC1634" s="2106"/>
      <c r="AD1634" s="1744">
        <v>1431000</v>
      </c>
      <c r="AE1634" s="2126">
        <v>0</v>
      </c>
      <c r="AF1634" s="2126">
        <v>0</v>
      </c>
      <c r="AG1634" s="1212">
        <v>1</v>
      </c>
      <c r="AH1634" s="1212">
        <v>0</v>
      </c>
      <c r="AI1634" s="1212">
        <v>0</v>
      </c>
      <c r="AJ1634" s="1212">
        <v>1</v>
      </c>
      <c r="AK1634" s="2126">
        <v>1431000</v>
      </c>
      <c r="AL1634" s="2126">
        <v>0</v>
      </c>
      <c r="AM1634" s="2126">
        <v>0</v>
      </c>
      <c r="AN1634" s="2126">
        <v>1431000</v>
      </c>
      <c r="AO1634" s="1743" t="s">
        <v>85</v>
      </c>
      <c r="AP1634" s="1743" t="s">
        <v>90</v>
      </c>
      <c r="AQ1634" s="1764">
        <v>2019</v>
      </c>
      <c r="AR1634" s="1743" t="s">
        <v>2669</v>
      </c>
      <c r="AS1634" s="2135"/>
      <c r="AT1634" s="2135"/>
      <c r="AU1634" s="1212">
        <v>0.4</v>
      </c>
      <c r="AV1634" s="1212">
        <v>0.3</v>
      </c>
      <c r="AW1634" s="1212">
        <v>0.2</v>
      </c>
      <c r="AX1634" s="1212">
        <v>0.1</v>
      </c>
      <c r="AY1634" s="1212"/>
      <c r="AZ1634" s="1212"/>
      <c r="BA1634" s="1212"/>
      <c r="BB1634" s="1212"/>
      <c r="BC1634" s="1212"/>
      <c r="BD1634" s="1212"/>
      <c r="BE1634" s="1212"/>
      <c r="BF1634" s="2126">
        <v>0</v>
      </c>
      <c r="BG1634" s="2126">
        <v>0</v>
      </c>
      <c r="BH1634" s="2126">
        <v>572400</v>
      </c>
      <c r="BI1634" s="2126">
        <v>429300</v>
      </c>
      <c r="BJ1634" s="2126">
        <v>286200</v>
      </c>
      <c r="BK1634" s="2126">
        <v>143100</v>
      </c>
      <c r="BL1634" s="2126">
        <v>0</v>
      </c>
      <c r="BM1634" s="2126">
        <v>0</v>
      </c>
      <c r="BN1634" s="2126">
        <v>0</v>
      </c>
      <c r="BO1634" s="2126">
        <v>0</v>
      </c>
      <c r="BP1634" s="2126">
        <v>0</v>
      </c>
      <c r="BQ1634" s="2126">
        <v>0</v>
      </c>
      <c r="BR1634" s="2126">
        <v>0</v>
      </c>
    </row>
    <row r="1635" spans="1:70" s="1765" customFormat="1" ht="66">
      <c r="A1635" s="1272">
        <v>8000</v>
      </c>
      <c r="B1635" s="971" t="s">
        <v>2666</v>
      </c>
      <c r="C1635" s="1272">
        <v>8100</v>
      </c>
      <c r="D1635" s="971" t="s">
        <v>2666</v>
      </c>
      <c r="E1635" s="971">
        <v>8110</v>
      </c>
      <c r="F1635" s="971" t="s">
        <v>2667</v>
      </c>
      <c r="G1635" s="971">
        <v>8111</v>
      </c>
      <c r="H1635" s="971" t="s">
        <v>2675</v>
      </c>
      <c r="I1635" s="1273"/>
      <c r="J1635" s="971"/>
      <c r="K1635" s="971"/>
      <c r="L1635" s="971" t="s">
        <v>2669</v>
      </c>
      <c r="M1635" s="971" t="s">
        <v>2669</v>
      </c>
      <c r="N1635" s="971" t="s">
        <v>2669</v>
      </c>
      <c r="O1635" s="971" t="s">
        <v>2669</v>
      </c>
      <c r="P1635" s="971"/>
      <c r="Q1635" s="971" t="s">
        <v>2680</v>
      </c>
      <c r="R1635" s="1266"/>
      <c r="S1635" s="2106"/>
      <c r="T1635" s="1266"/>
      <c r="U1635" s="1742"/>
      <c r="V1635" s="1742"/>
      <c r="W1635" s="1742"/>
      <c r="X1635" s="1742"/>
      <c r="Y1635" s="2106"/>
      <c r="Z1635" s="2106"/>
      <c r="AA1635" s="2106"/>
      <c r="AB1635" s="2106"/>
      <c r="AC1635" s="2106"/>
      <c r="AD1635" s="1744">
        <v>411208.67909864342</v>
      </c>
      <c r="AE1635" s="2126">
        <v>0</v>
      </c>
      <c r="AF1635" s="2126">
        <v>0</v>
      </c>
      <c r="AG1635" s="1212">
        <v>1</v>
      </c>
      <c r="AH1635" s="1212">
        <v>0</v>
      </c>
      <c r="AI1635" s="1212">
        <v>0</v>
      </c>
      <c r="AJ1635" s="1212">
        <v>1</v>
      </c>
      <c r="AK1635" s="2126">
        <v>411208.67909864342</v>
      </c>
      <c r="AL1635" s="2126">
        <v>0</v>
      </c>
      <c r="AM1635" s="2126">
        <v>0</v>
      </c>
      <c r="AN1635" s="2126">
        <v>411208.67909864342</v>
      </c>
      <c r="AO1635" s="1743" t="s">
        <v>85</v>
      </c>
      <c r="AP1635" s="1743" t="s">
        <v>90</v>
      </c>
      <c r="AQ1635" s="1764">
        <v>2022</v>
      </c>
      <c r="AR1635" s="1743" t="s">
        <v>2669</v>
      </c>
      <c r="AS1635" s="2135"/>
      <c r="AT1635" s="2135"/>
      <c r="AU1635" s="1212">
        <v>0.18</v>
      </c>
      <c r="AV1635" s="1212">
        <v>0.18</v>
      </c>
      <c r="AW1635" s="1212">
        <v>0.18</v>
      </c>
      <c r="AX1635" s="1212">
        <v>0.1</v>
      </c>
      <c r="AY1635" s="1212">
        <v>0.1</v>
      </c>
      <c r="AZ1635" s="1212">
        <v>7.0000000000000007E-2</v>
      </c>
      <c r="BA1635" s="1212">
        <v>0.05</v>
      </c>
      <c r="BB1635" s="1212">
        <v>0.05</v>
      </c>
      <c r="BC1635" s="1212">
        <v>0.02</v>
      </c>
      <c r="BD1635" s="1212">
        <v>0.02</v>
      </c>
      <c r="BE1635" s="1212">
        <v>0.05</v>
      </c>
      <c r="BF1635" s="2126">
        <v>0</v>
      </c>
      <c r="BG1635" s="2126">
        <v>0</v>
      </c>
      <c r="BH1635" s="2126">
        <v>74017.562237755817</v>
      </c>
      <c r="BI1635" s="2126">
        <v>74017.562237755817</v>
      </c>
      <c r="BJ1635" s="2126">
        <v>74017.562237755817</v>
      </c>
      <c r="BK1635" s="2126">
        <v>41120.867909864348</v>
      </c>
      <c r="BL1635" s="2126">
        <v>41120.867909864348</v>
      </c>
      <c r="BM1635" s="2126">
        <v>28784.607536905041</v>
      </c>
      <c r="BN1635" s="2126">
        <v>20560.433954932174</v>
      </c>
      <c r="BO1635" s="2126">
        <v>20560.433954932174</v>
      </c>
      <c r="BP1635" s="2126">
        <v>8224.1735819728692</v>
      </c>
      <c r="BQ1635" s="2126">
        <v>8224.1735819728692</v>
      </c>
      <c r="BR1635" s="2126">
        <v>20560.433954932174</v>
      </c>
    </row>
    <row r="1636" spans="1:70" s="1765" customFormat="1" ht="66">
      <c r="A1636" s="1272">
        <v>8000</v>
      </c>
      <c r="B1636" s="971" t="s">
        <v>2666</v>
      </c>
      <c r="C1636" s="1272">
        <v>8100</v>
      </c>
      <c r="D1636" s="971" t="s">
        <v>2666</v>
      </c>
      <c r="E1636" s="971">
        <v>8110</v>
      </c>
      <c r="F1636" s="971" t="s">
        <v>2667</v>
      </c>
      <c r="G1636" s="971">
        <v>8111</v>
      </c>
      <c r="H1636" s="971" t="s">
        <v>2675</v>
      </c>
      <c r="I1636" s="1273"/>
      <c r="J1636" s="971"/>
      <c r="K1636" s="971"/>
      <c r="L1636" s="971" t="s">
        <v>2669</v>
      </c>
      <c r="M1636" s="971" t="s">
        <v>2669</v>
      </c>
      <c r="N1636" s="971" t="s">
        <v>2669</v>
      </c>
      <c r="O1636" s="971" t="s">
        <v>2669</v>
      </c>
      <c r="P1636" s="971"/>
      <c r="Q1636" s="971" t="s">
        <v>2681</v>
      </c>
      <c r="R1636" s="1266"/>
      <c r="S1636" s="2106"/>
      <c r="T1636" s="1266"/>
      <c r="U1636" s="1742"/>
      <c r="V1636" s="1742"/>
      <c r="W1636" s="1742"/>
      <c r="X1636" s="1742"/>
      <c r="Y1636" s="2106"/>
      <c r="Z1636" s="2106"/>
      <c r="AA1636" s="2106"/>
      <c r="AB1636" s="2106"/>
      <c r="AC1636" s="2106"/>
      <c r="AD1636" s="1744">
        <v>4197000</v>
      </c>
      <c r="AE1636" s="2126">
        <v>0</v>
      </c>
      <c r="AF1636" s="2126">
        <v>0</v>
      </c>
      <c r="AG1636" s="1212">
        <v>1</v>
      </c>
      <c r="AH1636" s="1212">
        <v>0</v>
      </c>
      <c r="AI1636" s="1212">
        <v>0</v>
      </c>
      <c r="AJ1636" s="1212">
        <v>1</v>
      </c>
      <c r="AK1636" s="2126">
        <v>4197000</v>
      </c>
      <c r="AL1636" s="2126">
        <v>0</v>
      </c>
      <c r="AM1636" s="2126">
        <v>0</v>
      </c>
      <c r="AN1636" s="2126">
        <v>4197000</v>
      </c>
      <c r="AO1636" s="1743" t="s">
        <v>85</v>
      </c>
      <c r="AP1636" s="1743" t="s">
        <v>90</v>
      </c>
      <c r="AQ1636" s="1764">
        <v>2019</v>
      </c>
      <c r="AR1636" s="1743" t="s">
        <v>2669</v>
      </c>
      <c r="AS1636" s="2135"/>
      <c r="AT1636" s="2135"/>
      <c r="AU1636" s="1212">
        <v>0.18</v>
      </c>
      <c r="AV1636" s="1212">
        <v>0.18</v>
      </c>
      <c r="AW1636" s="1212">
        <v>0.18</v>
      </c>
      <c r="AX1636" s="1212">
        <v>0.1</v>
      </c>
      <c r="AY1636" s="1212">
        <v>0.1</v>
      </c>
      <c r="AZ1636" s="1212">
        <v>7.0000000000000007E-2</v>
      </c>
      <c r="BA1636" s="1212">
        <v>0.05</v>
      </c>
      <c r="BB1636" s="1212">
        <v>0.05</v>
      </c>
      <c r="BC1636" s="1212">
        <v>0.02</v>
      </c>
      <c r="BD1636" s="1212">
        <v>0.02</v>
      </c>
      <c r="BE1636" s="1212">
        <v>0.05</v>
      </c>
      <c r="BF1636" s="2126">
        <v>0</v>
      </c>
      <c r="BG1636" s="2126">
        <v>0</v>
      </c>
      <c r="BH1636" s="2126">
        <v>755460</v>
      </c>
      <c r="BI1636" s="2126">
        <v>755460</v>
      </c>
      <c r="BJ1636" s="2126">
        <v>755460</v>
      </c>
      <c r="BK1636" s="2126">
        <v>419700</v>
      </c>
      <c r="BL1636" s="2126">
        <v>419700</v>
      </c>
      <c r="BM1636" s="2126">
        <v>293790</v>
      </c>
      <c r="BN1636" s="2126">
        <v>209850</v>
      </c>
      <c r="BO1636" s="2126">
        <v>209850</v>
      </c>
      <c r="BP1636" s="2126">
        <v>83940</v>
      </c>
      <c r="BQ1636" s="2126">
        <v>83940</v>
      </c>
      <c r="BR1636" s="2126">
        <v>209850</v>
      </c>
    </row>
    <row r="1637" spans="1:70" s="1765" customFormat="1" ht="66">
      <c r="A1637" s="1272">
        <v>8000</v>
      </c>
      <c r="B1637" s="971" t="s">
        <v>2666</v>
      </c>
      <c r="C1637" s="1272">
        <v>8100</v>
      </c>
      <c r="D1637" s="971" t="s">
        <v>2666</v>
      </c>
      <c r="E1637" s="971">
        <v>8110</v>
      </c>
      <c r="F1637" s="971" t="s">
        <v>2667</v>
      </c>
      <c r="G1637" s="971">
        <v>8111</v>
      </c>
      <c r="H1637" s="971" t="s">
        <v>2675</v>
      </c>
      <c r="I1637" s="1273"/>
      <c r="J1637" s="971"/>
      <c r="K1637" s="971"/>
      <c r="L1637" s="971" t="s">
        <v>2669</v>
      </c>
      <c r="M1637" s="971" t="s">
        <v>2669</v>
      </c>
      <c r="N1637" s="971" t="s">
        <v>2669</v>
      </c>
      <c r="O1637" s="971" t="s">
        <v>2669</v>
      </c>
      <c r="P1637" s="971"/>
      <c r="Q1637" s="971" t="s">
        <v>2680</v>
      </c>
      <c r="R1637" s="1266"/>
      <c r="S1637" s="2106"/>
      <c r="T1637" s="1266"/>
      <c r="U1637" s="1742"/>
      <c r="V1637" s="1742"/>
      <c r="W1637" s="1742"/>
      <c r="X1637" s="1742"/>
      <c r="Y1637" s="2106"/>
      <c r="Z1637" s="2106"/>
      <c r="AA1637" s="2106"/>
      <c r="AB1637" s="2106"/>
      <c r="AC1637" s="2106"/>
      <c r="AD1637" s="1744">
        <v>149000</v>
      </c>
      <c r="AE1637" s="2126">
        <v>0</v>
      </c>
      <c r="AF1637" s="2126">
        <v>0</v>
      </c>
      <c r="AG1637" s="1212">
        <v>1</v>
      </c>
      <c r="AH1637" s="1212">
        <v>0</v>
      </c>
      <c r="AI1637" s="1212">
        <v>0</v>
      </c>
      <c r="AJ1637" s="1212">
        <v>1</v>
      </c>
      <c r="AK1637" s="2126">
        <v>149000</v>
      </c>
      <c r="AL1637" s="2126">
        <v>0</v>
      </c>
      <c r="AM1637" s="2126">
        <v>0</v>
      </c>
      <c r="AN1637" s="2126">
        <v>149000</v>
      </c>
      <c r="AO1637" s="1743" t="s">
        <v>85</v>
      </c>
      <c r="AP1637" s="1743" t="s">
        <v>90</v>
      </c>
      <c r="AQ1637" s="1764">
        <v>2021</v>
      </c>
      <c r="AR1637" s="1743" t="s">
        <v>2669</v>
      </c>
      <c r="AS1637" s="2135"/>
      <c r="AT1637" s="2135"/>
      <c r="AU1637" s="1212">
        <v>0.18</v>
      </c>
      <c r="AV1637" s="1212">
        <v>0.18</v>
      </c>
      <c r="AW1637" s="1212">
        <v>0.18</v>
      </c>
      <c r="AX1637" s="1212">
        <v>0.1</v>
      </c>
      <c r="AY1637" s="1212">
        <v>0.1</v>
      </c>
      <c r="AZ1637" s="1212">
        <v>7.0000000000000007E-2</v>
      </c>
      <c r="BA1637" s="1212">
        <v>0.05</v>
      </c>
      <c r="BB1637" s="1212">
        <v>0.05</v>
      </c>
      <c r="BC1637" s="1212">
        <v>0.02</v>
      </c>
      <c r="BD1637" s="1212">
        <v>0.02</v>
      </c>
      <c r="BE1637" s="1212">
        <v>0.05</v>
      </c>
      <c r="BF1637" s="2126">
        <v>0</v>
      </c>
      <c r="BG1637" s="2126">
        <v>0</v>
      </c>
      <c r="BH1637" s="2126">
        <v>26820</v>
      </c>
      <c r="BI1637" s="2126">
        <v>26820</v>
      </c>
      <c r="BJ1637" s="2126">
        <v>26820</v>
      </c>
      <c r="BK1637" s="2126">
        <v>14900</v>
      </c>
      <c r="BL1637" s="2126">
        <v>14900</v>
      </c>
      <c r="BM1637" s="2126">
        <v>10430.000000000002</v>
      </c>
      <c r="BN1637" s="2126">
        <v>7450</v>
      </c>
      <c r="BO1637" s="2126">
        <v>7450</v>
      </c>
      <c r="BP1637" s="2126">
        <v>2980</v>
      </c>
      <c r="BQ1637" s="2126">
        <v>2980</v>
      </c>
      <c r="BR1637" s="2126">
        <v>7450</v>
      </c>
    </row>
    <row r="1638" spans="1:70" s="1765" customFormat="1" ht="66">
      <c r="A1638" s="1272">
        <v>8000</v>
      </c>
      <c r="B1638" s="971" t="s">
        <v>2666</v>
      </c>
      <c r="C1638" s="1272">
        <v>8100</v>
      </c>
      <c r="D1638" s="971" t="s">
        <v>2666</v>
      </c>
      <c r="E1638" s="971">
        <v>8110</v>
      </c>
      <c r="F1638" s="971" t="s">
        <v>2667</v>
      </c>
      <c r="G1638" s="971">
        <v>8111</v>
      </c>
      <c r="H1638" s="971" t="s">
        <v>2675</v>
      </c>
      <c r="I1638" s="1273"/>
      <c r="J1638" s="971"/>
      <c r="K1638" s="971"/>
      <c r="L1638" s="971" t="s">
        <v>2669</v>
      </c>
      <c r="M1638" s="971" t="s">
        <v>2669</v>
      </c>
      <c r="N1638" s="971" t="s">
        <v>2669</v>
      </c>
      <c r="O1638" s="971" t="s">
        <v>2669</v>
      </c>
      <c r="P1638" s="971"/>
      <c r="Q1638" s="971" t="s">
        <v>2680</v>
      </c>
      <c r="R1638" s="1266"/>
      <c r="S1638" s="2106"/>
      <c r="T1638" s="1266"/>
      <c r="U1638" s="1742"/>
      <c r="V1638" s="1742"/>
      <c r="W1638" s="1742"/>
      <c r="X1638" s="1742"/>
      <c r="Y1638" s="2106"/>
      <c r="Z1638" s="2106"/>
      <c r="AA1638" s="2106"/>
      <c r="AB1638" s="2106"/>
      <c r="AC1638" s="2106"/>
      <c r="AD1638" s="1744">
        <v>65000</v>
      </c>
      <c r="AE1638" s="2126">
        <v>0</v>
      </c>
      <c r="AF1638" s="2126">
        <v>0</v>
      </c>
      <c r="AG1638" s="1212">
        <v>1</v>
      </c>
      <c r="AH1638" s="1212">
        <v>0</v>
      </c>
      <c r="AI1638" s="1212">
        <v>0</v>
      </c>
      <c r="AJ1638" s="1212">
        <v>1</v>
      </c>
      <c r="AK1638" s="2126">
        <v>65000</v>
      </c>
      <c r="AL1638" s="2126">
        <v>0</v>
      </c>
      <c r="AM1638" s="2126">
        <v>0</v>
      </c>
      <c r="AN1638" s="2126">
        <v>65000</v>
      </c>
      <c r="AO1638" s="1743" t="s">
        <v>85</v>
      </c>
      <c r="AP1638" s="1743" t="s">
        <v>90</v>
      </c>
      <c r="AQ1638" s="1764">
        <v>2020</v>
      </c>
      <c r="AR1638" s="1743" t="s">
        <v>2669</v>
      </c>
      <c r="AS1638" s="2135"/>
      <c r="AT1638" s="2135"/>
      <c r="AU1638" s="1212">
        <v>0.18</v>
      </c>
      <c r="AV1638" s="1212">
        <v>0.18</v>
      </c>
      <c r="AW1638" s="1212">
        <v>0.18</v>
      </c>
      <c r="AX1638" s="1212">
        <v>0.1</v>
      </c>
      <c r="AY1638" s="1212">
        <v>0.1</v>
      </c>
      <c r="AZ1638" s="1212">
        <v>7.0000000000000007E-2</v>
      </c>
      <c r="BA1638" s="1212">
        <v>0.05</v>
      </c>
      <c r="BB1638" s="1212">
        <v>0.05</v>
      </c>
      <c r="BC1638" s="1212">
        <v>0.02</v>
      </c>
      <c r="BD1638" s="1212">
        <v>0.02</v>
      </c>
      <c r="BE1638" s="1212">
        <v>0.05</v>
      </c>
      <c r="BF1638" s="2126">
        <v>0</v>
      </c>
      <c r="BG1638" s="2126">
        <v>0</v>
      </c>
      <c r="BH1638" s="2126">
        <v>11700</v>
      </c>
      <c r="BI1638" s="2126">
        <v>11700</v>
      </c>
      <c r="BJ1638" s="2126">
        <v>11700</v>
      </c>
      <c r="BK1638" s="2126">
        <v>6500</v>
      </c>
      <c r="BL1638" s="2126">
        <v>6500</v>
      </c>
      <c r="BM1638" s="2126">
        <v>4550</v>
      </c>
      <c r="BN1638" s="2126">
        <v>3250</v>
      </c>
      <c r="BO1638" s="2126">
        <v>3250</v>
      </c>
      <c r="BP1638" s="2126">
        <v>1300</v>
      </c>
      <c r="BQ1638" s="2126">
        <v>1300</v>
      </c>
      <c r="BR1638" s="2126">
        <v>3250</v>
      </c>
    </row>
    <row r="1639" spans="1:70" s="1765" customFormat="1" ht="49.5">
      <c r="A1639" s="1272">
        <v>8000</v>
      </c>
      <c r="B1639" s="971" t="s">
        <v>2666</v>
      </c>
      <c r="C1639" s="1272">
        <v>8100</v>
      </c>
      <c r="D1639" s="971" t="s">
        <v>2666</v>
      </c>
      <c r="E1639" s="971" t="s">
        <v>2678</v>
      </c>
      <c r="F1639" s="971" t="s">
        <v>2682</v>
      </c>
      <c r="G1639" s="971" t="s">
        <v>2678</v>
      </c>
      <c r="H1639" s="971" t="s">
        <v>2683</v>
      </c>
      <c r="I1639" s="1273"/>
      <c r="J1639" s="971"/>
      <c r="K1639" s="971"/>
      <c r="L1639" s="971" t="s">
        <v>2669</v>
      </c>
      <c r="M1639" s="971" t="s">
        <v>2669</v>
      </c>
      <c r="N1639" s="971" t="s">
        <v>2669</v>
      </c>
      <c r="O1639" s="971" t="s">
        <v>2669</v>
      </c>
      <c r="P1639" s="971"/>
      <c r="Q1639" s="971" t="s">
        <v>2684</v>
      </c>
      <c r="R1639" s="1266"/>
      <c r="S1639" s="2106"/>
      <c r="T1639" s="1266"/>
      <c r="U1639" s="1742"/>
      <c r="V1639" s="1742"/>
      <c r="W1639" s="1742"/>
      <c r="X1639" s="1742"/>
      <c r="Y1639" s="2106"/>
      <c r="Z1639" s="2106"/>
      <c r="AA1639" s="2106"/>
      <c r="AB1639" s="2106"/>
      <c r="AC1639" s="2106"/>
      <c r="AD1639" s="1744">
        <v>2019000</v>
      </c>
      <c r="AE1639" s="2126">
        <v>0</v>
      </c>
      <c r="AF1639" s="2126">
        <v>0</v>
      </c>
      <c r="AG1639" s="1212">
        <v>1</v>
      </c>
      <c r="AH1639" s="1212">
        <v>0</v>
      </c>
      <c r="AI1639" s="1212">
        <v>0</v>
      </c>
      <c r="AJ1639" s="1212">
        <v>1</v>
      </c>
      <c r="AK1639" s="2126">
        <v>2019000</v>
      </c>
      <c r="AL1639" s="2126">
        <v>0</v>
      </c>
      <c r="AM1639" s="2126">
        <v>0</v>
      </c>
      <c r="AN1639" s="2126">
        <v>2019000</v>
      </c>
      <c r="AO1639" s="1743" t="s">
        <v>85</v>
      </c>
      <c r="AP1639" s="1743" t="s">
        <v>90</v>
      </c>
      <c r="AQ1639" s="1764">
        <v>2019</v>
      </c>
      <c r="AR1639" s="1743" t="s">
        <v>2669</v>
      </c>
      <c r="AS1639" s="2135"/>
      <c r="AT1639" s="2135"/>
      <c r="AU1639" s="1212">
        <v>0.33333333333333331</v>
      </c>
      <c r="AV1639" s="1212">
        <v>0.33333333333333331</v>
      </c>
      <c r="AW1639" s="1212">
        <v>0.33333333333333331</v>
      </c>
      <c r="AX1639" s="1212"/>
      <c r="AY1639" s="1212"/>
      <c r="AZ1639" s="1212"/>
      <c r="BA1639" s="1212"/>
      <c r="BB1639" s="1212"/>
      <c r="BC1639" s="1212"/>
      <c r="BD1639" s="1212"/>
      <c r="BE1639" s="1212"/>
      <c r="BF1639" s="2126">
        <v>0</v>
      </c>
      <c r="BG1639" s="2126">
        <v>0</v>
      </c>
      <c r="BH1639" s="2126">
        <v>673000</v>
      </c>
      <c r="BI1639" s="2126">
        <v>673000</v>
      </c>
      <c r="BJ1639" s="2126">
        <v>673000</v>
      </c>
      <c r="BK1639" s="2126">
        <v>0</v>
      </c>
      <c r="BL1639" s="2126">
        <v>0</v>
      </c>
      <c r="BM1639" s="2126">
        <v>0</v>
      </c>
      <c r="BN1639" s="2126">
        <v>0</v>
      </c>
      <c r="BO1639" s="2126">
        <v>0</v>
      </c>
      <c r="BP1639" s="2126">
        <v>0</v>
      </c>
      <c r="BQ1639" s="2126">
        <v>0</v>
      </c>
      <c r="BR1639" s="2126">
        <v>0</v>
      </c>
    </row>
    <row r="1640" spans="1:70" s="1765" customFormat="1" ht="49.5">
      <c r="A1640" s="1272">
        <v>8000</v>
      </c>
      <c r="B1640" s="971" t="s">
        <v>2666</v>
      </c>
      <c r="C1640" s="1272">
        <v>8100</v>
      </c>
      <c r="D1640" s="971" t="s">
        <v>2666</v>
      </c>
      <c r="E1640" s="971" t="s">
        <v>2678</v>
      </c>
      <c r="F1640" s="971" t="s">
        <v>2682</v>
      </c>
      <c r="G1640" s="971" t="s">
        <v>2678</v>
      </c>
      <c r="H1640" s="971" t="s">
        <v>2683</v>
      </c>
      <c r="I1640" s="1273"/>
      <c r="J1640" s="971"/>
      <c r="K1640" s="971"/>
      <c r="L1640" s="971" t="s">
        <v>2669</v>
      </c>
      <c r="M1640" s="971" t="s">
        <v>2669</v>
      </c>
      <c r="N1640" s="971" t="s">
        <v>2669</v>
      </c>
      <c r="O1640" s="971" t="s">
        <v>2669</v>
      </c>
      <c r="P1640" s="971"/>
      <c r="Q1640" s="971" t="s">
        <v>2684</v>
      </c>
      <c r="R1640" s="1266"/>
      <c r="S1640" s="2106"/>
      <c r="T1640" s="1266"/>
      <c r="U1640" s="1742"/>
      <c r="V1640" s="1742"/>
      <c r="W1640" s="1742"/>
      <c r="X1640" s="1742"/>
      <c r="Y1640" s="2106"/>
      <c r="Z1640" s="2106"/>
      <c r="AA1640" s="2106"/>
      <c r="AB1640" s="2106"/>
      <c r="AC1640" s="2106"/>
      <c r="AD1640" s="1744">
        <v>2537000</v>
      </c>
      <c r="AE1640" s="2126">
        <v>0</v>
      </c>
      <c r="AF1640" s="2126">
        <v>0</v>
      </c>
      <c r="AG1640" s="1212">
        <v>1</v>
      </c>
      <c r="AH1640" s="1212">
        <v>0</v>
      </c>
      <c r="AI1640" s="1212">
        <v>0</v>
      </c>
      <c r="AJ1640" s="1212">
        <v>1</v>
      </c>
      <c r="AK1640" s="2126">
        <v>2537000</v>
      </c>
      <c r="AL1640" s="2126">
        <v>0</v>
      </c>
      <c r="AM1640" s="2126">
        <v>0</v>
      </c>
      <c r="AN1640" s="2126">
        <v>2537000</v>
      </c>
      <c r="AO1640" s="1743" t="s">
        <v>85</v>
      </c>
      <c r="AP1640" s="1743" t="s">
        <v>90</v>
      </c>
      <c r="AQ1640" s="1764">
        <v>2016</v>
      </c>
      <c r="AR1640" s="1743" t="s">
        <v>2669</v>
      </c>
      <c r="AS1640" s="2135"/>
      <c r="AT1640" s="2135"/>
      <c r="AU1640" s="1212">
        <v>0.33333333333333331</v>
      </c>
      <c r="AV1640" s="1212">
        <v>0.33333333333333331</v>
      </c>
      <c r="AW1640" s="1212">
        <v>0.33333333333333331</v>
      </c>
      <c r="AX1640" s="1212"/>
      <c r="AY1640" s="1212"/>
      <c r="AZ1640" s="1212"/>
      <c r="BA1640" s="1212"/>
      <c r="BB1640" s="1212"/>
      <c r="BC1640" s="1212"/>
      <c r="BD1640" s="1212"/>
      <c r="BE1640" s="1212"/>
      <c r="BF1640" s="2126">
        <v>0</v>
      </c>
      <c r="BG1640" s="2126">
        <v>0</v>
      </c>
      <c r="BH1640" s="2126">
        <v>845666.66666666663</v>
      </c>
      <c r="BI1640" s="2126">
        <v>845666.66666666663</v>
      </c>
      <c r="BJ1640" s="2126">
        <v>845666.66666666663</v>
      </c>
      <c r="BK1640" s="2126">
        <v>0</v>
      </c>
      <c r="BL1640" s="2126">
        <v>0</v>
      </c>
      <c r="BM1640" s="2126">
        <v>0</v>
      </c>
      <c r="BN1640" s="2126">
        <v>0</v>
      </c>
      <c r="BO1640" s="2126">
        <v>0</v>
      </c>
      <c r="BP1640" s="2126">
        <v>0</v>
      </c>
      <c r="BQ1640" s="2126">
        <v>0</v>
      </c>
      <c r="BR1640" s="2126">
        <v>0</v>
      </c>
    </row>
    <row r="1641" spans="1:70" s="1765" customFormat="1" ht="33">
      <c r="A1641" s="1272">
        <v>8000</v>
      </c>
      <c r="B1641" s="971" t="s">
        <v>2666</v>
      </c>
      <c r="C1641" s="1272">
        <v>8100</v>
      </c>
      <c r="D1641" s="971" t="s">
        <v>2666</v>
      </c>
      <c r="E1641" s="971" t="s">
        <v>2678</v>
      </c>
      <c r="F1641" s="971" t="s">
        <v>2682</v>
      </c>
      <c r="G1641" s="971" t="s">
        <v>2678</v>
      </c>
      <c r="H1641" s="971" t="s">
        <v>2686</v>
      </c>
      <c r="I1641" s="1273"/>
      <c r="J1641" s="971"/>
      <c r="K1641" s="971"/>
      <c r="L1641" s="971" t="s">
        <v>2669</v>
      </c>
      <c r="M1641" s="971" t="s">
        <v>2669</v>
      </c>
      <c r="N1641" s="971" t="s">
        <v>2669</v>
      </c>
      <c r="O1641" s="971" t="s">
        <v>2669</v>
      </c>
      <c r="P1641" s="971"/>
      <c r="Q1641" s="971" t="s">
        <v>2686</v>
      </c>
      <c r="R1641" s="1266"/>
      <c r="S1641" s="2106"/>
      <c r="T1641" s="1266"/>
      <c r="U1641" s="1742"/>
      <c r="V1641" s="1742"/>
      <c r="W1641" s="1742"/>
      <c r="X1641" s="1742"/>
      <c r="Y1641" s="2106"/>
      <c r="Z1641" s="2106"/>
      <c r="AA1641" s="2106"/>
      <c r="AB1641" s="2106"/>
      <c r="AC1641" s="2106"/>
      <c r="AD1641" s="1744">
        <v>234000</v>
      </c>
      <c r="AE1641" s="2126">
        <v>0</v>
      </c>
      <c r="AF1641" s="2126">
        <v>0</v>
      </c>
      <c r="AG1641" s="1212">
        <v>1</v>
      </c>
      <c r="AH1641" s="1212">
        <v>0</v>
      </c>
      <c r="AI1641" s="1212">
        <v>0</v>
      </c>
      <c r="AJ1641" s="1212">
        <v>1</v>
      </c>
      <c r="AK1641" s="2126">
        <v>234000</v>
      </c>
      <c r="AL1641" s="2126">
        <v>0</v>
      </c>
      <c r="AM1641" s="2126">
        <v>0</v>
      </c>
      <c r="AN1641" s="2126">
        <v>234000</v>
      </c>
      <c r="AO1641" s="1743" t="s">
        <v>85</v>
      </c>
      <c r="AP1641" s="1743"/>
      <c r="AQ1641" s="1764">
        <v>2014</v>
      </c>
      <c r="AR1641" s="1743" t="s">
        <v>2669</v>
      </c>
      <c r="AS1641" s="2135"/>
      <c r="AT1641" s="2135"/>
      <c r="AU1641" s="1212">
        <v>0.33333333333333331</v>
      </c>
      <c r="AV1641" s="1212">
        <v>0.33333333333333331</v>
      </c>
      <c r="AW1641" s="1212">
        <v>0.33333333333333331</v>
      </c>
      <c r="AX1641" s="1212"/>
      <c r="AY1641" s="1212"/>
      <c r="AZ1641" s="1212"/>
      <c r="BA1641" s="1212"/>
      <c r="BB1641" s="1212"/>
      <c r="BC1641" s="1212"/>
      <c r="BD1641" s="1212"/>
      <c r="BE1641" s="1212"/>
      <c r="BF1641" s="2126">
        <v>0</v>
      </c>
      <c r="BG1641" s="2126">
        <v>0</v>
      </c>
      <c r="BH1641" s="2126">
        <v>78000</v>
      </c>
      <c r="BI1641" s="2126">
        <v>78000</v>
      </c>
      <c r="BJ1641" s="2126">
        <v>78000</v>
      </c>
      <c r="BK1641" s="2126">
        <v>0</v>
      </c>
      <c r="BL1641" s="2126">
        <v>0</v>
      </c>
      <c r="BM1641" s="2126">
        <v>0</v>
      </c>
      <c r="BN1641" s="2126">
        <v>0</v>
      </c>
      <c r="BO1641" s="2126">
        <v>0</v>
      </c>
      <c r="BP1641" s="2126">
        <v>0</v>
      </c>
      <c r="BQ1641" s="2126">
        <v>0</v>
      </c>
      <c r="BR1641" s="2126">
        <v>0</v>
      </c>
    </row>
    <row r="1642" spans="1:70" s="1765" customFormat="1" ht="33">
      <c r="A1642" s="1272">
        <v>8000</v>
      </c>
      <c r="B1642" s="971" t="s">
        <v>2666</v>
      </c>
      <c r="C1642" s="1272">
        <v>8100</v>
      </c>
      <c r="D1642" s="971" t="s">
        <v>2666</v>
      </c>
      <c r="E1642" s="971" t="s">
        <v>2678</v>
      </c>
      <c r="F1642" s="971" t="s">
        <v>2682</v>
      </c>
      <c r="G1642" s="971" t="s">
        <v>2678</v>
      </c>
      <c r="H1642" s="971" t="s">
        <v>2686</v>
      </c>
      <c r="I1642" s="1273"/>
      <c r="J1642" s="971"/>
      <c r="K1642" s="971"/>
      <c r="L1642" s="971"/>
      <c r="M1642" s="971" t="s">
        <v>2669</v>
      </c>
      <c r="N1642" s="971" t="s">
        <v>2669</v>
      </c>
      <c r="O1642" s="971" t="s">
        <v>2669</v>
      </c>
      <c r="P1642" s="971"/>
      <c r="Q1642" s="971" t="s">
        <v>2686</v>
      </c>
      <c r="R1642" s="1266"/>
      <c r="S1642" s="2106"/>
      <c r="T1642" s="1266"/>
      <c r="U1642" s="1742"/>
      <c r="V1642" s="1742"/>
      <c r="W1642" s="1742"/>
      <c r="X1642" s="1742"/>
      <c r="Y1642" s="2106"/>
      <c r="Z1642" s="2106"/>
      <c r="AA1642" s="2106"/>
      <c r="AB1642" s="2106"/>
      <c r="AC1642" s="2106"/>
      <c r="AD1642" s="1744">
        <v>63000</v>
      </c>
      <c r="AE1642" s="2126">
        <v>0</v>
      </c>
      <c r="AF1642" s="2126">
        <v>0</v>
      </c>
      <c r="AG1642" s="1212">
        <v>1</v>
      </c>
      <c r="AH1642" s="1212">
        <v>0</v>
      </c>
      <c r="AI1642" s="1212">
        <v>0</v>
      </c>
      <c r="AJ1642" s="1212">
        <v>1</v>
      </c>
      <c r="AK1642" s="2126">
        <v>63000</v>
      </c>
      <c r="AL1642" s="2126">
        <v>0</v>
      </c>
      <c r="AM1642" s="2126">
        <v>0</v>
      </c>
      <c r="AN1642" s="2126">
        <v>63000</v>
      </c>
      <c r="AO1642" s="1743" t="s">
        <v>85</v>
      </c>
      <c r="AP1642" s="1743" t="s">
        <v>90</v>
      </c>
      <c r="AQ1642" s="1764">
        <v>2017</v>
      </c>
      <c r="AR1642" s="1743" t="s">
        <v>2669</v>
      </c>
      <c r="AS1642" s="2135"/>
      <c r="AT1642" s="2135"/>
      <c r="AU1642" s="1212">
        <v>0.33333333333333331</v>
      </c>
      <c r="AV1642" s="1212">
        <v>0.33333333333333331</v>
      </c>
      <c r="AW1642" s="1212">
        <v>0.33333333333333331</v>
      </c>
      <c r="AX1642" s="1212"/>
      <c r="AY1642" s="1212"/>
      <c r="AZ1642" s="1212"/>
      <c r="BA1642" s="1212"/>
      <c r="BB1642" s="1212"/>
      <c r="BC1642" s="1212"/>
      <c r="BD1642" s="1212"/>
      <c r="BE1642" s="1212"/>
      <c r="BF1642" s="2126">
        <v>0</v>
      </c>
      <c r="BG1642" s="2126">
        <v>0</v>
      </c>
      <c r="BH1642" s="2126">
        <v>21000</v>
      </c>
      <c r="BI1642" s="2126">
        <v>21000</v>
      </c>
      <c r="BJ1642" s="2126">
        <v>21000</v>
      </c>
      <c r="BK1642" s="2126">
        <v>0</v>
      </c>
      <c r="BL1642" s="2126">
        <v>0</v>
      </c>
      <c r="BM1642" s="2126">
        <v>0</v>
      </c>
      <c r="BN1642" s="2126">
        <v>0</v>
      </c>
      <c r="BO1642" s="2126">
        <v>0</v>
      </c>
      <c r="BP1642" s="2126">
        <v>0</v>
      </c>
      <c r="BQ1642" s="2126">
        <v>0</v>
      </c>
      <c r="BR1642" s="2126">
        <v>0</v>
      </c>
    </row>
    <row r="1643" spans="1:70" s="1765" customFormat="1" ht="33">
      <c r="A1643" s="1272">
        <v>8000</v>
      </c>
      <c r="B1643" s="971" t="s">
        <v>2666</v>
      </c>
      <c r="C1643" s="1272">
        <v>8100</v>
      </c>
      <c r="D1643" s="971" t="s">
        <v>2666</v>
      </c>
      <c r="E1643" s="971" t="s">
        <v>2678</v>
      </c>
      <c r="F1643" s="971" t="s">
        <v>2682</v>
      </c>
      <c r="G1643" s="971" t="s">
        <v>2678</v>
      </c>
      <c r="H1643" s="971" t="s">
        <v>2686</v>
      </c>
      <c r="I1643" s="1273"/>
      <c r="J1643" s="971"/>
      <c r="K1643" s="971"/>
      <c r="L1643" s="971"/>
      <c r="M1643" s="971" t="s">
        <v>2669</v>
      </c>
      <c r="N1643" s="971" t="s">
        <v>2669</v>
      </c>
      <c r="O1643" s="971" t="s">
        <v>2669</v>
      </c>
      <c r="P1643" s="971"/>
      <c r="Q1643" s="971" t="s">
        <v>2686</v>
      </c>
      <c r="R1643" s="1266"/>
      <c r="S1643" s="2106"/>
      <c r="T1643" s="1266"/>
      <c r="U1643" s="1742"/>
      <c r="V1643" s="1742"/>
      <c r="W1643" s="1742"/>
      <c r="X1643" s="1742"/>
      <c r="Y1643" s="2106"/>
      <c r="Z1643" s="2106"/>
      <c r="AA1643" s="2106"/>
      <c r="AB1643" s="2106"/>
      <c r="AC1643" s="2106"/>
      <c r="AD1643" s="1744">
        <v>5000</v>
      </c>
      <c r="AE1643" s="2126">
        <v>0</v>
      </c>
      <c r="AF1643" s="2126">
        <v>0</v>
      </c>
      <c r="AG1643" s="1212">
        <v>1</v>
      </c>
      <c r="AH1643" s="1212">
        <v>0</v>
      </c>
      <c r="AI1643" s="1212">
        <v>0</v>
      </c>
      <c r="AJ1643" s="1212">
        <v>1</v>
      </c>
      <c r="AK1643" s="2126">
        <v>5000</v>
      </c>
      <c r="AL1643" s="2126">
        <v>0</v>
      </c>
      <c r="AM1643" s="2126">
        <v>0</v>
      </c>
      <c r="AN1643" s="2126">
        <v>5000</v>
      </c>
      <c r="AO1643" s="1743" t="s">
        <v>85</v>
      </c>
      <c r="AP1643" s="1743" t="s">
        <v>90</v>
      </c>
      <c r="AQ1643" s="1764" t="s">
        <v>108</v>
      </c>
      <c r="AR1643" s="1743" t="s">
        <v>2669</v>
      </c>
      <c r="AS1643" s="2135"/>
      <c r="AT1643" s="2135"/>
      <c r="AU1643" s="1212">
        <v>0.33333333333333331</v>
      </c>
      <c r="AV1643" s="1212">
        <v>0.33333333333333331</v>
      </c>
      <c r="AW1643" s="1212">
        <v>0.33333333333333331</v>
      </c>
      <c r="AX1643" s="1212"/>
      <c r="AY1643" s="1212"/>
      <c r="AZ1643" s="1212"/>
      <c r="BA1643" s="1212"/>
      <c r="BB1643" s="1212"/>
      <c r="BC1643" s="1212"/>
      <c r="BD1643" s="1212"/>
      <c r="BE1643" s="1212"/>
      <c r="BF1643" s="2126">
        <v>0</v>
      </c>
      <c r="BG1643" s="2126">
        <v>0</v>
      </c>
      <c r="BH1643" s="2126">
        <v>1666.6666666666665</v>
      </c>
      <c r="BI1643" s="2126">
        <v>1666.6666666666665</v>
      </c>
      <c r="BJ1643" s="2126">
        <v>1666.6666666666665</v>
      </c>
      <c r="BK1643" s="2126">
        <v>0</v>
      </c>
      <c r="BL1643" s="2126">
        <v>0</v>
      </c>
      <c r="BM1643" s="2126">
        <v>0</v>
      </c>
      <c r="BN1643" s="2126">
        <v>0</v>
      </c>
      <c r="BO1643" s="2126">
        <v>0</v>
      </c>
      <c r="BP1643" s="2126">
        <v>0</v>
      </c>
      <c r="BQ1643" s="2126">
        <v>0</v>
      </c>
      <c r="BR1643" s="2126">
        <v>0</v>
      </c>
    </row>
    <row r="1644" spans="1:70" s="1765" customFormat="1" ht="33">
      <c r="A1644" s="1272">
        <v>8000</v>
      </c>
      <c r="B1644" s="971" t="s">
        <v>2666</v>
      </c>
      <c r="C1644" s="1272">
        <v>8100</v>
      </c>
      <c r="D1644" s="971" t="s">
        <v>2666</v>
      </c>
      <c r="E1644" s="971" t="s">
        <v>2678</v>
      </c>
      <c r="F1644" s="971" t="s">
        <v>2682</v>
      </c>
      <c r="G1644" s="971" t="s">
        <v>2678</v>
      </c>
      <c r="H1644" s="971" t="s">
        <v>2686</v>
      </c>
      <c r="I1644" s="1273"/>
      <c r="J1644" s="971"/>
      <c r="K1644" s="971" t="s">
        <v>1365</v>
      </c>
      <c r="L1644" s="971"/>
      <c r="M1644" s="971" t="s">
        <v>2669</v>
      </c>
      <c r="N1644" s="971" t="s">
        <v>2669</v>
      </c>
      <c r="O1644" s="971" t="s">
        <v>2669</v>
      </c>
      <c r="P1644" s="971"/>
      <c r="Q1644" s="971" t="s">
        <v>2687</v>
      </c>
      <c r="R1644" s="1266"/>
      <c r="S1644" s="2106">
        <v>32772</v>
      </c>
      <c r="T1644" s="1266" t="s">
        <v>2688</v>
      </c>
      <c r="U1644" s="1742"/>
      <c r="V1644" s="1742"/>
      <c r="W1644" s="1742"/>
      <c r="X1644" s="1742"/>
      <c r="Y1644" s="2106">
        <v>4.3154973761819289</v>
      </c>
      <c r="Z1644" s="2106"/>
      <c r="AA1644" s="2106"/>
      <c r="AB1644" s="2106"/>
      <c r="AC1644" s="2106"/>
      <c r="AD1644" s="1744">
        <v>141427.48001223418</v>
      </c>
      <c r="AE1644" s="2126">
        <v>0</v>
      </c>
      <c r="AF1644" s="2126">
        <v>0</v>
      </c>
      <c r="AG1644" s="1212">
        <v>1</v>
      </c>
      <c r="AH1644" s="1212">
        <v>0</v>
      </c>
      <c r="AI1644" s="1212">
        <v>0</v>
      </c>
      <c r="AJ1644" s="1212">
        <v>1</v>
      </c>
      <c r="AK1644" s="2126">
        <v>141427.48001223418</v>
      </c>
      <c r="AL1644" s="2126">
        <v>0</v>
      </c>
      <c r="AM1644" s="2126">
        <v>0</v>
      </c>
      <c r="AN1644" s="2126">
        <v>141427.48001223418</v>
      </c>
      <c r="AO1644" s="1743" t="s">
        <v>85</v>
      </c>
      <c r="AP1644" s="1743" t="s">
        <v>90</v>
      </c>
      <c r="AQ1644" s="1764" t="s">
        <v>115</v>
      </c>
      <c r="AR1644" s="1743" t="s">
        <v>2669</v>
      </c>
      <c r="AS1644" s="2135"/>
      <c r="AT1644" s="2135"/>
      <c r="AU1644" s="1212">
        <v>0.33333333333333331</v>
      </c>
      <c r="AV1644" s="1212">
        <v>0.33333333333333331</v>
      </c>
      <c r="AW1644" s="1212">
        <v>0.33333333333333331</v>
      </c>
      <c r="AX1644" s="1212"/>
      <c r="AY1644" s="1212"/>
      <c r="AZ1644" s="1212"/>
      <c r="BA1644" s="1212"/>
      <c r="BB1644" s="1212"/>
      <c r="BC1644" s="1212"/>
      <c r="BD1644" s="1212"/>
      <c r="BE1644" s="1212"/>
      <c r="BF1644" s="2126">
        <v>0</v>
      </c>
      <c r="BG1644" s="2126">
        <v>0</v>
      </c>
      <c r="BH1644" s="2126">
        <v>47142.49333741139</v>
      </c>
      <c r="BI1644" s="2126">
        <v>47142.49333741139</v>
      </c>
      <c r="BJ1644" s="2126">
        <v>47142.49333741139</v>
      </c>
      <c r="BK1644" s="2126">
        <v>0</v>
      </c>
      <c r="BL1644" s="2126">
        <v>0</v>
      </c>
      <c r="BM1644" s="2126">
        <v>0</v>
      </c>
      <c r="BN1644" s="2126">
        <v>0</v>
      </c>
      <c r="BO1644" s="2126">
        <v>0</v>
      </c>
      <c r="BP1644" s="2126">
        <v>0</v>
      </c>
      <c r="BQ1644" s="2126">
        <v>0</v>
      </c>
      <c r="BR1644" s="2126">
        <v>0</v>
      </c>
    </row>
    <row r="1645" spans="1:70" s="1765" customFormat="1" ht="33">
      <c r="A1645" s="1272">
        <v>8000</v>
      </c>
      <c r="B1645" s="971" t="s">
        <v>2666</v>
      </c>
      <c r="C1645" s="1272">
        <v>8100</v>
      </c>
      <c r="D1645" s="971" t="s">
        <v>2666</v>
      </c>
      <c r="E1645" s="971" t="s">
        <v>2678</v>
      </c>
      <c r="F1645" s="971" t="s">
        <v>2682</v>
      </c>
      <c r="G1645" s="971" t="s">
        <v>2678</v>
      </c>
      <c r="H1645" s="971" t="s">
        <v>2686</v>
      </c>
      <c r="I1645" s="1273"/>
      <c r="J1645" s="971"/>
      <c r="K1645" s="971" t="s">
        <v>1365</v>
      </c>
      <c r="L1645" s="971"/>
      <c r="M1645" s="971" t="s">
        <v>2669</v>
      </c>
      <c r="N1645" s="971" t="s">
        <v>2669</v>
      </c>
      <c r="O1645" s="971" t="s">
        <v>2669</v>
      </c>
      <c r="P1645" s="971"/>
      <c r="Q1645" s="971" t="s">
        <v>2689</v>
      </c>
      <c r="R1645" s="1266"/>
      <c r="S1645" s="2106">
        <v>10425</v>
      </c>
      <c r="T1645" s="1266" t="s">
        <v>2688</v>
      </c>
      <c r="U1645" s="1742"/>
      <c r="V1645" s="1742"/>
      <c r="W1645" s="1742"/>
      <c r="X1645" s="1742"/>
      <c r="Y1645" s="2106">
        <v>4.3154973761819289</v>
      </c>
      <c r="Z1645" s="2106"/>
      <c r="AA1645" s="2106"/>
      <c r="AB1645" s="2106"/>
      <c r="AC1645" s="2106"/>
      <c r="AD1645" s="1744">
        <v>44989.060146696611</v>
      </c>
      <c r="AE1645" s="2126">
        <v>0</v>
      </c>
      <c r="AF1645" s="2126">
        <v>0</v>
      </c>
      <c r="AG1645" s="1212">
        <v>1</v>
      </c>
      <c r="AH1645" s="1212">
        <v>0</v>
      </c>
      <c r="AI1645" s="1212">
        <v>0</v>
      </c>
      <c r="AJ1645" s="1212">
        <v>1</v>
      </c>
      <c r="AK1645" s="2126">
        <v>44989.060146696611</v>
      </c>
      <c r="AL1645" s="2126">
        <v>0</v>
      </c>
      <c r="AM1645" s="2126">
        <v>0</v>
      </c>
      <c r="AN1645" s="2126">
        <v>44989.060146696611</v>
      </c>
      <c r="AO1645" s="1743" t="s">
        <v>85</v>
      </c>
      <c r="AP1645" s="1743" t="s">
        <v>90</v>
      </c>
      <c r="AQ1645" s="1764" t="s">
        <v>115</v>
      </c>
      <c r="AR1645" s="1743" t="s">
        <v>2669</v>
      </c>
      <c r="AS1645" s="2135"/>
      <c r="AT1645" s="2135"/>
      <c r="AU1645" s="1212">
        <v>0.33333333333333331</v>
      </c>
      <c r="AV1645" s="1212">
        <v>0.33333333333333331</v>
      </c>
      <c r="AW1645" s="1212">
        <v>0.33333333333333331</v>
      </c>
      <c r="AX1645" s="1212"/>
      <c r="AY1645" s="1212"/>
      <c r="AZ1645" s="1212"/>
      <c r="BA1645" s="1212"/>
      <c r="BB1645" s="1212"/>
      <c r="BC1645" s="1212"/>
      <c r="BD1645" s="1212"/>
      <c r="BE1645" s="1212"/>
      <c r="BF1645" s="2126">
        <v>0</v>
      </c>
      <c r="BG1645" s="2126">
        <v>0</v>
      </c>
      <c r="BH1645" s="2126">
        <v>14996.353382232202</v>
      </c>
      <c r="BI1645" s="2126">
        <v>14996.353382232202</v>
      </c>
      <c r="BJ1645" s="2126">
        <v>14996.353382232202</v>
      </c>
      <c r="BK1645" s="2126">
        <v>0</v>
      </c>
      <c r="BL1645" s="2126">
        <v>0</v>
      </c>
      <c r="BM1645" s="2126">
        <v>0</v>
      </c>
      <c r="BN1645" s="2126">
        <v>0</v>
      </c>
      <c r="BO1645" s="2126">
        <v>0</v>
      </c>
      <c r="BP1645" s="2126">
        <v>0</v>
      </c>
      <c r="BQ1645" s="2126">
        <v>0</v>
      </c>
      <c r="BR1645" s="2126">
        <v>0</v>
      </c>
    </row>
    <row r="1646" spans="1:70" s="1765" customFormat="1" ht="33">
      <c r="A1646" s="1272">
        <v>8000</v>
      </c>
      <c r="B1646" s="971" t="s">
        <v>2666</v>
      </c>
      <c r="C1646" s="1272">
        <v>8100</v>
      </c>
      <c r="D1646" s="971" t="s">
        <v>2666</v>
      </c>
      <c r="E1646" s="971" t="s">
        <v>2678</v>
      </c>
      <c r="F1646" s="971" t="s">
        <v>2682</v>
      </c>
      <c r="G1646" s="971" t="s">
        <v>2678</v>
      </c>
      <c r="H1646" s="971" t="s">
        <v>2686</v>
      </c>
      <c r="I1646" s="1273"/>
      <c r="J1646" s="971"/>
      <c r="K1646" s="971" t="s">
        <v>2690</v>
      </c>
      <c r="L1646" s="971"/>
      <c r="M1646" s="971" t="s">
        <v>2669</v>
      </c>
      <c r="N1646" s="971" t="s">
        <v>2669</v>
      </c>
      <c r="O1646" s="971" t="s">
        <v>2669</v>
      </c>
      <c r="P1646" s="971"/>
      <c r="Q1646" s="971" t="s">
        <v>2691</v>
      </c>
      <c r="R1646" s="1266"/>
      <c r="S1646" s="2106">
        <v>8504</v>
      </c>
      <c r="T1646" s="1266" t="s">
        <v>2688</v>
      </c>
      <c r="U1646" s="1742"/>
      <c r="V1646" s="1742"/>
      <c r="W1646" s="1742"/>
      <c r="X1646" s="1742"/>
      <c r="Y1646" s="2106">
        <v>10.6308593901067</v>
      </c>
      <c r="Z1646" s="2106"/>
      <c r="AA1646" s="2106"/>
      <c r="AB1646" s="2106"/>
      <c r="AC1646" s="2106"/>
      <c r="AD1646" s="1744">
        <v>90404.828253467378</v>
      </c>
      <c r="AE1646" s="2126">
        <v>0</v>
      </c>
      <c r="AF1646" s="2126">
        <v>0</v>
      </c>
      <c r="AG1646" s="1212">
        <v>1</v>
      </c>
      <c r="AH1646" s="1212">
        <v>0</v>
      </c>
      <c r="AI1646" s="1212">
        <v>0</v>
      </c>
      <c r="AJ1646" s="1212">
        <v>1</v>
      </c>
      <c r="AK1646" s="2126">
        <v>90404.828253467378</v>
      </c>
      <c r="AL1646" s="2126">
        <v>0</v>
      </c>
      <c r="AM1646" s="2126">
        <v>0</v>
      </c>
      <c r="AN1646" s="2126">
        <v>90404.828253467378</v>
      </c>
      <c r="AO1646" s="1743" t="s">
        <v>85</v>
      </c>
      <c r="AP1646" s="1743" t="s">
        <v>90</v>
      </c>
      <c r="AQ1646" s="1764" t="s">
        <v>115</v>
      </c>
      <c r="AR1646" s="1743" t="s">
        <v>2669</v>
      </c>
      <c r="AS1646" s="2135"/>
      <c r="AT1646" s="2135"/>
      <c r="AU1646" s="1212">
        <v>0.33333333333333331</v>
      </c>
      <c r="AV1646" s="1212">
        <v>0.33333333333333331</v>
      </c>
      <c r="AW1646" s="1212">
        <v>0.33333333333333331</v>
      </c>
      <c r="AX1646" s="1212"/>
      <c r="AY1646" s="1212"/>
      <c r="AZ1646" s="1212"/>
      <c r="BA1646" s="1212"/>
      <c r="BB1646" s="1212"/>
      <c r="BC1646" s="1212"/>
      <c r="BD1646" s="1212"/>
      <c r="BE1646" s="1212"/>
      <c r="BF1646" s="2126">
        <v>0</v>
      </c>
      <c r="BG1646" s="2126">
        <v>0</v>
      </c>
      <c r="BH1646" s="2126">
        <v>30134.942751155791</v>
      </c>
      <c r="BI1646" s="2126">
        <v>30134.942751155791</v>
      </c>
      <c r="BJ1646" s="2126">
        <v>30134.942751155791</v>
      </c>
      <c r="BK1646" s="2126">
        <v>0</v>
      </c>
      <c r="BL1646" s="2126">
        <v>0</v>
      </c>
      <c r="BM1646" s="2126">
        <v>0</v>
      </c>
      <c r="BN1646" s="2126">
        <v>0</v>
      </c>
      <c r="BO1646" s="2126">
        <v>0</v>
      </c>
      <c r="BP1646" s="2126">
        <v>0</v>
      </c>
      <c r="BQ1646" s="2126">
        <v>0</v>
      </c>
      <c r="BR1646" s="2126">
        <v>0</v>
      </c>
    </row>
    <row r="1647" spans="1:70" s="1765" customFormat="1" ht="33">
      <c r="A1647" s="1272">
        <v>8000</v>
      </c>
      <c r="B1647" s="971" t="s">
        <v>2666</v>
      </c>
      <c r="C1647" s="1272">
        <v>8100</v>
      </c>
      <c r="D1647" s="971" t="s">
        <v>2666</v>
      </c>
      <c r="E1647" s="971" t="s">
        <v>2678</v>
      </c>
      <c r="F1647" s="971" t="s">
        <v>2682</v>
      </c>
      <c r="G1647" s="971" t="s">
        <v>2678</v>
      </c>
      <c r="H1647" s="971" t="s">
        <v>2692</v>
      </c>
      <c r="I1647" s="1273"/>
      <c r="J1647" s="971"/>
      <c r="K1647" s="971"/>
      <c r="L1647" s="971" t="s">
        <v>2669</v>
      </c>
      <c r="M1647" s="971" t="s">
        <v>2669</v>
      </c>
      <c r="N1647" s="971" t="s">
        <v>2669</v>
      </c>
      <c r="O1647" s="971" t="s">
        <v>2669</v>
      </c>
      <c r="P1647" s="971"/>
      <c r="Q1647" s="971" t="s">
        <v>2692</v>
      </c>
      <c r="R1647" s="1266"/>
      <c r="S1647" s="2106"/>
      <c r="T1647" s="1266"/>
      <c r="U1647" s="1742"/>
      <c r="V1647" s="1742"/>
      <c r="W1647" s="1742"/>
      <c r="X1647" s="1742"/>
      <c r="Y1647" s="2106"/>
      <c r="Z1647" s="2106"/>
      <c r="AA1647" s="2106"/>
      <c r="AB1647" s="2106"/>
      <c r="AC1647" s="2106"/>
      <c r="AD1647" s="1744">
        <v>222664.914772777</v>
      </c>
      <c r="AE1647" s="2126">
        <v>0</v>
      </c>
      <c r="AF1647" s="2126">
        <v>0</v>
      </c>
      <c r="AG1647" s="1212">
        <v>1</v>
      </c>
      <c r="AH1647" s="1212">
        <v>0</v>
      </c>
      <c r="AI1647" s="1212">
        <v>0</v>
      </c>
      <c r="AJ1647" s="1212">
        <v>1</v>
      </c>
      <c r="AK1647" s="2126">
        <v>222664.914772777</v>
      </c>
      <c r="AL1647" s="2126">
        <v>0</v>
      </c>
      <c r="AM1647" s="2126">
        <v>0</v>
      </c>
      <c r="AN1647" s="2126">
        <v>222664.914772777</v>
      </c>
      <c r="AO1647" s="1743" t="s">
        <v>85</v>
      </c>
      <c r="AP1647" s="1743" t="s">
        <v>90</v>
      </c>
      <c r="AQ1647" s="1764">
        <v>2022</v>
      </c>
      <c r="AR1647" s="1743" t="s">
        <v>2669</v>
      </c>
      <c r="AS1647" s="2135"/>
      <c r="AT1647" s="2135"/>
      <c r="AU1647" s="1212">
        <v>0.33333333333333331</v>
      </c>
      <c r="AV1647" s="1212">
        <v>0.33333333333333331</v>
      </c>
      <c r="AW1647" s="1212">
        <v>0.33333333333333331</v>
      </c>
      <c r="AX1647" s="1212"/>
      <c r="AY1647" s="1212"/>
      <c r="AZ1647" s="1212"/>
      <c r="BA1647" s="1212"/>
      <c r="BB1647" s="1212"/>
      <c r="BC1647" s="1212"/>
      <c r="BD1647" s="1212"/>
      <c r="BE1647" s="1212"/>
      <c r="BF1647" s="2126">
        <v>0</v>
      </c>
      <c r="BG1647" s="2126">
        <v>0</v>
      </c>
      <c r="BH1647" s="2126">
        <v>74221.638257592334</v>
      </c>
      <c r="BI1647" s="2126">
        <v>74221.638257592334</v>
      </c>
      <c r="BJ1647" s="2126">
        <v>74221.638257592334</v>
      </c>
      <c r="BK1647" s="2126">
        <v>0</v>
      </c>
      <c r="BL1647" s="2126">
        <v>0</v>
      </c>
      <c r="BM1647" s="2126">
        <v>0</v>
      </c>
      <c r="BN1647" s="2126">
        <v>0</v>
      </c>
      <c r="BO1647" s="2126">
        <v>0</v>
      </c>
      <c r="BP1647" s="2126">
        <v>0</v>
      </c>
      <c r="BQ1647" s="2126">
        <v>0</v>
      </c>
      <c r="BR1647" s="2126">
        <v>0</v>
      </c>
    </row>
    <row r="1648" spans="1:70" s="1765" customFormat="1" ht="33">
      <c r="A1648" s="1272">
        <v>8000</v>
      </c>
      <c r="B1648" s="971" t="s">
        <v>2666</v>
      </c>
      <c r="C1648" s="1272">
        <v>8100</v>
      </c>
      <c r="D1648" s="971" t="s">
        <v>2666</v>
      </c>
      <c r="E1648" s="971" t="s">
        <v>2678</v>
      </c>
      <c r="F1648" s="971" t="s">
        <v>2682</v>
      </c>
      <c r="G1648" s="971" t="s">
        <v>2678</v>
      </c>
      <c r="H1648" s="971" t="s">
        <v>2692</v>
      </c>
      <c r="I1648" s="1273"/>
      <c r="J1648" s="971"/>
      <c r="K1648" s="971"/>
      <c r="L1648" s="971" t="s">
        <v>2669</v>
      </c>
      <c r="M1648" s="971" t="s">
        <v>2669</v>
      </c>
      <c r="N1648" s="971" t="s">
        <v>2669</v>
      </c>
      <c r="O1648" s="971" t="s">
        <v>2669</v>
      </c>
      <c r="P1648" s="971"/>
      <c r="Q1648" s="971" t="s">
        <v>2692</v>
      </c>
      <c r="R1648" s="1266"/>
      <c r="S1648" s="2106"/>
      <c r="T1648" s="1266"/>
      <c r="U1648" s="1742"/>
      <c r="V1648" s="1742"/>
      <c r="W1648" s="1742"/>
      <c r="X1648" s="1742"/>
      <c r="Y1648" s="2106"/>
      <c r="Z1648" s="2106"/>
      <c r="AA1648" s="2106"/>
      <c r="AB1648" s="2106"/>
      <c r="AC1648" s="2106"/>
      <c r="AD1648" s="1744">
        <v>75000</v>
      </c>
      <c r="AE1648" s="2126">
        <v>0</v>
      </c>
      <c r="AF1648" s="2126">
        <v>0</v>
      </c>
      <c r="AG1648" s="1212">
        <v>1</v>
      </c>
      <c r="AH1648" s="1212">
        <v>0</v>
      </c>
      <c r="AI1648" s="1212">
        <v>0</v>
      </c>
      <c r="AJ1648" s="1212">
        <v>1</v>
      </c>
      <c r="AK1648" s="2126">
        <v>75000</v>
      </c>
      <c r="AL1648" s="2126">
        <v>0</v>
      </c>
      <c r="AM1648" s="2126">
        <v>0</v>
      </c>
      <c r="AN1648" s="2126">
        <v>75000</v>
      </c>
      <c r="AO1648" s="1743" t="s">
        <v>85</v>
      </c>
      <c r="AP1648" s="1743" t="s">
        <v>90</v>
      </c>
      <c r="AQ1648" s="1764">
        <v>2021</v>
      </c>
      <c r="AR1648" s="1743" t="s">
        <v>2669</v>
      </c>
      <c r="AS1648" s="2135"/>
      <c r="AT1648" s="2135"/>
      <c r="AU1648" s="1212">
        <v>0.33333333333333331</v>
      </c>
      <c r="AV1648" s="1212">
        <v>0.33333333333333331</v>
      </c>
      <c r="AW1648" s="1212">
        <v>0.33333333333333331</v>
      </c>
      <c r="AX1648" s="1212"/>
      <c r="AY1648" s="1212"/>
      <c r="AZ1648" s="1212"/>
      <c r="BA1648" s="1212"/>
      <c r="BB1648" s="1212"/>
      <c r="BC1648" s="1212"/>
      <c r="BD1648" s="1212"/>
      <c r="BE1648" s="1212"/>
      <c r="BF1648" s="2126">
        <v>0</v>
      </c>
      <c r="BG1648" s="2126">
        <v>0</v>
      </c>
      <c r="BH1648" s="2126">
        <v>25000</v>
      </c>
      <c r="BI1648" s="2126">
        <v>25000</v>
      </c>
      <c r="BJ1648" s="2126">
        <v>25000</v>
      </c>
      <c r="BK1648" s="2126">
        <v>0</v>
      </c>
      <c r="BL1648" s="2126">
        <v>0</v>
      </c>
      <c r="BM1648" s="2126">
        <v>0</v>
      </c>
      <c r="BN1648" s="2126">
        <v>0</v>
      </c>
      <c r="BO1648" s="2126">
        <v>0</v>
      </c>
      <c r="BP1648" s="2126">
        <v>0</v>
      </c>
      <c r="BQ1648" s="2126">
        <v>0</v>
      </c>
      <c r="BR1648" s="2126">
        <v>0</v>
      </c>
    </row>
    <row r="1649" spans="1:70" s="1765" customFormat="1" ht="33">
      <c r="A1649" s="1272">
        <v>8000</v>
      </c>
      <c r="B1649" s="971" t="s">
        <v>2666</v>
      </c>
      <c r="C1649" s="1272">
        <v>8100</v>
      </c>
      <c r="D1649" s="971" t="s">
        <v>2666</v>
      </c>
      <c r="E1649" s="971" t="s">
        <v>2678</v>
      </c>
      <c r="F1649" s="971" t="s">
        <v>2682</v>
      </c>
      <c r="G1649" s="971" t="s">
        <v>2678</v>
      </c>
      <c r="H1649" s="971" t="s">
        <v>2692</v>
      </c>
      <c r="I1649" s="1273"/>
      <c r="J1649" s="971"/>
      <c r="K1649" s="971"/>
      <c r="L1649" s="971" t="s">
        <v>2669</v>
      </c>
      <c r="M1649" s="971" t="s">
        <v>2669</v>
      </c>
      <c r="N1649" s="971" t="s">
        <v>2669</v>
      </c>
      <c r="O1649" s="971" t="s">
        <v>2669</v>
      </c>
      <c r="P1649" s="971"/>
      <c r="Q1649" s="971" t="s">
        <v>2692</v>
      </c>
      <c r="R1649" s="1266"/>
      <c r="S1649" s="2106"/>
      <c r="T1649" s="1266"/>
      <c r="U1649" s="1742"/>
      <c r="V1649" s="1742"/>
      <c r="W1649" s="1742"/>
      <c r="X1649" s="1742"/>
      <c r="Y1649" s="2106"/>
      <c r="Z1649" s="2106"/>
      <c r="AA1649" s="2106"/>
      <c r="AB1649" s="2106"/>
      <c r="AC1649" s="2106"/>
      <c r="AD1649" s="1744">
        <v>30000</v>
      </c>
      <c r="AE1649" s="2126">
        <v>0</v>
      </c>
      <c r="AF1649" s="2126">
        <v>0</v>
      </c>
      <c r="AG1649" s="1212">
        <v>1</v>
      </c>
      <c r="AH1649" s="1212">
        <v>0</v>
      </c>
      <c r="AI1649" s="1212">
        <v>0</v>
      </c>
      <c r="AJ1649" s="1212">
        <v>1</v>
      </c>
      <c r="AK1649" s="2126">
        <v>30000</v>
      </c>
      <c r="AL1649" s="2126">
        <v>0</v>
      </c>
      <c r="AM1649" s="2126">
        <v>0</v>
      </c>
      <c r="AN1649" s="2126">
        <v>30000</v>
      </c>
      <c r="AO1649" s="1743" t="s">
        <v>85</v>
      </c>
      <c r="AP1649" s="1743" t="s">
        <v>90</v>
      </c>
      <c r="AQ1649" s="1764">
        <v>2020</v>
      </c>
      <c r="AR1649" s="1743" t="s">
        <v>2669</v>
      </c>
      <c r="AS1649" s="2135"/>
      <c r="AT1649" s="2135"/>
      <c r="AU1649" s="1212">
        <v>0.33333333333333331</v>
      </c>
      <c r="AV1649" s="1212">
        <v>0.33333333333333331</v>
      </c>
      <c r="AW1649" s="1212">
        <v>0.33333333333333331</v>
      </c>
      <c r="AX1649" s="1212"/>
      <c r="AY1649" s="1212"/>
      <c r="AZ1649" s="1212"/>
      <c r="BA1649" s="1212"/>
      <c r="BB1649" s="1212"/>
      <c r="BC1649" s="1212"/>
      <c r="BD1649" s="1212"/>
      <c r="BE1649" s="1212"/>
      <c r="BF1649" s="2126">
        <v>0</v>
      </c>
      <c r="BG1649" s="2126">
        <v>0</v>
      </c>
      <c r="BH1649" s="2126">
        <v>10000</v>
      </c>
      <c r="BI1649" s="2126">
        <v>10000</v>
      </c>
      <c r="BJ1649" s="2126">
        <v>10000</v>
      </c>
      <c r="BK1649" s="2126">
        <v>0</v>
      </c>
      <c r="BL1649" s="2126">
        <v>0</v>
      </c>
      <c r="BM1649" s="2126">
        <v>0</v>
      </c>
      <c r="BN1649" s="2126">
        <v>0</v>
      </c>
      <c r="BO1649" s="2126">
        <v>0</v>
      </c>
      <c r="BP1649" s="2126">
        <v>0</v>
      </c>
      <c r="BQ1649" s="2126">
        <v>0</v>
      </c>
      <c r="BR1649" s="2126">
        <v>0</v>
      </c>
    </row>
    <row r="1650" spans="1:70" s="1765" customFormat="1" ht="33">
      <c r="A1650" s="1272">
        <v>8000</v>
      </c>
      <c r="B1650" s="971" t="s">
        <v>2666</v>
      </c>
      <c r="C1650" s="1272">
        <v>8100</v>
      </c>
      <c r="D1650" s="971" t="s">
        <v>2666</v>
      </c>
      <c r="E1650" s="971" t="s">
        <v>2678</v>
      </c>
      <c r="F1650" s="971" t="s">
        <v>2682</v>
      </c>
      <c r="G1650" s="971" t="s">
        <v>2678</v>
      </c>
      <c r="H1650" s="971" t="s">
        <v>2692</v>
      </c>
      <c r="I1650" s="1273"/>
      <c r="J1650" s="971"/>
      <c r="K1650" s="971"/>
      <c r="L1650" s="971" t="s">
        <v>2669</v>
      </c>
      <c r="M1650" s="971" t="s">
        <v>2669</v>
      </c>
      <c r="N1650" s="971" t="s">
        <v>2669</v>
      </c>
      <c r="O1650" s="971" t="s">
        <v>2669</v>
      </c>
      <c r="P1650" s="971"/>
      <c r="Q1650" s="971" t="s">
        <v>2693</v>
      </c>
      <c r="R1650" s="1266"/>
      <c r="S1650" s="2106"/>
      <c r="T1650" s="1266"/>
      <c r="U1650" s="1742"/>
      <c r="V1650" s="1742"/>
      <c r="W1650" s="1742"/>
      <c r="X1650" s="1742"/>
      <c r="Y1650" s="2106"/>
      <c r="Z1650" s="2106"/>
      <c r="AA1650" s="2106"/>
      <c r="AB1650" s="2106"/>
      <c r="AC1650" s="2106"/>
      <c r="AD1650" s="1744">
        <v>7383000</v>
      </c>
      <c r="AE1650" s="2126">
        <v>0</v>
      </c>
      <c r="AF1650" s="2126">
        <v>0</v>
      </c>
      <c r="AG1650" s="1212">
        <v>1</v>
      </c>
      <c r="AH1650" s="1212">
        <v>0</v>
      </c>
      <c r="AI1650" s="1212">
        <v>0</v>
      </c>
      <c r="AJ1650" s="1212">
        <v>1</v>
      </c>
      <c r="AK1650" s="2126">
        <v>7383000</v>
      </c>
      <c r="AL1650" s="2126">
        <v>0</v>
      </c>
      <c r="AM1650" s="2126">
        <v>0</v>
      </c>
      <c r="AN1650" s="2126">
        <v>7383000</v>
      </c>
      <c r="AO1650" s="1743" t="s">
        <v>85</v>
      </c>
      <c r="AP1650" s="1743" t="s">
        <v>90</v>
      </c>
      <c r="AQ1650" s="1764">
        <v>2019</v>
      </c>
      <c r="AR1650" s="1743" t="s">
        <v>2669</v>
      </c>
      <c r="AS1650" s="2135"/>
      <c r="AT1650" s="2135"/>
      <c r="AU1650" s="1212">
        <v>0.33333333333333331</v>
      </c>
      <c r="AV1650" s="1212">
        <v>0.33333333333333331</v>
      </c>
      <c r="AW1650" s="1212">
        <v>0.33333333333333331</v>
      </c>
      <c r="AX1650" s="1212"/>
      <c r="AY1650" s="1212"/>
      <c r="AZ1650" s="1212"/>
      <c r="BA1650" s="1212"/>
      <c r="BB1650" s="1212"/>
      <c r="BC1650" s="1212"/>
      <c r="BD1650" s="1212"/>
      <c r="BE1650" s="1212"/>
      <c r="BF1650" s="2126">
        <v>0</v>
      </c>
      <c r="BG1650" s="2126">
        <v>0</v>
      </c>
      <c r="BH1650" s="2126">
        <v>2461000</v>
      </c>
      <c r="BI1650" s="2126">
        <v>2461000</v>
      </c>
      <c r="BJ1650" s="2126">
        <v>2461000</v>
      </c>
      <c r="BK1650" s="2126">
        <v>0</v>
      </c>
      <c r="BL1650" s="2126">
        <v>0</v>
      </c>
      <c r="BM1650" s="2126">
        <v>0</v>
      </c>
      <c r="BN1650" s="2126">
        <v>0</v>
      </c>
      <c r="BO1650" s="2126">
        <v>0</v>
      </c>
      <c r="BP1650" s="2126">
        <v>0</v>
      </c>
      <c r="BQ1650" s="2126">
        <v>0</v>
      </c>
      <c r="BR1650" s="2126">
        <v>0</v>
      </c>
    </row>
    <row r="1651" spans="1:70" s="1765" customFormat="1" ht="33">
      <c r="A1651" s="1272">
        <v>8000</v>
      </c>
      <c r="B1651" s="971" t="s">
        <v>2666</v>
      </c>
      <c r="C1651" s="1272">
        <v>8100</v>
      </c>
      <c r="D1651" s="971" t="s">
        <v>2666</v>
      </c>
      <c r="E1651" s="971" t="s">
        <v>2678</v>
      </c>
      <c r="F1651" s="971" t="s">
        <v>2694</v>
      </c>
      <c r="G1651" s="971" t="s">
        <v>2678</v>
      </c>
      <c r="H1651" s="971" t="s">
        <v>2695</v>
      </c>
      <c r="I1651" s="1273"/>
      <c r="J1651" s="971"/>
      <c r="K1651" s="971"/>
      <c r="L1651" s="971" t="s">
        <v>2669</v>
      </c>
      <c r="M1651" s="971" t="s">
        <v>2669</v>
      </c>
      <c r="N1651" s="971" t="s">
        <v>2669</v>
      </c>
      <c r="O1651" s="971" t="s">
        <v>2669</v>
      </c>
      <c r="P1651" s="971"/>
      <c r="Q1651" s="971" t="s">
        <v>2696</v>
      </c>
      <c r="R1651" s="1266"/>
      <c r="S1651" s="2106"/>
      <c r="T1651" s="1266"/>
      <c r="U1651" s="1742"/>
      <c r="V1651" s="1742"/>
      <c r="W1651" s="1742"/>
      <c r="X1651" s="1742"/>
      <c r="Y1651" s="2106"/>
      <c r="Z1651" s="2106"/>
      <c r="AA1651" s="2106"/>
      <c r="AB1651" s="2106"/>
      <c r="AC1651" s="2106"/>
      <c r="AD1651" s="1744">
        <v>212200.14821950955</v>
      </c>
      <c r="AE1651" s="2126">
        <v>0</v>
      </c>
      <c r="AF1651" s="2126">
        <v>0</v>
      </c>
      <c r="AG1651" s="1212">
        <v>1</v>
      </c>
      <c r="AH1651" s="1212">
        <v>0</v>
      </c>
      <c r="AI1651" s="1212">
        <v>0</v>
      </c>
      <c r="AJ1651" s="1212">
        <v>1</v>
      </c>
      <c r="AK1651" s="2126">
        <v>212200.14821950955</v>
      </c>
      <c r="AL1651" s="2126">
        <v>0</v>
      </c>
      <c r="AM1651" s="2126">
        <v>0</v>
      </c>
      <c r="AN1651" s="2126">
        <v>212200.14821950955</v>
      </c>
      <c r="AO1651" s="1743" t="s">
        <v>85</v>
      </c>
      <c r="AP1651" s="1743" t="s">
        <v>90</v>
      </c>
      <c r="AQ1651" s="1764">
        <v>2022</v>
      </c>
      <c r="AR1651" s="1743" t="s">
        <v>2669</v>
      </c>
      <c r="AS1651" s="2135"/>
      <c r="AT1651" s="2135"/>
      <c r="AU1651" s="1212">
        <v>0.18</v>
      </c>
      <c r="AV1651" s="1212">
        <v>0.18</v>
      </c>
      <c r="AW1651" s="1212">
        <v>0.18</v>
      </c>
      <c r="AX1651" s="1212">
        <v>0.1</v>
      </c>
      <c r="AY1651" s="1212">
        <v>0.1</v>
      </c>
      <c r="AZ1651" s="1212">
        <v>7.0000000000000007E-2</v>
      </c>
      <c r="BA1651" s="1212">
        <v>0.05</v>
      </c>
      <c r="BB1651" s="1212">
        <v>0.05</v>
      </c>
      <c r="BC1651" s="1212">
        <v>0.02</v>
      </c>
      <c r="BD1651" s="1212">
        <v>0.02</v>
      </c>
      <c r="BE1651" s="1212">
        <v>0.05</v>
      </c>
      <c r="BF1651" s="2126">
        <v>0</v>
      </c>
      <c r="BG1651" s="2126">
        <v>0</v>
      </c>
      <c r="BH1651" s="2126">
        <v>38196.026679511713</v>
      </c>
      <c r="BI1651" s="2126">
        <v>38196.026679511713</v>
      </c>
      <c r="BJ1651" s="2126">
        <v>38196.026679511713</v>
      </c>
      <c r="BK1651" s="2126">
        <v>21220.014821950957</v>
      </c>
      <c r="BL1651" s="2126">
        <v>21220.014821950957</v>
      </c>
      <c r="BM1651" s="2126">
        <v>14854.010375365669</v>
      </c>
      <c r="BN1651" s="2126">
        <v>10610.007410975479</v>
      </c>
      <c r="BO1651" s="2126">
        <v>10610.007410975479</v>
      </c>
      <c r="BP1651" s="2126">
        <v>4244.0029643901908</v>
      </c>
      <c r="BQ1651" s="2126">
        <v>4244.0029643901908</v>
      </c>
      <c r="BR1651" s="2126">
        <v>10610.007410975479</v>
      </c>
    </row>
    <row r="1652" spans="1:70" s="1765" customFormat="1" ht="33">
      <c r="A1652" s="1272">
        <v>8000</v>
      </c>
      <c r="B1652" s="971" t="s">
        <v>2666</v>
      </c>
      <c r="C1652" s="1272">
        <v>8100</v>
      </c>
      <c r="D1652" s="971" t="s">
        <v>2666</v>
      </c>
      <c r="E1652" s="971" t="s">
        <v>2678</v>
      </c>
      <c r="F1652" s="971" t="s">
        <v>2694</v>
      </c>
      <c r="G1652" s="971" t="s">
        <v>2678</v>
      </c>
      <c r="H1652" s="971" t="s">
        <v>2695</v>
      </c>
      <c r="I1652" s="1273"/>
      <c r="J1652" s="971"/>
      <c r="K1652" s="971"/>
      <c r="L1652" s="971" t="s">
        <v>2669</v>
      </c>
      <c r="M1652" s="971" t="s">
        <v>2669</v>
      </c>
      <c r="N1652" s="971" t="s">
        <v>2669</v>
      </c>
      <c r="O1652" s="971" t="s">
        <v>2669</v>
      </c>
      <c r="P1652" s="971"/>
      <c r="Q1652" s="971" t="s">
        <v>2696</v>
      </c>
      <c r="R1652" s="1266"/>
      <c r="S1652" s="2106"/>
      <c r="T1652" s="1266"/>
      <c r="U1652" s="1742"/>
      <c r="V1652" s="1742"/>
      <c r="W1652" s="1742"/>
      <c r="X1652" s="1742"/>
      <c r="Y1652" s="2106"/>
      <c r="Z1652" s="2106"/>
      <c r="AA1652" s="2106"/>
      <c r="AB1652" s="2106"/>
      <c r="AC1652" s="2106"/>
      <c r="AD1652" s="1744">
        <v>64000</v>
      </c>
      <c r="AE1652" s="2126">
        <v>0</v>
      </c>
      <c r="AF1652" s="2126">
        <v>0</v>
      </c>
      <c r="AG1652" s="1212">
        <v>1</v>
      </c>
      <c r="AH1652" s="1212">
        <v>0</v>
      </c>
      <c r="AI1652" s="1212">
        <v>0</v>
      </c>
      <c r="AJ1652" s="1212">
        <v>1</v>
      </c>
      <c r="AK1652" s="2126">
        <v>64000</v>
      </c>
      <c r="AL1652" s="2126">
        <v>0</v>
      </c>
      <c r="AM1652" s="2126">
        <v>0</v>
      </c>
      <c r="AN1652" s="2126">
        <v>64000</v>
      </c>
      <c r="AO1652" s="1743" t="s">
        <v>85</v>
      </c>
      <c r="AP1652" s="1743" t="s">
        <v>90</v>
      </c>
      <c r="AQ1652" s="1764">
        <v>2021</v>
      </c>
      <c r="AR1652" s="1743" t="s">
        <v>2669</v>
      </c>
      <c r="AS1652" s="2135"/>
      <c r="AT1652" s="2135"/>
      <c r="AU1652" s="1212">
        <v>0.18</v>
      </c>
      <c r="AV1652" s="1212">
        <v>0.18</v>
      </c>
      <c r="AW1652" s="1212">
        <v>0.18</v>
      </c>
      <c r="AX1652" s="1212">
        <v>0.1</v>
      </c>
      <c r="AY1652" s="1212">
        <v>0.1</v>
      </c>
      <c r="AZ1652" s="1212">
        <v>7.0000000000000007E-2</v>
      </c>
      <c r="BA1652" s="1212">
        <v>0.05</v>
      </c>
      <c r="BB1652" s="1212">
        <v>0.05</v>
      </c>
      <c r="BC1652" s="1212">
        <v>0.02</v>
      </c>
      <c r="BD1652" s="1212">
        <v>0.02</v>
      </c>
      <c r="BE1652" s="1212">
        <v>0.05</v>
      </c>
      <c r="BF1652" s="2126">
        <v>0</v>
      </c>
      <c r="BG1652" s="2126">
        <v>0</v>
      </c>
      <c r="BH1652" s="2126">
        <v>11520</v>
      </c>
      <c r="BI1652" s="2126">
        <v>11520</v>
      </c>
      <c r="BJ1652" s="2126">
        <v>11520</v>
      </c>
      <c r="BK1652" s="2126">
        <v>6400</v>
      </c>
      <c r="BL1652" s="2126">
        <v>6400</v>
      </c>
      <c r="BM1652" s="2126">
        <v>4480</v>
      </c>
      <c r="BN1652" s="2126">
        <v>3200</v>
      </c>
      <c r="BO1652" s="2126">
        <v>3200</v>
      </c>
      <c r="BP1652" s="2126">
        <v>1280</v>
      </c>
      <c r="BQ1652" s="2126">
        <v>1280</v>
      </c>
      <c r="BR1652" s="2126">
        <v>3200</v>
      </c>
    </row>
    <row r="1653" spans="1:70" s="1765" customFormat="1" ht="33">
      <c r="A1653" s="1272">
        <v>8000</v>
      </c>
      <c r="B1653" s="971" t="s">
        <v>2666</v>
      </c>
      <c r="C1653" s="1272">
        <v>8100</v>
      </c>
      <c r="D1653" s="971" t="s">
        <v>2666</v>
      </c>
      <c r="E1653" s="971" t="s">
        <v>2678</v>
      </c>
      <c r="F1653" s="971" t="s">
        <v>2694</v>
      </c>
      <c r="G1653" s="971" t="s">
        <v>2678</v>
      </c>
      <c r="H1653" s="971" t="s">
        <v>2695</v>
      </c>
      <c r="I1653" s="1273"/>
      <c r="J1653" s="971"/>
      <c r="K1653" s="971"/>
      <c r="L1653" s="971" t="s">
        <v>2669</v>
      </c>
      <c r="M1653" s="971" t="s">
        <v>2669</v>
      </c>
      <c r="N1653" s="971" t="s">
        <v>2669</v>
      </c>
      <c r="O1653" s="971" t="s">
        <v>2669</v>
      </c>
      <c r="P1653" s="971"/>
      <c r="Q1653" s="971" t="s">
        <v>2696</v>
      </c>
      <c r="R1653" s="1266"/>
      <c r="S1653" s="2106"/>
      <c r="T1653" s="1266"/>
      <c r="U1653" s="1742"/>
      <c r="V1653" s="1742"/>
      <c r="W1653" s="1742"/>
      <c r="X1653" s="1742"/>
      <c r="Y1653" s="2106"/>
      <c r="Z1653" s="2106"/>
      <c r="AA1653" s="2106"/>
      <c r="AB1653" s="2106"/>
      <c r="AC1653" s="2106"/>
      <c r="AD1653" s="1744">
        <v>28000</v>
      </c>
      <c r="AE1653" s="2126">
        <v>0</v>
      </c>
      <c r="AF1653" s="2126">
        <v>0</v>
      </c>
      <c r="AG1653" s="1212">
        <v>1</v>
      </c>
      <c r="AH1653" s="1212">
        <v>0</v>
      </c>
      <c r="AI1653" s="1212">
        <v>0</v>
      </c>
      <c r="AJ1653" s="1212">
        <v>1</v>
      </c>
      <c r="AK1653" s="2126">
        <v>28000</v>
      </c>
      <c r="AL1653" s="2126">
        <v>0</v>
      </c>
      <c r="AM1653" s="2126">
        <v>0</v>
      </c>
      <c r="AN1653" s="2126">
        <v>28000</v>
      </c>
      <c r="AO1653" s="1743" t="s">
        <v>85</v>
      </c>
      <c r="AP1653" s="1743" t="s">
        <v>90</v>
      </c>
      <c r="AQ1653" s="1764">
        <v>2020</v>
      </c>
      <c r="AR1653" s="1743" t="s">
        <v>2669</v>
      </c>
      <c r="AS1653" s="2135"/>
      <c r="AT1653" s="2135"/>
      <c r="AU1653" s="1212">
        <v>0.18</v>
      </c>
      <c r="AV1653" s="1212">
        <v>0.18</v>
      </c>
      <c r="AW1653" s="1212">
        <v>0.18</v>
      </c>
      <c r="AX1653" s="1212">
        <v>0.1</v>
      </c>
      <c r="AY1653" s="1212">
        <v>0.1</v>
      </c>
      <c r="AZ1653" s="1212">
        <v>7.0000000000000007E-2</v>
      </c>
      <c r="BA1653" s="1212">
        <v>0.05</v>
      </c>
      <c r="BB1653" s="1212">
        <v>0.05</v>
      </c>
      <c r="BC1653" s="1212">
        <v>0.02</v>
      </c>
      <c r="BD1653" s="1212">
        <v>0.02</v>
      </c>
      <c r="BE1653" s="1212">
        <v>0.05</v>
      </c>
      <c r="BF1653" s="2126">
        <v>0</v>
      </c>
      <c r="BG1653" s="2126">
        <v>0</v>
      </c>
      <c r="BH1653" s="2126">
        <v>5040</v>
      </c>
      <c r="BI1653" s="2126">
        <v>5040</v>
      </c>
      <c r="BJ1653" s="2126">
        <v>5040</v>
      </c>
      <c r="BK1653" s="2126">
        <v>2800</v>
      </c>
      <c r="BL1653" s="2126">
        <v>2800</v>
      </c>
      <c r="BM1653" s="2126">
        <v>1960.0000000000002</v>
      </c>
      <c r="BN1653" s="2126">
        <v>1400</v>
      </c>
      <c r="BO1653" s="2126">
        <v>1400</v>
      </c>
      <c r="BP1653" s="2126">
        <v>560</v>
      </c>
      <c r="BQ1653" s="2126">
        <v>560</v>
      </c>
      <c r="BR1653" s="2126">
        <v>1400</v>
      </c>
    </row>
    <row r="1654" spans="1:70" s="1765" customFormat="1" ht="33">
      <c r="A1654" s="1272">
        <v>8000</v>
      </c>
      <c r="B1654" s="971" t="s">
        <v>2666</v>
      </c>
      <c r="C1654" s="1272">
        <v>8100</v>
      </c>
      <c r="D1654" s="971" t="s">
        <v>2666</v>
      </c>
      <c r="E1654" s="971" t="s">
        <v>2678</v>
      </c>
      <c r="F1654" s="971" t="s">
        <v>2694</v>
      </c>
      <c r="G1654" s="971" t="s">
        <v>2678</v>
      </c>
      <c r="H1654" s="971" t="s">
        <v>2695</v>
      </c>
      <c r="I1654" s="1273"/>
      <c r="J1654" s="971"/>
      <c r="K1654" s="971"/>
      <c r="L1654" s="971" t="s">
        <v>2669</v>
      </c>
      <c r="M1654" s="971" t="s">
        <v>2669</v>
      </c>
      <c r="N1654" s="971" t="s">
        <v>2669</v>
      </c>
      <c r="O1654" s="971" t="s">
        <v>2669</v>
      </c>
      <c r="P1654" s="971"/>
      <c r="Q1654" s="971" t="s">
        <v>2697</v>
      </c>
      <c r="R1654" s="1266"/>
      <c r="S1654" s="2106"/>
      <c r="T1654" s="1266"/>
      <c r="U1654" s="1742"/>
      <c r="V1654" s="1742"/>
      <c r="W1654" s="1742"/>
      <c r="X1654" s="1742"/>
      <c r="Y1654" s="2106"/>
      <c r="Z1654" s="2106"/>
      <c r="AA1654" s="2106"/>
      <c r="AB1654" s="2106"/>
      <c r="AC1654" s="2106"/>
      <c r="AD1654" s="1744">
        <v>1910000</v>
      </c>
      <c r="AE1654" s="2126">
        <v>0</v>
      </c>
      <c r="AF1654" s="2126">
        <v>0</v>
      </c>
      <c r="AG1654" s="1212">
        <v>1</v>
      </c>
      <c r="AH1654" s="1212">
        <v>0</v>
      </c>
      <c r="AI1654" s="1212">
        <v>0</v>
      </c>
      <c r="AJ1654" s="1212">
        <v>1</v>
      </c>
      <c r="AK1654" s="2126">
        <v>1910000</v>
      </c>
      <c r="AL1654" s="2126">
        <v>0</v>
      </c>
      <c r="AM1654" s="2126">
        <v>0</v>
      </c>
      <c r="AN1654" s="2126">
        <v>1910000</v>
      </c>
      <c r="AO1654" s="1743" t="s">
        <v>85</v>
      </c>
      <c r="AP1654" s="1743" t="s">
        <v>90</v>
      </c>
      <c r="AQ1654" s="1764">
        <v>2019</v>
      </c>
      <c r="AR1654" s="1743" t="s">
        <v>2669</v>
      </c>
      <c r="AS1654" s="2135"/>
      <c r="AT1654" s="2135"/>
      <c r="AU1654" s="1212">
        <v>0.18</v>
      </c>
      <c r="AV1654" s="1212">
        <v>0.18</v>
      </c>
      <c r="AW1654" s="1212">
        <v>0.18</v>
      </c>
      <c r="AX1654" s="1212">
        <v>0.1</v>
      </c>
      <c r="AY1654" s="1212">
        <v>0.1</v>
      </c>
      <c r="AZ1654" s="1212">
        <v>7.0000000000000007E-2</v>
      </c>
      <c r="BA1654" s="1212">
        <v>0.05</v>
      </c>
      <c r="BB1654" s="1212">
        <v>0.05</v>
      </c>
      <c r="BC1654" s="1212">
        <v>0.02</v>
      </c>
      <c r="BD1654" s="1212">
        <v>0.02</v>
      </c>
      <c r="BE1654" s="1212">
        <v>0.05</v>
      </c>
      <c r="BF1654" s="2126">
        <v>0</v>
      </c>
      <c r="BG1654" s="2126">
        <v>0</v>
      </c>
      <c r="BH1654" s="2126">
        <v>343800</v>
      </c>
      <c r="BI1654" s="2126">
        <v>343800</v>
      </c>
      <c r="BJ1654" s="2126">
        <v>343800</v>
      </c>
      <c r="BK1654" s="2126">
        <v>191000</v>
      </c>
      <c r="BL1654" s="2126">
        <v>191000</v>
      </c>
      <c r="BM1654" s="2126">
        <v>133700</v>
      </c>
      <c r="BN1654" s="2126">
        <v>95500</v>
      </c>
      <c r="BO1654" s="2126">
        <v>95500</v>
      </c>
      <c r="BP1654" s="2126">
        <v>38200</v>
      </c>
      <c r="BQ1654" s="2126">
        <v>38200</v>
      </c>
      <c r="BR1654" s="2126">
        <v>95500</v>
      </c>
    </row>
    <row r="1655" spans="1:70" s="1765" customFormat="1" ht="33">
      <c r="A1655" s="1272">
        <v>8000</v>
      </c>
      <c r="B1655" s="971" t="s">
        <v>2666</v>
      </c>
      <c r="C1655" s="1272">
        <v>8100</v>
      </c>
      <c r="D1655" s="971" t="s">
        <v>2666</v>
      </c>
      <c r="E1655" s="971" t="s">
        <v>2678</v>
      </c>
      <c r="F1655" s="971" t="s">
        <v>2694</v>
      </c>
      <c r="G1655" s="971" t="s">
        <v>2678</v>
      </c>
      <c r="H1655" s="971" t="s">
        <v>2695</v>
      </c>
      <c r="I1655" s="1273"/>
      <c r="J1655" s="971"/>
      <c r="K1655" s="971"/>
      <c r="L1655" s="971" t="s">
        <v>2669</v>
      </c>
      <c r="M1655" s="971" t="s">
        <v>2669</v>
      </c>
      <c r="N1655" s="971" t="s">
        <v>2669</v>
      </c>
      <c r="O1655" s="971" t="s">
        <v>2669</v>
      </c>
      <c r="P1655" s="971"/>
      <c r="Q1655" s="971" t="s">
        <v>2698</v>
      </c>
      <c r="R1655" s="1266"/>
      <c r="S1655" s="2106"/>
      <c r="T1655" s="1266"/>
      <c r="U1655" s="1742"/>
      <c r="V1655" s="1742"/>
      <c r="W1655" s="1742"/>
      <c r="X1655" s="1742"/>
      <c r="Y1655" s="2106"/>
      <c r="Z1655" s="2106"/>
      <c r="AA1655" s="2106"/>
      <c r="AB1655" s="2106"/>
      <c r="AC1655" s="2106"/>
      <c r="AD1655" s="1744">
        <v>409043.24274586991</v>
      </c>
      <c r="AE1655" s="2126">
        <v>0</v>
      </c>
      <c r="AF1655" s="2126">
        <v>0</v>
      </c>
      <c r="AG1655" s="1212">
        <v>1</v>
      </c>
      <c r="AH1655" s="1212">
        <v>0</v>
      </c>
      <c r="AI1655" s="1212">
        <v>0</v>
      </c>
      <c r="AJ1655" s="1212">
        <v>1</v>
      </c>
      <c r="AK1655" s="2126">
        <v>409043.24274586991</v>
      </c>
      <c r="AL1655" s="2126">
        <v>0</v>
      </c>
      <c r="AM1655" s="2126">
        <v>0</v>
      </c>
      <c r="AN1655" s="2126">
        <v>409043.24274586991</v>
      </c>
      <c r="AO1655" s="1743" t="s">
        <v>85</v>
      </c>
      <c r="AP1655" s="1743" t="s">
        <v>90</v>
      </c>
      <c r="AQ1655" s="1764">
        <v>2022</v>
      </c>
      <c r="AR1655" s="1743" t="s">
        <v>2669</v>
      </c>
      <c r="AS1655" s="2135"/>
      <c r="AT1655" s="2135"/>
      <c r="AU1655" s="1212">
        <v>0.18</v>
      </c>
      <c r="AV1655" s="1212">
        <v>0.18</v>
      </c>
      <c r="AW1655" s="1212">
        <v>0.18</v>
      </c>
      <c r="AX1655" s="1212">
        <v>0.1</v>
      </c>
      <c r="AY1655" s="1212">
        <v>0.1</v>
      </c>
      <c r="AZ1655" s="1212">
        <v>7.0000000000000007E-2</v>
      </c>
      <c r="BA1655" s="1212">
        <v>0.05</v>
      </c>
      <c r="BB1655" s="1212">
        <v>0.05</v>
      </c>
      <c r="BC1655" s="1212">
        <v>0.02</v>
      </c>
      <c r="BD1655" s="1212">
        <v>0.02</v>
      </c>
      <c r="BE1655" s="1212">
        <v>0.05</v>
      </c>
      <c r="BF1655" s="2126">
        <v>0</v>
      </c>
      <c r="BG1655" s="2126">
        <v>0</v>
      </c>
      <c r="BH1655" s="2126">
        <v>73627.783694256577</v>
      </c>
      <c r="BI1655" s="2126">
        <v>73627.783694256577</v>
      </c>
      <c r="BJ1655" s="2126">
        <v>73627.783694256577</v>
      </c>
      <c r="BK1655" s="2126">
        <v>40904.324274586994</v>
      </c>
      <c r="BL1655" s="2126">
        <v>40904.324274586994</v>
      </c>
      <c r="BM1655" s="2126">
        <v>28633.026992210896</v>
      </c>
      <c r="BN1655" s="2126">
        <v>20452.162137293497</v>
      </c>
      <c r="BO1655" s="2126">
        <v>20452.162137293497</v>
      </c>
      <c r="BP1655" s="2126">
        <v>8180.8648549173986</v>
      </c>
      <c r="BQ1655" s="2126">
        <v>8180.8648549173986</v>
      </c>
      <c r="BR1655" s="2126">
        <v>20452.162137293497</v>
      </c>
    </row>
    <row r="1656" spans="1:70" s="1765" customFormat="1" ht="33">
      <c r="A1656" s="1272">
        <v>8000</v>
      </c>
      <c r="B1656" s="971" t="s">
        <v>2666</v>
      </c>
      <c r="C1656" s="1272">
        <v>8100</v>
      </c>
      <c r="D1656" s="971" t="s">
        <v>2666</v>
      </c>
      <c r="E1656" s="971" t="s">
        <v>2678</v>
      </c>
      <c r="F1656" s="971" t="s">
        <v>2694</v>
      </c>
      <c r="G1656" s="971" t="s">
        <v>2678</v>
      </c>
      <c r="H1656" s="971" t="s">
        <v>2695</v>
      </c>
      <c r="I1656" s="1273"/>
      <c r="J1656" s="971"/>
      <c r="K1656" s="971"/>
      <c r="L1656" s="971" t="s">
        <v>2669</v>
      </c>
      <c r="M1656" s="971" t="s">
        <v>2669</v>
      </c>
      <c r="N1656" s="971" t="s">
        <v>2669</v>
      </c>
      <c r="O1656" s="971" t="s">
        <v>2669</v>
      </c>
      <c r="P1656" s="971"/>
      <c r="Q1656" s="971" t="s">
        <v>2698</v>
      </c>
      <c r="R1656" s="1266"/>
      <c r="S1656" s="2106"/>
      <c r="T1656" s="1266"/>
      <c r="U1656" s="1742"/>
      <c r="V1656" s="1742"/>
      <c r="W1656" s="1742"/>
      <c r="X1656" s="1742"/>
      <c r="Y1656" s="2106"/>
      <c r="Z1656" s="2106"/>
      <c r="AA1656" s="2106"/>
      <c r="AB1656" s="2106"/>
      <c r="AC1656" s="2106"/>
      <c r="AD1656" s="1744">
        <v>151000</v>
      </c>
      <c r="AE1656" s="2126">
        <v>0</v>
      </c>
      <c r="AF1656" s="2126">
        <v>0</v>
      </c>
      <c r="AG1656" s="1212">
        <v>1</v>
      </c>
      <c r="AH1656" s="1212">
        <v>0</v>
      </c>
      <c r="AI1656" s="1212">
        <v>0</v>
      </c>
      <c r="AJ1656" s="1212">
        <v>1</v>
      </c>
      <c r="AK1656" s="2126">
        <v>151000</v>
      </c>
      <c r="AL1656" s="2126">
        <v>0</v>
      </c>
      <c r="AM1656" s="2126">
        <v>0</v>
      </c>
      <c r="AN1656" s="2126">
        <v>151000</v>
      </c>
      <c r="AO1656" s="1743" t="s">
        <v>85</v>
      </c>
      <c r="AP1656" s="1743" t="s">
        <v>90</v>
      </c>
      <c r="AQ1656" s="1764">
        <v>2021</v>
      </c>
      <c r="AR1656" s="1743" t="s">
        <v>2669</v>
      </c>
      <c r="AS1656" s="2135"/>
      <c r="AT1656" s="2135"/>
      <c r="AU1656" s="1212">
        <v>0.18</v>
      </c>
      <c r="AV1656" s="1212">
        <v>0.18</v>
      </c>
      <c r="AW1656" s="1212">
        <v>0.18</v>
      </c>
      <c r="AX1656" s="1212">
        <v>0.1</v>
      </c>
      <c r="AY1656" s="1212">
        <v>0.1</v>
      </c>
      <c r="AZ1656" s="1212">
        <v>7.0000000000000007E-2</v>
      </c>
      <c r="BA1656" s="1212">
        <v>0.05</v>
      </c>
      <c r="BB1656" s="1212">
        <v>0.05</v>
      </c>
      <c r="BC1656" s="1212">
        <v>0.02</v>
      </c>
      <c r="BD1656" s="1212">
        <v>0.02</v>
      </c>
      <c r="BE1656" s="1212">
        <v>0.05</v>
      </c>
      <c r="BF1656" s="2126">
        <v>0</v>
      </c>
      <c r="BG1656" s="2126">
        <v>0</v>
      </c>
      <c r="BH1656" s="2126">
        <v>27180</v>
      </c>
      <c r="BI1656" s="2126">
        <v>27180</v>
      </c>
      <c r="BJ1656" s="2126">
        <v>27180</v>
      </c>
      <c r="BK1656" s="2126">
        <v>15100</v>
      </c>
      <c r="BL1656" s="2126">
        <v>15100</v>
      </c>
      <c r="BM1656" s="2126">
        <v>10570.000000000002</v>
      </c>
      <c r="BN1656" s="2126">
        <v>7550</v>
      </c>
      <c r="BO1656" s="2126">
        <v>7550</v>
      </c>
      <c r="BP1656" s="2126">
        <v>3020</v>
      </c>
      <c r="BQ1656" s="2126">
        <v>3020</v>
      </c>
      <c r="BR1656" s="2126">
        <v>7550</v>
      </c>
    </row>
    <row r="1657" spans="1:70" s="1765" customFormat="1" ht="33">
      <c r="A1657" s="1272">
        <v>8000</v>
      </c>
      <c r="B1657" s="971" t="s">
        <v>2666</v>
      </c>
      <c r="C1657" s="1272">
        <v>8100</v>
      </c>
      <c r="D1657" s="971" t="s">
        <v>2666</v>
      </c>
      <c r="E1657" s="971" t="s">
        <v>2678</v>
      </c>
      <c r="F1657" s="971" t="s">
        <v>2694</v>
      </c>
      <c r="G1657" s="971" t="s">
        <v>2678</v>
      </c>
      <c r="H1657" s="971" t="s">
        <v>2695</v>
      </c>
      <c r="I1657" s="1273"/>
      <c r="J1657" s="971"/>
      <c r="K1657" s="971"/>
      <c r="L1657" s="971" t="s">
        <v>2669</v>
      </c>
      <c r="M1657" s="971" t="s">
        <v>2669</v>
      </c>
      <c r="N1657" s="971" t="s">
        <v>2669</v>
      </c>
      <c r="O1657" s="971" t="s">
        <v>2669</v>
      </c>
      <c r="P1657" s="971"/>
      <c r="Q1657" s="971" t="s">
        <v>2698</v>
      </c>
      <c r="R1657" s="1266"/>
      <c r="S1657" s="2106"/>
      <c r="T1657" s="1266"/>
      <c r="U1657" s="1742"/>
      <c r="V1657" s="1742"/>
      <c r="W1657" s="1742"/>
      <c r="X1657" s="1742"/>
      <c r="Y1657" s="2106"/>
      <c r="Z1657" s="2106"/>
      <c r="AA1657" s="2106"/>
      <c r="AB1657" s="2106"/>
      <c r="AC1657" s="2106"/>
      <c r="AD1657" s="1744">
        <v>70000</v>
      </c>
      <c r="AE1657" s="2126">
        <v>0</v>
      </c>
      <c r="AF1657" s="2126">
        <v>0</v>
      </c>
      <c r="AG1657" s="1212">
        <v>1</v>
      </c>
      <c r="AH1657" s="1212">
        <v>0</v>
      </c>
      <c r="AI1657" s="1212">
        <v>0</v>
      </c>
      <c r="AJ1657" s="1212">
        <v>1</v>
      </c>
      <c r="AK1657" s="2126">
        <v>70000</v>
      </c>
      <c r="AL1657" s="2126">
        <v>0</v>
      </c>
      <c r="AM1657" s="2126">
        <v>0</v>
      </c>
      <c r="AN1657" s="2126">
        <v>70000</v>
      </c>
      <c r="AO1657" s="1743" t="s">
        <v>85</v>
      </c>
      <c r="AP1657" s="1743" t="s">
        <v>90</v>
      </c>
      <c r="AQ1657" s="1764">
        <v>2020</v>
      </c>
      <c r="AR1657" s="1743" t="s">
        <v>2669</v>
      </c>
      <c r="AS1657" s="2135"/>
      <c r="AT1657" s="2135"/>
      <c r="AU1657" s="1212">
        <v>0.18</v>
      </c>
      <c r="AV1657" s="1212">
        <v>0.18</v>
      </c>
      <c r="AW1657" s="1212">
        <v>0.18</v>
      </c>
      <c r="AX1657" s="1212">
        <v>0.1</v>
      </c>
      <c r="AY1657" s="1212">
        <v>0.1</v>
      </c>
      <c r="AZ1657" s="1212">
        <v>7.0000000000000007E-2</v>
      </c>
      <c r="BA1657" s="1212">
        <v>0.05</v>
      </c>
      <c r="BB1657" s="1212">
        <v>0.05</v>
      </c>
      <c r="BC1657" s="1212">
        <v>0.02</v>
      </c>
      <c r="BD1657" s="1212">
        <v>0.02</v>
      </c>
      <c r="BE1657" s="1212">
        <v>0.05</v>
      </c>
      <c r="BF1657" s="2126">
        <v>0</v>
      </c>
      <c r="BG1657" s="2126">
        <v>0</v>
      </c>
      <c r="BH1657" s="2126">
        <v>12600</v>
      </c>
      <c r="BI1657" s="2126">
        <v>12600</v>
      </c>
      <c r="BJ1657" s="2126">
        <v>12600</v>
      </c>
      <c r="BK1657" s="2126">
        <v>7000</v>
      </c>
      <c r="BL1657" s="2126">
        <v>7000</v>
      </c>
      <c r="BM1657" s="2126">
        <v>4900.0000000000009</v>
      </c>
      <c r="BN1657" s="2126">
        <v>3500</v>
      </c>
      <c r="BO1657" s="2126">
        <v>3500</v>
      </c>
      <c r="BP1657" s="2126">
        <v>1400</v>
      </c>
      <c r="BQ1657" s="2126">
        <v>1400</v>
      </c>
      <c r="BR1657" s="2126">
        <v>3500</v>
      </c>
    </row>
    <row r="1658" spans="1:70" s="1765" customFormat="1" ht="33">
      <c r="A1658" s="1272">
        <v>8000</v>
      </c>
      <c r="B1658" s="971" t="s">
        <v>2666</v>
      </c>
      <c r="C1658" s="1272">
        <v>8100</v>
      </c>
      <c r="D1658" s="971" t="s">
        <v>2666</v>
      </c>
      <c r="E1658" s="971" t="s">
        <v>2678</v>
      </c>
      <c r="F1658" s="971" t="s">
        <v>2694</v>
      </c>
      <c r="G1658" s="971" t="s">
        <v>2678</v>
      </c>
      <c r="H1658" s="971" t="s">
        <v>2695</v>
      </c>
      <c r="I1658" s="1273"/>
      <c r="J1658" s="971"/>
      <c r="K1658" s="971"/>
      <c r="L1658" s="971" t="s">
        <v>2669</v>
      </c>
      <c r="M1658" s="971" t="s">
        <v>2669</v>
      </c>
      <c r="N1658" s="971" t="s">
        <v>2669</v>
      </c>
      <c r="O1658" s="971" t="s">
        <v>2669</v>
      </c>
      <c r="P1658" s="971"/>
      <c r="Q1658" s="971" t="s">
        <v>2699</v>
      </c>
      <c r="R1658" s="1266"/>
      <c r="S1658" s="2106"/>
      <c r="T1658" s="1266"/>
      <c r="U1658" s="1742"/>
      <c r="V1658" s="1742"/>
      <c r="W1658" s="1742"/>
      <c r="X1658" s="1742"/>
      <c r="Y1658" s="2106"/>
      <c r="Z1658" s="2106"/>
      <c r="AA1658" s="2106"/>
      <c r="AB1658" s="2106"/>
      <c r="AC1658" s="2106"/>
      <c r="AD1658" s="1744">
        <v>3668270</v>
      </c>
      <c r="AE1658" s="2126">
        <v>0</v>
      </c>
      <c r="AF1658" s="2126">
        <v>0</v>
      </c>
      <c r="AG1658" s="1212">
        <v>1</v>
      </c>
      <c r="AH1658" s="1212">
        <v>0</v>
      </c>
      <c r="AI1658" s="1212">
        <v>0</v>
      </c>
      <c r="AJ1658" s="1212">
        <v>1</v>
      </c>
      <c r="AK1658" s="2126">
        <v>3668270</v>
      </c>
      <c r="AL1658" s="2126">
        <v>0</v>
      </c>
      <c r="AM1658" s="2126">
        <v>0</v>
      </c>
      <c r="AN1658" s="2126">
        <v>3668270</v>
      </c>
      <c r="AO1658" s="1743" t="s">
        <v>85</v>
      </c>
      <c r="AP1658" s="1743" t="s">
        <v>90</v>
      </c>
      <c r="AQ1658" s="1764">
        <v>2019</v>
      </c>
      <c r="AR1658" s="1743" t="s">
        <v>2669</v>
      </c>
      <c r="AS1658" s="2135"/>
      <c r="AT1658" s="2135"/>
      <c r="AU1658" s="1212">
        <v>0.18</v>
      </c>
      <c r="AV1658" s="1212">
        <v>0.18</v>
      </c>
      <c r="AW1658" s="1212">
        <v>0.18</v>
      </c>
      <c r="AX1658" s="1212">
        <v>0.1</v>
      </c>
      <c r="AY1658" s="1212">
        <v>0.1</v>
      </c>
      <c r="AZ1658" s="1212">
        <v>7.0000000000000007E-2</v>
      </c>
      <c r="BA1658" s="1212">
        <v>0.05</v>
      </c>
      <c r="BB1658" s="1212">
        <v>0.05</v>
      </c>
      <c r="BC1658" s="1212">
        <v>0.02</v>
      </c>
      <c r="BD1658" s="1212">
        <v>0.02</v>
      </c>
      <c r="BE1658" s="1212">
        <v>0.05</v>
      </c>
      <c r="BF1658" s="2126">
        <v>0</v>
      </c>
      <c r="BG1658" s="2126">
        <v>0</v>
      </c>
      <c r="BH1658" s="2126">
        <v>660288.6</v>
      </c>
      <c r="BI1658" s="2126">
        <v>660288.6</v>
      </c>
      <c r="BJ1658" s="2126">
        <v>660288.6</v>
      </c>
      <c r="BK1658" s="2126">
        <v>366827</v>
      </c>
      <c r="BL1658" s="2126">
        <v>366827</v>
      </c>
      <c r="BM1658" s="2126">
        <v>256778.90000000002</v>
      </c>
      <c r="BN1658" s="2126">
        <v>183413.5</v>
      </c>
      <c r="BO1658" s="2126">
        <v>183413.5</v>
      </c>
      <c r="BP1658" s="2126">
        <v>73365.400000000009</v>
      </c>
      <c r="BQ1658" s="2126">
        <v>73365.400000000009</v>
      </c>
      <c r="BR1658" s="2126">
        <v>183413.5</v>
      </c>
    </row>
    <row r="1659" spans="1:70" s="1765" customFormat="1" ht="33">
      <c r="A1659" s="1272">
        <v>8001</v>
      </c>
      <c r="B1659" s="971" t="s">
        <v>2666</v>
      </c>
      <c r="C1659" s="1272">
        <v>8101</v>
      </c>
      <c r="D1659" s="971" t="s">
        <v>2666</v>
      </c>
      <c r="E1659" s="971" t="s">
        <v>2678</v>
      </c>
      <c r="F1659" s="971" t="s">
        <v>2694</v>
      </c>
      <c r="G1659" s="971" t="s">
        <v>2678</v>
      </c>
      <c r="H1659" s="971" t="s">
        <v>2695</v>
      </c>
      <c r="I1659" s="1273"/>
      <c r="J1659" s="971"/>
      <c r="K1659" s="971"/>
      <c r="L1659" s="971" t="s">
        <v>2669</v>
      </c>
      <c r="M1659" s="971" t="s">
        <v>2669</v>
      </c>
      <c r="N1659" s="971" t="s">
        <v>2669</v>
      </c>
      <c r="O1659" s="971" t="s">
        <v>2669</v>
      </c>
      <c r="P1659" s="971" t="s">
        <v>2700</v>
      </c>
      <c r="Q1659" s="971" t="s">
        <v>2701</v>
      </c>
      <c r="R1659" s="1266"/>
      <c r="S1659" s="2106">
        <v>18172</v>
      </c>
      <c r="T1659" s="1266" t="s">
        <v>2688</v>
      </c>
      <c r="U1659" s="1742"/>
      <c r="V1659" s="1742"/>
      <c r="W1659" s="1742"/>
      <c r="X1659" s="1742"/>
      <c r="Y1659" s="2106">
        <v>103.02</v>
      </c>
      <c r="Z1659" s="2106"/>
      <c r="AA1659" s="2106"/>
      <c r="AB1659" s="2106"/>
      <c r="AC1659" s="2106"/>
      <c r="AD1659" s="1744">
        <v>1872079.44</v>
      </c>
      <c r="AE1659" s="2126">
        <v>0</v>
      </c>
      <c r="AF1659" s="2126">
        <v>0</v>
      </c>
      <c r="AG1659" s="1212">
        <v>1</v>
      </c>
      <c r="AH1659" s="1212">
        <v>0</v>
      </c>
      <c r="AI1659" s="1212">
        <v>0</v>
      </c>
      <c r="AJ1659" s="1212">
        <v>1</v>
      </c>
      <c r="AK1659" s="2126">
        <v>1872079.44</v>
      </c>
      <c r="AL1659" s="2126">
        <v>0</v>
      </c>
      <c r="AM1659" s="2126">
        <v>0</v>
      </c>
      <c r="AN1659" s="2126">
        <v>1872079.44</v>
      </c>
      <c r="AO1659" s="1743" t="s">
        <v>85</v>
      </c>
      <c r="AP1659" s="1743" t="s">
        <v>90</v>
      </c>
      <c r="AQ1659" s="1764">
        <v>2019</v>
      </c>
      <c r="AR1659" s="1743" t="s">
        <v>2669</v>
      </c>
      <c r="AS1659" s="2135"/>
      <c r="AT1659" s="2135"/>
      <c r="AU1659" s="1212">
        <v>0.18</v>
      </c>
      <c r="AV1659" s="1212">
        <v>0.18</v>
      </c>
      <c r="AW1659" s="1212">
        <v>0.18</v>
      </c>
      <c r="AX1659" s="1212">
        <v>0.1</v>
      </c>
      <c r="AY1659" s="1212">
        <v>0.1</v>
      </c>
      <c r="AZ1659" s="1212">
        <v>7.0000000000000007E-2</v>
      </c>
      <c r="BA1659" s="1212">
        <v>0.05</v>
      </c>
      <c r="BB1659" s="1212">
        <v>0.05</v>
      </c>
      <c r="BC1659" s="1212">
        <v>0.02</v>
      </c>
      <c r="BD1659" s="1212">
        <v>0.02</v>
      </c>
      <c r="BE1659" s="1212">
        <v>0.05</v>
      </c>
      <c r="BF1659" s="2126">
        <v>0</v>
      </c>
      <c r="BG1659" s="2126">
        <v>0</v>
      </c>
      <c r="BH1659" s="2126">
        <v>336974.29919999995</v>
      </c>
      <c r="BI1659" s="2126">
        <v>336974.29919999995</v>
      </c>
      <c r="BJ1659" s="2126">
        <v>336974.29919999995</v>
      </c>
      <c r="BK1659" s="2126">
        <v>187207.94400000002</v>
      </c>
      <c r="BL1659" s="2126">
        <v>187207.94400000002</v>
      </c>
      <c r="BM1659" s="2126">
        <v>131045.56080000001</v>
      </c>
      <c r="BN1659" s="2126">
        <v>93603.972000000009</v>
      </c>
      <c r="BO1659" s="2126">
        <v>93603.972000000009</v>
      </c>
      <c r="BP1659" s="2126">
        <v>37441.588799999998</v>
      </c>
      <c r="BQ1659" s="2126">
        <v>37441.588799999998</v>
      </c>
      <c r="BR1659" s="2126">
        <v>93603.972000000009</v>
      </c>
    </row>
    <row r="1660" spans="1:70" s="1765" customFormat="1" ht="33">
      <c r="A1660" s="1272">
        <v>8001</v>
      </c>
      <c r="B1660" s="971" t="s">
        <v>2666</v>
      </c>
      <c r="C1660" s="1272">
        <v>8101</v>
      </c>
      <c r="D1660" s="971" t="s">
        <v>2666</v>
      </c>
      <c r="E1660" s="971" t="s">
        <v>2678</v>
      </c>
      <c r="F1660" s="971" t="s">
        <v>2694</v>
      </c>
      <c r="G1660" s="971" t="s">
        <v>2678</v>
      </c>
      <c r="H1660" s="971" t="s">
        <v>2695</v>
      </c>
      <c r="I1660" s="1273"/>
      <c r="J1660" s="971"/>
      <c r="K1660" s="971"/>
      <c r="L1660" s="971" t="s">
        <v>2669</v>
      </c>
      <c r="M1660" s="971" t="s">
        <v>2669</v>
      </c>
      <c r="N1660" s="971" t="s">
        <v>2669</v>
      </c>
      <c r="O1660" s="971" t="s">
        <v>2669</v>
      </c>
      <c r="P1660" s="971" t="s">
        <v>2700</v>
      </c>
      <c r="Q1660" s="971" t="s">
        <v>2702</v>
      </c>
      <c r="R1660" s="1266"/>
      <c r="S1660" s="2106">
        <v>49868</v>
      </c>
      <c r="T1660" s="1266" t="s">
        <v>2688</v>
      </c>
      <c r="U1660" s="1742"/>
      <c r="V1660" s="1742"/>
      <c r="W1660" s="1742"/>
      <c r="X1660" s="1742"/>
      <c r="Y1660" s="2106">
        <v>103.02</v>
      </c>
      <c r="Z1660" s="2106"/>
      <c r="AA1660" s="2106"/>
      <c r="AB1660" s="2106"/>
      <c r="AC1660" s="2106"/>
      <c r="AD1660" s="1744">
        <v>5137401.3599999994</v>
      </c>
      <c r="AE1660" s="2126">
        <v>0</v>
      </c>
      <c r="AF1660" s="2126">
        <v>0</v>
      </c>
      <c r="AG1660" s="1212">
        <v>1</v>
      </c>
      <c r="AH1660" s="1212">
        <v>0</v>
      </c>
      <c r="AI1660" s="1212">
        <v>0</v>
      </c>
      <c r="AJ1660" s="1212">
        <v>1</v>
      </c>
      <c r="AK1660" s="2126">
        <v>5137401.3599999994</v>
      </c>
      <c r="AL1660" s="2126">
        <v>0</v>
      </c>
      <c r="AM1660" s="2126">
        <v>0</v>
      </c>
      <c r="AN1660" s="2126">
        <v>5137401.3599999994</v>
      </c>
      <c r="AO1660" s="1743" t="s">
        <v>85</v>
      </c>
      <c r="AP1660" s="1743" t="s">
        <v>90</v>
      </c>
      <c r="AQ1660" s="1764">
        <v>2019</v>
      </c>
      <c r="AR1660" s="1743" t="s">
        <v>2669</v>
      </c>
      <c r="AS1660" s="2135"/>
      <c r="AT1660" s="2135"/>
      <c r="AU1660" s="1212">
        <v>0.18</v>
      </c>
      <c r="AV1660" s="1212">
        <v>0.18</v>
      </c>
      <c r="AW1660" s="1212">
        <v>0.18</v>
      </c>
      <c r="AX1660" s="1212">
        <v>0.1</v>
      </c>
      <c r="AY1660" s="1212">
        <v>0.1</v>
      </c>
      <c r="AZ1660" s="1212">
        <v>7.0000000000000007E-2</v>
      </c>
      <c r="BA1660" s="1212">
        <v>0.05</v>
      </c>
      <c r="BB1660" s="1212">
        <v>0.05</v>
      </c>
      <c r="BC1660" s="1212">
        <v>0.02</v>
      </c>
      <c r="BD1660" s="1212">
        <v>0.02</v>
      </c>
      <c r="BE1660" s="1212">
        <v>0.05</v>
      </c>
      <c r="BF1660" s="2126">
        <v>0</v>
      </c>
      <c r="BG1660" s="2126">
        <v>0</v>
      </c>
      <c r="BH1660" s="2126">
        <v>924732.24479999987</v>
      </c>
      <c r="BI1660" s="2126">
        <v>924732.24479999987</v>
      </c>
      <c r="BJ1660" s="2126">
        <v>924732.24479999987</v>
      </c>
      <c r="BK1660" s="2126">
        <v>513740.13599999994</v>
      </c>
      <c r="BL1660" s="2126">
        <v>513740.13599999994</v>
      </c>
      <c r="BM1660" s="2126">
        <v>359618.09519999998</v>
      </c>
      <c r="BN1660" s="2126">
        <v>256870.06799999997</v>
      </c>
      <c r="BO1660" s="2126">
        <v>256870.06799999997</v>
      </c>
      <c r="BP1660" s="2126">
        <v>102748.0272</v>
      </c>
      <c r="BQ1660" s="2126">
        <v>102748.0272</v>
      </c>
      <c r="BR1660" s="2126">
        <v>256870.06799999997</v>
      </c>
    </row>
    <row r="1661" spans="1:70" s="1765" customFormat="1" ht="33">
      <c r="A1661" s="1272">
        <v>8001</v>
      </c>
      <c r="B1661" s="971" t="s">
        <v>2666</v>
      </c>
      <c r="C1661" s="1272">
        <v>8101</v>
      </c>
      <c r="D1661" s="971" t="s">
        <v>2666</v>
      </c>
      <c r="E1661" s="971" t="s">
        <v>2678</v>
      </c>
      <c r="F1661" s="971" t="s">
        <v>2694</v>
      </c>
      <c r="G1661" s="971" t="s">
        <v>2678</v>
      </c>
      <c r="H1661" s="971" t="s">
        <v>2695</v>
      </c>
      <c r="I1661" s="1273"/>
      <c r="J1661" s="971"/>
      <c r="K1661" s="971"/>
      <c r="L1661" s="971" t="s">
        <v>2669</v>
      </c>
      <c r="M1661" s="971" t="s">
        <v>2669</v>
      </c>
      <c r="N1661" s="971" t="s">
        <v>2669</v>
      </c>
      <c r="O1661" s="971" t="s">
        <v>2669</v>
      </c>
      <c r="P1661" s="971" t="s">
        <v>2700</v>
      </c>
      <c r="Q1661" s="971" t="s">
        <v>2703</v>
      </c>
      <c r="R1661" s="1266"/>
      <c r="S1661" s="2106">
        <v>24756</v>
      </c>
      <c r="T1661" s="1266" t="s">
        <v>2688</v>
      </c>
      <c r="U1661" s="1742"/>
      <c r="V1661" s="1742"/>
      <c r="W1661" s="1742"/>
      <c r="X1661" s="1742"/>
      <c r="Y1661" s="2106">
        <v>103.02</v>
      </c>
      <c r="Z1661" s="2106"/>
      <c r="AA1661" s="2106"/>
      <c r="AB1661" s="2106"/>
      <c r="AC1661" s="2106"/>
      <c r="AD1661" s="1744">
        <v>2550363.12</v>
      </c>
      <c r="AE1661" s="2126">
        <v>0</v>
      </c>
      <c r="AF1661" s="2126">
        <v>0</v>
      </c>
      <c r="AG1661" s="1212">
        <v>1</v>
      </c>
      <c r="AH1661" s="1212">
        <v>0</v>
      </c>
      <c r="AI1661" s="1212">
        <v>0</v>
      </c>
      <c r="AJ1661" s="1212">
        <v>1</v>
      </c>
      <c r="AK1661" s="2126">
        <v>2550363.12</v>
      </c>
      <c r="AL1661" s="2126">
        <v>0</v>
      </c>
      <c r="AM1661" s="2126">
        <v>0</v>
      </c>
      <c r="AN1661" s="2126">
        <v>2550363.12</v>
      </c>
      <c r="AO1661" s="1743" t="s">
        <v>85</v>
      </c>
      <c r="AP1661" s="1743" t="s">
        <v>90</v>
      </c>
      <c r="AQ1661" s="1764">
        <v>2019</v>
      </c>
      <c r="AR1661" s="1743" t="s">
        <v>2669</v>
      </c>
      <c r="AS1661" s="2135"/>
      <c r="AT1661" s="2135"/>
      <c r="AU1661" s="1212">
        <v>0.18</v>
      </c>
      <c r="AV1661" s="1212">
        <v>0.18</v>
      </c>
      <c r="AW1661" s="1212">
        <v>0.18</v>
      </c>
      <c r="AX1661" s="1212">
        <v>0.1</v>
      </c>
      <c r="AY1661" s="1212">
        <v>0.1</v>
      </c>
      <c r="AZ1661" s="1212">
        <v>7.0000000000000007E-2</v>
      </c>
      <c r="BA1661" s="1212">
        <v>0.05</v>
      </c>
      <c r="BB1661" s="1212">
        <v>0.05</v>
      </c>
      <c r="BC1661" s="1212">
        <v>0.02</v>
      </c>
      <c r="BD1661" s="1212">
        <v>0.02</v>
      </c>
      <c r="BE1661" s="1212">
        <v>0.05</v>
      </c>
      <c r="BF1661" s="2126">
        <v>0</v>
      </c>
      <c r="BG1661" s="2126">
        <v>0</v>
      </c>
      <c r="BH1661" s="2126">
        <v>459065.3616</v>
      </c>
      <c r="BI1661" s="2126">
        <v>459065.3616</v>
      </c>
      <c r="BJ1661" s="2126">
        <v>459065.3616</v>
      </c>
      <c r="BK1661" s="2126">
        <v>255036.31200000003</v>
      </c>
      <c r="BL1661" s="2126">
        <v>255036.31200000003</v>
      </c>
      <c r="BM1661" s="2126">
        <v>178525.41840000002</v>
      </c>
      <c r="BN1661" s="2126">
        <v>127518.15600000002</v>
      </c>
      <c r="BO1661" s="2126">
        <v>127518.15600000002</v>
      </c>
      <c r="BP1661" s="2126">
        <v>51007.262400000007</v>
      </c>
      <c r="BQ1661" s="2126">
        <v>51007.262400000007</v>
      </c>
      <c r="BR1661" s="2126">
        <v>127518.15600000002</v>
      </c>
    </row>
    <row r="1662" spans="1:70" s="1765" customFormat="1" ht="33">
      <c r="A1662" s="1272">
        <v>8001</v>
      </c>
      <c r="B1662" s="971" t="s">
        <v>2666</v>
      </c>
      <c r="C1662" s="1272">
        <v>8101</v>
      </c>
      <c r="D1662" s="971" t="s">
        <v>2666</v>
      </c>
      <c r="E1662" s="971" t="s">
        <v>2678</v>
      </c>
      <c r="F1662" s="971" t="s">
        <v>2694</v>
      </c>
      <c r="G1662" s="971" t="s">
        <v>2678</v>
      </c>
      <c r="H1662" s="971" t="s">
        <v>2695</v>
      </c>
      <c r="I1662" s="1273"/>
      <c r="J1662" s="971"/>
      <c r="K1662" s="971"/>
      <c r="L1662" s="971" t="s">
        <v>2669</v>
      </c>
      <c r="M1662" s="971" t="s">
        <v>2669</v>
      </c>
      <c r="N1662" s="971" t="s">
        <v>2669</v>
      </c>
      <c r="O1662" s="971" t="s">
        <v>2669</v>
      </c>
      <c r="P1662" s="971" t="s">
        <v>2700</v>
      </c>
      <c r="Q1662" s="971" t="s">
        <v>2704</v>
      </c>
      <c r="R1662" s="1266"/>
      <c r="S1662" s="2106">
        <v>33278</v>
      </c>
      <c r="T1662" s="1266" t="s">
        <v>2688</v>
      </c>
      <c r="U1662" s="1742"/>
      <c r="V1662" s="1742"/>
      <c r="W1662" s="1742"/>
      <c r="X1662" s="1742"/>
      <c r="Y1662" s="2106">
        <v>103.02</v>
      </c>
      <c r="Z1662" s="2106"/>
      <c r="AA1662" s="2106"/>
      <c r="AB1662" s="2106"/>
      <c r="AC1662" s="2106"/>
      <c r="AD1662" s="1744">
        <v>3428299.56</v>
      </c>
      <c r="AE1662" s="2126">
        <v>0</v>
      </c>
      <c r="AF1662" s="2126">
        <v>0</v>
      </c>
      <c r="AG1662" s="1212">
        <v>1</v>
      </c>
      <c r="AH1662" s="1212">
        <v>0</v>
      </c>
      <c r="AI1662" s="1212">
        <v>0</v>
      </c>
      <c r="AJ1662" s="1212">
        <v>1</v>
      </c>
      <c r="AK1662" s="2126">
        <v>3428299.56</v>
      </c>
      <c r="AL1662" s="2126">
        <v>0</v>
      </c>
      <c r="AM1662" s="2126">
        <v>0</v>
      </c>
      <c r="AN1662" s="2126">
        <v>3428299.56</v>
      </c>
      <c r="AO1662" s="1743" t="s">
        <v>85</v>
      </c>
      <c r="AP1662" s="1743" t="s">
        <v>90</v>
      </c>
      <c r="AQ1662" s="1764">
        <v>2019</v>
      </c>
      <c r="AR1662" s="1743" t="s">
        <v>2669</v>
      </c>
      <c r="AS1662" s="2135"/>
      <c r="AT1662" s="2135"/>
      <c r="AU1662" s="1212">
        <v>0.18</v>
      </c>
      <c r="AV1662" s="1212">
        <v>0.18</v>
      </c>
      <c r="AW1662" s="1212">
        <v>0.18</v>
      </c>
      <c r="AX1662" s="1212">
        <v>0.1</v>
      </c>
      <c r="AY1662" s="1212">
        <v>0.1</v>
      </c>
      <c r="AZ1662" s="1212">
        <v>7.0000000000000007E-2</v>
      </c>
      <c r="BA1662" s="1212">
        <v>0.05</v>
      </c>
      <c r="BB1662" s="1212">
        <v>0.05</v>
      </c>
      <c r="BC1662" s="1212">
        <v>0.02</v>
      </c>
      <c r="BD1662" s="1212">
        <v>0.02</v>
      </c>
      <c r="BE1662" s="1212">
        <v>0.05</v>
      </c>
      <c r="BF1662" s="2126">
        <v>0</v>
      </c>
      <c r="BG1662" s="2126">
        <v>0</v>
      </c>
      <c r="BH1662" s="2126">
        <v>617093.92079999996</v>
      </c>
      <c r="BI1662" s="2126">
        <v>617093.92079999996</v>
      </c>
      <c r="BJ1662" s="2126">
        <v>617093.92079999996</v>
      </c>
      <c r="BK1662" s="2126">
        <v>342829.95600000001</v>
      </c>
      <c r="BL1662" s="2126">
        <v>342829.95600000001</v>
      </c>
      <c r="BM1662" s="2126">
        <v>239980.96920000002</v>
      </c>
      <c r="BN1662" s="2126">
        <v>171414.978</v>
      </c>
      <c r="BO1662" s="2126">
        <v>171414.978</v>
      </c>
      <c r="BP1662" s="2126">
        <v>68565.991200000004</v>
      </c>
      <c r="BQ1662" s="2126">
        <v>68565.991200000004</v>
      </c>
      <c r="BR1662" s="2126">
        <v>171414.978</v>
      </c>
    </row>
    <row r="1663" spans="1:70" s="1765" customFormat="1" ht="33">
      <c r="A1663" s="1272">
        <v>8001</v>
      </c>
      <c r="B1663" s="971" t="s">
        <v>2666</v>
      </c>
      <c r="C1663" s="1272">
        <v>8101</v>
      </c>
      <c r="D1663" s="971" t="s">
        <v>2666</v>
      </c>
      <c r="E1663" s="971" t="s">
        <v>2678</v>
      </c>
      <c r="F1663" s="971" t="s">
        <v>2694</v>
      </c>
      <c r="G1663" s="971" t="s">
        <v>2678</v>
      </c>
      <c r="H1663" s="971" t="s">
        <v>2695</v>
      </c>
      <c r="I1663" s="1273"/>
      <c r="J1663" s="971"/>
      <c r="K1663" s="971"/>
      <c r="L1663" s="971" t="s">
        <v>2669</v>
      </c>
      <c r="M1663" s="971" t="s">
        <v>2669</v>
      </c>
      <c r="N1663" s="971" t="s">
        <v>2669</v>
      </c>
      <c r="O1663" s="971" t="s">
        <v>2669</v>
      </c>
      <c r="P1663" s="971" t="s">
        <v>2700</v>
      </c>
      <c r="Q1663" s="971" t="s">
        <v>2705</v>
      </c>
      <c r="R1663" s="1266"/>
      <c r="S1663" s="2106">
        <v>-81400</v>
      </c>
      <c r="T1663" s="1266" t="s">
        <v>2688</v>
      </c>
      <c r="U1663" s="1742"/>
      <c r="V1663" s="1742"/>
      <c r="W1663" s="1742"/>
      <c r="X1663" s="1742"/>
      <c r="Y1663" s="2106">
        <v>103.02</v>
      </c>
      <c r="Z1663" s="2106"/>
      <c r="AA1663" s="2106"/>
      <c r="AB1663" s="2106"/>
      <c r="AC1663" s="2106"/>
      <c r="AD1663" s="1744">
        <v>-8385828</v>
      </c>
      <c r="AE1663" s="2126">
        <v>0</v>
      </c>
      <c r="AF1663" s="2126">
        <v>0</v>
      </c>
      <c r="AG1663" s="1212">
        <v>1</v>
      </c>
      <c r="AH1663" s="1212">
        <v>0</v>
      </c>
      <c r="AI1663" s="1212">
        <v>0</v>
      </c>
      <c r="AJ1663" s="1212">
        <v>1</v>
      </c>
      <c r="AK1663" s="2126">
        <v>-8385828</v>
      </c>
      <c r="AL1663" s="2126">
        <v>0</v>
      </c>
      <c r="AM1663" s="2126">
        <v>0</v>
      </c>
      <c r="AN1663" s="2126">
        <v>-8385828</v>
      </c>
      <c r="AO1663" s="1743" t="s">
        <v>85</v>
      </c>
      <c r="AP1663" s="1743" t="s">
        <v>96</v>
      </c>
      <c r="AQ1663" s="1764" t="s">
        <v>97</v>
      </c>
      <c r="AR1663" s="1743" t="s">
        <v>2669</v>
      </c>
      <c r="AS1663" s="2135"/>
      <c r="AT1663" s="2135"/>
      <c r="AU1663" s="1212">
        <v>0.18</v>
      </c>
      <c r="AV1663" s="1212">
        <v>0.18</v>
      </c>
      <c r="AW1663" s="1212">
        <v>0.18</v>
      </c>
      <c r="AX1663" s="1212">
        <v>0.1</v>
      </c>
      <c r="AY1663" s="1212">
        <v>0.1</v>
      </c>
      <c r="AZ1663" s="1212">
        <v>7.0000000000000007E-2</v>
      </c>
      <c r="BA1663" s="1212">
        <v>0.05</v>
      </c>
      <c r="BB1663" s="1212">
        <v>0.05</v>
      </c>
      <c r="BC1663" s="1212">
        <v>0.02</v>
      </c>
      <c r="BD1663" s="1212">
        <v>0.02</v>
      </c>
      <c r="BE1663" s="1212">
        <v>0.05</v>
      </c>
      <c r="BF1663" s="2126">
        <v>0</v>
      </c>
      <c r="BG1663" s="2126">
        <v>0</v>
      </c>
      <c r="BH1663" s="2126">
        <v>-1509449.04</v>
      </c>
      <c r="BI1663" s="2126">
        <v>-1509449.04</v>
      </c>
      <c r="BJ1663" s="2126">
        <v>-1509449.04</v>
      </c>
      <c r="BK1663" s="2126">
        <v>-838582.8</v>
      </c>
      <c r="BL1663" s="2126">
        <v>-838582.8</v>
      </c>
      <c r="BM1663" s="2126">
        <v>-587007.96000000008</v>
      </c>
      <c r="BN1663" s="2126">
        <v>-419291.4</v>
      </c>
      <c r="BO1663" s="2126">
        <v>-419291.4</v>
      </c>
      <c r="BP1663" s="2126">
        <v>-167716.56</v>
      </c>
      <c r="BQ1663" s="2126">
        <v>-167716.56</v>
      </c>
      <c r="BR1663" s="2126">
        <v>-419291.4</v>
      </c>
    </row>
    <row r="1664" spans="1:70" s="1765" customFormat="1" ht="33">
      <c r="A1664" s="1272">
        <v>8001</v>
      </c>
      <c r="B1664" s="971" t="s">
        <v>2666</v>
      </c>
      <c r="C1664" s="1272">
        <v>8101</v>
      </c>
      <c r="D1664" s="971" t="s">
        <v>2666</v>
      </c>
      <c r="E1664" s="971" t="s">
        <v>2678</v>
      </c>
      <c r="F1664" s="971" t="s">
        <v>2694</v>
      </c>
      <c r="G1664" s="971" t="s">
        <v>2678</v>
      </c>
      <c r="H1664" s="971" t="s">
        <v>2695</v>
      </c>
      <c r="I1664" s="1273"/>
      <c r="J1664" s="971"/>
      <c r="K1664" s="971"/>
      <c r="L1664" s="971" t="s">
        <v>2669</v>
      </c>
      <c r="M1664" s="971" t="s">
        <v>2669</v>
      </c>
      <c r="N1664" s="971" t="s">
        <v>2669</v>
      </c>
      <c r="O1664" s="971" t="s">
        <v>2669</v>
      </c>
      <c r="P1664" s="971" t="s">
        <v>2700</v>
      </c>
      <c r="Q1664" s="971" t="s">
        <v>2705</v>
      </c>
      <c r="R1664" s="1266"/>
      <c r="S1664" s="2106">
        <v>81400</v>
      </c>
      <c r="T1664" s="1266" t="s">
        <v>2688</v>
      </c>
      <c r="U1664" s="1742"/>
      <c r="V1664" s="1742"/>
      <c r="W1664" s="1742"/>
      <c r="X1664" s="1742"/>
      <c r="Y1664" s="2106">
        <v>103.02</v>
      </c>
      <c r="Z1664" s="2106"/>
      <c r="AA1664" s="2106"/>
      <c r="AB1664" s="2106"/>
      <c r="AC1664" s="2106"/>
      <c r="AD1664" s="1744">
        <v>8385828</v>
      </c>
      <c r="AE1664" s="2126">
        <v>0</v>
      </c>
      <c r="AF1664" s="2126">
        <v>0</v>
      </c>
      <c r="AG1664" s="1212">
        <v>1</v>
      </c>
      <c r="AH1664" s="1212">
        <v>0</v>
      </c>
      <c r="AI1664" s="1212">
        <v>0</v>
      </c>
      <c r="AJ1664" s="1212">
        <v>1</v>
      </c>
      <c r="AK1664" s="2126">
        <v>8385828</v>
      </c>
      <c r="AL1664" s="2126">
        <v>0</v>
      </c>
      <c r="AM1664" s="2126">
        <v>0</v>
      </c>
      <c r="AN1664" s="2126">
        <v>8385828</v>
      </c>
      <c r="AO1664" s="1743" t="s">
        <v>85</v>
      </c>
      <c r="AP1664" s="1743" t="s">
        <v>90</v>
      </c>
      <c r="AQ1664" s="1764">
        <v>2019</v>
      </c>
      <c r="AR1664" s="1743" t="s">
        <v>2669</v>
      </c>
      <c r="AS1664" s="2135"/>
      <c r="AT1664" s="2135"/>
      <c r="AU1664" s="1212">
        <v>0.18</v>
      </c>
      <c r="AV1664" s="1212">
        <v>0.18</v>
      </c>
      <c r="AW1664" s="1212">
        <v>0.18</v>
      </c>
      <c r="AX1664" s="1212">
        <v>0.1</v>
      </c>
      <c r="AY1664" s="1212">
        <v>0.1</v>
      </c>
      <c r="AZ1664" s="1212">
        <v>7.0000000000000007E-2</v>
      </c>
      <c r="BA1664" s="1212">
        <v>0.05</v>
      </c>
      <c r="BB1664" s="1212">
        <v>0.05</v>
      </c>
      <c r="BC1664" s="1212">
        <v>0.02</v>
      </c>
      <c r="BD1664" s="1212">
        <v>0.02</v>
      </c>
      <c r="BE1664" s="1212">
        <v>0.05</v>
      </c>
      <c r="BF1664" s="2126">
        <v>0</v>
      </c>
      <c r="BG1664" s="2126">
        <v>0</v>
      </c>
      <c r="BH1664" s="2126">
        <v>1509449.04</v>
      </c>
      <c r="BI1664" s="2126">
        <v>1509449.04</v>
      </c>
      <c r="BJ1664" s="2126">
        <v>1509449.04</v>
      </c>
      <c r="BK1664" s="2126">
        <v>838582.8</v>
      </c>
      <c r="BL1664" s="2126">
        <v>838582.8</v>
      </c>
      <c r="BM1664" s="2126">
        <v>587007.96000000008</v>
      </c>
      <c r="BN1664" s="2126">
        <v>419291.4</v>
      </c>
      <c r="BO1664" s="2126">
        <v>419291.4</v>
      </c>
      <c r="BP1664" s="2126">
        <v>167716.56</v>
      </c>
      <c r="BQ1664" s="2126">
        <v>167716.56</v>
      </c>
      <c r="BR1664" s="2126">
        <v>419291.4</v>
      </c>
    </row>
    <row r="1665" spans="1:70" s="1765" customFormat="1" ht="33">
      <c r="A1665" s="1272">
        <v>8001</v>
      </c>
      <c r="B1665" s="971" t="s">
        <v>2666</v>
      </c>
      <c r="C1665" s="1272">
        <v>8101</v>
      </c>
      <c r="D1665" s="971" t="s">
        <v>2666</v>
      </c>
      <c r="E1665" s="971" t="s">
        <v>2678</v>
      </c>
      <c r="F1665" s="971" t="s">
        <v>2694</v>
      </c>
      <c r="G1665" s="971" t="s">
        <v>2678</v>
      </c>
      <c r="H1665" s="971" t="s">
        <v>2695</v>
      </c>
      <c r="I1665" s="1273"/>
      <c r="J1665" s="971"/>
      <c r="K1665" s="971"/>
      <c r="L1665" s="971" t="s">
        <v>2669</v>
      </c>
      <c r="M1665" s="971" t="s">
        <v>2669</v>
      </c>
      <c r="N1665" s="971" t="s">
        <v>2669</v>
      </c>
      <c r="O1665" s="971" t="s">
        <v>2669</v>
      </c>
      <c r="P1665" s="971" t="s">
        <v>2700</v>
      </c>
      <c r="Q1665" s="971" t="s">
        <v>2706</v>
      </c>
      <c r="R1665" s="1266"/>
      <c r="S1665" s="2106">
        <v>21815</v>
      </c>
      <c r="T1665" s="1266" t="s">
        <v>2688</v>
      </c>
      <c r="U1665" s="1742"/>
      <c r="V1665" s="1742"/>
      <c r="W1665" s="1742"/>
      <c r="X1665" s="1742"/>
      <c r="Y1665" s="2106">
        <v>103.02</v>
      </c>
      <c r="Z1665" s="2106"/>
      <c r="AA1665" s="2106"/>
      <c r="AB1665" s="2106"/>
      <c r="AC1665" s="2106"/>
      <c r="AD1665" s="1744">
        <v>2247381.2999999998</v>
      </c>
      <c r="AE1665" s="2126">
        <v>0</v>
      </c>
      <c r="AF1665" s="2126">
        <v>0</v>
      </c>
      <c r="AG1665" s="1212">
        <v>1</v>
      </c>
      <c r="AH1665" s="1212">
        <v>0</v>
      </c>
      <c r="AI1665" s="1212">
        <v>0</v>
      </c>
      <c r="AJ1665" s="1212">
        <v>1</v>
      </c>
      <c r="AK1665" s="2126">
        <v>2247381.2999999998</v>
      </c>
      <c r="AL1665" s="2126">
        <v>0</v>
      </c>
      <c r="AM1665" s="2126">
        <v>0</v>
      </c>
      <c r="AN1665" s="2126">
        <v>2247381.2999999998</v>
      </c>
      <c r="AO1665" s="1743" t="s">
        <v>85</v>
      </c>
      <c r="AP1665" s="1743" t="s">
        <v>90</v>
      </c>
      <c r="AQ1665" s="1764">
        <v>2019</v>
      </c>
      <c r="AR1665" s="1743" t="s">
        <v>2669</v>
      </c>
      <c r="AS1665" s="2135"/>
      <c r="AT1665" s="2135"/>
      <c r="AU1665" s="1212">
        <v>0.18</v>
      </c>
      <c r="AV1665" s="1212">
        <v>0.18</v>
      </c>
      <c r="AW1665" s="1212">
        <v>0.18</v>
      </c>
      <c r="AX1665" s="1212">
        <v>0.1</v>
      </c>
      <c r="AY1665" s="1212">
        <v>0.1</v>
      </c>
      <c r="AZ1665" s="1212">
        <v>7.0000000000000007E-2</v>
      </c>
      <c r="BA1665" s="1212">
        <v>0.05</v>
      </c>
      <c r="BB1665" s="1212">
        <v>0.05</v>
      </c>
      <c r="BC1665" s="1212">
        <v>0.02</v>
      </c>
      <c r="BD1665" s="1212">
        <v>0.02</v>
      </c>
      <c r="BE1665" s="1212">
        <v>0.05</v>
      </c>
      <c r="BF1665" s="2126">
        <v>0</v>
      </c>
      <c r="BG1665" s="2126">
        <v>0</v>
      </c>
      <c r="BH1665" s="2126">
        <v>404528.63399999996</v>
      </c>
      <c r="BI1665" s="2126">
        <v>404528.63399999996</v>
      </c>
      <c r="BJ1665" s="2126">
        <v>404528.63399999996</v>
      </c>
      <c r="BK1665" s="2126">
        <v>224738.13</v>
      </c>
      <c r="BL1665" s="2126">
        <v>224738.13</v>
      </c>
      <c r="BM1665" s="2126">
        <v>157316.69099999999</v>
      </c>
      <c r="BN1665" s="2126">
        <v>112369.065</v>
      </c>
      <c r="BO1665" s="2126">
        <v>112369.065</v>
      </c>
      <c r="BP1665" s="2126">
        <v>44947.625999999997</v>
      </c>
      <c r="BQ1665" s="2126">
        <v>44947.625999999997</v>
      </c>
      <c r="BR1665" s="2126">
        <v>112369.065</v>
      </c>
    </row>
    <row r="1666" spans="1:70" s="1765" customFormat="1" ht="33">
      <c r="A1666" s="1272">
        <v>8001</v>
      </c>
      <c r="B1666" s="971" t="s">
        <v>2666</v>
      </c>
      <c r="C1666" s="1272">
        <v>8101</v>
      </c>
      <c r="D1666" s="971" t="s">
        <v>2666</v>
      </c>
      <c r="E1666" s="971" t="s">
        <v>2678</v>
      </c>
      <c r="F1666" s="971" t="s">
        <v>2694</v>
      </c>
      <c r="G1666" s="971" t="s">
        <v>2678</v>
      </c>
      <c r="H1666" s="971" t="s">
        <v>2695</v>
      </c>
      <c r="I1666" s="1273"/>
      <c r="J1666" s="971"/>
      <c r="K1666" s="971"/>
      <c r="L1666" s="971" t="s">
        <v>2669</v>
      </c>
      <c r="M1666" s="971" t="s">
        <v>2669</v>
      </c>
      <c r="N1666" s="971" t="s">
        <v>2669</v>
      </c>
      <c r="O1666" s="971" t="s">
        <v>2669</v>
      </c>
      <c r="P1666" s="971" t="s">
        <v>2700</v>
      </c>
      <c r="Q1666" s="971" t="s">
        <v>2707</v>
      </c>
      <c r="R1666" s="1266"/>
      <c r="S1666" s="2106">
        <v>30500</v>
      </c>
      <c r="T1666" s="1266" t="s">
        <v>2688</v>
      </c>
      <c r="U1666" s="1742"/>
      <c r="V1666" s="1742"/>
      <c r="W1666" s="1742"/>
      <c r="X1666" s="1742"/>
      <c r="Y1666" s="2106">
        <v>103.02</v>
      </c>
      <c r="Z1666" s="2106"/>
      <c r="AA1666" s="2106"/>
      <c r="AB1666" s="2106"/>
      <c r="AC1666" s="2106"/>
      <c r="AD1666" s="1744">
        <v>3142110</v>
      </c>
      <c r="AE1666" s="2126">
        <v>0</v>
      </c>
      <c r="AF1666" s="2126">
        <v>0</v>
      </c>
      <c r="AG1666" s="1212">
        <v>1</v>
      </c>
      <c r="AH1666" s="1212">
        <v>0</v>
      </c>
      <c r="AI1666" s="1212">
        <v>0</v>
      </c>
      <c r="AJ1666" s="1212">
        <v>1</v>
      </c>
      <c r="AK1666" s="2126">
        <v>3142110</v>
      </c>
      <c r="AL1666" s="2126">
        <v>0</v>
      </c>
      <c r="AM1666" s="2126">
        <v>0</v>
      </c>
      <c r="AN1666" s="2126">
        <v>3142110</v>
      </c>
      <c r="AO1666" s="1743" t="s">
        <v>85</v>
      </c>
      <c r="AP1666" s="1743" t="s">
        <v>90</v>
      </c>
      <c r="AQ1666" s="1764" t="s">
        <v>103</v>
      </c>
      <c r="AR1666" s="1743" t="s">
        <v>2669</v>
      </c>
      <c r="AS1666" s="2135"/>
      <c r="AT1666" s="2135"/>
      <c r="AU1666" s="1212">
        <v>0.18</v>
      </c>
      <c r="AV1666" s="1212">
        <v>0.18</v>
      </c>
      <c r="AW1666" s="1212">
        <v>0.18</v>
      </c>
      <c r="AX1666" s="1212">
        <v>0.1</v>
      </c>
      <c r="AY1666" s="1212">
        <v>0.1</v>
      </c>
      <c r="AZ1666" s="1212">
        <v>7.0000000000000007E-2</v>
      </c>
      <c r="BA1666" s="1212">
        <v>0.05</v>
      </c>
      <c r="BB1666" s="1212">
        <v>0.05</v>
      </c>
      <c r="BC1666" s="1212">
        <v>0.02</v>
      </c>
      <c r="BD1666" s="1212">
        <v>0.02</v>
      </c>
      <c r="BE1666" s="1212">
        <v>0.05</v>
      </c>
      <c r="BF1666" s="2126">
        <v>0</v>
      </c>
      <c r="BG1666" s="2126">
        <v>0</v>
      </c>
      <c r="BH1666" s="2126">
        <v>565579.79999999993</v>
      </c>
      <c r="BI1666" s="2126">
        <v>565579.79999999993</v>
      </c>
      <c r="BJ1666" s="2126">
        <v>565579.79999999993</v>
      </c>
      <c r="BK1666" s="2126">
        <v>314211</v>
      </c>
      <c r="BL1666" s="2126">
        <v>314211</v>
      </c>
      <c r="BM1666" s="2126">
        <v>219947.7</v>
      </c>
      <c r="BN1666" s="2126">
        <v>157105.5</v>
      </c>
      <c r="BO1666" s="2126">
        <v>157105.5</v>
      </c>
      <c r="BP1666" s="2126">
        <v>62842.200000000004</v>
      </c>
      <c r="BQ1666" s="2126">
        <v>62842.200000000004</v>
      </c>
      <c r="BR1666" s="2126">
        <v>157105.5</v>
      </c>
    </row>
    <row r="1667" spans="1:70" s="1765" customFormat="1" ht="33">
      <c r="A1667" s="1272">
        <v>8001</v>
      </c>
      <c r="B1667" s="971" t="s">
        <v>2666</v>
      </c>
      <c r="C1667" s="1272">
        <v>8101</v>
      </c>
      <c r="D1667" s="971" t="s">
        <v>2666</v>
      </c>
      <c r="E1667" s="971" t="s">
        <v>2678</v>
      </c>
      <c r="F1667" s="971" t="s">
        <v>2694</v>
      </c>
      <c r="G1667" s="971" t="s">
        <v>2678</v>
      </c>
      <c r="H1667" s="971" t="s">
        <v>2695</v>
      </c>
      <c r="I1667" s="1273"/>
      <c r="J1667" s="971"/>
      <c r="K1667" s="971"/>
      <c r="L1667" s="971" t="s">
        <v>2669</v>
      </c>
      <c r="M1667" s="971" t="s">
        <v>2669</v>
      </c>
      <c r="N1667" s="971" t="s">
        <v>2669</v>
      </c>
      <c r="O1667" s="971" t="s">
        <v>2669</v>
      </c>
      <c r="P1667" s="971" t="s">
        <v>2700</v>
      </c>
      <c r="Q1667" s="971" t="s">
        <v>2707</v>
      </c>
      <c r="R1667" s="1266"/>
      <c r="S1667" s="2106">
        <v>-30500</v>
      </c>
      <c r="T1667" s="1266" t="s">
        <v>2688</v>
      </c>
      <c r="U1667" s="1742"/>
      <c r="V1667" s="1742"/>
      <c r="W1667" s="1742"/>
      <c r="X1667" s="1742"/>
      <c r="Y1667" s="2106">
        <v>103.02</v>
      </c>
      <c r="Z1667" s="2106"/>
      <c r="AA1667" s="2106"/>
      <c r="AB1667" s="2106"/>
      <c r="AC1667" s="2106"/>
      <c r="AD1667" s="1744">
        <v>-3142110</v>
      </c>
      <c r="AE1667" s="2126">
        <v>0</v>
      </c>
      <c r="AF1667" s="2126">
        <v>0</v>
      </c>
      <c r="AG1667" s="1212">
        <v>1</v>
      </c>
      <c r="AH1667" s="1212">
        <v>0</v>
      </c>
      <c r="AI1667" s="1212">
        <v>0</v>
      </c>
      <c r="AJ1667" s="1212">
        <v>1</v>
      </c>
      <c r="AK1667" s="2126">
        <v>-3142110</v>
      </c>
      <c r="AL1667" s="2126">
        <v>0</v>
      </c>
      <c r="AM1667" s="2126">
        <v>0</v>
      </c>
      <c r="AN1667" s="2126">
        <v>-3142110</v>
      </c>
      <c r="AO1667" s="1743" t="s">
        <v>85</v>
      </c>
      <c r="AP1667" s="1743" t="s">
        <v>90</v>
      </c>
      <c r="AQ1667" s="1764" t="s">
        <v>183</v>
      </c>
      <c r="AR1667" s="1743" t="s">
        <v>2669</v>
      </c>
      <c r="AS1667" s="2135"/>
      <c r="AT1667" s="2135"/>
      <c r="AU1667" s="1212">
        <v>0.18</v>
      </c>
      <c r="AV1667" s="1212">
        <v>0.18</v>
      </c>
      <c r="AW1667" s="1212">
        <v>0.18</v>
      </c>
      <c r="AX1667" s="1212">
        <v>0.1</v>
      </c>
      <c r="AY1667" s="1212">
        <v>0.1</v>
      </c>
      <c r="AZ1667" s="1212">
        <v>7.0000000000000007E-2</v>
      </c>
      <c r="BA1667" s="1212">
        <v>0.05</v>
      </c>
      <c r="BB1667" s="1212">
        <v>0.05</v>
      </c>
      <c r="BC1667" s="1212">
        <v>0.02</v>
      </c>
      <c r="BD1667" s="1212">
        <v>0.02</v>
      </c>
      <c r="BE1667" s="1212">
        <v>0.05</v>
      </c>
      <c r="BF1667" s="2126">
        <v>0</v>
      </c>
      <c r="BG1667" s="2126">
        <v>0</v>
      </c>
      <c r="BH1667" s="2126">
        <v>-565579.79999999993</v>
      </c>
      <c r="BI1667" s="2126">
        <v>-565579.79999999993</v>
      </c>
      <c r="BJ1667" s="2126">
        <v>-565579.79999999993</v>
      </c>
      <c r="BK1667" s="2126">
        <v>-314211</v>
      </c>
      <c r="BL1667" s="2126">
        <v>-314211</v>
      </c>
      <c r="BM1667" s="2126">
        <v>-219947.7</v>
      </c>
      <c r="BN1667" s="2126">
        <v>-157105.5</v>
      </c>
      <c r="BO1667" s="2126">
        <v>-157105.5</v>
      </c>
      <c r="BP1667" s="2126">
        <v>-62842.200000000004</v>
      </c>
      <c r="BQ1667" s="2126">
        <v>-62842.200000000004</v>
      </c>
      <c r="BR1667" s="2126">
        <v>-157105.5</v>
      </c>
    </row>
    <row r="1668" spans="1:70" s="1765" customFormat="1" ht="33">
      <c r="A1668" s="1272">
        <v>8001</v>
      </c>
      <c r="B1668" s="971" t="s">
        <v>2666</v>
      </c>
      <c r="C1668" s="1272">
        <v>8101</v>
      </c>
      <c r="D1668" s="971" t="s">
        <v>2666</v>
      </c>
      <c r="E1668" s="971" t="s">
        <v>2678</v>
      </c>
      <c r="F1668" s="971" t="s">
        <v>2694</v>
      </c>
      <c r="G1668" s="971" t="s">
        <v>2678</v>
      </c>
      <c r="H1668" s="971" t="s">
        <v>2695</v>
      </c>
      <c r="I1668" s="1273"/>
      <c r="J1668" s="971"/>
      <c r="K1668" s="971"/>
      <c r="L1668" s="971" t="s">
        <v>2669</v>
      </c>
      <c r="M1668" s="971" t="s">
        <v>2669</v>
      </c>
      <c r="N1668" s="971" t="s">
        <v>2669</v>
      </c>
      <c r="O1668" s="971" t="s">
        <v>2669</v>
      </c>
      <c r="P1668" s="971" t="s">
        <v>2700</v>
      </c>
      <c r="Q1668" s="971" t="s">
        <v>2708</v>
      </c>
      <c r="R1668" s="1266"/>
      <c r="S1668" s="2106">
        <v>40500</v>
      </c>
      <c r="T1668" s="1266" t="s">
        <v>2688</v>
      </c>
      <c r="U1668" s="1742"/>
      <c r="V1668" s="1742"/>
      <c r="W1668" s="1742"/>
      <c r="X1668" s="1742"/>
      <c r="Y1668" s="2106">
        <v>103.02</v>
      </c>
      <c r="Z1668" s="2106"/>
      <c r="AA1668" s="2106"/>
      <c r="AB1668" s="2106"/>
      <c r="AC1668" s="2106"/>
      <c r="AD1668" s="1744">
        <v>4172310</v>
      </c>
      <c r="AE1668" s="2126">
        <v>0</v>
      </c>
      <c r="AF1668" s="2126">
        <v>0</v>
      </c>
      <c r="AG1668" s="1212">
        <v>1</v>
      </c>
      <c r="AH1668" s="1212">
        <v>0</v>
      </c>
      <c r="AI1668" s="1212">
        <v>0</v>
      </c>
      <c r="AJ1668" s="1212">
        <v>1</v>
      </c>
      <c r="AK1668" s="2126">
        <v>4172310</v>
      </c>
      <c r="AL1668" s="2126">
        <v>0</v>
      </c>
      <c r="AM1668" s="2126">
        <v>0</v>
      </c>
      <c r="AN1668" s="2126">
        <v>4172310</v>
      </c>
      <c r="AO1668" s="1743" t="s">
        <v>85</v>
      </c>
      <c r="AP1668" s="1743" t="s">
        <v>90</v>
      </c>
      <c r="AQ1668" s="1764" t="s">
        <v>103</v>
      </c>
      <c r="AR1668" s="1743" t="s">
        <v>2669</v>
      </c>
      <c r="AS1668" s="2135"/>
      <c r="AT1668" s="2135"/>
      <c r="AU1668" s="1212">
        <v>0.18</v>
      </c>
      <c r="AV1668" s="1212">
        <v>0.18</v>
      </c>
      <c r="AW1668" s="1212">
        <v>0.18</v>
      </c>
      <c r="AX1668" s="1212">
        <v>0.1</v>
      </c>
      <c r="AY1668" s="1212">
        <v>0.1</v>
      </c>
      <c r="AZ1668" s="1212">
        <v>7.0000000000000007E-2</v>
      </c>
      <c r="BA1668" s="1212">
        <v>0.05</v>
      </c>
      <c r="BB1668" s="1212">
        <v>0.05</v>
      </c>
      <c r="BC1668" s="1212">
        <v>0.02</v>
      </c>
      <c r="BD1668" s="1212">
        <v>0.02</v>
      </c>
      <c r="BE1668" s="1212">
        <v>0.05</v>
      </c>
      <c r="BF1668" s="2126">
        <v>0</v>
      </c>
      <c r="BG1668" s="2126">
        <v>0</v>
      </c>
      <c r="BH1668" s="2126">
        <v>751015.79999999993</v>
      </c>
      <c r="BI1668" s="2126">
        <v>751015.79999999993</v>
      </c>
      <c r="BJ1668" s="2126">
        <v>751015.79999999993</v>
      </c>
      <c r="BK1668" s="2126">
        <v>417231</v>
      </c>
      <c r="BL1668" s="2126">
        <v>417231</v>
      </c>
      <c r="BM1668" s="2126">
        <v>292061.7</v>
      </c>
      <c r="BN1668" s="2126">
        <v>208615.5</v>
      </c>
      <c r="BO1668" s="2126">
        <v>208615.5</v>
      </c>
      <c r="BP1668" s="2126">
        <v>83446.2</v>
      </c>
      <c r="BQ1668" s="2126">
        <v>83446.2</v>
      </c>
      <c r="BR1668" s="2126">
        <v>208615.5</v>
      </c>
    </row>
    <row r="1669" spans="1:70" s="1765" customFormat="1" ht="33">
      <c r="A1669" s="1272">
        <v>8001</v>
      </c>
      <c r="B1669" s="971" t="s">
        <v>2666</v>
      </c>
      <c r="C1669" s="1272">
        <v>8101</v>
      </c>
      <c r="D1669" s="971" t="s">
        <v>2666</v>
      </c>
      <c r="E1669" s="971" t="s">
        <v>2678</v>
      </c>
      <c r="F1669" s="971" t="s">
        <v>2694</v>
      </c>
      <c r="G1669" s="971" t="s">
        <v>2678</v>
      </c>
      <c r="H1669" s="971" t="s">
        <v>2695</v>
      </c>
      <c r="I1669" s="1273"/>
      <c r="J1669" s="971"/>
      <c r="K1669" s="971"/>
      <c r="L1669" s="971" t="s">
        <v>2669</v>
      </c>
      <c r="M1669" s="971" t="s">
        <v>2669</v>
      </c>
      <c r="N1669" s="971" t="s">
        <v>2669</v>
      </c>
      <c r="O1669" s="971" t="s">
        <v>2669</v>
      </c>
      <c r="P1669" s="971" t="s">
        <v>2700</v>
      </c>
      <c r="Q1669" s="971" t="s">
        <v>2708</v>
      </c>
      <c r="R1669" s="1266"/>
      <c r="S1669" s="2106">
        <v>-40500</v>
      </c>
      <c r="T1669" s="1266" t="s">
        <v>2688</v>
      </c>
      <c r="U1669" s="1742"/>
      <c r="V1669" s="1742"/>
      <c r="W1669" s="1742"/>
      <c r="X1669" s="1742"/>
      <c r="Y1669" s="2106">
        <v>103.02</v>
      </c>
      <c r="Z1669" s="2106"/>
      <c r="AA1669" s="2106"/>
      <c r="AB1669" s="2106"/>
      <c r="AC1669" s="2106"/>
      <c r="AD1669" s="1744">
        <v>-4172310</v>
      </c>
      <c r="AE1669" s="2126">
        <v>0</v>
      </c>
      <c r="AF1669" s="2126">
        <v>0</v>
      </c>
      <c r="AG1669" s="1212">
        <v>1</v>
      </c>
      <c r="AH1669" s="1212">
        <v>0</v>
      </c>
      <c r="AI1669" s="1212">
        <v>0</v>
      </c>
      <c r="AJ1669" s="1212">
        <v>1</v>
      </c>
      <c r="AK1669" s="2126">
        <v>-4172310</v>
      </c>
      <c r="AL1669" s="2126">
        <v>0</v>
      </c>
      <c r="AM1669" s="2126">
        <v>0</v>
      </c>
      <c r="AN1669" s="2126">
        <v>-4172310</v>
      </c>
      <c r="AO1669" s="1743" t="s">
        <v>85</v>
      </c>
      <c r="AP1669" s="1743" t="s">
        <v>90</v>
      </c>
      <c r="AQ1669" s="1764" t="s">
        <v>183</v>
      </c>
      <c r="AR1669" s="1743" t="s">
        <v>2669</v>
      </c>
      <c r="AS1669" s="2135"/>
      <c r="AT1669" s="2135"/>
      <c r="AU1669" s="1212">
        <v>0.18</v>
      </c>
      <c r="AV1669" s="1212">
        <v>0.18</v>
      </c>
      <c r="AW1669" s="1212">
        <v>0.18</v>
      </c>
      <c r="AX1669" s="1212">
        <v>0.1</v>
      </c>
      <c r="AY1669" s="1212">
        <v>0.1</v>
      </c>
      <c r="AZ1669" s="1212">
        <v>7.0000000000000007E-2</v>
      </c>
      <c r="BA1669" s="1212">
        <v>0.05</v>
      </c>
      <c r="BB1669" s="1212">
        <v>0.05</v>
      </c>
      <c r="BC1669" s="1212">
        <v>0.02</v>
      </c>
      <c r="BD1669" s="1212">
        <v>0.02</v>
      </c>
      <c r="BE1669" s="1212">
        <v>0.05</v>
      </c>
      <c r="BF1669" s="2126">
        <v>0</v>
      </c>
      <c r="BG1669" s="2126">
        <v>0</v>
      </c>
      <c r="BH1669" s="2126">
        <v>-751015.79999999993</v>
      </c>
      <c r="BI1669" s="2126">
        <v>-751015.79999999993</v>
      </c>
      <c r="BJ1669" s="2126">
        <v>-751015.79999999993</v>
      </c>
      <c r="BK1669" s="2126">
        <v>-417231</v>
      </c>
      <c r="BL1669" s="2126">
        <v>-417231</v>
      </c>
      <c r="BM1669" s="2126">
        <v>-292061.7</v>
      </c>
      <c r="BN1669" s="2126">
        <v>-208615.5</v>
      </c>
      <c r="BO1669" s="2126">
        <v>-208615.5</v>
      </c>
      <c r="BP1669" s="2126">
        <v>-83446.2</v>
      </c>
      <c r="BQ1669" s="2126">
        <v>-83446.2</v>
      </c>
      <c r="BR1669" s="2126">
        <v>-208615.5</v>
      </c>
    </row>
    <row r="1670" spans="1:70" s="1765" customFormat="1" ht="33">
      <c r="A1670" s="1272">
        <v>8001</v>
      </c>
      <c r="B1670" s="971" t="s">
        <v>2666</v>
      </c>
      <c r="C1670" s="1272">
        <v>8101</v>
      </c>
      <c r="D1670" s="971" t="s">
        <v>2666</v>
      </c>
      <c r="E1670" s="971" t="s">
        <v>2678</v>
      </c>
      <c r="F1670" s="971" t="s">
        <v>2694</v>
      </c>
      <c r="G1670" s="971" t="s">
        <v>2678</v>
      </c>
      <c r="H1670" s="971" t="s">
        <v>2695</v>
      </c>
      <c r="I1670" s="1273"/>
      <c r="J1670" s="971"/>
      <c r="K1670" s="971"/>
      <c r="L1670" s="971" t="s">
        <v>2669</v>
      </c>
      <c r="M1670" s="971" t="s">
        <v>2669</v>
      </c>
      <c r="N1670" s="971" t="s">
        <v>2669</v>
      </c>
      <c r="O1670" s="971" t="s">
        <v>2669</v>
      </c>
      <c r="P1670" s="971" t="s">
        <v>2700</v>
      </c>
      <c r="Q1670" s="971" t="s">
        <v>2709</v>
      </c>
      <c r="R1670" s="1266"/>
      <c r="S1670" s="2106">
        <v>24100</v>
      </c>
      <c r="T1670" s="1266" t="s">
        <v>2688</v>
      </c>
      <c r="U1670" s="1742"/>
      <c r="V1670" s="1742"/>
      <c r="W1670" s="1742"/>
      <c r="X1670" s="1742"/>
      <c r="Y1670" s="2106">
        <v>103.02</v>
      </c>
      <c r="Z1670" s="2106"/>
      <c r="AA1670" s="2106"/>
      <c r="AB1670" s="2106"/>
      <c r="AC1670" s="2106"/>
      <c r="AD1670" s="1744">
        <v>2482782</v>
      </c>
      <c r="AE1670" s="2126">
        <v>0</v>
      </c>
      <c r="AF1670" s="2126">
        <v>0</v>
      </c>
      <c r="AG1670" s="1212">
        <v>1</v>
      </c>
      <c r="AH1670" s="1212">
        <v>0</v>
      </c>
      <c r="AI1670" s="1212">
        <v>0</v>
      </c>
      <c r="AJ1670" s="1212">
        <v>1</v>
      </c>
      <c r="AK1670" s="2126">
        <v>2482782</v>
      </c>
      <c r="AL1670" s="2126">
        <v>0</v>
      </c>
      <c r="AM1670" s="2126">
        <v>0</v>
      </c>
      <c r="AN1670" s="2126">
        <v>2482782</v>
      </c>
      <c r="AO1670" s="1743" t="s">
        <v>85</v>
      </c>
      <c r="AP1670" s="1743" t="s">
        <v>90</v>
      </c>
      <c r="AQ1670" s="1764" t="s">
        <v>103</v>
      </c>
      <c r="AR1670" s="1743" t="s">
        <v>2669</v>
      </c>
      <c r="AS1670" s="2135"/>
      <c r="AT1670" s="2135"/>
      <c r="AU1670" s="1212">
        <v>0.18</v>
      </c>
      <c r="AV1670" s="1212">
        <v>0.18</v>
      </c>
      <c r="AW1670" s="1212">
        <v>0.18</v>
      </c>
      <c r="AX1670" s="1212">
        <v>0.1</v>
      </c>
      <c r="AY1670" s="1212">
        <v>0.1</v>
      </c>
      <c r="AZ1670" s="1212">
        <v>7.0000000000000007E-2</v>
      </c>
      <c r="BA1670" s="1212">
        <v>0.05</v>
      </c>
      <c r="BB1670" s="1212">
        <v>0.05</v>
      </c>
      <c r="BC1670" s="1212">
        <v>0.02</v>
      </c>
      <c r="BD1670" s="1212">
        <v>0.02</v>
      </c>
      <c r="BE1670" s="1212">
        <v>0.05</v>
      </c>
      <c r="BF1670" s="2126">
        <v>0</v>
      </c>
      <c r="BG1670" s="2126">
        <v>0</v>
      </c>
      <c r="BH1670" s="2126">
        <v>446900.76</v>
      </c>
      <c r="BI1670" s="2126">
        <v>446900.76</v>
      </c>
      <c r="BJ1670" s="2126">
        <v>446900.76</v>
      </c>
      <c r="BK1670" s="2126">
        <v>248278.2</v>
      </c>
      <c r="BL1670" s="2126">
        <v>248278.2</v>
      </c>
      <c r="BM1670" s="2126">
        <v>173794.74000000002</v>
      </c>
      <c r="BN1670" s="2126">
        <v>124139.1</v>
      </c>
      <c r="BO1670" s="2126">
        <v>124139.1</v>
      </c>
      <c r="BP1670" s="2126">
        <v>49655.64</v>
      </c>
      <c r="BQ1670" s="2126">
        <v>49655.64</v>
      </c>
      <c r="BR1670" s="2126">
        <v>124139.1</v>
      </c>
    </row>
    <row r="1671" spans="1:70" s="1765" customFormat="1" ht="33">
      <c r="A1671" s="1272">
        <v>8001</v>
      </c>
      <c r="B1671" s="971" t="s">
        <v>2666</v>
      </c>
      <c r="C1671" s="1272">
        <v>8101</v>
      </c>
      <c r="D1671" s="971" t="s">
        <v>2666</v>
      </c>
      <c r="E1671" s="971" t="s">
        <v>2678</v>
      </c>
      <c r="F1671" s="971" t="s">
        <v>2694</v>
      </c>
      <c r="G1671" s="971" t="s">
        <v>2678</v>
      </c>
      <c r="H1671" s="971" t="s">
        <v>2695</v>
      </c>
      <c r="I1671" s="1273"/>
      <c r="J1671" s="971"/>
      <c r="K1671" s="971"/>
      <c r="L1671" s="971" t="s">
        <v>2669</v>
      </c>
      <c r="M1671" s="971" t="s">
        <v>2669</v>
      </c>
      <c r="N1671" s="971" t="s">
        <v>2669</v>
      </c>
      <c r="O1671" s="971" t="s">
        <v>2669</v>
      </c>
      <c r="P1671" s="971" t="s">
        <v>2700</v>
      </c>
      <c r="Q1671" s="971" t="s">
        <v>2709</v>
      </c>
      <c r="R1671" s="1266"/>
      <c r="S1671" s="2106">
        <v>-24100</v>
      </c>
      <c r="T1671" s="1266" t="s">
        <v>2688</v>
      </c>
      <c r="U1671" s="1742"/>
      <c r="V1671" s="1742"/>
      <c r="W1671" s="1742"/>
      <c r="X1671" s="1742"/>
      <c r="Y1671" s="2106">
        <v>103.02</v>
      </c>
      <c r="Z1671" s="2106"/>
      <c r="AA1671" s="2106"/>
      <c r="AB1671" s="2106"/>
      <c r="AC1671" s="2106"/>
      <c r="AD1671" s="1744">
        <v>-2482782</v>
      </c>
      <c r="AE1671" s="2126">
        <v>0</v>
      </c>
      <c r="AF1671" s="2126">
        <v>0</v>
      </c>
      <c r="AG1671" s="1212">
        <v>1</v>
      </c>
      <c r="AH1671" s="1212">
        <v>0</v>
      </c>
      <c r="AI1671" s="1212">
        <v>0</v>
      </c>
      <c r="AJ1671" s="1212">
        <v>1</v>
      </c>
      <c r="AK1671" s="2126">
        <v>-2482782</v>
      </c>
      <c r="AL1671" s="2126">
        <v>0</v>
      </c>
      <c r="AM1671" s="2126">
        <v>0</v>
      </c>
      <c r="AN1671" s="2126">
        <v>-2482782</v>
      </c>
      <c r="AO1671" s="1743" t="s">
        <v>85</v>
      </c>
      <c r="AP1671" s="1743" t="s">
        <v>90</v>
      </c>
      <c r="AQ1671" s="1764" t="s">
        <v>183</v>
      </c>
      <c r="AR1671" s="1743" t="s">
        <v>2669</v>
      </c>
      <c r="AS1671" s="2135"/>
      <c r="AT1671" s="2135"/>
      <c r="AU1671" s="1212">
        <v>0.18</v>
      </c>
      <c r="AV1671" s="1212">
        <v>0.18</v>
      </c>
      <c r="AW1671" s="1212">
        <v>0.18</v>
      </c>
      <c r="AX1671" s="1212">
        <v>0.1</v>
      </c>
      <c r="AY1671" s="1212">
        <v>0.1</v>
      </c>
      <c r="AZ1671" s="1212">
        <v>7.0000000000000007E-2</v>
      </c>
      <c r="BA1671" s="1212">
        <v>0.05</v>
      </c>
      <c r="BB1671" s="1212">
        <v>0.05</v>
      </c>
      <c r="BC1671" s="1212">
        <v>0.02</v>
      </c>
      <c r="BD1671" s="1212">
        <v>0.02</v>
      </c>
      <c r="BE1671" s="1212">
        <v>0.05</v>
      </c>
      <c r="BF1671" s="2126">
        <v>0</v>
      </c>
      <c r="BG1671" s="2126">
        <v>0</v>
      </c>
      <c r="BH1671" s="2126">
        <v>-446900.76</v>
      </c>
      <c r="BI1671" s="2126">
        <v>-446900.76</v>
      </c>
      <c r="BJ1671" s="2126">
        <v>-446900.76</v>
      </c>
      <c r="BK1671" s="2126">
        <v>-248278.2</v>
      </c>
      <c r="BL1671" s="2126">
        <v>-248278.2</v>
      </c>
      <c r="BM1671" s="2126">
        <v>-173794.74000000002</v>
      </c>
      <c r="BN1671" s="2126">
        <v>-124139.1</v>
      </c>
      <c r="BO1671" s="2126">
        <v>-124139.1</v>
      </c>
      <c r="BP1671" s="2126">
        <v>-49655.64</v>
      </c>
      <c r="BQ1671" s="2126">
        <v>-49655.64</v>
      </c>
      <c r="BR1671" s="2126">
        <v>-124139.1</v>
      </c>
    </row>
    <row r="1672" spans="1:70" s="1765" customFormat="1" ht="33">
      <c r="A1672" s="1272">
        <v>8001</v>
      </c>
      <c r="B1672" s="971" t="s">
        <v>2666</v>
      </c>
      <c r="C1672" s="1272">
        <v>8101</v>
      </c>
      <c r="D1672" s="971" t="s">
        <v>2666</v>
      </c>
      <c r="E1672" s="971" t="s">
        <v>2678</v>
      </c>
      <c r="F1672" s="971" t="s">
        <v>2694</v>
      </c>
      <c r="G1672" s="971" t="s">
        <v>2678</v>
      </c>
      <c r="H1672" s="971" t="s">
        <v>2695</v>
      </c>
      <c r="I1672" s="1273"/>
      <c r="J1672" s="971"/>
      <c r="K1672" s="971"/>
      <c r="L1672" s="971" t="s">
        <v>2669</v>
      </c>
      <c r="M1672" s="971" t="s">
        <v>2669</v>
      </c>
      <c r="N1672" s="971" t="s">
        <v>2669</v>
      </c>
      <c r="O1672" s="971" t="s">
        <v>2669</v>
      </c>
      <c r="P1672" s="971" t="s">
        <v>2700</v>
      </c>
      <c r="Q1672" s="971" t="s">
        <v>2710</v>
      </c>
      <c r="R1672" s="1266"/>
      <c r="S1672" s="2106">
        <v>41500</v>
      </c>
      <c r="T1672" s="1266" t="s">
        <v>2688</v>
      </c>
      <c r="U1672" s="1742"/>
      <c r="V1672" s="1742"/>
      <c r="W1672" s="1742"/>
      <c r="X1672" s="1742"/>
      <c r="Y1672" s="2106">
        <v>103.02</v>
      </c>
      <c r="Z1672" s="2106"/>
      <c r="AA1672" s="2106"/>
      <c r="AB1672" s="2106"/>
      <c r="AC1672" s="2106"/>
      <c r="AD1672" s="1744">
        <v>4275330</v>
      </c>
      <c r="AE1672" s="2126">
        <v>0</v>
      </c>
      <c r="AF1672" s="2126">
        <v>0</v>
      </c>
      <c r="AG1672" s="1212">
        <v>1</v>
      </c>
      <c r="AH1672" s="1212">
        <v>0</v>
      </c>
      <c r="AI1672" s="1212">
        <v>0</v>
      </c>
      <c r="AJ1672" s="1212">
        <v>1</v>
      </c>
      <c r="AK1672" s="2126">
        <v>4275330</v>
      </c>
      <c r="AL1672" s="2126">
        <v>0</v>
      </c>
      <c r="AM1672" s="2126">
        <v>0</v>
      </c>
      <c r="AN1672" s="2126">
        <v>4275330</v>
      </c>
      <c r="AO1672" s="1743" t="s">
        <v>85</v>
      </c>
      <c r="AP1672" s="1743" t="s">
        <v>90</v>
      </c>
      <c r="AQ1672" s="1764" t="s">
        <v>103</v>
      </c>
      <c r="AR1672" s="1743" t="s">
        <v>2669</v>
      </c>
      <c r="AS1672" s="2135"/>
      <c r="AT1672" s="2135"/>
      <c r="AU1672" s="1212">
        <v>0.18</v>
      </c>
      <c r="AV1672" s="1212">
        <v>0.18</v>
      </c>
      <c r="AW1672" s="1212">
        <v>0.18</v>
      </c>
      <c r="AX1672" s="1212">
        <v>0.1</v>
      </c>
      <c r="AY1672" s="1212">
        <v>0.1</v>
      </c>
      <c r="AZ1672" s="1212">
        <v>7.0000000000000007E-2</v>
      </c>
      <c r="BA1672" s="1212">
        <v>0.05</v>
      </c>
      <c r="BB1672" s="1212">
        <v>0.05</v>
      </c>
      <c r="BC1672" s="1212">
        <v>0.02</v>
      </c>
      <c r="BD1672" s="1212">
        <v>0.02</v>
      </c>
      <c r="BE1672" s="1212">
        <v>0.05</v>
      </c>
      <c r="BF1672" s="2126">
        <v>0</v>
      </c>
      <c r="BG1672" s="2126">
        <v>0</v>
      </c>
      <c r="BH1672" s="2126">
        <v>769559.4</v>
      </c>
      <c r="BI1672" s="2126">
        <v>769559.4</v>
      </c>
      <c r="BJ1672" s="2126">
        <v>769559.4</v>
      </c>
      <c r="BK1672" s="2126">
        <v>427533</v>
      </c>
      <c r="BL1672" s="2126">
        <v>427533</v>
      </c>
      <c r="BM1672" s="2126">
        <v>299273.10000000003</v>
      </c>
      <c r="BN1672" s="2126">
        <v>213766.5</v>
      </c>
      <c r="BO1672" s="2126">
        <v>213766.5</v>
      </c>
      <c r="BP1672" s="2126">
        <v>85506.6</v>
      </c>
      <c r="BQ1672" s="2126">
        <v>85506.6</v>
      </c>
      <c r="BR1672" s="2126">
        <v>213766.5</v>
      </c>
    </row>
    <row r="1673" spans="1:70" s="1765" customFormat="1" ht="33">
      <c r="A1673" s="1272">
        <v>8001</v>
      </c>
      <c r="B1673" s="971" t="s">
        <v>2666</v>
      </c>
      <c r="C1673" s="1272">
        <v>8101</v>
      </c>
      <c r="D1673" s="971" t="s">
        <v>2666</v>
      </c>
      <c r="E1673" s="971" t="s">
        <v>2678</v>
      </c>
      <c r="F1673" s="971" t="s">
        <v>2694</v>
      </c>
      <c r="G1673" s="971" t="s">
        <v>2678</v>
      </c>
      <c r="H1673" s="971" t="s">
        <v>2695</v>
      </c>
      <c r="I1673" s="1273"/>
      <c r="J1673" s="971"/>
      <c r="K1673" s="971"/>
      <c r="L1673" s="971" t="s">
        <v>2669</v>
      </c>
      <c r="M1673" s="971" t="s">
        <v>2669</v>
      </c>
      <c r="N1673" s="971" t="s">
        <v>2669</v>
      </c>
      <c r="O1673" s="971" t="s">
        <v>2669</v>
      </c>
      <c r="P1673" s="971" t="s">
        <v>2700</v>
      </c>
      <c r="Q1673" s="971" t="s">
        <v>2710</v>
      </c>
      <c r="R1673" s="1266"/>
      <c r="S1673" s="2106">
        <v>-41500</v>
      </c>
      <c r="T1673" s="1266" t="s">
        <v>2688</v>
      </c>
      <c r="U1673" s="1742"/>
      <c r="V1673" s="1742"/>
      <c r="W1673" s="1742"/>
      <c r="X1673" s="1742"/>
      <c r="Y1673" s="2106">
        <v>103.02</v>
      </c>
      <c r="Z1673" s="2106"/>
      <c r="AA1673" s="2106"/>
      <c r="AB1673" s="2106"/>
      <c r="AC1673" s="2106"/>
      <c r="AD1673" s="1744">
        <v>-4275330</v>
      </c>
      <c r="AE1673" s="2126">
        <v>0</v>
      </c>
      <c r="AF1673" s="2126">
        <v>0</v>
      </c>
      <c r="AG1673" s="1212">
        <v>1</v>
      </c>
      <c r="AH1673" s="1212">
        <v>0</v>
      </c>
      <c r="AI1673" s="1212">
        <v>0</v>
      </c>
      <c r="AJ1673" s="1212">
        <v>1</v>
      </c>
      <c r="AK1673" s="2126">
        <v>-4275330</v>
      </c>
      <c r="AL1673" s="2126">
        <v>0</v>
      </c>
      <c r="AM1673" s="2126">
        <v>0</v>
      </c>
      <c r="AN1673" s="2126">
        <v>-4275330</v>
      </c>
      <c r="AO1673" s="1743" t="s">
        <v>85</v>
      </c>
      <c r="AP1673" s="1743" t="s">
        <v>90</v>
      </c>
      <c r="AQ1673" s="1764" t="s">
        <v>183</v>
      </c>
      <c r="AR1673" s="1743" t="s">
        <v>2669</v>
      </c>
      <c r="AS1673" s="2135"/>
      <c r="AT1673" s="2135"/>
      <c r="AU1673" s="1212">
        <v>0.18</v>
      </c>
      <c r="AV1673" s="1212">
        <v>0.18</v>
      </c>
      <c r="AW1673" s="1212">
        <v>0.18</v>
      </c>
      <c r="AX1673" s="1212">
        <v>0.1</v>
      </c>
      <c r="AY1673" s="1212">
        <v>0.1</v>
      </c>
      <c r="AZ1673" s="1212">
        <v>7.0000000000000007E-2</v>
      </c>
      <c r="BA1673" s="1212">
        <v>0.05</v>
      </c>
      <c r="BB1673" s="1212">
        <v>0.05</v>
      </c>
      <c r="BC1673" s="1212">
        <v>0.02</v>
      </c>
      <c r="BD1673" s="1212">
        <v>0.02</v>
      </c>
      <c r="BE1673" s="1212">
        <v>0.05</v>
      </c>
      <c r="BF1673" s="2126">
        <v>0</v>
      </c>
      <c r="BG1673" s="2126">
        <v>0</v>
      </c>
      <c r="BH1673" s="2126">
        <v>-769559.4</v>
      </c>
      <c r="BI1673" s="2126">
        <v>-769559.4</v>
      </c>
      <c r="BJ1673" s="2126">
        <v>-769559.4</v>
      </c>
      <c r="BK1673" s="2126">
        <v>-427533</v>
      </c>
      <c r="BL1673" s="2126">
        <v>-427533</v>
      </c>
      <c r="BM1673" s="2126">
        <v>-299273.10000000003</v>
      </c>
      <c r="BN1673" s="2126">
        <v>-213766.5</v>
      </c>
      <c r="BO1673" s="2126">
        <v>-213766.5</v>
      </c>
      <c r="BP1673" s="2126">
        <v>-85506.6</v>
      </c>
      <c r="BQ1673" s="2126">
        <v>-85506.6</v>
      </c>
      <c r="BR1673" s="2126">
        <v>-213766.5</v>
      </c>
    </row>
    <row r="1674" spans="1:70" s="1765" customFormat="1" ht="33">
      <c r="A1674" s="1272">
        <v>8001</v>
      </c>
      <c r="B1674" s="971" t="s">
        <v>2666</v>
      </c>
      <c r="C1674" s="1272">
        <v>8101</v>
      </c>
      <c r="D1674" s="971" t="s">
        <v>2666</v>
      </c>
      <c r="E1674" s="971" t="s">
        <v>2678</v>
      </c>
      <c r="F1674" s="971" t="s">
        <v>2694</v>
      </c>
      <c r="G1674" s="971" t="s">
        <v>2678</v>
      </c>
      <c r="H1674" s="971" t="s">
        <v>2695</v>
      </c>
      <c r="I1674" s="1273"/>
      <c r="J1674" s="971"/>
      <c r="K1674" s="971"/>
      <c r="L1674" s="971" t="s">
        <v>2669</v>
      </c>
      <c r="M1674" s="971" t="s">
        <v>2669</v>
      </c>
      <c r="N1674" s="971" t="s">
        <v>2669</v>
      </c>
      <c r="O1674" s="971" t="s">
        <v>2669</v>
      </c>
      <c r="P1674" s="971" t="s">
        <v>2700</v>
      </c>
      <c r="Q1674" s="971" t="s">
        <v>2711</v>
      </c>
      <c r="R1674" s="1266"/>
      <c r="S1674" s="2106">
        <v>25100</v>
      </c>
      <c r="T1674" s="1266" t="s">
        <v>2688</v>
      </c>
      <c r="U1674" s="1742"/>
      <c r="V1674" s="1742"/>
      <c r="W1674" s="1742"/>
      <c r="X1674" s="1742"/>
      <c r="Y1674" s="2106">
        <v>103.02</v>
      </c>
      <c r="Z1674" s="2106"/>
      <c r="AA1674" s="2106"/>
      <c r="AB1674" s="2106"/>
      <c r="AC1674" s="2106"/>
      <c r="AD1674" s="1744">
        <v>2585802</v>
      </c>
      <c r="AE1674" s="2126">
        <v>0</v>
      </c>
      <c r="AF1674" s="2126">
        <v>0</v>
      </c>
      <c r="AG1674" s="1212">
        <v>1</v>
      </c>
      <c r="AH1674" s="1212">
        <v>0</v>
      </c>
      <c r="AI1674" s="1212">
        <v>0</v>
      </c>
      <c r="AJ1674" s="1212">
        <v>1</v>
      </c>
      <c r="AK1674" s="2126">
        <v>2585802</v>
      </c>
      <c r="AL1674" s="2126">
        <v>0</v>
      </c>
      <c r="AM1674" s="2126">
        <v>0</v>
      </c>
      <c r="AN1674" s="2126">
        <v>2585802</v>
      </c>
      <c r="AO1674" s="1743" t="s">
        <v>85</v>
      </c>
      <c r="AP1674" s="1743" t="s">
        <v>90</v>
      </c>
      <c r="AQ1674" s="1764" t="s">
        <v>103</v>
      </c>
      <c r="AR1674" s="1743" t="s">
        <v>2669</v>
      </c>
      <c r="AS1674" s="2135"/>
      <c r="AT1674" s="2135"/>
      <c r="AU1674" s="1212">
        <v>0.18</v>
      </c>
      <c r="AV1674" s="1212">
        <v>0.18</v>
      </c>
      <c r="AW1674" s="1212">
        <v>0.18</v>
      </c>
      <c r="AX1674" s="1212">
        <v>0.1</v>
      </c>
      <c r="AY1674" s="1212">
        <v>0.1</v>
      </c>
      <c r="AZ1674" s="1212">
        <v>7.0000000000000007E-2</v>
      </c>
      <c r="BA1674" s="1212">
        <v>0.05</v>
      </c>
      <c r="BB1674" s="1212">
        <v>0.05</v>
      </c>
      <c r="BC1674" s="1212">
        <v>0.02</v>
      </c>
      <c r="BD1674" s="1212">
        <v>0.02</v>
      </c>
      <c r="BE1674" s="1212">
        <v>0.05</v>
      </c>
      <c r="BF1674" s="2126">
        <v>0</v>
      </c>
      <c r="BG1674" s="2126">
        <v>0</v>
      </c>
      <c r="BH1674" s="2126">
        <v>465444.36</v>
      </c>
      <c r="BI1674" s="2126">
        <v>465444.36</v>
      </c>
      <c r="BJ1674" s="2126">
        <v>465444.36</v>
      </c>
      <c r="BK1674" s="2126">
        <v>258580.2</v>
      </c>
      <c r="BL1674" s="2126">
        <v>258580.2</v>
      </c>
      <c r="BM1674" s="2126">
        <v>181006.14</v>
      </c>
      <c r="BN1674" s="2126">
        <v>129290.1</v>
      </c>
      <c r="BO1674" s="2126">
        <v>129290.1</v>
      </c>
      <c r="BP1674" s="2126">
        <v>51716.04</v>
      </c>
      <c r="BQ1674" s="2126">
        <v>51716.04</v>
      </c>
      <c r="BR1674" s="2126">
        <v>129290.1</v>
      </c>
    </row>
    <row r="1675" spans="1:70" s="1765" customFormat="1" ht="33">
      <c r="A1675" s="1272">
        <v>8001</v>
      </c>
      <c r="B1675" s="971" t="s">
        <v>2666</v>
      </c>
      <c r="C1675" s="1272">
        <v>8101</v>
      </c>
      <c r="D1675" s="971" t="s">
        <v>2666</v>
      </c>
      <c r="E1675" s="971" t="s">
        <v>2678</v>
      </c>
      <c r="F1675" s="971" t="s">
        <v>2694</v>
      </c>
      <c r="G1675" s="971" t="s">
        <v>2678</v>
      </c>
      <c r="H1675" s="971" t="s">
        <v>2695</v>
      </c>
      <c r="I1675" s="1273"/>
      <c r="J1675" s="971"/>
      <c r="K1675" s="971"/>
      <c r="L1675" s="971" t="s">
        <v>2669</v>
      </c>
      <c r="M1675" s="971" t="s">
        <v>2669</v>
      </c>
      <c r="N1675" s="971" t="s">
        <v>2669</v>
      </c>
      <c r="O1675" s="971" t="s">
        <v>2669</v>
      </c>
      <c r="P1675" s="971" t="s">
        <v>2700</v>
      </c>
      <c r="Q1675" s="971" t="s">
        <v>2711</v>
      </c>
      <c r="R1675" s="1266"/>
      <c r="S1675" s="2106">
        <v>-9926</v>
      </c>
      <c r="T1675" s="1266" t="s">
        <v>2688</v>
      </c>
      <c r="U1675" s="1742"/>
      <c r="V1675" s="1742"/>
      <c r="W1675" s="1742"/>
      <c r="X1675" s="1742"/>
      <c r="Y1675" s="2106">
        <v>103.02</v>
      </c>
      <c r="Z1675" s="2106"/>
      <c r="AA1675" s="2106"/>
      <c r="AB1675" s="2106"/>
      <c r="AC1675" s="2106"/>
      <c r="AD1675" s="1744">
        <v>-1022576.52</v>
      </c>
      <c r="AE1675" s="2126">
        <v>0</v>
      </c>
      <c r="AF1675" s="2126">
        <v>0</v>
      </c>
      <c r="AG1675" s="1212">
        <v>1</v>
      </c>
      <c r="AH1675" s="1212">
        <v>0</v>
      </c>
      <c r="AI1675" s="1212">
        <v>0</v>
      </c>
      <c r="AJ1675" s="1212">
        <v>1</v>
      </c>
      <c r="AK1675" s="2126">
        <v>-1022576.52</v>
      </c>
      <c r="AL1675" s="2126">
        <v>0</v>
      </c>
      <c r="AM1675" s="2126">
        <v>0</v>
      </c>
      <c r="AN1675" s="2126">
        <v>-1022576.52</v>
      </c>
      <c r="AO1675" s="1743" t="s">
        <v>85</v>
      </c>
      <c r="AP1675" s="1743" t="s">
        <v>90</v>
      </c>
      <c r="AQ1675" s="1764" t="s">
        <v>183</v>
      </c>
      <c r="AR1675" s="1743" t="s">
        <v>2669</v>
      </c>
      <c r="AS1675" s="2135"/>
      <c r="AT1675" s="2135"/>
      <c r="AU1675" s="1212">
        <v>0.18</v>
      </c>
      <c r="AV1675" s="1212">
        <v>0.18</v>
      </c>
      <c r="AW1675" s="1212">
        <v>0.18</v>
      </c>
      <c r="AX1675" s="1212">
        <v>0.1</v>
      </c>
      <c r="AY1675" s="1212">
        <v>0.1</v>
      </c>
      <c r="AZ1675" s="1212">
        <v>7.0000000000000007E-2</v>
      </c>
      <c r="BA1675" s="1212">
        <v>0.05</v>
      </c>
      <c r="BB1675" s="1212">
        <v>0.05</v>
      </c>
      <c r="BC1675" s="1212">
        <v>0.02</v>
      </c>
      <c r="BD1675" s="1212">
        <v>0.02</v>
      </c>
      <c r="BE1675" s="1212">
        <v>0.05</v>
      </c>
      <c r="BF1675" s="2126">
        <v>0</v>
      </c>
      <c r="BG1675" s="2126">
        <v>0</v>
      </c>
      <c r="BH1675" s="2126">
        <v>-184063.77359999999</v>
      </c>
      <c r="BI1675" s="2126">
        <v>-184063.77359999999</v>
      </c>
      <c r="BJ1675" s="2126">
        <v>-184063.77359999999</v>
      </c>
      <c r="BK1675" s="2126">
        <v>-102257.652</v>
      </c>
      <c r="BL1675" s="2126">
        <v>-102257.652</v>
      </c>
      <c r="BM1675" s="2126">
        <v>-71580.356400000004</v>
      </c>
      <c r="BN1675" s="2126">
        <v>-51128.826000000001</v>
      </c>
      <c r="BO1675" s="2126">
        <v>-51128.826000000001</v>
      </c>
      <c r="BP1675" s="2126">
        <v>-20451.5304</v>
      </c>
      <c r="BQ1675" s="2126">
        <v>-20451.5304</v>
      </c>
      <c r="BR1675" s="2126">
        <v>-51128.826000000001</v>
      </c>
    </row>
    <row r="1676" spans="1:70" s="1765" customFormat="1" ht="33">
      <c r="A1676" s="1272">
        <v>8001</v>
      </c>
      <c r="B1676" s="971" t="s">
        <v>2666</v>
      </c>
      <c r="C1676" s="1272">
        <v>8101</v>
      </c>
      <c r="D1676" s="971" t="s">
        <v>2666</v>
      </c>
      <c r="E1676" s="971" t="s">
        <v>2678</v>
      </c>
      <c r="F1676" s="971" t="s">
        <v>2694</v>
      </c>
      <c r="G1676" s="971" t="s">
        <v>2678</v>
      </c>
      <c r="H1676" s="971" t="s">
        <v>2695</v>
      </c>
      <c r="I1676" s="1273"/>
      <c r="J1676" s="971"/>
      <c r="K1676" s="971"/>
      <c r="L1676" s="971" t="s">
        <v>2669</v>
      </c>
      <c r="M1676" s="971" t="s">
        <v>2669</v>
      </c>
      <c r="N1676" s="971" t="s">
        <v>2669</v>
      </c>
      <c r="O1676" s="971" t="s">
        <v>2669</v>
      </c>
      <c r="P1676" s="971" t="s">
        <v>190</v>
      </c>
      <c r="Q1676" s="971" t="s">
        <v>2712</v>
      </c>
      <c r="R1676" s="1266"/>
      <c r="S1676" s="2106">
        <v>188</v>
      </c>
      <c r="T1676" s="1266" t="s">
        <v>242</v>
      </c>
      <c r="U1676" s="1742"/>
      <c r="V1676" s="1742"/>
      <c r="W1676" s="1742"/>
      <c r="X1676" s="1742"/>
      <c r="Y1676" s="2106">
        <v>15964.53</v>
      </c>
      <c r="Z1676" s="2106"/>
      <c r="AA1676" s="2106"/>
      <c r="AB1676" s="2106"/>
      <c r="AC1676" s="2106"/>
      <c r="AD1676" s="1744">
        <v>3001331.64</v>
      </c>
      <c r="AE1676" s="2126">
        <v>0</v>
      </c>
      <c r="AF1676" s="2126">
        <v>0</v>
      </c>
      <c r="AG1676" s="1212">
        <v>1</v>
      </c>
      <c r="AH1676" s="1212">
        <v>0</v>
      </c>
      <c r="AI1676" s="1212">
        <v>0</v>
      </c>
      <c r="AJ1676" s="1212">
        <v>1</v>
      </c>
      <c r="AK1676" s="2126">
        <v>3001331.64</v>
      </c>
      <c r="AL1676" s="2126">
        <v>0</v>
      </c>
      <c r="AM1676" s="2126">
        <v>0</v>
      </c>
      <c r="AN1676" s="2126">
        <v>3001331.64</v>
      </c>
      <c r="AO1676" s="1743" t="s">
        <v>85</v>
      </c>
      <c r="AP1676" s="1743" t="s">
        <v>90</v>
      </c>
      <c r="AQ1676" s="1764">
        <v>2019</v>
      </c>
      <c r="AR1676" s="1743" t="s">
        <v>2669</v>
      </c>
      <c r="AS1676" s="2135"/>
      <c r="AT1676" s="2135"/>
      <c r="AU1676" s="1212">
        <v>1</v>
      </c>
      <c r="AV1676" s="1212"/>
      <c r="AW1676" s="1212"/>
      <c r="AX1676" s="1212"/>
      <c r="AY1676" s="1212"/>
      <c r="AZ1676" s="1212"/>
      <c r="BA1676" s="1212"/>
      <c r="BB1676" s="1212"/>
      <c r="BC1676" s="1212"/>
      <c r="BD1676" s="1212"/>
      <c r="BE1676" s="1212"/>
      <c r="BF1676" s="2126">
        <v>0</v>
      </c>
      <c r="BG1676" s="2126">
        <v>0</v>
      </c>
      <c r="BH1676" s="2126">
        <v>3001331.64</v>
      </c>
      <c r="BI1676" s="2126">
        <v>0</v>
      </c>
      <c r="BJ1676" s="2126">
        <v>0</v>
      </c>
      <c r="BK1676" s="2126">
        <v>0</v>
      </c>
      <c r="BL1676" s="2126">
        <v>0</v>
      </c>
      <c r="BM1676" s="2126">
        <v>0</v>
      </c>
      <c r="BN1676" s="2126">
        <v>0</v>
      </c>
      <c r="BO1676" s="2126">
        <v>0</v>
      </c>
      <c r="BP1676" s="2126">
        <v>0</v>
      </c>
      <c r="BQ1676" s="2126">
        <v>0</v>
      </c>
      <c r="BR1676" s="2126">
        <v>0</v>
      </c>
    </row>
    <row r="1677" spans="1:70" s="1765" customFormat="1" ht="33">
      <c r="A1677" s="1272">
        <v>8001</v>
      </c>
      <c r="B1677" s="971" t="s">
        <v>2666</v>
      </c>
      <c r="C1677" s="1272">
        <v>8101</v>
      </c>
      <c r="D1677" s="971" t="s">
        <v>2666</v>
      </c>
      <c r="E1677" s="971" t="s">
        <v>2678</v>
      </c>
      <c r="F1677" s="971" t="s">
        <v>2694</v>
      </c>
      <c r="G1677" s="971" t="s">
        <v>2678</v>
      </c>
      <c r="H1677" s="971" t="s">
        <v>2695</v>
      </c>
      <c r="I1677" s="1273"/>
      <c r="J1677" s="971"/>
      <c r="K1677" s="971"/>
      <c r="L1677" s="971" t="s">
        <v>2669</v>
      </c>
      <c r="M1677" s="971" t="s">
        <v>2669</v>
      </c>
      <c r="N1677" s="971" t="s">
        <v>2669</v>
      </c>
      <c r="O1677" s="971" t="s">
        <v>2669</v>
      </c>
      <c r="P1677" s="971" t="s">
        <v>190</v>
      </c>
      <c r="Q1677" s="971" t="s">
        <v>2713</v>
      </c>
      <c r="R1677" s="1266"/>
      <c r="S1677" s="2106">
        <v>156</v>
      </c>
      <c r="T1677" s="1266" t="s">
        <v>242</v>
      </c>
      <c r="U1677" s="1742"/>
      <c r="V1677" s="1742"/>
      <c r="W1677" s="1742"/>
      <c r="X1677" s="1742"/>
      <c r="Y1677" s="2106">
        <v>8202.67</v>
      </c>
      <c r="Z1677" s="2106"/>
      <c r="AA1677" s="2106"/>
      <c r="AB1677" s="2106"/>
      <c r="AC1677" s="2106"/>
      <c r="AD1677" s="1744">
        <v>1279616.52</v>
      </c>
      <c r="AE1677" s="2126">
        <v>0</v>
      </c>
      <c r="AF1677" s="2126">
        <v>0</v>
      </c>
      <c r="AG1677" s="1212">
        <v>1</v>
      </c>
      <c r="AH1677" s="1212">
        <v>0</v>
      </c>
      <c r="AI1677" s="1212">
        <v>0</v>
      </c>
      <c r="AJ1677" s="1212">
        <v>1</v>
      </c>
      <c r="AK1677" s="2126">
        <v>1279616.52</v>
      </c>
      <c r="AL1677" s="2126">
        <v>0</v>
      </c>
      <c r="AM1677" s="2126">
        <v>0</v>
      </c>
      <c r="AN1677" s="2126">
        <v>1279616.52</v>
      </c>
      <c r="AO1677" s="1743" t="s">
        <v>85</v>
      </c>
      <c r="AP1677" s="1743" t="s">
        <v>90</v>
      </c>
      <c r="AQ1677" s="1764">
        <v>2019</v>
      </c>
      <c r="AR1677" s="1743" t="s">
        <v>2669</v>
      </c>
      <c r="AS1677" s="2135"/>
      <c r="AT1677" s="2135"/>
      <c r="AU1677" s="1212">
        <v>1</v>
      </c>
      <c r="AV1677" s="1212"/>
      <c r="AW1677" s="1212"/>
      <c r="AX1677" s="1212"/>
      <c r="AY1677" s="1212"/>
      <c r="AZ1677" s="1212"/>
      <c r="BA1677" s="1212"/>
      <c r="BB1677" s="1212"/>
      <c r="BC1677" s="1212"/>
      <c r="BD1677" s="1212"/>
      <c r="BE1677" s="1212"/>
      <c r="BF1677" s="2126">
        <v>0</v>
      </c>
      <c r="BG1677" s="2126">
        <v>0</v>
      </c>
      <c r="BH1677" s="2126">
        <v>1279616.52</v>
      </c>
      <c r="BI1677" s="2126">
        <v>0</v>
      </c>
      <c r="BJ1677" s="2126">
        <v>0</v>
      </c>
      <c r="BK1677" s="2126">
        <v>0</v>
      </c>
      <c r="BL1677" s="2126">
        <v>0</v>
      </c>
      <c r="BM1677" s="2126">
        <v>0</v>
      </c>
      <c r="BN1677" s="2126">
        <v>0</v>
      </c>
      <c r="BO1677" s="2126">
        <v>0</v>
      </c>
      <c r="BP1677" s="2126">
        <v>0</v>
      </c>
      <c r="BQ1677" s="2126">
        <v>0</v>
      </c>
      <c r="BR1677" s="2126">
        <v>0</v>
      </c>
    </row>
    <row r="1678" spans="1:70" s="1765" customFormat="1" ht="33">
      <c r="A1678" s="1272">
        <v>8001</v>
      </c>
      <c r="B1678" s="971" t="s">
        <v>2666</v>
      </c>
      <c r="C1678" s="1272">
        <v>8101</v>
      </c>
      <c r="D1678" s="971" t="s">
        <v>2666</v>
      </c>
      <c r="E1678" s="971" t="s">
        <v>2678</v>
      </c>
      <c r="F1678" s="971" t="s">
        <v>2694</v>
      </c>
      <c r="G1678" s="971" t="s">
        <v>2678</v>
      </c>
      <c r="H1678" s="971" t="s">
        <v>2695</v>
      </c>
      <c r="I1678" s="1273"/>
      <c r="J1678" s="971"/>
      <c r="K1678" s="971"/>
      <c r="L1678" s="971" t="s">
        <v>2669</v>
      </c>
      <c r="M1678" s="971" t="s">
        <v>2669</v>
      </c>
      <c r="N1678" s="971" t="s">
        <v>2669</v>
      </c>
      <c r="O1678" s="971" t="s">
        <v>2669</v>
      </c>
      <c r="P1678" s="971" t="s">
        <v>190</v>
      </c>
      <c r="Q1678" s="971" t="s">
        <v>2714</v>
      </c>
      <c r="R1678" s="1266"/>
      <c r="S1678" s="2106">
        <v>183</v>
      </c>
      <c r="T1678" s="1266" t="s">
        <v>242</v>
      </c>
      <c r="U1678" s="1742"/>
      <c r="V1678" s="1742"/>
      <c r="W1678" s="1742"/>
      <c r="X1678" s="1742"/>
      <c r="Y1678" s="2106">
        <v>2785.99</v>
      </c>
      <c r="Z1678" s="2106"/>
      <c r="AA1678" s="2106"/>
      <c r="AB1678" s="2106"/>
      <c r="AC1678" s="2106"/>
      <c r="AD1678" s="1744">
        <v>509836.17</v>
      </c>
      <c r="AE1678" s="2126">
        <v>0</v>
      </c>
      <c r="AF1678" s="2126">
        <v>0</v>
      </c>
      <c r="AG1678" s="1212">
        <v>1</v>
      </c>
      <c r="AH1678" s="1212">
        <v>0</v>
      </c>
      <c r="AI1678" s="1212">
        <v>0</v>
      </c>
      <c r="AJ1678" s="1212">
        <v>1</v>
      </c>
      <c r="AK1678" s="2126">
        <v>509836.17</v>
      </c>
      <c r="AL1678" s="2126">
        <v>0</v>
      </c>
      <c r="AM1678" s="2126">
        <v>0</v>
      </c>
      <c r="AN1678" s="2126">
        <v>509836.17</v>
      </c>
      <c r="AO1678" s="1743" t="s">
        <v>85</v>
      </c>
      <c r="AP1678" s="1743" t="s">
        <v>90</v>
      </c>
      <c r="AQ1678" s="1764">
        <v>2019</v>
      </c>
      <c r="AR1678" s="1743" t="s">
        <v>2669</v>
      </c>
      <c r="AS1678" s="2135"/>
      <c r="AT1678" s="2135"/>
      <c r="AU1678" s="1212">
        <v>1</v>
      </c>
      <c r="AV1678" s="1212"/>
      <c r="AW1678" s="1212"/>
      <c r="AX1678" s="1212"/>
      <c r="AY1678" s="1212"/>
      <c r="AZ1678" s="1212"/>
      <c r="BA1678" s="1212"/>
      <c r="BB1678" s="1212"/>
      <c r="BC1678" s="1212"/>
      <c r="BD1678" s="1212"/>
      <c r="BE1678" s="1212"/>
      <c r="BF1678" s="2126">
        <v>0</v>
      </c>
      <c r="BG1678" s="2126">
        <v>0</v>
      </c>
      <c r="BH1678" s="2126">
        <v>509836.17</v>
      </c>
      <c r="BI1678" s="2126">
        <v>0</v>
      </c>
      <c r="BJ1678" s="2126">
        <v>0</v>
      </c>
      <c r="BK1678" s="2126">
        <v>0</v>
      </c>
      <c r="BL1678" s="2126">
        <v>0</v>
      </c>
      <c r="BM1678" s="2126">
        <v>0</v>
      </c>
      <c r="BN1678" s="2126">
        <v>0</v>
      </c>
      <c r="BO1678" s="2126">
        <v>0</v>
      </c>
      <c r="BP1678" s="2126">
        <v>0</v>
      </c>
      <c r="BQ1678" s="2126">
        <v>0</v>
      </c>
      <c r="BR1678" s="2126">
        <v>0</v>
      </c>
    </row>
    <row r="1679" spans="1:70" s="1765" customFormat="1" ht="33">
      <c r="A1679" s="1272">
        <v>8001</v>
      </c>
      <c r="B1679" s="971" t="s">
        <v>2666</v>
      </c>
      <c r="C1679" s="1272">
        <v>8101</v>
      </c>
      <c r="D1679" s="971" t="s">
        <v>2666</v>
      </c>
      <c r="E1679" s="971" t="s">
        <v>2678</v>
      </c>
      <c r="F1679" s="971" t="s">
        <v>2694</v>
      </c>
      <c r="G1679" s="971" t="s">
        <v>2678</v>
      </c>
      <c r="H1679" s="971" t="s">
        <v>2695</v>
      </c>
      <c r="I1679" s="1273"/>
      <c r="J1679" s="971"/>
      <c r="K1679" s="971"/>
      <c r="L1679" s="971" t="s">
        <v>2669</v>
      </c>
      <c r="M1679" s="971" t="s">
        <v>2669</v>
      </c>
      <c r="N1679" s="971" t="s">
        <v>2669</v>
      </c>
      <c r="O1679" s="971" t="s">
        <v>2669</v>
      </c>
      <c r="P1679" s="971" t="s">
        <v>190</v>
      </c>
      <c r="Q1679" s="971" t="s">
        <v>2715</v>
      </c>
      <c r="R1679" s="1266"/>
      <c r="S1679" s="2106">
        <v>49</v>
      </c>
      <c r="T1679" s="1266" t="s">
        <v>242</v>
      </c>
      <c r="U1679" s="1742"/>
      <c r="V1679" s="1742"/>
      <c r="W1679" s="1742"/>
      <c r="X1679" s="1742"/>
      <c r="Y1679" s="2106">
        <v>15964.53</v>
      </c>
      <c r="Z1679" s="2106"/>
      <c r="AA1679" s="2106"/>
      <c r="AB1679" s="2106"/>
      <c r="AC1679" s="2106"/>
      <c r="AD1679" s="1744">
        <v>782261.97000000009</v>
      </c>
      <c r="AE1679" s="2126">
        <v>0</v>
      </c>
      <c r="AF1679" s="2126">
        <v>0</v>
      </c>
      <c r="AG1679" s="1212">
        <v>1</v>
      </c>
      <c r="AH1679" s="1212">
        <v>0</v>
      </c>
      <c r="AI1679" s="1212">
        <v>0</v>
      </c>
      <c r="AJ1679" s="1212">
        <v>1</v>
      </c>
      <c r="AK1679" s="2126">
        <v>782261.97000000009</v>
      </c>
      <c r="AL1679" s="2126">
        <v>0</v>
      </c>
      <c r="AM1679" s="2126">
        <v>0</v>
      </c>
      <c r="AN1679" s="2126">
        <v>782261.97000000009</v>
      </c>
      <c r="AO1679" s="1743" t="s">
        <v>85</v>
      </c>
      <c r="AP1679" s="1743" t="s">
        <v>90</v>
      </c>
      <c r="AQ1679" s="1764" t="s">
        <v>192</v>
      </c>
      <c r="AR1679" s="1743" t="s">
        <v>2669</v>
      </c>
      <c r="AS1679" s="2135"/>
      <c r="AT1679" s="2135"/>
      <c r="AU1679" s="1212">
        <v>1</v>
      </c>
      <c r="AV1679" s="1212"/>
      <c r="AW1679" s="1212"/>
      <c r="AX1679" s="1212"/>
      <c r="AY1679" s="1212"/>
      <c r="AZ1679" s="1212"/>
      <c r="BA1679" s="1212"/>
      <c r="BB1679" s="1212"/>
      <c r="BC1679" s="1212"/>
      <c r="BD1679" s="1212"/>
      <c r="BE1679" s="1212"/>
      <c r="BF1679" s="2126">
        <v>0</v>
      </c>
      <c r="BG1679" s="2126">
        <v>0</v>
      </c>
      <c r="BH1679" s="2126">
        <v>782261.97000000009</v>
      </c>
      <c r="BI1679" s="2126">
        <v>0</v>
      </c>
      <c r="BJ1679" s="2126">
        <v>0</v>
      </c>
      <c r="BK1679" s="2126">
        <v>0</v>
      </c>
      <c r="BL1679" s="2126">
        <v>0</v>
      </c>
      <c r="BM1679" s="2126">
        <v>0</v>
      </c>
      <c r="BN1679" s="2126">
        <v>0</v>
      </c>
      <c r="BO1679" s="2126">
        <v>0</v>
      </c>
      <c r="BP1679" s="2126">
        <v>0</v>
      </c>
      <c r="BQ1679" s="2126">
        <v>0</v>
      </c>
      <c r="BR1679" s="2126">
        <v>0</v>
      </c>
    </row>
    <row r="1680" spans="1:70" s="1765" customFormat="1" ht="33">
      <c r="A1680" s="1272">
        <v>8001</v>
      </c>
      <c r="B1680" s="971" t="s">
        <v>2666</v>
      </c>
      <c r="C1680" s="1272">
        <v>8101</v>
      </c>
      <c r="D1680" s="971" t="s">
        <v>2666</v>
      </c>
      <c r="E1680" s="971" t="s">
        <v>2678</v>
      </c>
      <c r="F1680" s="971" t="s">
        <v>2694</v>
      </c>
      <c r="G1680" s="971" t="s">
        <v>2678</v>
      </c>
      <c r="H1680" s="971" t="s">
        <v>2695</v>
      </c>
      <c r="I1680" s="1273"/>
      <c r="J1680" s="971"/>
      <c r="K1680" s="971"/>
      <c r="L1680" s="971" t="s">
        <v>2669</v>
      </c>
      <c r="M1680" s="971" t="s">
        <v>2669</v>
      </c>
      <c r="N1680" s="971" t="s">
        <v>2669</v>
      </c>
      <c r="O1680" s="971" t="s">
        <v>2669</v>
      </c>
      <c r="P1680" s="971" t="s">
        <v>190</v>
      </c>
      <c r="Q1680" s="971" t="s">
        <v>2716</v>
      </c>
      <c r="R1680" s="1266"/>
      <c r="S1680" s="2106">
        <v>61</v>
      </c>
      <c r="T1680" s="1266" t="s">
        <v>242</v>
      </c>
      <c r="U1680" s="1742"/>
      <c r="V1680" s="1742"/>
      <c r="W1680" s="1742"/>
      <c r="X1680" s="1742"/>
      <c r="Y1680" s="2106">
        <v>8202.67</v>
      </c>
      <c r="Z1680" s="2106"/>
      <c r="AA1680" s="2106"/>
      <c r="AB1680" s="2106"/>
      <c r="AC1680" s="2106"/>
      <c r="AD1680" s="1744">
        <v>500362.87</v>
      </c>
      <c r="AE1680" s="2126">
        <v>0</v>
      </c>
      <c r="AF1680" s="2126">
        <v>0</v>
      </c>
      <c r="AG1680" s="1212">
        <v>1</v>
      </c>
      <c r="AH1680" s="1212">
        <v>0</v>
      </c>
      <c r="AI1680" s="1212">
        <v>0</v>
      </c>
      <c r="AJ1680" s="1212">
        <v>1</v>
      </c>
      <c r="AK1680" s="2126">
        <v>500362.87</v>
      </c>
      <c r="AL1680" s="2126">
        <v>0</v>
      </c>
      <c r="AM1680" s="2126">
        <v>0</v>
      </c>
      <c r="AN1680" s="2126">
        <v>500362.87</v>
      </c>
      <c r="AO1680" s="1743" t="s">
        <v>85</v>
      </c>
      <c r="AP1680" s="1743" t="s">
        <v>90</v>
      </c>
      <c r="AQ1680" s="1764" t="s">
        <v>192</v>
      </c>
      <c r="AR1680" s="1743" t="s">
        <v>2669</v>
      </c>
      <c r="AS1680" s="2135"/>
      <c r="AT1680" s="2135"/>
      <c r="AU1680" s="1212">
        <v>1</v>
      </c>
      <c r="AV1680" s="1212"/>
      <c r="AW1680" s="1212"/>
      <c r="AX1680" s="1212"/>
      <c r="AY1680" s="1212"/>
      <c r="AZ1680" s="1212"/>
      <c r="BA1680" s="1212"/>
      <c r="BB1680" s="1212"/>
      <c r="BC1680" s="1212"/>
      <c r="BD1680" s="1212"/>
      <c r="BE1680" s="1212"/>
      <c r="BF1680" s="2126">
        <v>0</v>
      </c>
      <c r="BG1680" s="2126">
        <v>0</v>
      </c>
      <c r="BH1680" s="2126">
        <v>500362.87</v>
      </c>
      <c r="BI1680" s="2126">
        <v>0</v>
      </c>
      <c r="BJ1680" s="2126">
        <v>0</v>
      </c>
      <c r="BK1680" s="2126">
        <v>0</v>
      </c>
      <c r="BL1680" s="2126">
        <v>0</v>
      </c>
      <c r="BM1680" s="2126">
        <v>0</v>
      </c>
      <c r="BN1680" s="2126">
        <v>0</v>
      </c>
      <c r="BO1680" s="2126">
        <v>0</v>
      </c>
      <c r="BP1680" s="2126">
        <v>0</v>
      </c>
      <c r="BQ1680" s="2126">
        <v>0</v>
      </c>
      <c r="BR1680" s="2126">
        <v>0</v>
      </c>
    </row>
    <row r="1681" spans="1:70" s="1765" customFormat="1" ht="33">
      <c r="A1681" s="1272">
        <v>8001</v>
      </c>
      <c r="B1681" s="971" t="s">
        <v>2666</v>
      </c>
      <c r="C1681" s="1272">
        <v>8101</v>
      </c>
      <c r="D1681" s="971" t="s">
        <v>2666</v>
      </c>
      <c r="E1681" s="971" t="s">
        <v>2678</v>
      </c>
      <c r="F1681" s="971" t="s">
        <v>2694</v>
      </c>
      <c r="G1681" s="971" t="s">
        <v>2678</v>
      </c>
      <c r="H1681" s="971" t="s">
        <v>2695</v>
      </c>
      <c r="I1681" s="1273"/>
      <c r="J1681" s="971"/>
      <c r="K1681" s="971"/>
      <c r="L1681" s="971" t="s">
        <v>2669</v>
      </c>
      <c r="M1681" s="971" t="s">
        <v>2669</v>
      </c>
      <c r="N1681" s="971" t="s">
        <v>2669</v>
      </c>
      <c r="O1681" s="971" t="s">
        <v>2669</v>
      </c>
      <c r="P1681" s="971" t="s">
        <v>190</v>
      </c>
      <c r="Q1681" s="971" t="s">
        <v>2717</v>
      </c>
      <c r="R1681" s="1266"/>
      <c r="S1681" s="2106">
        <v>34</v>
      </c>
      <c r="T1681" s="1266" t="s">
        <v>242</v>
      </c>
      <c r="U1681" s="1742"/>
      <c r="V1681" s="1742"/>
      <c r="W1681" s="1742"/>
      <c r="X1681" s="1742"/>
      <c r="Y1681" s="2106">
        <v>2785.99</v>
      </c>
      <c r="Z1681" s="2106"/>
      <c r="AA1681" s="2106"/>
      <c r="AB1681" s="2106"/>
      <c r="AC1681" s="2106"/>
      <c r="AD1681" s="1744">
        <v>94723.659999999989</v>
      </c>
      <c r="AE1681" s="2126">
        <v>0</v>
      </c>
      <c r="AF1681" s="2126">
        <v>0</v>
      </c>
      <c r="AG1681" s="1212">
        <v>1</v>
      </c>
      <c r="AH1681" s="1212">
        <v>0</v>
      </c>
      <c r="AI1681" s="1212">
        <v>0</v>
      </c>
      <c r="AJ1681" s="1212">
        <v>1</v>
      </c>
      <c r="AK1681" s="2126">
        <v>94723.659999999989</v>
      </c>
      <c r="AL1681" s="2126">
        <v>0</v>
      </c>
      <c r="AM1681" s="2126">
        <v>0</v>
      </c>
      <c r="AN1681" s="2126">
        <v>94723.659999999989</v>
      </c>
      <c r="AO1681" s="1743" t="s">
        <v>85</v>
      </c>
      <c r="AP1681" s="1743" t="s">
        <v>90</v>
      </c>
      <c r="AQ1681" s="1764" t="s">
        <v>192</v>
      </c>
      <c r="AR1681" s="1743" t="s">
        <v>2669</v>
      </c>
      <c r="AS1681" s="2135"/>
      <c r="AT1681" s="2135"/>
      <c r="AU1681" s="1212">
        <v>1</v>
      </c>
      <c r="AV1681" s="1212"/>
      <c r="AW1681" s="1212"/>
      <c r="AX1681" s="1212"/>
      <c r="AY1681" s="1212"/>
      <c r="AZ1681" s="1212"/>
      <c r="BA1681" s="1212"/>
      <c r="BB1681" s="1212"/>
      <c r="BC1681" s="1212"/>
      <c r="BD1681" s="1212"/>
      <c r="BE1681" s="1212"/>
      <c r="BF1681" s="2126">
        <v>0</v>
      </c>
      <c r="BG1681" s="2126">
        <v>0</v>
      </c>
      <c r="BH1681" s="2126">
        <v>94723.659999999989</v>
      </c>
      <c r="BI1681" s="2126">
        <v>0</v>
      </c>
      <c r="BJ1681" s="2126">
        <v>0</v>
      </c>
      <c r="BK1681" s="2126">
        <v>0</v>
      </c>
      <c r="BL1681" s="2126">
        <v>0</v>
      </c>
      <c r="BM1681" s="2126">
        <v>0</v>
      </c>
      <c r="BN1681" s="2126">
        <v>0</v>
      </c>
      <c r="BO1681" s="2126">
        <v>0</v>
      </c>
      <c r="BP1681" s="2126">
        <v>0</v>
      </c>
      <c r="BQ1681" s="2126">
        <v>0</v>
      </c>
      <c r="BR1681" s="2126">
        <v>0</v>
      </c>
    </row>
    <row r="1682" spans="1:70" s="1765" customFormat="1" ht="33">
      <c r="A1682" s="1272">
        <v>8001</v>
      </c>
      <c r="B1682" s="971" t="s">
        <v>2666</v>
      </c>
      <c r="C1682" s="1272">
        <v>8101</v>
      </c>
      <c r="D1682" s="971" t="s">
        <v>2666</v>
      </c>
      <c r="E1682" s="971" t="s">
        <v>2678</v>
      </c>
      <c r="F1682" s="971" t="s">
        <v>2694</v>
      </c>
      <c r="G1682" s="971" t="s">
        <v>2678</v>
      </c>
      <c r="H1682" s="971" t="s">
        <v>2695</v>
      </c>
      <c r="I1682" s="1273"/>
      <c r="J1682" s="971"/>
      <c r="K1682" s="971"/>
      <c r="L1682" s="971" t="s">
        <v>2669</v>
      </c>
      <c r="M1682" s="971" t="s">
        <v>2669</v>
      </c>
      <c r="N1682" s="971" t="s">
        <v>2669</v>
      </c>
      <c r="O1682" s="971" t="s">
        <v>2669</v>
      </c>
      <c r="P1682" s="971" t="s">
        <v>190</v>
      </c>
      <c r="Q1682" s="971" t="s">
        <v>2718</v>
      </c>
      <c r="R1682" s="1266"/>
      <c r="S1682" s="2106">
        <v>5</v>
      </c>
      <c r="T1682" s="1266" t="s">
        <v>2719</v>
      </c>
      <c r="U1682" s="1742"/>
      <c r="V1682" s="1742"/>
      <c r="W1682" s="1742"/>
      <c r="X1682" s="1742"/>
      <c r="Y1682" s="2106">
        <v>8202.67</v>
      </c>
      <c r="Z1682" s="2106"/>
      <c r="AA1682" s="2106"/>
      <c r="AB1682" s="2106"/>
      <c r="AC1682" s="2106"/>
      <c r="AD1682" s="1744">
        <v>41013.35</v>
      </c>
      <c r="AE1682" s="2126">
        <v>0</v>
      </c>
      <c r="AF1682" s="2126">
        <v>0</v>
      </c>
      <c r="AG1682" s="1212">
        <v>1</v>
      </c>
      <c r="AH1682" s="1212">
        <v>0</v>
      </c>
      <c r="AI1682" s="1212">
        <v>0</v>
      </c>
      <c r="AJ1682" s="1212">
        <v>1</v>
      </c>
      <c r="AK1682" s="2126">
        <v>41013.35</v>
      </c>
      <c r="AL1682" s="2126">
        <v>0</v>
      </c>
      <c r="AM1682" s="2126">
        <v>0</v>
      </c>
      <c r="AN1682" s="2126">
        <v>41013.35</v>
      </c>
      <c r="AO1682" s="1743" t="s">
        <v>85</v>
      </c>
      <c r="AP1682" s="1743" t="s">
        <v>90</v>
      </c>
      <c r="AQ1682" s="1764">
        <v>2021</v>
      </c>
      <c r="AR1682" s="1743" t="s">
        <v>2669</v>
      </c>
      <c r="AS1682" s="2135"/>
      <c r="AT1682" s="2135"/>
      <c r="AU1682" s="1212">
        <v>1</v>
      </c>
      <c r="AV1682" s="1212"/>
      <c r="AW1682" s="1212"/>
      <c r="AX1682" s="1212"/>
      <c r="AY1682" s="1212"/>
      <c r="AZ1682" s="1212"/>
      <c r="BA1682" s="1212"/>
      <c r="BB1682" s="1212"/>
      <c r="BC1682" s="1212"/>
      <c r="BD1682" s="1212"/>
      <c r="BE1682" s="1212"/>
      <c r="BF1682" s="2126">
        <v>0</v>
      </c>
      <c r="BG1682" s="2126">
        <v>0</v>
      </c>
      <c r="BH1682" s="2126">
        <v>41013.35</v>
      </c>
      <c r="BI1682" s="2126">
        <v>0</v>
      </c>
      <c r="BJ1682" s="2126">
        <v>0</v>
      </c>
      <c r="BK1682" s="2126">
        <v>0</v>
      </c>
      <c r="BL1682" s="2126">
        <v>0</v>
      </c>
      <c r="BM1682" s="2126">
        <v>0</v>
      </c>
      <c r="BN1682" s="2126">
        <v>0</v>
      </c>
      <c r="BO1682" s="2126">
        <v>0</v>
      </c>
      <c r="BP1682" s="2126">
        <v>0</v>
      </c>
      <c r="BQ1682" s="2126">
        <v>0</v>
      </c>
      <c r="BR1682" s="2126">
        <v>0</v>
      </c>
    </row>
    <row r="1683" spans="1:70" s="1765" customFormat="1" ht="33">
      <c r="A1683" s="1272">
        <v>8001</v>
      </c>
      <c r="B1683" s="971" t="s">
        <v>2666</v>
      </c>
      <c r="C1683" s="1272">
        <v>8101</v>
      </c>
      <c r="D1683" s="971" t="s">
        <v>2666</v>
      </c>
      <c r="E1683" s="971" t="s">
        <v>2678</v>
      </c>
      <c r="F1683" s="971" t="s">
        <v>2694</v>
      </c>
      <c r="G1683" s="971" t="s">
        <v>2678</v>
      </c>
      <c r="H1683" s="971" t="s">
        <v>2695</v>
      </c>
      <c r="I1683" s="1273"/>
      <c r="J1683" s="971"/>
      <c r="K1683" s="971"/>
      <c r="L1683" s="971" t="s">
        <v>2669</v>
      </c>
      <c r="M1683" s="971" t="s">
        <v>2669</v>
      </c>
      <c r="N1683" s="971" t="s">
        <v>2669</v>
      </c>
      <c r="O1683" s="971" t="s">
        <v>2669</v>
      </c>
      <c r="P1683" s="971" t="s">
        <v>190</v>
      </c>
      <c r="Q1683" s="971" t="s">
        <v>2720</v>
      </c>
      <c r="R1683" s="1266"/>
      <c r="S1683" s="2106">
        <v>13</v>
      </c>
      <c r="T1683" s="1266" t="s">
        <v>2719</v>
      </c>
      <c r="U1683" s="1742"/>
      <c r="V1683" s="1742"/>
      <c r="W1683" s="1742"/>
      <c r="X1683" s="1742"/>
      <c r="Y1683" s="2106">
        <v>2785.99</v>
      </c>
      <c r="Z1683" s="2106"/>
      <c r="AA1683" s="2106"/>
      <c r="AB1683" s="2106"/>
      <c r="AC1683" s="2106"/>
      <c r="AD1683" s="1744">
        <v>36217.869999999995</v>
      </c>
      <c r="AE1683" s="2126">
        <v>0</v>
      </c>
      <c r="AF1683" s="2126">
        <v>0</v>
      </c>
      <c r="AG1683" s="1212">
        <v>1</v>
      </c>
      <c r="AH1683" s="1212">
        <v>0</v>
      </c>
      <c r="AI1683" s="1212">
        <v>0</v>
      </c>
      <c r="AJ1683" s="1212">
        <v>1</v>
      </c>
      <c r="AK1683" s="2126">
        <v>36217.869999999995</v>
      </c>
      <c r="AL1683" s="2126">
        <v>0</v>
      </c>
      <c r="AM1683" s="2126">
        <v>0</v>
      </c>
      <c r="AN1683" s="2126">
        <v>36217.869999999995</v>
      </c>
      <c r="AO1683" s="1743" t="s">
        <v>85</v>
      </c>
      <c r="AP1683" s="1743" t="s">
        <v>90</v>
      </c>
      <c r="AQ1683" s="1764">
        <v>2021</v>
      </c>
      <c r="AR1683" s="1743" t="s">
        <v>2669</v>
      </c>
      <c r="AS1683" s="2135"/>
      <c r="AT1683" s="2135"/>
      <c r="AU1683" s="1212">
        <v>1</v>
      </c>
      <c r="AV1683" s="1212"/>
      <c r="AW1683" s="1212"/>
      <c r="AX1683" s="1212"/>
      <c r="AY1683" s="1212"/>
      <c r="AZ1683" s="1212"/>
      <c r="BA1683" s="1212"/>
      <c r="BB1683" s="1212"/>
      <c r="BC1683" s="1212"/>
      <c r="BD1683" s="1212"/>
      <c r="BE1683" s="1212"/>
      <c r="BF1683" s="2126">
        <v>0</v>
      </c>
      <c r="BG1683" s="2126">
        <v>0</v>
      </c>
      <c r="BH1683" s="2126">
        <v>36217.869999999995</v>
      </c>
      <c r="BI1683" s="2126">
        <v>0</v>
      </c>
      <c r="BJ1683" s="2126">
        <v>0</v>
      </c>
      <c r="BK1683" s="2126">
        <v>0</v>
      </c>
      <c r="BL1683" s="2126">
        <v>0</v>
      </c>
      <c r="BM1683" s="2126">
        <v>0</v>
      </c>
      <c r="BN1683" s="2126">
        <v>0</v>
      </c>
      <c r="BO1683" s="2126">
        <v>0</v>
      </c>
      <c r="BP1683" s="2126">
        <v>0</v>
      </c>
      <c r="BQ1683" s="2126">
        <v>0</v>
      </c>
      <c r="BR1683" s="2126">
        <v>0</v>
      </c>
    </row>
    <row r="1684" spans="1:70" s="1765" customFormat="1" ht="33">
      <c r="A1684" s="1272">
        <v>8001</v>
      </c>
      <c r="B1684" s="971" t="s">
        <v>2666</v>
      </c>
      <c r="C1684" s="1272">
        <v>8101</v>
      </c>
      <c r="D1684" s="971" t="s">
        <v>2666</v>
      </c>
      <c r="E1684" s="971" t="s">
        <v>2678</v>
      </c>
      <c r="F1684" s="971" t="s">
        <v>2694</v>
      </c>
      <c r="G1684" s="971" t="s">
        <v>2678</v>
      </c>
      <c r="H1684" s="971" t="s">
        <v>2695</v>
      </c>
      <c r="I1684" s="1273"/>
      <c r="J1684" s="971"/>
      <c r="K1684" s="971"/>
      <c r="L1684" s="971" t="s">
        <v>2669</v>
      </c>
      <c r="M1684" s="971" t="s">
        <v>2669</v>
      </c>
      <c r="N1684" s="971" t="s">
        <v>2669</v>
      </c>
      <c r="O1684" s="971" t="s">
        <v>2669</v>
      </c>
      <c r="P1684" s="971" t="s">
        <v>190</v>
      </c>
      <c r="Q1684" s="971" t="s">
        <v>2721</v>
      </c>
      <c r="R1684" s="1266"/>
      <c r="S1684" s="2106">
        <v>-6</v>
      </c>
      <c r="T1684" s="1266" t="s">
        <v>2719</v>
      </c>
      <c r="U1684" s="1742"/>
      <c r="V1684" s="1742"/>
      <c r="W1684" s="1742"/>
      <c r="X1684" s="1742"/>
      <c r="Y1684" s="2106">
        <v>15964.53</v>
      </c>
      <c r="Z1684" s="2106"/>
      <c r="AA1684" s="2106"/>
      <c r="AB1684" s="2106"/>
      <c r="AC1684" s="2106"/>
      <c r="AD1684" s="1744">
        <v>-95787.180000000008</v>
      </c>
      <c r="AE1684" s="2126">
        <v>0</v>
      </c>
      <c r="AF1684" s="2126">
        <v>0</v>
      </c>
      <c r="AG1684" s="1212">
        <v>1</v>
      </c>
      <c r="AH1684" s="1212">
        <v>0</v>
      </c>
      <c r="AI1684" s="1212">
        <v>0</v>
      </c>
      <c r="AJ1684" s="1212">
        <v>1</v>
      </c>
      <c r="AK1684" s="2126">
        <v>-95787.180000000008</v>
      </c>
      <c r="AL1684" s="2126">
        <v>0</v>
      </c>
      <c r="AM1684" s="2126">
        <v>0</v>
      </c>
      <c r="AN1684" s="2126">
        <v>-95787.180000000008</v>
      </c>
      <c r="AO1684" s="1743" t="s">
        <v>85</v>
      </c>
      <c r="AP1684" s="1743" t="s">
        <v>90</v>
      </c>
      <c r="AQ1684" s="1764" t="s">
        <v>2141</v>
      </c>
      <c r="AR1684" s="1743" t="s">
        <v>2669</v>
      </c>
      <c r="AS1684" s="2135"/>
      <c r="AT1684" s="2135"/>
      <c r="AU1684" s="1212">
        <v>1</v>
      </c>
      <c r="AV1684" s="1212"/>
      <c r="AW1684" s="1212"/>
      <c r="AX1684" s="1212"/>
      <c r="AY1684" s="1212"/>
      <c r="AZ1684" s="1212"/>
      <c r="BA1684" s="1212"/>
      <c r="BB1684" s="1212"/>
      <c r="BC1684" s="1212"/>
      <c r="BD1684" s="1212"/>
      <c r="BE1684" s="1212"/>
      <c r="BF1684" s="2126">
        <v>0</v>
      </c>
      <c r="BG1684" s="2126">
        <v>0</v>
      </c>
      <c r="BH1684" s="2126">
        <v>-95787.180000000008</v>
      </c>
      <c r="BI1684" s="2126">
        <v>0</v>
      </c>
      <c r="BJ1684" s="2126">
        <v>0</v>
      </c>
      <c r="BK1684" s="2126">
        <v>0</v>
      </c>
      <c r="BL1684" s="2126">
        <v>0</v>
      </c>
      <c r="BM1684" s="2126">
        <v>0</v>
      </c>
      <c r="BN1684" s="2126">
        <v>0</v>
      </c>
      <c r="BO1684" s="2126">
        <v>0</v>
      </c>
      <c r="BP1684" s="2126">
        <v>0</v>
      </c>
      <c r="BQ1684" s="2126">
        <v>0</v>
      </c>
      <c r="BR1684" s="2126">
        <v>0</v>
      </c>
    </row>
    <row r="1685" spans="1:70" s="1765" customFormat="1" ht="33">
      <c r="A1685" s="1272">
        <v>8001</v>
      </c>
      <c r="B1685" s="971" t="s">
        <v>2666</v>
      </c>
      <c r="C1685" s="1272">
        <v>8101</v>
      </c>
      <c r="D1685" s="971" t="s">
        <v>2666</v>
      </c>
      <c r="E1685" s="971" t="s">
        <v>2678</v>
      </c>
      <c r="F1685" s="971" t="s">
        <v>2694</v>
      </c>
      <c r="G1685" s="971" t="s">
        <v>2678</v>
      </c>
      <c r="H1685" s="971" t="s">
        <v>2695</v>
      </c>
      <c r="I1685" s="1273"/>
      <c r="J1685" s="971"/>
      <c r="K1685" s="971"/>
      <c r="L1685" s="971" t="s">
        <v>2669</v>
      </c>
      <c r="M1685" s="971" t="s">
        <v>2669</v>
      </c>
      <c r="N1685" s="971" t="s">
        <v>2669</v>
      </c>
      <c r="O1685" s="971" t="s">
        <v>2669</v>
      </c>
      <c r="P1685" s="971" t="s">
        <v>190</v>
      </c>
      <c r="Q1685" s="971" t="s">
        <v>2722</v>
      </c>
      <c r="R1685" s="1266"/>
      <c r="S1685" s="2106">
        <v>-17</v>
      </c>
      <c r="T1685" s="1266" t="s">
        <v>2719</v>
      </c>
      <c r="U1685" s="1742"/>
      <c r="V1685" s="1742"/>
      <c r="W1685" s="1742"/>
      <c r="X1685" s="1742"/>
      <c r="Y1685" s="2106">
        <v>8202.67</v>
      </c>
      <c r="Z1685" s="2106"/>
      <c r="AA1685" s="2106"/>
      <c r="AB1685" s="2106"/>
      <c r="AC1685" s="2106"/>
      <c r="AD1685" s="1744">
        <v>-139445.39000000001</v>
      </c>
      <c r="AE1685" s="2126">
        <v>0</v>
      </c>
      <c r="AF1685" s="2126">
        <v>0</v>
      </c>
      <c r="AG1685" s="1212">
        <v>1</v>
      </c>
      <c r="AH1685" s="1212">
        <v>0</v>
      </c>
      <c r="AI1685" s="1212">
        <v>0</v>
      </c>
      <c r="AJ1685" s="1212">
        <v>1</v>
      </c>
      <c r="AK1685" s="2126">
        <v>-139445.39000000001</v>
      </c>
      <c r="AL1685" s="2126">
        <v>0</v>
      </c>
      <c r="AM1685" s="2126">
        <v>0</v>
      </c>
      <c r="AN1685" s="2126">
        <v>-139445.39000000001</v>
      </c>
      <c r="AO1685" s="1743" t="s">
        <v>85</v>
      </c>
      <c r="AP1685" s="1743" t="s">
        <v>90</v>
      </c>
      <c r="AQ1685" s="1764" t="s">
        <v>2141</v>
      </c>
      <c r="AR1685" s="1743" t="s">
        <v>2669</v>
      </c>
      <c r="AS1685" s="2135"/>
      <c r="AT1685" s="2135"/>
      <c r="AU1685" s="1212">
        <v>1</v>
      </c>
      <c r="AV1685" s="1212"/>
      <c r="AW1685" s="1212"/>
      <c r="AX1685" s="1212"/>
      <c r="AY1685" s="1212"/>
      <c r="AZ1685" s="1212"/>
      <c r="BA1685" s="1212"/>
      <c r="BB1685" s="1212"/>
      <c r="BC1685" s="1212"/>
      <c r="BD1685" s="1212"/>
      <c r="BE1685" s="1212"/>
      <c r="BF1685" s="2126">
        <v>0</v>
      </c>
      <c r="BG1685" s="2126">
        <v>0</v>
      </c>
      <c r="BH1685" s="2126">
        <v>-139445.39000000001</v>
      </c>
      <c r="BI1685" s="2126">
        <v>0</v>
      </c>
      <c r="BJ1685" s="2126">
        <v>0</v>
      </c>
      <c r="BK1685" s="2126">
        <v>0</v>
      </c>
      <c r="BL1685" s="2126">
        <v>0</v>
      </c>
      <c r="BM1685" s="2126">
        <v>0</v>
      </c>
      <c r="BN1685" s="2126">
        <v>0</v>
      </c>
      <c r="BO1685" s="2126">
        <v>0</v>
      </c>
      <c r="BP1685" s="2126">
        <v>0</v>
      </c>
      <c r="BQ1685" s="2126">
        <v>0</v>
      </c>
      <c r="BR1685" s="2126">
        <v>0</v>
      </c>
    </row>
    <row r="1686" spans="1:70" s="1765" customFormat="1" ht="33">
      <c r="A1686" s="1272">
        <v>8001</v>
      </c>
      <c r="B1686" s="971" t="s">
        <v>2666</v>
      </c>
      <c r="C1686" s="1272">
        <v>8101</v>
      </c>
      <c r="D1686" s="971" t="s">
        <v>2666</v>
      </c>
      <c r="E1686" s="971" t="s">
        <v>2678</v>
      </c>
      <c r="F1686" s="971" t="s">
        <v>2694</v>
      </c>
      <c r="G1686" s="971" t="s">
        <v>2678</v>
      </c>
      <c r="H1686" s="971" t="s">
        <v>2695</v>
      </c>
      <c r="I1686" s="1273"/>
      <c r="J1686" s="971"/>
      <c r="K1686" s="971"/>
      <c r="L1686" s="971" t="s">
        <v>2669</v>
      </c>
      <c r="M1686" s="971" t="s">
        <v>2669</v>
      </c>
      <c r="N1686" s="971" t="s">
        <v>2669</v>
      </c>
      <c r="O1686" s="971" t="s">
        <v>2669</v>
      </c>
      <c r="P1686" s="971" t="s">
        <v>190</v>
      </c>
      <c r="Q1686" s="971" t="s">
        <v>2723</v>
      </c>
      <c r="R1686" s="1266"/>
      <c r="S1686" s="2106">
        <v>-26</v>
      </c>
      <c r="T1686" s="1266" t="s">
        <v>2719</v>
      </c>
      <c r="U1686" s="1742"/>
      <c r="V1686" s="1742"/>
      <c r="W1686" s="1742"/>
      <c r="X1686" s="1742"/>
      <c r="Y1686" s="2106">
        <v>2785.99</v>
      </c>
      <c r="Z1686" s="2106"/>
      <c r="AA1686" s="2106"/>
      <c r="AB1686" s="2106"/>
      <c r="AC1686" s="2106"/>
      <c r="AD1686" s="1744">
        <v>-72435.739999999991</v>
      </c>
      <c r="AE1686" s="2126">
        <v>0</v>
      </c>
      <c r="AF1686" s="2126">
        <v>0</v>
      </c>
      <c r="AG1686" s="1212">
        <v>1</v>
      </c>
      <c r="AH1686" s="1212">
        <v>0</v>
      </c>
      <c r="AI1686" s="1212">
        <v>0</v>
      </c>
      <c r="AJ1686" s="1212">
        <v>1</v>
      </c>
      <c r="AK1686" s="2126">
        <v>-72435.739999999991</v>
      </c>
      <c r="AL1686" s="2126">
        <v>0</v>
      </c>
      <c r="AM1686" s="2126">
        <v>0</v>
      </c>
      <c r="AN1686" s="2126">
        <v>-72435.739999999991</v>
      </c>
      <c r="AO1686" s="1743" t="s">
        <v>85</v>
      </c>
      <c r="AP1686" s="1743" t="s">
        <v>90</v>
      </c>
      <c r="AQ1686" s="1764" t="s">
        <v>2141</v>
      </c>
      <c r="AR1686" s="1743" t="s">
        <v>2669</v>
      </c>
      <c r="AS1686" s="2135"/>
      <c r="AT1686" s="2135"/>
      <c r="AU1686" s="1212">
        <v>1</v>
      </c>
      <c r="AV1686" s="1212"/>
      <c r="AW1686" s="1212"/>
      <c r="AX1686" s="1212"/>
      <c r="AY1686" s="1212"/>
      <c r="AZ1686" s="1212"/>
      <c r="BA1686" s="1212"/>
      <c r="BB1686" s="1212"/>
      <c r="BC1686" s="1212"/>
      <c r="BD1686" s="1212"/>
      <c r="BE1686" s="1212"/>
      <c r="BF1686" s="2126">
        <v>0</v>
      </c>
      <c r="BG1686" s="2126">
        <v>0</v>
      </c>
      <c r="BH1686" s="2126">
        <v>-72435.739999999991</v>
      </c>
      <c r="BI1686" s="2126">
        <v>0</v>
      </c>
      <c r="BJ1686" s="2126">
        <v>0</v>
      </c>
      <c r="BK1686" s="2126">
        <v>0</v>
      </c>
      <c r="BL1686" s="2126">
        <v>0</v>
      </c>
      <c r="BM1686" s="2126">
        <v>0</v>
      </c>
      <c r="BN1686" s="2126">
        <v>0</v>
      </c>
      <c r="BO1686" s="2126">
        <v>0</v>
      </c>
      <c r="BP1686" s="2126">
        <v>0</v>
      </c>
      <c r="BQ1686" s="2126">
        <v>0</v>
      </c>
      <c r="BR1686" s="2126">
        <v>0</v>
      </c>
    </row>
    <row r="1687" spans="1:70" s="1765" customFormat="1" ht="33">
      <c r="A1687" s="1272">
        <v>8001</v>
      </c>
      <c r="B1687" s="971" t="s">
        <v>2666</v>
      </c>
      <c r="C1687" s="1272">
        <v>8101</v>
      </c>
      <c r="D1687" s="971" t="s">
        <v>2666</v>
      </c>
      <c r="E1687" s="971" t="s">
        <v>2678</v>
      </c>
      <c r="F1687" s="971" t="s">
        <v>2694</v>
      </c>
      <c r="G1687" s="971" t="s">
        <v>2678</v>
      </c>
      <c r="H1687" s="971" t="s">
        <v>2695</v>
      </c>
      <c r="I1687" s="1273"/>
      <c r="J1687" s="971"/>
      <c r="K1687" s="971"/>
      <c r="L1687" s="971" t="s">
        <v>2669</v>
      </c>
      <c r="M1687" s="971" t="s">
        <v>2669</v>
      </c>
      <c r="N1687" s="971" t="s">
        <v>2669</v>
      </c>
      <c r="O1687" s="971" t="s">
        <v>2669</v>
      </c>
      <c r="P1687" s="971" t="s">
        <v>190</v>
      </c>
      <c r="Q1687" s="971" t="s">
        <v>2724</v>
      </c>
      <c r="R1687" s="1266"/>
      <c r="S1687" s="2106">
        <v>-30</v>
      </c>
      <c r="T1687" s="1266" t="s">
        <v>2719</v>
      </c>
      <c r="U1687" s="1742"/>
      <c r="V1687" s="1742"/>
      <c r="W1687" s="1742"/>
      <c r="X1687" s="1742"/>
      <c r="Y1687" s="2106">
        <v>15964.53</v>
      </c>
      <c r="Z1687" s="2106"/>
      <c r="AA1687" s="2106"/>
      <c r="AB1687" s="2106"/>
      <c r="AC1687" s="2106"/>
      <c r="AD1687" s="1744">
        <v>-478935.9</v>
      </c>
      <c r="AE1687" s="2126">
        <v>0</v>
      </c>
      <c r="AF1687" s="2126">
        <v>0</v>
      </c>
      <c r="AG1687" s="1212">
        <v>1</v>
      </c>
      <c r="AH1687" s="1212">
        <v>0</v>
      </c>
      <c r="AI1687" s="1212">
        <v>0</v>
      </c>
      <c r="AJ1687" s="1212">
        <v>1</v>
      </c>
      <c r="AK1687" s="2126">
        <v>-478935.9</v>
      </c>
      <c r="AL1687" s="2126">
        <v>0</v>
      </c>
      <c r="AM1687" s="2126">
        <v>0</v>
      </c>
      <c r="AN1687" s="2126">
        <v>-478935.9</v>
      </c>
      <c r="AO1687" s="1743" t="s">
        <v>85</v>
      </c>
      <c r="AP1687" s="1743" t="s">
        <v>90</v>
      </c>
      <c r="AQ1687" s="1764" t="s">
        <v>2725</v>
      </c>
      <c r="AR1687" s="1743" t="s">
        <v>2669</v>
      </c>
      <c r="AS1687" s="2135"/>
      <c r="AT1687" s="2135"/>
      <c r="AU1687" s="1212">
        <v>1</v>
      </c>
      <c r="AV1687" s="1212"/>
      <c r="AW1687" s="1212"/>
      <c r="AX1687" s="1212"/>
      <c r="AY1687" s="1212"/>
      <c r="AZ1687" s="1212"/>
      <c r="BA1687" s="1212"/>
      <c r="BB1687" s="1212"/>
      <c r="BC1687" s="1212"/>
      <c r="BD1687" s="1212"/>
      <c r="BE1687" s="1212"/>
      <c r="BF1687" s="2126">
        <v>0</v>
      </c>
      <c r="BG1687" s="2126">
        <v>0</v>
      </c>
      <c r="BH1687" s="2126">
        <v>-478935.9</v>
      </c>
      <c r="BI1687" s="2126">
        <v>0</v>
      </c>
      <c r="BJ1687" s="2126">
        <v>0</v>
      </c>
      <c r="BK1687" s="2126">
        <v>0</v>
      </c>
      <c r="BL1687" s="2126">
        <v>0</v>
      </c>
      <c r="BM1687" s="2126">
        <v>0</v>
      </c>
      <c r="BN1687" s="2126">
        <v>0</v>
      </c>
      <c r="BO1687" s="2126">
        <v>0</v>
      </c>
      <c r="BP1687" s="2126">
        <v>0</v>
      </c>
      <c r="BQ1687" s="2126">
        <v>0</v>
      </c>
      <c r="BR1687" s="2126">
        <v>0</v>
      </c>
    </row>
    <row r="1688" spans="1:70" s="1765" customFormat="1" ht="33">
      <c r="A1688" s="1272">
        <v>8001</v>
      </c>
      <c r="B1688" s="971" t="s">
        <v>2666</v>
      </c>
      <c r="C1688" s="1272">
        <v>8101</v>
      </c>
      <c r="D1688" s="971" t="s">
        <v>2666</v>
      </c>
      <c r="E1688" s="971" t="s">
        <v>2678</v>
      </c>
      <c r="F1688" s="971" t="s">
        <v>2694</v>
      </c>
      <c r="G1688" s="971" t="s">
        <v>2678</v>
      </c>
      <c r="H1688" s="971" t="s">
        <v>2695</v>
      </c>
      <c r="I1688" s="1273"/>
      <c r="J1688" s="971"/>
      <c r="K1688" s="971"/>
      <c r="L1688" s="971" t="s">
        <v>2669</v>
      </c>
      <c r="M1688" s="971" t="s">
        <v>2669</v>
      </c>
      <c r="N1688" s="971" t="s">
        <v>2669</v>
      </c>
      <c r="O1688" s="971" t="s">
        <v>2669</v>
      </c>
      <c r="P1688" s="971" t="s">
        <v>190</v>
      </c>
      <c r="Q1688" s="971" t="s">
        <v>2726</v>
      </c>
      <c r="R1688" s="1266"/>
      <c r="S1688" s="2106">
        <v>-103</v>
      </c>
      <c r="T1688" s="1266" t="s">
        <v>2719</v>
      </c>
      <c r="U1688" s="1742"/>
      <c r="V1688" s="1742"/>
      <c r="W1688" s="1742"/>
      <c r="X1688" s="1742"/>
      <c r="Y1688" s="2106">
        <v>8202.67</v>
      </c>
      <c r="Z1688" s="2106"/>
      <c r="AA1688" s="2106"/>
      <c r="AB1688" s="2106"/>
      <c r="AC1688" s="2106"/>
      <c r="AD1688" s="1744">
        <v>-844875.01</v>
      </c>
      <c r="AE1688" s="2126">
        <v>0</v>
      </c>
      <c r="AF1688" s="2126">
        <v>0</v>
      </c>
      <c r="AG1688" s="1212">
        <v>1</v>
      </c>
      <c r="AH1688" s="1212">
        <v>0</v>
      </c>
      <c r="AI1688" s="1212">
        <v>0</v>
      </c>
      <c r="AJ1688" s="1212">
        <v>1</v>
      </c>
      <c r="AK1688" s="2126">
        <v>-844875.01</v>
      </c>
      <c r="AL1688" s="2126">
        <v>0</v>
      </c>
      <c r="AM1688" s="2126">
        <v>0</v>
      </c>
      <c r="AN1688" s="2126">
        <v>-844875.01</v>
      </c>
      <c r="AO1688" s="1743" t="s">
        <v>85</v>
      </c>
      <c r="AP1688" s="1743" t="s">
        <v>90</v>
      </c>
      <c r="AQ1688" s="1764" t="s">
        <v>2725</v>
      </c>
      <c r="AR1688" s="1743" t="s">
        <v>2669</v>
      </c>
      <c r="AS1688" s="2135"/>
      <c r="AT1688" s="2135"/>
      <c r="AU1688" s="1212">
        <v>1</v>
      </c>
      <c r="AV1688" s="1212"/>
      <c r="AW1688" s="1212"/>
      <c r="AX1688" s="1212"/>
      <c r="AY1688" s="1212"/>
      <c r="AZ1688" s="1212"/>
      <c r="BA1688" s="1212"/>
      <c r="BB1688" s="1212"/>
      <c r="BC1688" s="1212"/>
      <c r="BD1688" s="1212"/>
      <c r="BE1688" s="1212"/>
      <c r="BF1688" s="2126">
        <v>0</v>
      </c>
      <c r="BG1688" s="2126">
        <v>0</v>
      </c>
      <c r="BH1688" s="2126">
        <v>-844875.01</v>
      </c>
      <c r="BI1688" s="2126">
        <v>0</v>
      </c>
      <c r="BJ1688" s="2126">
        <v>0</v>
      </c>
      <c r="BK1688" s="2126">
        <v>0</v>
      </c>
      <c r="BL1688" s="2126">
        <v>0</v>
      </c>
      <c r="BM1688" s="2126">
        <v>0</v>
      </c>
      <c r="BN1688" s="2126">
        <v>0</v>
      </c>
      <c r="BO1688" s="2126">
        <v>0</v>
      </c>
      <c r="BP1688" s="2126">
        <v>0</v>
      </c>
      <c r="BQ1688" s="2126">
        <v>0</v>
      </c>
      <c r="BR1688" s="2126">
        <v>0</v>
      </c>
    </row>
    <row r="1689" spans="1:70" s="1765" customFormat="1" ht="33">
      <c r="A1689" s="1272">
        <v>8001</v>
      </c>
      <c r="B1689" s="971" t="s">
        <v>2666</v>
      </c>
      <c r="C1689" s="1272">
        <v>8101</v>
      </c>
      <c r="D1689" s="971" t="s">
        <v>2666</v>
      </c>
      <c r="E1689" s="971" t="s">
        <v>2678</v>
      </c>
      <c r="F1689" s="971" t="s">
        <v>2694</v>
      </c>
      <c r="G1689" s="971" t="s">
        <v>2678</v>
      </c>
      <c r="H1689" s="971" t="s">
        <v>2695</v>
      </c>
      <c r="I1689" s="1273"/>
      <c r="J1689" s="971"/>
      <c r="K1689" s="971"/>
      <c r="L1689" s="971" t="s">
        <v>2669</v>
      </c>
      <c r="M1689" s="971" t="s">
        <v>2669</v>
      </c>
      <c r="N1689" s="971" t="s">
        <v>2669</v>
      </c>
      <c r="O1689" s="971" t="s">
        <v>2669</v>
      </c>
      <c r="P1689" s="971" t="s">
        <v>190</v>
      </c>
      <c r="Q1689" s="971" t="s">
        <v>2727</v>
      </c>
      <c r="R1689" s="1266"/>
      <c r="S1689" s="2106">
        <v>-47</v>
      </c>
      <c r="T1689" s="1266" t="s">
        <v>2719</v>
      </c>
      <c r="U1689" s="1742"/>
      <c r="V1689" s="1742"/>
      <c r="W1689" s="1742"/>
      <c r="X1689" s="1742"/>
      <c r="Y1689" s="2106">
        <v>2785.99</v>
      </c>
      <c r="Z1689" s="2106"/>
      <c r="AA1689" s="2106"/>
      <c r="AB1689" s="2106"/>
      <c r="AC1689" s="2106"/>
      <c r="AD1689" s="1744">
        <v>-130941.52999999998</v>
      </c>
      <c r="AE1689" s="2126">
        <v>0</v>
      </c>
      <c r="AF1689" s="2126">
        <v>0</v>
      </c>
      <c r="AG1689" s="1212">
        <v>1</v>
      </c>
      <c r="AH1689" s="1212">
        <v>0</v>
      </c>
      <c r="AI1689" s="1212">
        <v>0</v>
      </c>
      <c r="AJ1689" s="1212">
        <v>1</v>
      </c>
      <c r="AK1689" s="2126">
        <v>-130941.52999999998</v>
      </c>
      <c r="AL1689" s="2126">
        <v>0</v>
      </c>
      <c r="AM1689" s="2126">
        <v>0</v>
      </c>
      <c r="AN1689" s="2126">
        <v>-130941.52999999998</v>
      </c>
      <c r="AO1689" s="1743" t="s">
        <v>85</v>
      </c>
      <c r="AP1689" s="1743" t="s">
        <v>90</v>
      </c>
      <c r="AQ1689" s="1764" t="s">
        <v>2725</v>
      </c>
      <c r="AR1689" s="1743" t="s">
        <v>2669</v>
      </c>
      <c r="AS1689" s="2135"/>
      <c r="AT1689" s="2135"/>
      <c r="AU1689" s="1212">
        <v>1</v>
      </c>
      <c r="AV1689" s="1212"/>
      <c r="AW1689" s="1212"/>
      <c r="AX1689" s="1212"/>
      <c r="AY1689" s="1212"/>
      <c r="AZ1689" s="1212"/>
      <c r="BA1689" s="1212"/>
      <c r="BB1689" s="1212"/>
      <c r="BC1689" s="1212"/>
      <c r="BD1689" s="1212"/>
      <c r="BE1689" s="1212"/>
      <c r="BF1689" s="2126">
        <v>0</v>
      </c>
      <c r="BG1689" s="2126">
        <v>0</v>
      </c>
      <c r="BH1689" s="2126">
        <v>-130941.52999999998</v>
      </c>
      <c r="BI1689" s="2126">
        <v>0</v>
      </c>
      <c r="BJ1689" s="2126">
        <v>0</v>
      </c>
      <c r="BK1689" s="2126">
        <v>0</v>
      </c>
      <c r="BL1689" s="2126">
        <v>0</v>
      </c>
      <c r="BM1689" s="2126">
        <v>0</v>
      </c>
      <c r="BN1689" s="2126">
        <v>0</v>
      </c>
      <c r="BO1689" s="2126">
        <v>0</v>
      </c>
      <c r="BP1689" s="2126">
        <v>0</v>
      </c>
      <c r="BQ1689" s="2126">
        <v>0</v>
      </c>
      <c r="BR1689" s="2126">
        <v>0</v>
      </c>
    </row>
    <row r="1690" spans="1:70" s="1765" customFormat="1" ht="33">
      <c r="A1690" s="1272">
        <v>8001</v>
      </c>
      <c r="B1690" s="971" t="s">
        <v>2666</v>
      </c>
      <c r="C1690" s="1272">
        <v>8101</v>
      </c>
      <c r="D1690" s="971" t="s">
        <v>2666</v>
      </c>
      <c r="E1690" s="971" t="s">
        <v>2678</v>
      </c>
      <c r="F1690" s="971" t="s">
        <v>2694</v>
      </c>
      <c r="G1690" s="971" t="s">
        <v>2678</v>
      </c>
      <c r="H1690" s="971" t="s">
        <v>2695</v>
      </c>
      <c r="I1690" s="1273"/>
      <c r="J1690" s="971"/>
      <c r="K1690" s="971"/>
      <c r="L1690" s="971" t="s">
        <v>2669</v>
      </c>
      <c r="M1690" s="971" t="s">
        <v>2669</v>
      </c>
      <c r="N1690" s="971" t="s">
        <v>2669</v>
      </c>
      <c r="O1690" s="971" t="s">
        <v>2669</v>
      </c>
      <c r="P1690" s="971" t="s">
        <v>190</v>
      </c>
      <c r="Q1690" s="971" t="s">
        <v>2728</v>
      </c>
      <c r="R1690" s="1266"/>
      <c r="S1690" s="2106">
        <v>-201</v>
      </c>
      <c r="T1690" s="1266" t="s">
        <v>2719</v>
      </c>
      <c r="U1690" s="1742"/>
      <c r="V1690" s="1742"/>
      <c r="W1690" s="1742"/>
      <c r="X1690" s="1742"/>
      <c r="Y1690" s="2106">
        <v>15964.53</v>
      </c>
      <c r="Z1690" s="2106"/>
      <c r="AA1690" s="2106"/>
      <c r="AB1690" s="2106"/>
      <c r="AC1690" s="2106"/>
      <c r="AD1690" s="1744">
        <v>-3208870.5300000003</v>
      </c>
      <c r="AE1690" s="2126">
        <v>0</v>
      </c>
      <c r="AF1690" s="2126">
        <v>0</v>
      </c>
      <c r="AG1690" s="1212">
        <v>1</v>
      </c>
      <c r="AH1690" s="1212">
        <v>0</v>
      </c>
      <c r="AI1690" s="1212">
        <v>0</v>
      </c>
      <c r="AJ1690" s="1212">
        <v>1</v>
      </c>
      <c r="AK1690" s="2126">
        <v>-3208870.5300000003</v>
      </c>
      <c r="AL1690" s="2126">
        <v>0</v>
      </c>
      <c r="AM1690" s="2126">
        <v>0</v>
      </c>
      <c r="AN1690" s="2126">
        <v>-3208870.5300000003</v>
      </c>
      <c r="AO1690" s="1743" t="s">
        <v>85</v>
      </c>
      <c r="AP1690" s="1743" t="s">
        <v>96</v>
      </c>
      <c r="AQ1690" s="1764" t="s">
        <v>115</v>
      </c>
      <c r="AR1690" s="1743" t="s">
        <v>2669</v>
      </c>
      <c r="AS1690" s="2135"/>
      <c r="AT1690" s="2135"/>
      <c r="AU1690" s="1212">
        <v>1</v>
      </c>
      <c r="AV1690" s="1212"/>
      <c r="AW1690" s="1212"/>
      <c r="AX1690" s="1212"/>
      <c r="AY1690" s="1212"/>
      <c r="AZ1690" s="1212"/>
      <c r="BA1690" s="1212"/>
      <c r="BB1690" s="1212"/>
      <c r="BC1690" s="1212"/>
      <c r="BD1690" s="1212"/>
      <c r="BE1690" s="1212"/>
      <c r="BF1690" s="2126">
        <v>0</v>
      </c>
      <c r="BG1690" s="2126">
        <v>0</v>
      </c>
      <c r="BH1690" s="2126">
        <v>-3208870.5300000003</v>
      </c>
      <c r="BI1690" s="2126">
        <v>0</v>
      </c>
      <c r="BJ1690" s="2126">
        <v>0</v>
      </c>
      <c r="BK1690" s="2126">
        <v>0</v>
      </c>
      <c r="BL1690" s="2126">
        <v>0</v>
      </c>
      <c r="BM1690" s="2126">
        <v>0</v>
      </c>
      <c r="BN1690" s="2126">
        <v>0</v>
      </c>
      <c r="BO1690" s="2126">
        <v>0</v>
      </c>
      <c r="BP1690" s="2126">
        <v>0</v>
      </c>
      <c r="BQ1690" s="2126">
        <v>0</v>
      </c>
      <c r="BR1690" s="2126">
        <v>0</v>
      </c>
    </row>
    <row r="1691" spans="1:70" s="1765" customFormat="1" ht="33">
      <c r="A1691" s="1272">
        <v>8001</v>
      </c>
      <c r="B1691" s="971" t="s">
        <v>2666</v>
      </c>
      <c r="C1691" s="1272">
        <v>8101</v>
      </c>
      <c r="D1691" s="971" t="s">
        <v>2666</v>
      </c>
      <c r="E1691" s="971" t="s">
        <v>2678</v>
      </c>
      <c r="F1691" s="971" t="s">
        <v>2694</v>
      </c>
      <c r="G1691" s="971" t="s">
        <v>2678</v>
      </c>
      <c r="H1691" s="971" t="s">
        <v>2695</v>
      </c>
      <c r="I1691" s="1273"/>
      <c r="J1691" s="971"/>
      <c r="K1691" s="971"/>
      <c r="L1691" s="971" t="s">
        <v>2669</v>
      </c>
      <c r="M1691" s="971" t="s">
        <v>2669</v>
      </c>
      <c r="N1691" s="971" t="s">
        <v>2669</v>
      </c>
      <c r="O1691" s="971" t="s">
        <v>2669</v>
      </c>
      <c r="P1691" s="971" t="s">
        <v>190</v>
      </c>
      <c r="Q1691" s="971" t="s">
        <v>2729</v>
      </c>
      <c r="R1691" s="1266"/>
      <c r="S1691" s="2106">
        <v>-102</v>
      </c>
      <c r="T1691" s="1266" t="s">
        <v>2719</v>
      </c>
      <c r="U1691" s="1742"/>
      <c r="V1691" s="1742"/>
      <c r="W1691" s="1742"/>
      <c r="X1691" s="1742"/>
      <c r="Y1691" s="2106">
        <v>8202.67</v>
      </c>
      <c r="Z1691" s="2106"/>
      <c r="AA1691" s="2106"/>
      <c r="AB1691" s="2106"/>
      <c r="AC1691" s="2106"/>
      <c r="AD1691" s="1744">
        <v>-836672.34</v>
      </c>
      <c r="AE1691" s="2126">
        <v>0</v>
      </c>
      <c r="AF1691" s="2126">
        <v>0</v>
      </c>
      <c r="AG1691" s="1212">
        <v>1</v>
      </c>
      <c r="AH1691" s="1212">
        <v>0</v>
      </c>
      <c r="AI1691" s="1212">
        <v>0</v>
      </c>
      <c r="AJ1691" s="1212">
        <v>1</v>
      </c>
      <c r="AK1691" s="2126">
        <v>-836672.34</v>
      </c>
      <c r="AL1691" s="2126">
        <v>0</v>
      </c>
      <c r="AM1691" s="2126">
        <v>0</v>
      </c>
      <c r="AN1691" s="2126">
        <v>-836672.34</v>
      </c>
      <c r="AO1691" s="1743" t="s">
        <v>85</v>
      </c>
      <c r="AP1691" s="1743" t="s">
        <v>96</v>
      </c>
      <c r="AQ1691" s="1764" t="s">
        <v>115</v>
      </c>
      <c r="AR1691" s="1743" t="s">
        <v>2669</v>
      </c>
      <c r="AS1691" s="2135"/>
      <c r="AT1691" s="2135"/>
      <c r="AU1691" s="1212">
        <v>1</v>
      </c>
      <c r="AV1691" s="1212"/>
      <c r="AW1691" s="1212"/>
      <c r="AX1691" s="1212"/>
      <c r="AY1691" s="1212"/>
      <c r="AZ1691" s="1212"/>
      <c r="BA1691" s="1212"/>
      <c r="BB1691" s="1212"/>
      <c r="BC1691" s="1212"/>
      <c r="BD1691" s="1212"/>
      <c r="BE1691" s="1212"/>
      <c r="BF1691" s="2126">
        <v>0</v>
      </c>
      <c r="BG1691" s="2126">
        <v>0</v>
      </c>
      <c r="BH1691" s="2126">
        <v>-836672.34</v>
      </c>
      <c r="BI1691" s="2126">
        <v>0</v>
      </c>
      <c r="BJ1691" s="2126">
        <v>0</v>
      </c>
      <c r="BK1691" s="2126">
        <v>0</v>
      </c>
      <c r="BL1691" s="2126">
        <v>0</v>
      </c>
      <c r="BM1691" s="2126">
        <v>0</v>
      </c>
      <c r="BN1691" s="2126">
        <v>0</v>
      </c>
      <c r="BO1691" s="2126">
        <v>0</v>
      </c>
      <c r="BP1691" s="2126">
        <v>0</v>
      </c>
      <c r="BQ1691" s="2126">
        <v>0</v>
      </c>
      <c r="BR1691" s="2126">
        <v>0</v>
      </c>
    </row>
    <row r="1692" spans="1:70" s="1765" customFormat="1" ht="33">
      <c r="A1692" s="1272">
        <v>8001</v>
      </c>
      <c r="B1692" s="971" t="s">
        <v>2666</v>
      </c>
      <c r="C1692" s="1272">
        <v>8101</v>
      </c>
      <c r="D1692" s="971" t="s">
        <v>2666</v>
      </c>
      <c r="E1692" s="971" t="s">
        <v>2678</v>
      </c>
      <c r="F1692" s="971" t="s">
        <v>2694</v>
      </c>
      <c r="G1692" s="971" t="s">
        <v>2678</v>
      </c>
      <c r="H1692" s="971" t="s">
        <v>2695</v>
      </c>
      <c r="I1692" s="1273"/>
      <c r="J1692" s="971"/>
      <c r="K1692" s="971"/>
      <c r="L1692" s="971" t="s">
        <v>2669</v>
      </c>
      <c r="M1692" s="971" t="s">
        <v>2669</v>
      </c>
      <c r="N1692" s="971" t="s">
        <v>2669</v>
      </c>
      <c r="O1692" s="971" t="s">
        <v>2669</v>
      </c>
      <c r="P1692" s="971" t="s">
        <v>190</v>
      </c>
      <c r="Q1692" s="971" t="s">
        <v>2730</v>
      </c>
      <c r="R1692" s="1266"/>
      <c r="S1692" s="2106">
        <v>-157</v>
      </c>
      <c r="T1692" s="1266" t="s">
        <v>2719</v>
      </c>
      <c r="U1692" s="1742"/>
      <c r="V1692" s="1742"/>
      <c r="W1692" s="1742"/>
      <c r="X1692" s="1742"/>
      <c r="Y1692" s="2106">
        <v>2785.99</v>
      </c>
      <c r="Z1692" s="2106"/>
      <c r="AA1692" s="2106"/>
      <c r="AB1692" s="2106"/>
      <c r="AC1692" s="2106"/>
      <c r="AD1692" s="1744">
        <v>-437400.43</v>
      </c>
      <c r="AE1692" s="2126">
        <v>0</v>
      </c>
      <c r="AF1692" s="2126">
        <v>0</v>
      </c>
      <c r="AG1692" s="1212">
        <v>1</v>
      </c>
      <c r="AH1692" s="1212">
        <v>0</v>
      </c>
      <c r="AI1692" s="1212">
        <v>0</v>
      </c>
      <c r="AJ1692" s="1212">
        <v>1</v>
      </c>
      <c r="AK1692" s="2126">
        <v>-437400.43</v>
      </c>
      <c r="AL1692" s="2126">
        <v>0</v>
      </c>
      <c r="AM1692" s="2126">
        <v>0</v>
      </c>
      <c r="AN1692" s="2126">
        <v>-437400.43</v>
      </c>
      <c r="AO1692" s="1743" t="s">
        <v>85</v>
      </c>
      <c r="AP1692" s="1743" t="s">
        <v>96</v>
      </c>
      <c r="AQ1692" s="1764" t="s">
        <v>115</v>
      </c>
      <c r="AR1692" s="1743" t="s">
        <v>2669</v>
      </c>
      <c r="AS1692" s="2135"/>
      <c r="AT1692" s="2135"/>
      <c r="AU1692" s="1212">
        <v>1</v>
      </c>
      <c r="AV1692" s="1212"/>
      <c r="AW1692" s="1212"/>
      <c r="AX1692" s="1212"/>
      <c r="AY1692" s="1212"/>
      <c r="AZ1692" s="1212"/>
      <c r="BA1692" s="1212"/>
      <c r="BB1692" s="1212"/>
      <c r="BC1692" s="1212"/>
      <c r="BD1692" s="1212"/>
      <c r="BE1692" s="1212"/>
      <c r="BF1692" s="2126">
        <v>0</v>
      </c>
      <c r="BG1692" s="2126">
        <v>0</v>
      </c>
      <c r="BH1692" s="2126">
        <v>-437400.43</v>
      </c>
      <c r="BI1692" s="2126">
        <v>0</v>
      </c>
      <c r="BJ1692" s="2126">
        <v>0</v>
      </c>
      <c r="BK1692" s="2126">
        <v>0</v>
      </c>
      <c r="BL1692" s="2126">
        <v>0</v>
      </c>
      <c r="BM1692" s="2126">
        <v>0</v>
      </c>
      <c r="BN1692" s="2126">
        <v>0</v>
      </c>
      <c r="BO1692" s="2126">
        <v>0</v>
      </c>
      <c r="BP1692" s="2126">
        <v>0</v>
      </c>
      <c r="BQ1692" s="2126">
        <v>0</v>
      </c>
      <c r="BR1692" s="2126">
        <v>0</v>
      </c>
    </row>
    <row r="1693" spans="1:70" s="1765" customFormat="1" ht="33">
      <c r="A1693" s="1272">
        <v>8001</v>
      </c>
      <c r="B1693" s="971" t="s">
        <v>2666</v>
      </c>
      <c r="C1693" s="1272">
        <v>8101</v>
      </c>
      <c r="D1693" s="971" t="s">
        <v>2666</v>
      </c>
      <c r="E1693" s="971" t="s">
        <v>2678</v>
      </c>
      <c r="F1693" s="971" t="s">
        <v>2694</v>
      </c>
      <c r="G1693" s="971" t="s">
        <v>2678</v>
      </c>
      <c r="H1693" s="971" t="s">
        <v>2695</v>
      </c>
      <c r="I1693" s="1273"/>
      <c r="J1693" s="971"/>
      <c r="K1693" s="971"/>
      <c r="L1693" s="971" t="s">
        <v>2669</v>
      </c>
      <c r="M1693" s="971" t="s">
        <v>2669</v>
      </c>
      <c r="N1693" s="971" t="s">
        <v>2669</v>
      </c>
      <c r="O1693" s="971" t="s">
        <v>2669</v>
      </c>
      <c r="P1693" s="971" t="s">
        <v>190</v>
      </c>
      <c r="Q1693" s="971" t="s">
        <v>2728</v>
      </c>
      <c r="R1693" s="1266"/>
      <c r="S1693" s="2106">
        <v>44</v>
      </c>
      <c r="T1693" s="1266" t="s">
        <v>2719</v>
      </c>
      <c r="U1693" s="1742"/>
      <c r="V1693" s="1742"/>
      <c r="W1693" s="1742"/>
      <c r="X1693" s="1742"/>
      <c r="Y1693" s="2106">
        <v>15964.53</v>
      </c>
      <c r="Z1693" s="2106"/>
      <c r="AA1693" s="2106"/>
      <c r="AB1693" s="2106"/>
      <c r="AC1693" s="2106"/>
      <c r="AD1693" s="1744">
        <v>702439.32000000007</v>
      </c>
      <c r="AE1693" s="2126">
        <v>0</v>
      </c>
      <c r="AF1693" s="2126">
        <v>0</v>
      </c>
      <c r="AG1693" s="1212">
        <v>1</v>
      </c>
      <c r="AH1693" s="1212">
        <v>0</v>
      </c>
      <c r="AI1693" s="1212">
        <v>0</v>
      </c>
      <c r="AJ1693" s="1212">
        <v>1</v>
      </c>
      <c r="AK1693" s="2126">
        <v>702439.32000000007</v>
      </c>
      <c r="AL1693" s="2126">
        <v>0</v>
      </c>
      <c r="AM1693" s="2126">
        <v>0</v>
      </c>
      <c r="AN1693" s="2126">
        <v>702439.32000000007</v>
      </c>
      <c r="AO1693" s="1743" t="s">
        <v>85</v>
      </c>
      <c r="AP1693" s="1743" t="s">
        <v>90</v>
      </c>
      <c r="AQ1693" s="1764" t="s">
        <v>115</v>
      </c>
      <c r="AR1693" s="1743" t="s">
        <v>2669</v>
      </c>
      <c r="AS1693" s="2135"/>
      <c r="AT1693" s="2135"/>
      <c r="AU1693" s="1212">
        <v>1</v>
      </c>
      <c r="AV1693" s="1212"/>
      <c r="AW1693" s="1212"/>
      <c r="AX1693" s="1212"/>
      <c r="AY1693" s="1212"/>
      <c r="AZ1693" s="1212"/>
      <c r="BA1693" s="1212"/>
      <c r="BB1693" s="1212"/>
      <c r="BC1693" s="1212"/>
      <c r="BD1693" s="1212"/>
      <c r="BE1693" s="1212"/>
      <c r="BF1693" s="2126">
        <v>0</v>
      </c>
      <c r="BG1693" s="2126">
        <v>0</v>
      </c>
      <c r="BH1693" s="2126">
        <v>702439.32000000007</v>
      </c>
      <c r="BI1693" s="2126">
        <v>0</v>
      </c>
      <c r="BJ1693" s="2126">
        <v>0</v>
      </c>
      <c r="BK1693" s="2126">
        <v>0</v>
      </c>
      <c r="BL1693" s="2126">
        <v>0</v>
      </c>
      <c r="BM1693" s="2126">
        <v>0</v>
      </c>
      <c r="BN1693" s="2126">
        <v>0</v>
      </c>
      <c r="BO1693" s="2126">
        <v>0</v>
      </c>
      <c r="BP1693" s="2126">
        <v>0</v>
      </c>
      <c r="BQ1693" s="2126">
        <v>0</v>
      </c>
      <c r="BR1693" s="2126">
        <v>0</v>
      </c>
    </row>
    <row r="1694" spans="1:70" s="1765" customFormat="1" ht="33">
      <c r="A1694" s="1272">
        <v>8001</v>
      </c>
      <c r="B1694" s="971" t="s">
        <v>2666</v>
      </c>
      <c r="C1694" s="1272">
        <v>8101</v>
      </c>
      <c r="D1694" s="971" t="s">
        <v>2666</v>
      </c>
      <c r="E1694" s="971" t="s">
        <v>2678</v>
      </c>
      <c r="F1694" s="971" t="s">
        <v>2694</v>
      </c>
      <c r="G1694" s="971" t="s">
        <v>2678</v>
      </c>
      <c r="H1694" s="971" t="s">
        <v>2695</v>
      </c>
      <c r="I1694" s="1273"/>
      <c r="J1694" s="971"/>
      <c r="K1694" s="971"/>
      <c r="L1694" s="971" t="s">
        <v>2669</v>
      </c>
      <c r="M1694" s="971" t="s">
        <v>2669</v>
      </c>
      <c r="N1694" s="971" t="s">
        <v>2669</v>
      </c>
      <c r="O1694" s="971" t="s">
        <v>2669</v>
      </c>
      <c r="P1694" s="971" t="s">
        <v>190</v>
      </c>
      <c r="Q1694" s="971" t="s">
        <v>2731</v>
      </c>
      <c r="R1694" s="1266"/>
      <c r="S1694" s="2106">
        <v>138</v>
      </c>
      <c r="T1694" s="1266" t="s">
        <v>2719</v>
      </c>
      <c r="U1694" s="1742"/>
      <c r="V1694" s="1742"/>
      <c r="W1694" s="1742"/>
      <c r="X1694" s="1742"/>
      <c r="Y1694" s="2106">
        <v>8202.67</v>
      </c>
      <c r="Z1694" s="2106"/>
      <c r="AA1694" s="2106"/>
      <c r="AB1694" s="2106"/>
      <c r="AC1694" s="2106"/>
      <c r="AD1694" s="1744">
        <v>1131968.46</v>
      </c>
      <c r="AE1694" s="2126">
        <v>0</v>
      </c>
      <c r="AF1694" s="2126">
        <v>0</v>
      </c>
      <c r="AG1694" s="1212">
        <v>1</v>
      </c>
      <c r="AH1694" s="1212">
        <v>0</v>
      </c>
      <c r="AI1694" s="1212">
        <v>0</v>
      </c>
      <c r="AJ1694" s="1212">
        <v>1</v>
      </c>
      <c r="AK1694" s="2126">
        <v>1131968.46</v>
      </c>
      <c r="AL1694" s="2126">
        <v>0</v>
      </c>
      <c r="AM1694" s="2126">
        <v>0</v>
      </c>
      <c r="AN1694" s="2126">
        <v>1131968.46</v>
      </c>
      <c r="AO1694" s="1743" t="s">
        <v>85</v>
      </c>
      <c r="AP1694" s="1743" t="s">
        <v>90</v>
      </c>
      <c r="AQ1694" s="1764" t="s">
        <v>115</v>
      </c>
      <c r="AR1694" s="1743" t="s">
        <v>2669</v>
      </c>
      <c r="AS1694" s="2135"/>
      <c r="AT1694" s="2135"/>
      <c r="AU1694" s="1212">
        <v>1</v>
      </c>
      <c r="AV1694" s="1212"/>
      <c r="AW1694" s="1212"/>
      <c r="AX1694" s="1212"/>
      <c r="AY1694" s="1212"/>
      <c r="AZ1694" s="1212"/>
      <c r="BA1694" s="1212"/>
      <c r="BB1694" s="1212"/>
      <c r="BC1694" s="1212"/>
      <c r="BD1694" s="1212"/>
      <c r="BE1694" s="1212"/>
      <c r="BF1694" s="2126">
        <v>0</v>
      </c>
      <c r="BG1694" s="2126">
        <v>0</v>
      </c>
      <c r="BH1694" s="2126">
        <v>1131968.46</v>
      </c>
      <c r="BI1694" s="2126">
        <v>0</v>
      </c>
      <c r="BJ1694" s="2126">
        <v>0</v>
      </c>
      <c r="BK1694" s="2126">
        <v>0</v>
      </c>
      <c r="BL1694" s="2126">
        <v>0</v>
      </c>
      <c r="BM1694" s="2126">
        <v>0</v>
      </c>
      <c r="BN1694" s="2126">
        <v>0</v>
      </c>
      <c r="BO1694" s="2126">
        <v>0</v>
      </c>
      <c r="BP1694" s="2126">
        <v>0</v>
      </c>
      <c r="BQ1694" s="2126">
        <v>0</v>
      </c>
      <c r="BR1694" s="2126">
        <v>0</v>
      </c>
    </row>
    <row r="1695" spans="1:70" s="1765" customFormat="1" ht="33">
      <c r="A1695" s="1272">
        <v>8001</v>
      </c>
      <c r="B1695" s="971" t="s">
        <v>2666</v>
      </c>
      <c r="C1695" s="1272">
        <v>8101</v>
      </c>
      <c r="D1695" s="971" t="s">
        <v>2666</v>
      </c>
      <c r="E1695" s="971" t="s">
        <v>2678</v>
      </c>
      <c r="F1695" s="971" t="s">
        <v>2694</v>
      </c>
      <c r="G1695" s="971" t="s">
        <v>2678</v>
      </c>
      <c r="H1695" s="971" t="s">
        <v>2695</v>
      </c>
      <c r="I1695" s="1273"/>
      <c r="J1695" s="971"/>
      <c r="K1695" s="971"/>
      <c r="L1695" s="971" t="s">
        <v>2669</v>
      </c>
      <c r="M1695" s="971" t="s">
        <v>2669</v>
      </c>
      <c r="N1695" s="971" t="s">
        <v>2669</v>
      </c>
      <c r="O1695" s="971" t="s">
        <v>2669</v>
      </c>
      <c r="P1695" s="971" t="s">
        <v>190</v>
      </c>
      <c r="Q1695" s="971" t="s">
        <v>2732</v>
      </c>
      <c r="R1695" s="1266"/>
      <c r="S1695" s="2106">
        <v>153</v>
      </c>
      <c r="T1695" s="1266" t="s">
        <v>2719</v>
      </c>
      <c r="U1695" s="1742"/>
      <c r="V1695" s="1742"/>
      <c r="W1695" s="1742"/>
      <c r="X1695" s="1742"/>
      <c r="Y1695" s="2106">
        <v>2785.99</v>
      </c>
      <c r="Z1695" s="2106"/>
      <c r="AA1695" s="2106"/>
      <c r="AB1695" s="2106"/>
      <c r="AC1695" s="2106"/>
      <c r="AD1695" s="1744">
        <v>426256.47</v>
      </c>
      <c r="AE1695" s="2126">
        <v>0</v>
      </c>
      <c r="AF1695" s="2126">
        <v>0</v>
      </c>
      <c r="AG1695" s="1212">
        <v>1</v>
      </c>
      <c r="AH1695" s="1212">
        <v>0</v>
      </c>
      <c r="AI1695" s="1212">
        <v>0</v>
      </c>
      <c r="AJ1695" s="1212">
        <v>1</v>
      </c>
      <c r="AK1695" s="2126">
        <v>426256.47</v>
      </c>
      <c r="AL1695" s="2126">
        <v>0</v>
      </c>
      <c r="AM1695" s="2126">
        <v>0</v>
      </c>
      <c r="AN1695" s="2126">
        <v>426256.47</v>
      </c>
      <c r="AO1695" s="1743" t="s">
        <v>85</v>
      </c>
      <c r="AP1695" s="1743" t="s">
        <v>90</v>
      </c>
      <c r="AQ1695" s="1764" t="s">
        <v>115</v>
      </c>
      <c r="AR1695" s="1743" t="s">
        <v>2669</v>
      </c>
      <c r="AS1695" s="2135"/>
      <c r="AT1695" s="2135"/>
      <c r="AU1695" s="1212">
        <v>1</v>
      </c>
      <c r="AV1695" s="1212"/>
      <c r="AW1695" s="1212"/>
      <c r="AX1695" s="1212"/>
      <c r="AY1695" s="1212"/>
      <c r="AZ1695" s="1212"/>
      <c r="BA1695" s="1212"/>
      <c r="BB1695" s="1212"/>
      <c r="BC1695" s="1212"/>
      <c r="BD1695" s="1212"/>
      <c r="BE1695" s="1212"/>
      <c r="BF1695" s="2126">
        <v>0</v>
      </c>
      <c r="BG1695" s="2126">
        <v>0</v>
      </c>
      <c r="BH1695" s="2126">
        <v>426256.47</v>
      </c>
      <c r="BI1695" s="2126">
        <v>0</v>
      </c>
      <c r="BJ1695" s="2126">
        <v>0</v>
      </c>
      <c r="BK1695" s="2126">
        <v>0</v>
      </c>
      <c r="BL1695" s="2126">
        <v>0</v>
      </c>
      <c r="BM1695" s="2126">
        <v>0</v>
      </c>
      <c r="BN1695" s="2126">
        <v>0</v>
      </c>
      <c r="BO1695" s="2126">
        <v>0</v>
      </c>
      <c r="BP1695" s="2126">
        <v>0</v>
      </c>
      <c r="BQ1695" s="2126">
        <v>0</v>
      </c>
      <c r="BR1695" s="2126">
        <v>0</v>
      </c>
    </row>
    <row r="1696" spans="1:70" s="1765" customFormat="1" ht="33">
      <c r="A1696" s="1272">
        <v>8001</v>
      </c>
      <c r="B1696" s="971" t="s">
        <v>2666</v>
      </c>
      <c r="C1696" s="1272">
        <v>8101</v>
      </c>
      <c r="D1696" s="971" t="s">
        <v>2666</v>
      </c>
      <c r="E1696" s="971" t="s">
        <v>2678</v>
      </c>
      <c r="F1696" s="971" t="s">
        <v>2694</v>
      </c>
      <c r="G1696" s="971" t="s">
        <v>2678</v>
      </c>
      <c r="H1696" s="971" t="s">
        <v>2695</v>
      </c>
      <c r="I1696" s="1273"/>
      <c r="J1696" s="971"/>
      <c r="K1696" s="971"/>
      <c r="L1696" s="971" t="s">
        <v>2669</v>
      </c>
      <c r="M1696" s="971" t="s">
        <v>2669</v>
      </c>
      <c r="N1696" s="971" t="s">
        <v>2669</v>
      </c>
      <c r="O1696" s="971" t="s">
        <v>2669</v>
      </c>
      <c r="P1696" s="971" t="s">
        <v>190</v>
      </c>
      <c r="Q1696" s="971" t="s">
        <v>2733</v>
      </c>
      <c r="R1696" s="1266"/>
      <c r="S1696" s="2106">
        <v>-13</v>
      </c>
      <c r="T1696" s="1266" t="s">
        <v>2719</v>
      </c>
      <c r="U1696" s="1742"/>
      <c r="V1696" s="1742"/>
      <c r="W1696" s="1742"/>
      <c r="X1696" s="1742"/>
      <c r="Y1696" s="2106">
        <v>15964.53</v>
      </c>
      <c r="Z1696" s="2106"/>
      <c r="AA1696" s="2106"/>
      <c r="AB1696" s="2106"/>
      <c r="AC1696" s="2106"/>
      <c r="AD1696" s="1744">
        <v>-207538.89</v>
      </c>
      <c r="AE1696" s="2126">
        <v>0</v>
      </c>
      <c r="AF1696" s="2126">
        <v>0</v>
      </c>
      <c r="AG1696" s="1212">
        <v>1</v>
      </c>
      <c r="AH1696" s="1212">
        <v>0</v>
      </c>
      <c r="AI1696" s="1212">
        <v>0</v>
      </c>
      <c r="AJ1696" s="1212">
        <v>1</v>
      </c>
      <c r="AK1696" s="2126">
        <v>-207538.89</v>
      </c>
      <c r="AL1696" s="2126">
        <v>0</v>
      </c>
      <c r="AM1696" s="2126">
        <v>0</v>
      </c>
      <c r="AN1696" s="2126">
        <v>-207538.89</v>
      </c>
      <c r="AO1696" s="1743" t="s">
        <v>85</v>
      </c>
      <c r="AP1696" s="1743" t="s">
        <v>96</v>
      </c>
      <c r="AQ1696" s="1764" t="s">
        <v>118</v>
      </c>
      <c r="AR1696" s="1743" t="s">
        <v>2669</v>
      </c>
      <c r="AS1696" s="2135"/>
      <c r="AT1696" s="2135"/>
      <c r="AU1696" s="1212">
        <v>1</v>
      </c>
      <c r="AV1696" s="1212"/>
      <c r="AW1696" s="1212"/>
      <c r="AX1696" s="1212"/>
      <c r="AY1696" s="1212"/>
      <c r="AZ1696" s="1212"/>
      <c r="BA1696" s="1212"/>
      <c r="BB1696" s="1212"/>
      <c r="BC1696" s="1212"/>
      <c r="BD1696" s="1212"/>
      <c r="BE1696" s="1212"/>
      <c r="BF1696" s="2126">
        <v>0</v>
      </c>
      <c r="BG1696" s="2126">
        <v>0</v>
      </c>
      <c r="BH1696" s="2126">
        <v>-207538.89</v>
      </c>
      <c r="BI1696" s="2126">
        <v>0</v>
      </c>
      <c r="BJ1696" s="2126">
        <v>0</v>
      </c>
      <c r="BK1696" s="2126">
        <v>0</v>
      </c>
      <c r="BL1696" s="2126">
        <v>0</v>
      </c>
      <c r="BM1696" s="2126">
        <v>0</v>
      </c>
      <c r="BN1696" s="2126">
        <v>0</v>
      </c>
      <c r="BO1696" s="2126">
        <v>0</v>
      </c>
      <c r="BP1696" s="2126">
        <v>0</v>
      </c>
      <c r="BQ1696" s="2126">
        <v>0</v>
      </c>
      <c r="BR1696" s="2126">
        <v>0</v>
      </c>
    </row>
    <row r="1697" spans="1:70" s="1765" customFormat="1" ht="33">
      <c r="A1697" s="1272">
        <v>8001</v>
      </c>
      <c r="B1697" s="971" t="s">
        <v>2666</v>
      </c>
      <c r="C1697" s="1272">
        <v>8101</v>
      </c>
      <c r="D1697" s="971" t="s">
        <v>2666</v>
      </c>
      <c r="E1697" s="971" t="s">
        <v>2678</v>
      </c>
      <c r="F1697" s="971" t="s">
        <v>2694</v>
      </c>
      <c r="G1697" s="971" t="s">
        <v>2678</v>
      </c>
      <c r="H1697" s="971" t="s">
        <v>2695</v>
      </c>
      <c r="I1697" s="1273"/>
      <c r="J1697" s="971"/>
      <c r="K1697" s="971"/>
      <c r="L1697" s="971" t="s">
        <v>2669</v>
      </c>
      <c r="M1697" s="971" t="s">
        <v>2669</v>
      </c>
      <c r="N1697" s="971" t="s">
        <v>2669</v>
      </c>
      <c r="O1697" s="971" t="s">
        <v>2669</v>
      </c>
      <c r="P1697" s="971" t="s">
        <v>190</v>
      </c>
      <c r="Q1697" s="971" t="s">
        <v>2734</v>
      </c>
      <c r="R1697" s="1266"/>
      <c r="S1697" s="2106">
        <v>-22</v>
      </c>
      <c r="T1697" s="1266" t="s">
        <v>2719</v>
      </c>
      <c r="U1697" s="1742"/>
      <c r="V1697" s="1742"/>
      <c r="W1697" s="1742"/>
      <c r="X1697" s="1742"/>
      <c r="Y1697" s="2106">
        <v>8202.67</v>
      </c>
      <c r="Z1697" s="2106"/>
      <c r="AA1697" s="2106"/>
      <c r="AB1697" s="2106"/>
      <c r="AC1697" s="2106"/>
      <c r="AD1697" s="1744">
        <v>-180458.74</v>
      </c>
      <c r="AE1697" s="2126">
        <v>0</v>
      </c>
      <c r="AF1697" s="2126">
        <v>0</v>
      </c>
      <c r="AG1697" s="1212">
        <v>1</v>
      </c>
      <c r="AH1697" s="1212">
        <v>0</v>
      </c>
      <c r="AI1697" s="1212">
        <v>0</v>
      </c>
      <c r="AJ1697" s="1212">
        <v>1</v>
      </c>
      <c r="AK1697" s="2126">
        <v>-180458.74</v>
      </c>
      <c r="AL1697" s="2126">
        <v>0</v>
      </c>
      <c r="AM1697" s="2126">
        <v>0</v>
      </c>
      <c r="AN1697" s="2126">
        <v>-180458.74</v>
      </c>
      <c r="AO1697" s="1743" t="s">
        <v>85</v>
      </c>
      <c r="AP1697" s="1743" t="s">
        <v>96</v>
      </c>
      <c r="AQ1697" s="1764" t="s">
        <v>118</v>
      </c>
      <c r="AR1697" s="1743" t="s">
        <v>2669</v>
      </c>
      <c r="AS1697" s="2135"/>
      <c r="AT1697" s="2135"/>
      <c r="AU1697" s="1212">
        <v>1</v>
      </c>
      <c r="AV1697" s="1212"/>
      <c r="AW1697" s="1212"/>
      <c r="AX1697" s="1212"/>
      <c r="AY1697" s="1212"/>
      <c r="AZ1697" s="1212"/>
      <c r="BA1697" s="1212"/>
      <c r="BB1697" s="1212"/>
      <c r="BC1697" s="1212"/>
      <c r="BD1697" s="1212"/>
      <c r="BE1697" s="1212"/>
      <c r="BF1697" s="2126">
        <v>0</v>
      </c>
      <c r="BG1697" s="2126">
        <v>0</v>
      </c>
      <c r="BH1697" s="2126">
        <v>-180458.74</v>
      </c>
      <c r="BI1697" s="2126">
        <v>0</v>
      </c>
      <c r="BJ1697" s="2126">
        <v>0</v>
      </c>
      <c r="BK1697" s="2126">
        <v>0</v>
      </c>
      <c r="BL1697" s="2126">
        <v>0</v>
      </c>
      <c r="BM1697" s="2126">
        <v>0</v>
      </c>
      <c r="BN1697" s="2126">
        <v>0</v>
      </c>
      <c r="BO1697" s="2126">
        <v>0</v>
      </c>
      <c r="BP1697" s="2126">
        <v>0</v>
      </c>
      <c r="BQ1697" s="2126">
        <v>0</v>
      </c>
      <c r="BR1697" s="2126">
        <v>0</v>
      </c>
    </row>
    <row r="1698" spans="1:70" s="1765" customFormat="1" ht="33">
      <c r="A1698" s="1272">
        <v>8001</v>
      </c>
      <c r="B1698" s="971" t="s">
        <v>2666</v>
      </c>
      <c r="C1698" s="1272">
        <v>8101</v>
      </c>
      <c r="D1698" s="971" t="s">
        <v>2666</v>
      </c>
      <c r="E1698" s="971" t="s">
        <v>2678</v>
      </c>
      <c r="F1698" s="971" t="s">
        <v>2694</v>
      </c>
      <c r="G1698" s="971" t="s">
        <v>2678</v>
      </c>
      <c r="H1698" s="971" t="s">
        <v>2695</v>
      </c>
      <c r="I1698" s="1273"/>
      <c r="J1698" s="971"/>
      <c r="K1698" s="971"/>
      <c r="L1698" s="971" t="s">
        <v>2669</v>
      </c>
      <c r="M1698" s="971" t="s">
        <v>2669</v>
      </c>
      <c r="N1698" s="971" t="s">
        <v>2669</v>
      </c>
      <c r="O1698" s="971" t="s">
        <v>2669</v>
      </c>
      <c r="P1698" s="971" t="s">
        <v>190</v>
      </c>
      <c r="Q1698" s="971" t="s">
        <v>2735</v>
      </c>
      <c r="R1698" s="1266"/>
      <c r="S1698" s="2106">
        <v>-9</v>
      </c>
      <c r="T1698" s="1266" t="s">
        <v>2719</v>
      </c>
      <c r="U1698" s="1742"/>
      <c r="V1698" s="1742"/>
      <c r="W1698" s="1742"/>
      <c r="X1698" s="1742"/>
      <c r="Y1698" s="2106">
        <v>2785.99</v>
      </c>
      <c r="Z1698" s="2106"/>
      <c r="AA1698" s="2106"/>
      <c r="AB1698" s="2106"/>
      <c r="AC1698" s="2106"/>
      <c r="AD1698" s="1744">
        <v>-25073.909999999996</v>
      </c>
      <c r="AE1698" s="2126">
        <v>0</v>
      </c>
      <c r="AF1698" s="2126">
        <v>0</v>
      </c>
      <c r="AG1698" s="1212">
        <v>1</v>
      </c>
      <c r="AH1698" s="1212">
        <v>0</v>
      </c>
      <c r="AI1698" s="1212">
        <v>0</v>
      </c>
      <c r="AJ1698" s="1212">
        <v>1</v>
      </c>
      <c r="AK1698" s="2126">
        <v>-25073.909999999996</v>
      </c>
      <c r="AL1698" s="2126">
        <v>0</v>
      </c>
      <c r="AM1698" s="2126">
        <v>0</v>
      </c>
      <c r="AN1698" s="2126">
        <v>-25073.909999999996</v>
      </c>
      <c r="AO1698" s="1743" t="s">
        <v>85</v>
      </c>
      <c r="AP1698" s="1743" t="s">
        <v>96</v>
      </c>
      <c r="AQ1698" s="1764" t="s">
        <v>118</v>
      </c>
      <c r="AR1698" s="1743" t="s">
        <v>2669</v>
      </c>
      <c r="AS1698" s="2135"/>
      <c r="AT1698" s="2135"/>
      <c r="AU1698" s="1212">
        <v>1</v>
      </c>
      <c r="AV1698" s="1212"/>
      <c r="AW1698" s="1212"/>
      <c r="AX1698" s="1212"/>
      <c r="AY1698" s="1212"/>
      <c r="AZ1698" s="1212"/>
      <c r="BA1698" s="1212"/>
      <c r="BB1698" s="1212"/>
      <c r="BC1698" s="1212"/>
      <c r="BD1698" s="1212"/>
      <c r="BE1698" s="1212"/>
      <c r="BF1698" s="2126">
        <v>0</v>
      </c>
      <c r="BG1698" s="2126">
        <v>0</v>
      </c>
      <c r="BH1698" s="2126">
        <v>-25073.909999999996</v>
      </c>
      <c r="BI1698" s="2126">
        <v>0</v>
      </c>
      <c r="BJ1698" s="2126">
        <v>0</v>
      </c>
      <c r="BK1698" s="2126">
        <v>0</v>
      </c>
      <c r="BL1698" s="2126">
        <v>0</v>
      </c>
      <c r="BM1698" s="2126">
        <v>0</v>
      </c>
      <c r="BN1698" s="2126">
        <v>0</v>
      </c>
      <c r="BO1698" s="2126">
        <v>0</v>
      </c>
      <c r="BP1698" s="2126">
        <v>0</v>
      </c>
      <c r="BQ1698" s="2126">
        <v>0</v>
      </c>
      <c r="BR1698" s="2126">
        <v>0</v>
      </c>
    </row>
    <row r="1699" spans="1:70" s="1765" customFormat="1" ht="33">
      <c r="A1699" s="1272">
        <v>8001</v>
      </c>
      <c r="B1699" s="971" t="s">
        <v>2666</v>
      </c>
      <c r="C1699" s="1272">
        <v>8101</v>
      </c>
      <c r="D1699" s="971" t="s">
        <v>2666</v>
      </c>
      <c r="E1699" s="971" t="s">
        <v>2678</v>
      </c>
      <c r="F1699" s="971" t="s">
        <v>2694</v>
      </c>
      <c r="G1699" s="971" t="s">
        <v>2678</v>
      </c>
      <c r="H1699" s="971" t="s">
        <v>2695</v>
      </c>
      <c r="I1699" s="1273"/>
      <c r="J1699" s="971"/>
      <c r="K1699" s="971"/>
      <c r="L1699" s="971" t="s">
        <v>2669</v>
      </c>
      <c r="M1699" s="971" t="s">
        <v>2669</v>
      </c>
      <c r="N1699" s="971" t="s">
        <v>2669</v>
      </c>
      <c r="O1699" s="971" t="s">
        <v>2669</v>
      </c>
      <c r="P1699" s="971" t="s">
        <v>190</v>
      </c>
      <c r="Q1699" s="971" t="s">
        <v>2736</v>
      </c>
      <c r="R1699" s="1266"/>
      <c r="S1699" s="2106">
        <v>10</v>
      </c>
      <c r="T1699" s="1266" t="s">
        <v>2719</v>
      </c>
      <c r="U1699" s="1742"/>
      <c r="V1699" s="1742"/>
      <c r="W1699" s="1742"/>
      <c r="X1699" s="1742"/>
      <c r="Y1699" s="2106">
        <v>15964.53</v>
      </c>
      <c r="Z1699" s="2106"/>
      <c r="AA1699" s="2106"/>
      <c r="AB1699" s="2106"/>
      <c r="AC1699" s="2106"/>
      <c r="AD1699" s="1744">
        <v>159645.30000000002</v>
      </c>
      <c r="AE1699" s="2126">
        <v>0</v>
      </c>
      <c r="AF1699" s="2126">
        <v>0</v>
      </c>
      <c r="AG1699" s="1212">
        <v>1</v>
      </c>
      <c r="AH1699" s="1212">
        <v>0</v>
      </c>
      <c r="AI1699" s="1212">
        <v>0</v>
      </c>
      <c r="AJ1699" s="1212">
        <v>1</v>
      </c>
      <c r="AK1699" s="2126">
        <v>159645.30000000002</v>
      </c>
      <c r="AL1699" s="2126">
        <v>0</v>
      </c>
      <c r="AM1699" s="2126">
        <v>0</v>
      </c>
      <c r="AN1699" s="2126">
        <v>159645.30000000002</v>
      </c>
      <c r="AO1699" s="1743" t="s">
        <v>85</v>
      </c>
      <c r="AP1699" s="1743" t="s">
        <v>90</v>
      </c>
      <c r="AQ1699" s="1764" t="s">
        <v>118</v>
      </c>
      <c r="AR1699" s="1743" t="s">
        <v>2669</v>
      </c>
      <c r="AS1699" s="2135"/>
      <c r="AT1699" s="2135"/>
      <c r="AU1699" s="1212">
        <v>1</v>
      </c>
      <c r="AV1699" s="1212"/>
      <c r="AW1699" s="1212"/>
      <c r="AX1699" s="1212"/>
      <c r="AY1699" s="1212"/>
      <c r="AZ1699" s="1212"/>
      <c r="BA1699" s="1212"/>
      <c r="BB1699" s="1212"/>
      <c r="BC1699" s="1212"/>
      <c r="BD1699" s="1212"/>
      <c r="BE1699" s="1212"/>
      <c r="BF1699" s="2126">
        <v>0</v>
      </c>
      <c r="BG1699" s="2126">
        <v>0</v>
      </c>
      <c r="BH1699" s="2126">
        <v>159645.30000000002</v>
      </c>
      <c r="BI1699" s="2126">
        <v>0</v>
      </c>
      <c r="BJ1699" s="2126">
        <v>0</v>
      </c>
      <c r="BK1699" s="2126">
        <v>0</v>
      </c>
      <c r="BL1699" s="2126">
        <v>0</v>
      </c>
      <c r="BM1699" s="2126">
        <v>0</v>
      </c>
      <c r="BN1699" s="2126">
        <v>0</v>
      </c>
      <c r="BO1699" s="2126">
        <v>0</v>
      </c>
      <c r="BP1699" s="2126">
        <v>0</v>
      </c>
      <c r="BQ1699" s="2126">
        <v>0</v>
      </c>
      <c r="BR1699" s="2126">
        <v>0</v>
      </c>
    </row>
    <row r="1700" spans="1:70" s="1765" customFormat="1" ht="33">
      <c r="A1700" s="1272">
        <v>8001</v>
      </c>
      <c r="B1700" s="971" t="s">
        <v>2666</v>
      </c>
      <c r="C1700" s="1272">
        <v>8101</v>
      </c>
      <c r="D1700" s="971" t="s">
        <v>2666</v>
      </c>
      <c r="E1700" s="971" t="s">
        <v>2678</v>
      </c>
      <c r="F1700" s="971" t="s">
        <v>2694</v>
      </c>
      <c r="G1700" s="971" t="s">
        <v>2678</v>
      </c>
      <c r="H1700" s="971" t="s">
        <v>2695</v>
      </c>
      <c r="I1700" s="1273"/>
      <c r="J1700" s="971"/>
      <c r="K1700" s="971"/>
      <c r="L1700" s="971" t="s">
        <v>2669</v>
      </c>
      <c r="M1700" s="971" t="s">
        <v>2669</v>
      </c>
      <c r="N1700" s="971" t="s">
        <v>2669</v>
      </c>
      <c r="O1700" s="971" t="s">
        <v>2669</v>
      </c>
      <c r="P1700" s="971" t="s">
        <v>190</v>
      </c>
      <c r="Q1700" s="971" t="s">
        <v>2737</v>
      </c>
      <c r="R1700" s="1266"/>
      <c r="S1700" s="2106">
        <v>4</v>
      </c>
      <c r="T1700" s="1266" t="s">
        <v>2719</v>
      </c>
      <c r="U1700" s="1742"/>
      <c r="V1700" s="1742"/>
      <c r="W1700" s="1742"/>
      <c r="X1700" s="1742"/>
      <c r="Y1700" s="2106">
        <v>8202.67</v>
      </c>
      <c r="Z1700" s="2106"/>
      <c r="AA1700" s="2106"/>
      <c r="AB1700" s="2106"/>
      <c r="AC1700" s="2106"/>
      <c r="AD1700" s="1744">
        <v>32810.68</v>
      </c>
      <c r="AE1700" s="2126">
        <v>0</v>
      </c>
      <c r="AF1700" s="2126">
        <v>0</v>
      </c>
      <c r="AG1700" s="1212">
        <v>1</v>
      </c>
      <c r="AH1700" s="1212">
        <v>0</v>
      </c>
      <c r="AI1700" s="1212">
        <v>0</v>
      </c>
      <c r="AJ1700" s="1212">
        <v>1</v>
      </c>
      <c r="AK1700" s="2126">
        <v>32810.68</v>
      </c>
      <c r="AL1700" s="2126">
        <v>0</v>
      </c>
      <c r="AM1700" s="2126">
        <v>0</v>
      </c>
      <c r="AN1700" s="2126">
        <v>32810.68</v>
      </c>
      <c r="AO1700" s="1743" t="s">
        <v>85</v>
      </c>
      <c r="AP1700" s="1743" t="s">
        <v>90</v>
      </c>
      <c r="AQ1700" s="1764" t="s">
        <v>118</v>
      </c>
      <c r="AR1700" s="1743" t="s">
        <v>2669</v>
      </c>
      <c r="AS1700" s="2135"/>
      <c r="AT1700" s="2135"/>
      <c r="AU1700" s="1212">
        <v>1</v>
      </c>
      <c r="AV1700" s="1212"/>
      <c r="AW1700" s="1212"/>
      <c r="AX1700" s="1212"/>
      <c r="AY1700" s="1212"/>
      <c r="AZ1700" s="1212"/>
      <c r="BA1700" s="1212"/>
      <c r="BB1700" s="1212"/>
      <c r="BC1700" s="1212"/>
      <c r="BD1700" s="1212"/>
      <c r="BE1700" s="1212"/>
      <c r="BF1700" s="2126">
        <v>0</v>
      </c>
      <c r="BG1700" s="2126">
        <v>0</v>
      </c>
      <c r="BH1700" s="2126">
        <v>32810.68</v>
      </c>
      <c r="BI1700" s="2126">
        <v>0</v>
      </c>
      <c r="BJ1700" s="2126">
        <v>0</v>
      </c>
      <c r="BK1700" s="2126">
        <v>0</v>
      </c>
      <c r="BL1700" s="2126">
        <v>0</v>
      </c>
      <c r="BM1700" s="2126">
        <v>0</v>
      </c>
      <c r="BN1700" s="2126">
        <v>0</v>
      </c>
      <c r="BO1700" s="2126">
        <v>0</v>
      </c>
      <c r="BP1700" s="2126">
        <v>0</v>
      </c>
      <c r="BQ1700" s="2126">
        <v>0</v>
      </c>
      <c r="BR1700" s="2126">
        <v>0</v>
      </c>
    </row>
    <row r="1701" spans="1:70" s="1765" customFormat="1" ht="33">
      <c r="A1701" s="1272">
        <v>8001</v>
      </c>
      <c r="B1701" s="971" t="s">
        <v>2666</v>
      </c>
      <c r="C1701" s="1272">
        <v>8101</v>
      </c>
      <c r="D1701" s="971" t="s">
        <v>2666</v>
      </c>
      <c r="E1701" s="971" t="s">
        <v>2678</v>
      </c>
      <c r="F1701" s="971" t="s">
        <v>2694</v>
      </c>
      <c r="G1701" s="971" t="s">
        <v>2678</v>
      </c>
      <c r="H1701" s="971" t="s">
        <v>2695</v>
      </c>
      <c r="I1701" s="1273"/>
      <c r="J1701" s="971"/>
      <c r="K1701" s="971"/>
      <c r="L1701" s="971" t="s">
        <v>2669</v>
      </c>
      <c r="M1701" s="971" t="s">
        <v>2669</v>
      </c>
      <c r="N1701" s="971" t="s">
        <v>2669</v>
      </c>
      <c r="O1701" s="971" t="s">
        <v>2669</v>
      </c>
      <c r="P1701" s="971" t="s">
        <v>190</v>
      </c>
      <c r="Q1701" s="971" t="s">
        <v>2738</v>
      </c>
      <c r="R1701" s="1266"/>
      <c r="S1701" s="2106">
        <v>8</v>
      </c>
      <c r="T1701" s="1266" t="s">
        <v>2719</v>
      </c>
      <c r="U1701" s="1742"/>
      <c r="V1701" s="1742"/>
      <c r="W1701" s="1742"/>
      <c r="X1701" s="1742"/>
      <c r="Y1701" s="2106">
        <v>2785.99</v>
      </c>
      <c r="Z1701" s="2106"/>
      <c r="AA1701" s="2106"/>
      <c r="AB1701" s="2106"/>
      <c r="AC1701" s="2106"/>
      <c r="AD1701" s="1744">
        <v>22287.919999999998</v>
      </c>
      <c r="AE1701" s="2126">
        <v>0</v>
      </c>
      <c r="AF1701" s="2126">
        <v>0</v>
      </c>
      <c r="AG1701" s="1212">
        <v>1</v>
      </c>
      <c r="AH1701" s="1212">
        <v>0</v>
      </c>
      <c r="AI1701" s="1212">
        <v>0</v>
      </c>
      <c r="AJ1701" s="1212">
        <v>1</v>
      </c>
      <c r="AK1701" s="2126">
        <v>22287.919999999998</v>
      </c>
      <c r="AL1701" s="2126">
        <v>0</v>
      </c>
      <c r="AM1701" s="2126">
        <v>0</v>
      </c>
      <c r="AN1701" s="2126">
        <v>22287.919999999998</v>
      </c>
      <c r="AO1701" s="1743" t="s">
        <v>85</v>
      </c>
      <c r="AP1701" s="1743" t="s">
        <v>90</v>
      </c>
      <c r="AQ1701" s="1764" t="s">
        <v>118</v>
      </c>
      <c r="AR1701" s="1743" t="s">
        <v>2669</v>
      </c>
      <c r="AS1701" s="2135"/>
      <c r="AT1701" s="2135"/>
      <c r="AU1701" s="1212">
        <v>1</v>
      </c>
      <c r="AV1701" s="1212"/>
      <c r="AW1701" s="1212"/>
      <c r="AX1701" s="1212"/>
      <c r="AY1701" s="1212"/>
      <c r="AZ1701" s="1212"/>
      <c r="BA1701" s="1212"/>
      <c r="BB1701" s="1212"/>
      <c r="BC1701" s="1212"/>
      <c r="BD1701" s="1212"/>
      <c r="BE1701" s="1212"/>
      <c r="BF1701" s="2126">
        <v>0</v>
      </c>
      <c r="BG1701" s="2126">
        <v>0</v>
      </c>
      <c r="BH1701" s="2126">
        <v>22287.919999999998</v>
      </c>
      <c r="BI1701" s="2126">
        <v>0</v>
      </c>
      <c r="BJ1701" s="2126">
        <v>0</v>
      </c>
      <c r="BK1701" s="2126">
        <v>0</v>
      </c>
      <c r="BL1701" s="2126">
        <v>0</v>
      </c>
      <c r="BM1701" s="2126">
        <v>0</v>
      </c>
      <c r="BN1701" s="2126">
        <v>0</v>
      </c>
      <c r="BO1701" s="2126">
        <v>0</v>
      </c>
      <c r="BP1701" s="2126">
        <v>0</v>
      </c>
      <c r="BQ1701" s="2126">
        <v>0</v>
      </c>
      <c r="BR1701" s="2126">
        <v>0</v>
      </c>
    </row>
    <row r="1702" spans="1:70" s="1765" customFormat="1" ht="33">
      <c r="A1702" s="1272">
        <v>8001</v>
      </c>
      <c r="B1702" s="971" t="s">
        <v>2666</v>
      </c>
      <c r="C1702" s="1272">
        <v>8101</v>
      </c>
      <c r="D1702" s="971" t="s">
        <v>2666</v>
      </c>
      <c r="E1702" s="971" t="s">
        <v>2678</v>
      </c>
      <c r="F1702" s="971" t="s">
        <v>2694</v>
      </c>
      <c r="G1702" s="971" t="s">
        <v>2678</v>
      </c>
      <c r="H1702" s="971" t="s">
        <v>2695</v>
      </c>
      <c r="I1702" s="1273"/>
      <c r="J1702" s="971"/>
      <c r="K1702" s="971"/>
      <c r="L1702" s="971" t="s">
        <v>2669</v>
      </c>
      <c r="M1702" s="971" t="s">
        <v>2669</v>
      </c>
      <c r="N1702" s="971" t="s">
        <v>2669</v>
      </c>
      <c r="O1702" s="971" t="s">
        <v>2669</v>
      </c>
      <c r="P1702" s="971" t="s">
        <v>190</v>
      </c>
      <c r="Q1702" s="971" t="s">
        <v>2739</v>
      </c>
      <c r="R1702" s="1266" t="s">
        <v>2740</v>
      </c>
      <c r="S1702" s="2106">
        <v>2</v>
      </c>
      <c r="T1702" s="1266" t="s">
        <v>2719</v>
      </c>
      <c r="U1702" s="1742"/>
      <c r="V1702" s="1742"/>
      <c r="W1702" s="1742"/>
      <c r="X1702" s="1742"/>
      <c r="Y1702" s="2106">
        <v>15964.53</v>
      </c>
      <c r="Z1702" s="2106"/>
      <c r="AA1702" s="2106"/>
      <c r="AB1702" s="2106"/>
      <c r="AC1702" s="2106"/>
      <c r="AD1702" s="1744">
        <v>31929.06</v>
      </c>
      <c r="AE1702" s="2126">
        <v>0</v>
      </c>
      <c r="AF1702" s="2126">
        <v>0</v>
      </c>
      <c r="AG1702" s="1212">
        <v>1</v>
      </c>
      <c r="AH1702" s="1212">
        <v>0</v>
      </c>
      <c r="AI1702" s="1212">
        <v>0</v>
      </c>
      <c r="AJ1702" s="1212">
        <v>1</v>
      </c>
      <c r="AK1702" s="2126">
        <v>31929.06</v>
      </c>
      <c r="AL1702" s="2126">
        <v>0</v>
      </c>
      <c r="AM1702" s="2126">
        <v>0</v>
      </c>
      <c r="AN1702" s="2126">
        <v>31929.06</v>
      </c>
      <c r="AO1702" s="1743" t="s">
        <v>85</v>
      </c>
      <c r="AP1702" s="1743" t="s">
        <v>90</v>
      </c>
      <c r="AQ1702" s="1764" t="s">
        <v>118</v>
      </c>
      <c r="AR1702" s="1743" t="s">
        <v>2669</v>
      </c>
      <c r="AS1702" s="2135"/>
      <c r="AT1702" s="2135"/>
      <c r="AU1702" s="1212">
        <v>1</v>
      </c>
      <c r="AV1702" s="1212"/>
      <c r="AW1702" s="1212"/>
      <c r="AX1702" s="1212"/>
      <c r="AY1702" s="1212"/>
      <c r="AZ1702" s="1212"/>
      <c r="BA1702" s="1212"/>
      <c r="BB1702" s="1212"/>
      <c r="BC1702" s="1212"/>
      <c r="BD1702" s="1212"/>
      <c r="BE1702" s="1212"/>
      <c r="BF1702" s="2126">
        <v>0</v>
      </c>
      <c r="BG1702" s="2126">
        <v>0</v>
      </c>
      <c r="BH1702" s="2126">
        <v>31929.06</v>
      </c>
      <c r="BI1702" s="2126">
        <v>0</v>
      </c>
      <c r="BJ1702" s="2126">
        <v>0</v>
      </c>
      <c r="BK1702" s="2126">
        <v>0</v>
      </c>
      <c r="BL1702" s="2126">
        <v>0</v>
      </c>
      <c r="BM1702" s="2126">
        <v>0</v>
      </c>
      <c r="BN1702" s="2126">
        <v>0</v>
      </c>
      <c r="BO1702" s="2126">
        <v>0</v>
      </c>
      <c r="BP1702" s="2126">
        <v>0</v>
      </c>
      <c r="BQ1702" s="2126">
        <v>0</v>
      </c>
      <c r="BR1702" s="2126">
        <v>0</v>
      </c>
    </row>
    <row r="1703" spans="1:70" s="1765" customFormat="1" ht="33">
      <c r="A1703" s="1272">
        <v>8001</v>
      </c>
      <c r="B1703" s="971" t="s">
        <v>2666</v>
      </c>
      <c r="C1703" s="1272">
        <v>8101</v>
      </c>
      <c r="D1703" s="971" t="s">
        <v>2666</v>
      </c>
      <c r="E1703" s="971" t="s">
        <v>2678</v>
      </c>
      <c r="F1703" s="971" t="s">
        <v>2694</v>
      </c>
      <c r="G1703" s="971" t="s">
        <v>2678</v>
      </c>
      <c r="H1703" s="971" t="s">
        <v>2695</v>
      </c>
      <c r="I1703" s="1273"/>
      <c r="J1703" s="971"/>
      <c r="K1703" s="971"/>
      <c r="L1703" s="971" t="s">
        <v>2669</v>
      </c>
      <c r="M1703" s="971" t="s">
        <v>2669</v>
      </c>
      <c r="N1703" s="971" t="s">
        <v>2669</v>
      </c>
      <c r="O1703" s="971" t="s">
        <v>2669</v>
      </c>
      <c r="P1703" s="971" t="s">
        <v>190</v>
      </c>
      <c r="Q1703" s="971" t="s">
        <v>2741</v>
      </c>
      <c r="R1703" s="1266" t="s">
        <v>2313</v>
      </c>
      <c r="S1703" s="2106">
        <v>1</v>
      </c>
      <c r="T1703" s="1266" t="s">
        <v>2719</v>
      </c>
      <c r="U1703" s="1742"/>
      <c r="V1703" s="1742"/>
      <c r="W1703" s="1742"/>
      <c r="X1703" s="1742"/>
      <c r="Y1703" s="2106">
        <v>15964.53</v>
      </c>
      <c r="Z1703" s="2106"/>
      <c r="AA1703" s="2106"/>
      <c r="AB1703" s="2106"/>
      <c r="AC1703" s="2106"/>
      <c r="AD1703" s="1744">
        <v>15964.53</v>
      </c>
      <c r="AE1703" s="2126">
        <v>0</v>
      </c>
      <c r="AF1703" s="2126">
        <v>0</v>
      </c>
      <c r="AG1703" s="1212">
        <v>1</v>
      </c>
      <c r="AH1703" s="1212">
        <v>0</v>
      </c>
      <c r="AI1703" s="1212">
        <v>0</v>
      </c>
      <c r="AJ1703" s="1212">
        <v>1</v>
      </c>
      <c r="AK1703" s="2126">
        <v>15964.53</v>
      </c>
      <c r="AL1703" s="2126">
        <v>0</v>
      </c>
      <c r="AM1703" s="2126">
        <v>0</v>
      </c>
      <c r="AN1703" s="2126">
        <v>15964.53</v>
      </c>
      <c r="AO1703" s="1743" t="s">
        <v>85</v>
      </c>
      <c r="AP1703" s="1743" t="s">
        <v>90</v>
      </c>
      <c r="AQ1703" s="1764">
        <v>2023</v>
      </c>
      <c r="AR1703" s="1743" t="s">
        <v>2669</v>
      </c>
      <c r="AS1703" s="2135"/>
      <c r="AT1703" s="2135"/>
      <c r="AU1703" s="1212">
        <v>1</v>
      </c>
      <c r="AV1703" s="1212"/>
      <c r="AW1703" s="1212"/>
      <c r="AX1703" s="1212"/>
      <c r="AY1703" s="1212"/>
      <c r="AZ1703" s="1212"/>
      <c r="BA1703" s="1212"/>
      <c r="BB1703" s="1212"/>
      <c r="BC1703" s="1212"/>
      <c r="BD1703" s="1212"/>
      <c r="BE1703" s="1212"/>
      <c r="BF1703" s="2126">
        <v>0</v>
      </c>
      <c r="BG1703" s="2126">
        <v>0</v>
      </c>
      <c r="BH1703" s="2126">
        <v>15964.53</v>
      </c>
      <c r="BI1703" s="2126">
        <v>0</v>
      </c>
      <c r="BJ1703" s="2126">
        <v>0</v>
      </c>
      <c r="BK1703" s="2126">
        <v>0</v>
      </c>
      <c r="BL1703" s="2126">
        <v>0</v>
      </c>
      <c r="BM1703" s="2126">
        <v>0</v>
      </c>
      <c r="BN1703" s="2126">
        <v>0</v>
      </c>
      <c r="BO1703" s="2126">
        <v>0</v>
      </c>
      <c r="BP1703" s="2126">
        <v>0</v>
      </c>
      <c r="BQ1703" s="2126">
        <v>0</v>
      </c>
      <c r="BR1703" s="2126">
        <v>0</v>
      </c>
    </row>
    <row r="1704" spans="1:70" s="1765" customFormat="1" ht="49.5">
      <c r="A1704" s="1272">
        <v>8000</v>
      </c>
      <c r="B1704" s="971" t="s">
        <v>2666</v>
      </c>
      <c r="C1704" s="1272">
        <v>8100</v>
      </c>
      <c r="D1704" s="971" t="s">
        <v>2666</v>
      </c>
      <c r="E1704" s="971" t="s">
        <v>2678</v>
      </c>
      <c r="F1704" s="971" t="s">
        <v>2682</v>
      </c>
      <c r="G1704" s="971" t="s">
        <v>2678</v>
      </c>
      <c r="H1704" s="971" t="s">
        <v>2742</v>
      </c>
      <c r="I1704" s="1273"/>
      <c r="J1704" s="971"/>
      <c r="K1704" s="971"/>
      <c r="L1704" s="971" t="s">
        <v>2669</v>
      </c>
      <c r="M1704" s="971" t="s">
        <v>2669</v>
      </c>
      <c r="N1704" s="971" t="s">
        <v>2669</v>
      </c>
      <c r="O1704" s="971" t="s">
        <v>2669</v>
      </c>
      <c r="P1704" s="971"/>
      <c r="Q1704" s="971" t="s">
        <v>2742</v>
      </c>
      <c r="R1704" s="1266"/>
      <c r="S1704" s="2106"/>
      <c r="T1704" s="1266"/>
      <c r="U1704" s="1742"/>
      <c r="V1704" s="1742"/>
      <c r="W1704" s="1742"/>
      <c r="X1704" s="1742"/>
      <c r="Y1704" s="2106"/>
      <c r="Z1704" s="2106"/>
      <c r="AA1704" s="2106"/>
      <c r="AB1704" s="2106"/>
      <c r="AC1704" s="2106"/>
      <c r="AD1704" s="1744">
        <v>0</v>
      </c>
      <c r="AE1704" s="2126">
        <v>0</v>
      </c>
      <c r="AF1704" s="2126">
        <v>0</v>
      </c>
      <c r="AG1704" s="1212">
        <v>1</v>
      </c>
      <c r="AH1704" s="1212">
        <v>0</v>
      </c>
      <c r="AI1704" s="1212">
        <v>0</v>
      </c>
      <c r="AJ1704" s="1212">
        <v>1</v>
      </c>
      <c r="AK1704" s="2126">
        <v>0</v>
      </c>
      <c r="AL1704" s="2126">
        <v>0</v>
      </c>
      <c r="AM1704" s="2126">
        <v>0</v>
      </c>
      <c r="AN1704" s="2126">
        <v>0</v>
      </c>
      <c r="AO1704" s="1743" t="s">
        <v>85</v>
      </c>
      <c r="AP1704" s="1743"/>
      <c r="AQ1704" s="1764">
        <v>2014</v>
      </c>
      <c r="AR1704" s="1743" t="s">
        <v>2669</v>
      </c>
      <c r="AS1704" s="2135"/>
      <c r="AT1704" s="2135"/>
      <c r="AU1704" s="1212">
        <v>1</v>
      </c>
      <c r="AV1704" s="1212"/>
      <c r="AW1704" s="1212"/>
      <c r="AX1704" s="1212"/>
      <c r="AY1704" s="1212"/>
      <c r="AZ1704" s="1212"/>
      <c r="BA1704" s="1212"/>
      <c r="BB1704" s="1212"/>
      <c r="BC1704" s="1212"/>
      <c r="BD1704" s="1212"/>
      <c r="BE1704" s="1212"/>
      <c r="BF1704" s="2126">
        <v>0</v>
      </c>
      <c r="BG1704" s="2126">
        <v>0</v>
      </c>
      <c r="BH1704" s="2126">
        <v>0</v>
      </c>
      <c r="BI1704" s="2126">
        <v>0</v>
      </c>
      <c r="BJ1704" s="2126">
        <v>0</v>
      </c>
      <c r="BK1704" s="2126">
        <v>0</v>
      </c>
      <c r="BL1704" s="2126">
        <v>0</v>
      </c>
      <c r="BM1704" s="2126">
        <v>0</v>
      </c>
      <c r="BN1704" s="2126">
        <v>0</v>
      </c>
      <c r="BO1704" s="2126">
        <v>0</v>
      </c>
      <c r="BP1704" s="2126">
        <v>0</v>
      </c>
      <c r="BQ1704" s="2126">
        <v>0</v>
      </c>
      <c r="BR1704" s="2126">
        <v>0</v>
      </c>
    </row>
    <row r="1705" spans="1:70" s="1765" customFormat="1" ht="49.5">
      <c r="A1705" s="1272">
        <v>8000</v>
      </c>
      <c r="B1705" s="971" t="s">
        <v>2666</v>
      </c>
      <c r="C1705" s="1272">
        <v>8100</v>
      </c>
      <c r="D1705" s="971" t="s">
        <v>2666</v>
      </c>
      <c r="E1705" s="971" t="s">
        <v>2678</v>
      </c>
      <c r="F1705" s="971" t="s">
        <v>2694</v>
      </c>
      <c r="G1705" s="971" t="s">
        <v>2678</v>
      </c>
      <c r="H1705" s="971" t="s">
        <v>2743</v>
      </c>
      <c r="I1705" s="1273"/>
      <c r="J1705" s="971"/>
      <c r="K1705" s="971"/>
      <c r="L1705" s="971" t="s">
        <v>2669</v>
      </c>
      <c r="M1705" s="971" t="s">
        <v>2669</v>
      </c>
      <c r="N1705" s="971" t="s">
        <v>2669</v>
      </c>
      <c r="O1705" s="971" t="s">
        <v>2669</v>
      </c>
      <c r="P1705" s="971"/>
      <c r="Q1705" s="971" t="s">
        <v>2743</v>
      </c>
      <c r="R1705" s="1266"/>
      <c r="S1705" s="2106"/>
      <c r="T1705" s="1266"/>
      <c r="U1705" s="1742"/>
      <c r="V1705" s="1742"/>
      <c r="W1705" s="1742"/>
      <c r="X1705" s="1742"/>
      <c r="Y1705" s="2106"/>
      <c r="Z1705" s="2106"/>
      <c r="AA1705" s="2106"/>
      <c r="AB1705" s="2106"/>
      <c r="AC1705" s="2106"/>
      <c r="AD1705" s="1744">
        <v>868473.21580779681</v>
      </c>
      <c r="AE1705" s="2126">
        <v>0</v>
      </c>
      <c r="AF1705" s="2126">
        <v>0</v>
      </c>
      <c r="AG1705" s="1212">
        <v>1</v>
      </c>
      <c r="AH1705" s="1212">
        <v>0</v>
      </c>
      <c r="AI1705" s="1212">
        <v>0</v>
      </c>
      <c r="AJ1705" s="1212">
        <v>1</v>
      </c>
      <c r="AK1705" s="2126">
        <v>868473.21580779681</v>
      </c>
      <c r="AL1705" s="2126">
        <v>0</v>
      </c>
      <c r="AM1705" s="2126">
        <v>0</v>
      </c>
      <c r="AN1705" s="2126">
        <v>868473.21580779681</v>
      </c>
      <c r="AO1705" s="1743" t="s">
        <v>85</v>
      </c>
      <c r="AP1705" s="1743" t="s">
        <v>90</v>
      </c>
      <c r="AQ1705" s="1764">
        <v>2022</v>
      </c>
      <c r="AR1705" s="1743" t="s">
        <v>2669</v>
      </c>
      <c r="AS1705" s="2135"/>
      <c r="AT1705" s="2135"/>
      <c r="AU1705" s="1212">
        <v>0.18</v>
      </c>
      <c r="AV1705" s="1212">
        <v>0.18</v>
      </c>
      <c r="AW1705" s="1212">
        <v>0.18</v>
      </c>
      <c r="AX1705" s="1212">
        <v>0.1</v>
      </c>
      <c r="AY1705" s="1212">
        <v>0.1</v>
      </c>
      <c r="AZ1705" s="1212">
        <v>7.0000000000000007E-2</v>
      </c>
      <c r="BA1705" s="1212">
        <v>0.05</v>
      </c>
      <c r="BB1705" s="1212">
        <v>0.05</v>
      </c>
      <c r="BC1705" s="1212">
        <v>0.02</v>
      </c>
      <c r="BD1705" s="1212">
        <v>0.02</v>
      </c>
      <c r="BE1705" s="1212">
        <v>0.05</v>
      </c>
      <c r="BF1705" s="2126">
        <v>0</v>
      </c>
      <c r="BG1705" s="2126">
        <v>0</v>
      </c>
      <c r="BH1705" s="2126">
        <v>156325.17884540342</v>
      </c>
      <c r="BI1705" s="2126">
        <v>156325.17884540342</v>
      </c>
      <c r="BJ1705" s="2126">
        <v>156325.17884540342</v>
      </c>
      <c r="BK1705" s="2126">
        <v>86847.321580779681</v>
      </c>
      <c r="BL1705" s="2126">
        <v>86847.321580779681</v>
      </c>
      <c r="BM1705" s="2126">
        <v>60793.125106545784</v>
      </c>
      <c r="BN1705" s="2126">
        <v>43423.66079038984</v>
      </c>
      <c r="BO1705" s="2126">
        <v>43423.66079038984</v>
      </c>
      <c r="BP1705" s="2126">
        <v>17369.464316155936</v>
      </c>
      <c r="BQ1705" s="2126">
        <v>17369.464316155936</v>
      </c>
      <c r="BR1705" s="2126">
        <v>43423.66079038984</v>
      </c>
    </row>
    <row r="1706" spans="1:70" s="1765" customFormat="1" ht="49.5">
      <c r="A1706" s="1272">
        <v>8000</v>
      </c>
      <c r="B1706" s="971" t="s">
        <v>2666</v>
      </c>
      <c r="C1706" s="1272">
        <v>8100</v>
      </c>
      <c r="D1706" s="971" t="s">
        <v>2666</v>
      </c>
      <c r="E1706" s="971" t="s">
        <v>2678</v>
      </c>
      <c r="F1706" s="971" t="s">
        <v>2694</v>
      </c>
      <c r="G1706" s="971" t="s">
        <v>2678</v>
      </c>
      <c r="H1706" s="971" t="s">
        <v>2743</v>
      </c>
      <c r="I1706" s="1273"/>
      <c r="J1706" s="971"/>
      <c r="K1706" s="971"/>
      <c r="L1706" s="971" t="s">
        <v>2669</v>
      </c>
      <c r="M1706" s="971" t="s">
        <v>2669</v>
      </c>
      <c r="N1706" s="971" t="s">
        <v>2669</v>
      </c>
      <c r="O1706" s="971" t="s">
        <v>2669</v>
      </c>
      <c r="P1706" s="971"/>
      <c r="Q1706" s="971" t="s">
        <v>2743</v>
      </c>
      <c r="R1706" s="1266"/>
      <c r="S1706" s="2106"/>
      <c r="T1706" s="1266"/>
      <c r="U1706" s="1742"/>
      <c r="V1706" s="1742"/>
      <c r="W1706" s="1742"/>
      <c r="X1706" s="1742"/>
      <c r="Y1706" s="2106"/>
      <c r="Z1706" s="2106"/>
      <c r="AA1706" s="2106"/>
      <c r="AB1706" s="2106"/>
      <c r="AC1706" s="2106"/>
      <c r="AD1706" s="1744">
        <v>826800</v>
      </c>
      <c r="AE1706" s="2126">
        <v>0</v>
      </c>
      <c r="AF1706" s="2126">
        <v>0</v>
      </c>
      <c r="AG1706" s="1212">
        <v>1</v>
      </c>
      <c r="AH1706" s="1212">
        <v>0</v>
      </c>
      <c r="AI1706" s="1212">
        <v>0</v>
      </c>
      <c r="AJ1706" s="1212">
        <v>1</v>
      </c>
      <c r="AK1706" s="2126">
        <v>826800</v>
      </c>
      <c r="AL1706" s="2126">
        <v>0</v>
      </c>
      <c r="AM1706" s="2126">
        <v>0</v>
      </c>
      <c r="AN1706" s="2126">
        <v>826800</v>
      </c>
      <c r="AO1706" s="1743" t="s">
        <v>85</v>
      </c>
      <c r="AP1706" s="1743" t="s">
        <v>90</v>
      </c>
      <c r="AQ1706" s="1764">
        <v>2021</v>
      </c>
      <c r="AR1706" s="1743" t="s">
        <v>2669</v>
      </c>
      <c r="AS1706" s="2135"/>
      <c r="AT1706" s="2135"/>
      <c r="AU1706" s="1212">
        <v>0.18</v>
      </c>
      <c r="AV1706" s="1212">
        <v>0.18</v>
      </c>
      <c r="AW1706" s="1212">
        <v>0.18</v>
      </c>
      <c r="AX1706" s="1212">
        <v>0.1</v>
      </c>
      <c r="AY1706" s="1212">
        <v>0.1</v>
      </c>
      <c r="AZ1706" s="1212">
        <v>7.0000000000000007E-2</v>
      </c>
      <c r="BA1706" s="1212">
        <v>0.05</v>
      </c>
      <c r="BB1706" s="1212">
        <v>0.05</v>
      </c>
      <c r="BC1706" s="1212">
        <v>0.02</v>
      </c>
      <c r="BD1706" s="1212">
        <v>0.02</v>
      </c>
      <c r="BE1706" s="1212">
        <v>0.05</v>
      </c>
      <c r="BF1706" s="2126">
        <v>0</v>
      </c>
      <c r="BG1706" s="2126">
        <v>0</v>
      </c>
      <c r="BH1706" s="2126">
        <v>148824</v>
      </c>
      <c r="BI1706" s="2126">
        <v>148824</v>
      </c>
      <c r="BJ1706" s="2126">
        <v>148824</v>
      </c>
      <c r="BK1706" s="2126">
        <v>82680</v>
      </c>
      <c r="BL1706" s="2126">
        <v>82680</v>
      </c>
      <c r="BM1706" s="2126">
        <v>57876.000000000007</v>
      </c>
      <c r="BN1706" s="2126">
        <v>41340</v>
      </c>
      <c r="BO1706" s="2126">
        <v>41340</v>
      </c>
      <c r="BP1706" s="2126">
        <v>16536</v>
      </c>
      <c r="BQ1706" s="2126">
        <v>16536</v>
      </c>
      <c r="BR1706" s="2126">
        <v>41340</v>
      </c>
    </row>
    <row r="1707" spans="1:70" s="1765" customFormat="1" ht="49.5">
      <c r="A1707" s="1272">
        <v>8000</v>
      </c>
      <c r="B1707" s="971" t="s">
        <v>2666</v>
      </c>
      <c r="C1707" s="1272">
        <v>8100</v>
      </c>
      <c r="D1707" s="971" t="s">
        <v>2666</v>
      </c>
      <c r="E1707" s="971" t="s">
        <v>2678</v>
      </c>
      <c r="F1707" s="971" t="s">
        <v>2694</v>
      </c>
      <c r="G1707" s="971" t="s">
        <v>2678</v>
      </c>
      <c r="H1707" s="971" t="s">
        <v>2743</v>
      </c>
      <c r="I1707" s="1273"/>
      <c r="J1707" s="971"/>
      <c r="K1707" s="971"/>
      <c r="L1707" s="971" t="s">
        <v>2669</v>
      </c>
      <c r="M1707" s="971" t="s">
        <v>2669</v>
      </c>
      <c r="N1707" s="971" t="s">
        <v>2669</v>
      </c>
      <c r="O1707" s="971" t="s">
        <v>2669</v>
      </c>
      <c r="P1707" s="971"/>
      <c r="Q1707" s="971" t="s">
        <v>2743</v>
      </c>
      <c r="R1707" s="1266"/>
      <c r="S1707" s="2106"/>
      <c r="T1707" s="1266"/>
      <c r="U1707" s="1742"/>
      <c r="V1707" s="1742"/>
      <c r="W1707" s="1742"/>
      <c r="X1707" s="1742"/>
      <c r="Y1707" s="2106"/>
      <c r="Z1707" s="2106"/>
      <c r="AA1707" s="2106"/>
      <c r="AB1707" s="2106"/>
      <c r="AC1707" s="2106"/>
      <c r="AD1707" s="1744">
        <v>0</v>
      </c>
      <c r="AE1707" s="2126">
        <v>0</v>
      </c>
      <c r="AF1707" s="2126">
        <v>0</v>
      </c>
      <c r="AG1707" s="1212">
        <v>1</v>
      </c>
      <c r="AH1707" s="1212">
        <v>0</v>
      </c>
      <c r="AI1707" s="1212">
        <v>0</v>
      </c>
      <c r="AJ1707" s="1212">
        <v>1</v>
      </c>
      <c r="AK1707" s="2126">
        <v>0</v>
      </c>
      <c r="AL1707" s="2126">
        <v>0</v>
      </c>
      <c r="AM1707" s="2126">
        <v>0</v>
      </c>
      <c r="AN1707" s="2126">
        <v>0</v>
      </c>
      <c r="AO1707" s="1743" t="s">
        <v>85</v>
      </c>
      <c r="AP1707" s="1743" t="s">
        <v>90</v>
      </c>
      <c r="AQ1707" s="1764">
        <v>2020</v>
      </c>
      <c r="AR1707" s="1743" t="s">
        <v>2669</v>
      </c>
      <c r="AS1707" s="2135"/>
      <c r="AT1707" s="2135"/>
      <c r="AU1707" s="1212">
        <v>0.18</v>
      </c>
      <c r="AV1707" s="1212">
        <v>0.18</v>
      </c>
      <c r="AW1707" s="1212">
        <v>0.18</v>
      </c>
      <c r="AX1707" s="1212">
        <v>0.1</v>
      </c>
      <c r="AY1707" s="1212">
        <v>0.1</v>
      </c>
      <c r="AZ1707" s="1212">
        <v>7.0000000000000007E-2</v>
      </c>
      <c r="BA1707" s="1212">
        <v>0.05</v>
      </c>
      <c r="BB1707" s="1212">
        <v>0.05</v>
      </c>
      <c r="BC1707" s="1212">
        <v>0.02</v>
      </c>
      <c r="BD1707" s="1212">
        <v>0.02</v>
      </c>
      <c r="BE1707" s="1212">
        <v>0.05</v>
      </c>
      <c r="BF1707" s="2126">
        <v>0</v>
      </c>
      <c r="BG1707" s="2126">
        <v>0</v>
      </c>
      <c r="BH1707" s="2126">
        <v>0</v>
      </c>
      <c r="BI1707" s="2126">
        <v>0</v>
      </c>
      <c r="BJ1707" s="2126">
        <v>0</v>
      </c>
      <c r="BK1707" s="2126">
        <v>0</v>
      </c>
      <c r="BL1707" s="2126">
        <v>0</v>
      </c>
      <c r="BM1707" s="2126">
        <v>0</v>
      </c>
      <c r="BN1707" s="2126">
        <v>0</v>
      </c>
      <c r="BO1707" s="2126">
        <v>0</v>
      </c>
      <c r="BP1707" s="2126">
        <v>0</v>
      </c>
      <c r="BQ1707" s="2126">
        <v>0</v>
      </c>
      <c r="BR1707" s="2126">
        <v>0</v>
      </c>
    </row>
    <row r="1708" spans="1:70" s="1765" customFormat="1" ht="49.5">
      <c r="A1708" s="1272">
        <v>8000</v>
      </c>
      <c r="B1708" s="971" t="s">
        <v>2666</v>
      </c>
      <c r="C1708" s="1272">
        <v>8100</v>
      </c>
      <c r="D1708" s="971" t="s">
        <v>2666</v>
      </c>
      <c r="E1708" s="971" t="s">
        <v>2678</v>
      </c>
      <c r="F1708" s="971" t="s">
        <v>2694</v>
      </c>
      <c r="G1708" s="971" t="s">
        <v>2678</v>
      </c>
      <c r="H1708" s="971" t="s">
        <v>2743</v>
      </c>
      <c r="I1708" s="1273"/>
      <c r="J1708" s="971"/>
      <c r="K1708" s="971"/>
      <c r="L1708" s="971" t="s">
        <v>2669</v>
      </c>
      <c r="M1708" s="971" t="s">
        <v>2669</v>
      </c>
      <c r="N1708" s="971" t="s">
        <v>2669</v>
      </c>
      <c r="O1708" s="971" t="s">
        <v>2669</v>
      </c>
      <c r="P1708" s="971"/>
      <c r="Q1708" s="971" t="s">
        <v>2744</v>
      </c>
      <c r="R1708" s="1266"/>
      <c r="S1708" s="2106"/>
      <c r="T1708" s="1266"/>
      <c r="U1708" s="1742"/>
      <c r="V1708" s="1742"/>
      <c r="W1708" s="1742"/>
      <c r="X1708" s="1742"/>
      <c r="Y1708" s="2106"/>
      <c r="Z1708" s="2106"/>
      <c r="AA1708" s="2106"/>
      <c r="AB1708" s="2106"/>
      <c r="AC1708" s="2106"/>
      <c r="AD1708" s="1744">
        <v>5233000</v>
      </c>
      <c r="AE1708" s="2126">
        <v>0</v>
      </c>
      <c r="AF1708" s="2126">
        <v>0</v>
      </c>
      <c r="AG1708" s="1212">
        <v>1</v>
      </c>
      <c r="AH1708" s="1212">
        <v>0</v>
      </c>
      <c r="AI1708" s="1212">
        <v>0</v>
      </c>
      <c r="AJ1708" s="1212">
        <v>1</v>
      </c>
      <c r="AK1708" s="2126">
        <v>5233000</v>
      </c>
      <c r="AL1708" s="2126">
        <v>0</v>
      </c>
      <c r="AM1708" s="2126">
        <v>0</v>
      </c>
      <c r="AN1708" s="2126">
        <v>5233000</v>
      </c>
      <c r="AO1708" s="1743" t="s">
        <v>85</v>
      </c>
      <c r="AP1708" s="1743" t="s">
        <v>90</v>
      </c>
      <c r="AQ1708" s="1764">
        <v>2019</v>
      </c>
      <c r="AR1708" s="1743" t="s">
        <v>2669</v>
      </c>
      <c r="AS1708" s="2135"/>
      <c r="AT1708" s="2135"/>
      <c r="AU1708" s="1212">
        <v>0.18</v>
      </c>
      <c r="AV1708" s="1212">
        <v>0.18</v>
      </c>
      <c r="AW1708" s="1212">
        <v>0.18</v>
      </c>
      <c r="AX1708" s="1212">
        <v>0.1</v>
      </c>
      <c r="AY1708" s="1212">
        <v>0.1</v>
      </c>
      <c r="AZ1708" s="1212">
        <v>7.0000000000000007E-2</v>
      </c>
      <c r="BA1708" s="1212">
        <v>0.05</v>
      </c>
      <c r="BB1708" s="1212">
        <v>0.05</v>
      </c>
      <c r="BC1708" s="1212">
        <v>0.02</v>
      </c>
      <c r="BD1708" s="1212">
        <v>0.02</v>
      </c>
      <c r="BE1708" s="1212">
        <v>0.05</v>
      </c>
      <c r="BF1708" s="2126">
        <v>0</v>
      </c>
      <c r="BG1708" s="2126">
        <v>0</v>
      </c>
      <c r="BH1708" s="2126">
        <v>941940</v>
      </c>
      <c r="BI1708" s="2126">
        <v>941940</v>
      </c>
      <c r="BJ1708" s="2126">
        <v>941940</v>
      </c>
      <c r="BK1708" s="2126">
        <v>523300</v>
      </c>
      <c r="BL1708" s="2126">
        <v>523300</v>
      </c>
      <c r="BM1708" s="2126">
        <v>366310.00000000006</v>
      </c>
      <c r="BN1708" s="2126">
        <v>261650</v>
      </c>
      <c r="BO1708" s="2126">
        <v>261650</v>
      </c>
      <c r="BP1708" s="2126">
        <v>104660</v>
      </c>
      <c r="BQ1708" s="2126">
        <v>104660</v>
      </c>
      <c r="BR1708" s="2126">
        <v>261650</v>
      </c>
    </row>
    <row r="1709" spans="1:70" s="1765" customFormat="1">
      <c r="A1709" s="1317">
        <v>9000</v>
      </c>
      <c r="B1709" s="1318" t="s">
        <v>2745</v>
      </c>
      <c r="C1709" s="1317"/>
      <c r="D1709" s="1318"/>
      <c r="E1709" s="1318"/>
      <c r="F1709" s="1318"/>
      <c r="G1709" s="1318"/>
      <c r="H1709" s="1318"/>
      <c r="I1709" s="1318"/>
      <c r="J1709" s="1318"/>
      <c r="K1709" s="1318"/>
      <c r="L1709" s="1318"/>
      <c r="M1709" s="1318"/>
      <c r="N1709" s="1318"/>
      <c r="O1709" s="1318"/>
      <c r="P1709" s="1318"/>
      <c r="Q1709" s="1318"/>
      <c r="R1709" s="1320"/>
      <c r="S1709" s="2110"/>
      <c r="T1709" s="1320"/>
      <c r="U1709" s="1321"/>
      <c r="V1709" s="1321"/>
      <c r="W1709" s="1321"/>
      <c r="X1709" s="1321"/>
      <c r="Y1709" s="2105"/>
      <c r="Z1709" s="2105"/>
      <c r="AA1709" s="2105"/>
      <c r="AB1709" s="2105"/>
      <c r="AC1709" s="2105"/>
      <c r="AD1709" s="1778"/>
      <c r="AE1709" s="2125"/>
      <c r="AF1709" s="2125"/>
      <c r="AG1709" s="1322"/>
      <c r="AH1709" s="1322"/>
      <c r="AI1709" s="1322"/>
      <c r="AJ1709" s="1322"/>
      <c r="AK1709" s="2125"/>
      <c r="AL1709" s="2125"/>
      <c r="AM1709" s="2125"/>
      <c r="AN1709" s="2125"/>
      <c r="AO1709" s="1319"/>
      <c r="AP1709" s="1319"/>
      <c r="AQ1709" s="1763"/>
      <c r="AR1709" s="1319"/>
      <c r="AS1709" s="1322"/>
      <c r="AT1709" s="1322"/>
      <c r="AU1709" s="1322"/>
      <c r="AV1709" s="1322"/>
      <c r="AW1709" s="1322"/>
      <c r="AX1709" s="1322"/>
      <c r="AY1709" s="1322"/>
      <c r="AZ1709" s="1322"/>
      <c r="BA1709" s="1322"/>
      <c r="BB1709" s="1322"/>
      <c r="BC1709" s="1322"/>
      <c r="BD1709" s="1322"/>
      <c r="BE1709" s="1322"/>
      <c r="BF1709" s="2149"/>
      <c r="BG1709" s="2125"/>
      <c r="BH1709" s="2125"/>
      <c r="BI1709" s="2125"/>
      <c r="BJ1709" s="2125"/>
      <c r="BK1709" s="2125"/>
      <c r="BL1709" s="2125"/>
      <c r="BM1709" s="2125"/>
      <c r="BN1709" s="2125"/>
      <c r="BO1709" s="2125"/>
      <c r="BP1709" s="2125"/>
      <c r="BQ1709" s="2125"/>
      <c r="BR1709" s="2125"/>
    </row>
    <row r="1710" spans="1:70" s="1765" customFormat="1">
      <c r="A1710" s="1802">
        <v>9000</v>
      </c>
      <c r="B1710" s="1803" t="s">
        <v>2745</v>
      </c>
      <c r="C1710" s="1802">
        <v>9100</v>
      </c>
      <c r="D1710" s="1803" t="s">
        <v>2745</v>
      </c>
      <c r="E1710" s="1803"/>
      <c r="F1710" s="1803"/>
      <c r="G1710" s="1803"/>
      <c r="H1710" s="1803"/>
      <c r="I1710" s="1803"/>
      <c r="J1710" s="1803"/>
      <c r="K1710" s="1803"/>
      <c r="L1710" s="1803"/>
      <c r="M1710" s="1803"/>
      <c r="N1710" s="1803"/>
      <c r="O1710" s="1803"/>
      <c r="P1710" s="1803"/>
      <c r="Q1710" s="1803"/>
      <c r="R1710" s="1774"/>
      <c r="S1710" s="2111"/>
      <c r="T1710" s="1774"/>
      <c r="U1710" s="1776"/>
      <c r="V1710" s="1776"/>
      <c r="W1710" s="1776"/>
      <c r="X1710" s="1776"/>
      <c r="Y1710" s="2107"/>
      <c r="Z1710" s="2107"/>
      <c r="AA1710" s="2107"/>
      <c r="AB1710" s="2107"/>
      <c r="AC1710" s="2107"/>
      <c r="AD1710" s="1775"/>
      <c r="AE1710" s="2127"/>
      <c r="AF1710" s="2127"/>
      <c r="AG1710" s="1777"/>
      <c r="AH1710" s="1777"/>
      <c r="AI1710" s="1777"/>
      <c r="AJ1710" s="1777"/>
      <c r="AK1710" s="2127"/>
      <c r="AL1710" s="2127"/>
      <c r="AM1710" s="2127"/>
      <c r="AN1710" s="2127"/>
      <c r="AO1710" s="1775"/>
      <c r="AP1710" s="1775"/>
      <c r="AQ1710" s="1773"/>
      <c r="AR1710" s="1775"/>
      <c r="AS1710" s="1777"/>
      <c r="AT1710" s="1777"/>
      <c r="AU1710" s="1777"/>
      <c r="AV1710" s="1777"/>
      <c r="AW1710" s="1777"/>
      <c r="AX1710" s="1777"/>
      <c r="AY1710" s="1777"/>
      <c r="AZ1710" s="1777"/>
      <c r="BA1710" s="1777"/>
      <c r="BB1710" s="1777"/>
      <c r="BC1710" s="1777"/>
      <c r="BD1710" s="1777"/>
      <c r="BE1710" s="1777"/>
      <c r="BF1710" s="2127"/>
      <c r="BG1710" s="2127"/>
      <c r="BH1710" s="2127"/>
      <c r="BI1710" s="2127"/>
      <c r="BJ1710" s="2127"/>
      <c r="BK1710" s="2127"/>
      <c r="BL1710" s="2127"/>
      <c r="BM1710" s="2127"/>
      <c r="BN1710" s="2127"/>
      <c r="BO1710" s="2127"/>
      <c r="BP1710" s="2127"/>
      <c r="BQ1710" s="2127"/>
      <c r="BR1710" s="2127"/>
    </row>
    <row r="1711" spans="1:70" s="1765" customFormat="1" ht="49.5">
      <c r="A1711" s="1272">
        <v>9000</v>
      </c>
      <c r="B1711" s="971" t="s">
        <v>2745</v>
      </c>
      <c r="C1711" s="1272">
        <v>9100</v>
      </c>
      <c r="D1711" s="971" t="s">
        <v>2745</v>
      </c>
      <c r="E1711" s="971">
        <v>9190</v>
      </c>
      <c r="F1711" s="971" t="s">
        <v>2746</v>
      </c>
      <c r="G1711" s="971">
        <v>9191</v>
      </c>
      <c r="H1711" s="971" t="s">
        <v>2747</v>
      </c>
      <c r="I1711" s="1273"/>
      <c r="J1711" s="971"/>
      <c r="K1711" s="971"/>
      <c r="L1711" s="971" t="s">
        <v>2669</v>
      </c>
      <c r="M1711" s="971" t="s">
        <v>2669</v>
      </c>
      <c r="N1711" s="971" t="s">
        <v>2669</v>
      </c>
      <c r="O1711" s="971" t="s">
        <v>2669</v>
      </c>
      <c r="P1711" s="971"/>
      <c r="Q1711" s="971" t="s">
        <v>2748</v>
      </c>
      <c r="R1711" s="1266"/>
      <c r="S1711" s="2106"/>
      <c r="T1711" s="1266"/>
      <c r="U1711" s="1742"/>
      <c r="V1711" s="1742"/>
      <c r="W1711" s="1742"/>
      <c r="X1711" s="1742"/>
      <c r="Y1711" s="2106"/>
      <c r="Z1711" s="2106"/>
      <c r="AA1711" s="2106"/>
      <c r="AB1711" s="2106"/>
      <c r="AC1711" s="2106"/>
      <c r="AD1711" s="1744">
        <v>-285291.22237543639</v>
      </c>
      <c r="AE1711" s="2126">
        <v>0</v>
      </c>
      <c r="AF1711" s="2126">
        <v>0</v>
      </c>
      <c r="AG1711" s="1212">
        <v>1</v>
      </c>
      <c r="AH1711" s="1212">
        <v>0</v>
      </c>
      <c r="AI1711" s="1212">
        <v>0</v>
      </c>
      <c r="AJ1711" s="1212">
        <v>1</v>
      </c>
      <c r="AK1711" s="2126">
        <v>-285291.22237543639</v>
      </c>
      <c r="AL1711" s="2126">
        <v>0</v>
      </c>
      <c r="AM1711" s="2126">
        <v>0</v>
      </c>
      <c r="AN1711" s="2126">
        <v>-285291.22237543639</v>
      </c>
      <c r="AO1711" s="1743" t="s">
        <v>85</v>
      </c>
      <c r="AP1711" s="1743" t="s">
        <v>90</v>
      </c>
      <c r="AQ1711" s="1764">
        <v>2023</v>
      </c>
      <c r="AR1711" s="1743" t="s">
        <v>2669</v>
      </c>
      <c r="AS1711" s="2135"/>
      <c r="AT1711" s="2135"/>
      <c r="AU1711" s="1212">
        <v>1</v>
      </c>
      <c r="AV1711" s="1212"/>
      <c r="AW1711" s="1212"/>
      <c r="AX1711" s="1212"/>
      <c r="AY1711" s="1212"/>
      <c r="AZ1711" s="1212"/>
      <c r="BA1711" s="1212"/>
      <c r="BB1711" s="1212"/>
      <c r="BC1711" s="1212"/>
      <c r="BD1711" s="1212"/>
      <c r="BE1711" s="1212"/>
      <c r="BF1711" s="2126">
        <v>0</v>
      </c>
      <c r="BG1711" s="2126">
        <v>0</v>
      </c>
      <c r="BH1711" s="2126">
        <v>-285291.22237543639</v>
      </c>
      <c r="BI1711" s="2126">
        <v>0</v>
      </c>
      <c r="BJ1711" s="2126">
        <v>0</v>
      </c>
      <c r="BK1711" s="2126">
        <v>0</v>
      </c>
      <c r="BL1711" s="2126">
        <v>0</v>
      </c>
      <c r="BM1711" s="2126">
        <v>0</v>
      </c>
      <c r="BN1711" s="2126">
        <v>0</v>
      </c>
      <c r="BO1711" s="2126">
        <v>0</v>
      </c>
      <c r="BP1711" s="2126">
        <v>0</v>
      </c>
      <c r="BQ1711" s="2126">
        <v>0</v>
      </c>
      <c r="BR1711" s="2126">
        <v>0</v>
      </c>
    </row>
    <row r="1712" spans="1:70" s="1765" customFormat="1" ht="49.5">
      <c r="A1712" s="1272">
        <v>9000</v>
      </c>
      <c r="B1712" s="971" t="s">
        <v>2745</v>
      </c>
      <c r="C1712" s="1272">
        <v>9100</v>
      </c>
      <c r="D1712" s="971" t="s">
        <v>2745</v>
      </c>
      <c r="E1712" s="971">
        <v>9190</v>
      </c>
      <c r="F1712" s="971" t="s">
        <v>2746</v>
      </c>
      <c r="G1712" s="971">
        <v>9191</v>
      </c>
      <c r="H1712" s="971" t="s">
        <v>2747</v>
      </c>
      <c r="I1712" s="1273"/>
      <c r="J1712" s="971"/>
      <c r="K1712" s="971"/>
      <c r="L1712" s="971" t="s">
        <v>2669</v>
      </c>
      <c r="M1712" s="971" t="s">
        <v>2669</v>
      </c>
      <c r="N1712" s="971" t="s">
        <v>2669</v>
      </c>
      <c r="O1712" s="971" t="s">
        <v>2669</v>
      </c>
      <c r="P1712" s="971"/>
      <c r="Q1712" s="971" t="s">
        <v>2748</v>
      </c>
      <c r="R1712" s="1266"/>
      <c r="S1712" s="2106"/>
      <c r="T1712" s="1266"/>
      <c r="U1712" s="1742"/>
      <c r="V1712" s="1742"/>
      <c r="W1712" s="1742"/>
      <c r="X1712" s="1742"/>
      <c r="Y1712" s="2106"/>
      <c r="Z1712" s="2106"/>
      <c r="AA1712" s="2106"/>
      <c r="AB1712" s="2106"/>
      <c r="AC1712" s="2106"/>
      <c r="AD1712" s="1744">
        <v>874912.08318860317</v>
      </c>
      <c r="AE1712" s="2126">
        <v>0</v>
      </c>
      <c r="AF1712" s="2126">
        <v>0</v>
      </c>
      <c r="AG1712" s="1212">
        <v>1</v>
      </c>
      <c r="AH1712" s="1212">
        <v>0</v>
      </c>
      <c r="AI1712" s="1212">
        <v>0</v>
      </c>
      <c r="AJ1712" s="1212">
        <v>1</v>
      </c>
      <c r="AK1712" s="2126">
        <v>874912.08318860317</v>
      </c>
      <c r="AL1712" s="2126">
        <v>0</v>
      </c>
      <c r="AM1712" s="2126">
        <v>0</v>
      </c>
      <c r="AN1712" s="2126">
        <v>874912.08318860317</v>
      </c>
      <c r="AO1712" s="1743" t="s">
        <v>85</v>
      </c>
      <c r="AP1712" s="1743" t="s">
        <v>90</v>
      </c>
      <c r="AQ1712" s="1764">
        <v>2022</v>
      </c>
      <c r="AR1712" s="1743" t="s">
        <v>2669</v>
      </c>
      <c r="AS1712" s="2135"/>
      <c r="AT1712" s="2135"/>
      <c r="AU1712" s="1212">
        <v>1</v>
      </c>
      <c r="AV1712" s="1212"/>
      <c r="AW1712" s="1212"/>
      <c r="AX1712" s="1212"/>
      <c r="AY1712" s="1212"/>
      <c r="AZ1712" s="1212"/>
      <c r="BA1712" s="1212"/>
      <c r="BB1712" s="1212"/>
      <c r="BC1712" s="1212"/>
      <c r="BD1712" s="1212"/>
      <c r="BE1712" s="1212"/>
      <c r="BF1712" s="2126">
        <v>0</v>
      </c>
      <c r="BG1712" s="2126">
        <v>0</v>
      </c>
      <c r="BH1712" s="2126">
        <v>874912.08318860317</v>
      </c>
      <c r="BI1712" s="2126">
        <v>0</v>
      </c>
      <c r="BJ1712" s="2126">
        <v>0</v>
      </c>
      <c r="BK1712" s="2126">
        <v>0</v>
      </c>
      <c r="BL1712" s="2126">
        <v>0</v>
      </c>
      <c r="BM1712" s="2126">
        <v>0</v>
      </c>
      <c r="BN1712" s="2126">
        <v>0</v>
      </c>
      <c r="BO1712" s="2126">
        <v>0</v>
      </c>
      <c r="BP1712" s="2126">
        <v>0</v>
      </c>
      <c r="BQ1712" s="2126">
        <v>0</v>
      </c>
      <c r="BR1712" s="2126">
        <v>0</v>
      </c>
    </row>
    <row r="1713" spans="1:70" s="1765" customFormat="1" ht="49.5">
      <c r="A1713" s="1272">
        <v>9000</v>
      </c>
      <c r="B1713" s="971" t="s">
        <v>2745</v>
      </c>
      <c r="C1713" s="1272">
        <v>9100</v>
      </c>
      <c r="D1713" s="971" t="s">
        <v>2745</v>
      </c>
      <c r="E1713" s="971">
        <v>9190</v>
      </c>
      <c r="F1713" s="971" t="s">
        <v>2746</v>
      </c>
      <c r="G1713" s="971">
        <v>9191</v>
      </c>
      <c r="H1713" s="971" t="s">
        <v>2747</v>
      </c>
      <c r="I1713" s="1273"/>
      <c r="J1713" s="971"/>
      <c r="K1713" s="971"/>
      <c r="L1713" s="971" t="s">
        <v>2669</v>
      </c>
      <c r="M1713" s="971" t="s">
        <v>2669</v>
      </c>
      <c r="N1713" s="971" t="s">
        <v>2669</v>
      </c>
      <c r="O1713" s="971" t="s">
        <v>2669</v>
      </c>
      <c r="P1713" s="971"/>
      <c r="Q1713" s="971" t="s">
        <v>2748</v>
      </c>
      <c r="R1713" s="1266"/>
      <c r="S1713" s="2106"/>
      <c r="T1713" s="1266"/>
      <c r="U1713" s="1742"/>
      <c r="V1713" s="1742"/>
      <c r="W1713" s="1742"/>
      <c r="X1713" s="1742"/>
      <c r="Y1713" s="2106"/>
      <c r="Z1713" s="2106"/>
      <c r="AA1713" s="2106"/>
      <c r="AB1713" s="2106"/>
      <c r="AC1713" s="2106"/>
      <c r="AD1713" s="1744">
        <v>139000</v>
      </c>
      <c r="AE1713" s="2126">
        <v>0</v>
      </c>
      <c r="AF1713" s="2126">
        <v>0</v>
      </c>
      <c r="AG1713" s="1212">
        <v>0.9601328595078622</v>
      </c>
      <c r="AH1713" s="1212">
        <v>3.9867140492137798E-2</v>
      </c>
      <c r="AI1713" s="1212">
        <v>0</v>
      </c>
      <c r="AJ1713" s="1212">
        <v>1</v>
      </c>
      <c r="AK1713" s="2126">
        <v>133458.46747159286</v>
      </c>
      <c r="AL1713" s="2126">
        <v>5541.5325284071541</v>
      </c>
      <c r="AM1713" s="2126">
        <v>0</v>
      </c>
      <c r="AN1713" s="2126">
        <v>139000</v>
      </c>
      <c r="AO1713" s="1743" t="s">
        <v>85</v>
      </c>
      <c r="AP1713" s="1743" t="s">
        <v>90</v>
      </c>
      <c r="AQ1713" s="1764">
        <v>2020</v>
      </c>
      <c r="AR1713" s="1743" t="s">
        <v>2669</v>
      </c>
      <c r="AS1713" s="2135"/>
      <c r="AT1713" s="2135"/>
      <c r="AU1713" s="1212">
        <v>1</v>
      </c>
      <c r="AV1713" s="1212"/>
      <c r="AW1713" s="1212"/>
      <c r="AX1713" s="1212"/>
      <c r="AY1713" s="1212"/>
      <c r="AZ1713" s="1212"/>
      <c r="BA1713" s="1212"/>
      <c r="BB1713" s="1212"/>
      <c r="BC1713" s="1212"/>
      <c r="BD1713" s="1212"/>
      <c r="BE1713" s="1212"/>
      <c r="BF1713" s="2126">
        <v>0</v>
      </c>
      <c r="BG1713" s="2126">
        <v>0</v>
      </c>
      <c r="BH1713" s="2126">
        <v>139000</v>
      </c>
      <c r="BI1713" s="2126">
        <v>0</v>
      </c>
      <c r="BJ1713" s="2126">
        <v>0</v>
      </c>
      <c r="BK1713" s="2126">
        <v>0</v>
      </c>
      <c r="BL1713" s="2126">
        <v>0</v>
      </c>
      <c r="BM1713" s="2126">
        <v>0</v>
      </c>
      <c r="BN1713" s="2126">
        <v>0</v>
      </c>
      <c r="BO1713" s="2126">
        <v>0</v>
      </c>
      <c r="BP1713" s="2126">
        <v>0</v>
      </c>
      <c r="BQ1713" s="2126">
        <v>0</v>
      </c>
      <c r="BR1713" s="2126">
        <v>0</v>
      </c>
    </row>
    <row r="1714" spans="1:70" s="1765" customFormat="1" ht="49.5">
      <c r="A1714" s="1272">
        <v>9000</v>
      </c>
      <c r="B1714" s="971" t="s">
        <v>2745</v>
      </c>
      <c r="C1714" s="1272">
        <v>9100</v>
      </c>
      <c r="D1714" s="971" t="s">
        <v>2745</v>
      </c>
      <c r="E1714" s="971">
        <v>9190</v>
      </c>
      <c r="F1714" s="971" t="s">
        <v>2746</v>
      </c>
      <c r="G1714" s="971">
        <v>9191</v>
      </c>
      <c r="H1714" s="971" t="s">
        <v>2747</v>
      </c>
      <c r="I1714" s="1273"/>
      <c r="J1714" s="971"/>
      <c r="K1714" s="971"/>
      <c r="L1714" s="971" t="s">
        <v>2669</v>
      </c>
      <c r="M1714" s="971" t="s">
        <v>2669</v>
      </c>
      <c r="N1714" s="971" t="s">
        <v>2669</v>
      </c>
      <c r="O1714" s="971" t="s">
        <v>2669</v>
      </c>
      <c r="P1714" s="971"/>
      <c r="Q1714" s="971" t="s">
        <v>2748</v>
      </c>
      <c r="R1714" s="1266"/>
      <c r="S1714" s="2106"/>
      <c r="T1714" s="1266"/>
      <c r="U1714" s="1742"/>
      <c r="V1714" s="1742"/>
      <c r="W1714" s="1742"/>
      <c r="X1714" s="1742"/>
      <c r="Y1714" s="2106"/>
      <c r="Z1714" s="2106"/>
      <c r="AA1714" s="2106"/>
      <c r="AB1714" s="2106"/>
      <c r="AC1714" s="2106"/>
      <c r="AD1714" s="1744">
        <v>316000</v>
      </c>
      <c r="AE1714" s="2126">
        <v>0</v>
      </c>
      <c r="AF1714" s="2126">
        <v>0</v>
      </c>
      <c r="AG1714" s="1212">
        <v>0.9601328595078622</v>
      </c>
      <c r="AH1714" s="1212">
        <v>3.9867140492137798E-2</v>
      </c>
      <c r="AI1714" s="1212">
        <v>0</v>
      </c>
      <c r="AJ1714" s="1212">
        <v>1</v>
      </c>
      <c r="AK1714" s="2126">
        <v>303401.98360448447</v>
      </c>
      <c r="AL1714" s="2126">
        <v>12598.016395515544</v>
      </c>
      <c r="AM1714" s="2126">
        <v>0</v>
      </c>
      <c r="AN1714" s="2126">
        <v>316000</v>
      </c>
      <c r="AO1714" s="1743" t="s">
        <v>85</v>
      </c>
      <c r="AP1714" s="1743" t="s">
        <v>90</v>
      </c>
      <c r="AQ1714" s="1764">
        <v>2021</v>
      </c>
      <c r="AR1714" s="1743" t="s">
        <v>2669</v>
      </c>
      <c r="AS1714" s="2135"/>
      <c r="AT1714" s="2135"/>
      <c r="AU1714" s="1212">
        <v>1</v>
      </c>
      <c r="AV1714" s="1212"/>
      <c r="AW1714" s="1212"/>
      <c r="AX1714" s="1212"/>
      <c r="AY1714" s="1212"/>
      <c r="AZ1714" s="1212"/>
      <c r="BA1714" s="1212"/>
      <c r="BB1714" s="1212"/>
      <c r="BC1714" s="1212"/>
      <c r="BD1714" s="1212"/>
      <c r="BE1714" s="1212"/>
      <c r="BF1714" s="2126">
        <v>0</v>
      </c>
      <c r="BG1714" s="2126">
        <v>0</v>
      </c>
      <c r="BH1714" s="2126">
        <v>316000</v>
      </c>
      <c r="BI1714" s="2126">
        <v>0</v>
      </c>
      <c r="BJ1714" s="2126">
        <v>0</v>
      </c>
      <c r="BK1714" s="2126">
        <v>0</v>
      </c>
      <c r="BL1714" s="2126">
        <v>0</v>
      </c>
      <c r="BM1714" s="2126">
        <v>0</v>
      </c>
      <c r="BN1714" s="2126">
        <v>0</v>
      </c>
      <c r="BO1714" s="2126">
        <v>0</v>
      </c>
      <c r="BP1714" s="2126">
        <v>0</v>
      </c>
      <c r="BQ1714" s="2126">
        <v>0</v>
      </c>
      <c r="BR1714" s="2126">
        <v>0</v>
      </c>
    </row>
    <row r="1715" spans="1:70" s="1765" customFormat="1" ht="49.5">
      <c r="A1715" s="1272">
        <v>9000</v>
      </c>
      <c r="B1715" s="971" t="s">
        <v>2745</v>
      </c>
      <c r="C1715" s="1272">
        <v>9100</v>
      </c>
      <c r="D1715" s="971" t="s">
        <v>2745</v>
      </c>
      <c r="E1715" s="971">
        <v>9190</v>
      </c>
      <c r="F1715" s="971" t="s">
        <v>2746</v>
      </c>
      <c r="G1715" s="971">
        <v>9191</v>
      </c>
      <c r="H1715" s="971" t="s">
        <v>2747</v>
      </c>
      <c r="I1715" s="1273"/>
      <c r="J1715" s="971"/>
      <c r="K1715" s="971"/>
      <c r="L1715" s="971" t="s">
        <v>2669</v>
      </c>
      <c r="M1715" s="971" t="s">
        <v>2669</v>
      </c>
      <c r="N1715" s="971" t="s">
        <v>2669</v>
      </c>
      <c r="O1715" s="971" t="s">
        <v>2669</v>
      </c>
      <c r="P1715" s="971"/>
      <c r="Q1715" s="971" t="s">
        <v>2749</v>
      </c>
      <c r="R1715" s="1266"/>
      <c r="S1715" s="2106"/>
      <c r="T1715" s="1266"/>
      <c r="U1715" s="1742"/>
      <c r="V1715" s="1742"/>
      <c r="W1715" s="1742"/>
      <c r="X1715" s="1742"/>
      <c r="Y1715" s="2106"/>
      <c r="Z1715" s="2106"/>
      <c r="AA1715" s="2106"/>
      <c r="AB1715" s="2106"/>
      <c r="AC1715" s="2106"/>
      <c r="AD1715" s="1744">
        <v>8929000</v>
      </c>
      <c r="AE1715" s="2126">
        <v>0</v>
      </c>
      <c r="AF1715" s="2126">
        <v>0</v>
      </c>
      <c r="AG1715" s="1212">
        <v>0.9601328595078622</v>
      </c>
      <c r="AH1715" s="1212">
        <v>3.9867140492137798E-2</v>
      </c>
      <c r="AI1715" s="1212">
        <v>0</v>
      </c>
      <c r="AJ1715" s="1212">
        <v>1</v>
      </c>
      <c r="AK1715" s="2126">
        <v>8573026.3025457021</v>
      </c>
      <c r="AL1715" s="2126">
        <v>355973.69745429838</v>
      </c>
      <c r="AM1715" s="2126">
        <v>0</v>
      </c>
      <c r="AN1715" s="2126">
        <v>8929000</v>
      </c>
      <c r="AO1715" s="1743" t="s">
        <v>85</v>
      </c>
      <c r="AP1715" s="1743" t="s">
        <v>90</v>
      </c>
      <c r="AQ1715" s="1764">
        <v>2019</v>
      </c>
      <c r="AR1715" s="1743" t="s">
        <v>2669</v>
      </c>
      <c r="AS1715" s="2135"/>
      <c r="AT1715" s="2135"/>
      <c r="AU1715" s="1212">
        <v>1</v>
      </c>
      <c r="AV1715" s="1212"/>
      <c r="AW1715" s="1212"/>
      <c r="AX1715" s="1212"/>
      <c r="AY1715" s="1212"/>
      <c r="AZ1715" s="1212"/>
      <c r="BA1715" s="1212"/>
      <c r="BB1715" s="1212"/>
      <c r="BC1715" s="1212"/>
      <c r="BD1715" s="1212"/>
      <c r="BE1715" s="1212"/>
      <c r="BF1715" s="2126">
        <v>0</v>
      </c>
      <c r="BG1715" s="2126">
        <v>0</v>
      </c>
      <c r="BH1715" s="2126">
        <v>8929000</v>
      </c>
      <c r="BI1715" s="2126">
        <v>0</v>
      </c>
      <c r="BJ1715" s="2126">
        <v>0</v>
      </c>
      <c r="BK1715" s="2126">
        <v>0</v>
      </c>
      <c r="BL1715" s="2126">
        <v>0</v>
      </c>
      <c r="BM1715" s="2126">
        <v>0</v>
      </c>
      <c r="BN1715" s="2126">
        <v>0</v>
      </c>
      <c r="BO1715" s="2126">
        <v>0</v>
      </c>
      <c r="BP1715" s="2126">
        <v>0</v>
      </c>
      <c r="BQ1715" s="2126">
        <v>0</v>
      </c>
      <c r="BR1715" s="2126">
        <v>0</v>
      </c>
    </row>
    <row r="1716" spans="1:70" s="1765" customFormat="1" ht="16.5" customHeight="1">
      <c r="A1716" s="1799"/>
      <c r="B1716" s="1800"/>
      <c r="C1716" s="1799"/>
      <c r="D1716" s="1800"/>
      <c r="E1716" s="1800"/>
      <c r="F1716" s="1800"/>
      <c r="G1716" s="1800"/>
      <c r="H1716" s="1800"/>
      <c r="I1716" s="1800"/>
      <c r="J1716" s="1800"/>
      <c r="K1716" s="1800"/>
      <c r="L1716" s="1800"/>
      <c r="M1716" s="1800"/>
      <c r="N1716" s="1800"/>
      <c r="O1716" s="1800"/>
      <c r="P1716" s="1800"/>
      <c r="Q1716" s="1800"/>
      <c r="R1716" s="1334"/>
      <c r="S1716" s="2112"/>
      <c r="T1716" s="1334"/>
      <c r="U1716" s="1787"/>
      <c r="V1716" s="1787"/>
      <c r="W1716" s="1787"/>
      <c r="X1716" s="1787"/>
      <c r="Y1716" s="2115"/>
      <c r="Z1716" s="2119"/>
      <c r="AA1716" s="2119"/>
      <c r="AB1716" s="2115"/>
      <c r="AC1716" s="2115"/>
      <c r="AD1716" s="1788"/>
      <c r="AE1716" s="2133"/>
      <c r="AF1716" s="2133"/>
      <c r="AG1716" s="1789"/>
      <c r="AH1716" s="1789"/>
      <c r="AI1716" s="1789"/>
      <c r="AJ1716" s="1789"/>
      <c r="AK1716" s="2141"/>
      <c r="AL1716" s="2141"/>
      <c r="AM1716" s="2141"/>
      <c r="AN1716" s="2141"/>
      <c r="AO1716" s="1768"/>
      <c r="AP1716" s="1426"/>
      <c r="AQ1716" s="1790"/>
      <c r="AR1716" s="1426"/>
      <c r="AS1716" s="2143"/>
      <c r="AT1716" s="2143"/>
      <c r="AU1716" s="1789"/>
      <c r="AV1716" s="1789"/>
      <c r="AW1716" s="1789"/>
      <c r="AX1716" s="1789"/>
      <c r="AY1716" s="1789"/>
      <c r="AZ1716" s="1789"/>
      <c r="BA1716" s="1789"/>
      <c r="BB1716" s="1789"/>
      <c r="BC1716" s="1789"/>
      <c r="BD1716" s="1789"/>
      <c r="BE1716" s="1789"/>
      <c r="BF1716" s="2150"/>
      <c r="BG1716" s="2151"/>
      <c r="BH1716" s="2151"/>
      <c r="BI1716" s="2151"/>
      <c r="BJ1716" s="2151"/>
      <c r="BK1716" s="2151"/>
      <c r="BL1716" s="2151"/>
      <c r="BM1716" s="2151"/>
      <c r="BN1716" s="2151"/>
      <c r="BO1716" s="2151"/>
      <c r="BP1716" s="2151"/>
      <c r="BQ1716" s="2151"/>
      <c r="BR1716" s="2151"/>
    </row>
    <row r="1717" spans="1:70" ht="16.5" customHeight="1">
      <c r="S1717" s="2112"/>
      <c r="AD1717" s="1788"/>
      <c r="AE1717" s="2133"/>
      <c r="AF1717" s="2133"/>
      <c r="AG1717" s="1789"/>
      <c r="AH1717" s="1789"/>
      <c r="AI1717" s="1789"/>
      <c r="AJ1717" s="1789"/>
      <c r="AK1717" s="2141"/>
      <c r="AL1717" s="2141"/>
      <c r="AM1717" s="2141"/>
      <c r="AN1717" s="2141"/>
      <c r="AU1717" s="1789"/>
      <c r="AV1717" s="1789"/>
      <c r="AW1717" s="1789"/>
      <c r="AX1717" s="1789"/>
      <c r="AY1717" s="1789"/>
      <c r="AZ1717" s="1789"/>
      <c r="BA1717" s="1789"/>
      <c r="BB1717" s="1789"/>
      <c r="BC1717" s="1789"/>
      <c r="BD1717" s="1789"/>
      <c r="BE1717" s="1789"/>
      <c r="BF1717" s="2150"/>
      <c r="BG1717" s="2151"/>
      <c r="BH1717" s="2151"/>
      <c r="BI1717" s="2151"/>
      <c r="BJ1717" s="2151"/>
      <c r="BK1717" s="2151"/>
      <c r="BL1717" s="2151"/>
      <c r="BM1717" s="2151"/>
      <c r="BN1717" s="2151"/>
      <c r="BO1717" s="2151"/>
      <c r="BP1717" s="2151"/>
      <c r="BQ1717" s="2151"/>
      <c r="BR1717" s="2151"/>
    </row>
    <row r="1718" spans="1:70">
      <c r="R1718" s="1791"/>
      <c r="S1718" s="2112"/>
      <c r="AD1718" s="1788"/>
      <c r="AE1718" s="2133"/>
      <c r="AF1718" s="2133"/>
      <c r="AG1718" s="1789"/>
      <c r="AH1718" s="1789"/>
      <c r="AI1718" s="1789"/>
      <c r="AJ1718" s="1789"/>
      <c r="AK1718" s="2141"/>
      <c r="AL1718" s="2141"/>
      <c r="AM1718" s="2141"/>
      <c r="AN1718" s="2141"/>
      <c r="AU1718" s="1789"/>
      <c r="AV1718" s="1789"/>
      <c r="AW1718" s="1789"/>
      <c r="AX1718" s="1789"/>
      <c r="AY1718" s="1789"/>
      <c r="AZ1718" s="1789"/>
      <c r="BA1718" s="1789"/>
      <c r="BB1718" s="1789"/>
      <c r="BC1718" s="1789"/>
      <c r="BD1718" s="1789"/>
      <c r="BE1718" s="1789"/>
      <c r="BF1718" s="2150"/>
      <c r="BG1718" s="2150"/>
    </row>
    <row r="1719" spans="1:70" ht="16.5" customHeight="1">
      <c r="A1719" s="1816"/>
      <c r="C1719" s="1800"/>
      <c r="S1719" s="2112"/>
      <c r="AD1719" s="2141"/>
      <c r="AE1719" s="2133"/>
      <c r="AF1719" s="2133"/>
      <c r="AG1719" s="1789"/>
      <c r="AH1719" s="1789"/>
      <c r="AI1719" s="1789"/>
      <c r="AJ1719" s="1789"/>
      <c r="AU1719" s="1789"/>
      <c r="AV1719" s="1789"/>
      <c r="AW1719" s="1789"/>
      <c r="AX1719" s="1789"/>
      <c r="AY1719" s="1789"/>
      <c r="AZ1719" s="1789"/>
      <c r="BA1719" s="1789"/>
      <c r="BB1719" s="1789"/>
      <c r="BC1719" s="1789"/>
      <c r="BD1719" s="1789"/>
      <c r="BE1719" s="1789"/>
      <c r="BF1719" s="2150"/>
      <c r="BG1719" s="2150"/>
    </row>
    <row r="1720" spans="1:70" ht="16.5" customHeight="1">
      <c r="A1720" s="1817"/>
      <c r="B1720" s="1810"/>
      <c r="C1720" s="1809"/>
      <c r="D1720" s="1810"/>
      <c r="E1720" s="1810"/>
      <c r="F1720" s="1810"/>
      <c r="G1720" s="1810"/>
      <c r="H1720" s="1810"/>
      <c r="I1720" s="1810"/>
      <c r="J1720" s="1810"/>
      <c r="K1720" s="1810"/>
      <c r="L1720" s="1810"/>
      <c r="M1720" s="1810"/>
      <c r="N1720" s="1810"/>
      <c r="O1720" s="1810"/>
      <c r="P1720" s="1810"/>
      <c r="Q1720" s="1810"/>
      <c r="R1720" s="1792"/>
      <c r="S1720" s="2113"/>
      <c r="T1720" s="1792"/>
      <c r="U1720" s="1793"/>
      <c r="V1720" s="1793"/>
      <c r="W1720" s="1793"/>
      <c r="X1720" s="1793"/>
      <c r="Y1720" s="2118"/>
      <c r="Z1720" s="2118"/>
      <c r="AA1720" s="2118"/>
      <c r="AB1720" s="2118"/>
      <c r="AC1720" s="2118"/>
      <c r="AD1720" s="2141"/>
      <c r="AE1720" s="2134"/>
      <c r="AF1720" s="2134"/>
      <c r="AG1720" s="1795"/>
      <c r="AH1720" s="1795"/>
      <c r="AI1720" s="1795"/>
      <c r="AJ1720" s="1795"/>
      <c r="AK1720" s="2142"/>
      <c r="AL1720" s="2142"/>
      <c r="AM1720" s="2142"/>
      <c r="AN1720" s="2142"/>
      <c r="AO1720" s="1796"/>
      <c r="AP1720" s="1794"/>
      <c r="AR1720" s="1794"/>
      <c r="AS1720" s="2145"/>
      <c r="AT1720" s="2145"/>
      <c r="AU1720" s="1795"/>
      <c r="AV1720" s="1795"/>
      <c r="AW1720" s="1795"/>
      <c r="AX1720" s="1795"/>
      <c r="AY1720" s="1795"/>
      <c r="AZ1720" s="1795"/>
      <c r="BA1720" s="1795"/>
      <c r="BB1720" s="1795"/>
      <c r="BC1720" s="1795"/>
      <c r="BD1720" s="1795"/>
      <c r="BE1720" s="1795"/>
      <c r="BF1720" s="2152"/>
      <c r="BG1720" s="2152"/>
      <c r="BH1720" s="2142"/>
      <c r="BI1720" s="2142"/>
      <c r="BJ1720" s="2142"/>
      <c r="BK1720" s="2142"/>
      <c r="BL1720" s="2142"/>
      <c r="BM1720" s="2142"/>
      <c r="BN1720" s="2142"/>
      <c r="BO1720" s="2142"/>
      <c r="BP1720" s="2142"/>
      <c r="BQ1720" s="2142"/>
      <c r="BR1720" s="2142"/>
    </row>
    <row r="1721" spans="1:70" ht="16.5" customHeight="1">
      <c r="A1721" s="1816"/>
      <c r="C1721" s="1800"/>
      <c r="R1721" s="1791"/>
      <c r="AD1721" s="2141"/>
    </row>
    <row r="1722" spans="1:70" ht="16.5" customHeight="1">
      <c r="L1722" s="1811"/>
      <c r="AD1722" s="2141"/>
    </row>
    <row r="1723" spans="1:70" ht="16.5" customHeight="1">
      <c r="L1723" s="1811"/>
      <c r="U1723" s="1766"/>
      <c r="V1723" s="1334"/>
      <c r="W1723" s="1766"/>
      <c r="X1723" s="1334"/>
      <c r="AA1723" s="2102"/>
      <c r="AD1723" s="2141"/>
    </row>
    <row r="1730" spans="1:59">
      <c r="A1730" s="1800"/>
    </row>
    <row r="1735" spans="1:59">
      <c r="R1735" s="1797"/>
      <c r="Y1735" s="2114"/>
      <c r="AD1735" s="2141"/>
      <c r="AP1735" s="1798"/>
      <c r="AU1735" s="1789"/>
      <c r="AV1735" s="1789"/>
      <c r="AW1735" s="1789"/>
      <c r="AX1735" s="1789"/>
      <c r="AY1735" s="1789"/>
      <c r="AZ1735" s="1789"/>
      <c r="BA1735" s="1789"/>
      <c r="BB1735" s="1789"/>
      <c r="BC1735" s="1789"/>
      <c r="BD1735" s="1789"/>
      <c r="BE1735" s="1789"/>
      <c r="BF1735" s="2150"/>
      <c r="BG1735" s="2150"/>
    </row>
    <row r="1736" spans="1:59">
      <c r="R1736" s="1797"/>
      <c r="S1736" s="2114"/>
      <c r="Y1736" s="2114"/>
      <c r="AD1736" s="2141"/>
      <c r="AP1736" s="1798"/>
      <c r="AU1736" s="1789"/>
      <c r="AV1736" s="1789"/>
      <c r="AW1736" s="1789"/>
      <c r="AX1736" s="1789"/>
      <c r="AY1736" s="1789"/>
      <c r="AZ1736" s="1789"/>
      <c r="BA1736" s="1789"/>
      <c r="BB1736" s="1789"/>
      <c r="BC1736" s="1789"/>
      <c r="BD1736" s="1789"/>
      <c r="BE1736" s="1789"/>
      <c r="BF1736" s="2150"/>
      <c r="BG1736" s="2150"/>
    </row>
    <row r="1737" spans="1:59">
      <c r="R1737" s="1797"/>
      <c r="S1737" s="2114"/>
      <c r="Y1737" s="2114"/>
      <c r="AC1737" s="2121"/>
      <c r="AD1737" s="2141"/>
      <c r="AP1737" s="1798"/>
      <c r="AU1737" s="1789"/>
      <c r="AV1737" s="1789"/>
      <c r="AW1737" s="1789"/>
      <c r="AX1737" s="1789"/>
      <c r="AY1737" s="1789"/>
      <c r="AZ1737" s="1789"/>
      <c r="BA1737" s="1789"/>
      <c r="BB1737" s="1789"/>
      <c r="BC1737" s="1789"/>
      <c r="BD1737" s="1789"/>
      <c r="BE1737" s="1789"/>
      <c r="BF1737" s="2150"/>
      <c r="BG1737" s="2150"/>
    </row>
    <row r="1738" spans="1:59">
      <c r="R1738" s="1797"/>
      <c r="S1738" s="2112"/>
      <c r="Y1738" s="2114"/>
      <c r="AD1738" s="2141"/>
      <c r="AP1738" s="1798"/>
      <c r="AU1738" s="1789"/>
      <c r="AV1738" s="1789"/>
      <c r="AW1738" s="1789"/>
      <c r="AX1738" s="1789"/>
      <c r="AY1738" s="1789"/>
      <c r="AZ1738" s="1789"/>
      <c r="BA1738" s="1789"/>
      <c r="BB1738" s="1789"/>
      <c r="BC1738" s="1789"/>
      <c r="BD1738" s="1789"/>
      <c r="BE1738" s="1789"/>
      <c r="BF1738" s="2150"/>
      <c r="BG1738" s="2150"/>
    </row>
    <row r="1739" spans="1:59">
      <c r="O1739" s="1812"/>
      <c r="P1739" s="1812"/>
      <c r="Q1739" s="1812"/>
      <c r="R1739" s="1797"/>
      <c r="S1739" s="2112"/>
      <c r="AD1739" s="2141"/>
      <c r="AP1739" s="1798"/>
      <c r="AU1739" s="1789"/>
      <c r="AV1739" s="1789"/>
      <c r="AW1739" s="1789"/>
      <c r="AX1739" s="1789"/>
      <c r="AY1739" s="1789"/>
      <c r="AZ1739" s="1789"/>
      <c r="BA1739" s="1789"/>
      <c r="BB1739" s="1789"/>
      <c r="BC1739" s="1789"/>
      <c r="BD1739" s="1789"/>
      <c r="BE1739" s="1789"/>
      <c r="BF1739" s="2150"/>
      <c r="BG1739" s="2150"/>
    </row>
    <row r="1740" spans="1:59">
      <c r="O1740" s="1812"/>
      <c r="P1740" s="1812"/>
      <c r="R1740" s="1797"/>
      <c r="S1740" s="2112"/>
      <c r="AD1740" s="2141"/>
      <c r="AP1740" s="1798"/>
      <c r="AU1740" s="1789"/>
      <c r="AV1740" s="1789"/>
      <c r="AW1740" s="1789"/>
      <c r="AX1740" s="1789"/>
      <c r="AY1740" s="1789"/>
      <c r="AZ1740" s="1789"/>
      <c r="BA1740" s="1789"/>
      <c r="BB1740" s="1789"/>
      <c r="BC1740" s="1789"/>
      <c r="BD1740" s="1789"/>
      <c r="BE1740" s="1789"/>
      <c r="BF1740" s="2150"/>
      <c r="BG1740" s="2150"/>
    </row>
    <row r="1741" spans="1:59">
      <c r="O1741" s="1812"/>
      <c r="P1741" s="1812"/>
      <c r="S1741" s="2112"/>
      <c r="AD1741" s="2141"/>
      <c r="AU1741" s="1789"/>
      <c r="AV1741" s="1789"/>
      <c r="AW1741" s="1789"/>
      <c r="AX1741" s="1789"/>
      <c r="AY1741" s="1789"/>
      <c r="AZ1741" s="1789"/>
      <c r="BA1741" s="1789"/>
      <c r="BB1741" s="1789"/>
      <c r="BC1741" s="1789"/>
      <c r="BD1741" s="1789"/>
      <c r="BE1741" s="1789"/>
      <c r="BF1741" s="2150"/>
      <c r="BG1741" s="2150"/>
    </row>
    <row r="1742" spans="1:59">
      <c r="O1742" s="1812"/>
      <c r="P1742" s="1812"/>
      <c r="S1742" s="2112"/>
      <c r="AD1742" s="2141"/>
      <c r="AU1742" s="1789"/>
      <c r="AV1742" s="1789"/>
      <c r="AW1742" s="1789"/>
      <c r="AX1742" s="1789"/>
      <c r="AY1742" s="1789"/>
      <c r="AZ1742" s="1789"/>
      <c r="BA1742" s="1789"/>
      <c r="BB1742" s="1789"/>
      <c r="BC1742" s="1789"/>
      <c r="BD1742" s="1789"/>
      <c r="BE1742" s="1789"/>
      <c r="BF1742" s="2150"/>
      <c r="BG1742" s="2150"/>
    </row>
    <row r="1743" spans="1:59">
      <c r="O1743" s="1812"/>
      <c r="P1743" s="1812"/>
      <c r="S1743" s="2112"/>
      <c r="AD1743" s="2141"/>
      <c r="AU1743" s="1789"/>
      <c r="AV1743" s="1789"/>
      <c r="AW1743" s="1789"/>
      <c r="AX1743" s="1789"/>
      <c r="AY1743" s="1789"/>
      <c r="AZ1743" s="1789"/>
      <c r="BA1743" s="1789"/>
      <c r="BB1743" s="1789"/>
      <c r="BC1743" s="1789"/>
      <c r="BD1743" s="1789"/>
      <c r="BE1743" s="1789"/>
      <c r="BF1743" s="2150"/>
      <c r="BG1743" s="2150"/>
    </row>
    <row r="1744" spans="1:59">
      <c r="O1744" s="1812"/>
      <c r="P1744" s="1812"/>
      <c r="S1744" s="2112"/>
      <c r="AD1744" s="2141"/>
      <c r="AU1744" s="1789"/>
      <c r="AV1744" s="1789"/>
      <c r="AW1744" s="1789"/>
      <c r="AX1744" s="1789"/>
      <c r="AY1744" s="1789"/>
      <c r="AZ1744" s="1789"/>
      <c r="BA1744" s="1789"/>
      <c r="BB1744" s="1789"/>
      <c r="BC1744" s="1789"/>
      <c r="BD1744" s="1789"/>
      <c r="BE1744" s="1789"/>
      <c r="BF1744" s="2150"/>
      <c r="BG1744" s="2150"/>
    </row>
    <row r="1745" spans="15:59">
      <c r="O1745" s="1812"/>
      <c r="S1745" s="2112"/>
      <c r="AD1745" s="2141"/>
      <c r="AU1745" s="1789"/>
      <c r="AV1745" s="1789"/>
      <c r="AW1745" s="1789"/>
      <c r="AX1745" s="1789"/>
      <c r="AY1745" s="1789"/>
      <c r="AZ1745" s="1789"/>
      <c r="BA1745" s="1789"/>
      <c r="BB1745" s="1789"/>
      <c r="BC1745" s="1789"/>
      <c r="BD1745" s="1789"/>
      <c r="BE1745" s="1789"/>
      <c r="BF1745" s="2150"/>
      <c r="BG1745" s="2150"/>
    </row>
    <row r="1746" spans="15:59">
      <c r="O1746" s="1812"/>
      <c r="S1746" s="2112"/>
      <c r="AD1746" s="2141"/>
      <c r="AU1746" s="1789"/>
      <c r="AV1746" s="1789"/>
      <c r="AW1746" s="1789"/>
      <c r="AX1746" s="1789"/>
      <c r="AY1746" s="1789"/>
      <c r="AZ1746" s="1789"/>
      <c r="BA1746" s="1789"/>
      <c r="BB1746" s="1789"/>
      <c r="BC1746" s="1789"/>
      <c r="BD1746" s="1789"/>
      <c r="BE1746" s="1789"/>
      <c r="BF1746" s="2150"/>
      <c r="BG1746" s="2150"/>
    </row>
    <row r="1747" spans="15:59">
      <c r="O1747" s="1812"/>
      <c r="S1747" s="2112"/>
      <c r="AD1747" s="2141"/>
      <c r="AU1747" s="1789"/>
      <c r="AV1747" s="1789"/>
      <c r="AW1747" s="1789"/>
      <c r="AX1747" s="1789"/>
      <c r="AY1747" s="1789"/>
      <c r="AZ1747" s="1789"/>
      <c r="BA1747" s="1789"/>
      <c r="BB1747" s="1789"/>
      <c r="BC1747" s="1789"/>
      <c r="BD1747" s="1789"/>
      <c r="BE1747" s="1789"/>
      <c r="BF1747" s="2150"/>
      <c r="BG1747" s="2150"/>
    </row>
    <row r="1748" spans="15:59">
      <c r="O1748" s="1812"/>
      <c r="S1748" s="2112"/>
      <c r="AD1748" s="2141"/>
      <c r="AU1748" s="1789"/>
      <c r="AV1748" s="1789"/>
      <c r="AW1748" s="1789"/>
      <c r="AX1748" s="1789"/>
      <c r="AY1748" s="1789"/>
      <c r="AZ1748" s="1789"/>
      <c r="BA1748" s="1789"/>
      <c r="BB1748" s="1789"/>
      <c r="BC1748" s="1789"/>
      <c r="BD1748" s="1789"/>
      <c r="BE1748" s="1789"/>
      <c r="BF1748" s="2150"/>
      <c r="BG1748" s="2150"/>
    </row>
    <row r="1749" spans="15:59">
      <c r="O1749" s="1812"/>
      <c r="S1749" s="2112"/>
      <c r="AD1749" s="2141"/>
      <c r="AU1749" s="1789"/>
      <c r="AV1749" s="1789"/>
      <c r="AW1749" s="1789"/>
      <c r="AX1749" s="1789"/>
      <c r="AY1749" s="1789"/>
      <c r="AZ1749" s="1789"/>
      <c r="BA1749" s="1789"/>
      <c r="BB1749" s="1789"/>
      <c r="BC1749" s="1789"/>
      <c r="BD1749" s="1789"/>
      <c r="BE1749" s="1789"/>
      <c r="BF1749" s="2150"/>
      <c r="BG1749" s="2150"/>
    </row>
    <row r="1750" spans="15:59">
      <c r="O1750" s="1812"/>
      <c r="S1750" s="2112"/>
      <c r="AD1750" s="2141"/>
      <c r="AU1750" s="1789"/>
      <c r="AV1750" s="1789"/>
      <c r="AW1750" s="1789"/>
      <c r="AX1750" s="1789"/>
      <c r="AY1750" s="1789"/>
      <c r="AZ1750" s="1789"/>
      <c r="BA1750" s="1789"/>
      <c r="BB1750" s="1789"/>
      <c r="BC1750" s="1789"/>
      <c r="BD1750" s="1789"/>
      <c r="BE1750" s="1789"/>
      <c r="BF1750" s="2150"/>
      <c r="BG1750" s="2150"/>
    </row>
    <row r="1751" spans="15:59">
      <c r="O1751" s="1812"/>
      <c r="S1751" s="2112"/>
      <c r="AD1751" s="2141"/>
      <c r="AU1751" s="1789"/>
      <c r="AV1751" s="1789"/>
      <c r="AW1751" s="1789"/>
      <c r="AX1751" s="1789"/>
      <c r="AY1751" s="1789"/>
      <c r="AZ1751" s="1789"/>
      <c r="BA1751" s="1789"/>
      <c r="BB1751" s="1789"/>
      <c r="BC1751" s="1789"/>
      <c r="BD1751" s="1789"/>
      <c r="BE1751" s="1789"/>
      <c r="BF1751" s="2150"/>
      <c r="BG1751" s="2150"/>
    </row>
    <row r="1752" spans="15:59">
      <c r="O1752" s="1812"/>
      <c r="S1752" s="2112"/>
      <c r="AD1752" s="2141"/>
      <c r="AU1752" s="1789"/>
      <c r="AV1752" s="1789"/>
      <c r="AW1752" s="1789"/>
      <c r="AX1752" s="1789"/>
      <c r="AY1752" s="1789"/>
      <c r="AZ1752" s="1789"/>
      <c r="BA1752" s="1789"/>
      <c r="BB1752" s="1789"/>
      <c r="BC1752" s="1789"/>
      <c r="BD1752" s="1789"/>
      <c r="BE1752" s="1789"/>
      <c r="BF1752" s="2150"/>
      <c r="BG1752" s="2150"/>
    </row>
    <row r="1753" spans="15:59">
      <c r="O1753" s="1812"/>
      <c r="S1753" s="2112"/>
      <c r="AD1753" s="2141"/>
      <c r="AU1753" s="1789"/>
      <c r="AV1753" s="1789"/>
      <c r="AW1753" s="1789"/>
      <c r="AX1753" s="1789"/>
      <c r="AY1753" s="1789"/>
      <c r="AZ1753" s="1789"/>
      <c r="BA1753" s="1789"/>
      <c r="BB1753" s="1789"/>
      <c r="BC1753" s="1789"/>
      <c r="BD1753" s="1789"/>
      <c r="BE1753" s="1789"/>
      <c r="BF1753" s="2150"/>
      <c r="BG1753" s="2150"/>
    </row>
    <row r="1754" spans="15:59">
      <c r="O1754" s="1812"/>
      <c r="S1754" s="2112"/>
      <c r="AD1754" s="2141"/>
      <c r="AU1754" s="1789"/>
      <c r="AV1754" s="1789"/>
      <c r="AW1754" s="1789"/>
      <c r="AX1754" s="1789"/>
      <c r="AY1754" s="1789"/>
      <c r="AZ1754" s="1789"/>
      <c r="BA1754" s="1789"/>
      <c r="BB1754" s="1789"/>
      <c r="BC1754" s="1789"/>
      <c r="BD1754" s="1789"/>
      <c r="BE1754" s="1789"/>
      <c r="BF1754" s="2150"/>
      <c r="BG1754" s="2150"/>
    </row>
    <row r="1755" spans="15:59">
      <c r="O1755" s="1812"/>
      <c r="S1755" s="2112"/>
      <c r="AD1755" s="2141"/>
      <c r="AU1755" s="1789"/>
      <c r="AV1755" s="1789"/>
      <c r="AW1755" s="1789"/>
      <c r="AX1755" s="1789"/>
      <c r="AY1755" s="1789"/>
      <c r="AZ1755" s="1789"/>
      <c r="BA1755" s="1789"/>
      <c r="BB1755" s="1789"/>
      <c r="BC1755" s="1789"/>
      <c r="BD1755" s="1789"/>
      <c r="BE1755" s="1789"/>
      <c r="BF1755" s="2150"/>
      <c r="BG1755" s="2150"/>
    </row>
    <row r="1756" spans="15:59">
      <c r="O1756" s="1812"/>
      <c r="S1756" s="2112"/>
      <c r="AD1756" s="2141"/>
      <c r="AU1756" s="1789"/>
      <c r="AV1756" s="1789"/>
      <c r="AW1756" s="1789"/>
      <c r="AX1756" s="1789"/>
      <c r="AY1756" s="1789"/>
      <c r="AZ1756" s="1789"/>
      <c r="BA1756" s="1789"/>
      <c r="BB1756" s="1789"/>
      <c r="BC1756" s="1789"/>
      <c r="BD1756" s="1789"/>
      <c r="BE1756" s="1789"/>
      <c r="BF1756" s="2150"/>
      <c r="BG1756" s="2150"/>
    </row>
    <row r="1757" spans="15:59">
      <c r="O1757" s="1812"/>
      <c r="S1757" s="2112"/>
      <c r="AD1757" s="2141"/>
      <c r="AU1757" s="1789"/>
      <c r="AV1757" s="1789"/>
      <c r="AW1757" s="1789"/>
      <c r="AX1757" s="1789"/>
      <c r="AY1757" s="1789"/>
      <c r="AZ1757" s="1789"/>
      <c r="BA1757" s="1789"/>
      <c r="BB1757" s="1789"/>
      <c r="BC1757" s="1789"/>
      <c r="BD1757" s="1789"/>
      <c r="BE1757" s="1789"/>
      <c r="BF1757" s="2150"/>
      <c r="BG1757" s="2150"/>
    </row>
    <row r="1758" spans="15:59">
      <c r="O1758" s="1812"/>
      <c r="S1758" s="2112"/>
      <c r="AD1758" s="2141"/>
      <c r="AU1758" s="1789"/>
      <c r="AV1758" s="1789"/>
      <c r="AW1758" s="1789"/>
      <c r="AX1758" s="1789"/>
      <c r="AY1758" s="1789"/>
      <c r="AZ1758" s="1789"/>
      <c r="BA1758" s="1789"/>
      <c r="BB1758" s="1789"/>
      <c r="BC1758" s="1789"/>
      <c r="BD1758" s="1789"/>
      <c r="BE1758" s="1789"/>
      <c r="BF1758" s="2150"/>
      <c r="BG1758" s="2150"/>
    </row>
    <row r="1759" spans="15:59">
      <c r="S1759" s="2112"/>
      <c r="AD1759" s="2141"/>
      <c r="AU1759" s="1789"/>
      <c r="AV1759" s="1789"/>
      <c r="AW1759" s="1789"/>
      <c r="AX1759" s="1789"/>
      <c r="AY1759" s="1789"/>
      <c r="AZ1759" s="1789"/>
      <c r="BA1759" s="1789"/>
      <c r="BB1759" s="1789"/>
      <c r="BC1759" s="1789"/>
      <c r="BD1759" s="1789"/>
      <c r="BE1759" s="1789"/>
      <c r="BF1759" s="2150"/>
      <c r="BG1759" s="2150"/>
    </row>
    <row r="1760" spans="15:59">
      <c r="S1760" s="2112"/>
      <c r="AD1760" s="2141"/>
      <c r="AU1760" s="1789"/>
      <c r="AV1760" s="1789"/>
      <c r="AW1760" s="1789"/>
      <c r="AX1760" s="1789"/>
      <c r="AY1760" s="1789"/>
      <c r="AZ1760" s="1789"/>
      <c r="BA1760" s="1789"/>
      <c r="BB1760" s="1789"/>
      <c r="BC1760" s="1789"/>
      <c r="BD1760" s="1789"/>
      <c r="BE1760" s="1789"/>
      <c r="BF1760" s="2150"/>
      <c r="BG1760" s="2150"/>
    </row>
    <row r="1761" spans="18:59">
      <c r="S1761" s="2112"/>
      <c r="AD1761" s="2141"/>
      <c r="AU1761" s="1789"/>
      <c r="AV1761" s="1789"/>
      <c r="AW1761" s="1789"/>
      <c r="AX1761" s="1789"/>
      <c r="AY1761" s="1789"/>
      <c r="AZ1761" s="1789"/>
      <c r="BA1761" s="1789"/>
      <c r="BB1761" s="1789"/>
      <c r="BC1761" s="1789"/>
      <c r="BD1761" s="1789"/>
      <c r="BE1761" s="1789"/>
      <c r="BF1761" s="2150"/>
      <c r="BG1761" s="2150"/>
    </row>
    <row r="1762" spans="18:59">
      <c r="S1762" s="2112"/>
      <c r="AD1762" s="2141"/>
      <c r="AU1762" s="1789"/>
      <c r="AV1762" s="1789"/>
      <c r="AW1762" s="1789"/>
      <c r="AX1762" s="1789"/>
      <c r="AY1762" s="1789"/>
      <c r="AZ1762" s="1789"/>
      <c r="BA1762" s="1789"/>
      <c r="BB1762" s="1789"/>
      <c r="BC1762" s="1789"/>
      <c r="BD1762" s="1789"/>
      <c r="BE1762" s="1789"/>
      <c r="BF1762" s="2150"/>
      <c r="BG1762" s="2150"/>
    </row>
    <row r="1767" spans="18:59" ht="21">
      <c r="AB1767" s="2120"/>
    </row>
    <row r="1768" spans="18:59">
      <c r="R1768" s="1334" t="s">
        <v>1</v>
      </c>
    </row>
    <row r="1771" spans="18:59" ht="14.5">
      <c r="AD1771" s="2122"/>
    </row>
    <row r="1772" spans="18:59" ht="14.5">
      <c r="AD1772" s="2122"/>
    </row>
    <row r="1773" spans="18:59" ht="14.5">
      <c r="AD1773" s="2122"/>
    </row>
    <row r="1774" spans="18:59" ht="14.5">
      <c r="AD1774" s="2122"/>
    </row>
    <row r="1789" spans="42:42">
      <c r="AP1789" s="1426">
        <f>AD26+AD27</f>
        <v>-12916.371393331519</v>
      </c>
    </row>
    <row r="1790" spans="42:42">
      <c r="AP1790" s="1426">
        <f>ROUNDUP(AP1789,-2)</f>
        <v>-13000</v>
      </c>
    </row>
  </sheetData>
  <autoFilter ref="A7:BX1718" xr:uid="{00000000-0009-0000-0000-000000000000}"/>
  <sortState xmlns:xlrd2="http://schemas.microsoft.com/office/spreadsheetml/2017/richdata2" ref="A8:BR3117">
    <sortCondition ref="A8:A3117"/>
    <sortCondition ref="C8:C3117"/>
    <sortCondition ref="E8:E3117"/>
    <sortCondition ref="H8:H3117"/>
    <sortCondition ref="AQ8:AQ3117"/>
  </sortState>
  <mergeCells count="6">
    <mergeCell ref="BK6:BR6"/>
    <mergeCell ref="BH6:BJ6"/>
    <mergeCell ref="AU6:AW6"/>
    <mergeCell ref="AS6:AT6"/>
    <mergeCell ref="BF6:BG6"/>
    <mergeCell ref="AX6:BE6"/>
  </mergeCells>
  <phoneticPr fontId="136" type="noConversion"/>
  <printOptions horizontalCentered="1"/>
  <pageMargins left="0.23622047244094491" right="0.23622047244094491" top="0.74803149606299213" bottom="0.74803149606299213" header="0.31496062992125984" footer="0.31496062992125984"/>
  <pageSetup paperSize="17" scale="18" fitToHeight="0" orientation="landscape" r:id="rId1"/>
  <headerFooter>
    <oddFooter>&amp;C&amp;D&amp;RPage &amp;P</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Q99"/>
  <sheetViews>
    <sheetView zoomScale="70" zoomScaleNormal="70" workbookViewId="0">
      <selection activeCell="S6" sqref="S6"/>
    </sheetView>
  </sheetViews>
  <sheetFormatPr defaultColWidth="9.1796875" defaultRowHeight="14.5"/>
  <cols>
    <col min="2" max="2" width="57.81640625" bestFit="1" customWidth="1"/>
    <col min="3" max="3" width="17" customWidth="1"/>
    <col min="4" max="4" width="25.453125" customWidth="1"/>
    <col min="5" max="5" width="34.81640625" customWidth="1"/>
    <col min="6" max="6" width="16.26953125" bestFit="1" customWidth="1"/>
    <col min="7" max="7" width="16.7265625" customWidth="1"/>
    <col min="8" max="8" width="13.81640625" customWidth="1"/>
    <col min="9" max="9" width="18.1796875" customWidth="1"/>
    <col min="10" max="10" width="13.81640625" bestFit="1" customWidth="1"/>
    <col min="11" max="11" width="13.1796875" customWidth="1"/>
    <col min="13" max="13" width="59.1796875" customWidth="1"/>
    <col min="14" max="14" width="20.54296875" customWidth="1"/>
    <col min="15" max="15" width="26" bestFit="1" customWidth="1"/>
    <col min="16" max="16" width="15.1796875" bestFit="1" customWidth="1"/>
    <col min="17" max="17" width="11.453125" customWidth="1"/>
    <col min="18" max="18" width="12.7265625" customWidth="1"/>
  </cols>
  <sheetData>
    <row r="2" spans="3:17">
      <c r="M2" t="s">
        <v>3444</v>
      </c>
      <c r="N2" s="1252">
        <f>SUMIF('Estimate Details'!AQ9:AQ1622,"2017-A",'Estimate Details'!AD9:AD1622)</f>
        <v>4598577.9293206707</v>
      </c>
      <c r="O2" s="194"/>
    </row>
    <row r="3" spans="3:17">
      <c r="D3" s="818"/>
      <c r="F3" s="854"/>
      <c r="N3" s="161"/>
    </row>
    <row r="4" spans="3:17">
      <c r="M4" t="s">
        <v>2742</v>
      </c>
      <c r="N4" s="967">
        <v>0</v>
      </c>
      <c r="O4" t="s">
        <v>3152</v>
      </c>
    </row>
    <row r="5" spans="3:17">
      <c r="M5" s="1651" t="s">
        <v>2692</v>
      </c>
      <c r="N5" s="1652">
        <f>ROUND(C62,-3)</f>
        <v>1198000</v>
      </c>
    </row>
    <row r="6" spans="3:17">
      <c r="M6" t="s">
        <v>3154</v>
      </c>
      <c r="N6" s="967">
        <v>0</v>
      </c>
    </row>
    <row r="7" spans="3:17">
      <c r="C7" s="165"/>
      <c r="K7" s="1123"/>
      <c r="M7" t="s">
        <v>2686</v>
      </c>
      <c r="N7" s="967"/>
    </row>
    <row r="8" spans="3:17">
      <c r="K8" s="1124"/>
      <c r="N8" s="967"/>
    </row>
    <row r="9" spans="3:17">
      <c r="D9" s="165"/>
      <c r="K9" s="1124"/>
      <c r="M9" s="1651" t="s">
        <v>2696</v>
      </c>
      <c r="N9" s="1652">
        <f>ROUND(C72,-3)</f>
        <v>151000</v>
      </c>
      <c r="Q9" s="901"/>
    </row>
    <row r="10" spans="3:17">
      <c r="E10" s="901"/>
      <c r="K10" s="1124"/>
      <c r="M10" s="1651" t="s">
        <v>2743</v>
      </c>
      <c r="N10" s="1652">
        <f>ROUND((F71+E55),-3)</f>
        <v>414000</v>
      </c>
    </row>
    <row r="11" spans="3:17">
      <c r="C11" s="165"/>
      <c r="E11" s="901"/>
      <c r="I11" t="s">
        <v>3223</v>
      </c>
      <c r="K11" s="1123"/>
      <c r="M11" s="1651" t="s">
        <v>2698</v>
      </c>
      <c r="N11" s="1652">
        <f>ROUND(E40,-3)</f>
        <v>460000</v>
      </c>
      <c r="Q11" s="997"/>
    </row>
    <row r="12" spans="3:17">
      <c r="E12" s="901"/>
      <c r="I12" s="1250">
        <f>SUMIF('Estimate Details'!AQ9:AQ1622,"2017-A",'Estimate Details'!Z9:Z1622)</f>
        <v>18356.284728193707</v>
      </c>
      <c r="K12" s="1123"/>
      <c r="N12" s="967"/>
    </row>
    <row r="13" spans="3:17">
      <c r="E13" s="901"/>
      <c r="F13" t="s">
        <v>3445</v>
      </c>
      <c r="I13" t="s">
        <v>3224</v>
      </c>
      <c r="K13" s="1124"/>
      <c r="M13" t="s">
        <v>3225</v>
      </c>
      <c r="N13" s="967">
        <f>C87</f>
        <v>0</v>
      </c>
      <c r="O13" t="s">
        <v>3152</v>
      </c>
    </row>
    <row r="14" spans="3:17">
      <c r="F14" s="1081">
        <f>I12/10</f>
        <v>1835.6284728193707</v>
      </c>
      <c r="I14" s="1125">
        <f>F14</f>
        <v>1835.6284728193707</v>
      </c>
      <c r="K14" s="1124"/>
      <c r="M14" t="s">
        <v>3226</v>
      </c>
      <c r="N14" s="967">
        <v>0</v>
      </c>
      <c r="O14" t="s">
        <v>3152</v>
      </c>
      <c r="P14" s="997"/>
    </row>
    <row r="15" spans="3:17">
      <c r="E15" s="901"/>
      <c r="K15" s="1124"/>
      <c r="M15" t="s">
        <v>3159</v>
      </c>
      <c r="N15" s="967">
        <f>ROUND((C99+F89),-3)</f>
        <v>0</v>
      </c>
      <c r="O15" t="s">
        <v>3152</v>
      </c>
    </row>
    <row r="16" spans="3:17">
      <c r="E16" s="901"/>
      <c r="I16">
        <v>116</v>
      </c>
      <c r="J16" s="1044">
        <f>I14*I16</f>
        <v>212932.90284704699</v>
      </c>
      <c r="K16" s="1124"/>
      <c r="N16" s="967"/>
    </row>
    <row r="17" spans="3:17">
      <c r="C17" s="998"/>
      <c r="E17" s="901"/>
      <c r="I17">
        <v>110</v>
      </c>
      <c r="J17">
        <f>I14*I17</f>
        <v>201919.13201013076</v>
      </c>
      <c r="K17" s="1123"/>
      <c r="M17" s="1651" t="s">
        <v>2676</v>
      </c>
      <c r="N17" s="1652">
        <f>ROUND(E41,-3)</f>
        <v>179000</v>
      </c>
      <c r="O17" t="s">
        <v>3158</v>
      </c>
    </row>
    <row r="18" spans="3:17">
      <c r="E18" s="165"/>
      <c r="J18" s="1044">
        <f>SUM(J16:J17)</f>
        <v>414852.03485717776</v>
      </c>
      <c r="K18" s="1123"/>
      <c r="M18" s="1655" t="s">
        <v>2680</v>
      </c>
      <c r="N18" s="1652">
        <f>ROUND(E42,-3)</f>
        <v>432000</v>
      </c>
      <c r="O18" t="s">
        <v>3158</v>
      </c>
    </row>
    <row r="19" spans="3:17">
      <c r="E19" s="998"/>
      <c r="K19" s="1123"/>
      <c r="N19" s="967"/>
    </row>
    <row r="20" spans="3:17" ht="29">
      <c r="K20" s="1123"/>
      <c r="M20" s="7" t="s">
        <v>3215</v>
      </c>
      <c r="N20" s="967">
        <f>ROUND(E44,-3)</f>
        <v>703000</v>
      </c>
      <c r="O20" t="s">
        <v>3158</v>
      </c>
    </row>
    <row r="21" spans="3:17">
      <c r="K21" s="1123"/>
    </row>
    <row r="22" spans="3:17">
      <c r="K22" s="1123"/>
    </row>
    <row r="23" spans="3:17">
      <c r="D23" s="165"/>
      <c r="M23" t="s">
        <v>3161</v>
      </c>
      <c r="N23" s="203">
        <f>SUM(N4:N20)</f>
        <v>3537000</v>
      </c>
    </row>
    <row r="24" spans="3:17">
      <c r="Q24" s="1239"/>
    </row>
    <row r="25" spans="3:17">
      <c r="M25" t="s">
        <v>3162</v>
      </c>
      <c r="N25" s="997">
        <f>ROUND(N2+N23,-3)</f>
        <v>8136000</v>
      </c>
      <c r="Q25" s="1239"/>
    </row>
    <row r="28" spans="3:17">
      <c r="N28" s="1101"/>
    </row>
    <row r="30" spans="3:17">
      <c r="M30" s="165"/>
    </row>
    <row r="31" spans="3:17">
      <c r="I31" t="s">
        <v>3446</v>
      </c>
      <c r="J31" s="901">
        <f>I14/(30*3*3)</f>
        <v>6.7986239734050766</v>
      </c>
    </row>
    <row r="33" spans="2:13">
      <c r="B33" s="2242" t="s">
        <v>3167</v>
      </c>
      <c r="C33" s="2242"/>
      <c r="D33" s="2242"/>
      <c r="E33" s="1252">
        <f>SUMIF('Estimate Details'!AQ9:AQ1622,"2017-A",'Estimate Details'!AD9:AD1622)</f>
        <v>4598577.9293206707</v>
      </c>
    </row>
    <row r="34" spans="2:13">
      <c r="B34" s="2242" t="s">
        <v>3228</v>
      </c>
      <c r="C34" s="2242"/>
      <c r="D34" s="2242"/>
      <c r="E34" s="997">
        <f>E33+SUM(N9:N15)</f>
        <v>5623577.9293206707</v>
      </c>
    </row>
    <row r="35" spans="2:13">
      <c r="B35" s="2242" t="s">
        <v>3168</v>
      </c>
      <c r="C35" s="2242"/>
      <c r="D35" s="2242"/>
      <c r="E35" s="1043">
        <f>E33+N7+C99+F89</f>
        <v>4598577.9293206707</v>
      </c>
      <c r="G35" s="1043"/>
    </row>
    <row r="36" spans="2:13">
      <c r="B36" s="2243" t="s">
        <v>3169</v>
      </c>
      <c r="C36" s="2243"/>
      <c r="D36" s="2243"/>
      <c r="E36" s="2244">
        <f>E35+E40+E55+F71+C72</f>
        <v>5623498.1928735059</v>
      </c>
    </row>
    <row r="37" spans="2:13">
      <c r="B37" s="2243"/>
      <c r="C37" s="2243"/>
      <c r="D37" s="2243"/>
      <c r="E37" s="2244"/>
    </row>
    <row r="38" spans="2:13">
      <c r="B38" s="387"/>
      <c r="C38" s="387"/>
      <c r="D38" s="387"/>
      <c r="E38" s="1122"/>
    </row>
    <row r="40" spans="2:13">
      <c r="B40" s="1121" t="s">
        <v>2698</v>
      </c>
      <c r="C40" s="1121"/>
      <c r="D40" s="1118">
        <v>0.1</v>
      </c>
      <c r="E40" s="1288">
        <f>$E$33*D40</f>
        <v>459857.79293206707</v>
      </c>
      <c r="F40" s="1121" t="s">
        <v>3170</v>
      </c>
      <c r="G40" s="1121"/>
      <c r="H40" s="1121"/>
      <c r="I40" s="1121"/>
      <c r="J40" s="1121"/>
      <c r="K40" s="1043">
        <f t="shared" ref="K40:K45" si="0">ROUND(E40,-3)</f>
        <v>460000</v>
      </c>
      <c r="M40">
        <f>46*200</f>
        <v>9200</v>
      </c>
    </row>
    <row r="41" spans="2:13">
      <c r="B41" s="1121" t="s">
        <v>3172</v>
      </c>
      <c r="C41" s="1121"/>
      <c r="D41" s="1120">
        <v>3.9E-2</v>
      </c>
      <c r="E41" s="1289">
        <f>$E$33*D41</f>
        <v>179344.53924350615</v>
      </c>
      <c r="F41" s="1121" t="s">
        <v>2677</v>
      </c>
      <c r="G41" s="1121"/>
      <c r="H41" s="1121"/>
      <c r="I41" s="1121"/>
      <c r="J41" s="1121"/>
      <c r="K41" s="1043">
        <f t="shared" si="0"/>
        <v>179000</v>
      </c>
      <c r="M41">
        <v>9500</v>
      </c>
    </row>
    <row r="42" spans="2:13">
      <c r="B42" s="1121" t="s">
        <v>3173</v>
      </c>
      <c r="C42" s="1121"/>
      <c r="D42" s="1120">
        <v>9.4E-2</v>
      </c>
      <c r="E42" s="1119">
        <f>$E$35*D42</f>
        <v>432266.32535614306</v>
      </c>
      <c r="F42" s="2245" t="s">
        <v>3218</v>
      </c>
      <c r="G42" s="2245"/>
      <c r="H42" s="2245"/>
      <c r="I42" s="2245"/>
      <c r="J42" s="2245"/>
      <c r="K42" s="1043">
        <f t="shared" si="0"/>
        <v>432000</v>
      </c>
      <c r="M42">
        <f>SUM(M40:M41)*7</f>
        <v>130900</v>
      </c>
    </row>
    <row r="43" spans="2:13">
      <c r="B43" s="1121"/>
      <c r="C43" s="1121"/>
      <c r="D43" s="1118"/>
      <c r="E43" s="1121"/>
      <c r="F43" s="1121"/>
      <c r="G43" s="1121"/>
      <c r="H43" s="1121"/>
      <c r="I43" s="1121"/>
      <c r="J43" s="1121"/>
      <c r="K43" s="1043">
        <f t="shared" si="0"/>
        <v>0</v>
      </c>
    </row>
    <row r="44" spans="2:13">
      <c r="B44" s="1121" t="s">
        <v>2747</v>
      </c>
      <c r="C44" s="1121"/>
      <c r="D44" s="1120">
        <v>0.125</v>
      </c>
      <c r="E44" s="1119">
        <f>$E$36*D44</f>
        <v>702937.27410918823</v>
      </c>
      <c r="F44" s="2241" t="s">
        <v>3447</v>
      </c>
      <c r="G44" s="2241"/>
      <c r="H44" s="2241"/>
      <c r="I44" s="2241"/>
      <c r="J44" s="2241"/>
      <c r="K44" s="1043">
        <f t="shared" si="0"/>
        <v>703000</v>
      </c>
    </row>
    <row r="45" spans="2:13">
      <c r="B45" s="1121"/>
      <c r="C45" s="1121"/>
      <c r="D45" s="1121"/>
      <c r="E45" s="1121"/>
      <c r="F45" s="2241"/>
      <c r="G45" s="2241"/>
      <c r="H45" s="2241"/>
      <c r="I45" s="2241"/>
      <c r="J45" s="2241"/>
      <c r="K45" s="1043">
        <f t="shared" si="0"/>
        <v>0</v>
      </c>
    </row>
    <row r="48" spans="2:13">
      <c r="B48" s="999" t="s">
        <v>3174</v>
      </c>
      <c r="C48" s="999"/>
      <c r="E48" s="1000" t="s">
        <v>3184</v>
      </c>
    </row>
    <row r="49" spans="2:9">
      <c r="B49" t="s">
        <v>3448</v>
      </c>
      <c r="C49" s="1081">
        <f>18.75*1000000</f>
        <v>18750000</v>
      </c>
      <c r="D49" s="7"/>
      <c r="E49" s="901">
        <v>1732500</v>
      </c>
      <c r="F49" t="s">
        <v>3185</v>
      </c>
    </row>
    <row r="50" spans="2:9">
      <c r="B50" t="s">
        <v>3176</v>
      </c>
      <c r="C50" s="194">
        <v>0.1</v>
      </c>
      <c r="E50">
        <v>30</v>
      </c>
      <c r="F50" t="s">
        <v>3186</v>
      </c>
    </row>
    <row r="51" spans="2:9">
      <c r="E51">
        <v>500</v>
      </c>
      <c r="F51" t="s">
        <v>3230</v>
      </c>
    </row>
    <row r="52" spans="2:9">
      <c r="B52" t="s">
        <v>3229</v>
      </c>
      <c r="C52" s="1081">
        <f>SUMIF('Estimate Details'!AQ9:AQ1622,"2017-A",'Estimate Details'!AA9:AA1622)/0.97</f>
        <v>1092661.8881726705</v>
      </c>
      <c r="D52" s="1081">
        <f>ROUND(C52,-3)</f>
        <v>1093000</v>
      </c>
    </row>
    <row r="53" spans="2:9">
      <c r="B53" t="s">
        <v>3178</v>
      </c>
      <c r="C53" s="1081">
        <f>E53*I14</f>
        <v>212015.08861063732</v>
      </c>
      <c r="D53" s="1081">
        <f>ROUND(C53,-3)</f>
        <v>212000</v>
      </c>
      <c r="E53" s="1001">
        <f>E49/(E50*E51)</f>
        <v>115.5</v>
      </c>
      <c r="F53" t="s">
        <v>3188</v>
      </c>
    </row>
    <row r="54" spans="2:9">
      <c r="B54" t="s">
        <v>3249</v>
      </c>
      <c r="C54" s="854">
        <f>C52+C53</f>
        <v>1304676.9767833077</v>
      </c>
      <c r="D54" s="1081">
        <f>ROUND(C54,-3)</f>
        <v>1305000</v>
      </c>
    </row>
    <row r="55" spans="2:9">
      <c r="C55" s="194"/>
      <c r="D55" s="1081"/>
      <c r="E55" s="1654">
        <f>I14*E53</f>
        <v>212015.08861063732</v>
      </c>
      <c r="F55" t="s">
        <v>3037</v>
      </c>
    </row>
    <row r="56" spans="2:9">
      <c r="B56" t="s">
        <v>3180</v>
      </c>
      <c r="C56" s="194">
        <v>0.4</v>
      </c>
      <c r="D56" s="1081">
        <f t="shared" ref="D56:D60" si="1">ROUND(C56,-3)</f>
        <v>0</v>
      </c>
      <c r="E56" s="1044"/>
      <c r="I56" s="1044">
        <f>SUMIF('Estimate Details'!AQ9:AQ1622,"2017",'Estimate Details'!AA9:AA1622)</f>
        <v>67957.475818263672</v>
      </c>
    </row>
    <row r="57" spans="2:9">
      <c r="D57" s="1081"/>
      <c r="E57" s="1044"/>
      <c r="G57">
        <f>51.1/2</f>
        <v>25.55</v>
      </c>
    </row>
    <row r="58" spans="2:9">
      <c r="B58" t="s">
        <v>3181</v>
      </c>
      <c r="C58" s="967">
        <f>0.5*C49*C50</f>
        <v>937500</v>
      </c>
      <c r="D58" s="1081">
        <f t="shared" si="1"/>
        <v>938000</v>
      </c>
      <c r="E58" s="1044"/>
    </row>
    <row r="59" spans="2:9">
      <c r="D59" s="1081"/>
      <c r="E59" s="1044"/>
    </row>
    <row r="60" spans="2:9">
      <c r="B60" t="s">
        <v>3250</v>
      </c>
      <c r="C60" s="967">
        <f>0.5*C54*C56</f>
        <v>260935.39535666155</v>
      </c>
      <c r="D60" s="1081">
        <f t="shared" si="1"/>
        <v>261000</v>
      </c>
      <c r="E60" s="1044"/>
    </row>
    <row r="61" spans="2:9">
      <c r="D61" s="1081"/>
      <c r="E61" s="1044"/>
      <c r="H61" s="1081"/>
    </row>
    <row r="62" spans="2:9">
      <c r="B62" t="s">
        <v>3183</v>
      </c>
      <c r="C62" s="1101">
        <f>C60+C58</f>
        <v>1198435.3953566616</v>
      </c>
      <c r="D62" s="1081">
        <f>ROUND(C62,-3)</f>
        <v>1198000</v>
      </c>
    </row>
    <row r="64" spans="2:9">
      <c r="B64" s="1002" t="s">
        <v>3220</v>
      </c>
      <c r="E64" s="1003" t="s">
        <v>3190</v>
      </c>
    </row>
    <row r="65" spans="2:9">
      <c r="B65" s="1121" t="s">
        <v>3195</v>
      </c>
      <c r="C65" s="1094">
        <f>I14</f>
        <v>1835.6284728193707</v>
      </c>
      <c r="E65" s="1003"/>
    </row>
    <row r="66" spans="2:9">
      <c r="B66" s="1121" t="s">
        <v>3196</v>
      </c>
      <c r="C66" s="1121">
        <f>(ROUNDUP(C65*0.7,0))</f>
        <v>1285</v>
      </c>
      <c r="E66" t="s">
        <v>3231</v>
      </c>
      <c r="F66">
        <v>110</v>
      </c>
    </row>
    <row r="67" spans="2:9">
      <c r="B67" s="1121" t="s">
        <v>3197</v>
      </c>
      <c r="C67" s="1121">
        <f>(ROUNDUP(C65*0.3,0))</f>
        <v>551</v>
      </c>
      <c r="E67" t="s">
        <v>3449</v>
      </c>
      <c r="F67" s="1001">
        <f>E53</f>
        <v>115.5</v>
      </c>
    </row>
    <row r="68" spans="2:9">
      <c r="B68" s="1121"/>
      <c r="C68" s="1121"/>
    </row>
    <row r="69" spans="2:9">
      <c r="B69" s="1121" t="s">
        <v>3198</v>
      </c>
      <c r="C69" s="1081">
        <f>C66*85.45</f>
        <v>109803.25</v>
      </c>
      <c r="D69" s="818"/>
    </row>
    <row r="70" spans="2:9">
      <c r="B70" s="1121" t="s">
        <v>3199</v>
      </c>
      <c r="C70" s="1081">
        <f>C67*75</f>
        <v>41325</v>
      </c>
      <c r="D70" s="818"/>
    </row>
    <row r="71" spans="2:9">
      <c r="D71" s="818"/>
      <c r="E71" t="s">
        <v>3193</v>
      </c>
      <c r="F71" s="1653">
        <f>F66*I14</f>
        <v>201919.13201013076</v>
      </c>
    </row>
    <row r="72" spans="2:9">
      <c r="B72" s="847" t="s">
        <v>3200</v>
      </c>
      <c r="C72" s="1238">
        <f>SUM(C69:C70)</f>
        <v>151128.25</v>
      </c>
      <c r="D72" s="818">
        <f>ROUND(C72,-3)</f>
        <v>151000</v>
      </c>
      <c r="E72" t="s">
        <v>3233</v>
      </c>
      <c r="F72" s="194">
        <f>F67*I14</f>
        <v>212015.08861063732</v>
      </c>
    </row>
    <row r="73" spans="2:9">
      <c r="B73" s="1121"/>
      <c r="C73" s="1121"/>
      <c r="D73" s="818"/>
    </row>
    <row r="74" spans="2:9">
      <c r="B74" s="1121"/>
      <c r="C74" s="1121"/>
      <c r="D74" s="818"/>
      <c r="E74" t="s">
        <v>3162</v>
      </c>
      <c r="F74" s="194">
        <f>(SUM(F71:F72))</f>
        <v>413934.22062076809</v>
      </c>
      <c r="G74" s="203">
        <f>ROUND(F74,-3)</f>
        <v>414000</v>
      </c>
      <c r="H74" s="1001">
        <f>G74/I14</f>
        <v>225.53583480001859</v>
      </c>
      <c r="I74" t="s">
        <v>3450</v>
      </c>
    </row>
    <row r="75" spans="2:9">
      <c r="B75" s="1121"/>
      <c r="C75" s="1121"/>
      <c r="D75" s="818"/>
    </row>
    <row r="77" spans="2:9">
      <c r="B77" s="1004" t="s">
        <v>3234</v>
      </c>
      <c r="E77" s="1005" t="s">
        <v>3245</v>
      </c>
    </row>
    <row r="78" spans="2:9">
      <c r="B78" t="s">
        <v>3235</v>
      </c>
      <c r="C78">
        <v>200</v>
      </c>
      <c r="E78" t="s">
        <v>3235</v>
      </c>
      <c r="F78">
        <v>200</v>
      </c>
    </row>
    <row r="79" spans="2:9">
      <c r="B79" t="s">
        <v>3236</v>
      </c>
      <c r="C79">
        <v>46</v>
      </c>
      <c r="E79" t="s">
        <v>3236</v>
      </c>
      <c r="F79">
        <v>72</v>
      </c>
    </row>
    <row r="80" spans="2:9">
      <c r="B80" t="s">
        <v>3237</v>
      </c>
      <c r="C80">
        <v>4500</v>
      </c>
      <c r="E80" t="s">
        <v>3237</v>
      </c>
      <c r="F80">
        <v>4500</v>
      </c>
    </row>
    <row r="81" spans="2:6">
      <c r="B81" t="s">
        <v>3238</v>
      </c>
      <c r="C81">
        <v>5000</v>
      </c>
    </row>
    <row r="82" spans="2:6">
      <c r="E82" t="s">
        <v>3246</v>
      </c>
      <c r="F82">
        <v>43</v>
      </c>
    </row>
    <row r="83" spans="2:6">
      <c r="B83" t="s">
        <v>3239</v>
      </c>
      <c r="C83" s="194">
        <f>(C78*C79)+C80+C81</f>
        <v>18700</v>
      </c>
      <c r="E83" t="s">
        <v>3247</v>
      </c>
      <c r="F83">
        <v>100</v>
      </c>
    </row>
    <row r="85" spans="2:6">
      <c r="B85" t="s">
        <v>3240</v>
      </c>
      <c r="C85">
        <v>0</v>
      </c>
      <c r="E85" t="s">
        <v>3239</v>
      </c>
      <c r="F85" s="194">
        <f>(F78*F79)+4500+(F82*F83)</f>
        <v>23200</v>
      </c>
    </row>
    <row r="87" spans="2:6">
      <c r="B87" t="s">
        <v>3162</v>
      </c>
      <c r="C87" s="997">
        <f>C83*C85</f>
        <v>0</v>
      </c>
      <c r="E87" t="s">
        <v>3248</v>
      </c>
      <c r="F87">
        <v>0</v>
      </c>
    </row>
    <row r="89" spans="2:6">
      <c r="E89" t="s">
        <v>3162</v>
      </c>
      <c r="F89" s="997">
        <f>F85*F87</f>
        <v>0</v>
      </c>
    </row>
    <row r="91" spans="2:6">
      <c r="B91" s="1006" t="s">
        <v>3241</v>
      </c>
    </row>
    <row r="92" spans="2:6">
      <c r="B92" t="s">
        <v>3235</v>
      </c>
      <c r="C92">
        <v>200</v>
      </c>
    </row>
    <row r="93" spans="2:6">
      <c r="B93" t="s">
        <v>3242</v>
      </c>
      <c r="C93">
        <v>300</v>
      </c>
    </row>
    <row r="95" spans="2:6">
      <c r="B95" t="s">
        <v>3243</v>
      </c>
      <c r="C95" s="194">
        <f>C92*C93</f>
        <v>60000</v>
      </c>
    </row>
    <row r="97" spans="2:3">
      <c r="B97" t="s">
        <v>3244</v>
      </c>
      <c r="C97">
        <v>0</v>
      </c>
    </row>
    <row r="99" spans="2:3">
      <c r="B99" t="s">
        <v>3162</v>
      </c>
      <c r="C99" s="997">
        <f>C95*C97</f>
        <v>0</v>
      </c>
    </row>
  </sheetData>
  <mergeCells count="7">
    <mergeCell ref="F44:J45"/>
    <mergeCell ref="B33:D33"/>
    <mergeCell ref="B34:D34"/>
    <mergeCell ref="B35:D35"/>
    <mergeCell ref="B36:D37"/>
    <mergeCell ref="E36:E37"/>
    <mergeCell ref="F42:J4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S99"/>
  <sheetViews>
    <sheetView zoomScale="70" zoomScaleNormal="70" workbookViewId="0">
      <selection activeCell="S6" sqref="S6"/>
    </sheetView>
  </sheetViews>
  <sheetFormatPr defaultColWidth="9.1796875" defaultRowHeight="14.5"/>
  <cols>
    <col min="2" max="2" width="57.81640625" bestFit="1" customWidth="1"/>
    <col min="3" max="3" width="17" customWidth="1"/>
    <col min="4" max="4" width="25.453125" customWidth="1"/>
    <col min="5" max="5" width="34.81640625" customWidth="1"/>
    <col min="6" max="6" width="16.26953125" bestFit="1" customWidth="1"/>
    <col min="7" max="7" width="14.26953125" customWidth="1"/>
    <col min="8" max="8" width="13.81640625" customWidth="1"/>
    <col min="9" max="9" width="18.1796875" customWidth="1"/>
    <col min="10" max="10" width="13.81640625" bestFit="1" customWidth="1"/>
    <col min="11" max="11" width="13.1796875" customWidth="1"/>
    <col min="13" max="13" width="59.1796875" customWidth="1"/>
    <col min="14" max="14" width="20.54296875" customWidth="1"/>
    <col min="15" max="15" width="26" bestFit="1" customWidth="1"/>
    <col min="16" max="16" width="15.1796875" bestFit="1" customWidth="1"/>
    <col min="17" max="17" width="11.453125" customWidth="1"/>
    <col min="18" max="18" width="12.7265625" customWidth="1"/>
  </cols>
  <sheetData>
    <row r="2" spans="3:19">
      <c r="M2" t="s">
        <v>3444</v>
      </c>
      <c r="N2" s="1252">
        <f>SUMIF('Estimate Details'!AQ9:AQ1622,"2017",'Estimate Details'!AD9:AD1622)</f>
        <v>828404.19504962815</v>
      </c>
      <c r="O2" s="194"/>
    </row>
    <row r="3" spans="3:19">
      <c r="D3" s="818"/>
      <c r="F3" s="854"/>
      <c r="N3" s="161"/>
    </row>
    <row r="4" spans="3:19">
      <c r="M4" t="s">
        <v>2742</v>
      </c>
      <c r="N4" s="967">
        <v>0</v>
      </c>
      <c r="O4" t="s">
        <v>3152</v>
      </c>
    </row>
    <row r="5" spans="3:19">
      <c r="M5" s="1139" t="s">
        <v>2692</v>
      </c>
      <c r="N5" s="1140">
        <f>ROUND(C62,-3)</f>
        <v>22000</v>
      </c>
    </row>
    <row r="6" spans="3:19">
      <c r="M6" t="s">
        <v>3154</v>
      </c>
      <c r="N6" s="967">
        <v>0</v>
      </c>
      <c r="O6" t="s">
        <v>2685</v>
      </c>
      <c r="P6" t="s">
        <v>3451</v>
      </c>
    </row>
    <row r="7" spans="3:19">
      <c r="C7" s="165"/>
      <c r="K7" s="1123"/>
      <c r="M7" t="s">
        <v>2686</v>
      </c>
      <c r="N7" s="967">
        <f>ROUND(((25393/2)/3)*14.78,-3)</f>
        <v>63000</v>
      </c>
      <c r="O7" t="s">
        <v>3452</v>
      </c>
    </row>
    <row r="8" spans="3:19">
      <c r="K8" s="1124"/>
      <c r="N8" s="967"/>
    </row>
    <row r="9" spans="3:19">
      <c r="D9" s="165"/>
      <c r="K9" s="1124"/>
      <c r="M9" s="1139" t="s">
        <v>2696</v>
      </c>
      <c r="N9" s="1140">
        <f>ROUND(C72,-3)</f>
        <v>29000</v>
      </c>
      <c r="Q9" s="901"/>
    </row>
    <row r="10" spans="3:19">
      <c r="E10" s="901"/>
      <c r="K10" s="1124"/>
      <c r="M10" s="1139" t="s">
        <v>2743</v>
      </c>
      <c r="N10" s="1140">
        <f>ROUND((F71+E55),-3)</f>
        <v>80000</v>
      </c>
    </row>
    <row r="11" spans="3:19">
      <c r="C11" s="165"/>
      <c r="E11" s="901"/>
      <c r="I11" t="s">
        <v>3223</v>
      </c>
      <c r="K11" s="1123"/>
      <c r="M11" s="1139" t="s">
        <v>2698</v>
      </c>
      <c r="N11" s="1140">
        <f>ROUND(E40,-3)</f>
        <v>83000</v>
      </c>
      <c r="Q11" s="997"/>
    </row>
    <row r="12" spans="3:19">
      <c r="E12" s="901"/>
      <c r="I12" s="1250">
        <f>SUMIF('Estimate Details'!AQ9:AQ1622,"2017",'Estimate Details'!Z9:Z1622)</f>
        <v>3546.8905915363698</v>
      </c>
      <c r="K12" s="1123"/>
      <c r="N12" s="967"/>
    </row>
    <row r="13" spans="3:19">
      <c r="E13" s="901"/>
      <c r="F13" t="s">
        <v>3445</v>
      </c>
      <c r="I13" t="s">
        <v>3224</v>
      </c>
      <c r="K13" s="1124"/>
      <c r="M13" t="s">
        <v>3225</v>
      </c>
      <c r="N13" s="967">
        <f>C87</f>
        <v>0</v>
      </c>
      <c r="O13" t="s">
        <v>3152</v>
      </c>
    </row>
    <row r="14" spans="3:19">
      <c r="F14" s="1081">
        <f>I12/10</f>
        <v>354.689059153637</v>
      </c>
      <c r="I14" s="1125">
        <f>F14</f>
        <v>354.689059153637</v>
      </c>
      <c r="K14" s="1124"/>
      <c r="M14" t="s">
        <v>3226</v>
      </c>
      <c r="N14" s="967">
        <v>0</v>
      </c>
      <c r="O14" t="s">
        <v>3152</v>
      </c>
      <c r="P14" s="997"/>
      <c r="S14">
        <f>(25393/2)/3</f>
        <v>4232.166666666667</v>
      </c>
    </row>
    <row r="15" spans="3:19">
      <c r="E15" s="901"/>
      <c r="K15" s="1124"/>
      <c r="M15" t="s">
        <v>3159</v>
      </c>
      <c r="N15" s="967">
        <f>ROUND((C99+F89),-3)</f>
        <v>0</v>
      </c>
      <c r="O15" t="s">
        <v>3152</v>
      </c>
    </row>
    <row r="16" spans="3:19">
      <c r="E16" s="901"/>
      <c r="I16">
        <v>116</v>
      </c>
      <c r="J16" s="1044">
        <f>I14*I16</f>
        <v>41143.930861821893</v>
      </c>
      <c r="K16" s="1124"/>
      <c r="N16" s="967"/>
    </row>
    <row r="17" spans="3:17">
      <c r="C17" s="998"/>
      <c r="E17" s="901"/>
      <c r="I17">
        <v>110</v>
      </c>
      <c r="J17">
        <f>I14*I17</f>
        <v>39015.796506900071</v>
      </c>
      <c r="K17" s="1123"/>
      <c r="M17" s="1139" t="s">
        <v>2676</v>
      </c>
      <c r="N17" s="1140">
        <f>ROUND(E41,-3)</f>
        <v>32000</v>
      </c>
      <c r="O17" t="s">
        <v>3158</v>
      </c>
    </row>
    <row r="18" spans="3:17">
      <c r="E18" s="165"/>
      <c r="J18" s="1044">
        <f>SUM(J16:J17)</f>
        <v>80159.727368721971</v>
      </c>
      <c r="K18" s="1123"/>
      <c r="M18" t="s">
        <v>2680</v>
      </c>
      <c r="N18" s="1140">
        <f>ROUND(E42,-3)</f>
        <v>84000</v>
      </c>
      <c r="O18" t="s">
        <v>3158</v>
      </c>
    </row>
    <row r="19" spans="3:17">
      <c r="E19" s="998"/>
      <c r="K19" s="1123"/>
      <c r="N19" s="967"/>
    </row>
    <row r="20" spans="3:17" ht="29">
      <c r="K20" s="1123"/>
      <c r="M20" s="7" t="s">
        <v>3215</v>
      </c>
      <c r="N20" s="967">
        <f>ROUND(E44,-3)</f>
        <v>135000</v>
      </c>
      <c r="O20" t="s">
        <v>3158</v>
      </c>
    </row>
    <row r="21" spans="3:17">
      <c r="K21" s="1123"/>
    </row>
    <row r="22" spans="3:17">
      <c r="K22" s="1123"/>
    </row>
    <row r="23" spans="3:17">
      <c r="D23" s="165"/>
      <c r="M23" t="s">
        <v>3161</v>
      </c>
      <c r="N23" s="203">
        <f>SUM(N4:N20)</f>
        <v>528000</v>
      </c>
    </row>
    <row r="24" spans="3:17">
      <c r="P24" t="s">
        <v>3453</v>
      </c>
      <c r="Q24" s="1239">
        <f>N23/N25</f>
        <v>0.38938053097345132</v>
      </c>
    </row>
    <row r="25" spans="3:17">
      <c r="M25" t="s">
        <v>3162</v>
      </c>
      <c r="N25" s="997">
        <f>ROUND(N2+N23,-3)</f>
        <v>1356000</v>
      </c>
      <c r="P25" t="s">
        <v>3454</v>
      </c>
      <c r="Q25" s="1239">
        <f>N2/N25</f>
        <v>0.61091754797170217</v>
      </c>
    </row>
    <row r="28" spans="3:17">
      <c r="N28" s="1101"/>
    </row>
    <row r="30" spans="3:17">
      <c r="M30" s="165"/>
    </row>
    <row r="31" spans="3:17">
      <c r="I31" t="s">
        <v>3446</v>
      </c>
      <c r="J31" s="901">
        <f>I14/(30*3*3)</f>
        <v>1.3136631820505074</v>
      </c>
    </row>
    <row r="33" spans="2:13">
      <c r="B33" s="2242" t="s">
        <v>3167</v>
      </c>
      <c r="C33" s="2242"/>
      <c r="D33" s="2242"/>
      <c r="E33" s="1252">
        <f>SUMIF('Estimate Details'!AQ9:AQ1622,"2017",'Estimate Details'!AD9:AD1622)</f>
        <v>828404.19504962815</v>
      </c>
    </row>
    <row r="34" spans="2:13">
      <c r="B34" s="2242" t="s">
        <v>3228</v>
      </c>
      <c r="C34" s="2242"/>
      <c r="D34" s="2242"/>
      <c r="E34" s="997">
        <f>E33+SUM(N9:N15)</f>
        <v>1020404.1950496281</v>
      </c>
    </row>
    <row r="35" spans="2:13">
      <c r="B35" s="2242" t="s">
        <v>3168</v>
      </c>
      <c r="C35" s="2242"/>
      <c r="D35" s="2242"/>
      <c r="E35" s="1043">
        <f>E33+N7+C99+F89</f>
        <v>891404.19504962815</v>
      </c>
      <c r="G35" s="1043"/>
    </row>
    <row r="36" spans="2:13">
      <c r="B36" s="2246" t="s">
        <v>3169</v>
      </c>
      <c r="C36" s="2246"/>
      <c r="D36" s="2246"/>
      <c r="E36" s="2244">
        <f>E35+E40+E55+F71+C72</f>
        <v>1083529.0473937362</v>
      </c>
    </row>
    <row r="37" spans="2:13">
      <c r="B37" s="2246"/>
      <c r="C37" s="2246"/>
      <c r="D37" s="2246"/>
      <c r="E37" s="2244"/>
    </row>
    <row r="38" spans="2:13">
      <c r="B38" s="387"/>
      <c r="C38" s="387"/>
      <c r="D38" s="387"/>
      <c r="E38" s="1122"/>
    </row>
    <row r="40" spans="2:13">
      <c r="B40" s="1121" t="s">
        <v>2698</v>
      </c>
      <c r="C40" s="1121"/>
      <c r="D40" s="1118">
        <v>0.1</v>
      </c>
      <c r="E40" s="1288">
        <f>$E$33*D40</f>
        <v>82840.419504962818</v>
      </c>
      <c r="F40" s="1121" t="s">
        <v>3170</v>
      </c>
      <c r="G40" s="1121"/>
      <c r="H40" s="1121"/>
      <c r="I40" s="1121"/>
      <c r="J40" s="1121"/>
      <c r="K40" s="1043">
        <f t="shared" ref="K40:K45" si="0">ROUND(E40,-3)</f>
        <v>83000</v>
      </c>
      <c r="M40">
        <f>46*200</f>
        <v>9200</v>
      </c>
    </row>
    <row r="41" spans="2:13">
      <c r="B41" s="1121" t="s">
        <v>3172</v>
      </c>
      <c r="C41" s="1121"/>
      <c r="D41" s="1120">
        <v>3.9E-2</v>
      </c>
      <c r="E41" s="1289">
        <f>$E$33*D41</f>
        <v>32307.763606935499</v>
      </c>
      <c r="F41" s="1121" t="s">
        <v>2677</v>
      </c>
      <c r="G41" s="1121"/>
      <c r="H41" s="1121"/>
      <c r="I41" s="1121"/>
      <c r="J41" s="1121"/>
      <c r="K41" s="1043">
        <f t="shared" si="0"/>
        <v>32000</v>
      </c>
      <c r="M41">
        <v>9500</v>
      </c>
    </row>
    <row r="42" spans="2:13">
      <c r="B42" s="1121" t="s">
        <v>3173</v>
      </c>
      <c r="C42" s="1121"/>
      <c r="D42" s="1120">
        <v>9.4E-2</v>
      </c>
      <c r="E42" s="1119">
        <f>$E$35*D42</f>
        <v>83791.99433466504</v>
      </c>
      <c r="F42" s="2245" t="s">
        <v>3218</v>
      </c>
      <c r="G42" s="2245"/>
      <c r="H42" s="2245"/>
      <c r="I42" s="2245"/>
      <c r="J42" s="2245"/>
      <c r="K42" s="1043">
        <f t="shared" si="0"/>
        <v>84000</v>
      </c>
      <c r="M42">
        <f>SUM(M40:M41)*7</f>
        <v>130900</v>
      </c>
    </row>
    <row r="43" spans="2:13">
      <c r="B43" s="1121"/>
      <c r="C43" s="1121"/>
      <c r="D43" s="1118"/>
      <c r="E43" s="1121"/>
      <c r="F43" s="1121"/>
      <c r="G43" s="1121"/>
      <c r="H43" s="1121"/>
      <c r="I43" s="1121"/>
      <c r="J43" s="1121"/>
      <c r="K43" s="1043">
        <f t="shared" si="0"/>
        <v>0</v>
      </c>
    </row>
    <row r="44" spans="2:13">
      <c r="B44" s="1121" t="s">
        <v>2747</v>
      </c>
      <c r="C44" s="1121"/>
      <c r="D44" s="1120">
        <v>0.125</v>
      </c>
      <c r="E44" s="1119">
        <f>$E$36*D44</f>
        <v>135441.13092421702</v>
      </c>
      <c r="F44" s="2241" t="s">
        <v>3447</v>
      </c>
      <c r="G44" s="2241"/>
      <c r="H44" s="2241"/>
      <c r="I44" s="2241"/>
      <c r="J44" s="2241"/>
      <c r="K44" s="1043">
        <f t="shared" si="0"/>
        <v>135000</v>
      </c>
    </row>
    <row r="45" spans="2:13">
      <c r="B45" s="1121"/>
      <c r="C45" s="1121"/>
      <c r="D45" s="1121"/>
      <c r="E45" s="1121"/>
      <c r="F45" s="2241"/>
      <c r="G45" s="2241"/>
      <c r="H45" s="2241"/>
      <c r="I45" s="2241"/>
      <c r="J45" s="2241"/>
      <c r="K45" s="1043">
        <f t="shared" si="0"/>
        <v>0</v>
      </c>
    </row>
    <row r="48" spans="2:13">
      <c r="B48" s="999" t="s">
        <v>3174</v>
      </c>
      <c r="C48" s="999"/>
      <c r="E48" s="1000" t="s">
        <v>3184</v>
      </c>
    </row>
    <row r="49" spans="2:9" ht="29">
      <c r="B49" t="s">
        <v>3448</v>
      </c>
      <c r="C49" s="1081">
        <v>0</v>
      </c>
      <c r="D49" s="7" t="s">
        <v>3455</v>
      </c>
      <c r="E49" s="901">
        <v>1732500</v>
      </c>
      <c r="F49" t="s">
        <v>3185</v>
      </c>
    </row>
    <row r="50" spans="2:9">
      <c r="B50" t="s">
        <v>3176</v>
      </c>
      <c r="C50" s="194">
        <v>0.1</v>
      </c>
      <c r="E50">
        <v>30</v>
      </c>
      <c r="F50" t="s">
        <v>3186</v>
      </c>
    </row>
    <row r="51" spans="2:9">
      <c r="E51">
        <v>500</v>
      </c>
      <c r="F51" t="s">
        <v>3230</v>
      </c>
    </row>
    <row r="52" spans="2:9">
      <c r="B52" t="s">
        <v>3456</v>
      </c>
      <c r="C52" s="1081">
        <f>SUMIF('Estimate Details'!AQ9:AQ1622,"2017",'Estimate Details'!AA9:AA1622)</f>
        <v>67957.475818263672</v>
      </c>
      <c r="D52" s="1081">
        <f>ROUND(C52,-3)</f>
        <v>68000</v>
      </c>
    </row>
    <row r="53" spans="2:9">
      <c r="B53" t="s">
        <v>3457</v>
      </c>
      <c r="C53" s="1081">
        <f>E53*I14</f>
        <v>40966.586332245075</v>
      </c>
      <c r="D53" s="1081">
        <f>ROUND(C53,-3)</f>
        <v>41000</v>
      </c>
      <c r="E53" s="1001">
        <f>E49/(E50*E51)</f>
        <v>115.5</v>
      </c>
      <c r="F53" t="s">
        <v>3188</v>
      </c>
    </row>
    <row r="54" spans="2:9">
      <c r="B54" t="s">
        <v>3458</v>
      </c>
      <c r="C54" s="854">
        <f>C52+C53</f>
        <v>108924.06215050875</v>
      </c>
      <c r="D54" s="1081">
        <f>ROUND(C54,-3)</f>
        <v>109000</v>
      </c>
    </row>
    <row r="55" spans="2:9">
      <c r="C55" s="194"/>
      <c r="D55" s="1081"/>
      <c r="E55" s="1044">
        <f>I14*E53</f>
        <v>40966.586332245075</v>
      </c>
      <c r="F55" t="s">
        <v>3037</v>
      </c>
    </row>
    <row r="56" spans="2:9">
      <c r="B56" t="s">
        <v>3180</v>
      </c>
      <c r="C56" s="194">
        <v>0.4</v>
      </c>
      <c r="D56" s="1081">
        <f t="shared" ref="D56:D60" si="1">ROUND(C56,-3)</f>
        <v>0</v>
      </c>
      <c r="E56" s="1044"/>
      <c r="I56" s="1044">
        <f>SUMIF('Estimate Details'!AQ9:AQ1622,"2017",'Estimate Details'!AA9:AA1622)</f>
        <v>67957.475818263672</v>
      </c>
    </row>
    <row r="57" spans="2:9">
      <c r="D57" s="1081"/>
      <c r="E57" s="1044"/>
      <c r="G57">
        <f>51.1/2</f>
        <v>25.55</v>
      </c>
    </row>
    <row r="58" spans="2:9">
      <c r="B58" t="s">
        <v>3181</v>
      </c>
      <c r="C58" s="967">
        <f>0.5*C49*C50</f>
        <v>0</v>
      </c>
      <c r="D58" s="1081">
        <f t="shared" si="1"/>
        <v>0</v>
      </c>
      <c r="E58" s="1044"/>
    </row>
    <row r="59" spans="2:9">
      <c r="D59" s="1081"/>
      <c r="E59" s="1044"/>
    </row>
    <row r="60" spans="2:9">
      <c r="B60" t="s">
        <v>3250</v>
      </c>
      <c r="C60" s="967">
        <f>0.5*C54*C56</f>
        <v>21784.812430101752</v>
      </c>
      <c r="D60" s="1081">
        <f t="shared" si="1"/>
        <v>22000</v>
      </c>
      <c r="E60" s="1044"/>
    </row>
    <row r="61" spans="2:9">
      <c r="D61" s="1081"/>
      <c r="E61" s="1044"/>
      <c r="H61" s="1081"/>
    </row>
    <row r="62" spans="2:9">
      <c r="B62" t="s">
        <v>3183</v>
      </c>
      <c r="C62" s="1101">
        <f>C60+C58</f>
        <v>21784.812430101752</v>
      </c>
      <c r="D62" s="1081">
        <f>ROUND(C62,-3)</f>
        <v>22000</v>
      </c>
    </row>
    <row r="64" spans="2:9">
      <c r="B64" s="1002" t="s">
        <v>3220</v>
      </c>
      <c r="E64" s="1003" t="s">
        <v>3190</v>
      </c>
    </row>
    <row r="65" spans="2:9">
      <c r="B65" s="1121" t="s">
        <v>3195</v>
      </c>
      <c r="C65" s="1094">
        <f>I14</f>
        <v>354.689059153637</v>
      </c>
      <c r="E65" s="1003"/>
    </row>
    <row r="66" spans="2:9">
      <c r="B66" s="1121" t="s">
        <v>3196</v>
      </c>
      <c r="C66" s="1121">
        <f>(ROUNDUP(C65*0.7,0))</f>
        <v>249</v>
      </c>
      <c r="E66" t="s">
        <v>3231</v>
      </c>
      <c r="F66">
        <v>110</v>
      </c>
    </row>
    <row r="67" spans="2:9">
      <c r="B67" s="1121" t="s">
        <v>3197</v>
      </c>
      <c r="C67" s="1121">
        <f>(ROUNDUP(C65*0.3,0))</f>
        <v>107</v>
      </c>
      <c r="E67" t="s">
        <v>3449</v>
      </c>
      <c r="F67" s="1001">
        <f>E53</f>
        <v>115.5</v>
      </c>
    </row>
    <row r="68" spans="2:9">
      <c r="B68" s="1121"/>
      <c r="C68" s="1121"/>
    </row>
    <row r="69" spans="2:9">
      <c r="B69" s="1121" t="s">
        <v>3198</v>
      </c>
      <c r="C69" s="1081">
        <f>C66*85.45</f>
        <v>21277.05</v>
      </c>
      <c r="D69" s="818"/>
    </row>
    <row r="70" spans="2:9">
      <c r="B70" s="1121" t="s">
        <v>3199</v>
      </c>
      <c r="C70" s="1081">
        <f>C67*75</f>
        <v>8025</v>
      </c>
      <c r="D70" s="818"/>
    </row>
    <row r="71" spans="2:9">
      <c r="D71" s="818"/>
      <c r="E71" t="s">
        <v>3193</v>
      </c>
      <c r="F71" s="194">
        <f>F66*I14</f>
        <v>39015.796506900071</v>
      </c>
    </row>
    <row r="72" spans="2:9">
      <c r="B72" s="847" t="s">
        <v>3200</v>
      </c>
      <c r="C72" s="1238">
        <f>SUM(C69:C70)</f>
        <v>29302.05</v>
      </c>
      <c r="D72" s="818">
        <f>ROUND(C72,-3)</f>
        <v>29000</v>
      </c>
      <c r="E72" t="s">
        <v>3233</v>
      </c>
      <c r="F72" s="194">
        <f>F67*I14</f>
        <v>40966.586332245075</v>
      </c>
    </row>
    <row r="73" spans="2:9">
      <c r="B73" s="1121"/>
      <c r="C73" s="1121"/>
      <c r="D73" s="818"/>
    </row>
    <row r="74" spans="2:9">
      <c r="B74" s="1121"/>
      <c r="C74" s="1121"/>
      <c r="D74" s="818"/>
      <c r="E74" t="s">
        <v>3162</v>
      </c>
      <c r="F74" s="194">
        <f>(SUM(F71:F72))</f>
        <v>79982.382839145139</v>
      </c>
      <c r="G74" s="203">
        <f>ROUND(F74,-3)</f>
        <v>80000</v>
      </c>
      <c r="H74" s="1001">
        <f>G74/I14</f>
        <v>225.54966931006243</v>
      </c>
      <c r="I74" t="s">
        <v>3450</v>
      </c>
    </row>
    <row r="75" spans="2:9">
      <c r="B75" s="1121"/>
      <c r="C75" s="1121"/>
      <c r="D75" s="818"/>
    </row>
    <row r="77" spans="2:9">
      <c r="B77" s="1004" t="s">
        <v>3234</v>
      </c>
      <c r="E77" s="1005" t="s">
        <v>3245</v>
      </c>
    </row>
    <row r="78" spans="2:9">
      <c r="B78" t="s">
        <v>3235</v>
      </c>
      <c r="C78">
        <v>200</v>
      </c>
      <c r="E78" t="s">
        <v>3235</v>
      </c>
      <c r="F78">
        <v>200</v>
      </c>
    </row>
    <row r="79" spans="2:9">
      <c r="B79" t="s">
        <v>3236</v>
      </c>
      <c r="C79">
        <v>46</v>
      </c>
      <c r="E79" t="s">
        <v>3236</v>
      </c>
      <c r="F79">
        <v>72</v>
      </c>
    </row>
    <row r="80" spans="2:9">
      <c r="B80" t="s">
        <v>3237</v>
      </c>
      <c r="C80">
        <v>4500</v>
      </c>
      <c r="E80" t="s">
        <v>3237</v>
      </c>
      <c r="F80">
        <v>4500</v>
      </c>
    </row>
    <row r="81" spans="2:6">
      <c r="B81" t="s">
        <v>3238</v>
      </c>
      <c r="C81">
        <v>5000</v>
      </c>
    </row>
    <row r="82" spans="2:6">
      <c r="E82" t="s">
        <v>3246</v>
      </c>
      <c r="F82">
        <v>43</v>
      </c>
    </row>
    <row r="83" spans="2:6">
      <c r="B83" t="s">
        <v>3239</v>
      </c>
      <c r="C83" s="194">
        <f>(C78*C79)+C80+C81</f>
        <v>18700</v>
      </c>
      <c r="E83" t="s">
        <v>3247</v>
      </c>
      <c r="F83">
        <v>100</v>
      </c>
    </row>
    <row r="85" spans="2:6">
      <c r="B85" t="s">
        <v>3240</v>
      </c>
      <c r="C85">
        <v>0</v>
      </c>
      <c r="E85" t="s">
        <v>3239</v>
      </c>
      <c r="F85" s="194">
        <f>(F78*F79)+4500+(F82*F83)</f>
        <v>23200</v>
      </c>
    </row>
    <row r="87" spans="2:6">
      <c r="B87" t="s">
        <v>3162</v>
      </c>
      <c r="C87" s="997">
        <f>C83*C85</f>
        <v>0</v>
      </c>
      <c r="E87" t="s">
        <v>3248</v>
      </c>
      <c r="F87">
        <v>0</v>
      </c>
    </row>
    <row r="89" spans="2:6">
      <c r="E89" t="s">
        <v>3162</v>
      </c>
      <c r="F89" s="997">
        <f>F85*F87</f>
        <v>0</v>
      </c>
    </row>
    <row r="91" spans="2:6">
      <c r="B91" s="1006" t="s">
        <v>3241</v>
      </c>
    </row>
    <row r="92" spans="2:6">
      <c r="B92" t="s">
        <v>3235</v>
      </c>
      <c r="C92">
        <v>200</v>
      </c>
    </row>
    <row r="93" spans="2:6">
      <c r="B93" t="s">
        <v>3242</v>
      </c>
      <c r="C93">
        <v>300</v>
      </c>
    </row>
    <row r="95" spans="2:6">
      <c r="B95" t="s">
        <v>3243</v>
      </c>
      <c r="C95" s="194">
        <f>C92*C93</f>
        <v>60000</v>
      </c>
    </row>
    <row r="97" spans="2:3">
      <c r="B97" t="s">
        <v>3244</v>
      </c>
      <c r="C97">
        <v>0</v>
      </c>
    </row>
    <row r="99" spans="2:3">
      <c r="B99" t="s">
        <v>3162</v>
      </c>
      <c r="C99" s="997">
        <f>C95*C97</f>
        <v>0</v>
      </c>
    </row>
  </sheetData>
  <mergeCells count="7">
    <mergeCell ref="F44:J45"/>
    <mergeCell ref="B33:D33"/>
    <mergeCell ref="B34:D34"/>
    <mergeCell ref="B35:D35"/>
    <mergeCell ref="B36:D37"/>
    <mergeCell ref="E36:E37"/>
    <mergeCell ref="F42:J4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Q99"/>
  <sheetViews>
    <sheetView zoomScale="70" zoomScaleNormal="70" workbookViewId="0">
      <selection activeCell="S6" sqref="S6"/>
    </sheetView>
  </sheetViews>
  <sheetFormatPr defaultColWidth="9.1796875" defaultRowHeight="14.5"/>
  <cols>
    <col min="2" max="2" width="57.81640625" bestFit="1" customWidth="1"/>
    <col min="3" max="3" width="17" customWidth="1"/>
    <col min="4" max="4" width="25.453125" customWidth="1"/>
    <col min="5" max="5" width="34.81640625" customWidth="1"/>
    <col min="6" max="6" width="16.26953125" bestFit="1" customWidth="1"/>
    <col min="7" max="7" width="14.26953125" customWidth="1"/>
    <col min="8" max="8" width="13.81640625" customWidth="1"/>
    <col min="9" max="9" width="18.1796875" customWidth="1"/>
    <col min="10" max="10" width="13.81640625" bestFit="1" customWidth="1"/>
    <col min="11" max="11" width="13.1796875" customWidth="1"/>
    <col min="13" max="13" width="59.1796875" customWidth="1"/>
    <col min="14" max="14" width="20.54296875" customWidth="1"/>
    <col min="15" max="15" width="26" bestFit="1" customWidth="1"/>
    <col min="16" max="16" width="15.1796875" bestFit="1" customWidth="1"/>
    <col min="17" max="17" width="11.453125" customWidth="1"/>
    <col min="18" max="18" width="12.7265625" customWidth="1"/>
  </cols>
  <sheetData>
    <row r="2" spans="3:17">
      <c r="M2" t="s">
        <v>3444</v>
      </c>
      <c r="N2" s="1252">
        <f>SUMIF('Estimate Details'!AQ9:AQ1622,"2016",'Estimate Details'!AD9:AD1622)</f>
        <v>292479.64158909617</v>
      </c>
      <c r="O2" s="194"/>
    </row>
    <row r="3" spans="3:17">
      <c r="D3" s="818"/>
      <c r="F3" s="854"/>
      <c r="N3" s="161"/>
    </row>
    <row r="4" spans="3:17">
      <c r="M4" t="s">
        <v>2742</v>
      </c>
      <c r="N4" s="967">
        <v>0</v>
      </c>
      <c r="O4" t="s">
        <v>3152</v>
      </c>
    </row>
    <row r="5" spans="3:17">
      <c r="M5" s="1139" t="s">
        <v>2692</v>
      </c>
      <c r="N5" s="1140">
        <f>ROUND(C62,-3)</f>
        <v>9000</v>
      </c>
    </row>
    <row r="6" spans="3:17">
      <c r="M6" t="s">
        <v>3154</v>
      </c>
      <c r="N6" s="967">
        <f>2537000</f>
        <v>2537000</v>
      </c>
      <c r="O6" t="s">
        <v>2685</v>
      </c>
      <c r="P6" t="s">
        <v>3451</v>
      </c>
    </row>
    <row r="7" spans="3:17">
      <c r="C7" s="165"/>
      <c r="K7" s="1123"/>
      <c r="M7" t="s">
        <v>2686</v>
      </c>
      <c r="N7" s="967">
        <v>0</v>
      </c>
      <c r="O7" t="s">
        <v>3152</v>
      </c>
    </row>
    <row r="8" spans="3:17">
      <c r="K8" s="1124"/>
      <c r="N8" s="967"/>
    </row>
    <row r="9" spans="3:17">
      <c r="D9" s="165"/>
      <c r="K9" s="1124"/>
      <c r="M9" s="1139" t="s">
        <v>2696</v>
      </c>
      <c r="N9" s="1140">
        <f>ROUND(C72,-3)</f>
        <v>17000</v>
      </c>
      <c r="Q9" s="901"/>
    </row>
    <row r="10" spans="3:17">
      <c r="E10" s="901"/>
      <c r="K10" s="1124"/>
      <c r="M10" s="1139" t="s">
        <v>2743</v>
      </c>
      <c r="N10" s="1140">
        <f>ROUND((F71+E55),-3)</f>
        <v>47000</v>
      </c>
    </row>
    <row r="11" spans="3:17">
      <c r="C11" s="165"/>
      <c r="E11" s="901"/>
      <c r="I11" t="s">
        <v>3223</v>
      </c>
      <c r="K11" s="1123"/>
      <c r="M11" s="1139" t="s">
        <v>2698</v>
      </c>
      <c r="N11" s="1140">
        <f>ROUND(E40,-3)</f>
        <v>29000</v>
      </c>
      <c r="Q11" s="997"/>
    </row>
    <row r="12" spans="3:17">
      <c r="E12" s="901"/>
      <c r="I12" s="1250">
        <f>SUMIF('Estimate Details'!AQ9:AQ1622,"2016",'Estimate Details'!Z9:Z1622)</f>
        <v>2091.6699761830268</v>
      </c>
      <c r="K12" s="1123"/>
      <c r="N12" s="967"/>
    </row>
    <row r="13" spans="3:17">
      <c r="E13" s="901"/>
      <c r="F13" t="s">
        <v>3445</v>
      </c>
      <c r="I13" t="s">
        <v>3224</v>
      </c>
      <c r="K13" s="1124"/>
      <c r="M13" t="s">
        <v>3225</v>
      </c>
      <c r="N13" s="967">
        <f>C87</f>
        <v>0</v>
      </c>
      <c r="O13" t="s">
        <v>3152</v>
      </c>
    </row>
    <row r="14" spans="3:17">
      <c r="F14" s="1081">
        <f>I12/10</f>
        <v>209.16699761830267</v>
      </c>
      <c r="I14" s="1125">
        <f>F14</f>
        <v>209.16699761830267</v>
      </c>
      <c r="K14" s="1124"/>
      <c r="M14" t="s">
        <v>3226</v>
      </c>
      <c r="N14" s="967">
        <v>0</v>
      </c>
      <c r="O14" t="s">
        <v>3152</v>
      </c>
      <c r="P14" s="997"/>
    </row>
    <row r="15" spans="3:17">
      <c r="E15" s="901"/>
      <c r="K15" s="1124"/>
      <c r="M15" t="s">
        <v>3159</v>
      </c>
      <c r="N15" s="967">
        <f>ROUND((C99+F89),-3)</f>
        <v>0</v>
      </c>
      <c r="O15" t="s">
        <v>3152</v>
      </c>
    </row>
    <row r="16" spans="3:17">
      <c r="E16" s="901"/>
      <c r="I16">
        <v>116</v>
      </c>
      <c r="J16" s="1044">
        <f>I14*I16</f>
        <v>24263.37172372311</v>
      </c>
      <c r="K16" s="1124"/>
      <c r="N16" s="967"/>
    </row>
    <row r="17" spans="3:17">
      <c r="C17" s="998"/>
      <c r="E17" s="901"/>
      <c r="I17">
        <v>110</v>
      </c>
      <c r="J17">
        <f>I14*I17</f>
        <v>23008.369738013294</v>
      </c>
      <c r="K17" s="1123"/>
      <c r="M17" s="1139" t="s">
        <v>2676</v>
      </c>
      <c r="N17" s="1140">
        <f>ROUND(E41,-3)</f>
        <v>11000</v>
      </c>
      <c r="O17" t="s">
        <v>3158</v>
      </c>
    </row>
    <row r="18" spans="3:17">
      <c r="E18" s="165"/>
      <c r="J18" s="1044">
        <f>SUM(J16:J17)</f>
        <v>47271.741461736405</v>
      </c>
      <c r="K18" s="1123"/>
      <c r="M18" t="s">
        <v>2680</v>
      </c>
      <c r="N18" s="1140">
        <f>ROUND(E42,-3)</f>
        <v>27000</v>
      </c>
      <c r="O18" t="s">
        <v>3158</v>
      </c>
    </row>
    <row r="19" spans="3:17">
      <c r="E19" s="998"/>
      <c r="K19" s="1123"/>
      <c r="N19" s="967"/>
    </row>
    <row r="20" spans="3:17" ht="29">
      <c r="K20" s="1123"/>
      <c r="M20" s="7" t="s">
        <v>3215</v>
      </c>
      <c r="N20" s="967">
        <f>ROUND(E44,-3)</f>
        <v>48000</v>
      </c>
      <c r="O20" t="s">
        <v>3158</v>
      </c>
    </row>
    <row r="21" spans="3:17">
      <c r="K21" s="1123"/>
    </row>
    <row r="22" spans="3:17">
      <c r="K22" s="1123"/>
    </row>
    <row r="23" spans="3:17">
      <c r="D23" s="165"/>
      <c r="M23" t="s">
        <v>3161</v>
      </c>
      <c r="N23" s="203">
        <f>SUM(N4:N20)</f>
        <v>2725000</v>
      </c>
    </row>
    <row r="24" spans="3:17">
      <c r="P24" t="s">
        <v>3453</v>
      </c>
      <c r="Q24" s="1239">
        <f>N23/N25</f>
        <v>0.9032151143520053</v>
      </c>
    </row>
    <row r="25" spans="3:17">
      <c r="M25" t="s">
        <v>3162</v>
      </c>
      <c r="N25" s="997">
        <f>ROUND(N2+N23,-3)</f>
        <v>3017000</v>
      </c>
      <c r="P25" t="s">
        <v>3454</v>
      </c>
      <c r="Q25" s="1239">
        <f>N2/N25</f>
        <v>9.6943865293038167E-2</v>
      </c>
    </row>
    <row r="28" spans="3:17">
      <c r="N28" s="1101"/>
    </row>
    <row r="30" spans="3:17">
      <c r="M30" s="165"/>
    </row>
    <row r="31" spans="3:17">
      <c r="I31" t="s">
        <v>3446</v>
      </c>
      <c r="J31" s="901">
        <f>I14/(30*3*3)</f>
        <v>0.77469258377149142</v>
      </c>
    </row>
    <row r="33" spans="2:13">
      <c r="B33" s="2242" t="s">
        <v>3167</v>
      </c>
      <c r="C33" s="2242"/>
      <c r="D33" s="2242"/>
      <c r="E33" s="1252">
        <f>SUMIF('Estimate Details'!AQ9:AQ1622,"2016",'Estimate Details'!AD9:AD1622)</f>
        <v>292479.64158909617</v>
      </c>
    </row>
    <row r="34" spans="2:13">
      <c r="B34" s="2242" t="s">
        <v>3228</v>
      </c>
      <c r="C34" s="2242"/>
      <c r="D34" s="2242"/>
      <c r="E34" s="997">
        <f>E33+SUM(N9:N15)</f>
        <v>385479.64158909617</v>
      </c>
    </row>
    <row r="35" spans="2:13">
      <c r="B35" s="2242" t="s">
        <v>3168</v>
      </c>
      <c r="C35" s="2242"/>
      <c r="D35" s="2242"/>
      <c r="E35" s="1043">
        <f>E33+N7+C99+F89</f>
        <v>292479.64158909617</v>
      </c>
      <c r="G35" s="1043"/>
    </row>
    <row r="36" spans="2:13">
      <c r="B36" s="2246" t="s">
        <v>3169</v>
      </c>
      <c r="C36" s="2246"/>
      <c r="D36" s="2246"/>
      <c r="E36" s="2244">
        <f>E35+E40+E55+F71+C72</f>
        <v>386180.91371093306</v>
      </c>
    </row>
    <row r="37" spans="2:13">
      <c r="B37" s="2246"/>
      <c r="C37" s="2246"/>
      <c r="D37" s="2246"/>
      <c r="E37" s="2244"/>
    </row>
    <row r="38" spans="2:13">
      <c r="B38" s="387"/>
      <c r="C38" s="387"/>
      <c r="D38" s="387"/>
      <c r="E38" s="1122"/>
    </row>
    <row r="40" spans="2:13">
      <c r="B40" s="1121" t="s">
        <v>2698</v>
      </c>
      <c r="C40" s="1121"/>
      <c r="D40" s="1118">
        <v>0.1</v>
      </c>
      <c r="E40" s="1288">
        <f>$E$33*D40</f>
        <v>29247.964158909617</v>
      </c>
      <c r="F40" s="1121" t="s">
        <v>3170</v>
      </c>
      <c r="G40" s="1121"/>
      <c r="H40" s="1121"/>
      <c r="I40" s="1121"/>
      <c r="J40" s="1121"/>
      <c r="K40" s="1043">
        <f t="shared" ref="K40:K45" si="0">ROUND(E40,-3)</f>
        <v>29000</v>
      </c>
      <c r="M40">
        <f>46*200</f>
        <v>9200</v>
      </c>
    </row>
    <row r="41" spans="2:13">
      <c r="B41" s="1121" t="s">
        <v>3172</v>
      </c>
      <c r="C41" s="1121"/>
      <c r="D41" s="1120">
        <v>3.9E-2</v>
      </c>
      <c r="E41" s="1289">
        <f>$E$33*D41</f>
        <v>11406.706021974751</v>
      </c>
      <c r="F41" s="1121" t="s">
        <v>2677</v>
      </c>
      <c r="G41" s="1121"/>
      <c r="H41" s="1121"/>
      <c r="I41" s="1121"/>
      <c r="J41" s="1121"/>
      <c r="K41" s="1043">
        <f t="shared" si="0"/>
        <v>11000</v>
      </c>
      <c r="M41">
        <v>9500</v>
      </c>
    </row>
    <row r="42" spans="2:13">
      <c r="B42" s="1121" t="s">
        <v>3173</v>
      </c>
      <c r="C42" s="1121"/>
      <c r="D42" s="1120">
        <v>9.4E-2</v>
      </c>
      <c r="E42" s="1119">
        <f>$E$35*D42</f>
        <v>27493.086309375041</v>
      </c>
      <c r="F42" s="2245" t="s">
        <v>3218</v>
      </c>
      <c r="G42" s="2245"/>
      <c r="H42" s="2245"/>
      <c r="I42" s="2245"/>
      <c r="J42" s="2245"/>
      <c r="K42" s="1043">
        <f t="shared" si="0"/>
        <v>27000</v>
      </c>
      <c r="M42">
        <f>SUM(M40:M41)*7</f>
        <v>130900</v>
      </c>
    </row>
    <row r="43" spans="2:13">
      <c r="B43" s="1121"/>
      <c r="C43" s="1121"/>
      <c r="D43" s="1118"/>
      <c r="E43" s="1121"/>
      <c r="F43" s="1121"/>
      <c r="G43" s="1121"/>
      <c r="H43" s="1121"/>
      <c r="I43" s="1121"/>
      <c r="J43" s="1121"/>
      <c r="K43" s="1043">
        <f t="shared" si="0"/>
        <v>0</v>
      </c>
    </row>
    <row r="44" spans="2:13">
      <c r="B44" s="1121" t="s">
        <v>2747</v>
      </c>
      <c r="C44" s="1121"/>
      <c r="D44" s="1120">
        <v>0.125</v>
      </c>
      <c r="E44" s="1119">
        <f>$E$36*D44</f>
        <v>48272.614213866633</v>
      </c>
      <c r="F44" s="2241" t="s">
        <v>3447</v>
      </c>
      <c r="G44" s="2241"/>
      <c r="H44" s="2241"/>
      <c r="I44" s="2241"/>
      <c r="J44" s="2241"/>
      <c r="K44" s="1043">
        <f t="shared" si="0"/>
        <v>48000</v>
      </c>
    </row>
    <row r="45" spans="2:13">
      <c r="B45" s="1121"/>
      <c r="C45" s="1121"/>
      <c r="D45" s="1121"/>
      <c r="E45" s="1121"/>
      <c r="F45" s="2241"/>
      <c r="G45" s="2241"/>
      <c r="H45" s="2241"/>
      <c r="I45" s="2241"/>
      <c r="J45" s="2241"/>
      <c r="K45" s="1043">
        <f t="shared" si="0"/>
        <v>0</v>
      </c>
    </row>
    <row r="48" spans="2:13">
      <c r="B48" s="999" t="s">
        <v>3174</v>
      </c>
      <c r="C48" s="999"/>
      <c r="E48" s="1000" t="s">
        <v>3184</v>
      </c>
    </row>
    <row r="49" spans="2:8">
      <c r="B49" t="s">
        <v>3448</v>
      </c>
      <c r="C49" s="1081">
        <v>0</v>
      </c>
      <c r="D49" s="7" t="s">
        <v>3459</v>
      </c>
      <c r="E49" s="901">
        <v>1732500</v>
      </c>
      <c r="F49" t="s">
        <v>3185</v>
      </c>
    </row>
    <row r="50" spans="2:8">
      <c r="B50" t="s">
        <v>3176</v>
      </c>
      <c r="C50" s="194">
        <v>0.1</v>
      </c>
      <c r="E50">
        <v>30</v>
      </c>
      <c r="F50" t="s">
        <v>3186</v>
      </c>
    </row>
    <row r="51" spans="2:8">
      <c r="E51">
        <v>500</v>
      </c>
      <c r="F51" t="s">
        <v>3230</v>
      </c>
    </row>
    <row r="52" spans="2:8">
      <c r="B52" t="s">
        <v>3456</v>
      </c>
      <c r="C52" s="1081">
        <f>SUMIF('Estimate Details'!AQ9:AQ1622,"2016",'Estimate Details'!AA9:AA1622)/0.97</f>
        <v>22508.849573929449</v>
      </c>
      <c r="D52" s="1081">
        <f>ROUND(C52,-3)</f>
        <v>23000</v>
      </c>
    </row>
    <row r="53" spans="2:8">
      <c r="B53" t="s">
        <v>3457</v>
      </c>
      <c r="C53" s="1081">
        <f>E53*I14</f>
        <v>24158.788224913958</v>
      </c>
      <c r="D53" s="1081">
        <f>ROUND(C53,-3)</f>
        <v>24000</v>
      </c>
      <c r="E53" s="1001">
        <f>E49/(E50*E51)</f>
        <v>115.5</v>
      </c>
      <c r="F53" t="s">
        <v>3188</v>
      </c>
    </row>
    <row r="54" spans="2:8">
      <c r="B54" t="s">
        <v>3458</v>
      </c>
      <c r="C54" s="854">
        <f>C52+C53</f>
        <v>46667.637798843411</v>
      </c>
      <c r="D54" s="1081">
        <f>ROUND(C54,-3)</f>
        <v>47000</v>
      </c>
    </row>
    <row r="55" spans="2:8">
      <c r="C55" s="194"/>
      <c r="D55" s="1081"/>
      <c r="E55" s="1044">
        <f>I14*E53</f>
        <v>24158.788224913958</v>
      </c>
      <c r="F55" t="s">
        <v>3037</v>
      </c>
    </row>
    <row r="56" spans="2:8">
      <c r="B56" t="s">
        <v>3180</v>
      </c>
      <c r="C56" s="194">
        <v>0.4</v>
      </c>
      <c r="D56" s="1081">
        <f t="shared" ref="D56:D60" si="1">ROUND(C56,-3)</f>
        <v>0</v>
      </c>
      <c r="E56" s="1044"/>
    </row>
    <row r="57" spans="2:8">
      <c r="D57" s="1081"/>
      <c r="E57" s="1044"/>
      <c r="G57">
        <f>51.1/2</f>
        <v>25.55</v>
      </c>
    </row>
    <row r="58" spans="2:8">
      <c r="B58" t="s">
        <v>3181</v>
      </c>
      <c r="C58" s="967">
        <f>0.5*C49*C50</f>
        <v>0</v>
      </c>
      <c r="D58" s="1081">
        <f t="shared" si="1"/>
        <v>0</v>
      </c>
      <c r="E58" s="1044"/>
    </row>
    <row r="59" spans="2:8">
      <c r="D59" s="1081"/>
      <c r="E59" s="1044"/>
    </row>
    <row r="60" spans="2:8">
      <c r="B60" t="s">
        <v>3250</v>
      </c>
      <c r="C60" s="967">
        <f>0.5*C54*C56</f>
        <v>9333.5275597686832</v>
      </c>
      <c r="D60" s="1081">
        <f t="shared" si="1"/>
        <v>9000</v>
      </c>
      <c r="E60" s="1044"/>
    </row>
    <row r="61" spans="2:8">
      <c r="D61" s="1081"/>
      <c r="E61" s="1044"/>
      <c r="H61" s="1081"/>
    </row>
    <row r="62" spans="2:8">
      <c r="B62" t="s">
        <v>3183</v>
      </c>
      <c r="C62" s="1101">
        <f>C60+C58</f>
        <v>9333.5275597686832</v>
      </c>
      <c r="D62" s="1081">
        <f>ROUND(C62,-3)</f>
        <v>9000</v>
      </c>
    </row>
    <row r="64" spans="2:8">
      <c r="B64" s="1002" t="s">
        <v>3220</v>
      </c>
      <c r="E64" s="1003" t="s">
        <v>3190</v>
      </c>
    </row>
    <row r="65" spans="2:9">
      <c r="B65" s="1121" t="s">
        <v>3195</v>
      </c>
      <c r="C65" s="1094">
        <f>I14</f>
        <v>209.16699761830267</v>
      </c>
      <c r="E65" s="1003"/>
    </row>
    <row r="66" spans="2:9">
      <c r="B66" s="1121" t="s">
        <v>3196</v>
      </c>
      <c r="C66" s="1121">
        <f>(ROUNDUP(C65*0.7,0))</f>
        <v>147</v>
      </c>
      <c r="E66" t="s">
        <v>3231</v>
      </c>
      <c r="F66">
        <v>110</v>
      </c>
    </row>
    <row r="67" spans="2:9">
      <c r="B67" s="1121" t="s">
        <v>3197</v>
      </c>
      <c r="C67" s="1121">
        <f>(ROUNDUP(C65*0.3,0))</f>
        <v>63</v>
      </c>
      <c r="E67" t="s">
        <v>3449</v>
      </c>
      <c r="F67" s="1001">
        <f>E53</f>
        <v>115.5</v>
      </c>
    </row>
    <row r="68" spans="2:9">
      <c r="B68" s="1121"/>
      <c r="C68" s="1121"/>
    </row>
    <row r="69" spans="2:9">
      <c r="B69" s="1121" t="s">
        <v>3198</v>
      </c>
      <c r="C69" s="1081">
        <f>C66*85.45</f>
        <v>12561.15</v>
      </c>
      <c r="D69" s="818"/>
    </row>
    <row r="70" spans="2:9">
      <c r="B70" s="1121" t="s">
        <v>3199</v>
      </c>
      <c r="C70" s="1081">
        <f>C67*75</f>
        <v>4725</v>
      </c>
      <c r="D70" s="818"/>
    </row>
    <row r="71" spans="2:9">
      <c r="D71" s="818"/>
      <c r="E71" t="s">
        <v>3193</v>
      </c>
      <c r="F71" s="194">
        <f>F66*I14</f>
        <v>23008.369738013294</v>
      </c>
    </row>
    <row r="72" spans="2:9">
      <c r="B72" s="847" t="s">
        <v>3200</v>
      </c>
      <c r="C72" s="1238">
        <f>SUM(C69:C70)</f>
        <v>17286.150000000001</v>
      </c>
      <c r="D72" s="818">
        <f>ROUND(C72,-3)</f>
        <v>17000</v>
      </c>
      <c r="E72" t="s">
        <v>3233</v>
      </c>
      <c r="F72" s="194">
        <f>F67*I14</f>
        <v>24158.788224913958</v>
      </c>
    </row>
    <row r="73" spans="2:9">
      <c r="B73" s="1121"/>
      <c r="C73" s="1121"/>
      <c r="D73" s="818"/>
    </row>
    <row r="74" spans="2:9">
      <c r="B74" s="1121"/>
      <c r="C74" s="1121"/>
      <c r="D74" s="818"/>
      <c r="E74" t="s">
        <v>3162</v>
      </c>
      <c r="F74" s="194">
        <f>ROUND(SUM(F71:F72),-3)</f>
        <v>47000</v>
      </c>
      <c r="G74" s="203">
        <f>ROUND(F74,-3)</f>
        <v>47000</v>
      </c>
      <c r="H74" s="1001">
        <f>G74/I14</f>
        <v>224.70083968871469</v>
      </c>
      <c r="I74" t="s">
        <v>3450</v>
      </c>
    </row>
    <row r="75" spans="2:9">
      <c r="B75" s="1121"/>
      <c r="C75" s="1121"/>
      <c r="D75" s="818"/>
    </row>
    <row r="77" spans="2:9">
      <c r="B77" s="1004" t="s">
        <v>3234</v>
      </c>
      <c r="E77" s="1005" t="s">
        <v>3245</v>
      </c>
    </row>
    <row r="78" spans="2:9">
      <c r="B78" t="s">
        <v>3235</v>
      </c>
      <c r="C78">
        <v>200</v>
      </c>
      <c r="E78" t="s">
        <v>3235</v>
      </c>
      <c r="F78">
        <v>200</v>
      </c>
    </row>
    <row r="79" spans="2:9">
      <c r="B79" t="s">
        <v>3236</v>
      </c>
      <c r="C79">
        <v>46</v>
      </c>
      <c r="E79" t="s">
        <v>3236</v>
      </c>
      <c r="F79">
        <v>72</v>
      </c>
    </row>
    <row r="80" spans="2:9">
      <c r="B80" t="s">
        <v>3237</v>
      </c>
      <c r="C80">
        <v>4500</v>
      </c>
      <c r="E80" t="s">
        <v>3237</v>
      </c>
      <c r="F80">
        <v>4500</v>
      </c>
    </row>
    <row r="81" spans="2:6">
      <c r="B81" t="s">
        <v>3238</v>
      </c>
      <c r="C81">
        <v>5000</v>
      </c>
    </row>
    <row r="82" spans="2:6">
      <c r="E82" t="s">
        <v>3246</v>
      </c>
      <c r="F82">
        <v>43</v>
      </c>
    </row>
    <row r="83" spans="2:6">
      <c r="B83" t="s">
        <v>3239</v>
      </c>
      <c r="C83" s="194">
        <f>(C78*C79)+C80+C81</f>
        <v>18700</v>
      </c>
      <c r="E83" t="s">
        <v>3247</v>
      </c>
      <c r="F83">
        <v>100</v>
      </c>
    </row>
    <row r="85" spans="2:6">
      <c r="B85" t="s">
        <v>3240</v>
      </c>
      <c r="C85">
        <v>0</v>
      </c>
      <c r="E85" t="s">
        <v>3239</v>
      </c>
      <c r="F85" s="194">
        <f>(F78*F79)+4500+(F82*F83)</f>
        <v>23200</v>
      </c>
    </row>
    <row r="87" spans="2:6">
      <c r="B87" t="s">
        <v>3162</v>
      </c>
      <c r="C87" s="997">
        <f>C83*C85</f>
        <v>0</v>
      </c>
      <c r="E87" t="s">
        <v>3248</v>
      </c>
      <c r="F87">
        <v>0</v>
      </c>
    </row>
    <row r="89" spans="2:6">
      <c r="E89" t="s">
        <v>3162</v>
      </c>
      <c r="F89" s="997">
        <f>F85*F87</f>
        <v>0</v>
      </c>
    </row>
    <row r="91" spans="2:6">
      <c r="B91" s="1006" t="s">
        <v>3241</v>
      </c>
    </row>
    <row r="92" spans="2:6">
      <c r="B92" t="s">
        <v>3235</v>
      </c>
      <c r="C92">
        <v>200</v>
      </c>
    </row>
    <row r="93" spans="2:6">
      <c r="B93" t="s">
        <v>3242</v>
      </c>
      <c r="C93">
        <v>300</v>
      </c>
    </row>
    <row r="95" spans="2:6">
      <c r="B95" t="s">
        <v>3243</v>
      </c>
      <c r="C95" s="194">
        <f>C92*C93</f>
        <v>60000</v>
      </c>
    </row>
    <row r="97" spans="2:3">
      <c r="B97" t="s">
        <v>3244</v>
      </c>
      <c r="C97">
        <v>0</v>
      </c>
    </row>
    <row r="99" spans="2:3">
      <c r="B99" t="s">
        <v>3162</v>
      </c>
      <c r="C99" s="997">
        <f>C95*C97</f>
        <v>0</v>
      </c>
    </row>
  </sheetData>
  <mergeCells count="7">
    <mergeCell ref="F44:J45"/>
    <mergeCell ref="B33:D33"/>
    <mergeCell ref="B34:D34"/>
    <mergeCell ref="B35:D35"/>
    <mergeCell ref="B36:D37"/>
    <mergeCell ref="E36:E37"/>
    <mergeCell ref="F42:J4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Q99"/>
  <sheetViews>
    <sheetView zoomScale="80" zoomScaleNormal="80" workbookViewId="0">
      <selection activeCell="T33" sqref="T33"/>
    </sheetView>
  </sheetViews>
  <sheetFormatPr defaultColWidth="9.1796875" defaultRowHeight="14.5"/>
  <cols>
    <col min="2" max="2" width="57.81640625" bestFit="1" customWidth="1"/>
    <col min="3" max="3" width="17" customWidth="1"/>
    <col min="4" max="4" width="25.453125" customWidth="1"/>
    <col min="5" max="5" width="34.81640625" customWidth="1"/>
    <col min="6" max="6" width="16.26953125" bestFit="1" customWidth="1"/>
    <col min="7" max="7" width="14.26953125" customWidth="1"/>
    <col min="8" max="8" width="13.81640625" customWidth="1"/>
    <col min="9" max="9" width="18.1796875" customWidth="1"/>
    <col min="10" max="10" width="13.81640625" bestFit="1" customWidth="1"/>
    <col min="11" max="11" width="13.1796875" customWidth="1"/>
    <col min="13" max="13" width="59.1796875" customWidth="1"/>
    <col min="14" max="14" width="20.54296875" customWidth="1"/>
    <col min="15" max="15" width="26" bestFit="1" customWidth="1"/>
    <col min="16" max="16" width="15.1796875" bestFit="1" customWidth="1"/>
    <col min="17" max="17" width="9.54296875" bestFit="1" customWidth="1"/>
  </cols>
  <sheetData>
    <row r="2" spans="3:17">
      <c r="M2" t="s">
        <v>3444</v>
      </c>
      <c r="N2" s="1252">
        <f>SUMIF('Estimate Details'!AQ9:AQ1622,"2015 R",'Estimate Details'!AD9:AD1622)</f>
        <v>3044218.5608335976</v>
      </c>
      <c r="O2" s="194"/>
    </row>
    <row r="3" spans="3:17">
      <c r="D3" s="818"/>
      <c r="F3" s="854"/>
      <c r="N3" s="161"/>
    </row>
    <row r="4" spans="3:17">
      <c r="M4" t="s">
        <v>2742</v>
      </c>
      <c r="N4" s="967">
        <v>0</v>
      </c>
      <c r="O4" t="s">
        <v>3152</v>
      </c>
    </row>
    <row r="5" spans="3:17">
      <c r="M5" t="s">
        <v>2692</v>
      </c>
      <c r="N5" s="967">
        <f>ROUND(C62,-3)</f>
        <v>170000</v>
      </c>
    </row>
    <row r="6" spans="3:17">
      <c r="M6" t="s">
        <v>3154</v>
      </c>
      <c r="N6" s="967">
        <v>0</v>
      </c>
      <c r="O6" t="s">
        <v>3152</v>
      </c>
    </row>
    <row r="7" spans="3:17">
      <c r="C7" s="165"/>
      <c r="K7" s="1123"/>
      <c r="M7" t="s">
        <v>2686</v>
      </c>
      <c r="N7" s="1081">
        <f>ROUND(334*14.78,-3)</f>
        <v>5000</v>
      </c>
      <c r="O7" t="s">
        <v>3460</v>
      </c>
    </row>
    <row r="8" spans="3:17">
      <c r="K8" s="1124"/>
      <c r="N8" s="967"/>
    </row>
    <row r="9" spans="3:17">
      <c r="D9" s="165"/>
      <c r="K9" s="1124"/>
      <c r="M9" t="s">
        <v>2696</v>
      </c>
      <c r="N9" s="967">
        <f>ROUND(C72,-3)</f>
        <v>165000</v>
      </c>
      <c r="Q9" s="901"/>
    </row>
    <row r="10" spans="3:17">
      <c r="E10" s="901"/>
      <c r="K10" s="1124"/>
      <c r="M10" t="s">
        <v>2743</v>
      </c>
      <c r="N10" s="967">
        <f>ROUND((F71+E55),-3)</f>
        <v>451000</v>
      </c>
    </row>
    <row r="11" spans="3:17">
      <c r="C11" s="165"/>
      <c r="E11" s="901"/>
      <c r="I11" t="s">
        <v>3223</v>
      </c>
      <c r="K11" s="1123"/>
      <c r="M11" t="s">
        <v>2698</v>
      </c>
      <c r="N11" s="967">
        <f>ROUND(E40,-3)</f>
        <v>304000</v>
      </c>
      <c r="Q11" s="997"/>
    </row>
    <row r="12" spans="3:17">
      <c r="E12" s="901"/>
      <c r="I12" s="1250">
        <f>SUMIF('Estimate Details'!AQ9:AQ1622,"2015 R",'Estimate Details'!Z9:Z1622)</f>
        <v>20009.128360713359</v>
      </c>
      <c r="K12" s="1123"/>
      <c r="N12" s="967"/>
    </row>
    <row r="13" spans="3:17">
      <c r="E13" s="901"/>
      <c r="F13" t="s">
        <v>3445</v>
      </c>
      <c r="I13" t="s">
        <v>3224</v>
      </c>
      <c r="K13" s="1124"/>
      <c r="M13" t="s">
        <v>3225</v>
      </c>
      <c r="N13" s="967">
        <f>C87</f>
        <v>0</v>
      </c>
      <c r="O13" t="s">
        <v>3152</v>
      </c>
    </row>
    <row r="14" spans="3:17">
      <c r="F14" s="1081">
        <f>I12/10</f>
        <v>2000.912836071336</v>
      </c>
      <c r="I14" s="1125">
        <f>F14</f>
        <v>2000.912836071336</v>
      </c>
      <c r="K14" s="1124"/>
      <c r="M14" t="s">
        <v>3226</v>
      </c>
      <c r="N14" s="967">
        <v>0</v>
      </c>
      <c r="O14" t="s">
        <v>3152</v>
      </c>
      <c r="P14" s="997"/>
    </row>
    <row r="15" spans="3:17">
      <c r="E15" s="901"/>
      <c r="K15" s="1124"/>
      <c r="M15" t="s">
        <v>3159</v>
      </c>
      <c r="N15" s="967">
        <f>C99+F89</f>
        <v>0</v>
      </c>
      <c r="O15" t="s">
        <v>3152</v>
      </c>
    </row>
    <row r="16" spans="3:17">
      <c r="E16" s="901"/>
      <c r="I16">
        <v>116</v>
      </c>
      <c r="J16" s="1044">
        <f>I14*I16</f>
        <v>232105.88898427496</v>
      </c>
      <c r="K16" s="1124"/>
      <c r="N16" s="967"/>
    </row>
    <row r="17" spans="3:17">
      <c r="C17" s="998"/>
      <c r="E17" s="901"/>
      <c r="I17">
        <v>110</v>
      </c>
      <c r="J17">
        <f>I14*I17</f>
        <v>220100.41196784694</v>
      </c>
      <c r="K17" s="1123"/>
      <c r="M17" t="s">
        <v>2676</v>
      </c>
      <c r="N17" s="967">
        <f>ROUND(E41,-3)</f>
        <v>119000</v>
      </c>
      <c r="O17" t="s">
        <v>3158</v>
      </c>
    </row>
    <row r="18" spans="3:17">
      <c r="E18" s="165"/>
      <c r="J18" s="1044">
        <f>SUM(J16:J17)</f>
        <v>452206.30095212191</v>
      </c>
      <c r="K18" s="1123"/>
      <c r="M18" t="s">
        <v>2680</v>
      </c>
      <c r="N18" s="967">
        <f>ROUND(E42,-3)</f>
        <v>287000</v>
      </c>
      <c r="O18" t="s">
        <v>3158</v>
      </c>
    </row>
    <row r="19" spans="3:17">
      <c r="E19" s="998"/>
      <c r="K19" s="1123"/>
      <c r="N19" s="967"/>
    </row>
    <row r="20" spans="3:17" ht="29">
      <c r="K20" s="1123"/>
      <c r="M20" s="7" t="s">
        <v>3215</v>
      </c>
      <c r="N20" s="967">
        <f>ROUND(E44,-3)</f>
        <v>496000</v>
      </c>
      <c r="O20" t="s">
        <v>3158</v>
      </c>
    </row>
    <row r="21" spans="3:17">
      <c r="K21" s="1123"/>
    </row>
    <row r="22" spans="3:17">
      <c r="K22" s="1123"/>
    </row>
    <row r="23" spans="3:17">
      <c r="D23" s="165"/>
      <c r="M23" t="s">
        <v>3161</v>
      </c>
      <c r="N23" s="203">
        <f>SUM(N4:N20)</f>
        <v>1997000</v>
      </c>
    </row>
    <row r="24" spans="3:17">
      <c r="P24" t="s">
        <v>3453</v>
      </c>
      <c r="Q24" s="1239">
        <f>N23/N25</f>
        <v>0.39613438217401614</v>
      </c>
    </row>
    <row r="25" spans="3:17">
      <c r="M25" t="s">
        <v>3162</v>
      </c>
      <c r="N25" s="997">
        <f>N2+N23</f>
        <v>5041218.5608335976</v>
      </c>
      <c r="P25" t="s">
        <v>3454</v>
      </c>
      <c r="Q25" s="1239">
        <f>N2/N25</f>
        <v>0.6038656178259838</v>
      </c>
    </row>
    <row r="28" spans="3:17">
      <c r="N28" s="1101"/>
    </row>
    <row r="30" spans="3:17">
      <c r="M30" s="165"/>
    </row>
    <row r="31" spans="3:17">
      <c r="J31" s="901"/>
    </row>
    <row r="33" spans="2:11">
      <c r="B33" s="2242" t="s">
        <v>3167</v>
      </c>
      <c r="C33" s="2242"/>
      <c r="D33" s="2242"/>
      <c r="E33" s="1252">
        <f>SUMIF('Estimate Details'!AQ9:AQ1622,"2015 R",'Estimate Details'!AD9:AD1622)</f>
        <v>3044218.5608335976</v>
      </c>
    </row>
    <row r="34" spans="2:11">
      <c r="B34" s="2242" t="s">
        <v>3228</v>
      </c>
      <c r="C34" s="2242"/>
      <c r="D34" s="2242"/>
      <c r="E34" s="997">
        <f>E33+SUM(N9:N15)</f>
        <v>3964218.5608335976</v>
      </c>
    </row>
    <row r="35" spans="2:11">
      <c r="B35" s="2242" t="s">
        <v>3168</v>
      </c>
      <c r="C35" s="2242"/>
      <c r="D35" s="2242"/>
      <c r="E35" s="1043">
        <f>E33+N7+C99+F89</f>
        <v>3049218.5608335976</v>
      </c>
      <c r="G35" s="1043"/>
    </row>
    <row r="36" spans="2:11">
      <c r="B36" s="2246" t="s">
        <v>3169</v>
      </c>
      <c r="C36" s="2246"/>
      <c r="D36" s="2246"/>
      <c r="E36" s="2244">
        <f>E35+E40+E55+F71+C72</f>
        <v>3969636.7114510438</v>
      </c>
    </row>
    <row r="37" spans="2:11">
      <c r="B37" s="2246"/>
      <c r="C37" s="2246"/>
      <c r="D37" s="2246"/>
      <c r="E37" s="2244"/>
    </row>
    <row r="38" spans="2:11">
      <c r="B38" s="387"/>
      <c r="C38" s="387"/>
      <c r="D38" s="387"/>
      <c r="E38" s="1122"/>
    </row>
    <row r="40" spans="2:11">
      <c r="B40" s="1121" t="s">
        <v>2698</v>
      </c>
      <c r="C40" s="1121"/>
      <c r="D40" s="1118">
        <v>0.1</v>
      </c>
      <c r="E40" s="1119">
        <f>$E$33*D40</f>
        <v>304421.85608335974</v>
      </c>
      <c r="F40" s="1121" t="s">
        <v>3170</v>
      </c>
      <c r="G40" s="1121"/>
      <c r="H40" s="1121"/>
      <c r="I40" s="1121"/>
      <c r="J40" s="1121"/>
      <c r="K40" s="1043">
        <f t="shared" ref="K40:K45" si="0">ROUND(E40,-3)</f>
        <v>304000</v>
      </c>
    </row>
    <row r="41" spans="2:11">
      <c r="B41" s="1121" t="s">
        <v>3172</v>
      </c>
      <c r="C41" s="1121"/>
      <c r="D41" s="1120">
        <v>3.9E-2</v>
      </c>
      <c r="E41" s="1119">
        <f>$E$33*D41</f>
        <v>118724.52387251031</v>
      </c>
      <c r="F41" s="1121" t="s">
        <v>2677</v>
      </c>
      <c r="G41" s="1121"/>
      <c r="H41" s="1121"/>
      <c r="I41" s="1121"/>
      <c r="J41" s="1121"/>
      <c r="K41" s="1043">
        <f t="shared" si="0"/>
        <v>119000</v>
      </c>
    </row>
    <row r="42" spans="2:11">
      <c r="B42" s="1121" t="s">
        <v>3173</v>
      </c>
      <c r="C42" s="1121"/>
      <c r="D42" s="1120">
        <v>9.4E-2</v>
      </c>
      <c r="E42" s="1119">
        <f>$E$35*D42</f>
        <v>286626.54471835814</v>
      </c>
      <c r="F42" s="2245" t="s">
        <v>3218</v>
      </c>
      <c r="G42" s="2245"/>
      <c r="H42" s="2245"/>
      <c r="I42" s="2245"/>
      <c r="J42" s="2245"/>
      <c r="K42" s="1043">
        <f t="shared" si="0"/>
        <v>287000</v>
      </c>
    </row>
    <row r="43" spans="2:11">
      <c r="B43" s="1121"/>
      <c r="C43" s="1121"/>
      <c r="D43" s="1118"/>
      <c r="E43" s="1121"/>
      <c r="F43" s="1121"/>
      <c r="G43" s="1121"/>
      <c r="H43" s="1121"/>
      <c r="I43" s="1121"/>
      <c r="J43" s="1121"/>
      <c r="K43" s="1043">
        <f t="shared" si="0"/>
        <v>0</v>
      </c>
    </row>
    <row r="44" spans="2:11">
      <c r="B44" s="1121" t="s">
        <v>2747</v>
      </c>
      <c r="C44" s="1121"/>
      <c r="D44" s="1120">
        <v>0.125</v>
      </c>
      <c r="E44" s="1119">
        <f>$E$36*D44</f>
        <v>496204.58893138048</v>
      </c>
      <c r="F44" s="2241" t="s">
        <v>3447</v>
      </c>
      <c r="G44" s="2241"/>
      <c r="H44" s="2241"/>
      <c r="I44" s="2241"/>
      <c r="J44" s="2241"/>
      <c r="K44" s="1043">
        <f t="shared" si="0"/>
        <v>496000</v>
      </c>
    </row>
    <row r="45" spans="2:11">
      <c r="B45" s="1121"/>
      <c r="C45" s="1121"/>
      <c r="D45" s="1121"/>
      <c r="E45" s="1121"/>
      <c r="F45" s="2241"/>
      <c r="G45" s="2241"/>
      <c r="H45" s="2241"/>
      <c r="I45" s="2241"/>
      <c r="J45" s="2241"/>
      <c r="K45" s="1043">
        <f t="shared" si="0"/>
        <v>0</v>
      </c>
    </row>
    <row r="48" spans="2:11">
      <c r="B48" s="999" t="s">
        <v>3174</v>
      </c>
      <c r="C48" s="999"/>
      <c r="E48" s="1000" t="s">
        <v>3184</v>
      </c>
    </row>
    <row r="49" spans="2:8">
      <c r="B49" t="s">
        <v>3448</v>
      </c>
      <c r="C49" s="1081">
        <v>0</v>
      </c>
      <c r="D49" s="7" t="s">
        <v>3459</v>
      </c>
      <c r="E49" s="901">
        <v>1732500</v>
      </c>
      <c r="F49" t="s">
        <v>3185</v>
      </c>
    </row>
    <row r="50" spans="2:8">
      <c r="B50" t="s">
        <v>3176</v>
      </c>
      <c r="C50" s="194">
        <v>0.1</v>
      </c>
      <c r="E50">
        <v>30</v>
      </c>
      <c r="F50" t="s">
        <v>3186</v>
      </c>
    </row>
    <row r="51" spans="2:8">
      <c r="E51">
        <v>500</v>
      </c>
      <c r="F51" t="s">
        <v>3230</v>
      </c>
    </row>
    <row r="52" spans="2:8">
      <c r="B52" t="s">
        <v>3456</v>
      </c>
      <c r="C52" s="1251">
        <f>SUMIF('Estimate Details'!AQ9:AQ1622,"2015 R",'Estimate Details'!AA9:AA1622)/0.97</f>
        <v>619866.8291487128</v>
      </c>
      <c r="D52" s="1081"/>
    </row>
    <row r="53" spans="2:8">
      <c r="B53" t="s">
        <v>3457</v>
      </c>
      <c r="C53" s="1081">
        <f>E53*I14</f>
        <v>231105.43256623929</v>
      </c>
      <c r="D53" s="1081"/>
      <c r="E53" s="1001">
        <f>E49/(E50*E51)</f>
        <v>115.5</v>
      </c>
      <c r="F53" t="s">
        <v>3188</v>
      </c>
    </row>
    <row r="54" spans="2:8">
      <c r="B54" t="s">
        <v>3458</v>
      </c>
      <c r="C54" s="854">
        <f>C52+C53</f>
        <v>850972.26171495207</v>
      </c>
      <c r="D54" s="1081"/>
    </row>
    <row r="55" spans="2:8">
      <c r="C55" s="194"/>
      <c r="D55" s="1081"/>
      <c r="E55" s="1044">
        <f>I14*E53</f>
        <v>231105.43256623929</v>
      </c>
      <c r="F55" t="s">
        <v>3037</v>
      </c>
    </row>
    <row r="56" spans="2:8">
      <c r="B56" t="s">
        <v>3180</v>
      </c>
      <c r="C56" s="194">
        <v>0.4</v>
      </c>
      <c r="D56" s="1081"/>
      <c r="E56" s="1044"/>
    </row>
    <row r="57" spans="2:8">
      <c r="D57" s="1081"/>
      <c r="E57" s="1044"/>
      <c r="G57">
        <f>51.1/2</f>
        <v>25.55</v>
      </c>
    </row>
    <row r="58" spans="2:8">
      <c r="B58" t="s">
        <v>3181</v>
      </c>
      <c r="C58" s="967">
        <f>0.5*C49*C50</f>
        <v>0</v>
      </c>
      <c r="D58" s="1081"/>
      <c r="E58" s="1044"/>
    </row>
    <row r="59" spans="2:8">
      <c r="D59" s="1081"/>
      <c r="E59" s="1044"/>
    </row>
    <row r="60" spans="2:8">
      <c r="B60" t="s">
        <v>3250</v>
      </c>
      <c r="C60" s="967">
        <f>0.5*C54*C56</f>
        <v>170194.45234299044</v>
      </c>
      <c r="D60" s="1081"/>
      <c r="E60" s="1044"/>
    </row>
    <row r="61" spans="2:8">
      <c r="D61" s="1081"/>
      <c r="E61" s="1044"/>
      <c r="H61" s="1081"/>
    </row>
    <row r="62" spans="2:8">
      <c r="B62" t="s">
        <v>3183</v>
      </c>
      <c r="C62" s="1101">
        <f>C60+C58</f>
        <v>170194.45234299044</v>
      </c>
      <c r="D62" s="1081"/>
    </row>
    <row r="64" spans="2:8">
      <c r="B64" s="1002" t="s">
        <v>3220</v>
      </c>
      <c r="E64" s="1003" t="s">
        <v>3190</v>
      </c>
    </row>
    <row r="65" spans="2:9">
      <c r="B65" s="1121" t="s">
        <v>3195</v>
      </c>
      <c r="C65" s="1094">
        <f>I14</f>
        <v>2000.912836071336</v>
      </c>
      <c r="D65" s="1094"/>
      <c r="E65" s="1003"/>
    </row>
    <row r="66" spans="2:9">
      <c r="B66" s="1121" t="s">
        <v>3196</v>
      </c>
      <c r="C66" s="1121">
        <f>(ROUNDUP(C65*0.7,0))</f>
        <v>1401</v>
      </c>
      <c r="D66" s="1121"/>
      <c r="E66" t="s">
        <v>3231</v>
      </c>
      <c r="F66">
        <v>110</v>
      </c>
    </row>
    <row r="67" spans="2:9">
      <c r="B67" s="1121" t="s">
        <v>3197</v>
      </c>
      <c r="C67" s="1121">
        <f>(ROUNDUP(C65*0.3,0))</f>
        <v>601</v>
      </c>
      <c r="D67" s="1121"/>
      <c r="E67" t="s">
        <v>3449</v>
      </c>
      <c r="F67" s="1001">
        <f>E53</f>
        <v>115.5</v>
      </c>
    </row>
    <row r="68" spans="2:9">
      <c r="B68" s="1121"/>
      <c r="C68" s="1121"/>
      <c r="D68" s="1121"/>
    </row>
    <row r="69" spans="2:9">
      <c r="B69" s="1121" t="s">
        <v>3198</v>
      </c>
      <c r="C69" s="1081">
        <f>C66*85.45</f>
        <v>119715.45</v>
      </c>
      <c r="D69" s="1081"/>
    </row>
    <row r="70" spans="2:9">
      <c r="B70" s="1121" t="s">
        <v>3199</v>
      </c>
      <c r="C70" s="1081">
        <f>C67*75</f>
        <v>45075</v>
      </c>
      <c r="D70" s="1081"/>
    </row>
    <row r="71" spans="2:9">
      <c r="E71" t="s">
        <v>3193</v>
      </c>
      <c r="F71" s="194">
        <f>F66*I14</f>
        <v>220100.41196784694</v>
      </c>
    </row>
    <row r="72" spans="2:9">
      <c r="B72" s="847" t="s">
        <v>3200</v>
      </c>
      <c r="C72" s="1238">
        <f>SUM(C69:C70)</f>
        <v>164790.45000000001</v>
      </c>
      <c r="D72" s="1238"/>
      <c r="E72" t="s">
        <v>3233</v>
      </c>
      <c r="F72" s="194">
        <f>F67*I14</f>
        <v>231105.43256623929</v>
      </c>
    </row>
    <row r="73" spans="2:9">
      <c r="B73" s="1121"/>
      <c r="C73" s="1121"/>
      <c r="D73" s="818"/>
    </row>
    <row r="74" spans="2:9">
      <c r="B74" s="1121"/>
      <c r="C74" s="1121"/>
      <c r="D74" s="818"/>
      <c r="E74" t="s">
        <v>3162</v>
      </c>
      <c r="F74" s="194">
        <f>ROUND(SUM(F71:F72),-3)</f>
        <v>451000</v>
      </c>
      <c r="G74" s="203">
        <f>ROUND(F74,-3)</f>
        <v>451000</v>
      </c>
      <c r="H74" s="1001">
        <f>G74/I14</f>
        <v>225.39712468710511</v>
      </c>
      <c r="I74" t="s">
        <v>3450</v>
      </c>
    </row>
    <row r="75" spans="2:9">
      <c r="B75" s="1121"/>
      <c r="C75" s="1121"/>
      <c r="D75" s="818"/>
    </row>
    <row r="77" spans="2:9">
      <c r="B77" s="1004" t="s">
        <v>3234</v>
      </c>
      <c r="E77" s="1005" t="s">
        <v>3245</v>
      </c>
    </row>
    <row r="78" spans="2:9">
      <c r="B78" t="s">
        <v>3235</v>
      </c>
      <c r="C78">
        <v>200</v>
      </c>
      <c r="E78" t="s">
        <v>3235</v>
      </c>
      <c r="F78">
        <v>200</v>
      </c>
    </row>
    <row r="79" spans="2:9">
      <c r="B79" t="s">
        <v>3236</v>
      </c>
      <c r="C79">
        <v>46</v>
      </c>
      <c r="E79" t="s">
        <v>3236</v>
      </c>
      <c r="F79">
        <v>72</v>
      </c>
    </row>
    <row r="80" spans="2:9">
      <c r="B80" t="s">
        <v>3237</v>
      </c>
      <c r="C80">
        <v>4500</v>
      </c>
      <c r="E80" t="s">
        <v>3237</v>
      </c>
      <c r="F80">
        <v>4500</v>
      </c>
    </row>
    <row r="81" spans="2:6">
      <c r="B81" t="s">
        <v>3238</v>
      </c>
      <c r="C81">
        <v>5000</v>
      </c>
    </row>
    <row r="82" spans="2:6">
      <c r="E82" t="s">
        <v>3246</v>
      </c>
      <c r="F82">
        <v>43</v>
      </c>
    </row>
    <row r="83" spans="2:6">
      <c r="B83" t="s">
        <v>3239</v>
      </c>
      <c r="C83" s="194">
        <f>(C78*C79)+C80+C81</f>
        <v>18700</v>
      </c>
      <c r="E83" t="s">
        <v>3247</v>
      </c>
      <c r="F83">
        <v>100</v>
      </c>
    </row>
    <row r="85" spans="2:6">
      <c r="B85" t="s">
        <v>3240</v>
      </c>
      <c r="C85">
        <v>0</v>
      </c>
      <c r="E85" t="s">
        <v>3239</v>
      </c>
      <c r="F85" s="194">
        <f>(F78*F79)+4500+(F82*F83)</f>
        <v>23200</v>
      </c>
    </row>
    <row r="87" spans="2:6">
      <c r="B87" t="s">
        <v>3162</v>
      </c>
      <c r="C87" s="997">
        <f>C83*C85</f>
        <v>0</v>
      </c>
      <c r="E87" t="s">
        <v>3248</v>
      </c>
      <c r="F87">
        <v>0</v>
      </c>
    </row>
    <row r="89" spans="2:6">
      <c r="E89" t="s">
        <v>3162</v>
      </c>
      <c r="F89" s="997">
        <f>F85*F87</f>
        <v>0</v>
      </c>
    </row>
    <row r="91" spans="2:6">
      <c r="B91" s="1006" t="s">
        <v>3241</v>
      </c>
    </row>
    <row r="92" spans="2:6">
      <c r="B92" t="s">
        <v>3235</v>
      </c>
      <c r="C92">
        <v>200</v>
      </c>
    </row>
    <row r="93" spans="2:6">
      <c r="B93" t="s">
        <v>3242</v>
      </c>
      <c r="C93">
        <v>300</v>
      </c>
    </row>
    <row r="95" spans="2:6">
      <c r="B95" t="s">
        <v>3243</v>
      </c>
      <c r="C95" s="194">
        <f>C92*C93</f>
        <v>60000</v>
      </c>
    </row>
    <row r="97" spans="2:3">
      <c r="B97" t="s">
        <v>3244</v>
      </c>
      <c r="C97">
        <v>0</v>
      </c>
    </row>
    <row r="99" spans="2:3">
      <c r="B99" t="s">
        <v>3162</v>
      </c>
      <c r="C99" s="997">
        <f>C95*C97</f>
        <v>0</v>
      </c>
    </row>
  </sheetData>
  <mergeCells count="7">
    <mergeCell ref="F44:J45"/>
    <mergeCell ref="B33:D33"/>
    <mergeCell ref="B34:D34"/>
    <mergeCell ref="B35:D35"/>
    <mergeCell ref="B36:D37"/>
    <mergeCell ref="E36:E37"/>
    <mergeCell ref="F42:J42"/>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Q99"/>
  <sheetViews>
    <sheetView topLeftCell="C1" zoomScale="80" zoomScaleNormal="80" workbookViewId="0">
      <selection activeCell="T33" sqref="T33"/>
    </sheetView>
  </sheetViews>
  <sheetFormatPr defaultColWidth="9.1796875" defaultRowHeight="14.5"/>
  <cols>
    <col min="2" max="2" width="57.81640625" bestFit="1" customWidth="1"/>
    <col min="3" max="3" width="17" customWidth="1"/>
    <col min="4" max="4" width="25.453125" customWidth="1"/>
    <col min="5" max="5" width="34.81640625" customWidth="1"/>
    <col min="6" max="6" width="16.26953125" bestFit="1" customWidth="1"/>
    <col min="7" max="7" width="14.26953125" customWidth="1"/>
    <col min="8" max="8" width="13.81640625" customWidth="1"/>
    <col min="9" max="9" width="18.1796875" customWidth="1"/>
    <col min="10" max="10" width="13.81640625" bestFit="1" customWidth="1"/>
    <col min="11" max="11" width="13.1796875" customWidth="1"/>
    <col min="13" max="13" width="59.1796875" customWidth="1"/>
    <col min="14" max="14" width="20.54296875" customWidth="1"/>
    <col min="15" max="15" width="26" bestFit="1" customWidth="1"/>
    <col min="16" max="16" width="15.1796875" bestFit="1" customWidth="1"/>
    <col min="17" max="17" width="9.54296875" bestFit="1" customWidth="1"/>
  </cols>
  <sheetData>
    <row r="2" spans="3:17">
      <c r="M2" t="s">
        <v>3444</v>
      </c>
      <c r="N2" s="194">
        <f>ROUNDUP(SUMIF('Estimate Details'!AQ9:AQ1622,"2015 A",'Estimate Details'!AD9:AD1622),-3)</f>
        <v>331000</v>
      </c>
      <c r="O2" s="194"/>
    </row>
    <row r="3" spans="3:17">
      <c r="D3" s="818"/>
      <c r="F3" s="854"/>
      <c r="N3" s="161"/>
    </row>
    <row r="4" spans="3:17">
      <c r="M4" t="s">
        <v>2742</v>
      </c>
      <c r="N4" s="967">
        <v>0</v>
      </c>
      <c r="O4" t="s">
        <v>3152</v>
      </c>
    </row>
    <row r="5" spans="3:17">
      <c r="M5" t="s">
        <v>2692</v>
      </c>
      <c r="N5" s="967">
        <f>ROUND(C62,-3)</f>
        <v>9000</v>
      </c>
    </row>
    <row r="6" spans="3:17">
      <c r="M6" t="s">
        <v>3154</v>
      </c>
      <c r="N6" s="967">
        <v>0</v>
      </c>
    </row>
    <row r="7" spans="3:17">
      <c r="C7" s="165"/>
      <c r="K7" s="1123"/>
      <c r="M7" t="s">
        <v>2686</v>
      </c>
      <c r="N7" s="967">
        <v>0</v>
      </c>
      <c r="O7" t="s">
        <v>3152</v>
      </c>
    </row>
    <row r="8" spans="3:17">
      <c r="K8" s="1124"/>
      <c r="N8" s="967"/>
    </row>
    <row r="9" spans="3:17">
      <c r="D9" s="165"/>
      <c r="K9" s="1124"/>
      <c r="M9" t="s">
        <v>2696</v>
      </c>
      <c r="N9" s="967">
        <f>ROUND(C72,-3)</f>
        <v>17000</v>
      </c>
      <c r="Q9" s="901"/>
    </row>
    <row r="10" spans="3:17">
      <c r="E10" s="901"/>
      <c r="K10" s="1124"/>
      <c r="M10" t="s">
        <v>2743</v>
      </c>
      <c r="N10" s="967">
        <f>ROUND((F71+E55),-3)</f>
        <v>47000</v>
      </c>
    </row>
    <row r="11" spans="3:17">
      <c r="C11" s="165"/>
      <c r="E11" s="901"/>
      <c r="I11" t="s">
        <v>3223</v>
      </c>
      <c r="K11" s="1123"/>
      <c r="M11" t="s">
        <v>2698</v>
      </c>
      <c r="N11" s="967">
        <f>ROUND(E40,-3)</f>
        <v>33000</v>
      </c>
      <c r="Q11" s="997"/>
    </row>
    <row r="12" spans="3:17">
      <c r="E12" s="901"/>
      <c r="I12" s="1125">
        <f>SUMIF('Estimate Details'!AQ9:AQ1622,"2015 A",'Estimate Details'!Z9:Z1622)</f>
        <v>2099.2237362203064</v>
      </c>
      <c r="K12" s="1123"/>
      <c r="N12" s="967"/>
    </row>
    <row r="13" spans="3:17">
      <c r="E13" s="901"/>
      <c r="F13" t="s">
        <v>3445</v>
      </c>
      <c r="I13" t="s">
        <v>3224</v>
      </c>
      <c r="K13" s="1124"/>
      <c r="M13" t="s">
        <v>3225</v>
      </c>
      <c r="N13" s="967">
        <f>C87</f>
        <v>0</v>
      </c>
      <c r="O13" t="s">
        <v>3152</v>
      </c>
    </row>
    <row r="14" spans="3:17">
      <c r="F14" s="1081">
        <f>I12/10</f>
        <v>209.92237362203065</v>
      </c>
      <c r="I14" s="1125">
        <f>F14</f>
        <v>209.92237362203065</v>
      </c>
      <c r="K14" s="1124"/>
      <c r="M14" t="s">
        <v>3226</v>
      </c>
      <c r="N14" s="967">
        <v>0</v>
      </c>
      <c r="O14" t="s">
        <v>3152</v>
      </c>
      <c r="P14" s="997"/>
    </row>
    <row r="15" spans="3:17">
      <c r="E15" s="901"/>
      <c r="K15" s="1124"/>
      <c r="M15" t="s">
        <v>3159</v>
      </c>
      <c r="N15" s="967">
        <f>ROUND((C99+F89),-3)</f>
        <v>0</v>
      </c>
      <c r="O15" t="s">
        <v>3152</v>
      </c>
    </row>
    <row r="16" spans="3:17">
      <c r="E16" s="901"/>
      <c r="I16">
        <v>116</v>
      </c>
      <c r="J16" s="1044">
        <f>I14*I16</f>
        <v>24350.995340155554</v>
      </c>
      <c r="K16" s="1124"/>
      <c r="N16" s="967"/>
    </row>
    <row r="17" spans="3:17">
      <c r="C17" s="998"/>
      <c r="E17" s="901"/>
      <c r="I17">
        <v>110</v>
      </c>
      <c r="J17">
        <f>I14*I17</f>
        <v>23091.46109842337</v>
      </c>
      <c r="K17" s="1123"/>
      <c r="M17" t="s">
        <v>2676</v>
      </c>
      <c r="N17" s="967">
        <f>ROUND(E41,-3)</f>
        <v>13000</v>
      </c>
      <c r="O17" t="s">
        <v>3158</v>
      </c>
    </row>
    <row r="18" spans="3:17">
      <c r="E18" s="165"/>
      <c r="J18" s="1044">
        <f>SUM(J16:J17)</f>
        <v>47442.456438578927</v>
      </c>
      <c r="K18" s="1123"/>
      <c r="M18" t="s">
        <v>2680</v>
      </c>
      <c r="N18" s="967">
        <f>ROUND(E42,-3)</f>
        <v>31000</v>
      </c>
      <c r="O18" t="s">
        <v>3158</v>
      </c>
    </row>
    <row r="19" spans="3:17">
      <c r="E19" s="998"/>
      <c r="K19" s="1123"/>
      <c r="N19" s="967"/>
    </row>
    <row r="20" spans="3:17" ht="29">
      <c r="K20" s="1123"/>
      <c r="M20" s="7" t="s">
        <v>3215</v>
      </c>
      <c r="N20" s="967">
        <f>ROUND(E44,-30)</f>
        <v>0</v>
      </c>
      <c r="O20" t="s">
        <v>3158</v>
      </c>
    </row>
    <row r="21" spans="3:17">
      <c r="K21" s="1123"/>
    </row>
    <row r="22" spans="3:17">
      <c r="K22" s="1123"/>
    </row>
    <row r="23" spans="3:17">
      <c r="D23" s="165"/>
      <c r="M23" t="s">
        <v>3161</v>
      </c>
      <c r="N23" s="203">
        <f>SUM(N4:N20)</f>
        <v>150000</v>
      </c>
    </row>
    <row r="24" spans="3:17">
      <c r="P24" t="s">
        <v>3453</v>
      </c>
      <c r="Q24" s="1239">
        <f>N23/N25</f>
        <v>0.31185031185031187</v>
      </c>
    </row>
    <row r="25" spans="3:17">
      <c r="M25" t="s">
        <v>3162</v>
      </c>
      <c r="N25" s="997">
        <f>ROUND(N2+N23,-3)</f>
        <v>481000</v>
      </c>
      <c r="P25" t="s">
        <v>3454</v>
      </c>
      <c r="Q25" s="1239">
        <f>N2/N25</f>
        <v>0.68814968814968813</v>
      </c>
    </row>
    <row r="28" spans="3:17">
      <c r="N28" s="1101"/>
    </row>
    <row r="30" spans="3:17">
      <c r="M30" s="165"/>
    </row>
    <row r="31" spans="3:17">
      <c r="I31" t="s">
        <v>3446</v>
      </c>
      <c r="J31" s="901">
        <f>I14/(30*3*3)</f>
        <v>0.77749027267418758</v>
      </c>
    </row>
    <row r="33" spans="2:13">
      <c r="B33" s="2242" t="s">
        <v>3167</v>
      </c>
      <c r="C33" s="2242"/>
      <c r="D33" s="2242"/>
      <c r="E33" s="967">
        <f>SUMIF('Estimate Details'!AQ9:AQ1622,"2015 A",'Estimate Details'!AD9:AD1622)</f>
        <v>330810.20530092652</v>
      </c>
    </row>
    <row r="34" spans="2:13">
      <c r="B34" s="2242" t="s">
        <v>3228</v>
      </c>
      <c r="C34" s="2242"/>
      <c r="D34" s="2242"/>
      <c r="E34" s="997">
        <f>E33+SUM(N9:N15)</f>
        <v>427810.20530092652</v>
      </c>
    </row>
    <row r="35" spans="2:13">
      <c r="B35" s="2242" t="s">
        <v>3168</v>
      </c>
      <c r="C35" s="2242"/>
      <c r="D35" s="2242"/>
      <c r="E35" s="1043">
        <f>E33+N7+C99+F89</f>
        <v>330810.20530092652</v>
      </c>
      <c r="G35" s="1043"/>
    </row>
    <row r="36" spans="2:13">
      <c r="B36" s="2246" t="s">
        <v>3169</v>
      </c>
      <c r="C36" s="2246"/>
      <c r="D36" s="2246"/>
      <c r="E36" s="2244">
        <f>E35+E40+E55+F71+C72</f>
        <v>428514.87108278705</v>
      </c>
    </row>
    <row r="37" spans="2:13">
      <c r="B37" s="2246"/>
      <c r="C37" s="2246"/>
      <c r="D37" s="2246"/>
      <c r="E37" s="2244"/>
    </row>
    <row r="38" spans="2:13">
      <c r="B38" s="387"/>
      <c r="C38" s="387"/>
      <c r="D38" s="387"/>
      <c r="E38" s="1122"/>
    </row>
    <row r="40" spans="2:13">
      <c r="B40" s="1121" t="s">
        <v>2698</v>
      </c>
      <c r="C40" s="1121"/>
      <c r="D40" s="1118">
        <v>0.1</v>
      </c>
      <c r="E40" s="1119">
        <f>$E$33*D40</f>
        <v>33081.020530092654</v>
      </c>
      <c r="F40" s="1121" t="s">
        <v>3170</v>
      </c>
      <c r="G40" s="1121"/>
      <c r="H40" s="1121"/>
      <c r="I40" s="1121"/>
      <c r="J40" s="1121"/>
      <c r="K40" s="1043">
        <f t="shared" ref="K40:K45" si="0">ROUND(E40,-3)</f>
        <v>33000</v>
      </c>
      <c r="M40">
        <f>46*200</f>
        <v>9200</v>
      </c>
    </row>
    <row r="41" spans="2:13">
      <c r="B41" s="1121" t="s">
        <v>3172</v>
      </c>
      <c r="C41" s="1121"/>
      <c r="D41" s="1120">
        <v>3.9E-2</v>
      </c>
      <c r="E41" s="1119">
        <f>$E$33*D41</f>
        <v>12901.598006736134</v>
      </c>
      <c r="F41" s="1121" t="s">
        <v>2677</v>
      </c>
      <c r="G41" s="1121"/>
      <c r="H41" s="1121"/>
      <c r="I41" s="1121"/>
      <c r="J41" s="1121"/>
      <c r="K41" s="1043">
        <f t="shared" si="0"/>
        <v>13000</v>
      </c>
      <c r="M41">
        <v>9500</v>
      </c>
    </row>
    <row r="42" spans="2:13">
      <c r="B42" s="1121" t="s">
        <v>3173</v>
      </c>
      <c r="C42" s="1121"/>
      <c r="D42" s="1120">
        <v>9.4E-2</v>
      </c>
      <c r="E42" s="1119">
        <f>$E$35*D42</f>
        <v>31096.159298287093</v>
      </c>
      <c r="F42" s="2245" t="s">
        <v>3218</v>
      </c>
      <c r="G42" s="2245"/>
      <c r="H42" s="2245"/>
      <c r="I42" s="2245"/>
      <c r="J42" s="2245"/>
      <c r="K42" s="1043">
        <f t="shared" si="0"/>
        <v>31000</v>
      </c>
      <c r="M42">
        <f>SUM(M40:M41)*7</f>
        <v>130900</v>
      </c>
    </row>
    <row r="43" spans="2:13">
      <c r="B43" s="1121"/>
      <c r="C43" s="1121"/>
      <c r="D43" s="1118"/>
      <c r="E43" s="1121"/>
      <c r="F43" s="1121"/>
      <c r="G43" s="1121"/>
      <c r="H43" s="1121"/>
      <c r="I43" s="1121"/>
      <c r="J43" s="1121"/>
      <c r="K43" s="1043">
        <f t="shared" si="0"/>
        <v>0</v>
      </c>
    </row>
    <row r="44" spans="2:13">
      <c r="B44" s="1121" t="s">
        <v>2747</v>
      </c>
      <c r="C44" s="1121"/>
      <c r="D44" s="1120">
        <v>0.125</v>
      </c>
      <c r="E44" s="1119">
        <f>$E$36*D44</f>
        <v>53564.358885348382</v>
      </c>
      <c r="F44" s="2241" t="s">
        <v>3447</v>
      </c>
      <c r="G44" s="2241"/>
      <c r="H44" s="2241"/>
      <c r="I44" s="2241"/>
      <c r="J44" s="2241"/>
      <c r="K44" s="1043">
        <f t="shared" si="0"/>
        <v>54000</v>
      </c>
    </row>
    <row r="45" spans="2:13">
      <c r="B45" s="1121"/>
      <c r="C45" s="1121"/>
      <c r="D45" s="1121"/>
      <c r="E45" s="1121"/>
      <c r="F45" s="2241"/>
      <c r="G45" s="2241"/>
      <c r="H45" s="2241"/>
      <c r="I45" s="2241"/>
      <c r="J45" s="2241"/>
      <c r="K45" s="1043">
        <f t="shared" si="0"/>
        <v>0</v>
      </c>
    </row>
    <row r="48" spans="2:13">
      <c r="B48" s="999" t="s">
        <v>3174</v>
      </c>
      <c r="C48" s="999"/>
      <c r="E48" s="1000" t="s">
        <v>3184</v>
      </c>
    </row>
    <row r="49" spans="2:8">
      <c r="B49" t="s">
        <v>3448</v>
      </c>
      <c r="C49" s="1081">
        <v>0</v>
      </c>
      <c r="D49" s="7" t="s">
        <v>3459</v>
      </c>
      <c r="E49" s="901">
        <v>1732500</v>
      </c>
      <c r="F49" t="s">
        <v>3185</v>
      </c>
    </row>
    <row r="50" spans="2:8">
      <c r="B50" t="s">
        <v>3176</v>
      </c>
      <c r="C50" s="194">
        <v>0.1</v>
      </c>
      <c r="E50">
        <v>30</v>
      </c>
      <c r="F50" t="s">
        <v>3186</v>
      </c>
    </row>
    <row r="51" spans="2:8">
      <c r="E51">
        <v>500</v>
      </c>
      <c r="F51" t="s">
        <v>3230</v>
      </c>
    </row>
    <row r="52" spans="2:8">
      <c r="B52" t="s">
        <v>3456</v>
      </c>
      <c r="C52" s="1081">
        <f>SUMIF('Estimate Details'!AQ9:AQ1622,"2015 A",'Estimate Details'!AA9:AA1622)/0.97</f>
        <v>20296.277229092371</v>
      </c>
      <c r="D52" s="1081"/>
    </row>
    <row r="53" spans="2:8">
      <c r="B53" t="s">
        <v>3457</v>
      </c>
      <c r="C53" s="1081">
        <f>E53*I14</f>
        <v>24246.034153344539</v>
      </c>
      <c r="D53" s="1081"/>
      <c r="E53" s="1001">
        <f>E49/(E50*E51)</f>
        <v>115.5</v>
      </c>
      <c r="F53" t="s">
        <v>3188</v>
      </c>
    </row>
    <row r="54" spans="2:8">
      <c r="B54" t="s">
        <v>3458</v>
      </c>
      <c r="C54" s="854">
        <f>C52+C53</f>
        <v>44542.311382436907</v>
      </c>
      <c r="D54" s="1081"/>
    </row>
    <row r="55" spans="2:8">
      <c r="C55" s="194"/>
      <c r="D55" s="1081"/>
      <c r="E55" s="1044">
        <f>I14*E53</f>
        <v>24246.034153344539</v>
      </c>
      <c r="F55" t="s">
        <v>3037</v>
      </c>
    </row>
    <row r="56" spans="2:8">
      <c r="B56" t="s">
        <v>3180</v>
      </c>
      <c r="C56" s="194">
        <v>0.4</v>
      </c>
      <c r="D56" s="1081"/>
      <c r="E56" s="1044"/>
    </row>
    <row r="57" spans="2:8">
      <c r="D57" s="1081"/>
      <c r="E57" s="1044"/>
      <c r="G57">
        <f>51.1/2</f>
        <v>25.55</v>
      </c>
    </row>
    <row r="58" spans="2:8">
      <c r="B58" t="s">
        <v>3181</v>
      </c>
      <c r="C58" s="967">
        <f>0.5*C49*C50</f>
        <v>0</v>
      </c>
      <c r="D58" s="1081"/>
      <c r="E58" s="1044"/>
    </row>
    <row r="59" spans="2:8">
      <c r="D59" s="1081"/>
      <c r="E59" s="1044"/>
    </row>
    <row r="60" spans="2:8">
      <c r="B60" t="s">
        <v>3250</v>
      </c>
      <c r="C60" s="967">
        <f>0.5*C54*C56</f>
        <v>8908.462276487382</v>
      </c>
      <c r="D60" s="1081"/>
      <c r="E60" s="1044"/>
    </row>
    <row r="61" spans="2:8">
      <c r="D61" s="1081"/>
      <c r="E61" s="1044"/>
      <c r="H61" s="1081"/>
    </row>
    <row r="62" spans="2:8">
      <c r="B62" t="s">
        <v>3183</v>
      </c>
      <c r="C62" s="1101">
        <f>C60+C58</f>
        <v>8908.462276487382</v>
      </c>
      <c r="D62" s="1081"/>
    </row>
    <row r="64" spans="2:8">
      <c r="B64" s="1002" t="s">
        <v>3220</v>
      </c>
      <c r="E64" s="1003" t="s">
        <v>3190</v>
      </c>
    </row>
    <row r="65" spans="2:9">
      <c r="B65" s="1121" t="s">
        <v>3195</v>
      </c>
      <c r="C65" s="1094">
        <f>I14</f>
        <v>209.92237362203065</v>
      </c>
      <c r="E65" s="1003"/>
    </row>
    <row r="66" spans="2:9">
      <c r="B66" s="1121" t="s">
        <v>3196</v>
      </c>
      <c r="C66" s="1121">
        <f>(ROUNDUP(C65*0.7,0))</f>
        <v>147</v>
      </c>
      <c r="E66" t="s">
        <v>3231</v>
      </c>
      <c r="F66">
        <v>110</v>
      </c>
    </row>
    <row r="67" spans="2:9">
      <c r="B67" s="1121" t="s">
        <v>3197</v>
      </c>
      <c r="C67" s="1121">
        <f>(ROUNDUP(C65*0.3,0))</f>
        <v>63</v>
      </c>
      <c r="E67" t="s">
        <v>3449</v>
      </c>
      <c r="F67" s="1001">
        <f>E53</f>
        <v>115.5</v>
      </c>
    </row>
    <row r="68" spans="2:9">
      <c r="B68" s="1121"/>
      <c r="C68" s="1121"/>
    </row>
    <row r="69" spans="2:9">
      <c r="B69" s="1121" t="s">
        <v>3198</v>
      </c>
      <c r="C69" s="1081">
        <f>C66*85.45</f>
        <v>12561.15</v>
      </c>
      <c r="D69" s="818"/>
    </row>
    <row r="70" spans="2:9">
      <c r="B70" s="1121" t="s">
        <v>3199</v>
      </c>
      <c r="C70" s="1081">
        <f>C67*75</f>
        <v>4725</v>
      </c>
      <c r="D70" s="818"/>
    </row>
    <row r="71" spans="2:9">
      <c r="D71" s="818"/>
      <c r="E71" t="s">
        <v>3193</v>
      </c>
      <c r="F71" s="194">
        <f>F66*I14</f>
        <v>23091.46109842337</v>
      </c>
    </row>
    <row r="72" spans="2:9">
      <c r="B72" s="847" t="s">
        <v>3200</v>
      </c>
      <c r="C72" s="1238">
        <f>SUM(C69:C70)</f>
        <v>17286.150000000001</v>
      </c>
      <c r="D72" s="818"/>
      <c r="E72" t="s">
        <v>3233</v>
      </c>
      <c r="F72" s="194">
        <f>F67*I14</f>
        <v>24246.034153344539</v>
      </c>
    </row>
    <row r="73" spans="2:9">
      <c r="B73" s="1121"/>
      <c r="C73" s="1121"/>
      <c r="D73" s="818"/>
    </row>
    <row r="74" spans="2:9">
      <c r="B74" s="1121"/>
      <c r="C74" s="1121"/>
      <c r="D74" s="818"/>
      <c r="E74" t="s">
        <v>3162</v>
      </c>
      <c r="F74" s="194">
        <f>ROUND(SUM(F71:F72),-3)</f>
        <v>47000</v>
      </c>
      <c r="G74" s="203">
        <f>ROUND(F74,-3)</f>
        <v>47000</v>
      </c>
      <c r="H74" s="1001">
        <f>G74/I14</f>
        <v>223.89228546274168</v>
      </c>
      <c r="I74" t="s">
        <v>3450</v>
      </c>
    </row>
    <row r="75" spans="2:9">
      <c r="B75" s="1121"/>
      <c r="C75" s="1121"/>
      <c r="D75" s="818"/>
    </row>
    <row r="77" spans="2:9">
      <c r="B77" s="1004" t="s">
        <v>3234</v>
      </c>
      <c r="E77" s="1005" t="s">
        <v>3245</v>
      </c>
    </row>
    <row r="78" spans="2:9">
      <c r="B78" t="s">
        <v>3235</v>
      </c>
      <c r="C78">
        <v>200</v>
      </c>
      <c r="E78" t="s">
        <v>3235</v>
      </c>
      <c r="F78">
        <v>200</v>
      </c>
    </row>
    <row r="79" spans="2:9">
      <c r="B79" t="s">
        <v>3236</v>
      </c>
      <c r="C79">
        <v>46</v>
      </c>
      <c r="E79" t="s">
        <v>3236</v>
      </c>
      <c r="F79">
        <v>72</v>
      </c>
    </row>
    <row r="80" spans="2:9">
      <c r="B80" t="s">
        <v>3237</v>
      </c>
      <c r="C80">
        <v>4500</v>
      </c>
      <c r="E80" t="s">
        <v>3237</v>
      </c>
      <c r="F80">
        <v>4500</v>
      </c>
    </row>
    <row r="81" spans="2:6">
      <c r="B81" t="s">
        <v>3238</v>
      </c>
      <c r="C81">
        <v>5000</v>
      </c>
    </row>
    <row r="82" spans="2:6">
      <c r="E82" t="s">
        <v>3246</v>
      </c>
      <c r="F82">
        <v>43</v>
      </c>
    </row>
    <row r="83" spans="2:6">
      <c r="B83" t="s">
        <v>3239</v>
      </c>
      <c r="C83" s="194">
        <f>(C78*C79)+C80+C81</f>
        <v>18700</v>
      </c>
      <c r="E83" t="s">
        <v>3247</v>
      </c>
      <c r="F83">
        <v>100</v>
      </c>
    </row>
    <row r="85" spans="2:6">
      <c r="B85" t="s">
        <v>3240</v>
      </c>
      <c r="C85">
        <v>0</v>
      </c>
      <c r="E85" t="s">
        <v>3239</v>
      </c>
      <c r="F85" s="194">
        <f>(F78*F79)+4500+(F82*F83)</f>
        <v>23200</v>
      </c>
    </row>
    <row r="87" spans="2:6">
      <c r="B87" t="s">
        <v>3162</v>
      </c>
      <c r="C87" s="997">
        <f>C83*C85</f>
        <v>0</v>
      </c>
      <c r="E87" t="s">
        <v>3248</v>
      </c>
      <c r="F87">
        <v>0</v>
      </c>
    </row>
    <row r="89" spans="2:6">
      <c r="E89" t="s">
        <v>3162</v>
      </c>
      <c r="F89" s="997">
        <f>F85*F87</f>
        <v>0</v>
      </c>
    </row>
    <row r="91" spans="2:6">
      <c r="B91" s="1006" t="s">
        <v>3241</v>
      </c>
    </row>
    <row r="92" spans="2:6">
      <c r="B92" t="s">
        <v>3235</v>
      </c>
      <c r="C92">
        <v>200</v>
      </c>
    </row>
    <row r="93" spans="2:6">
      <c r="B93" t="s">
        <v>3242</v>
      </c>
      <c r="C93">
        <v>300</v>
      </c>
    </row>
    <row r="95" spans="2:6">
      <c r="B95" t="s">
        <v>3243</v>
      </c>
      <c r="C95" s="194">
        <f>C92*C93</f>
        <v>60000</v>
      </c>
    </row>
    <row r="97" spans="2:3">
      <c r="B97" t="s">
        <v>3244</v>
      </c>
      <c r="C97">
        <v>0</v>
      </c>
    </row>
    <row r="99" spans="2:3">
      <c r="B99" t="s">
        <v>3162</v>
      </c>
      <c r="C99" s="997">
        <f>C95*C97</f>
        <v>0</v>
      </c>
    </row>
  </sheetData>
  <mergeCells count="7">
    <mergeCell ref="F44:J45"/>
    <mergeCell ref="B33:D33"/>
    <mergeCell ref="B34:D34"/>
    <mergeCell ref="B35:D35"/>
    <mergeCell ref="B36:D37"/>
    <mergeCell ref="E36:E37"/>
    <mergeCell ref="F42:J42"/>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R99"/>
  <sheetViews>
    <sheetView topLeftCell="A13" zoomScale="80" zoomScaleNormal="80" workbookViewId="0">
      <selection activeCell="T33" sqref="T33"/>
    </sheetView>
  </sheetViews>
  <sheetFormatPr defaultColWidth="9.1796875" defaultRowHeight="14.5"/>
  <cols>
    <col min="2" max="2" width="57.81640625" bestFit="1" customWidth="1"/>
    <col min="3" max="3" width="17" customWidth="1"/>
    <col min="4" max="4" width="25.453125" customWidth="1"/>
    <col min="5" max="5" width="34.81640625" customWidth="1"/>
    <col min="6" max="6" width="16.26953125" bestFit="1" customWidth="1"/>
    <col min="7" max="7" width="14.26953125" customWidth="1"/>
    <col min="8" max="8" width="13.81640625" customWidth="1"/>
    <col min="9" max="9" width="18.1796875" customWidth="1"/>
    <col min="10" max="10" width="13.81640625" bestFit="1" customWidth="1"/>
    <col min="11" max="11" width="13.1796875" customWidth="1"/>
    <col min="13" max="13" width="59.1796875" customWidth="1"/>
    <col min="14" max="14" width="20.54296875" customWidth="1"/>
    <col min="16" max="16" width="15.1796875" bestFit="1" customWidth="1"/>
    <col min="17" max="17" width="9.54296875" bestFit="1" customWidth="1"/>
  </cols>
  <sheetData>
    <row r="2" spans="3:17">
      <c r="M2" t="s">
        <v>3444</v>
      </c>
      <c r="N2" s="194">
        <f>ROUNDUP(SUMIF('Estimate Details'!AQ9:AQ1622,2015,'Estimate Details'!AD9:AD1622),-3)</f>
        <v>710000</v>
      </c>
    </row>
    <row r="3" spans="3:17">
      <c r="D3" s="818"/>
      <c r="F3" s="854"/>
      <c r="N3" s="161"/>
    </row>
    <row r="4" spans="3:17">
      <c r="M4" t="s">
        <v>2742</v>
      </c>
      <c r="N4" s="967">
        <v>0</v>
      </c>
      <c r="O4" t="s">
        <v>3152</v>
      </c>
    </row>
    <row r="5" spans="3:17">
      <c r="M5" s="1139" t="s">
        <v>2692</v>
      </c>
      <c r="N5" s="1140">
        <f>ROUND(C62,-3)</f>
        <v>29000</v>
      </c>
    </row>
    <row r="6" spans="3:17">
      <c r="M6" s="1139" t="s">
        <v>3154</v>
      </c>
      <c r="N6" s="1140"/>
      <c r="O6" s="967"/>
    </row>
    <row r="7" spans="3:17">
      <c r="C7" s="165"/>
      <c r="K7" s="1123"/>
      <c r="M7" t="s">
        <v>2686</v>
      </c>
      <c r="N7" s="967">
        <v>0</v>
      </c>
      <c r="O7" t="s">
        <v>3152</v>
      </c>
    </row>
    <row r="8" spans="3:17">
      <c r="K8" s="1124"/>
      <c r="N8" s="967"/>
    </row>
    <row r="9" spans="3:17">
      <c r="D9" s="165"/>
      <c r="K9" s="1124"/>
      <c r="M9" s="1139" t="s">
        <v>2696</v>
      </c>
      <c r="N9" s="1140">
        <f>ROUND(C72,-3)</f>
        <v>46000</v>
      </c>
      <c r="Q9" s="901"/>
    </row>
    <row r="10" spans="3:17">
      <c r="E10" s="901"/>
      <c r="K10" s="1124"/>
      <c r="M10" s="1139" t="s">
        <v>2743</v>
      </c>
      <c r="N10" s="1140">
        <f>(F71+E55)</f>
        <v>125243.91014779246</v>
      </c>
    </row>
    <row r="11" spans="3:17">
      <c r="C11" s="165"/>
      <c r="E11" s="901"/>
      <c r="I11" t="s">
        <v>3223</v>
      </c>
      <c r="K11" s="1123"/>
      <c r="M11" s="1139" t="s">
        <v>2698</v>
      </c>
      <c r="N11" s="1140">
        <f>ROUND(E40,-3)</f>
        <v>71000</v>
      </c>
      <c r="Q11" s="997"/>
    </row>
    <row r="12" spans="3:17">
      <c r="E12" s="901"/>
      <c r="I12" s="1125">
        <f>SUMIF('Estimate Details'!AQ9:AQ1622,2015,'Estimate Details'!Z9:Z1622)</f>
        <v>5554.0536650905742</v>
      </c>
      <c r="K12" s="1123"/>
      <c r="N12" s="967"/>
    </row>
    <row r="13" spans="3:17">
      <c r="E13" s="901"/>
      <c r="F13" t="s">
        <v>3445</v>
      </c>
      <c r="I13" t="s">
        <v>3224</v>
      </c>
      <c r="K13" s="1124"/>
      <c r="M13" t="s">
        <v>3225</v>
      </c>
      <c r="N13" s="967">
        <v>0</v>
      </c>
      <c r="O13" t="s">
        <v>3152</v>
      </c>
    </row>
    <row r="14" spans="3:17">
      <c r="F14" s="1081">
        <f>I12/10</f>
        <v>555.40536650905744</v>
      </c>
      <c r="I14" s="1125">
        <f>F14</f>
        <v>555.40536650905744</v>
      </c>
      <c r="K14" s="1124"/>
      <c r="M14" t="s">
        <v>3226</v>
      </c>
      <c r="N14" s="967">
        <v>0</v>
      </c>
      <c r="O14" t="s">
        <v>3152</v>
      </c>
      <c r="P14" s="997"/>
    </row>
    <row r="15" spans="3:17">
      <c r="E15" s="901"/>
      <c r="K15" s="1124"/>
      <c r="M15" t="s">
        <v>3159</v>
      </c>
      <c r="N15" s="967">
        <v>0</v>
      </c>
      <c r="O15" t="s">
        <v>3152</v>
      </c>
    </row>
    <row r="16" spans="3:17">
      <c r="E16" s="901"/>
      <c r="I16">
        <v>116</v>
      </c>
      <c r="J16" s="1044">
        <f>I14*I16</f>
        <v>64427.022515050667</v>
      </c>
      <c r="K16" s="1124"/>
      <c r="N16" s="967"/>
    </row>
    <row r="17" spans="3:18">
      <c r="C17" s="998"/>
      <c r="E17" s="901"/>
      <c r="I17">
        <v>110</v>
      </c>
      <c r="J17">
        <f>I14*I17</f>
        <v>61094.59031599632</v>
      </c>
      <c r="K17" s="1123"/>
      <c r="M17" t="s">
        <v>2676</v>
      </c>
      <c r="N17" s="1140">
        <f>ROUND(E41,-3)</f>
        <v>28000</v>
      </c>
      <c r="O17" t="s">
        <v>3158</v>
      </c>
    </row>
    <row r="18" spans="3:18">
      <c r="E18" s="165"/>
      <c r="J18" s="1044">
        <f>SUM(J16:J17)</f>
        <v>125521.61283104698</v>
      </c>
      <c r="K18" s="1123"/>
      <c r="M18" t="s">
        <v>2680</v>
      </c>
      <c r="N18" s="1140">
        <f>ROUND(E42,-3)</f>
        <v>147000</v>
      </c>
      <c r="O18" t="s">
        <v>3158</v>
      </c>
    </row>
    <row r="19" spans="3:18">
      <c r="E19" s="998"/>
      <c r="K19" s="1123"/>
      <c r="N19" s="967"/>
    </row>
    <row r="20" spans="3:18" ht="29">
      <c r="K20" s="1123"/>
      <c r="M20" s="7" t="s">
        <v>3215</v>
      </c>
      <c r="N20" s="1140">
        <f>ROUND(E44,-3)</f>
        <v>225000</v>
      </c>
      <c r="O20" t="s">
        <v>3158</v>
      </c>
    </row>
    <row r="21" spans="3:18">
      <c r="K21" s="1123"/>
    </row>
    <row r="22" spans="3:18">
      <c r="K22" s="1123"/>
    </row>
    <row r="23" spans="3:18">
      <c r="D23" s="165"/>
      <c r="M23" t="s">
        <v>3161</v>
      </c>
      <c r="N23" s="203">
        <f>SUM(N4:N20)</f>
        <v>671243.91014779243</v>
      </c>
    </row>
    <row r="25" spans="3:18">
      <c r="M25" t="s">
        <v>3162</v>
      </c>
      <c r="N25" s="997">
        <f>ROUND(N2+N23,-3)</f>
        <v>1381000</v>
      </c>
    </row>
    <row r="26" spans="3:18">
      <c r="Q26" t="s">
        <v>3453</v>
      </c>
      <c r="R26" s="1239">
        <f>N23/N25</f>
        <v>0.48605641574785841</v>
      </c>
    </row>
    <row r="27" spans="3:18">
      <c r="Q27" t="s">
        <v>3454</v>
      </c>
      <c r="R27" s="1239">
        <f>N2/N25</f>
        <v>0.51412020275162928</v>
      </c>
    </row>
    <row r="28" spans="3:18">
      <c r="N28" s="203"/>
    </row>
    <row r="30" spans="3:18">
      <c r="M30" s="165"/>
    </row>
    <row r="31" spans="3:18">
      <c r="I31" t="s">
        <v>3446</v>
      </c>
      <c r="J31" s="901">
        <f>I14/(30*3*3)</f>
        <v>2.0570569129965088</v>
      </c>
    </row>
    <row r="33" spans="2:13">
      <c r="B33" s="2242" t="s">
        <v>3167</v>
      </c>
      <c r="C33" s="2242"/>
      <c r="D33" s="2242"/>
      <c r="E33" s="189">
        <f>SUMIF('Estimate Details'!AQ9:AQ1622,2015,'Estimate Details'!AD9:AD1622)</f>
        <v>709664.56847666483</v>
      </c>
    </row>
    <row r="34" spans="2:13">
      <c r="B34" s="2242" t="s">
        <v>3228</v>
      </c>
      <c r="C34" s="2242"/>
      <c r="D34" s="2242"/>
      <c r="E34" s="997">
        <f>E33+SUM(N9:N15)</f>
        <v>951908.47862445726</v>
      </c>
    </row>
    <row r="35" spans="2:13">
      <c r="B35" s="2242" t="s">
        <v>3168</v>
      </c>
      <c r="C35" s="2242"/>
      <c r="D35" s="2242"/>
      <c r="E35" s="997">
        <f>E33+N7+C99+F89</f>
        <v>1560864.5684766648</v>
      </c>
      <c r="G35" s="1043"/>
    </row>
    <row r="36" spans="2:13">
      <c r="B36" s="2246" t="s">
        <v>3169</v>
      </c>
      <c r="C36" s="2246"/>
      <c r="D36" s="2246"/>
      <c r="E36" s="2244">
        <f>E35+E40+E55+F71+C72</f>
        <v>1802839.9854721238</v>
      </c>
    </row>
    <row r="37" spans="2:13">
      <c r="B37" s="2246"/>
      <c r="C37" s="2246"/>
      <c r="D37" s="2246"/>
      <c r="E37" s="2244"/>
    </row>
    <row r="38" spans="2:13">
      <c r="B38" s="387"/>
      <c r="C38" s="387"/>
      <c r="D38" s="387"/>
      <c r="E38" s="1122"/>
    </row>
    <row r="40" spans="2:13">
      <c r="B40" s="1121" t="s">
        <v>3461</v>
      </c>
      <c r="C40" s="1121"/>
      <c r="D40" s="1118">
        <v>0.1</v>
      </c>
      <c r="E40" s="1119">
        <f>$E$33*D40</f>
        <v>70966.456847666486</v>
      </c>
      <c r="F40" s="1121" t="s">
        <v>3170</v>
      </c>
      <c r="G40" s="1121"/>
      <c r="H40" s="1121"/>
      <c r="I40" s="1121"/>
      <c r="J40" s="1121"/>
      <c r="K40" s="1043">
        <f t="shared" ref="K40:K45" si="0">ROUND(E40,-3)</f>
        <v>71000</v>
      </c>
      <c r="M40">
        <f>46*200</f>
        <v>9200</v>
      </c>
    </row>
    <row r="41" spans="2:13">
      <c r="B41" s="1121" t="s">
        <v>3172</v>
      </c>
      <c r="C41" s="1121"/>
      <c r="D41" s="1120">
        <v>3.9E-2</v>
      </c>
      <c r="E41" s="1119">
        <f>$E$33*D41</f>
        <v>27676.918170589928</v>
      </c>
      <c r="F41" s="1121" t="s">
        <v>2677</v>
      </c>
      <c r="G41" s="1121"/>
      <c r="H41" s="1121"/>
      <c r="I41" s="1121"/>
      <c r="J41" s="1121"/>
      <c r="K41" s="1043">
        <f t="shared" si="0"/>
        <v>28000</v>
      </c>
      <c r="M41">
        <v>9500</v>
      </c>
    </row>
    <row r="42" spans="2:13">
      <c r="B42" s="1121" t="s">
        <v>3173</v>
      </c>
      <c r="C42" s="1121"/>
      <c r="D42" s="1120">
        <v>9.4E-2</v>
      </c>
      <c r="E42" s="1119">
        <f>$E$35*D42</f>
        <v>146721.2694368065</v>
      </c>
      <c r="F42" s="2245" t="s">
        <v>3218</v>
      </c>
      <c r="G42" s="2245"/>
      <c r="H42" s="2245"/>
      <c r="I42" s="2245"/>
      <c r="J42" s="2245"/>
      <c r="K42" s="1043">
        <f t="shared" si="0"/>
        <v>147000</v>
      </c>
      <c r="M42">
        <f>SUM(M40:M41)*7</f>
        <v>130900</v>
      </c>
    </row>
    <row r="43" spans="2:13">
      <c r="B43" s="1121"/>
      <c r="C43" s="1121"/>
      <c r="D43" s="1118"/>
      <c r="E43" s="1121"/>
      <c r="F43" s="1121"/>
      <c r="G43" s="1121"/>
      <c r="H43" s="1121"/>
      <c r="I43" s="1121"/>
      <c r="J43" s="1121"/>
      <c r="K43" s="1043">
        <f t="shared" si="0"/>
        <v>0</v>
      </c>
    </row>
    <row r="44" spans="2:13">
      <c r="B44" s="1121" t="s">
        <v>2747</v>
      </c>
      <c r="C44" s="1121"/>
      <c r="D44" s="1120">
        <v>0.125</v>
      </c>
      <c r="E44" s="1119">
        <f>$E$36*D44</f>
        <v>225354.99818401548</v>
      </c>
      <c r="F44" s="2241" t="s">
        <v>3447</v>
      </c>
      <c r="G44" s="2241"/>
      <c r="H44" s="2241"/>
      <c r="I44" s="2241"/>
      <c r="J44" s="2241"/>
      <c r="K44" s="1043">
        <f t="shared" si="0"/>
        <v>225000</v>
      </c>
    </row>
    <row r="45" spans="2:13">
      <c r="B45" s="1121"/>
      <c r="C45" s="1121"/>
      <c r="D45" s="1121"/>
      <c r="E45" s="1121"/>
      <c r="F45" s="2241"/>
      <c r="G45" s="2241"/>
      <c r="H45" s="2241"/>
      <c r="I45" s="2241"/>
      <c r="J45" s="2241"/>
      <c r="K45" s="1043">
        <f t="shared" si="0"/>
        <v>0</v>
      </c>
    </row>
    <row r="48" spans="2:13">
      <c r="B48" s="999" t="s">
        <v>3174</v>
      </c>
      <c r="C48" s="999"/>
      <c r="E48" s="1000" t="s">
        <v>3184</v>
      </c>
    </row>
    <row r="49" spans="2:7" ht="29">
      <c r="B49" t="s">
        <v>3448</v>
      </c>
      <c r="C49" s="1081">
        <v>100000</v>
      </c>
      <c r="D49" s="7" t="s">
        <v>3462</v>
      </c>
      <c r="E49" s="901">
        <v>1732500</v>
      </c>
      <c r="F49" t="s">
        <v>3185</v>
      </c>
    </row>
    <row r="50" spans="2:7">
      <c r="B50" t="s">
        <v>3176</v>
      </c>
      <c r="C50" s="194">
        <v>0.1</v>
      </c>
      <c r="E50">
        <v>30</v>
      </c>
      <c r="F50" t="s">
        <v>3186</v>
      </c>
    </row>
    <row r="51" spans="2:7">
      <c r="E51">
        <v>500</v>
      </c>
      <c r="F51" t="s">
        <v>3230</v>
      </c>
    </row>
    <row r="52" spans="2:7">
      <c r="B52" t="s">
        <v>3456</v>
      </c>
      <c r="C52" s="1081">
        <f>SUMIF('Estimate Details'!AQ9:AQ1622,2015,'Estimate Details'!AA9:AA1622)/0.97</f>
        <v>57837.505028248212</v>
      </c>
      <c r="D52" s="1081"/>
    </row>
    <row r="53" spans="2:7">
      <c r="B53" t="s">
        <v>3457</v>
      </c>
      <c r="C53" s="1081">
        <f>E53*I14</f>
        <v>64149.319831796136</v>
      </c>
      <c r="D53" s="1081"/>
      <c r="E53" s="1001">
        <f>E49/(E50*E51)</f>
        <v>115.5</v>
      </c>
      <c r="F53" t="s">
        <v>3188</v>
      </c>
    </row>
    <row r="54" spans="2:7">
      <c r="B54" t="s">
        <v>3458</v>
      </c>
      <c r="C54" s="854">
        <f>C52+C53</f>
        <v>121986.82486004435</v>
      </c>
      <c r="D54" s="1081"/>
    </row>
    <row r="55" spans="2:7">
      <c r="C55" s="194"/>
      <c r="D55" s="1081"/>
      <c r="E55" s="1044">
        <f>I14*E53</f>
        <v>64149.319831796136</v>
      </c>
      <c r="F55" t="s">
        <v>3037</v>
      </c>
    </row>
    <row r="56" spans="2:7">
      <c r="B56" t="s">
        <v>3180</v>
      </c>
      <c r="C56" s="194">
        <v>0.4</v>
      </c>
      <c r="D56" s="1081"/>
      <c r="E56" s="1044"/>
    </row>
    <row r="57" spans="2:7">
      <c r="D57" s="1081"/>
      <c r="E57" s="1044"/>
      <c r="G57">
        <f>51.1/2</f>
        <v>25.55</v>
      </c>
    </row>
    <row r="58" spans="2:7">
      <c r="B58" t="s">
        <v>3181</v>
      </c>
      <c r="C58" s="967">
        <f>0.5*C49*C50</f>
        <v>5000</v>
      </c>
      <c r="D58" s="1081"/>
      <c r="E58" s="1044"/>
    </row>
    <row r="59" spans="2:7">
      <c r="D59" s="1081"/>
      <c r="E59" s="1044"/>
    </row>
    <row r="60" spans="2:7">
      <c r="B60" t="s">
        <v>3250</v>
      </c>
      <c r="C60" s="967">
        <f>0.5*C54*C56</f>
        <v>24397.364972008872</v>
      </c>
      <c r="D60" s="1081"/>
      <c r="E60" s="1044"/>
    </row>
    <row r="61" spans="2:7">
      <c r="D61" s="1081"/>
      <c r="E61" s="1044"/>
    </row>
    <row r="62" spans="2:7">
      <c r="B62" t="s">
        <v>3183</v>
      </c>
      <c r="C62" s="1101">
        <f>C60+C58</f>
        <v>29397.364972008872</v>
      </c>
      <c r="D62" s="1081"/>
    </row>
    <row r="64" spans="2:7">
      <c r="B64" s="1002" t="s">
        <v>3220</v>
      </c>
      <c r="E64" s="1003" t="s">
        <v>3190</v>
      </c>
    </row>
    <row r="65" spans="2:9">
      <c r="B65" s="1121" t="s">
        <v>3195</v>
      </c>
      <c r="C65" s="1094">
        <f>I14</f>
        <v>555.40536650905744</v>
      </c>
      <c r="E65" s="1003"/>
    </row>
    <row r="66" spans="2:9">
      <c r="B66" s="1121" t="s">
        <v>3196</v>
      </c>
      <c r="C66" s="1121">
        <f>(ROUNDUP(C65*0.7,0))</f>
        <v>389</v>
      </c>
      <c r="E66" t="s">
        <v>3231</v>
      </c>
      <c r="F66">
        <v>110</v>
      </c>
    </row>
    <row r="67" spans="2:9">
      <c r="B67" s="1121" t="s">
        <v>3197</v>
      </c>
      <c r="C67" s="1121">
        <f>(ROUNDUP(C65*0.3,0))</f>
        <v>167</v>
      </c>
      <c r="E67" t="s">
        <v>3449</v>
      </c>
      <c r="F67" s="1001">
        <f>E53</f>
        <v>115.5</v>
      </c>
    </row>
    <row r="68" spans="2:9">
      <c r="B68" s="1121"/>
      <c r="C68" s="1121"/>
    </row>
    <row r="69" spans="2:9">
      <c r="B69" s="1121" t="s">
        <v>3198</v>
      </c>
      <c r="C69" s="818">
        <f>C66*85.45</f>
        <v>33240.050000000003</v>
      </c>
      <c r="D69" s="818"/>
    </row>
    <row r="70" spans="2:9">
      <c r="B70" s="1121" t="s">
        <v>3199</v>
      </c>
      <c r="C70" s="818">
        <f>C67*75</f>
        <v>12525</v>
      </c>
      <c r="D70" s="818"/>
    </row>
    <row r="71" spans="2:9">
      <c r="D71" s="818"/>
      <c r="E71" t="s">
        <v>3193</v>
      </c>
      <c r="F71" s="194">
        <f>F66*I14</f>
        <v>61094.59031599632</v>
      </c>
    </row>
    <row r="72" spans="2:9">
      <c r="B72" s="847" t="s">
        <v>3200</v>
      </c>
      <c r="C72" s="1134">
        <f>SUM(C69:C70)</f>
        <v>45765.05</v>
      </c>
      <c r="D72" s="818"/>
      <c r="E72" t="s">
        <v>3233</v>
      </c>
      <c r="F72" s="194">
        <f>F67*I14</f>
        <v>64149.319831796136</v>
      </c>
    </row>
    <row r="73" spans="2:9">
      <c r="B73" s="1121"/>
      <c r="C73" s="1121"/>
      <c r="D73" s="818"/>
    </row>
    <row r="74" spans="2:9">
      <c r="B74" s="1121"/>
      <c r="C74" s="1121"/>
      <c r="D74" s="818"/>
      <c r="E74" t="s">
        <v>3162</v>
      </c>
      <c r="F74" s="194">
        <f>ROUND(SUM(F71:F72),-3)</f>
        <v>125000</v>
      </c>
      <c r="G74" s="203">
        <f>ROUND(F74,-3)</f>
        <v>125000</v>
      </c>
      <c r="H74" s="1001">
        <f>G74/I14</f>
        <v>225.06084301214889</v>
      </c>
      <c r="I74" t="s">
        <v>3450</v>
      </c>
    </row>
    <row r="75" spans="2:9">
      <c r="B75" s="1121"/>
      <c r="C75" s="1121"/>
      <c r="D75" s="818"/>
    </row>
    <row r="77" spans="2:9">
      <c r="B77" s="1004" t="s">
        <v>3234</v>
      </c>
      <c r="E77" s="1005" t="s">
        <v>3245</v>
      </c>
    </row>
    <row r="78" spans="2:9">
      <c r="B78" t="s">
        <v>3235</v>
      </c>
      <c r="C78">
        <v>200</v>
      </c>
      <c r="E78" t="s">
        <v>3235</v>
      </c>
      <c r="F78">
        <v>200</v>
      </c>
    </row>
    <row r="79" spans="2:9">
      <c r="B79" t="s">
        <v>3236</v>
      </c>
      <c r="C79">
        <v>46</v>
      </c>
      <c r="E79" t="s">
        <v>3236</v>
      </c>
      <c r="F79">
        <v>72</v>
      </c>
    </row>
    <row r="80" spans="2:9">
      <c r="B80" t="s">
        <v>3237</v>
      </c>
      <c r="C80">
        <v>4500</v>
      </c>
      <c r="E80" t="s">
        <v>3237</v>
      </c>
      <c r="F80">
        <v>4500</v>
      </c>
    </row>
    <row r="81" spans="2:6">
      <c r="B81" t="s">
        <v>3238</v>
      </c>
      <c r="C81">
        <v>5000</v>
      </c>
    </row>
    <row r="82" spans="2:6">
      <c r="E82" t="s">
        <v>3246</v>
      </c>
      <c r="F82">
        <v>43</v>
      </c>
    </row>
    <row r="83" spans="2:6">
      <c r="B83" t="s">
        <v>3239</v>
      </c>
      <c r="C83" s="194">
        <f>(C78*C79)+C80+C81</f>
        <v>18700</v>
      </c>
      <c r="E83" t="s">
        <v>3247</v>
      </c>
      <c r="F83">
        <v>100</v>
      </c>
    </row>
    <row r="85" spans="2:6">
      <c r="B85" t="s">
        <v>3240</v>
      </c>
      <c r="C85">
        <v>8</v>
      </c>
      <c r="E85" t="s">
        <v>3239</v>
      </c>
      <c r="F85" s="194">
        <f>(F78*F79)+4500+(F82*F83)</f>
        <v>23200</v>
      </c>
    </row>
    <row r="87" spans="2:6">
      <c r="B87" t="s">
        <v>3162</v>
      </c>
      <c r="C87" s="997">
        <f>C83*C85</f>
        <v>149600</v>
      </c>
      <c r="E87" t="s">
        <v>3248</v>
      </c>
      <c r="F87">
        <v>16</v>
      </c>
    </row>
    <row r="89" spans="2:6">
      <c r="E89" t="s">
        <v>3162</v>
      </c>
      <c r="F89" s="997">
        <f>F85*F87</f>
        <v>371200</v>
      </c>
    </row>
    <row r="91" spans="2:6">
      <c r="B91" s="1006" t="s">
        <v>3241</v>
      </c>
    </row>
    <row r="92" spans="2:6">
      <c r="B92" t="s">
        <v>3235</v>
      </c>
      <c r="C92">
        <v>200</v>
      </c>
    </row>
    <row r="93" spans="2:6">
      <c r="B93" t="s">
        <v>3242</v>
      </c>
      <c r="C93">
        <v>300</v>
      </c>
    </row>
    <row r="95" spans="2:6">
      <c r="B95" t="s">
        <v>3243</v>
      </c>
      <c r="C95" s="194">
        <f>C92*C93</f>
        <v>60000</v>
      </c>
    </row>
    <row r="97" spans="2:3">
      <c r="B97" t="s">
        <v>3244</v>
      </c>
      <c r="C97">
        <v>8</v>
      </c>
    </row>
    <row r="99" spans="2:3">
      <c r="B99" t="s">
        <v>3162</v>
      </c>
      <c r="C99" s="997">
        <f>C95*C97</f>
        <v>480000</v>
      </c>
    </row>
  </sheetData>
  <mergeCells count="7">
    <mergeCell ref="F44:J45"/>
    <mergeCell ref="B33:D33"/>
    <mergeCell ref="B34:D34"/>
    <mergeCell ref="B35:D35"/>
    <mergeCell ref="B36:D37"/>
    <mergeCell ref="E36:E37"/>
    <mergeCell ref="F42:J4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R110"/>
  <sheetViews>
    <sheetView topLeftCell="D1" zoomScale="80" zoomScaleNormal="80" workbookViewId="0">
      <selection activeCell="T33" sqref="T33"/>
    </sheetView>
  </sheetViews>
  <sheetFormatPr defaultColWidth="9.1796875" defaultRowHeight="14.5"/>
  <cols>
    <col min="2" max="2" width="57.81640625" bestFit="1" customWidth="1"/>
    <col min="3" max="3" width="17" customWidth="1"/>
    <col min="4" max="4" width="25.453125" customWidth="1"/>
    <col min="5" max="5" width="34.81640625" customWidth="1"/>
    <col min="6" max="6" width="16.26953125" bestFit="1" customWidth="1"/>
    <col min="7" max="7" width="14.26953125" customWidth="1"/>
    <col min="8" max="8" width="13.81640625" customWidth="1"/>
    <col min="9" max="9" width="18.1796875" customWidth="1"/>
    <col min="10" max="10" width="13.81640625" bestFit="1" customWidth="1"/>
    <col min="11" max="11" width="15.54296875" customWidth="1"/>
    <col min="13" max="13" width="59.1796875" customWidth="1"/>
    <col min="14" max="14" width="20.54296875" customWidth="1"/>
    <col min="16" max="16" width="16.26953125" bestFit="1" customWidth="1"/>
    <col min="17" max="17" width="14.26953125" bestFit="1" customWidth="1"/>
    <col min="18" max="18" width="16" customWidth="1"/>
    <col min="20" max="20" width="9.81640625" bestFit="1" customWidth="1"/>
  </cols>
  <sheetData>
    <row r="2" spans="3:18">
      <c r="M2" t="s">
        <v>3444</v>
      </c>
      <c r="N2" s="967">
        <f>SUMIF('Estimate Details'!AQ9:AQ1622,2014,'Estimate Details'!AD9:AD1622)</f>
        <v>13876333.963178014</v>
      </c>
      <c r="O2" s="1101"/>
      <c r="Q2" s="1239">
        <f>N4/N2</f>
        <v>0.14189626779125541</v>
      </c>
      <c r="R2" s="1101"/>
    </row>
    <row r="3" spans="3:18">
      <c r="D3" s="818"/>
      <c r="F3" s="854"/>
      <c r="N3" s="161"/>
      <c r="R3" s="997"/>
    </row>
    <row r="4" spans="3:18">
      <c r="M4" t="s">
        <v>2742</v>
      </c>
      <c r="N4" s="967">
        <f>5500*358</f>
        <v>1969000</v>
      </c>
      <c r="R4" s="997"/>
    </row>
    <row r="5" spans="3:18">
      <c r="M5" t="s">
        <v>2692</v>
      </c>
      <c r="N5" s="967">
        <f>ROUND(C62,-3)</f>
        <v>2873000</v>
      </c>
      <c r="R5" s="997"/>
    </row>
    <row r="6" spans="3:18">
      <c r="M6" t="s">
        <v>3154</v>
      </c>
      <c r="N6" s="967">
        <v>0</v>
      </c>
      <c r="R6" s="997"/>
    </row>
    <row r="7" spans="3:18">
      <c r="C7" s="165"/>
      <c r="K7" s="1123"/>
      <c r="M7" t="s">
        <v>2686</v>
      </c>
      <c r="N7" s="967">
        <v>234000</v>
      </c>
      <c r="R7" s="997"/>
    </row>
    <row r="8" spans="3:18">
      <c r="F8" s="1081"/>
      <c r="K8" s="1124"/>
      <c r="N8" s="967"/>
      <c r="R8" s="997"/>
    </row>
    <row r="9" spans="3:18">
      <c r="D9" s="165"/>
      <c r="K9" s="1124"/>
      <c r="M9" t="s">
        <v>2696</v>
      </c>
      <c r="N9" s="967">
        <f>ROUND(C86,-3)</f>
        <v>652000</v>
      </c>
      <c r="R9" s="997"/>
    </row>
    <row r="10" spans="3:18">
      <c r="E10" s="901"/>
      <c r="K10" s="1124"/>
      <c r="M10" t="s">
        <v>2743</v>
      </c>
      <c r="N10" s="967">
        <f>ROUND((F71+E55),-3)</f>
        <v>1649000</v>
      </c>
      <c r="R10" s="997"/>
    </row>
    <row r="11" spans="3:18">
      <c r="C11" s="165"/>
      <c r="E11" s="901"/>
      <c r="I11" t="s">
        <v>3223</v>
      </c>
      <c r="K11" s="1123"/>
      <c r="M11" t="s">
        <v>2698</v>
      </c>
      <c r="N11" s="967">
        <f>ROUND(E40,-3)</f>
        <v>1388000</v>
      </c>
      <c r="R11" s="997"/>
    </row>
    <row r="12" spans="3:18">
      <c r="E12" s="901"/>
      <c r="I12" s="1125">
        <f>SUMIF('Estimate Details'!AQ9:AQ1622,2014,'Estimate Details'!Z9:Z1622)</f>
        <v>73124.000861553868</v>
      </c>
      <c r="J12" s="1125"/>
      <c r="K12" s="1300"/>
      <c r="N12" s="967"/>
      <c r="R12" s="997"/>
    </row>
    <row r="13" spans="3:18">
      <c r="E13" s="901"/>
      <c r="F13" t="s">
        <v>3445</v>
      </c>
      <c r="I13" t="s">
        <v>3224</v>
      </c>
      <c r="K13" s="1124"/>
      <c r="M13" t="s">
        <v>3225</v>
      </c>
      <c r="N13" s="967">
        <f>ROUND(C98,-3)</f>
        <v>150000</v>
      </c>
      <c r="R13" s="997"/>
    </row>
    <row r="14" spans="3:18">
      <c r="F14" s="1081">
        <f>I12/10</f>
        <v>7312.4000861553868</v>
      </c>
      <c r="G14" t="s">
        <v>3463</v>
      </c>
      <c r="I14" s="1125">
        <f>F14</f>
        <v>7312.4000861553868</v>
      </c>
      <c r="K14" s="1124"/>
      <c r="M14" t="s">
        <v>3226</v>
      </c>
      <c r="N14" s="194">
        <v>90000</v>
      </c>
      <c r="R14" s="997"/>
    </row>
    <row r="15" spans="3:18">
      <c r="E15" s="901"/>
      <c r="K15" s="1124"/>
      <c r="M15" t="s">
        <v>3159</v>
      </c>
      <c r="N15" s="194">
        <f>C110+F89</f>
        <v>851200</v>
      </c>
      <c r="R15" s="997"/>
    </row>
    <row r="16" spans="3:18">
      <c r="E16" s="901"/>
      <c r="I16">
        <v>116</v>
      </c>
      <c r="J16" s="1044">
        <f>I14*I16</f>
        <v>848238.4099940249</v>
      </c>
      <c r="K16" s="1124"/>
      <c r="N16" s="967"/>
      <c r="R16" s="997"/>
    </row>
    <row r="17" spans="3:18">
      <c r="C17" s="998"/>
      <c r="E17" s="901"/>
      <c r="I17">
        <v>110</v>
      </c>
      <c r="J17">
        <f>I14*I17</f>
        <v>804364.00947709254</v>
      </c>
      <c r="K17" s="1123"/>
      <c r="M17" t="s">
        <v>2676</v>
      </c>
      <c r="N17" s="967">
        <f>ROUND(E41,-3)</f>
        <v>541000</v>
      </c>
      <c r="O17" t="s">
        <v>3158</v>
      </c>
      <c r="R17" s="997"/>
    </row>
    <row r="18" spans="3:18">
      <c r="E18" s="165"/>
      <c r="J18" s="1044">
        <f>SUM(J16:J17)</f>
        <v>1652602.4194711174</v>
      </c>
      <c r="K18" s="1123"/>
      <c r="M18" t="s">
        <v>2680</v>
      </c>
      <c r="N18" s="967">
        <f>ROUND(E42,-3)</f>
        <v>1406000</v>
      </c>
      <c r="O18" t="s">
        <v>3158</v>
      </c>
      <c r="R18" s="997"/>
    </row>
    <row r="19" spans="3:18">
      <c r="E19" s="998"/>
      <c r="K19" s="1123"/>
      <c r="N19" s="967"/>
      <c r="R19" s="997"/>
    </row>
    <row r="20" spans="3:18" ht="29">
      <c r="K20" s="1123"/>
      <c r="M20" s="7" t="s">
        <v>3215</v>
      </c>
      <c r="N20" s="967">
        <f>ROUND(E44,-3)</f>
        <v>2331000</v>
      </c>
      <c r="O20" t="s">
        <v>3158</v>
      </c>
      <c r="R20" s="997"/>
    </row>
    <row r="21" spans="3:18">
      <c r="K21" s="1123"/>
      <c r="R21" s="997"/>
    </row>
    <row r="22" spans="3:18">
      <c r="K22" s="1123"/>
      <c r="R22" s="997"/>
    </row>
    <row r="23" spans="3:18">
      <c r="D23" s="165"/>
      <c r="M23" t="s">
        <v>3161</v>
      </c>
      <c r="N23" s="203">
        <f>SUM(N4:N20)</f>
        <v>14134200</v>
      </c>
      <c r="R23" s="997"/>
    </row>
    <row r="24" spans="3:18">
      <c r="R24" s="997"/>
    </row>
    <row r="25" spans="3:18">
      <c r="M25" t="s">
        <v>3162</v>
      </c>
      <c r="N25" s="997">
        <f>ROUND(N2+N23,-3)</f>
        <v>28011000</v>
      </c>
      <c r="R25" s="997"/>
    </row>
    <row r="28" spans="3:18">
      <c r="N28" s="203"/>
    </row>
    <row r="30" spans="3:18">
      <c r="M30" s="165"/>
    </row>
    <row r="31" spans="3:18">
      <c r="I31" t="s">
        <v>3446</v>
      </c>
      <c r="J31" s="901">
        <f>I14/(30*3*3)</f>
        <v>27.082963282056987</v>
      </c>
    </row>
    <row r="33" spans="2:14">
      <c r="B33" s="2242" t="s">
        <v>3167</v>
      </c>
      <c r="C33" s="2242"/>
      <c r="D33" s="2242"/>
      <c r="E33" s="189">
        <f>SUMIF('Estimate Details'!AQ9:AQ1622,2014,'Estimate Details'!AD9:AD1622)</f>
        <v>13876333.963178014</v>
      </c>
      <c r="M33" s="189"/>
      <c r="N33" s="1043"/>
    </row>
    <row r="34" spans="2:14">
      <c r="B34" s="2242" t="s">
        <v>3228</v>
      </c>
      <c r="C34" s="2242"/>
      <c r="D34" s="2242"/>
      <c r="E34" s="997">
        <f>E33+SUM(N9:N15)</f>
        <v>18656533.963178016</v>
      </c>
      <c r="M34" s="997"/>
      <c r="N34" s="1043"/>
    </row>
    <row r="35" spans="2:14">
      <c r="B35" s="2242" t="s">
        <v>3168</v>
      </c>
      <c r="C35" s="2242"/>
      <c r="D35" s="2242"/>
      <c r="E35" s="997">
        <f>E33+N7+C110+F89</f>
        <v>14961533.963178014</v>
      </c>
      <c r="G35" s="1043"/>
      <c r="M35" s="997"/>
      <c r="N35" s="1043"/>
    </row>
    <row r="36" spans="2:14">
      <c r="B36" s="2246" t="s">
        <v>3169</v>
      </c>
      <c r="C36" s="2246"/>
      <c r="D36" s="2246"/>
      <c r="E36" s="2244">
        <f>E35+E40+E55+F71+C86</f>
        <v>18650113.578923855</v>
      </c>
      <c r="M36" s="2244"/>
      <c r="N36" s="1043"/>
    </row>
    <row r="37" spans="2:14">
      <c r="B37" s="2246"/>
      <c r="C37" s="2246"/>
      <c r="D37" s="2246"/>
      <c r="E37" s="2244"/>
      <c r="M37" s="2244"/>
      <c r="N37" s="1043"/>
    </row>
    <row r="38" spans="2:14">
      <c r="B38" s="387"/>
      <c r="C38" s="387"/>
      <c r="D38" s="387"/>
      <c r="E38" s="1122"/>
      <c r="M38" s="1122"/>
      <c r="N38" s="1043"/>
    </row>
    <row r="39" spans="2:14">
      <c r="N39" s="1043"/>
    </row>
    <row r="40" spans="2:14">
      <c r="B40" s="1121" t="s">
        <v>3461</v>
      </c>
      <c r="C40" s="1121"/>
      <c r="D40" s="1118">
        <v>0.1</v>
      </c>
      <c r="E40" s="1119">
        <f>$E$33*D40</f>
        <v>1387633.3963178014</v>
      </c>
      <c r="F40" s="1121" t="s">
        <v>3170</v>
      </c>
      <c r="G40" s="1121"/>
      <c r="I40" s="1288"/>
      <c r="J40" s="1121"/>
      <c r="K40" s="1043">
        <f t="shared" ref="K40:K45" si="0">ROUND(E40,-3)</f>
        <v>1388000</v>
      </c>
      <c r="M40" s="1119"/>
      <c r="N40" s="1043"/>
    </row>
    <row r="41" spans="2:14">
      <c r="B41" s="1121" t="s">
        <v>3172</v>
      </c>
      <c r="C41" s="1121"/>
      <c r="D41" s="1120">
        <v>3.9E-2</v>
      </c>
      <c r="E41" s="1119">
        <f>$E$33*D41</f>
        <v>541177.02456394257</v>
      </c>
      <c r="F41" s="1121" t="s">
        <v>2677</v>
      </c>
      <c r="G41" s="1121"/>
      <c r="I41" s="1288"/>
      <c r="J41" s="1121"/>
      <c r="K41" s="1043">
        <f t="shared" si="0"/>
        <v>541000</v>
      </c>
      <c r="M41" s="1119"/>
      <c r="N41" s="1043"/>
    </row>
    <row r="42" spans="2:14">
      <c r="B42" s="1121" t="s">
        <v>3173</v>
      </c>
      <c r="C42" s="1121"/>
      <c r="D42" s="1120">
        <v>9.4E-2</v>
      </c>
      <c r="E42" s="1119">
        <f>$E$35*D42</f>
        <v>1406384.1925387334</v>
      </c>
      <c r="F42" s="1121" t="s">
        <v>3218</v>
      </c>
      <c r="G42" s="1121"/>
      <c r="I42" s="1288"/>
      <c r="J42" s="1121"/>
      <c r="K42" s="1043">
        <f t="shared" si="0"/>
        <v>1406000</v>
      </c>
      <c r="M42" s="1119"/>
      <c r="N42" s="1043"/>
    </row>
    <row r="43" spans="2:14">
      <c r="B43" s="1121"/>
      <c r="C43" s="1121"/>
      <c r="D43" s="1118"/>
      <c r="E43" s="1121"/>
      <c r="F43" s="1121"/>
      <c r="G43" s="1121"/>
      <c r="H43" s="1121"/>
      <c r="I43" s="1121"/>
      <c r="J43" s="1121"/>
      <c r="K43" s="1043">
        <f t="shared" si="0"/>
        <v>0</v>
      </c>
      <c r="M43" s="1121"/>
      <c r="N43" s="1043"/>
    </row>
    <row r="44" spans="2:14">
      <c r="B44" s="1121" t="s">
        <v>2747</v>
      </c>
      <c r="C44" s="1121"/>
      <c r="D44" s="1120">
        <v>0.125</v>
      </c>
      <c r="E44" s="1119">
        <f>$E$36*D44</f>
        <v>2331264.1973654819</v>
      </c>
      <c r="F44" s="2241" t="s">
        <v>3447</v>
      </c>
      <c r="G44" s="2241"/>
      <c r="H44" s="2241"/>
      <c r="I44" s="2241"/>
      <c r="J44" s="2241"/>
      <c r="K44" s="1043">
        <f t="shared" si="0"/>
        <v>2331000</v>
      </c>
      <c r="M44" s="1119"/>
      <c r="N44" s="1043"/>
    </row>
    <row r="45" spans="2:14">
      <c r="B45" s="1121"/>
      <c r="C45" s="1121"/>
      <c r="D45" s="1121"/>
      <c r="E45" s="1121"/>
      <c r="F45" s="2241"/>
      <c r="G45" s="2241"/>
      <c r="H45" s="2241"/>
      <c r="I45" s="2241"/>
      <c r="J45" s="2241"/>
      <c r="K45" s="1043">
        <f t="shared" si="0"/>
        <v>0</v>
      </c>
    </row>
    <row r="48" spans="2:14">
      <c r="B48" s="999" t="s">
        <v>3174</v>
      </c>
      <c r="C48" s="999"/>
      <c r="E48" s="1000" t="s">
        <v>3184</v>
      </c>
    </row>
    <row r="49" spans="2:7">
      <c r="B49" t="s">
        <v>3448</v>
      </c>
      <c r="C49" s="1081">
        <v>51000000</v>
      </c>
      <c r="D49" s="7"/>
      <c r="E49" s="901">
        <v>1732500</v>
      </c>
      <c r="F49" t="s">
        <v>3185</v>
      </c>
    </row>
    <row r="50" spans="2:7">
      <c r="B50" t="s">
        <v>3176</v>
      </c>
      <c r="C50" s="194">
        <v>0.1</v>
      </c>
      <c r="E50">
        <v>30</v>
      </c>
      <c r="F50" t="s">
        <v>3186</v>
      </c>
    </row>
    <row r="51" spans="2:7">
      <c r="E51">
        <v>500</v>
      </c>
      <c r="F51" t="s">
        <v>3230</v>
      </c>
    </row>
    <row r="52" spans="2:7">
      <c r="B52" t="s">
        <v>3456</v>
      </c>
      <c r="C52" s="1081">
        <f>SUMIF('Estimate Details'!AQ9:AQ1622,2014,'Estimate Details'!AA9:AA1622)/0.97</f>
        <v>771239.05151612533</v>
      </c>
      <c r="D52" s="1081"/>
    </row>
    <row r="53" spans="2:7">
      <c r="B53" t="s">
        <v>3457</v>
      </c>
      <c r="C53" s="1081">
        <f>E53*I14</f>
        <v>844582.2099509472</v>
      </c>
      <c r="D53" s="1081"/>
      <c r="E53" s="1001">
        <f>E49/(E50*E51)</f>
        <v>115.5</v>
      </c>
      <c r="F53" t="s">
        <v>3188</v>
      </c>
    </row>
    <row r="54" spans="2:7">
      <c r="B54" t="s">
        <v>3458</v>
      </c>
      <c r="C54" s="854">
        <f>C52+C53</f>
        <v>1615821.2614670726</v>
      </c>
      <c r="D54" s="1081"/>
    </row>
    <row r="55" spans="2:7">
      <c r="C55" s="194"/>
      <c r="D55" s="1081"/>
      <c r="E55" s="1044">
        <f>I14*E53</f>
        <v>844582.2099509472</v>
      </c>
      <c r="F55" t="s">
        <v>3037</v>
      </c>
      <c r="G55" s="1081"/>
    </row>
    <row r="56" spans="2:7">
      <c r="B56" t="s">
        <v>3180</v>
      </c>
      <c r="C56" s="194">
        <v>0.4</v>
      </c>
      <c r="D56" s="1081"/>
      <c r="E56" s="1044"/>
    </row>
    <row r="57" spans="2:7">
      <c r="D57" s="1081"/>
      <c r="E57" s="1044"/>
    </row>
    <row r="58" spans="2:7">
      <c r="B58" t="s">
        <v>3181</v>
      </c>
      <c r="C58" s="967">
        <f>0.5*C49*C50</f>
        <v>2550000</v>
      </c>
      <c r="D58" s="1081"/>
      <c r="E58" s="1044"/>
    </row>
    <row r="59" spans="2:7">
      <c r="D59" s="1081"/>
      <c r="E59" s="1044"/>
    </row>
    <row r="60" spans="2:7">
      <c r="B60" t="s">
        <v>3250</v>
      </c>
      <c r="C60" s="967">
        <f>0.5*C54*C56</f>
        <v>323164.25229341455</v>
      </c>
      <c r="D60" s="1081"/>
      <c r="E60" s="1044"/>
    </row>
    <row r="61" spans="2:7">
      <c r="D61" s="1081"/>
      <c r="E61" s="1044"/>
    </row>
    <row r="62" spans="2:7">
      <c r="B62" t="s">
        <v>3183</v>
      </c>
      <c r="C62" s="1101">
        <f>C60+C58</f>
        <v>2873164.2522934144</v>
      </c>
      <c r="D62" s="1081"/>
    </row>
    <row r="64" spans="2:7">
      <c r="B64" s="1002" t="s">
        <v>3220</v>
      </c>
      <c r="E64" s="1003" t="s">
        <v>3190</v>
      </c>
    </row>
    <row r="65" spans="2:9">
      <c r="B65" s="1121" t="s">
        <v>3195</v>
      </c>
      <c r="C65" s="1094">
        <f>I14</f>
        <v>7312.4000861553868</v>
      </c>
      <c r="D65" s="1094"/>
      <c r="E65" s="1003"/>
    </row>
    <row r="66" spans="2:9">
      <c r="B66" s="1121" t="s">
        <v>3196</v>
      </c>
      <c r="C66" s="1121">
        <f>(ROUNDUP(C65*0.7,0))</f>
        <v>5119</v>
      </c>
      <c r="D66" s="1121"/>
      <c r="E66" t="s">
        <v>3231</v>
      </c>
      <c r="F66">
        <v>110</v>
      </c>
    </row>
    <row r="67" spans="2:9">
      <c r="B67" s="1121" t="s">
        <v>3197</v>
      </c>
      <c r="C67" s="1121">
        <f>(ROUNDUP(C65*0.3,0))</f>
        <v>2194</v>
      </c>
      <c r="D67" s="1121"/>
      <c r="E67" t="s">
        <v>3449</v>
      </c>
      <c r="F67" s="1001">
        <f>E53</f>
        <v>115.5</v>
      </c>
    </row>
    <row r="68" spans="2:9">
      <c r="B68" s="1121"/>
      <c r="C68" s="1121"/>
      <c r="D68" s="1121"/>
    </row>
    <row r="69" spans="2:9">
      <c r="B69" s="1121" t="s">
        <v>3464</v>
      </c>
      <c r="C69" s="1121">
        <v>77</v>
      </c>
      <c r="D69" s="1121"/>
    </row>
    <row r="70" spans="2:9">
      <c r="B70" s="1121" t="s">
        <v>3465</v>
      </c>
      <c r="C70" s="1121">
        <v>20</v>
      </c>
      <c r="D70" s="1121"/>
    </row>
    <row r="71" spans="2:9">
      <c r="B71" s="1121" t="s">
        <v>3466</v>
      </c>
      <c r="C71" s="1121">
        <f>C69*C70</f>
        <v>1540</v>
      </c>
      <c r="D71" s="1121"/>
      <c r="E71" t="s">
        <v>3193</v>
      </c>
      <c r="F71" s="194">
        <f>F66*I14</f>
        <v>804364.00947709254</v>
      </c>
    </row>
    <row r="72" spans="2:9">
      <c r="B72" s="1121"/>
      <c r="C72" s="1121"/>
      <c r="D72" s="1121"/>
      <c r="E72" t="s">
        <v>3233</v>
      </c>
      <c r="F72" s="194">
        <f>F67*I14</f>
        <v>844582.2099509472</v>
      </c>
    </row>
    <row r="73" spans="2:9">
      <c r="B73" s="1121"/>
      <c r="C73" s="1121"/>
      <c r="D73" s="1121"/>
    </row>
    <row r="74" spans="2:9">
      <c r="B74" s="1121" t="s">
        <v>3467</v>
      </c>
      <c r="C74" s="1121">
        <f>ROUNDUP(C66/C71,0)</f>
        <v>4</v>
      </c>
      <c r="D74" s="1121"/>
      <c r="E74" t="s">
        <v>3162</v>
      </c>
      <c r="F74" s="194">
        <f>ROUND(SUM(F71:F72),-3)</f>
        <v>1649000</v>
      </c>
      <c r="G74" s="203">
        <f>ROUND(F74,-3)</f>
        <v>1649000</v>
      </c>
      <c r="H74" s="1001">
        <f>G74/I14</f>
        <v>225.50735470862188</v>
      </c>
      <c r="I74" t="s">
        <v>3450</v>
      </c>
    </row>
    <row r="75" spans="2:9">
      <c r="B75" s="1121" t="s">
        <v>3468</v>
      </c>
      <c r="C75" s="1094">
        <v>118000</v>
      </c>
      <c r="D75" s="1094"/>
    </row>
    <row r="76" spans="2:9">
      <c r="B76" s="1121" t="s">
        <v>3469</v>
      </c>
      <c r="C76" s="1095">
        <f>C74*C75</f>
        <v>472000</v>
      </c>
      <c r="D76" s="1095"/>
    </row>
    <row r="77" spans="2:9">
      <c r="B77" s="1121"/>
      <c r="C77" s="1121"/>
      <c r="D77" s="1121"/>
      <c r="E77" s="1005" t="s">
        <v>3245</v>
      </c>
    </row>
    <row r="78" spans="2:9">
      <c r="B78" s="1121" t="s">
        <v>3464</v>
      </c>
      <c r="C78" s="1121">
        <v>24</v>
      </c>
      <c r="D78" s="1121"/>
      <c r="E78" t="s">
        <v>3235</v>
      </c>
      <c r="F78">
        <v>200</v>
      </c>
    </row>
    <row r="79" spans="2:9">
      <c r="B79" s="1121" t="s">
        <v>3465</v>
      </c>
      <c r="C79" s="1121">
        <v>20</v>
      </c>
      <c r="D79" s="1121"/>
      <c r="E79" t="s">
        <v>3236</v>
      </c>
      <c r="F79">
        <v>72</v>
      </c>
    </row>
    <row r="80" spans="2:9">
      <c r="B80" s="1121" t="s">
        <v>3466</v>
      </c>
      <c r="C80" s="1121">
        <f>C78*C79</f>
        <v>480</v>
      </c>
      <c r="D80" s="1121"/>
      <c r="E80" t="s">
        <v>3237</v>
      </c>
      <c r="F80">
        <v>4500</v>
      </c>
    </row>
    <row r="81" spans="2:8">
      <c r="B81" s="1121" t="s">
        <v>3467</v>
      </c>
      <c r="C81" s="1121">
        <f>ROUNDUP(C67/C80,0)</f>
        <v>5</v>
      </c>
      <c r="D81" s="1121"/>
    </row>
    <row r="82" spans="2:8">
      <c r="B82" s="1121"/>
      <c r="C82" s="1121"/>
      <c r="D82" s="1121"/>
      <c r="E82" t="s">
        <v>3246</v>
      </c>
      <c r="F82">
        <v>43</v>
      </c>
      <c r="H82">
        <f>4*4</f>
        <v>16</v>
      </c>
    </row>
    <row r="83" spans="2:8">
      <c r="B83" s="1121" t="s">
        <v>3468</v>
      </c>
      <c r="C83" s="1094">
        <v>36000</v>
      </c>
      <c r="D83" s="1094"/>
      <c r="E83" t="s">
        <v>3247</v>
      </c>
      <c r="F83">
        <v>100</v>
      </c>
      <c r="H83">
        <f>+H82*100</f>
        <v>1600</v>
      </c>
    </row>
    <row r="84" spans="2:8">
      <c r="B84" s="1121" t="s">
        <v>3470</v>
      </c>
      <c r="C84" s="1095">
        <f>C81*C83</f>
        <v>180000</v>
      </c>
      <c r="D84" s="1095"/>
    </row>
    <row r="85" spans="2:8">
      <c r="B85" s="1121"/>
      <c r="C85" s="1121"/>
      <c r="D85" s="1121"/>
      <c r="E85" t="s">
        <v>3239</v>
      </c>
      <c r="F85" s="194">
        <f>(F78*F79)+4500+(F82*F83)</f>
        <v>23200</v>
      </c>
    </row>
    <row r="86" spans="2:8">
      <c r="B86" s="847" t="s">
        <v>3471</v>
      </c>
      <c r="C86" s="1096">
        <f>SUM(C76,C84)</f>
        <v>652000</v>
      </c>
      <c r="D86" s="1096"/>
    </row>
    <row r="87" spans="2:8">
      <c r="E87" t="s">
        <v>3248</v>
      </c>
      <c r="F87">
        <v>16</v>
      </c>
    </row>
    <row r="88" spans="2:8">
      <c r="B88" s="1004" t="s">
        <v>3234</v>
      </c>
    </row>
    <row r="89" spans="2:8">
      <c r="B89" t="s">
        <v>3235</v>
      </c>
      <c r="C89">
        <v>200</v>
      </c>
      <c r="E89" t="s">
        <v>3162</v>
      </c>
      <c r="F89" s="997">
        <f>F85*F87</f>
        <v>371200</v>
      </c>
    </row>
    <row r="90" spans="2:8">
      <c r="B90" t="s">
        <v>3236</v>
      </c>
      <c r="C90">
        <v>46</v>
      </c>
    </row>
    <row r="91" spans="2:8">
      <c r="B91" t="s">
        <v>3237</v>
      </c>
      <c r="C91">
        <v>4500</v>
      </c>
    </row>
    <row r="92" spans="2:8">
      <c r="B92" t="s">
        <v>3238</v>
      </c>
      <c r="C92">
        <v>5000</v>
      </c>
    </row>
    <row r="94" spans="2:8">
      <c r="B94" t="s">
        <v>3239</v>
      </c>
      <c r="C94" s="194">
        <f>(C89*C90)+C91+C92</f>
        <v>18700</v>
      </c>
    </row>
    <row r="96" spans="2:8">
      <c r="B96" t="s">
        <v>3240</v>
      </c>
      <c r="C96">
        <v>8</v>
      </c>
    </row>
    <row r="98" spans="2:3">
      <c r="B98" t="s">
        <v>3162</v>
      </c>
      <c r="C98" s="997">
        <f>C94*C96</f>
        <v>149600</v>
      </c>
    </row>
    <row r="102" spans="2:3">
      <c r="B102" s="1006" t="s">
        <v>3241</v>
      </c>
    </row>
    <row r="103" spans="2:3">
      <c r="B103" t="s">
        <v>3235</v>
      </c>
      <c r="C103">
        <v>200</v>
      </c>
    </row>
    <row r="104" spans="2:3">
      <c r="B104" t="s">
        <v>3242</v>
      </c>
      <c r="C104">
        <v>300</v>
      </c>
    </row>
    <row r="106" spans="2:3">
      <c r="B106" t="s">
        <v>3243</v>
      </c>
      <c r="C106" s="194">
        <f>C103*C104</f>
        <v>60000</v>
      </c>
    </row>
    <row r="108" spans="2:3">
      <c r="B108" t="s">
        <v>3244</v>
      </c>
      <c r="C108">
        <v>8</v>
      </c>
    </row>
    <row r="110" spans="2:3">
      <c r="B110" t="s">
        <v>3162</v>
      </c>
      <c r="C110" s="997">
        <f>C106*C108</f>
        <v>480000</v>
      </c>
    </row>
  </sheetData>
  <mergeCells count="7">
    <mergeCell ref="M36:M37"/>
    <mergeCell ref="F44:J45"/>
    <mergeCell ref="B33:D33"/>
    <mergeCell ref="B34:D34"/>
    <mergeCell ref="B35:D35"/>
    <mergeCell ref="B36:D37"/>
    <mergeCell ref="E36:E3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pageSetUpPr fitToPage="1"/>
  </sheetPr>
  <dimension ref="A1:P265"/>
  <sheetViews>
    <sheetView topLeftCell="A2" zoomScale="55" zoomScaleNormal="55" workbookViewId="0">
      <pane ySplit="1" topLeftCell="A24" activePane="bottomLeft" state="frozen"/>
      <selection activeCell="T33" sqref="T33"/>
      <selection pane="bottomLeft" activeCell="T33" sqref="T33"/>
    </sheetView>
  </sheetViews>
  <sheetFormatPr defaultRowHeight="14.5"/>
  <cols>
    <col min="1" max="1" width="10.7265625" customWidth="1"/>
    <col min="2" max="2" width="17" customWidth="1"/>
    <col min="3" max="3" width="9.54296875" customWidth="1"/>
    <col min="4" max="4" width="14.1796875" customWidth="1"/>
    <col min="5" max="5" width="11.453125" customWidth="1"/>
    <col min="6" max="6" width="14.1796875" customWidth="1"/>
    <col min="7" max="7" width="22.81640625" customWidth="1"/>
    <col min="8" max="8" width="8.26953125" customWidth="1"/>
    <col min="9" max="9" width="44" customWidth="1"/>
    <col min="10" max="10" width="70.81640625" style="7" customWidth="1"/>
    <col min="11" max="11" width="16.1796875" customWidth="1"/>
    <col min="12" max="12" width="90" style="7" customWidth="1"/>
    <col min="13" max="16" width="40.81640625" customWidth="1"/>
  </cols>
  <sheetData>
    <row r="1" spans="1:16" ht="53.25" customHeight="1" thickBot="1">
      <c r="A1" s="2253" t="s">
        <v>3472</v>
      </c>
      <c r="B1" s="2254"/>
      <c r="C1" s="2254"/>
      <c r="D1" s="2254"/>
      <c r="E1" s="2254"/>
      <c r="F1" s="2254"/>
      <c r="G1" s="2254"/>
      <c r="H1" s="2254"/>
      <c r="I1" s="2254"/>
      <c r="J1" s="2254"/>
      <c r="K1" s="2254"/>
      <c r="L1" s="2254"/>
      <c r="M1" s="2254"/>
      <c r="N1" s="2254"/>
      <c r="O1" s="2254"/>
      <c r="P1" s="2254"/>
    </row>
    <row r="2" spans="1:16" ht="33" customHeight="1" thickBot="1">
      <c r="A2" s="2247" t="s">
        <v>5</v>
      </c>
      <c r="B2" s="2248"/>
      <c r="C2" s="2249" t="s">
        <v>7</v>
      </c>
      <c r="D2" s="2249"/>
      <c r="E2" s="2250" t="s">
        <v>9</v>
      </c>
      <c r="F2" s="2251"/>
      <c r="G2" s="2252"/>
      <c r="H2" s="2249" t="s">
        <v>11</v>
      </c>
      <c r="I2" s="2250"/>
      <c r="J2" s="77" t="s">
        <v>75</v>
      </c>
      <c r="K2" s="131" t="s">
        <v>76</v>
      </c>
      <c r="L2" s="77" t="s">
        <v>77</v>
      </c>
      <c r="M2" s="77" t="s">
        <v>3473</v>
      </c>
      <c r="N2" s="77" t="s">
        <v>3474</v>
      </c>
      <c r="O2" s="77" t="s">
        <v>3475</v>
      </c>
      <c r="P2" s="155" t="s">
        <v>3476</v>
      </c>
    </row>
    <row r="3" spans="1:16" ht="36" customHeight="1" thickBot="1">
      <c r="A3" s="132" t="s">
        <v>3477</v>
      </c>
      <c r="B3" s="133"/>
      <c r="C3" s="34"/>
      <c r="D3" s="34"/>
      <c r="E3" s="34"/>
      <c r="F3" s="34"/>
      <c r="G3" s="34"/>
      <c r="H3" s="34"/>
      <c r="I3" s="34"/>
      <c r="J3" s="78"/>
      <c r="K3" s="34"/>
      <c r="L3" s="78"/>
      <c r="M3" s="34"/>
      <c r="N3" s="34"/>
      <c r="O3" s="34"/>
      <c r="P3" s="35"/>
    </row>
    <row r="4" spans="1:16" ht="36" customHeight="1">
      <c r="A4" s="130" t="s">
        <v>3478</v>
      </c>
      <c r="B4" s="129"/>
      <c r="P4" s="29"/>
    </row>
    <row r="5" spans="1:16" ht="13.5" customHeight="1">
      <c r="A5" s="144" t="s">
        <v>3479</v>
      </c>
      <c r="B5" s="129"/>
      <c r="P5" s="29"/>
    </row>
    <row r="6" spans="1:16" ht="13.5" customHeight="1">
      <c r="A6" s="144" t="s">
        <v>3480</v>
      </c>
      <c r="B6" s="129"/>
      <c r="P6" s="29"/>
    </row>
    <row r="7" spans="1:16" ht="13.5" customHeight="1">
      <c r="A7" s="144" t="s">
        <v>3481</v>
      </c>
      <c r="B7" s="129"/>
      <c r="P7" s="29"/>
    </row>
    <row r="8" spans="1:16" ht="23.25" customHeight="1" thickBot="1">
      <c r="A8" s="144" t="s">
        <v>3482</v>
      </c>
      <c r="B8" s="129"/>
      <c r="P8" s="29"/>
    </row>
    <row r="9" spans="1:16" ht="17.25" customHeight="1" thickBot="1">
      <c r="A9" s="139">
        <v>1000</v>
      </c>
      <c r="B9" s="140" t="s">
        <v>78</v>
      </c>
      <c r="C9" s="62"/>
      <c r="D9" s="62"/>
      <c r="E9" s="62"/>
      <c r="F9" s="62"/>
      <c r="G9" s="62"/>
      <c r="H9" s="34"/>
      <c r="I9" s="34"/>
      <c r="J9" s="123"/>
      <c r="K9" s="36"/>
      <c r="L9" s="79"/>
      <c r="M9" s="41"/>
      <c r="N9" s="41"/>
      <c r="O9" s="41"/>
      <c r="P9" s="35"/>
    </row>
    <row r="10" spans="1:16" ht="36" customHeight="1" thickBot="1">
      <c r="A10" s="135"/>
      <c r="B10" s="47"/>
      <c r="C10" s="48">
        <v>1100</v>
      </c>
      <c r="D10" s="47" t="s">
        <v>79</v>
      </c>
      <c r="E10" s="48"/>
      <c r="F10" s="49"/>
      <c r="G10" s="1897"/>
      <c r="H10" s="1"/>
      <c r="I10" s="2"/>
      <c r="J10" s="124"/>
      <c r="K10" s="3"/>
      <c r="L10" s="80"/>
      <c r="M10" s="3"/>
      <c r="N10" s="3"/>
      <c r="O10" s="3"/>
      <c r="P10" s="1821"/>
    </row>
    <row r="11" spans="1:16" ht="15" customHeight="1" thickBot="1">
      <c r="A11" s="139">
        <v>2000</v>
      </c>
      <c r="B11" s="140" t="s">
        <v>119</v>
      </c>
      <c r="C11" s="62"/>
      <c r="D11" s="62"/>
      <c r="E11" s="62"/>
      <c r="F11" s="62"/>
      <c r="G11" s="62"/>
      <c r="H11" s="34"/>
      <c r="I11" s="34"/>
      <c r="J11" s="123"/>
      <c r="K11" s="36"/>
      <c r="L11" s="79"/>
      <c r="M11" s="41"/>
      <c r="N11" s="41"/>
      <c r="O11" s="41"/>
      <c r="P11" s="35"/>
    </row>
    <row r="12" spans="1:16" ht="17.25" customHeight="1">
      <c r="A12" s="134"/>
      <c r="B12" s="43"/>
      <c r="C12" s="44">
        <v>2100</v>
      </c>
      <c r="D12" s="43" t="s">
        <v>120</v>
      </c>
      <c r="E12" s="44"/>
      <c r="F12" s="45"/>
      <c r="G12" s="1898"/>
      <c r="H12" s="44"/>
      <c r="I12" s="45"/>
      <c r="J12" s="84"/>
      <c r="K12" s="46"/>
      <c r="L12" s="81"/>
      <c r="M12" s="37"/>
      <c r="N12" s="37"/>
      <c r="O12" s="37"/>
      <c r="P12" s="1899"/>
    </row>
    <row r="13" spans="1:16" ht="17.25" customHeight="1">
      <c r="A13" s="135"/>
      <c r="B13" s="47"/>
      <c r="C13" s="48"/>
      <c r="D13" s="47"/>
      <c r="E13" s="48">
        <v>2130</v>
      </c>
      <c r="F13" s="49" t="s">
        <v>148</v>
      </c>
      <c r="G13" s="1897"/>
      <c r="H13" s="48"/>
      <c r="I13" s="49"/>
      <c r="J13" s="83"/>
      <c r="K13" s="50"/>
      <c r="L13" s="83"/>
      <c r="M13" s="38"/>
      <c r="N13" s="38"/>
      <c r="O13" s="38"/>
      <c r="P13" s="1900"/>
    </row>
    <row r="14" spans="1:16" ht="36" customHeight="1">
      <c r="A14" s="136"/>
      <c r="B14" s="51"/>
      <c r="C14" s="52"/>
      <c r="D14" s="51"/>
      <c r="E14" s="52"/>
      <c r="F14" s="53"/>
      <c r="G14" s="54"/>
      <c r="H14" s="52">
        <v>2131</v>
      </c>
      <c r="I14" s="53" t="s">
        <v>149</v>
      </c>
      <c r="J14" s="76" t="s">
        <v>3483</v>
      </c>
      <c r="K14" s="93" t="s">
        <v>3484</v>
      </c>
      <c r="L14" s="76" t="s">
        <v>151</v>
      </c>
      <c r="M14" s="76"/>
      <c r="N14" s="76"/>
      <c r="O14" s="76"/>
      <c r="P14" s="76"/>
    </row>
    <row r="15" spans="1:16" ht="36" customHeight="1">
      <c r="A15" s="136"/>
      <c r="B15" s="51"/>
      <c r="C15" s="52"/>
      <c r="D15" s="51"/>
      <c r="E15" s="52"/>
      <c r="F15" s="53"/>
      <c r="G15" s="54"/>
      <c r="H15" s="52">
        <v>2133</v>
      </c>
      <c r="I15" s="53" t="s">
        <v>3485</v>
      </c>
      <c r="J15" s="76" t="s">
        <v>3486</v>
      </c>
      <c r="K15" s="93" t="s">
        <v>3484</v>
      </c>
      <c r="L15" s="76" t="s">
        <v>3487</v>
      </c>
      <c r="M15" s="39"/>
      <c r="N15" s="39"/>
      <c r="O15" s="39"/>
      <c r="P15" s="30"/>
    </row>
    <row r="16" spans="1:16" ht="36" customHeight="1">
      <c r="A16" s="136"/>
      <c r="B16" s="51"/>
      <c r="C16" s="55"/>
      <c r="D16" s="56"/>
      <c r="E16" s="52"/>
      <c r="F16" s="53"/>
      <c r="G16" s="57"/>
      <c r="H16" s="52">
        <v>2138</v>
      </c>
      <c r="I16" s="53" t="s">
        <v>1245</v>
      </c>
      <c r="J16" s="76" t="s">
        <v>3488</v>
      </c>
      <c r="K16" s="94" t="s">
        <v>2587</v>
      </c>
      <c r="L16" s="76" t="s">
        <v>2587</v>
      </c>
      <c r="M16" s="39"/>
      <c r="N16" s="39"/>
      <c r="O16" s="39"/>
      <c r="P16" s="30"/>
    </row>
    <row r="17" spans="1:16" ht="36" customHeight="1">
      <c r="A17" s="136"/>
      <c r="B17" s="51"/>
      <c r="C17" s="55"/>
      <c r="D17" s="56"/>
      <c r="E17" s="52"/>
      <c r="F17" s="53"/>
      <c r="G17" s="57"/>
      <c r="H17" s="52">
        <v>2139</v>
      </c>
      <c r="I17" s="53" t="s">
        <v>172</v>
      </c>
      <c r="J17" s="76" t="s">
        <v>3489</v>
      </c>
      <c r="K17" s="93" t="s">
        <v>3484</v>
      </c>
      <c r="L17" s="76" t="s">
        <v>3490</v>
      </c>
      <c r="M17" s="39"/>
      <c r="N17" s="39"/>
      <c r="O17" s="39"/>
      <c r="P17" s="30"/>
    </row>
    <row r="18" spans="1:16" ht="17.25" customHeight="1">
      <c r="A18" s="135"/>
      <c r="B18" s="47"/>
      <c r="C18" s="48"/>
      <c r="D18" s="47"/>
      <c r="E18" s="48">
        <v>2140</v>
      </c>
      <c r="F18" s="49" t="s">
        <v>176</v>
      </c>
      <c r="G18" s="1897"/>
      <c r="H18" s="48"/>
      <c r="I18" s="49"/>
      <c r="J18" s="83"/>
      <c r="K18" s="50"/>
      <c r="L18" s="83"/>
      <c r="M18" s="38"/>
      <c r="N18" s="38"/>
      <c r="O18" s="38"/>
      <c r="P18" s="1900"/>
    </row>
    <row r="19" spans="1:16" ht="49.5" customHeight="1">
      <c r="A19" s="136"/>
      <c r="B19" s="51"/>
      <c r="C19" s="52"/>
      <c r="D19" s="51"/>
      <c r="E19" s="52"/>
      <c r="F19" s="53"/>
      <c r="G19" s="54"/>
      <c r="H19" s="52">
        <v>2142</v>
      </c>
      <c r="I19" s="53" t="s">
        <v>3491</v>
      </c>
      <c r="J19" s="76" t="s">
        <v>3492</v>
      </c>
      <c r="K19" s="93" t="s">
        <v>3484</v>
      </c>
      <c r="L19" s="76" t="s">
        <v>3493</v>
      </c>
      <c r="M19" s="39"/>
      <c r="N19" s="39"/>
      <c r="O19" s="39"/>
      <c r="P19" s="30"/>
    </row>
    <row r="20" spans="1:16" ht="49.5" customHeight="1">
      <c r="A20" s="136"/>
      <c r="B20" s="51"/>
      <c r="C20" s="52"/>
      <c r="D20" s="51"/>
      <c r="E20" s="52"/>
      <c r="F20" s="53"/>
      <c r="G20" s="54"/>
      <c r="H20" s="52">
        <v>2143</v>
      </c>
      <c r="I20" s="53" t="s">
        <v>3494</v>
      </c>
      <c r="J20" s="76" t="s">
        <v>3492</v>
      </c>
      <c r="K20" s="93" t="s">
        <v>3484</v>
      </c>
      <c r="L20" s="76" t="s">
        <v>3493</v>
      </c>
      <c r="M20" s="39"/>
      <c r="N20" s="39"/>
      <c r="O20" s="39"/>
      <c r="P20" s="30"/>
    </row>
    <row r="21" spans="1:16" ht="49.5" customHeight="1">
      <c r="A21" s="136"/>
      <c r="B21" s="51"/>
      <c r="C21" s="52"/>
      <c r="D21" s="51"/>
      <c r="E21" s="52"/>
      <c r="F21" s="53"/>
      <c r="G21" s="54"/>
      <c r="H21" s="52">
        <v>2144</v>
      </c>
      <c r="I21" s="53" t="s">
        <v>3495</v>
      </c>
      <c r="J21" s="76" t="s">
        <v>3492</v>
      </c>
      <c r="K21" s="93" t="s">
        <v>3484</v>
      </c>
      <c r="L21" s="76" t="s">
        <v>3493</v>
      </c>
      <c r="M21" s="39"/>
      <c r="N21" s="39"/>
      <c r="O21" s="39"/>
      <c r="P21" s="30"/>
    </row>
    <row r="22" spans="1:16" ht="19.5" customHeight="1">
      <c r="A22" s="134"/>
      <c r="B22" s="43"/>
      <c r="C22" s="44">
        <v>2200</v>
      </c>
      <c r="D22" s="43" t="s">
        <v>208</v>
      </c>
      <c r="E22" s="44"/>
      <c r="F22" s="45"/>
      <c r="G22" s="1898"/>
      <c r="H22" s="44"/>
      <c r="I22" s="45"/>
      <c r="J22" s="84"/>
      <c r="K22" s="46"/>
      <c r="L22" s="84"/>
      <c r="M22" s="37"/>
      <c r="N22" s="37"/>
      <c r="O22" s="37"/>
      <c r="P22" s="1899"/>
    </row>
    <row r="23" spans="1:16" ht="17.25" customHeight="1">
      <c r="A23" s="135"/>
      <c r="B23" s="47"/>
      <c r="C23" s="48"/>
      <c r="D23" s="47"/>
      <c r="E23" s="48">
        <v>2220</v>
      </c>
      <c r="F23" s="49" t="s">
        <v>210</v>
      </c>
      <c r="G23" s="1897"/>
      <c r="H23" s="48"/>
      <c r="I23" s="49"/>
      <c r="J23" s="83"/>
      <c r="K23" s="50"/>
      <c r="L23" s="83"/>
      <c r="M23" s="38"/>
      <c r="N23" s="38"/>
      <c r="O23" s="38"/>
      <c r="P23" s="1900"/>
    </row>
    <row r="24" spans="1:16" ht="36" customHeight="1">
      <c r="A24" s="136"/>
      <c r="B24" s="51"/>
      <c r="C24" s="52"/>
      <c r="D24" s="51"/>
      <c r="E24" s="52"/>
      <c r="F24" s="53"/>
      <c r="G24" s="54"/>
      <c r="H24" s="52">
        <v>2221</v>
      </c>
      <c r="I24" s="53" t="s">
        <v>3496</v>
      </c>
      <c r="J24" s="76" t="s">
        <v>3497</v>
      </c>
      <c r="K24" s="92" t="s">
        <v>2678</v>
      </c>
      <c r="L24" s="95" t="s">
        <v>2678</v>
      </c>
      <c r="M24" s="39"/>
      <c r="N24" s="39"/>
      <c r="O24" s="39"/>
      <c r="P24" s="30"/>
    </row>
    <row r="25" spans="1:16" ht="36" customHeight="1">
      <c r="A25" s="136"/>
      <c r="B25" s="51"/>
      <c r="C25" s="52"/>
      <c r="D25" s="51"/>
      <c r="E25" s="52"/>
      <c r="F25" s="53"/>
      <c r="G25" s="54"/>
      <c r="H25" s="52">
        <v>2223</v>
      </c>
      <c r="I25" s="53" t="s">
        <v>212</v>
      </c>
      <c r="J25" s="76" t="s">
        <v>3497</v>
      </c>
      <c r="K25" s="92" t="s">
        <v>2678</v>
      </c>
      <c r="L25" s="95" t="s">
        <v>2678</v>
      </c>
      <c r="M25" s="39"/>
      <c r="N25" s="39"/>
      <c r="O25" s="39"/>
      <c r="P25" s="30"/>
    </row>
    <row r="26" spans="1:16" ht="36" customHeight="1">
      <c r="A26" s="136"/>
      <c r="B26" s="51"/>
      <c r="C26" s="52"/>
      <c r="D26" s="51"/>
      <c r="E26" s="52"/>
      <c r="F26" s="53"/>
      <c r="G26" s="54"/>
      <c r="H26" s="52">
        <v>2225</v>
      </c>
      <c r="I26" s="53" t="s">
        <v>3498</v>
      </c>
      <c r="J26" s="76" t="s">
        <v>3497</v>
      </c>
      <c r="K26" s="92" t="s">
        <v>2678</v>
      </c>
      <c r="L26" s="95" t="s">
        <v>2678</v>
      </c>
      <c r="M26" s="39"/>
      <c r="N26" s="39"/>
      <c r="O26" s="39"/>
      <c r="P26" s="30"/>
    </row>
    <row r="27" spans="1:16" ht="36" customHeight="1">
      <c r="A27" s="136"/>
      <c r="B27" s="51"/>
      <c r="C27" s="55"/>
      <c r="D27" s="56"/>
      <c r="E27" s="52"/>
      <c r="F27" s="53"/>
      <c r="G27" s="57"/>
      <c r="H27" s="52">
        <v>2230</v>
      </c>
      <c r="I27" s="53" t="s">
        <v>3499</v>
      </c>
      <c r="J27" s="76" t="s">
        <v>3497</v>
      </c>
      <c r="K27" s="92" t="s">
        <v>2678</v>
      </c>
      <c r="L27" s="95" t="s">
        <v>2678</v>
      </c>
      <c r="M27" s="39"/>
      <c r="N27" s="39"/>
      <c r="O27" s="39"/>
      <c r="P27" s="30"/>
    </row>
    <row r="28" spans="1:16" ht="37.5" customHeight="1">
      <c r="A28" s="135"/>
      <c r="B28" s="47"/>
      <c r="C28" s="48"/>
      <c r="D28" s="47"/>
      <c r="E28" s="48">
        <v>2240</v>
      </c>
      <c r="F28" s="49" t="s">
        <v>3500</v>
      </c>
      <c r="G28" s="1897"/>
      <c r="H28" s="48"/>
      <c r="I28" s="49"/>
      <c r="J28" s="76" t="s">
        <v>3497</v>
      </c>
      <c r="K28" s="92" t="s">
        <v>2678</v>
      </c>
      <c r="L28" s="95" t="s">
        <v>2678</v>
      </c>
      <c r="M28" s="38"/>
      <c r="N28" s="38"/>
      <c r="O28" s="38"/>
      <c r="P28" s="1900"/>
    </row>
    <row r="29" spans="1:16" ht="18.75" customHeight="1">
      <c r="A29" s="134"/>
      <c r="B29" s="43"/>
      <c r="C29" s="44">
        <v>2300</v>
      </c>
      <c r="D29" s="43" t="s">
        <v>222</v>
      </c>
      <c r="E29" s="44"/>
      <c r="F29" s="45"/>
      <c r="G29" s="1901"/>
      <c r="H29" s="44"/>
      <c r="I29" s="45"/>
      <c r="J29" s="84"/>
      <c r="K29" s="46"/>
      <c r="L29" s="84"/>
      <c r="M29" s="37"/>
      <c r="N29" s="37"/>
      <c r="O29" s="37"/>
      <c r="P29" s="1899"/>
    </row>
    <row r="30" spans="1:16" ht="17.25" customHeight="1">
      <c r="A30" s="135"/>
      <c r="B30" s="47"/>
      <c r="C30" s="48"/>
      <c r="D30" s="47"/>
      <c r="E30" s="48">
        <v>2340</v>
      </c>
      <c r="F30" s="49" t="s">
        <v>224</v>
      </c>
      <c r="G30" s="1897"/>
      <c r="H30" s="48"/>
      <c r="I30" s="49"/>
      <c r="J30" s="83"/>
      <c r="K30" s="50"/>
      <c r="L30" s="83"/>
      <c r="M30" s="38"/>
      <c r="N30" s="38"/>
      <c r="O30" s="38"/>
      <c r="P30" s="1900"/>
    </row>
    <row r="31" spans="1:16" ht="36" customHeight="1">
      <c r="A31" s="136"/>
      <c r="B31" s="51"/>
      <c r="C31" s="55"/>
      <c r="D31" s="56"/>
      <c r="E31" s="52"/>
      <c r="F31" s="53"/>
      <c r="G31" s="57"/>
      <c r="H31" s="52">
        <v>2341</v>
      </c>
      <c r="I31" s="53" t="s">
        <v>245</v>
      </c>
      <c r="J31" s="76" t="s">
        <v>3497</v>
      </c>
      <c r="K31" s="92" t="s">
        <v>2678</v>
      </c>
      <c r="L31" s="95" t="s">
        <v>2678</v>
      </c>
      <c r="M31" s="39"/>
      <c r="N31" s="39"/>
      <c r="O31" s="39"/>
      <c r="P31" s="30"/>
    </row>
    <row r="32" spans="1:16" ht="36" customHeight="1">
      <c r="A32" s="136"/>
      <c r="B32" s="51"/>
      <c r="C32" s="55"/>
      <c r="D32" s="56"/>
      <c r="E32" s="52"/>
      <c r="F32" s="53"/>
      <c r="G32" s="57"/>
      <c r="H32" s="52">
        <v>2342</v>
      </c>
      <c r="I32" s="53" t="s">
        <v>226</v>
      </c>
      <c r="J32" s="76" t="s">
        <v>3497</v>
      </c>
      <c r="K32" s="92" t="s">
        <v>2678</v>
      </c>
      <c r="L32" s="95" t="s">
        <v>2678</v>
      </c>
      <c r="M32" s="39"/>
      <c r="N32" s="39"/>
      <c r="O32" s="39"/>
      <c r="P32" s="30"/>
    </row>
    <row r="33" spans="1:16" ht="36" customHeight="1">
      <c r="A33" s="136"/>
      <c r="B33" s="51"/>
      <c r="C33" s="52"/>
      <c r="D33" s="51"/>
      <c r="E33" s="52"/>
      <c r="F33" s="53"/>
      <c r="G33" s="54"/>
      <c r="H33" s="52">
        <v>2345</v>
      </c>
      <c r="I33" s="53" t="s">
        <v>254</v>
      </c>
      <c r="J33" s="76" t="s">
        <v>3497</v>
      </c>
      <c r="K33" s="92" t="s">
        <v>2678</v>
      </c>
      <c r="L33" s="95" t="s">
        <v>2678</v>
      </c>
      <c r="M33" s="39"/>
      <c r="N33" s="39"/>
      <c r="O33" s="39"/>
      <c r="P33" s="30"/>
    </row>
    <row r="34" spans="1:16" ht="21" customHeight="1">
      <c r="A34" s="135"/>
      <c r="B34" s="47"/>
      <c r="C34" s="58"/>
      <c r="D34" s="59"/>
      <c r="E34" s="48">
        <v>2350</v>
      </c>
      <c r="F34" s="49" t="s">
        <v>264</v>
      </c>
      <c r="G34" s="1902"/>
      <c r="H34" s="48"/>
      <c r="I34" s="49"/>
      <c r="J34" s="83"/>
      <c r="K34" s="50"/>
      <c r="L34" s="83"/>
      <c r="M34" s="38"/>
      <c r="N34" s="38"/>
      <c r="O34" s="38"/>
      <c r="P34" s="1900"/>
    </row>
    <row r="35" spans="1:16" ht="36" customHeight="1">
      <c r="A35" s="136"/>
      <c r="B35" s="51"/>
      <c r="C35" s="55"/>
      <c r="D35" s="56"/>
      <c r="E35" s="52"/>
      <c r="F35" s="53"/>
      <c r="G35" s="57"/>
      <c r="H35" s="52">
        <v>2351</v>
      </c>
      <c r="I35" s="53" t="s">
        <v>266</v>
      </c>
      <c r="J35" s="76" t="s">
        <v>3497</v>
      </c>
      <c r="K35" s="92" t="s">
        <v>2678</v>
      </c>
      <c r="L35" s="95" t="s">
        <v>2678</v>
      </c>
      <c r="M35" s="39"/>
      <c r="N35" s="39"/>
      <c r="O35" s="39"/>
      <c r="P35" s="30"/>
    </row>
    <row r="36" spans="1:16" ht="18.75" customHeight="1">
      <c r="A36" s="134"/>
      <c r="B36" s="43"/>
      <c r="C36" s="44">
        <v>2400</v>
      </c>
      <c r="D36" s="43" t="s">
        <v>451</v>
      </c>
      <c r="E36" s="44"/>
      <c r="F36" s="45"/>
      <c r="G36" s="1898"/>
      <c r="H36" s="44"/>
      <c r="I36" s="45"/>
      <c r="J36" s="84"/>
      <c r="K36" s="46"/>
      <c r="L36" s="84"/>
      <c r="M36" s="37"/>
      <c r="N36" s="37"/>
      <c r="O36" s="37"/>
      <c r="P36" s="1899"/>
    </row>
    <row r="37" spans="1:16" ht="17.25" customHeight="1">
      <c r="A37" s="135"/>
      <c r="B37" s="47"/>
      <c r="C37" s="48"/>
      <c r="D37" s="47"/>
      <c r="E37" s="48">
        <v>2430</v>
      </c>
      <c r="F37" s="49" t="s">
        <v>1511</v>
      </c>
      <c r="G37" s="1897"/>
      <c r="H37" s="48"/>
      <c r="I37" s="49"/>
      <c r="J37" s="83"/>
      <c r="K37" s="50"/>
      <c r="L37" s="83"/>
      <c r="M37" s="38"/>
      <c r="N37" s="38"/>
      <c r="O37" s="38"/>
      <c r="P37" s="1900"/>
    </row>
    <row r="38" spans="1:16" ht="36" customHeight="1">
      <c r="A38" s="136"/>
      <c r="B38" s="51"/>
      <c r="C38" s="52"/>
      <c r="D38" s="51"/>
      <c r="E38" s="52"/>
      <c r="F38" s="53"/>
      <c r="G38" s="54"/>
      <c r="H38" s="52">
        <v>2435</v>
      </c>
      <c r="I38" s="53" t="s">
        <v>1538</v>
      </c>
      <c r="J38" s="76" t="s">
        <v>3501</v>
      </c>
      <c r="K38" s="93" t="s">
        <v>3484</v>
      </c>
      <c r="L38" s="76" t="s">
        <v>3502</v>
      </c>
      <c r="M38" s="39"/>
      <c r="N38" s="39"/>
      <c r="O38" s="39"/>
      <c r="P38" s="30"/>
    </row>
    <row r="39" spans="1:16" ht="18.75" customHeight="1">
      <c r="A39" s="134"/>
      <c r="B39" s="43"/>
      <c r="C39" s="44">
        <v>2500</v>
      </c>
      <c r="D39" s="43" t="s">
        <v>452</v>
      </c>
      <c r="E39" s="44"/>
      <c r="F39" s="45"/>
      <c r="G39" s="1898"/>
      <c r="H39" s="44"/>
      <c r="I39" s="45"/>
      <c r="J39" s="84"/>
      <c r="K39" s="46"/>
      <c r="L39" s="84"/>
      <c r="M39" s="37"/>
      <c r="N39" s="37"/>
      <c r="O39" s="37"/>
      <c r="P39" s="1899"/>
    </row>
    <row r="40" spans="1:16" ht="21" customHeight="1">
      <c r="A40" s="135"/>
      <c r="B40" s="47"/>
      <c r="C40" s="48"/>
      <c r="D40" s="47"/>
      <c r="E40" s="48">
        <v>2510</v>
      </c>
      <c r="F40" s="49" t="s">
        <v>454</v>
      </c>
      <c r="G40" s="1897"/>
      <c r="H40" s="48"/>
      <c r="I40" s="49"/>
      <c r="J40" s="83"/>
      <c r="K40" s="50"/>
      <c r="L40" s="83"/>
      <c r="M40" s="38"/>
      <c r="N40" s="38"/>
      <c r="O40" s="38"/>
      <c r="P40" s="1900"/>
    </row>
    <row r="41" spans="1:16" ht="36" customHeight="1">
      <c r="A41" s="136"/>
      <c r="B41" s="51"/>
      <c r="C41" s="52"/>
      <c r="D41" s="51"/>
      <c r="E41" s="52"/>
      <c r="F41" s="53"/>
      <c r="G41" s="54"/>
      <c r="H41" s="52">
        <v>2511</v>
      </c>
      <c r="I41" s="53" t="s">
        <v>565</v>
      </c>
      <c r="J41" s="76" t="s">
        <v>3503</v>
      </c>
      <c r="K41" s="89" t="s">
        <v>3504</v>
      </c>
      <c r="L41" s="76" t="s">
        <v>3505</v>
      </c>
      <c r="M41" s="39"/>
      <c r="N41" s="39"/>
      <c r="O41" s="39"/>
      <c r="P41" s="30"/>
    </row>
    <row r="42" spans="1:16" ht="36" customHeight="1">
      <c r="A42" s="136"/>
      <c r="B42" s="51"/>
      <c r="C42" s="52"/>
      <c r="D42" s="51"/>
      <c r="E42" s="52"/>
      <c r="F42" s="53"/>
      <c r="G42" s="54"/>
      <c r="H42" s="52">
        <v>2512</v>
      </c>
      <c r="I42" s="53" t="s">
        <v>456</v>
      </c>
      <c r="J42" s="76" t="s">
        <v>3483</v>
      </c>
      <c r="K42" s="93" t="s">
        <v>3484</v>
      </c>
      <c r="L42" s="76" t="s">
        <v>3506</v>
      </c>
      <c r="M42" s="39"/>
      <c r="N42" s="39"/>
      <c r="O42" s="39"/>
      <c r="P42" s="30"/>
    </row>
    <row r="43" spans="1:16" ht="36" customHeight="1">
      <c r="A43" s="136"/>
      <c r="B43" s="51"/>
      <c r="C43" s="52"/>
      <c r="D43" s="51"/>
      <c r="E43" s="52"/>
      <c r="F43" s="53"/>
      <c r="G43" s="54"/>
      <c r="H43" s="52">
        <v>2513</v>
      </c>
      <c r="I43" s="53" t="s">
        <v>514</v>
      </c>
      <c r="J43" s="76" t="s">
        <v>3483</v>
      </c>
      <c r="K43" s="93" t="s">
        <v>3484</v>
      </c>
      <c r="L43" s="76" t="s">
        <v>3507</v>
      </c>
      <c r="M43" s="39"/>
      <c r="N43" s="39"/>
      <c r="O43" s="39"/>
      <c r="P43" s="30"/>
    </row>
    <row r="44" spans="1:16" ht="21" customHeight="1">
      <c r="A44" s="135"/>
      <c r="B44" s="47"/>
      <c r="C44" s="48"/>
      <c r="D44" s="47"/>
      <c r="E44" s="48">
        <v>2520</v>
      </c>
      <c r="F44" s="49" t="s">
        <v>605</v>
      </c>
      <c r="G44" s="1897"/>
      <c r="H44" s="48"/>
      <c r="I44" s="49"/>
      <c r="J44" s="83"/>
      <c r="K44" s="50"/>
      <c r="L44" s="83"/>
      <c r="M44" s="38"/>
      <c r="N44" s="38"/>
      <c r="O44" s="38"/>
      <c r="P44" s="1900"/>
    </row>
    <row r="45" spans="1:16" ht="36" customHeight="1">
      <c r="A45" s="136"/>
      <c r="B45" s="51"/>
      <c r="C45" s="52"/>
      <c r="D45" s="51"/>
      <c r="E45" s="52"/>
      <c r="F45" s="53"/>
      <c r="G45" s="54"/>
      <c r="H45" s="52">
        <v>2521</v>
      </c>
      <c r="I45" s="53" t="s">
        <v>621</v>
      </c>
      <c r="J45" s="76" t="s">
        <v>3508</v>
      </c>
      <c r="K45" s="93" t="s">
        <v>3484</v>
      </c>
      <c r="L45" s="76" t="s">
        <v>3509</v>
      </c>
      <c r="M45" s="39"/>
      <c r="N45" s="39"/>
      <c r="O45" s="39"/>
      <c r="P45" s="30"/>
    </row>
    <row r="46" spans="1:16" ht="36" customHeight="1">
      <c r="A46" s="136"/>
      <c r="B46" s="51"/>
      <c r="C46" s="52"/>
      <c r="D46" s="51"/>
      <c r="E46" s="52"/>
      <c r="F46" s="53"/>
      <c r="G46" s="54"/>
      <c r="H46" s="52" t="s">
        <v>2678</v>
      </c>
      <c r="I46" s="53" t="s">
        <v>621</v>
      </c>
      <c r="J46" s="76" t="s">
        <v>3510</v>
      </c>
      <c r="K46" s="93" t="s">
        <v>3484</v>
      </c>
      <c r="L46" s="76" t="s">
        <v>3507</v>
      </c>
      <c r="M46" s="39"/>
      <c r="N46" s="39"/>
      <c r="O46" s="39"/>
      <c r="P46" s="30"/>
    </row>
    <row r="47" spans="1:16" ht="54.75" customHeight="1">
      <c r="A47" s="136"/>
      <c r="B47" s="51"/>
      <c r="C47" s="52"/>
      <c r="D47" s="51"/>
      <c r="E47" s="52"/>
      <c r="F47" s="53"/>
      <c r="G47" s="54"/>
      <c r="H47" s="52">
        <v>2522</v>
      </c>
      <c r="I47" s="53" t="s">
        <v>684</v>
      </c>
      <c r="J47" s="76" t="s">
        <v>3511</v>
      </c>
      <c r="K47" s="93" t="s">
        <v>3484</v>
      </c>
      <c r="L47" s="86" t="s">
        <v>3493</v>
      </c>
      <c r="M47" s="39"/>
      <c r="N47" s="39"/>
      <c r="O47" s="39"/>
      <c r="P47" s="30"/>
    </row>
    <row r="48" spans="1:16" ht="36" customHeight="1">
      <c r="A48" s="135"/>
      <c r="B48" s="47"/>
      <c r="C48" s="48"/>
      <c r="D48" s="47"/>
      <c r="E48" s="48">
        <v>2530</v>
      </c>
      <c r="F48" s="49" t="s">
        <v>701</v>
      </c>
      <c r="G48" s="1897"/>
      <c r="H48" s="48"/>
      <c r="I48" s="49"/>
      <c r="J48" s="83" t="s">
        <v>3512</v>
      </c>
      <c r="K48" s="96" t="s">
        <v>3484</v>
      </c>
      <c r="L48" s="149" t="s">
        <v>3487</v>
      </c>
      <c r="M48" s="38"/>
      <c r="N48" s="38"/>
      <c r="O48" s="38"/>
      <c r="P48" s="1900"/>
    </row>
    <row r="49" spans="1:16" ht="36" customHeight="1">
      <c r="A49" s="135"/>
      <c r="B49" s="47"/>
      <c r="C49" s="48"/>
      <c r="D49" s="47"/>
      <c r="E49" s="48">
        <v>2540</v>
      </c>
      <c r="F49" s="49" t="s">
        <v>790</v>
      </c>
      <c r="G49" s="1897"/>
      <c r="H49" s="48"/>
      <c r="I49" s="49"/>
      <c r="J49" s="83" t="s">
        <v>3513</v>
      </c>
      <c r="K49" s="96" t="s">
        <v>3484</v>
      </c>
      <c r="L49" s="83" t="s">
        <v>3514</v>
      </c>
      <c r="M49" s="38"/>
      <c r="N49" s="38"/>
      <c r="O49" s="38"/>
      <c r="P49" s="1900"/>
    </row>
    <row r="50" spans="1:16" ht="51.75" customHeight="1">
      <c r="A50" s="135"/>
      <c r="B50" s="47"/>
      <c r="C50" s="48"/>
      <c r="D50" s="47"/>
      <c r="E50" s="48" t="s">
        <v>2678</v>
      </c>
      <c r="F50" s="49" t="s">
        <v>3515</v>
      </c>
      <c r="G50" s="1897"/>
      <c r="H50" s="48"/>
      <c r="I50" s="49"/>
      <c r="J50" s="83" t="s">
        <v>3516</v>
      </c>
      <c r="K50" s="85" t="s">
        <v>3504</v>
      </c>
      <c r="L50" s="149" t="s">
        <v>3517</v>
      </c>
      <c r="M50" s="38"/>
      <c r="N50" s="38"/>
      <c r="O50" s="38"/>
      <c r="P50" s="1900"/>
    </row>
    <row r="51" spans="1:16" ht="57" customHeight="1">
      <c r="A51" s="135"/>
      <c r="B51" s="47"/>
      <c r="C51" s="48"/>
      <c r="D51" s="47"/>
      <c r="E51" s="48">
        <v>2550</v>
      </c>
      <c r="F51" s="49" t="s">
        <v>3518</v>
      </c>
      <c r="G51" s="1897"/>
      <c r="H51" s="48"/>
      <c r="I51" s="49"/>
      <c r="J51" s="83" t="s">
        <v>3519</v>
      </c>
      <c r="K51" s="85" t="s">
        <v>3504</v>
      </c>
      <c r="L51" s="86" t="s">
        <v>3517</v>
      </c>
      <c r="M51" s="38"/>
      <c r="N51" s="38"/>
      <c r="O51" s="38"/>
      <c r="P51" s="1900"/>
    </row>
    <row r="52" spans="1:16" ht="18.75" customHeight="1">
      <c r="A52" s="134"/>
      <c r="B52" s="43"/>
      <c r="C52" s="44">
        <v>2600</v>
      </c>
      <c r="D52" s="43" t="s">
        <v>3520</v>
      </c>
      <c r="E52" s="44"/>
      <c r="F52" s="45"/>
      <c r="G52" s="1898"/>
      <c r="H52" s="44"/>
      <c r="I52" s="45"/>
      <c r="J52" s="84"/>
      <c r="K52" s="46"/>
      <c r="L52" s="81"/>
      <c r="M52" s="37"/>
      <c r="N52" s="37"/>
      <c r="O52" s="37"/>
      <c r="P52" s="1899"/>
    </row>
    <row r="53" spans="1:16" ht="18.75" customHeight="1">
      <c r="A53" s="135"/>
      <c r="B53" s="47"/>
      <c r="C53" s="48"/>
      <c r="D53" s="47"/>
      <c r="E53" s="48">
        <v>2610</v>
      </c>
      <c r="F53" s="49" t="s">
        <v>840</v>
      </c>
      <c r="G53" s="1897"/>
      <c r="H53" s="48"/>
      <c r="I53" s="49"/>
      <c r="J53" s="83"/>
      <c r="K53" s="50"/>
      <c r="L53" s="82"/>
      <c r="M53" s="38"/>
      <c r="N53" s="38"/>
      <c r="O53" s="38"/>
      <c r="P53" s="1900"/>
    </row>
    <row r="54" spans="1:16" ht="36" customHeight="1">
      <c r="A54" s="136"/>
      <c r="B54" s="51"/>
      <c r="C54" s="52"/>
      <c r="D54" s="51"/>
      <c r="E54" s="52"/>
      <c r="F54" s="53"/>
      <c r="G54" s="54"/>
      <c r="H54" s="52">
        <v>2611</v>
      </c>
      <c r="I54" s="53" t="s">
        <v>877</v>
      </c>
      <c r="J54" s="76" t="s">
        <v>3521</v>
      </c>
      <c r="K54" s="85" t="s">
        <v>3319</v>
      </c>
      <c r="L54" s="86" t="s">
        <v>3522</v>
      </c>
      <c r="M54" s="39"/>
      <c r="N54" s="39"/>
      <c r="O54" s="39"/>
      <c r="P54" s="30"/>
    </row>
    <row r="55" spans="1:16" ht="36" customHeight="1">
      <c r="A55" s="136"/>
      <c r="B55" s="51"/>
      <c r="C55" s="52"/>
      <c r="D55" s="51"/>
      <c r="E55" s="52"/>
      <c r="F55" s="53"/>
      <c r="G55" s="54"/>
      <c r="H55" s="52">
        <v>2613</v>
      </c>
      <c r="I55" s="53" t="s">
        <v>842</v>
      </c>
      <c r="J55" s="76" t="s">
        <v>3523</v>
      </c>
      <c r="K55" s="93" t="s">
        <v>3484</v>
      </c>
      <c r="L55" s="86" t="s">
        <v>3524</v>
      </c>
      <c r="M55" s="39"/>
      <c r="N55" s="39"/>
      <c r="O55" s="39"/>
      <c r="P55" s="30"/>
    </row>
    <row r="56" spans="1:16" ht="36" customHeight="1">
      <c r="A56" s="136"/>
      <c r="B56" s="51"/>
      <c r="C56" s="52"/>
      <c r="D56" s="51"/>
      <c r="E56" s="52"/>
      <c r="F56" s="53"/>
      <c r="G56" s="54"/>
      <c r="H56" s="52">
        <v>2614</v>
      </c>
      <c r="I56" s="53" t="s">
        <v>880</v>
      </c>
      <c r="J56" s="76" t="s">
        <v>3523</v>
      </c>
      <c r="K56" s="93" t="s">
        <v>3484</v>
      </c>
      <c r="L56" s="86" t="s">
        <v>3524</v>
      </c>
      <c r="M56" s="39"/>
      <c r="N56" s="39"/>
      <c r="O56" s="39"/>
      <c r="P56" s="30"/>
    </row>
    <row r="57" spans="1:16" ht="36" customHeight="1">
      <c r="A57" s="136"/>
      <c r="B57" s="51"/>
      <c r="C57" s="52"/>
      <c r="D57" s="51"/>
      <c r="E57" s="52"/>
      <c r="F57" s="53"/>
      <c r="G57" s="54"/>
      <c r="H57" s="52">
        <v>2615</v>
      </c>
      <c r="I57" s="53" t="s">
        <v>902</v>
      </c>
      <c r="J57" s="76" t="s">
        <v>3523</v>
      </c>
      <c r="K57" s="93" t="s">
        <v>3484</v>
      </c>
      <c r="L57" s="86" t="s">
        <v>2769</v>
      </c>
      <c r="M57" s="39"/>
      <c r="N57" s="39"/>
      <c r="O57" s="39"/>
      <c r="P57" s="30"/>
    </row>
    <row r="58" spans="1:16" ht="36" customHeight="1">
      <c r="A58" s="136"/>
      <c r="B58" s="51"/>
      <c r="C58" s="52"/>
      <c r="D58" s="51"/>
      <c r="E58" s="52"/>
      <c r="F58" s="53"/>
      <c r="G58" s="54"/>
      <c r="H58" s="52">
        <v>2619</v>
      </c>
      <c r="I58" s="53" t="s">
        <v>701</v>
      </c>
      <c r="J58" s="76" t="s">
        <v>3525</v>
      </c>
      <c r="K58" s="93" t="s">
        <v>3484</v>
      </c>
      <c r="L58" s="76" t="s">
        <v>3487</v>
      </c>
      <c r="M58" s="39"/>
      <c r="N58" s="39"/>
      <c r="O58" s="39"/>
      <c r="P58" s="30"/>
    </row>
    <row r="59" spans="1:16" ht="17.25" customHeight="1">
      <c r="A59" s="134"/>
      <c r="B59" s="43"/>
      <c r="C59" s="44">
        <v>2700</v>
      </c>
      <c r="D59" s="43" t="s">
        <v>912</v>
      </c>
      <c r="E59" s="44"/>
      <c r="F59" s="45"/>
      <c r="G59" s="1898"/>
      <c r="H59" s="44"/>
      <c r="I59" s="45"/>
      <c r="J59" s="84"/>
      <c r="K59" s="46"/>
      <c r="L59" s="81"/>
      <c r="M59" s="37"/>
      <c r="N59" s="37"/>
      <c r="O59" s="37"/>
      <c r="P59" s="1899"/>
    </row>
    <row r="60" spans="1:16" ht="36" customHeight="1">
      <c r="A60" s="135"/>
      <c r="B60" s="47"/>
      <c r="C60" s="48"/>
      <c r="D60" s="47"/>
      <c r="E60" s="48">
        <v>2720</v>
      </c>
      <c r="F60" s="49" t="s">
        <v>923</v>
      </c>
      <c r="G60" s="1897"/>
      <c r="H60" s="48"/>
      <c r="I60" s="49"/>
      <c r="J60" s="83" t="s">
        <v>3526</v>
      </c>
      <c r="K60" s="96" t="s">
        <v>3484</v>
      </c>
      <c r="L60" s="76" t="s">
        <v>3507</v>
      </c>
      <c r="M60" s="38"/>
      <c r="N60" s="38"/>
      <c r="O60" s="38"/>
      <c r="P60" s="1900"/>
    </row>
    <row r="61" spans="1:16" ht="21" customHeight="1">
      <c r="A61" s="135"/>
      <c r="B61" s="47"/>
      <c r="C61" s="48"/>
      <c r="D61" s="47"/>
      <c r="E61" s="48">
        <v>2730</v>
      </c>
      <c r="F61" s="49" t="s">
        <v>958</v>
      </c>
      <c r="G61" s="1897"/>
      <c r="H61" s="48"/>
      <c r="I61" s="49"/>
      <c r="J61" s="83"/>
      <c r="K61" s="50"/>
      <c r="L61" s="82"/>
      <c r="M61" s="38"/>
      <c r="N61" s="38"/>
      <c r="O61" s="38"/>
      <c r="P61" s="1900"/>
    </row>
    <row r="62" spans="1:16" ht="36" customHeight="1">
      <c r="A62" s="136"/>
      <c r="B62" s="51"/>
      <c r="C62" s="52"/>
      <c r="D62" s="51"/>
      <c r="E62" s="52"/>
      <c r="F62" s="53"/>
      <c r="G62" s="54"/>
      <c r="H62" s="52">
        <v>2731</v>
      </c>
      <c r="I62" s="53" t="s">
        <v>968</v>
      </c>
      <c r="J62" s="76" t="s">
        <v>3527</v>
      </c>
      <c r="K62" s="93" t="s">
        <v>3484</v>
      </c>
      <c r="L62" s="76" t="s">
        <v>3528</v>
      </c>
      <c r="M62" s="39"/>
      <c r="N62" s="39"/>
      <c r="O62" s="39"/>
      <c r="P62" s="30"/>
    </row>
    <row r="63" spans="1:16" ht="36" customHeight="1">
      <c r="A63" s="136"/>
      <c r="B63" s="51"/>
      <c r="C63" s="52"/>
      <c r="D63" s="51"/>
      <c r="E63" s="52"/>
      <c r="F63" s="53"/>
      <c r="G63" s="54"/>
      <c r="H63" s="52">
        <v>2732</v>
      </c>
      <c r="I63" s="53" t="s">
        <v>998</v>
      </c>
      <c r="J63" s="76" t="s">
        <v>3529</v>
      </c>
      <c r="K63" s="93" t="s">
        <v>3484</v>
      </c>
      <c r="L63" s="76" t="s">
        <v>3507</v>
      </c>
      <c r="M63" s="39"/>
      <c r="N63" s="39"/>
      <c r="O63" s="39"/>
      <c r="P63" s="30"/>
    </row>
    <row r="64" spans="1:16" ht="36" customHeight="1">
      <c r="A64" s="136"/>
      <c r="B64" s="51"/>
      <c r="C64" s="52"/>
      <c r="D64" s="51"/>
      <c r="E64" s="52"/>
      <c r="F64" s="53"/>
      <c r="G64" s="54"/>
      <c r="H64" s="52">
        <v>2734</v>
      </c>
      <c r="I64" s="53" t="s">
        <v>1010</v>
      </c>
      <c r="J64" s="76" t="s">
        <v>3530</v>
      </c>
      <c r="K64" s="93" t="s">
        <v>3484</v>
      </c>
      <c r="L64" s="76" t="s">
        <v>2770</v>
      </c>
      <c r="M64" s="39"/>
      <c r="N64" s="39"/>
      <c r="O64" s="39"/>
      <c r="P64" s="30"/>
    </row>
    <row r="65" spans="1:16" ht="53.25" customHeight="1">
      <c r="A65" s="136"/>
      <c r="B65" s="51"/>
      <c r="C65" s="52"/>
      <c r="D65" s="51"/>
      <c r="E65" s="52"/>
      <c r="F65" s="53"/>
      <c r="G65" s="54"/>
      <c r="H65" s="52">
        <v>2735</v>
      </c>
      <c r="I65" s="53" t="s">
        <v>959</v>
      </c>
      <c r="J65" s="76" t="s">
        <v>3531</v>
      </c>
      <c r="K65" s="93" t="s">
        <v>3484</v>
      </c>
      <c r="L65" s="86" t="s">
        <v>2763</v>
      </c>
      <c r="M65" s="39"/>
      <c r="N65" s="39"/>
      <c r="O65" s="39"/>
      <c r="P65" s="30"/>
    </row>
    <row r="66" spans="1:16" ht="36" customHeight="1" thickBot="1">
      <c r="A66" s="135"/>
      <c r="B66" s="47"/>
      <c r="C66" s="48"/>
      <c r="D66" s="47"/>
      <c r="E66" s="48">
        <v>2750</v>
      </c>
      <c r="F66" s="49" t="s">
        <v>913</v>
      </c>
      <c r="G66" s="1897"/>
      <c r="H66" s="48"/>
      <c r="I66" s="49"/>
      <c r="J66" s="83" t="s">
        <v>3532</v>
      </c>
      <c r="K66" s="96" t="s">
        <v>3484</v>
      </c>
      <c r="L66" s="83" t="s">
        <v>2768</v>
      </c>
      <c r="M66" s="38"/>
      <c r="N66" s="38"/>
      <c r="O66" s="38"/>
      <c r="P66" s="1900"/>
    </row>
    <row r="67" spans="1:16" ht="21" customHeight="1" thickBot="1">
      <c r="A67" s="137">
        <v>3000</v>
      </c>
      <c r="B67" s="138" t="s">
        <v>1072</v>
      </c>
      <c r="C67" s="60"/>
      <c r="D67" s="60"/>
      <c r="E67" s="60"/>
      <c r="F67" s="60"/>
      <c r="G67" s="60"/>
      <c r="H67" s="60"/>
      <c r="I67" s="60"/>
      <c r="J67" s="125"/>
      <c r="K67" s="61"/>
      <c r="L67" s="87"/>
      <c r="M67" s="42"/>
      <c r="N67" s="42"/>
      <c r="O67" s="42"/>
      <c r="P67" s="33"/>
    </row>
    <row r="68" spans="1:16" ht="21" customHeight="1">
      <c r="A68" s="134"/>
      <c r="B68" s="43"/>
      <c r="C68" s="44">
        <v>3100</v>
      </c>
      <c r="D68" s="43" t="s">
        <v>120</v>
      </c>
      <c r="E68" s="44"/>
      <c r="F68" s="45"/>
      <c r="G68" s="1898"/>
      <c r="H68" s="44"/>
      <c r="I68" s="45"/>
      <c r="J68" s="84"/>
      <c r="K68" s="46"/>
      <c r="L68" s="84"/>
      <c r="M68" s="37"/>
      <c r="N68" s="37"/>
      <c r="O68" s="37"/>
      <c r="P68" s="1899"/>
    </row>
    <row r="69" spans="1:16" ht="17.25" customHeight="1">
      <c r="A69" s="135"/>
      <c r="B69" s="47"/>
      <c r="C69" s="48"/>
      <c r="D69" s="47"/>
      <c r="E69" s="48">
        <v>3110</v>
      </c>
      <c r="F69" s="49" t="s">
        <v>122</v>
      </c>
      <c r="G69" s="1897"/>
      <c r="H69" s="48"/>
      <c r="I69" s="49"/>
      <c r="J69" s="83"/>
      <c r="K69" s="50"/>
      <c r="L69" s="83"/>
      <c r="M69" s="38"/>
      <c r="N69" s="38"/>
      <c r="O69" s="38"/>
      <c r="P69" s="1900"/>
    </row>
    <row r="70" spans="1:16" ht="36" customHeight="1">
      <c r="A70" s="136"/>
      <c r="B70" s="51"/>
      <c r="C70" s="52"/>
      <c r="D70" s="51"/>
      <c r="E70" s="52"/>
      <c r="F70" s="53"/>
      <c r="G70" s="54"/>
      <c r="H70" s="52">
        <v>3111</v>
      </c>
      <c r="I70" s="53" t="s">
        <v>1075</v>
      </c>
      <c r="J70" s="76" t="s">
        <v>3533</v>
      </c>
      <c r="K70" s="93" t="s">
        <v>3484</v>
      </c>
      <c r="L70" s="76" t="s">
        <v>3534</v>
      </c>
      <c r="M70" s="39"/>
      <c r="N70" s="39"/>
      <c r="O70" s="39"/>
      <c r="P70" s="30"/>
    </row>
    <row r="71" spans="1:16" ht="36" customHeight="1">
      <c r="A71" s="136"/>
      <c r="B71" s="51"/>
      <c r="C71" s="52"/>
      <c r="D71" s="51"/>
      <c r="E71" s="52"/>
      <c r="F71" s="53"/>
      <c r="G71" s="54"/>
      <c r="H71" s="52">
        <v>3112</v>
      </c>
      <c r="I71" s="53" t="s">
        <v>1113</v>
      </c>
      <c r="J71" s="76" t="s">
        <v>3533</v>
      </c>
      <c r="K71" s="93" t="s">
        <v>3484</v>
      </c>
      <c r="L71" s="76" t="s">
        <v>3534</v>
      </c>
      <c r="M71" s="39"/>
      <c r="N71" s="39"/>
      <c r="O71" s="39"/>
      <c r="P71" s="30"/>
    </row>
    <row r="72" spans="1:16" ht="36" customHeight="1">
      <c r="A72" s="136"/>
      <c r="B72" s="51"/>
      <c r="C72" s="52"/>
      <c r="D72" s="51"/>
      <c r="E72" s="52"/>
      <c r="F72" s="53"/>
      <c r="G72" s="54"/>
      <c r="H72" s="52">
        <v>3113</v>
      </c>
      <c r="I72" s="53" t="s">
        <v>1143</v>
      </c>
      <c r="J72" s="76" t="s">
        <v>3533</v>
      </c>
      <c r="K72" s="93" t="s">
        <v>3484</v>
      </c>
      <c r="L72" s="76" t="s">
        <v>3534</v>
      </c>
      <c r="M72" s="39"/>
      <c r="N72" s="39"/>
      <c r="O72" s="39"/>
      <c r="P72" s="30"/>
    </row>
    <row r="73" spans="1:16" ht="36" customHeight="1">
      <c r="A73" s="136"/>
      <c r="B73" s="51"/>
      <c r="C73" s="52"/>
      <c r="D73" s="51"/>
      <c r="E73" s="52"/>
      <c r="F73" s="53"/>
      <c r="G73" s="54"/>
      <c r="H73" s="52">
        <v>3114</v>
      </c>
      <c r="I73" s="53" t="s">
        <v>3535</v>
      </c>
      <c r="J73" s="76" t="s">
        <v>3533</v>
      </c>
      <c r="K73" s="93" t="s">
        <v>3484</v>
      </c>
      <c r="L73" s="76" t="s">
        <v>3534</v>
      </c>
      <c r="M73" s="39"/>
      <c r="N73" s="39"/>
      <c r="O73" s="39"/>
      <c r="P73" s="30"/>
    </row>
    <row r="74" spans="1:16" ht="36" customHeight="1">
      <c r="A74" s="136"/>
      <c r="B74" s="51"/>
      <c r="C74" s="55"/>
      <c r="D74" s="56"/>
      <c r="E74" s="52"/>
      <c r="F74" s="53"/>
      <c r="G74" s="57"/>
      <c r="H74" s="52">
        <v>3115</v>
      </c>
      <c r="I74" s="53" t="s">
        <v>3536</v>
      </c>
      <c r="J74" s="76" t="s">
        <v>3533</v>
      </c>
      <c r="K74" s="93" t="s">
        <v>3484</v>
      </c>
      <c r="L74" s="76" t="s">
        <v>3534</v>
      </c>
      <c r="M74" s="39"/>
      <c r="N74" s="39"/>
      <c r="O74" s="39"/>
      <c r="P74" s="30"/>
    </row>
    <row r="75" spans="1:16" ht="36" customHeight="1">
      <c r="A75" s="136"/>
      <c r="B75" s="51"/>
      <c r="C75" s="55"/>
      <c r="D75" s="56"/>
      <c r="E75" s="52"/>
      <c r="F75" s="53"/>
      <c r="G75" s="57"/>
      <c r="H75" s="52">
        <v>3116</v>
      </c>
      <c r="I75" s="53" t="s">
        <v>3537</v>
      </c>
      <c r="J75" s="76" t="s">
        <v>3533</v>
      </c>
      <c r="K75" s="93" t="s">
        <v>3484</v>
      </c>
      <c r="L75" s="76" t="s">
        <v>3534</v>
      </c>
      <c r="M75" s="39"/>
      <c r="N75" s="39"/>
      <c r="O75" s="39"/>
      <c r="P75" s="30"/>
    </row>
    <row r="76" spans="1:16" ht="36" customHeight="1">
      <c r="A76" s="136"/>
      <c r="B76" s="51"/>
      <c r="C76" s="55"/>
      <c r="D76" s="56"/>
      <c r="E76" s="52"/>
      <c r="F76" s="53"/>
      <c r="G76" s="57"/>
      <c r="H76" s="52">
        <v>3117</v>
      </c>
      <c r="I76" s="53" t="s">
        <v>3538</v>
      </c>
      <c r="J76" s="76" t="s">
        <v>3533</v>
      </c>
      <c r="K76" s="93" t="s">
        <v>3484</v>
      </c>
      <c r="L76" s="76" t="s">
        <v>3534</v>
      </c>
      <c r="M76" s="39"/>
      <c r="N76" s="39"/>
      <c r="O76" s="39"/>
      <c r="P76" s="30"/>
    </row>
    <row r="77" spans="1:16" ht="36" customHeight="1">
      <c r="A77" s="136"/>
      <c r="B77" s="51"/>
      <c r="C77" s="55"/>
      <c r="D77" s="56"/>
      <c r="E77" s="52"/>
      <c r="F77" s="53"/>
      <c r="G77" s="57"/>
      <c r="H77" s="52">
        <v>3118</v>
      </c>
      <c r="I77" s="53" t="s">
        <v>3539</v>
      </c>
      <c r="J77" s="76" t="s">
        <v>3533</v>
      </c>
      <c r="K77" s="93" t="s">
        <v>3484</v>
      </c>
      <c r="L77" s="76" t="s">
        <v>3534</v>
      </c>
      <c r="M77" s="39"/>
      <c r="N77" s="39"/>
      <c r="O77" s="39"/>
      <c r="P77" s="30"/>
    </row>
    <row r="78" spans="1:16" ht="15.75" customHeight="1">
      <c r="A78" s="135"/>
      <c r="B78" s="47"/>
      <c r="C78" s="48"/>
      <c r="D78" s="47"/>
      <c r="E78" s="48">
        <v>3130</v>
      </c>
      <c r="F78" s="49" t="s">
        <v>148</v>
      </c>
      <c r="G78" s="1897"/>
      <c r="H78" s="48"/>
      <c r="I78" s="49"/>
      <c r="J78" s="83"/>
      <c r="K78" s="50"/>
      <c r="L78" s="83"/>
      <c r="M78" s="38"/>
      <c r="N78" s="38"/>
      <c r="O78" s="38"/>
      <c r="P78" s="1900"/>
    </row>
    <row r="79" spans="1:16" ht="66" customHeight="1">
      <c r="A79" s="136"/>
      <c r="B79" s="51"/>
      <c r="C79" s="52"/>
      <c r="D79" s="51"/>
      <c r="E79" s="52"/>
      <c r="F79" s="53"/>
      <c r="G79" s="54"/>
      <c r="H79" s="52">
        <v>3131</v>
      </c>
      <c r="I79" s="53" t="s">
        <v>203</v>
      </c>
      <c r="J79" s="76" t="s">
        <v>3540</v>
      </c>
      <c r="K79" s="75" t="s">
        <v>1251</v>
      </c>
      <c r="L79" s="76" t="s">
        <v>2780</v>
      </c>
      <c r="M79" s="39"/>
      <c r="N79" s="39"/>
      <c r="O79" s="39"/>
      <c r="P79" s="30"/>
    </row>
    <row r="80" spans="1:16" ht="54.75" customHeight="1">
      <c r="A80" s="136"/>
      <c r="B80" s="51"/>
      <c r="C80" s="52"/>
      <c r="D80" s="51"/>
      <c r="E80" s="52"/>
      <c r="F80" s="53"/>
      <c r="G80" s="54"/>
      <c r="H80" s="52">
        <v>3132</v>
      </c>
      <c r="I80" s="53" t="s">
        <v>1247</v>
      </c>
      <c r="J80" s="76" t="s">
        <v>1250</v>
      </c>
      <c r="K80" s="75" t="s">
        <v>1251</v>
      </c>
      <c r="L80" s="76" t="s">
        <v>1252</v>
      </c>
      <c r="M80" s="39"/>
      <c r="N80" s="39"/>
      <c r="O80" s="39"/>
      <c r="P80" s="30"/>
    </row>
    <row r="81" spans="1:16" ht="52.5" customHeight="1">
      <c r="A81" s="136"/>
      <c r="B81" s="51"/>
      <c r="C81" s="52"/>
      <c r="D81" s="51"/>
      <c r="E81" s="52"/>
      <c r="F81" s="53"/>
      <c r="G81" s="54"/>
      <c r="H81" s="52" t="s">
        <v>2678</v>
      </c>
      <c r="I81" s="53" t="s">
        <v>3541</v>
      </c>
      <c r="J81" s="76" t="s">
        <v>1250</v>
      </c>
      <c r="K81" s="89" t="s">
        <v>3319</v>
      </c>
      <c r="L81" s="76" t="s">
        <v>2771</v>
      </c>
      <c r="M81" s="39"/>
      <c r="N81" s="39"/>
      <c r="O81" s="39"/>
      <c r="P81" s="30"/>
    </row>
    <row r="82" spans="1:16" ht="57" customHeight="1">
      <c r="A82" s="136"/>
      <c r="B82" s="51"/>
      <c r="C82" s="52"/>
      <c r="D82" s="51"/>
      <c r="E82" s="52"/>
      <c r="F82" s="53"/>
      <c r="G82" s="54"/>
      <c r="H82" s="52">
        <v>3133</v>
      </c>
      <c r="I82" s="53" t="s">
        <v>1253</v>
      </c>
      <c r="J82" s="76" t="s">
        <v>1250</v>
      </c>
      <c r="K82" s="75" t="s">
        <v>1251</v>
      </c>
      <c r="L82" s="76" t="s">
        <v>1252</v>
      </c>
      <c r="M82" s="39"/>
      <c r="N82" s="39"/>
      <c r="O82" s="39"/>
      <c r="P82" s="30"/>
    </row>
    <row r="83" spans="1:16" ht="57" customHeight="1">
      <c r="A83" s="136"/>
      <c r="B83" s="51"/>
      <c r="C83" s="52"/>
      <c r="D83" s="51"/>
      <c r="E83" s="52"/>
      <c r="F83" s="53"/>
      <c r="G83" s="54"/>
      <c r="H83" s="52" t="s">
        <v>2678</v>
      </c>
      <c r="I83" s="53" t="s">
        <v>3542</v>
      </c>
      <c r="J83" s="76" t="s">
        <v>1250</v>
      </c>
      <c r="K83" s="89" t="s">
        <v>3319</v>
      </c>
      <c r="L83" s="76" t="s">
        <v>2771</v>
      </c>
      <c r="M83" s="39"/>
      <c r="N83" s="39"/>
      <c r="O83" s="39"/>
      <c r="P83" s="30"/>
    </row>
    <row r="84" spans="1:16" ht="57" customHeight="1">
      <c r="A84" s="136"/>
      <c r="B84" s="51"/>
      <c r="C84" s="52"/>
      <c r="D84" s="51"/>
      <c r="E84" s="52"/>
      <c r="F84" s="53"/>
      <c r="G84" s="54"/>
      <c r="H84" s="52">
        <v>3134</v>
      </c>
      <c r="I84" s="53" t="s">
        <v>1254</v>
      </c>
      <c r="J84" s="76" t="s">
        <v>1250</v>
      </c>
      <c r="K84" s="75" t="s">
        <v>1251</v>
      </c>
      <c r="L84" s="76" t="s">
        <v>1252</v>
      </c>
      <c r="M84" s="39"/>
      <c r="N84" s="39"/>
      <c r="O84" s="39"/>
      <c r="P84" s="30"/>
    </row>
    <row r="85" spans="1:16" ht="57" customHeight="1">
      <c r="A85" s="136"/>
      <c r="B85" s="51"/>
      <c r="C85" s="52"/>
      <c r="D85" s="51"/>
      <c r="E85" s="52"/>
      <c r="F85" s="53"/>
      <c r="G85" s="54"/>
      <c r="H85" s="52" t="s">
        <v>2678</v>
      </c>
      <c r="I85" s="53" t="s">
        <v>3543</v>
      </c>
      <c r="J85" s="76" t="s">
        <v>1250</v>
      </c>
      <c r="K85" s="89" t="s">
        <v>3319</v>
      </c>
      <c r="L85" s="76" t="s">
        <v>2771</v>
      </c>
      <c r="M85" s="39"/>
      <c r="N85" s="39"/>
      <c r="O85" s="39"/>
      <c r="P85" s="30"/>
    </row>
    <row r="86" spans="1:16" ht="57" customHeight="1">
      <c r="A86" s="136"/>
      <c r="B86" s="51"/>
      <c r="C86" s="52"/>
      <c r="D86" s="51"/>
      <c r="E86" s="52"/>
      <c r="F86" s="53"/>
      <c r="G86" s="54"/>
      <c r="H86" s="52">
        <v>3135</v>
      </c>
      <c r="I86" s="53" t="s">
        <v>1255</v>
      </c>
      <c r="J86" s="76" t="s">
        <v>1250</v>
      </c>
      <c r="K86" s="75" t="s">
        <v>1251</v>
      </c>
      <c r="L86" s="76" t="s">
        <v>1252</v>
      </c>
      <c r="M86" s="39"/>
      <c r="N86" s="39"/>
      <c r="O86" s="39"/>
      <c r="P86" s="30"/>
    </row>
    <row r="87" spans="1:16" ht="57" customHeight="1">
      <c r="A87" s="145"/>
      <c r="B87" s="97"/>
      <c r="C87" s="98"/>
      <c r="D87" s="97"/>
      <c r="E87" s="98"/>
      <c r="F87" s="99"/>
      <c r="G87" s="100"/>
      <c r="H87" s="98" t="s">
        <v>2678</v>
      </c>
      <c r="I87" s="99" t="s">
        <v>3544</v>
      </c>
      <c r="J87" s="101" t="s">
        <v>1250</v>
      </c>
      <c r="K87" s="102" t="s">
        <v>3319</v>
      </c>
      <c r="L87" s="76" t="s">
        <v>2771</v>
      </c>
      <c r="M87" s="103"/>
      <c r="N87" s="103"/>
      <c r="O87" s="103"/>
      <c r="P87" s="104"/>
    </row>
    <row r="88" spans="1:16" ht="18.75" customHeight="1">
      <c r="A88" s="135"/>
      <c r="B88" s="47"/>
      <c r="C88" s="58"/>
      <c r="D88" s="59"/>
      <c r="E88" s="48"/>
      <c r="F88" s="49"/>
      <c r="G88" s="1902"/>
      <c r="H88" s="48">
        <v>3138</v>
      </c>
      <c r="I88" s="49" t="s">
        <v>1245</v>
      </c>
      <c r="J88" s="83"/>
      <c r="K88" s="50"/>
      <c r="L88" s="83"/>
      <c r="M88" s="38"/>
      <c r="N88" s="38"/>
      <c r="O88" s="38"/>
      <c r="P88" s="1900"/>
    </row>
    <row r="89" spans="1:16" ht="52.5" customHeight="1">
      <c r="A89" s="146"/>
      <c r="B89" s="147"/>
      <c r="C89" s="105"/>
      <c r="D89" s="106"/>
      <c r="E89" s="107"/>
      <c r="F89" s="108"/>
      <c r="G89" s="109"/>
      <c r="H89" s="107" t="s">
        <v>2678</v>
      </c>
      <c r="I89" s="108" t="s">
        <v>1213</v>
      </c>
      <c r="J89" s="110" t="s">
        <v>3545</v>
      </c>
      <c r="K89" s="111" t="s">
        <v>3319</v>
      </c>
      <c r="L89" s="110" t="s">
        <v>3546</v>
      </c>
      <c r="M89" s="112"/>
      <c r="N89" s="112"/>
      <c r="O89" s="112"/>
      <c r="P89" s="113"/>
    </row>
    <row r="90" spans="1:16" ht="49.5" customHeight="1">
      <c r="A90" s="136"/>
      <c r="B90" s="51"/>
      <c r="C90" s="55"/>
      <c r="D90" s="56"/>
      <c r="E90" s="52"/>
      <c r="F90" s="53"/>
      <c r="G90" s="57"/>
      <c r="H90" s="52" t="s">
        <v>2678</v>
      </c>
      <c r="I90" s="53" t="s">
        <v>1243</v>
      </c>
      <c r="J90" s="76" t="s">
        <v>3545</v>
      </c>
      <c r="K90" s="89" t="s">
        <v>3319</v>
      </c>
      <c r="L90" s="76" t="s">
        <v>3546</v>
      </c>
      <c r="M90" s="39"/>
      <c r="N90" s="39"/>
      <c r="O90" s="39"/>
      <c r="P90" s="30"/>
    </row>
    <row r="91" spans="1:16" ht="49.5" customHeight="1">
      <c r="A91" s="136"/>
      <c r="B91" s="51"/>
      <c r="C91" s="55"/>
      <c r="D91" s="56"/>
      <c r="E91" s="52"/>
      <c r="F91" s="53"/>
      <c r="G91" s="57"/>
      <c r="H91" s="52" t="s">
        <v>2678</v>
      </c>
      <c r="I91" s="53" t="s">
        <v>1222</v>
      </c>
      <c r="J91" s="76" t="s">
        <v>3545</v>
      </c>
      <c r="K91" s="89" t="s">
        <v>3319</v>
      </c>
      <c r="L91" s="76" t="s">
        <v>3546</v>
      </c>
      <c r="M91" s="39"/>
      <c r="N91" s="39"/>
      <c r="O91" s="39"/>
      <c r="P91" s="30"/>
    </row>
    <row r="92" spans="1:16" ht="66.75" customHeight="1">
      <c r="A92" s="136"/>
      <c r="B92" s="51"/>
      <c r="C92" s="55"/>
      <c r="D92" s="56"/>
      <c r="E92" s="52"/>
      <c r="F92" s="53"/>
      <c r="G92" s="57"/>
      <c r="H92" s="52" t="s">
        <v>2678</v>
      </c>
      <c r="I92" s="53" t="s">
        <v>1170</v>
      </c>
      <c r="J92" s="76" t="s">
        <v>3547</v>
      </c>
      <c r="K92" s="75" t="s">
        <v>1251</v>
      </c>
      <c r="L92" s="76" t="s">
        <v>3548</v>
      </c>
      <c r="M92" s="39"/>
      <c r="N92" s="39"/>
      <c r="O92" s="39"/>
      <c r="P92" s="30"/>
    </row>
    <row r="93" spans="1:16" ht="49.5" customHeight="1">
      <c r="A93" s="136"/>
      <c r="B93" s="51"/>
      <c r="C93" s="55"/>
      <c r="D93" s="56"/>
      <c r="E93" s="52"/>
      <c r="F93" s="53"/>
      <c r="G93" s="57"/>
      <c r="H93" s="52" t="s">
        <v>2678</v>
      </c>
      <c r="I93" s="53" t="s">
        <v>1232</v>
      </c>
      <c r="J93" s="76" t="s">
        <v>3545</v>
      </c>
      <c r="K93" s="89" t="s">
        <v>3319</v>
      </c>
      <c r="L93" s="76" t="s">
        <v>3546</v>
      </c>
      <c r="M93" s="39"/>
      <c r="N93" s="39"/>
      <c r="O93" s="39"/>
      <c r="P93" s="30"/>
    </row>
    <row r="94" spans="1:16" ht="49.5" customHeight="1">
      <c r="A94" s="136"/>
      <c r="B94" s="51"/>
      <c r="C94" s="55"/>
      <c r="D94" s="56"/>
      <c r="E94" s="52"/>
      <c r="F94" s="53"/>
      <c r="G94" s="57"/>
      <c r="H94" s="52" t="s">
        <v>2678</v>
      </c>
      <c r="I94" s="53" t="s">
        <v>3549</v>
      </c>
      <c r="J94" s="76" t="s">
        <v>3550</v>
      </c>
      <c r="K94" s="75" t="s">
        <v>1251</v>
      </c>
      <c r="L94" s="76" t="s">
        <v>3548</v>
      </c>
      <c r="M94" s="39"/>
      <c r="N94" s="39"/>
      <c r="O94" s="39"/>
      <c r="P94" s="30"/>
    </row>
    <row r="95" spans="1:16" ht="49.5" customHeight="1">
      <c r="A95" s="136"/>
      <c r="B95" s="51"/>
      <c r="C95" s="55"/>
      <c r="D95" s="56"/>
      <c r="E95" s="52"/>
      <c r="F95" s="53"/>
      <c r="G95" s="57"/>
      <c r="H95" s="52" t="s">
        <v>2678</v>
      </c>
      <c r="I95" s="53" t="s">
        <v>3551</v>
      </c>
      <c r="J95" s="76" t="s">
        <v>3550</v>
      </c>
      <c r="K95" s="75" t="s">
        <v>1251</v>
      </c>
      <c r="L95" s="76" t="s">
        <v>3548</v>
      </c>
      <c r="M95" s="39"/>
      <c r="N95" s="39"/>
      <c r="O95" s="39"/>
      <c r="P95" s="30"/>
    </row>
    <row r="96" spans="1:16" ht="49.5" customHeight="1">
      <c r="A96" s="136"/>
      <c r="B96" s="51"/>
      <c r="C96" s="55"/>
      <c r="D96" s="56"/>
      <c r="E96" s="52"/>
      <c r="F96" s="53"/>
      <c r="G96" s="57"/>
      <c r="H96" s="52" t="s">
        <v>2678</v>
      </c>
      <c r="I96" s="53" t="s">
        <v>1276</v>
      </c>
      <c r="J96" s="76" t="s">
        <v>3552</v>
      </c>
      <c r="K96" s="75" t="s">
        <v>1251</v>
      </c>
      <c r="L96" s="76" t="s">
        <v>3548</v>
      </c>
      <c r="M96" s="39"/>
      <c r="N96" s="39"/>
      <c r="O96" s="39"/>
      <c r="P96" s="30"/>
    </row>
    <row r="97" spans="1:16" ht="36" customHeight="1">
      <c r="A97" s="145"/>
      <c r="B97" s="97"/>
      <c r="C97" s="98"/>
      <c r="D97" s="97"/>
      <c r="E97" s="98"/>
      <c r="F97" s="99"/>
      <c r="G97" s="100"/>
      <c r="H97" s="98">
        <v>3139</v>
      </c>
      <c r="I97" s="99" t="s">
        <v>1172</v>
      </c>
      <c r="J97" s="101" t="s">
        <v>3483</v>
      </c>
      <c r="K97" s="114" t="s">
        <v>3484</v>
      </c>
      <c r="L97" s="101" t="s">
        <v>151</v>
      </c>
      <c r="M97" s="103"/>
      <c r="N97" s="103"/>
      <c r="O97" s="103"/>
      <c r="P97" s="104"/>
    </row>
    <row r="98" spans="1:16" ht="36" customHeight="1" thickBot="1">
      <c r="A98" s="148"/>
      <c r="B98" s="115"/>
      <c r="C98" s="116"/>
      <c r="D98" s="115"/>
      <c r="E98" s="116">
        <v>3160</v>
      </c>
      <c r="F98" s="117" t="s">
        <v>1278</v>
      </c>
      <c r="G98" s="118"/>
      <c r="H98" s="116"/>
      <c r="I98" s="117"/>
      <c r="J98" s="120" t="s">
        <v>3483</v>
      </c>
      <c r="K98" s="119" t="s">
        <v>3484</v>
      </c>
      <c r="L98" s="120" t="s">
        <v>3506</v>
      </c>
      <c r="M98" s="121"/>
      <c r="N98" s="121"/>
      <c r="O98" s="121"/>
      <c r="P98" s="122"/>
    </row>
    <row r="99" spans="1:16" ht="17.25" customHeight="1" thickBot="1">
      <c r="A99" s="139">
        <v>4000</v>
      </c>
      <c r="B99" s="140" t="s">
        <v>1316</v>
      </c>
      <c r="C99" s="62"/>
      <c r="D99" s="62"/>
      <c r="E99" s="62"/>
      <c r="F99" s="62"/>
      <c r="G99" s="62"/>
      <c r="H99" s="62"/>
      <c r="I99" s="62"/>
      <c r="J99" s="126"/>
      <c r="K99" s="63"/>
      <c r="L99" s="88"/>
      <c r="M99" s="41"/>
      <c r="N99" s="41"/>
      <c r="O99" s="41"/>
      <c r="P99" s="35"/>
    </row>
    <row r="100" spans="1:16" ht="21" customHeight="1">
      <c r="A100" s="134"/>
      <c r="B100" s="43"/>
      <c r="C100" s="44">
        <v>4100</v>
      </c>
      <c r="D100" s="43" t="s">
        <v>120</v>
      </c>
      <c r="E100" s="44"/>
      <c r="F100" s="45"/>
      <c r="G100" s="1898"/>
      <c r="H100" s="44"/>
      <c r="I100" s="45"/>
      <c r="J100" s="84"/>
      <c r="K100" s="46"/>
      <c r="L100" s="84"/>
      <c r="M100" s="37"/>
      <c r="N100" s="37"/>
      <c r="O100" s="37"/>
      <c r="P100" s="1899"/>
    </row>
    <row r="101" spans="1:16" ht="18.75" customHeight="1">
      <c r="A101" s="135"/>
      <c r="B101" s="47"/>
      <c r="C101" s="48"/>
      <c r="D101" s="47"/>
      <c r="E101" s="48">
        <v>4130</v>
      </c>
      <c r="F101" s="49" t="s">
        <v>148</v>
      </c>
      <c r="G101" s="1897"/>
      <c r="H101" s="48"/>
      <c r="I101" s="49"/>
      <c r="J101" s="83"/>
      <c r="K101" s="50"/>
      <c r="L101" s="83"/>
      <c r="M101" s="38"/>
      <c r="N101" s="38"/>
      <c r="O101" s="38"/>
      <c r="P101" s="1900"/>
    </row>
    <row r="102" spans="1:16" ht="36" customHeight="1">
      <c r="A102" s="136"/>
      <c r="B102" s="51"/>
      <c r="C102" s="52"/>
      <c r="D102" s="51"/>
      <c r="E102" s="52"/>
      <c r="F102" s="53"/>
      <c r="G102" s="54"/>
      <c r="H102" s="52">
        <v>4131</v>
      </c>
      <c r="I102" s="53" t="s">
        <v>1330</v>
      </c>
      <c r="J102" s="76" t="s">
        <v>3483</v>
      </c>
      <c r="K102" s="93" t="s">
        <v>3484</v>
      </c>
      <c r="L102" s="76" t="s">
        <v>151</v>
      </c>
      <c r="M102" s="39"/>
      <c r="N102" s="39"/>
      <c r="O102" s="39"/>
      <c r="P102" s="30"/>
    </row>
    <row r="103" spans="1:16" ht="36" customHeight="1">
      <c r="A103" s="136"/>
      <c r="B103" s="51"/>
      <c r="C103" s="52"/>
      <c r="D103" s="51"/>
      <c r="E103" s="52"/>
      <c r="F103" s="53"/>
      <c r="G103" s="54"/>
      <c r="H103" s="52">
        <v>4133</v>
      </c>
      <c r="I103" s="53" t="s">
        <v>1368</v>
      </c>
      <c r="J103" s="76" t="s">
        <v>3497</v>
      </c>
      <c r="K103" s="92" t="s">
        <v>2678</v>
      </c>
      <c r="L103" s="95" t="s">
        <v>2678</v>
      </c>
      <c r="M103" s="39"/>
      <c r="N103" s="39"/>
      <c r="O103" s="39"/>
      <c r="P103" s="30"/>
    </row>
    <row r="104" spans="1:16" ht="36" customHeight="1">
      <c r="A104" s="145"/>
      <c r="B104" s="97"/>
      <c r="C104" s="98"/>
      <c r="D104" s="97"/>
      <c r="E104" s="98"/>
      <c r="F104" s="99"/>
      <c r="G104" s="100"/>
      <c r="H104" s="98">
        <v>4135</v>
      </c>
      <c r="I104" s="99" t="s">
        <v>3553</v>
      </c>
      <c r="J104" s="101" t="s">
        <v>3554</v>
      </c>
      <c r="K104" s="114" t="s">
        <v>3484</v>
      </c>
      <c r="L104" s="101" t="s">
        <v>151</v>
      </c>
      <c r="M104" s="103"/>
      <c r="N104" s="103"/>
      <c r="O104" s="103"/>
      <c r="P104" s="104"/>
    </row>
    <row r="105" spans="1:16" ht="18" customHeight="1">
      <c r="A105" s="135"/>
      <c r="B105" s="47"/>
      <c r="C105" s="58"/>
      <c r="D105" s="59"/>
      <c r="E105" s="48"/>
      <c r="F105" s="49"/>
      <c r="G105" s="1902"/>
      <c r="H105" s="48">
        <v>4138</v>
      </c>
      <c r="I105" s="49" t="s">
        <v>1245</v>
      </c>
      <c r="J105" s="83"/>
      <c r="K105" s="50"/>
      <c r="L105" s="83"/>
      <c r="M105" s="38"/>
      <c r="N105" s="38"/>
      <c r="O105" s="38"/>
      <c r="P105" s="1900"/>
    </row>
    <row r="106" spans="1:16" ht="36" customHeight="1">
      <c r="A106" s="146"/>
      <c r="B106" s="147"/>
      <c r="C106" s="105"/>
      <c r="D106" s="106"/>
      <c r="E106" s="107"/>
      <c r="F106" s="108"/>
      <c r="G106" s="109"/>
      <c r="H106" s="107"/>
      <c r="I106" s="108" t="s">
        <v>3555</v>
      </c>
      <c r="J106" s="110" t="s">
        <v>3545</v>
      </c>
      <c r="K106" s="111" t="s">
        <v>3319</v>
      </c>
      <c r="L106" s="110" t="s">
        <v>3546</v>
      </c>
      <c r="M106" s="112"/>
      <c r="N106" s="112"/>
      <c r="O106" s="112"/>
      <c r="P106" s="113"/>
    </row>
    <row r="107" spans="1:16" ht="36" customHeight="1">
      <c r="A107" s="136"/>
      <c r="B107" s="51"/>
      <c r="C107" s="55"/>
      <c r="D107" s="56"/>
      <c r="E107" s="52"/>
      <c r="F107" s="53"/>
      <c r="G107" s="57"/>
      <c r="H107" s="52"/>
      <c r="I107" s="53" t="s">
        <v>3556</v>
      </c>
      <c r="J107" s="76" t="s">
        <v>3545</v>
      </c>
      <c r="K107" s="89" t="s">
        <v>3319</v>
      </c>
      <c r="L107" s="76" t="s">
        <v>3546</v>
      </c>
      <c r="M107" s="39"/>
      <c r="N107" s="39"/>
      <c r="O107" s="39"/>
      <c r="P107" s="30"/>
    </row>
    <row r="108" spans="1:16" ht="36" customHeight="1">
      <c r="A108" s="136"/>
      <c r="B108" s="51"/>
      <c r="C108" s="55"/>
      <c r="D108" s="56"/>
      <c r="E108" s="52"/>
      <c r="F108" s="53"/>
      <c r="G108" s="57"/>
      <c r="H108" s="52"/>
      <c r="I108" s="53" t="s">
        <v>3557</v>
      </c>
      <c r="J108" s="76" t="s">
        <v>3545</v>
      </c>
      <c r="K108" s="89" t="s">
        <v>3319</v>
      </c>
      <c r="L108" s="76" t="s">
        <v>3546</v>
      </c>
      <c r="M108" s="39"/>
      <c r="N108" s="39"/>
      <c r="O108" s="39"/>
      <c r="P108" s="30"/>
    </row>
    <row r="109" spans="1:16" ht="36" customHeight="1">
      <c r="A109" s="136"/>
      <c r="B109" s="51"/>
      <c r="C109" s="52"/>
      <c r="D109" s="51"/>
      <c r="E109" s="52"/>
      <c r="F109" s="53"/>
      <c r="G109" s="54"/>
      <c r="H109" s="52">
        <v>4139</v>
      </c>
      <c r="I109" s="53" t="s">
        <v>172</v>
      </c>
      <c r="J109" s="76" t="s">
        <v>3489</v>
      </c>
      <c r="K109" s="93" t="s">
        <v>3484</v>
      </c>
      <c r="L109" s="76" t="s">
        <v>3490</v>
      </c>
      <c r="M109" s="39"/>
      <c r="N109" s="39"/>
      <c r="O109" s="39"/>
      <c r="P109" s="30"/>
    </row>
    <row r="110" spans="1:16" ht="15.75" customHeight="1">
      <c r="A110" s="135"/>
      <c r="B110" s="47"/>
      <c r="C110" s="48"/>
      <c r="D110" s="47"/>
      <c r="E110" s="48">
        <v>4140</v>
      </c>
      <c r="F110" s="49" t="s">
        <v>176</v>
      </c>
      <c r="G110" s="1897"/>
      <c r="H110" s="48"/>
      <c r="I110" s="49"/>
      <c r="J110" s="83"/>
      <c r="K110" s="50"/>
      <c r="L110" s="83"/>
      <c r="M110" s="38"/>
      <c r="N110" s="38"/>
      <c r="O110" s="38"/>
      <c r="P110" s="1900"/>
    </row>
    <row r="111" spans="1:16" ht="56.25" customHeight="1">
      <c r="A111" s="136"/>
      <c r="B111" s="51"/>
      <c r="C111" s="52"/>
      <c r="D111" s="51"/>
      <c r="E111" s="52"/>
      <c r="F111" s="53"/>
      <c r="G111" s="54"/>
      <c r="H111" s="52">
        <v>4141</v>
      </c>
      <c r="I111" s="53" t="s">
        <v>1390</v>
      </c>
      <c r="J111" s="76" t="s">
        <v>3492</v>
      </c>
      <c r="K111" s="93" t="s">
        <v>3484</v>
      </c>
      <c r="L111" s="76" t="s">
        <v>3493</v>
      </c>
      <c r="M111" s="39"/>
      <c r="N111" s="39"/>
      <c r="O111" s="39"/>
      <c r="P111" s="30"/>
    </row>
    <row r="112" spans="1:16" ht="56.25" customHeight="1">
      <c r="A112" s="136"/>
      <c r="B112" s="51"/>
      <c r="C112" s="52"/>
      <c r="D112" s="51"/>
      <c r="E112" s="52"/>
      <c r="F112" s="53"/>
      <c r="G112" s="54"/>
      <c r="H112" s="52">
        <v>4142</v>
      </c>
      <c r="I112" s="53" t="s">
        <v>3491</v>
      </c>
      <c r="J112" s="76" t="s">
        <v>3492</v>
      </c>
      <c r="K112" s="93" t="s">
        <v>3484</v>
      </c>
      <c r="L112" s="76" t="s">
        <v>3493</v>
      </c>
      <c r="M112" s="39"/>
      <c r="N112" s="39"/>
      <c r="O112" s="39"/>
      <c r="P112" s="30"/>
    </row>
    <row r="113" spans="1:16" ht="56.25" customHeight="1">
      <c r="A113" s="136"/>
      <c r="B113" s="51"/>
      <c r="C113" s="52"/>
      <c r="D113" s="51"/>
      <c r="E113" s="52"/>
      <c r="F113" s="53"/>
      <c r="G113" s="54"/>
      <c r="H113" s="52">
        <v>4143</v>
      </c>
      <c r="I113" s="53" t="s">
        <v>3494</v>
      </c>
      <c r="J113" s="76" t="s">
        <v>3492</v>
      </c>
      <c r="K113" s="93" t="s">
        <v>3484</v>
      </c>
      <c r="L113" s="76" t="s">
        <v>3493</v>
      </c>
      <c r="M113" s="39"/>
      <c r="N113" s="39"/>
      <c r="O113" s="39"/>
      <c r="P113" s="30"/>
    </row>
    <row r="114" spans="1:16" ht="56.25" customHeight="1">
      <c r="A114" s="136"/>
      <c r="B114" s="51"/>
      <c r="C114" s="52"/>
      <c r="D114" s="51"/>
      <c r="E114" s="52"/>
      <c r="F114" s="53"/>
      <c r="G114" s="54"/>
      <c r="H114" s="52">
        <v>4144</v>
      </c>
      <c r="I114" s="53" t="s">
        <v>3495</v>
      </c>
      <c r="J114" s="76" t="s">
        <v>3492</v>
      </c>
      <c r="K114" s="93" t="s">
        <v>3484</v>
      </c>
      <c r="L114" s="76" t="s">
        <v>3493</v>
      </c>
      <c r="M114" s="39"/>
      <c r="N114" s="39"/>
      <c r="O114" s="39"/>
      <c r="P114" s="30"/>
    </row>
    <row r="115" spans="1:16" ht="20.25" customHeight="1">
      <c r="A115" s="134"/>
      <c r="B115" s="43"/>
      <c r="C115" s="44">
        <v>4200</v>
      </c>
      <c r="D115" s="43" t="s">
        <v>1394</v>
      </c>
      <c r="E115" s="44"/>
      <c r="F115" s="45"/>
      <c r="G115" s="1898"/>
      <c r="H115" s="44"/>
      <c r="I115" s="45"/>
      <c r="J115" s="84"/>
      <c r="K115" s="46"/>
      <c r="L115" s="84"/>
      <c r="M115" s="37"/>
      <c r="N115" s="37"/>
      <c r="O115" s="37"/>
      <c r="P115" s="1899"/>
    </row>
    <row r="116" spans="1:16" ht="19.5" customHeight="1">
      <c r="A116" s="135"/>
      <c r="B116" s="47"/>
      <c r="C116" s="48"/>
      <c r="D116" s="47"/>
      <c r="E116" s="48">
        <v>4210</v>
      </c>
      <c r="F116" s="49" t="s">
        <v>1311</v>
      </c>
      <c r="G116" s="1897"/>
      <c r="H116" s="48"/>
      <c r="I116" s="49"/>
      <c r="J116" s="83"/>
      <c r="K116" s="50"/>
      <c r="L116" s="83"/>
      <c r="M116" s="38"/>
      <c r="N116" s="38"/>
      <c r="O116" s="38"/>
      <c r="P116" s="1900"/>
    </row>
    <row r="117" spans="1:16" ht="36" customHeight="1">
      <c r="A117" s="136"/>
      <c r="B117" s="51"/>
      <c r="C117" s="52"/>
      <c r="D117" s="51"/>
      <c r="E117" s="52"/>
      <c r="F117" s="53"/>
      <c r="G117" s="54"/>
      <c r="H117" s="52">
        <v>4211</v>
      </c>
      <c r="I117" s="53" t="s">
        <v>1402</v>
      </c>
      <c r="J117" s="76" t="s">
        <v>3558</v>
      </c>
      <c r="K117" s="89" t="s">
        <v>3504</v>
      </c>
      <c r="L117" s="76" t="s">
        <v>3528</v>
      </c>
      <c r="M117" s="39"/>
      <c r="N117" s="39"/>
      <c r="O117" s="39"/>
      <c r="P117" s="30"/>
    </row>
    <row r="118" spans="1:16" ht="36" customHeight="1">
      <c r="A118" s="136"/>
      <c r="B118" s="51"/>
      <c r="C118" s="52"/>
      <c r="D118" s="51"/>
      <c r="E118" s="52"/>
      <c r="F118" s="53"/>
      <c r="G118" s="54"/>
      <c r="H118" s="52">
        <v>4212</v>
      </c>
      <c r="I118" s="53" t="s">
        <v>1410</v>
      </c>
      <c r="J118" s="76" t="s">
        <v>3558</v>
      </c>
      <c r="K118" s="89" t="s">
        <v>3504</v>
      </c>
      <c r="L118" s="76" t="s">
        <v>3507</v>
      </c>
      <c r="M118" s="39"/>
      <c r="N118" s="39"/>
      <c r="O118" s="39"/>
      <c r="P118" s="30"/>
    </row>
    <row r="119" spans="1:16" ht="36" customHeight="1">
      <c r="A119" s="136"/>
      <c r="B119" s="51"/>
      <c r="C119" s="52"/>
      <c r="D119" s="51"/>
      <c r="E119" s="52"/>
      <c r="F119" s="53"/>
      <c r="G119" s="54"/>
      <c r="H119" s="52">
        <v>4213</v>
      </c>
      <c r="I119" s="53" t="s">
        <v>1307</v>
      </c>
      <c r="J119" s="76" t="s">
        <v>3559</v>
      </c>
      <c r="K119" s="93" t="s">
        <v>3484</v>
      </c>
      <c r="L119" s="76" t="s">
        <v>3534</v>
      </c>
      <c r="M119" s="39"/>
      <c r="N119" s="39"/>
      <c r="O119" s="39"/>
      <c r="P119" s="30"/>
    </row>
    <row r="120" spans="1:16" ht="17.25" customHeight="1">
      <c r="A120" s="135"/>
      <c r="B120" s="47"/>
      <c r="C120" s="48"/>
      <c r="D120" s="47"/>
      <c r="E120" s="48">
        <v>4220</v>
      </c>
      <c r="F120" s="49" t="s">
        <v>3560</v>
      </c>
      <c r="G120" s="1897"/>
      <c r="H120" s="48"/>
      <c r="I120" s="49"/>
      <c r="J120" s="83"/>
      <c r="K120" s="50"/>
      <c r="L120" s="83"/>
      <c r="M120" s="38"/>
      <c r="N120" s="38"/>
      <c r="O120" s="38"/>
      <c r="P120" s="1900"/>
    </row>
    <row r="121" spans="1:16" ht="36" customHeight="1">
      <c r="A121" s="136"/>
      <c r="B121" s="51"/>
      <c r="C121" s="52"/>
      <c r="D121" s="51"/>
      <c r="E121" s="52"/>
      <c r="F121" s="53"/>
      <c r="G121" s="54"/>
      <c r="H121" s="52">
        <v>4221</v>
      </c>
      <c r="I121" s="53" t="s">
        <v>3561</v>
      </c>
      <c r="J121" s="76" t="s">
        <v>3562</v>
      </c>
      <c r="K121" s="93" t="s">
        <v>3484</v>
      </c>
      <c r="L121" s="76" t="s">
        <v>3563</v>
      </c>
      <c r="M121" s="39"/>
      <c r="N121" s="39"/>
      <c r="O121" s="39"/>
      <c r="P121" s="30"/>
    </row>
    <row r="122" spans="1:16" ht="36" customHeight="1">
      <c r="A122" s="135"/>
      <c r="B122" s="47"/>
      <c r="C122" s="48"/>
      <c r="D122" s="47"/>
      <c r="E122" s="48">
        <v>4230</v>
      </c>
      <c r="F122" s="49" t="s">
        <v>1419</v>
      </c>
      <c r="G122" s="1897"/>
      <c r="H122" s="48"/>
      <c r="I122" s="49"/>
      <c r="J122" s="83" t="s">
        <v>3564</v>
      </c>
      <c r="K122" s="90" t="s">
        <v>1251</v>
      </c>
      <c r="L122" s="83" t="s">
        <v>2778</v>
      </c>
      <c r="M122" s="38"/>
      <c r="N122" s="38"/>
      <c r="O122" s="38"/>
      <c r="P122" s="1900"/>
    </row>
    <row r="123" spans="1:16" ht="36" customHeight="1">
      <c r="A123" s="135"/>
      <c r="B123" s="47"/>
      <c r="C123" s="48"/>
      <c r="D123" s="47"/>
      <c r="E123" s="48">
        <v>4250</v>
      </c>
      <c r="F123" s="49" t="s">
        <v>1426</v>
      </c>
      <c r="G123" s="1897"/>
      <c r="H123" s="48"/>
      <c r="I123" s="49"/>
      <c r="J123" s="83" t="s">
        <v>3565</v>
      </c>
      <c r="K123" s="90" t="s">
        <v>1251</v>
      </c>
      <c r="L123" s="83" t="s">
        <v>2767</v>
      </c>
      <c r="M123" s="38"/>
      <c r="N123" s="38"/>
      <c r="O123" s="38"/>
      <c r="P123" s="1900"/>
    </row>
    <row r="124" spans="1:16" ht="17.25" customHeight="1">
      <c r="A124" s="135"/>
      <c r="B124" s="47"/>
      <c r="C124" s="48"/>
      <c r="D124" s="47"/>
      <c r="E124" s="48">
        <v>4280</v>
      </c>
      <c r="F124" s="49" t="s">
        <v>1439</v>
      </c>
      <c r="G124" s="1897"/>
      <c r="H124" s="48"/>
      <c r="I124" s="49"/>
      <c r="J124" s="83"/>
      <c r="K124" s="50"/>
      <c r="L124" s="83"/>
      <c r="M124" s="38"/>
      <c r="N124" s="38"/>
      <c r="O124" s="38"/>
      <c r="P124" s="1900"/>
    </row>
    <row r="125" spans="1:16" ht="36" customHeight="1">
      <c r="A125" s="136"/>
      <c r="B125" s="51"/>
      <c r="C125" s="52"/>
      <c r="D125" s="51"/>
      <c r="E125" s="52"/>
      <c r="F125" s="53"/>
      <c r="G125" s="54"/>
      <c r="H125" s="52">
        <v>4281</v>
      </c>
      <c r="I125" s="53" t="s">
        <v>1441</v>
      </c>
      <c r="J125" s="76" t="s">
        <v>3483</v>
      </c>
      <c r="K125" s="93" t="s">
        <v>3484</v>
      </c>
      <c r="L125" s="76" t="s">
        <v>3506</v>
      </c>
      <c r="M125" s="39"/>
      <c r="N125" s="39"/>
      <c r="O125" s="39"/>
      <c r="P125" s="30"/>
    </row>
    <row r="126" spans="1:16" ht="18.75" customHeight="1">
      <c r="A126" s="134"/>
      <c r="B126" s="43"/>
      <c r="C126" s="44">
        <v>4300</v>
      </c>
      <c r="D126" s="43" t="s">
        <v>222</v>
      </c>
      <c r="E126" s="44"/>
      <c r="F126" s="45"/>
      <c r="G126" s="1898"/>
      <c r="H126" s="44"/>
      <c r="I126" s="45"/>
      <c r="J126" s="84"/>
      <c r="K126" s="46"/>
      <c r="L126" s="84"/>
      <c r="M126" s="37"/>
      <c r="N126" s="37"/>
      <c r="O126" s="37"/>
      <c r="P126" s="1899"/>
    </row>
    <row r="127" spans="1:16" ht="21" customHeight="1">
      <c r="A127" s="135"/>
      <c r="B127" s="47"/>
      <c r="C127" s="48"/>
      <c r="D127" s="47"/>
      <c r="E127" s="48">
        <v>4380</v>
      </c>
      <c r="F127" s="49" t="s">
        <v>1466</v>
      </c>
      <c r="G127" s="1897"/>
      <c r="H127" s="48"/>
      <c r="I127" s="49"/>
      <c r="J127" s="83"/>
      <c r="K127" s="50"/>
      <c r="L127" s="83"/>
      <c r="M127" s="38"/>
      <c r="N127" s="38"/>
      <c r="O127" s="38"/>
      <c r="P127" s="1900"/>
    </row>
    <row r="128" spans="1:16" ht="36" customHeight="1">
      <c r="A128" s="136"/>
      <c r="B128" s="51"/>
      <c r="C128" s="52"/>
      <c r="D128" s="51"/>
      <c r="E128" s="52"/>
      <c r="F128" s="53"/>
      <c r="G128" s="54"/>
      <c r="H128" s="52">
        <v>4381</v>
      </c>
      <c r="I128" s="53" t="s">
        <v>1467</v>
      </c>
      <c r="J128" s="76" t="s">
        <v>3566</v>
      </c>
      <c r="K128" s="93" t="s">
        <v>3484</v>
      </c>
      <c r="L128" s="76" t="s">
        <v>3487</v>
      </c>
      <c r="M128" s="39"/>
      <c r="N128" s="39"/>
      <c r="O128" s="39"/>
      <c r="P128" s="30"/>
    </row>
    <row r="129" spans="1:16" ht="53.25" customHeight="1">
      <c r="A129" s="136"/>
      <c r="B129" s="51"/>
      <c r="C129" s="52"/>
      <c r="D129" s="51"/>
      <c r="E129" s="52"/>
      <c r="F129" s="53"/>
      <c r="G129" s="54"/>
      <c r="H129" s="52">
        <v>4382</v>
      </c>
      <c r="I129" s="53" t="s">
        <v>1502</v>
      </c>
      <c r="J129" s="76" t="s">
        <v>3567</v>
      </c>
      <c r="K129" s="89" t="s">
        <v>3319</v>
      </c>
      <c r="L129" s="76" t="s">
        <v>3568</v>
      </c>
      <c r="M129" s="39"/>
      <c r="N129" s="39"/>
      <c r="O129" s="39"/>
      <c r="P129" s="30"/>
    </row>
    <row r="130" spans="1:16" ht="36" customHeight="1">
      <c r="A130" s="136"/>
      <c r="B130" s="51"/>
      <c r="C130" s="52"/>
      <c r="D130" s="51"/>
      <c r="E130" s="52"/>
      <c r="F130" s="53"/>
      <c r="G130" s="54"/>
      <c r="H130" s="52">
        <v>4385</v>
      </c>
      <c r="I130" s="53" t="s">
        <v>1484</v>
      </c>
      <c r="J130" s="76" t="s">
        <v>3569</v>
      </c>
      <c r="K130" s="89" t="s">
        <v>3319</v>
      </c>
      <c r="L130" s="76" t="s">
        <v>81</v>
      </c>
      <c r="M130" s="39"/>
      <c r="N130" s="39"/>
      <c r="O130" s="39"/>
      <c r="P130" s="30"/>
    </row>
    <row r="131" spans="1:16" ht="19.5" customHeight="1">
      <c r="A131" s="134"/>
      <c r="B131" s="43"/>
      <c r="C131" s="44">
        <v>4400</v>
      </c>
      <c r="D131" s="43" t="s">
        <v>451</v>
      </c>
      <c r="E131" s="44"/>
      <c r="F131" s="45"/>
      <c r="G131" s="1898"/>
      <c r="H131" s="44"/>
      <c r="I131" s="45"/>
      <c r="J131" s="84"/>
      <c r="K131" s="46"/>
      <c r="L131" s="84"/>
      <c r="M131" s="37"/>
      <c r="N131" s="37"/>
      <c r="O131" s="37"/>
      <c r="P131" s="1899"/>
    </row>
    <row r="132" spans="1:16" ht="36" customHeight="1">
      <c r="A132" s="135"/>
      <c r="B132" s="47"/>
      <c r="C132" s="48"/>
      <c r="D132" s="47"/>
      <c r="E132" s="48">
        <v>4410</v>
      </c>
      <c r="F132" s="49" t="s">
        <v>3570</v>
      </c>
      <c r="G132" s="1897"/>
      <c r="H132" s="48"/>
      <c r="I132" s="49"/>
      <c r="J132" s="83" t="s">
        <v>3571</v>
      </c>
      <c r="K132" s="96" t="s">
        <v>3484</v>
      </c>
      <c r="L132" s="76" t="s">
        <v>151</v>
      </c>
      <c r="M132" s="38"/>
      <c r="N132" s="38"/>
      <c r="O132" s="38"/>
      <c r="P132" s="1900"/>
    </row>
    <row r="133" spans="1:16" ht="19.5" customHeight="1">
      <c r="A133" s="135"/>
      <c r="B133" s="47"/>
      <c r="C133" s="48"/>
      <c r="D133" s="47"/>
      <c r="E133" s="48">
        <v>4430</v>
      </c>
      <c r="F133" s="49" t="s">
        <v>1511</v>
      </c>
      <c r="G133" s="1897"/>
      <c r="H133" s="48"/>
      <c r="I133" s="49"/>
      <c r="J133" s="83"/>
      <c r="K133" s="50"/>
      <c r="L133" s="83"/>
      <c r="M133" s="38"/>
      <c r="N133" s="38"/>
      <c r="O133" s="38"/>
      <c r="P133" s="1900"/>
    </row>
    <row r="134" spans="1:16" ht="36" customHeight="1">
      <c r="A134" s="136"/>
      <c r="B134" s="51"/>
      <c r="C134" s="52"/>
      <c r="D134" s="51"/>
      <c r="E134" s="52"/>
      <c r="F134" s="53"/>
      <c r="G134" s="54"/>
      <c r="H134" s="52">
        <v>4431</v>
      </c>
      <c r="I134" s="53" t="s">
        <v>1515</v>
      </c>
      <c r="J134" s="76" t="s">
        <v>3572</v>
      </c>
      <c r="K134" s="93" t="s">
        <v>3484</v>
      </c>
      <c r="L134" s="76" t="s">
        <v>3506</v>
      </c>
      <c r="M134" s="39"/>
      <c r="N134" s="39"/>
      <c r="O134" s="39"/>
      <c r="P134" s="30"/>
    </row>
    <row r="135" spans="1:16" ht="36" customHeight="1">
      <c r="A135" s="136"/>
      <c r="B135" s="51"/>
      <c r="C135" s="52"/>
      <c r="D135" s="51"/>
      <c r="E135" s="52"/>
      <c r="F135" s="53"/>
      <c r="G135" s="54"/>
      <c r="H135" s="52">
        <v>4432</v>
      </c>
      <c r="I135" s="53" t="s">
        <v>1531</v>
      </c>
      <c r="J135" s="76" t="s">
        <v>3573</v>
      </c>
      <c r="K135" s="93" t="s">
        <v>3484</v>
      </c>
      <c r="L135" s="76" t="s">
        <v>3528</v>
      </c>
      <c r="M135" s="39"/>
      <c r="N135" s="39"/>
      <c r="O135" s="39"/>
      <c r="P135" s="30"/>
    </row>
    <row r="136" spans="1:16" ht="36" customHeight="1">
      <c r="A136" s="136"/>
      <c r="B136" s="51"/>
      <c r="C136" s="52"/>
      <c r="D136" s="51"/>
      <c r="E136" s="52"/>
      <c r="F136" s="53"/>
      <c r="G136" s="54"/>
      <c r="H136" s="52">
        <v>4433</v>
      </c>
      <c r="I136" s="53" t="s">
        <v>3574</v>
      </c>
      <c r="J136" s="76" t="s">
        <v>3575</v>
      </c>
      <c r="K136" s="93" t="s">
        <v>3484</v>
      </c>
      <c r="L136" s="76" t="s">
        <v>3576</v>
      </c>
      <c r="M136" s="39"/>
      <c r="N136" s="39"/>
      <c r="O136" s="39"/>
      <c r="P136" s="30"/>
    </row>
    <row r="137" spans="1:16" ht="36" customHeight="1">
      <c r="A137" s="136"/>
      <c r="B137" s="51"/>
      <c r="C137" s="52"/>
      <c r="D137" s="51"/>
      <c r="E137" s="52"/>
      <c r="F137" s="53"/>
      <c r="G137" s="54"/>
      <c r="H137" s="52">
        <v>4435</v>
      </c>
      <c r="I137" s="53" t="s">
        <v>1538</v>
      </c>
      <c r="J137" s="76" t="s">
        <v>3577</v>
      </c>
      <c r="K137" s="92" t="s">
        <v>2678</v>
      </c>
      <c r="L137" s="76" t="s">
        <v>2678</v>
      </c>
      <c r="M137" s="39"/>
      <c r="N137" s="39"/>
      <c r="O137" s="39"/>
      <c r="P137" s="30"/>
    </row>
    <row r="138" spans="1:16" ht="36" customHeight="1">
      <c r="A138" s="136"/>
      <c r="B138" s="51"/>
      <c r="C138" s="52"/>
      <c r="D138" s="51"/>
      <c r="E138" s="52"/>
      <c r="F138" s="53"/>
      <c r="G138" s="54"/>
      <c r="H138" s="52">
        <v>4436</v>
      </c>
      <c r="I138" s="53" t="s">
        <v>3578</v>
      </c>
      <c r="J138" s="76" t="s">
        <v>3579</v>
      </c>
      <c r="K138" s="93" t="s">
        <v>3484</v>
      </c>
      <c r="L138" s="76" t="s">
        <v>2751</v>
      </c>
      <c r="M138" s="39"/>
      <c r="N138" s="39"/>
      <c r="O138" s="39"/>
      <c r="P138" s="30"/>
    </row>
    <row r="139" spans="1:16" ht="36" customHeight="1">
      <c r="A139" s="136"/>
      <c r="B139" s="51"/>
      <c r="C139" s="52"/>
      <c r="D139" s="51"/>
      <c r="E139" s="52"/>
      <c r="F139" s="53"/>
      <c r="G139" s="54"/>
      <c r="H139" s="52">
        <v>4439</v>
      </c>
      <c r="I139" s="53" t="s">
        <v>701</v>
      </c>
      <c r="J139" s="76" t="s">
        <v>3525</v>
      </c>
      <c r="K139" s="93" t="s">
        <v>3484</v>
      </c>
      <c r="L139" s="76" t="s">
        <v>3487</v>
      </c>
      <c r="M139" s="39"/>
      <c r="N139" s="39"/>
      <c r="O139" s="39"/>
      <c r="P139" s="30"/>
    </row>
    <row r="140" spans="1:16" ht="18.75" customHeight="1">
      <c r="A140" s="134"/>
      <c r="B140" s="43"/>
      <c r="C140" s="44">
        <v>4500</v>
      </c>
      <c r="D140" s="43" t="s">
        <v>452</v>
      </c>
      <c r="E140" s="44"/>
      <c r="F140" s="45"/>
      <c r="G140" s="1898"/>
      <c r="H140" s="44"/>
      <c r="I140" s="45"/>
      <c r="J140" s="84"/>
      <c r="K140" s="46"/>
      <c r="L140" s="84"/>
      <c r="M140" s="37"/>
      <c r="N140" s="37"/>
      <c r="O140" s="37"/>
      <c r="P140" s="1899"/>
    </row>
    <row r="141" spans="1:16" ht="21" customHeight="1">
      <c r="A141" s="135"/>
      <c r="B141" s="47"/>
      <c r="C141" s="48"/>
      <c r="D141" s="47"/>
      <c r="E141" s="48">
        <v>4510</v>
      </c>
      <c r="F141" s="49" t="s">
        <v>454</v>
      </c>
      <c r="G141" s="1897"/>
      <c r="H141" s="48"/>
      <c r="I141" s="49"/>
      <c r="J141" s="83"/>
      <c r="K141" s="50"/>
      <c r="L141" s="82"/>
      <c r="M141" s="38"/>
      <c r="N141" s="38"/>
      <c r="O141" s="38"/>
      <c r="P141" s="1900"/>
    </row>
    <row r="142" spans="1:16" ht="36" customHeight="1">
      <c r="A142" s="136"/>
      <c r="B142" s="51"/>
      <c r="C142" s="52"/>
      <c r="D142" s="51"/>
      <c r="E142" s="52"/>
      <c r="F142" s="53"/>
      <c r="G142" s="54"/>
      <c r="H142" s="52">
        <v>4511</v>
      </c>
      <c r="I142" s="53" t="s">
        <v>565</v>
      </c>
      <c r="J142" s="76" t="s">
        <v>3503</v>
      </c>
      <c r="K142" s="89" t="s">
        <v>3504</v>
      </c>
      <c r="L142" s="76" t="s">
        <v>3505</v>
      </c>
      <c r="M142" s="39"/>
      <c r="N142" s="39"/>
      <c r="O142" s="39"/>
      <c r="P142" s="30"/>
    </row>
    <row r="143" spans="1:16" ht="36" customHeight="1">
      <c r="A143" s="136"/>
      <c r="B143" s="51"/>
      <c r="C143" s="52"/>
      <c r="D143" s="51"/>
      <c r="E143" s="52"/>
      <c r="F143" s="53"/>
      <c r="G143" s="54"/>
      <c r="H143" s="52">
        <v>4512</v>
      </c>
      <c r="I143" s="53" t="s">
        <v>456</v>
      </c>
      <c r="J143" s="76" t="s">
        <v>3483</v>
      </c>
      <c r="K143" s="93" t="s">
        <v>3484</v>
      </c>
      <c r="L143" s="76" t="s">
        <v>3506</v>
      </c>
      <c r="M143" s="39"/>
      <c r="N143" s="39"/>
      <c r="O143" s="39"/>
      <c r="P143" s="30"/>
    </row>
    <row r="144" spans="1:16" ht="36" customHeight="1">
      <c r="A144" s="136"/>
      <c r="B144" s="51"/>
      <c r="C144" s="52"/>
      <c r="D144" s="51"/>
      <c r="E144" s="52"/>
      <c r="F144" s="53"/>
      <c r="G144" s="54"/>
      <c r="H144" s="52">
        <v>4513</v>
      </c>
      <c r="I144" s="53" t="s">
        <v>514</v>
      </c>
      <c r="J144" s="76" t="s">
        <v>3483</v>
      </c>
      <c r="K144" s="93" t="s">
        <v>3484</v>
      </c>
      <c r="L144" s="76" t="s">
        <v>3507</v>
      </c>
      <c r="M144" s="39"/>
      <c r="N144" s="39"/>
      <c r="O144" s="39"/>
      <c r="P144" s="30"/>
    </row>
    <row r="145" spans="1:16" ht="17.25" customHeight="1">
      <c r="A145" s="135"/>
      <c r="B145" s="47"/>
      <c r="C145" s="48"/>
      <c r="D145" s="47"/>
      <c r="E145" s="48">
        <v>4520</v>
      </c>
      <c r="F145" s="49" t="s">
        <v>605</v>
      </c>
      <c r="G145" s="1897"/>
      <c r="H145" s="48"/>
      <c r="I145" s="49"/>
      <c r="J145" s="83"/>
      <c r="K145" s="50"/>
      <c r="L145" s="82"/>
      <c r="M145" s="38"/>
      <c r="N145" s="38"/>
      <c r="O145" s="38"/>
      <c r="P145" s="1900"/>
    </row>
    <row r="146" spans="1:16" ht="36" customHeight="1">
      <c r="A146" s="136"/>
      <c r="B146" s="51"/>
      <c r="C146" s="52"/>
      <c r="D146" s="51"/>
      <c r="E146" s="52"/>
      <c r="F146" s="53"/>
      <c r="G146" s="54"/>
      <c r="H146" s="52">
        <v>4521</v>
      </c>
      <c r="I146" s="53" t="s">
        <v>621</v>
      </c>
      <c r="J146" s="76" t="s">
        <v>3508</v>
      </c>
      <c r="K146" s="93" t="s">
        <v>3484</v>
      </c>
      <c r="L146" s="76" t="s">
        <v>3509</v>
      </c>
      <c r="M146" s="39"/>
      <c r="N146" s="39"/>
      <c r="O146" s="39"/>
      <c r="P146" s="30"/>
    </row>
    <row r="147" spans="1:16" ht="36" customHeight="1">
      <c r="A147" s="136"/>
      <c r="B147" s="51"/>
      <c r="C147" s="52"/>
      <c r="D147" s="51"/>
      <c r="E147" s="52"/>
      <c r="F147" s="53"/>
      <c r="G147" s="54"/>
      <c r="H147" s="52">
        <v>4522</v>
      </c>
      <c r="I147" s="53" t="s">
        <v>684</v>
      </c>
      <c r="J147" s="76" t="s">
        <v>3510</v>
      </c>
      <c r="K147" s="93" t="s">
        <v>3484</v>
      </c>
      <c r="L147" s="76" t="s">
        <v>3507</v>
      </c>
      <c r="M147" s="39"/>
      <c r="N147" s="39"/>
      <c r="O147" s="39"/>
      <c r="P147" s="30"/>
    </row>
    <row r="148" spans="1:16" ht="36" customHeight="1">
      <c r="A148" s="136"/>
      <c r="B148" s="51"/>
      <c r="C148" s="52"/>
      <c r="D148" s="51"/>
      <c r="E148" s="52"/>
      <c r="F148" s="53"/>
      <c r="G148" s="54"/>
      <c r="H148" s="52">
        <v>4523</v>
      </c>
      <c r="I148" s="53" t="s">
        <v>1793</v>
      </c>
      <c r="J148" s="76" t="s">
        <v>3580</v>
      </c>
      <c r="K148" s="93" t="s">
        <v>3484</v>
      </c>
      <c r="L148" s="86" t="s">
        <v>3509</v>
      </c>
      <c r="M148" s="39"/>
      <c r="N148" s="39"/>
      <c r="O148" s="39"/>
      <c r="P148" s="30"/>
    </row>
    <row r="149" spans="1:16" ht="36" customHeight="1">
      <c r="A149" s="135"/>
      <c r="B149" s="47"/>
      <c r="C149" s="48"/>
      <c r="D149" s="47"/>
      <c r="E149" s="48">
        <v>4530</v>
      </c>
      <c r="F149" s="49" t="s">
        <v>701</v>
      </c>
      <c r="G149" s="1897"/>
      <c r="H149" s="48"/>
      <c r="I149" s="49"/>
      <c r="J149" s="83" t="s">
        <v>3512</v>
      </c>
      <c r="K149" s="96" t="s">
        <v>3484</v>
      </c>
      <c r="L149" s="149" t="s">
        <v>3487</v>
      </c>
      <c r="M149" s="38"/>
      <c r="N149" s="38"/>
      <c r="O149" s="38"/>
      <c r="P149" s="1900"/>
    </row>
    <row r="150" spans="1:16" ht="57" customHeight="1">
      <c r="A150" s="135"/>
      <c r="B150" s="47"/>
      <c r="C150" s="48"/>
      <c r="D150" s="47"/>
      <c r="E150" s="48">
        <v>4540</v>
      </c>
      <c r="F150" s="49" t="s">
        <v>1882</v>
      </c>
      <c r="G150" s="1897"/>
      <c r="H150" s="48"/>
      <c r="I150" s="127" t="s">
        <v>790</v>
      </c>
      <c r="J150" s="83" t="s">
        <v>3513</v>
      </c>
      <c r="K150" s="96" t="s">
        <v>3484</v>
      </c>
      <c r="L150" s="83" t="s">
        <v>3514</v>
      </c>
      <c r="M150" s="38"/>
      <c r="N150" s="38"/>
      <c r="O150" s="38"/>
      <c r="P150" s="1900"/>
    </row>
    <row r="151" spans="1:16" ht="42.75" customHeight="1">
      <c r="A151" s="135"/>
      <c r="B151" s="47"/>
      <c r="C151" s="48"/>
      <c r="D151" s="47"/>
      <c r="E151" s="48"/>
      <c r="F151" s="49"/>
      <c r="G151" s="1897"/>
      <c r="H151" s="48"/>
      <c r="I151" s="49" t="s">
        <v>3581</v>
      </c>
      <c r="J151" s="83" t="s">
        <v>3582</v>
      </c>
      <c r="K151" s="85" t="s">
        <v>3504</v>
      </c>
      <c r="L151" s="86" t="s">
        <v>3583</v>
      </c>
      <c r="M151" s="38"/>
      <c r="N151" s="38"/>
      <c r="O151" s="38"/>
      <c r="P151" s="1900"/>
    </row>
    <row r="152" spans="1:16" ht="18.75" customHeight="1">
      <c r="A152" s="134"/>
      <c r="B152" s="43"/>
      <c r="C152" s="44">
        <v>4600</v>
      </c>
      <c r="D152" s="43" t="s">
        <v>3520</v>
      </c>
      <c r="E152" s="44"/>
      <c r="F152" s="45"/>
      <c r="G152" s="1898"/>
      <c r="H152" s="44"/>
      <c r="I152" s="45"/>
      <c r="J152" s="84"/>
      <c r="K152" s="46"/>
      <c r="L152" s="81"/>
      <c r="M152" s="37"/>
      <c r="N152" s="37"/>
      <c r="O152" s="37"/>
      <c r="P152" s="1899"/>
    </row>
    <row r="153" spans="1:16" ht="18.75" customHeight="1">
      <c r="A153" s="135"/>
      <c r="B153" s="47"/>
      <c r="C153" s="48"/>
      <c r="D153" s="47"/>
      <c r="E153" s="48">
        <v>4610</v>
      </c>
      <c r="F153" s="49" t="s">
        <v>1924</v>
      </c>
      <c r="G153" s="1897"/>
      <c r="H153" s="48"/>
      <c r="I153" s="49"/>
      <c r="J153" s="83"/>
      <c r="K153" s="50"/>
      <c r="L153" s="82"/>
      <c r="M153" s="38"/>
      <c r="N153" s="38"/>
      <c r="O153" s="38"/>
      <c r="P153" s="1900"/>
    </row>
    <row r="154" spans="1:16" ht="36" customHeight="1">
      <c r="A154" s="136"/>
      <c r="B154" s="51"/>
      <c r="C154" s="52"/>
      <c r="D154" s="51"/>
      <c r="E154" s="52"/>
      <c r="F154" s="53"/>
      <c r="G154" s="54"/>
      <c r="H154" s="52">
        <v>4611</v>
      </c>
      <c r="I154" s="53" t="s">
        <v>877</v>
      </c>
      <c r="J154" s="76" t="s">
        <v>3521</v>
      </c>
      <c r="K154" s="85" t="s">
        <v>3319</v>
      </c>
      <c r="L154" s="86" t="s">
        <v>3522</v>
      </c>
      <c r="M154" s="39"/>
      <c r="N154" s="39"/>
      <c r="O154" s="39"/>
      <c r="P154" s="30"/>
    </row>
    <row r="155" spans="1:16" ht="36" customHeight="1">
      <c r="A155" s="136"/>
      <c r="B155" s="51"/>
      <c r="C155" s="52"/>
      <c r="D155" s="51"/>
      <c r="E155" s="52"/>
      <c r="F155" s="53"/>
      <c r="G155" s="54"/>
      <c r="H155" s="52">
        <v>4613</v>
      </c>
      <c r="I155" s="53" t="s">
        <v>842</v>
      </c>
      <c r="J155" s="76" t="s">
        <v>3523</v>
      </c>
      <c r="K155" s="93" t="s">
        <v>3484</v>
      </c>
      <c r="L155" s="86" t="s">
        <v>3524</v>
      </c>
      <c r="M155" s="39"/>
      <c r="N155" s="39"/>
      <c r="O155" s="39"/>
      <c r="P155" s="30"/>
    </row>
    <row r="156" spans="1:16" ht="17.25" customHeight="1">
      <c r="A156" s="134"/>
      <c r="B156" s="43"/>
      <c r="C156" s="44">
        <v>4700</v>
      </c>
      <c r="D156" s="43" t="s">
        <v>912</v>
      </c>
      <c r="E156" s="44"/>
      <c r="F156" s="45"/>
      <c r="G156" s="1898"/>
      <c r="H156" s="44"/>
      <c r="I156" s="45"/>
      <c r="J156" s="84"/>
      <c r="K156" s="46"/>
      <c r="L156" s="81"/>
      <c r="M156" s="37"/>
      <c r="N156" s="37"/>
      <c r="O156" s="37"/>
      <c r="P156" s="1899"/>
    </row>
    <row r="157" spans="1:16" ht="21" customHeight="1">
      <c r="A157" s="135"/>
      <c r="B157" s="47"/>
      <c r="C157" s="48"/>
      <c r="D157" s="47"/>
      <c r="E157" s="48">
        <v>4710</v>
      </c>
      <c r="F157" s="49" t="s">
        <v>1956</v>
      </c>
      <c r="G157" s="1897"/>
      <c r="H157" s="48"/>
      <c r="I157" s="49"/>
      <c r="J157" s="83"/>
      <c r="K157" s="50"/>
      <c r="L157" s="82"/>
      <c r="M157" s="38"/>
      <c r="N157" s="38"/>
      <c r="O157" s="38"/>
      <c r="P157" s="1900"/>
    </row>
    <row r="158" spans="1:16" ht="36" customHeight="1">
      <c r="A158" s="136"/>
      <c r="B158" s="51"/>
      <c r="C158" s="55"/>
      <c r="D158" s="56"/>
      <c r="E158" s="52"/>
      <c r="F158" s="53"/>
      <c r="G158" s="57"/>
      <c r="H158" s="52">
        <v>4711</v>
      </c>
      <c r="I158" s="53" t="s">
        <v>3584</v>
      </c>
      <c r="J158" s="76" t="s">
        <v>3585</v>
      </c>
      <c r="K158" s="93" t="s">
        <v>3484</v>
      </c>
      <c r="L158" s="76" t="s">
        <v>151</v>
      </c>
      <c r="M158" s="39"/>
      <c r="N158" s="39"/>
      <c r="O158" s="39"/>
      <c r="P158" s="30"/>
    </row>
    <row r="159" spans="1:16" ht="36" customHeight="1">
      <c r="A159" s="136"/>
      <c r="B159" s="51"/>
      <c r="C159" s="55"/>
      <c r="D159" s="56"/>
      <c r="E159" s="52"/>
      <c r="F159" s="53"/>
      <c r="G159" s="57"/>
      <c r="H159" s="52">
        <v>4712</v>
      </c>
      <c r="I159" s="53" t="s">
        <v>1957</v>
      </c>
      <c r="J159" s="76" t="s">
        <v>3586</v>
      </c>
      <c r="K159" s="93" t="s">
        <v>3484</v>
      </c>
      <c r="L159" s="86" t="s">
        <v>3587</v>
      </c>
      <c r="M159" s="39"/>
      <c r="N159" s="39"/>
      <c r="O159" s="39"/>
      <c r="P159" s="30"/>
    </row>
    <row r="160" spans="1:16" ht="36" customHeight="1">
      <c r="A160" s="135"/>
      <c r="B160" s="47"/>
      <c r="C160" s="48"/>
      <c r="D160" s="47"/>
      <c r="E160" s="48">
        <v>4720</v>
      </c>
      <c r="F160" s="49" t="s">
        <v>923</v>
      </c>
      <c r="G160" s="1897"/>
      <c r="H160" s="48"/>
      <c r="I160" s="49"/>
      <c r="J160" s="83" t="s">
        <v>3526</v>
      </c>
      <c r="K160" s="96" t="s">
        <v>3484</v>
      </c>
      <c r="L160" s="110" t="s">
        <v>3507</v>
      </c>
      <c r="M160" s="38"/>
      <c r="N160" s="38"/>
      <c r="O160" s="38"/>
      <c r="P160" s="1900"/>
    </row>
    <row r="161" spans="1:16" ht="19.5" customHeight="1">
      <c r="A161" s="135"/>
      <c r="B161" s="47"/>
      <c r="C161" s="48"/>
      <c r="D161" s="47"/>
      <c r="E161" s="48">
        <v>4730</v>
      </c>
      <c r="F161" s="49" t="s">
        <v>958</v>
      </c>
      <c r="G161" s="1897"/>
      <c r="H161" s="48"/>
      <c r="I161" s="49"/>
      <c r="J161" s="83"/>
      <c r="K161" s="50"/>
      <c r="L161" s="82"/>
      <c r="M161" s="38"/>
      <c r="N161" s="38"/>
      <c r="O161" s="38"/>
      <c r="P161" s="1900"/>
    </row>
    <row r="162" spans="1:16" ht="36" customHeight="1">
      <c r="A162" s="136"/>
      <c r="B162" s="51"/>
      <c r="C162" s="52"/>
      <c r="D162" s="51"/>
      <c r="E162" s="52"/>
      <c r="F162" s="53"/>
      <c r="G162" s="54"/>
      <c r="H162" s="52">
        <v>4731</v>
      </c>
      <c r="I162" s="53" t="s">
        <v>968</v>
      </c>
      <c r="J162" s="76" t="s">
        <v>3527</v>
      </c>
      <c r="K162" s="93" t="s">
        <v>3484</v>
      </c>
      <c r="L162" s="76" t="s">
        <v>3528</v>
      </c>
      <c r="M162" s="39"/>
      <c r="N162" s="39"/>
      <c r="O162" s="39"/>
      <c r="P162" s="30"/>
    </row>
    <row r="163" spans="1:16" ht="36" customHeight="1">
      <c r="A163" s="136"/>
      <c r="B163" s="51"/>
      <c r="C163" s="52"/>
      <c r="D163" s="51"/>
      <c r="E163" s="52"/>
      <c r="F163" s="53"/>
      <c r="G163" s="54"/>
      <c r="H163" s="52">
        <v>4732</v>
      </c>
      <c r="I163" s="53" t="s">
        <v>998</v>
      </c>
      <c r="J163" s="76" t="s">
        <v>3529</v>
      </c>
      <c r="K163" s="93" t="s">
        <v>3484</v>
      </c>
      <c r="L163" s="76" t="s">
        <v>3507</v>
      </c>
      <c r="M163" s="39"/>
      <c r="N163" s="39"/>
      <c r="O163" s="39"/>
      <c r="P163" s="30"/>
    </row>
    <row r="164" spans="1:16" ht="36" customHeight="1">
      <c r="A164" s="136"/>
      <c r="B164" s="51"/>
      <c r="C164" s="52"/>
      <c r="D164" s="51"/>
      <c r="E164" s="52"/>
      <c r="F164" s="53"/>
      <c r="G164" s="54"/>
      <c r="H164" s="52">
        <v>4733</v>
      </c>
      <c r="I164" s="53" t="s">
        <v>2035</v>
      </c>
      <c r="J164" s="76" t="s">
        <v>3531</v>
      </c>
      <c r="K164" s="93" t="s">
        <v>3484</v>
      </c>
      <c r="L164" s="86" t="s">
        <v>2763</v>
      </c>
      <c r="M164" s="39"/>
      <c r="N164" s="39"/>
      <c r="O164" s="39"/>
      <c r="P164" s="30"/>
    </row>
    <row r="165" spans="1:16" ht="36" customHeight="1">
      <c r="A165" s="136"/>
      <c r="B165" s="51"/>
      <c r="C165" s="52"/>
      <c r="D165" s="51"/>
      <c r="E165" s="52"/>
      <c r="F165" s="53"/>
      <c r="G165" s="54"/>
      <c r="H165" s="52">
        <v>4734</v>
      </c>
      <c r="I165" s="53" t="s">
        <v>1010</v>
      </c>
      <c r="J165" s="76" t="s">
        <v>3530</v>
      </c>
      <c r="K165" s="93" t="s">
        <v>3484</v>
      </c>
      <c r="L165" s="76" t="s">
        <v>2770</v>
      </c>
      <c r="M165" s="39"/>
      <c r="N165" s="39"/>
      <c r="O165" s="39"/>
      <c r="P165" s="30"/>
    </row>
    <row r="166" spans="1:16" ht="36" customHeight="1" thickBot="1">
      <c r="A166" s="135"/>
      <c r="B166" s="47"/>
      <c r="C166" s="48"/>
      <c r="D166" s="47"/>
      <c r="E166" s="48">
        <v>4750</v>
      </c>
      <c r="F166" s="49" t="s">
        <v>913</v>
      </c>
      <c r="G166" s="1897"/>
      <c r="H166" s="48"/>
      <c r="I166" s="49"/>
      <c r="J166" s="83" t="s">
        <v>3532</v>
      </c>
      <c r="K166" s="96" t="s">
        <v>3484</v>
      </c>
      <c r="L166" s="83" t="s">
        <v>2768</v>
      </c>
      <c r="M166" s="38"/>
      <c r="N166" s="38"/>
      <c r="O166" s="38"/>
      <c r="P166" s="1900"/>
    </row>
    <row r="167" spans="1:16" ht="21.75" customHeight="1" thickBot="1">
      <c r="A167" s="139">
        <v>7000</v>
      </c>
      <c r="B167" s="141" t="s">
        <v>2420</v>
      </c>
      <c r="C167" s="64"/>
      <c r="D167" s="64"/>
      <c r="E167" s="62"/>
      <c r="F167" s="62"/>
      <c r="G167" s="62"/>
      <c r="H167" s="62"/>
      <c r="I167" s="62"/>
      <c r="J167" s="126"/>
      <c r="K167" s="63"/>
      <c r="L167" s="79"/>
      <c r="M167" s="41"/>
      <c r="N167" s="41"/>
      <c r="O167" s="41"/>
      <c r="P167" s="35"/>
    </row>
    <row r="168" spans="1:16" ht="15.75" customHeight="1">
      <c r="A168" s="134"/>
      <c r="B168" s="43"/>
      <c r="C168" s="44">
        <v>7100</v>
      </c>
      <c r="D168" s="43" t="s">
        <v>78</v>
      </c>
      <c r="E168" s="44"/>
      <c r="F168" s="45"/>
      <c r="G168" s="1898"/>
      <c r="H168" s="44"/>
      <c r="I168" s="45"/>
      <c r="J168" s="84"/>
      <c r="K168" s="46"/>
      <c r="L168" s="81"/>
      <c r="M168" s="37"/>
      <c r="N168" s="37"/>
      <c r="O168" s="37"/>
      <c r="P168" s="1899"/>
    </row>
    <row r="169" spans="1:16" ht="19.5" customHeight="1">
      <c r="A169" s="135"/>
      <c r="B169" s="47"/>
      <c r="C169" s="58"/>
      <c r="D169" s="59"/>
      <c r="E169" s="48">
        <v>7110</v>
      </c>
      <c r="F169" s="49" t="s">
        <v>3588</v>
      </c>
      <c r="G169" s="1902"/>
      <c r="H169" s="48"/>
      <c r="I169" s="49"/>
      <c r="J169" s="83"/>
      <c r="K169" s="50"/>
      <c r="L169" s="82"/>
      <c r="M169" s="38"/>
      <c r="N169" s="38"/>
      <c r="O169" s="38"/>
      <c r="P169" s="1900"/>
    </row>
    <row r="170" spans="1:16" ht="36" customHeight="1">
      <c r="A170" s="136"/>
      <c r="B170" s="51"/>
      <c r="C170" s="52"/>
      <c r="D170" s="51"/>
      <c r="E170" s="52"/>
      <c r="F170" s="53"/>
      <c r="G170" s="54"/>
      <c r="H170" s="52">
        <v>7111</v>
      </c>
      <c r="I170" s="53" t="s">
        <v>3589</v>
      </c>
      <c r="J170" s="76" t="s">
        <v>3590</v>
      </c>
      <c r="K170" s="92" t="s">
        <v>2678</v>
      </c>
      <c r="L170" s="95" t="s">
        <v>2587</v>
      </c>
      <c r="M170" s="39"/>
      <c r="N170" s="39"/>
      <c r="O170" s="39"/>
      <c r="P170" s="30"/>
    </row>
    <row r="171" spans="1:16" ht="18.75" customHeight="1">
      <c r="A171" s="135"/>
      <c r="B171" s="47"/>
      <c r="C171" s="48"/>
      <c r="D171" s="47"/>
      <c r="E171" s="48">
        <v>7120</v>
      </c>
      <c r="F171" s="49" t="s">
        <v>3591</v>
      </c>
      <c r="G171" s="1897"/>
      <c r="H171" s="48"/>
      <c r="I171" s="49"/>
      <c r="J171" s="83"/>
      <c r="K171" s="50"/>
      <c r="L171" s="82"/>
      <c r="M171" s="38"/>
      <c r="N171" s="38"/>
      <c r="O171" s="38"/>
      <c r="P171" s="1900"/>
    </row>
    <row r="172" spans="1:16" ht="36" customHeight="1">
      <c r="A172" s="136"/>
      <c r="B172" s="51"/>
      <c r="C172" s="52"/>
      <c r="D172" s="51"/>
      <c r="E172" s="52"/>
      <c r="F172" s="53"/>
      <c r="G172" s="54"/>
      <c r="H172" s="52">
        <v>7121</v>
      </c>
      <c r="I172" s="53" t="s">
        <v>3592</v>
      </c>
      <c r="J172" s="76" t="s">
        <v>3590</v>
      </c>
      <c r="K172" s="92" t="s">
        <v>2678</v>
      </c>
      <c r="L172" s="95" t="s">
        <v>2587</v>
      </c>
      <c r="M172" s="39"/>
      <c r="N172" s="39"/>
      <c r="O172" s="39"/>
      <c r="P172" s="30"/>
    </row>
    <row r="173" spans="1:16" ht="36" customHeight="1">
      <c r="A173" s="136"/>
      <c r="B173" s="51"/>
      <c r="C173" s="52"/>
      <c r="D173" s="51"/>
      <c r="E173" s="52"/>
      <c r="F173" s="53"/>
      <c r="G173" s="54"/>
      <c r="H173" s="52">
        <v>7122</v>
      </c>
      <c r="I173" s="53" t="s">
        <v>3593</v>
      </c>
      <c r="J173" s="76" t="s">
        <v>3590</v>
      </c>
      <c r="K173" s="92" t="s">
        <v>2678</v>
      </c>
      <c r="L173" s="95" t="s">
        <v>2587</v>
      </c>
      <c r="M173" s="39"/>
      <c r="N173" s="39"/>
      <c r="O173" s="39"/>
      <c r="P173" s="30"/>
    </row>
    <row r="174" spans="1:16" ht="36" customHeight="1">
      <c r="A174" s="136"/>
      <c r="B174" s="51"/>
      <c r="C174" s="52"/>
      <c r="D174" s="51"/>
      <c r="E174" s="52"/>
      <c r="F174" s="53"/>
      <c r="G174" s="54"/>
      <c r="H174" s="52">
        <v>7123</v>
      </c>
      <c r="I174" s="53" t="s">
        <v>3594</v>
      </c>
      <c r="J174" s="76" t="s">
        <v>3590</v>
      </c>
      <c r="K174" s="92" t="s">
        <v>2678</v>
      </c>
      <c r="L174" s="95" t="s">
        <v>2587</v>
      </c>
      <c r="M174" s="39"/>
      <c r="N174" s="39"/>
      <c r="O174" s="39"/>
      <c r="P174" s="30"/>
    </row>
    <row r="175" spans="1:16" ht="15.75" customHeight="1">
      <c r="A175" s="134"/>
      <c r="B175" s="43"/>
      <c r="C175" s="44">
        <v>7200</v>
      </c>
      <c r="D175" s="43" t="s">
        <v>119</v>
      </c>
      <c r="E175" s="44"/>
      <c r="F175" s="45"/>
      <c r="G175" s="1898"/>
      <c r="H175" s="44"/>
      <c r="I175" s="43"/>
      <c r="J175" s="1903"/>
      <c r="K175" s="46"/>
      <c r="L175" s="81"/>
      <c r="M175" s="37"/>
      <c r="N175" s="37"/>
      <c r="O175" s="37"/>
      <c r="P175" s="1899"/>
    </row>
    <row r="176" spans="1:16" ht="18.75" customHeight="1">
      <c r="A176" s="135"/>
      <c r="B176" s="47"/>
      <c r="C176" s="48"/>
      <c r="D176" s="47"/>
      <c r="E176" s="48">
        <v>7210</v>
      </c>
      <c r="F176" s="49" t="s">
        <v>2421</v>
      </c>
      <c r="G176" s="1897"/>
      <c r="H176" s="48"/>
      <c r="I176" s="49"/>
      <c r="J176" s="83"/>
      <c r="K176" s="50"/>
      <c r="L176" s="82"/>
      <c r="M176" s="38"/>
      <c r="N176" s="38"/>
      <c r="O176" s="38"/>
      <c r="P176" s="1900"/>
    </row>
    <row r="177" spans="1:16" ht="36" customHeight="1">
      <c r="A177" s="136"/>
      <c r="B177" s="51"/>
      <c r="C177" s="52"/>
      <c r="D177" s="51"/>
      <c r="E177" s="52"/>
      <c r="F177" s="53"/>
      <c r="G177" s="54"/>
      <c r="H177" s="52">
        <v>7211</v>
      </c>
      <c r="I177" s="53" t="s">
        <v>2426</v>
      </c>
      <c r="J177" s="76" t="s">
        <v>3483</v>
      </c>
      <c r="K177" s="93" t="s">
        <v>3484</v>
      </c>
      <c r="L177" s="76" t="s">
        <v>3506</v>
      </c>
      <c r="M177" s="39"/>
      <c r="N177" s="39"/>
      <c r="O177" s="39"/>
      <c r="P177" s="30"/>
    </row>
    <row r="178" spans="1:16" ht="36" customHeight="1">
      <c r="A178" s="136"/>
      <c r="B178" s="51"/>
      <c r="C178" s="52"/>
      <c r="D178" s="51"/>
      <c r="E178" s="52"/>
      <c r="F178" s="53"/>
      <c r="G178" s="54"/>
      <c r="H178" s="52">
        <v>7212</v>
      </c>
      <c r="I178" s="65" t="s">
        <v>2422</v>
      </c>
      <c r="J178" s="76" t="s">
        <v>3503</v>
      </c>
      <c r="K178" s="89" t="s">
        <v>3504</v>
      </c>
      <c r="L178" s="76" t="s">
        <v>3505</v>
      </c>
      <c r="M178" s="1822"/>
      <c r="N178" s="1822"/>
      <c r="O178" s="1822"/>
      <c r="P178" s="31"/>
    </row>
    <row r="179" spans="1:16" ht="36" customHeight="1">
      <c r="A179" s="136"/>
      <c r="B179" s="51"/>
      <c r="C179" s="52"/>
      <c r="D179" s="51"/>
      <c r="E179" s="52"/>
      <c r="F179" s="53"/>
      <c r="G179" s="54"/>
      <c r="H179" s="52">
        <v>7213</v>
      </c>
      <c r="I179" s="53" t="s">
        <v>2594</v>
      </c>
      <c r="J179" s="76" t="s">
        <v>3595</v>
      </c>
      <c r="K179" s="93" t="s">
        <v>3484</v>
      </c>
      <c r="L179" s="76" t="s">
        <v>3487</v>
      </c>
      <c r="M179" s="39"/>
      <c r="N179" s="39"/>
      <c r="O179" s="39"/>
      <c r="P179" s="30"/>
    </row>
    <row r="180" spans="1:16" ht="36" customHeight="1">
      <c r="A180" s="136"/>
      <c r="B180" s="51"/>
      <c r="C180" s="55"/>
      <c r="D180" s="56"/>
      <c r="E180" s="52"/>
      <c r="F180" s="53"/>
      <c r="G180" s="57"/>
      <c r="H180" s="52">
        <v>7214</v>
      </c>
      <c r="I180" s="53" t="s">
        <v>3596</v>
      </c>
      <c r="J180" s="76" t="s">
        <v>3531</v>
      </c>
      <c r="K180" s="93" t="s">
        <v>3484</v>
      </c>
      <c r="L180" s="86" t="s">
        <v>2763</v>
      </c>
      <c r="M180" s="39"/>
      <c r="N180" s="39"/>
      <c r="O180" s="39"/>
      <c r="P180" s="30"/>
    </row>
    <row r="181" spans="1:16" ht="19.5" customHeight="1">
      <c r="A181" s="135"/>
      <c r="B181" s="47"/>
      <c r="C181" s="48"/>
      <c r="D181" s="47"/>
      <c r="E181" s="48">
        <v>7230</v>
      </c>
      <c r="F181" s="49" t="s">
        <v>2430</v>
      </c>
      <c r="G181" s="1897"/>
      <c r="H181" s="48"/>
      <c r="I181" s="49"/>
      <c r="J181" s="83"/>
      <c r="K181" s="50"/>
      <c r="L181" s="82"/>
      <c r="M181" s="38"/>
      <c r="N181" s="38"/>
      <c r="O181" s="38"/>
      <c r="P181" s="1900"/>
    </row>
    <row r="182" spans="1:16" ht="36" customHeight="1">
      <c r="A182" s="136"/>
      <c r="B182" s="51"/>
      <c r="C182" s="52"/>
      <c r="D182" s="51"/>
      <c r="E182" s="52"/>
      <c r="F182" s="53"/>
      <c r="G182" s="54"/>
      <c r="H182" s="52">
        <v>7231</v>
      </c>
      <c r="I182" s="53" t="s">
        <v>2443</v>
      </c>
      <c r="J182" s="76" t="s">
        <v>3597</v>
      </c>
      <c r="K182" s="93" t="s">
        <v>3484</v>
      </c>
      <c r="L182" s="76" t="s">
        <v>3506</v>
      </c>
      <c r="M182" s="39"/>
      <c r="N182" s="39"/>
      <c r="O182" s="39"/>
      <c r="P182" s="30"/>
    </row>
    <row r="183" spans="1:16" ht="36" customHeight="1">
      <c r="A183" s="136"/>
      <c r="B183" s="51"/>
      <c r="C183" s="52"/>
      <c r="D183" s="51"/>
      <c r="E183" s="52"/>
      <c r="F183" s="53"/>
      <c r="G183" s="54"/>
      <c r="H183" s="52">
        <v>7232</v>
      </c>
      <c r="I183" s="53" t="s">
        <v>2486</v>
      </c>
      <c r="J183" s="76" t="s">
        <v>3598</v>
      </c>
      <c r="K183" s="93" t="s">
        <v>3484</v>
      </c>
      <c r="L183" s="76" t="s">
        <v>3506</v>
      </c>
      <c r="M183" s="39"/>
      <c r="N183" s="39"/>
      <c r="O183" s="39"/>
      <c r="P183" s="30"/>
    </row>
    <row r="184" spans="1:16" ht="36" customHeight="1">
      <c r="A184" s="136"/>
      <c r="B184" s="51"/>
      <c r="C184" s="52"/>
      <c r="D184" s="51"/>
      <c r="E184" s="52"/>
      <c r="F184" s="53"/>
      <c r="G184" s="54"/>
      <c r="H184" s="52">
        <v>7234</v>
      </c>
      <c r="I184" s="53" t="s">
        <v>2431</v>
      </c>
      <c r="J184" s="76" t="s">
        <v>3529</v>
      </c>
      <c r="K184" s="93" t="s">
        <v>3484</v>
      </c>
      <c r="L184" s="76" t="s">
        <v>3507</v>
      </c>
      <c r="M184" s="39"/>
      <c r="N184" s="39"/>
      <c r="O184" s="39"/>
      <c r="P184" s="30"/>
    </row>
    <row r="185" spans="1:16" ht="36" customHeight="1">
      <c r="A185" s="136"/>
      <c r="B185" s="51"/>
      <c r="C185" s="52"/>
      <c r="D185" s="51"/>
      <c r="E185" s="52"/>
      <c r="F185" s="53"/>
      <c r="G185" s="54"/>
      <c r="H185" s="52">
        <v>7235</v>
      </c>
      <c r="I185" s="53" t="s">
        <v>2459</v>
      </c>
      <c r="J185" s="76" t="s">
        <v>3529</v>
      </c>
      <c r="K185" s="93" t="s">
        <v>3484</v>
      </c>
      <c r="L185" s="76" t="s">
        <v>3507</v>
      </c>
      <c r="M185" s="39"/>
      <c r="N185" s="39"/>
      <c r="O185" s="39"/>
      <c r="P185" s="30"/>
    </row>
    <row r="186" spans="1:16" ht="36" customHeight="1">
      <c r="A186" s="136"/>
      <c r="B186" s="51"/>
      <c r="C186" s="55"/>
      <c r="D186" s="56"/>
      <c r="E186" s="52"/>
      <c r="F186" s="53"/>
      <c r="G186" s="57"/>
      <c r="H186" s="52">
        <v>7238</v>
      </c>
      <c r="I186" s="53" t="s">
        <v>3599</v>
      </c>
      <c r="J186" s="76" t="s">
        <v>3529</v>
      </c>
      <c r="K186" s="93" t="s">
        <v>3484</v>
      </c>
      <c r="L186" s="76" t="s">
        <v>3507</v>
      </c>
      <c r="M186" s="39"/>
      <c r="N186" s="39"/>
      <c r="O186" s="39"/>
      <c r="P186" s="30"/>
    </row>
    <row r="187" spans="1:16" ht="19.5" customHeight="1">
      <c r="A187" s="135"/>
      <c r="B187" s="47"/>
      <c r="C187" s="48"/>
      <c r="D187" s="47"/>
      <c r="E187" s="48">
        <v>7240</v>
      </c>
      <c r="F187" s="49" t="s">
        <v>3600</v>
      </c>
      <c r="G187" s="1897"/>
      <c r="H187" s="48"/>
      <c r="I187" s="49"/>
      <c r="J187" s="83"/>
      <c r="K187" s="50"/>
      <c r="L187" s="83"/>
      <c r="M187" s="38"/>
      <c r="N187" s="38"/>
      <c r="O187" s="38"/>
      <c r="P187" s="1900"/>
    </row>
    <row r="188" spans="1:16" ht="53.25" customHeight="1">
      <c r="A188" s="136"/>
      <c r="B188" s="51"/>
      <c r="C188" s="52"/>
      <c r="D188" s="51"/>
      <c r="E188" s="52"/>
      <c r="F188" s="53"/>
      <c r="G188" s="54"/>
      <c r="H188" s="52">
        <v>7241</v>
      </c>
      <c r="I188" s="53" t="s">
        <v>3601</v>
      </c>
      <c r="J188" s="76" t="s">
        <v>3511</v>
      </c>
      <c r="K188" s="93" t="s">
        <v>3484</v>
      </c>
      <c r="L188" s="86" t="s">
        <v>3493</v>
      </c>
      <c r="M188" s="39"/>
      <c r="N188" s="39"/>
      <c r="O188" s="39"/>
      <c r="P188" s="30"/>
    </row>
    <row r="189" spans="1:16" ht="52.5" customHeight="1">
      <c r="A189" s="136"/>
      <c r="B189" s="51"/>
      <c r="C189" s="52"/>
      <c r="D189" s="51"/>
      <c r="E189" s="52"/>
      <c r="F189" s="53"/>
      <c r="G189" s="54"/>
      <c r="H189" s="52">
        <v>7242</v>
      </c>
      <c r="I189" s="53" t="s">
        <v>3602</v>
      </c>
      <c r="J189" s="76" t="s">
        <v>3511</v>
      </c>
      <c r="K189" s="93" t="s">
        <v>3484</v>
      </c>
      <c r="L189" s="86" t="s">
        <v>3493</v>
      </c>
      <c r="M189" s="39"/>
      <c r="N189" s="39"/>
      <c r="O189" s="39"/>
      <c r="P189" s="30"/>
    </row>
    <row r="190" spans="1:16" ht="36" customHeight="1">
      <c r="A190" s="136"/>
      <c r="B190" s="51"/>
      <c r="C190" s="52"/>
      <c r="D190" s="51"/>
      <c r="E190" s="52"/>
      <c r="F190" s="53"/>
      <c r="G190" s="54"/>
      <c r="H190" s="52">
        <v>7244</v>
      </c>
      <c r="I190" s="53" t="s">
        <v>3603</v>
      </c>
      <c r="J190" s="76" t="s">
        <v>3604</v>
      </c>
      <c r="K190" s="93" t="s">
        <v>3484</v>
      </c>
      <c r="L190" s="76" t="s">
        <v>3487</v>
      </c>
      <c r="M190" s="39"/>
      <c r="N190" s="39"/>
      <c r="O190" s="39"/>
      <c r="P190" s="30"/>
    </row>
    <row r="191" spans="1:16" ht="21" customHeight="1">
      <c r="A191" s="135"/>
      <c r="B191" s="47"/>
      <c r="C191" s="48"/>
      <c r="D191" s="47"/>
      <c r="E191" s="48">
        <v>7250</v>
      </c>
      <c r="F191" s="49" t="s">
        <v>2569</v>
      </c>
      <c r="G191" s="1897"/>
      <c r="H191" s="48"/>
      <c r="I191" s="49"/>
      <c r="J191" s="83"/>
      <c r="K191" s="50"/>
      <c r="L191" s="83"/>
      <c r="M191" s="38"/>
      <c r="N191" s="38"/>
      <c r="O191" s="38"/>
      <c r="P191" s="1900"/>
    </row>
    <row r="192" spans="1:16" ht="54" customHeight="1">
      <c r="A192" s="136"/>
      <c r="B192" s="51"/>
      <c r="C192" s="52"/>
      <c r="D192" s="51"/>
      <c r="E192" s="52"/>
      <c r="F192" s="53"/>
      <c r="G192" s="54"/>
      <c r="H192" s="52">
        <v>7251</v>
      </c>
      <c r="I192" s="53" t="s">
        <v>2570</v>
      </c>
      <c r="J192" s="76" t="s">
        <v>3605</v>
      </c>
      <c r="K192" s="93" t="s">
        <v>3484</v>
      </c>
      <c r="L192" s="76" t="s">
        <v>3606</v>
      </c>
      <c r="M192" s="39"/>
      <c r="N192" s="39"/>
      <c r="O192" s="39"/>
      <c r="P192" s="30"/>
    </row>
    <row r="193" spans="1:16" ht="36" customHeight="1">
      <c r="A193" s="136"/>
      <c r="B193" s="51"/>
      <c r="C193" s="52"/>
      <c r="D193" s="51"/>
      <c r="E193" s="52"/>
      <c r="F193" s="53"/>
      <c r="G193" s="54"/>
      <c r="H193" s="52">
        <v>7252</v>
      </c>
      <c r="I193" s="53" t="s">
        <v>3607</v>
      </c>
      <c r="J193" s="76" t="s">
        <v>3608</v>
      </c>
      <c r="K193" s="93" t="s">
        <v>3484</v>
      </c>
      <c r="L193" s="76" t="s">
        <v>3534</v>
      </c>
      <c r="M193" s="39"/>
      <c r="N193" s="39"/>
      <c r="O193" s="39"/>
      <c r="P193" s="30"/>
    </row>
    <row r="194" spans="1:16" ht="22.5" customHeight="1">
      <c r="A194" s="135"/>
      <c r="B194" s="47"/>
      <c r="C194" s="48"/>
      <c r="D194" s="47"/>
      <c r="E194" s="48">
        <v>7270</v>
      </c>
      <c r="F194" s="49" t="s">
        <v>2580</v>
      </c>
      <c r="G194" s="1897"/>
      <c r="H194" s="48"/>
      <c r="I194" s="49"/>
      <c r="J194" s="83"/>
      <c r="K194" s="50"/>
      <c r="L194" s="83"/>
      <c r="M194" s="38"/>
      <c r="N194" s="38"/>
      <c r="O194" s="38"/>
      <c r="P194" s="1900"/>
    </row>
    <row r="195" spans="1:16" ht="36" customHeight="1">
      <c r="A195" s="136"/>
      <c r="B195" s="51"/>
      <c r="C195" s="52"/>
      <c r="D195" s="51"/>
      <c r="E195" s="52"/>
      <c r="F195" s="53"/>
      <c r="G195" s="54"/>
      <c r="H195" s="52">
        <v>7271</v>
      </c>
      <c r="I195" s="53" t="s">
        <v>3609</v>
      </c>
      <c r="J195" s="76" t="s">
        <v>3590</v>
      </c>
      <c r="K195" s="92" t="s">
        <v>2678</v>
      </c>
      <c r="L195" s="95" t="s">
        <v>2587</v>
      </c>
      <c r="M195" s="39"/>
      <c r="N195" s="39"/>
      <c r="O195" s="39"/>
      <c r="P195" s="30"/>
    </row>
    <row r="196" spans="1:16" ht="50.25" customHeight="1">
      <c r="A196" s="136"/>
      <c r="B196" s="51"/>
      <c r="C196" s="52"/>
      <c r="D196" s="51"/>
      <c r="E196" s="52"/>
      <c r="F196" s="53"/>
      <c r="G196" s="54"/>
      <c r="H196" s="52">
        <v>7273</v>
      </c>
      <c r="I196" s="53" t="s">
        <v>2581</v>
      </c>
      <c r="J196" s="76" t="s">
        <v>3610</v>
      </c>
      <c r="K196" s="92" t="s">
        <v>2678</v>
      </c>
      <c r="L196" s="95" t="s">
        <v>2587</v>
      </c>
      <c r="M196" s="39"/>
      <c r="N196" s="39"/>
      <c r="O196" s="39"/>
      <c r="P196" s="30"/>
    </row>
    <row r="197" spans="1:16" ht="36" customHeight="1">
      <c r="A197" s="136"/>
      <c r="B197" s="51"/>
      <c r="C197" s="52"/>
      <c r="D197" s="51"/>
      <c r="E197" s="52"/>
      <c r="F197" s="53"/>
      <c r="G197" s="54"/>
      <c r="H197" s="52">
        <v>7275</v>
      </c>
      <c r="I197" s="53" t="s">
        <v>3611</v>
      </c>
      <c r="J197" s="76" t="s">
        <v>3612</v>
      </c>
      <c r="K197" s="92" t="s">
        <v>2678</v>
      </c>
      <c r="L197" s="95" t="s">
        <v>2587</v>
      </c>
      <c r="M197" s="39"/>
      <c r="N197" s="39"/>
      <c r="O197" s="39"/>
      <c r="P197" s="30"/>
    </row>
    <row r="198" spans="1:16" ht="19.5" customHeight="1">
      <c r="A198" s="135"/>
      <c r="B198" s="47"/>
      <c r="C198" s="48"/>
      <c r="D198" s="47"/>
      <c r="E198" s="48">
        <v>7280</v>
      </c>
      <c r="F198" s="49" t="s">
        <v>3613</v>
      </c>
      <c r="G198" s="1897"/>
      <c r="H198" s="48"/>
      <c r="I198" s="49"/>
      <c r="J198" s="83"/>
      <c r="K198" s="50"/>
      <c r="L198" s="83"/>
      <c r="M198" s="38"/>
      <c r="N198" s="38"/>
      <c r="O198" s="38"/>
      <c r="P198" s="1900"/>
    </row>
    <row r="199" spans="1:16" ht="36" customHeight="1">
      <c r="A199" s="142"/>
      <c r="B199" s="66"/>
      <c r="C199" s="67"/>
      <c r="D199" s="66"/>
      <c r="E199" s="67"/>
      <c r="F199" s="68"/>
      <c r="G199" s="69"/>
      <c r="H199" s="67" t="s">
        <v>2678</v>
      </c>
      <c r="I199" s="68" t="s">
        <v>3614</v>
      </c>
      <c r="J199" s="76" t="s">
        <v>3590</v>
      </c>
      <c r="K199" s="92" t="s">
        <v>2678</v>
      </c>
      <c r="L199" s="95" t="s">
        <v>2587</v>
      </c>
      <c r="M199" s="1823"/>
      <c r="N199" s="1823"/>
      <c r="O199" s="1823"/>
      <c r="P199" s="32"/>
    </row>
    <row r="200" spans="1:16" ht="36" customHeight="1">
      <c r="A200" s="142"/>
      <c r="B200" s="66"/>
      <c r="C200" s="67"/>
      <c r="D200" s="66"/>
      <c r="E200" s="67"/>
      <c r="F200" s="68"/>
      <c r="G200" s="69"/>
      <c r="H200" s="67" t="s">
        <v>2678</v>
      </c>
      <c r="I200" s="68" t="s">
        <v>3615</v>
      </c>
      <c r="J200" s="76" t="s">
        <v>3590</v>
      </c>
      <c r="K200" s="92" t="s">
        <v>2678</v>
      </c>
      <c r="L200" s="95" t="s">
        <v>2587</v>
      </c>
      <c r="M200" s="1823"/>
      <c r="N200" s="1823"/>
      <c r="O200" s="1823"/>
      <c r="P200" s="32"/>
    </row>
    <row r="201" spans="1:16" ht="36" customHeight="1">
      <c r="A201" s="142"/>
      <c r="B201" s="66"/>
      <c r="C201" s="67"/>
      <c r="D201" s="66"/>
      <c r="E201" s="67"/>
      <c r="F201" s="68"/>
      <c r="G201" s="69"/>
      <c r="H201" s="67" t="s">
        <v>2678</v>
      </c>
      <c r="I201" s="68" t="s">
        <v>3616</v>
      </c>
      <c r="J201" s="76" t="s">
        <v>3590</v>
      </c>
      <c r="K201" s="92" t="s">
        <v>2678</v>
      </c>
      <c r="L201" s="95" t="s">
        <v>2587</v>
      </c>
      <c r="M201" s="1823"/>
      <c r="N201" s="1823"/>
      <c r="O201" s="1823"/>
      <c r="P201" s="32"/>
    </row>
    <row r="202" spans="1:16" ht="36" customHeight="1">
      <c r="A202" s="136"/>
      <c r="B202" s="51"/>
      <c r="C202" s="52"/>
      <c r="D202" s="51"/>
      <c r="E202" s="52"/>
      <c r="F202" s="53"/>
      <c r="G202" s="54"/>
      <c r="H202" s="52" t="s">
        <v>2678</v>
      </c>
      <c r="I202" s="53" t="s">
        <v>3617</v>
      </c>
      <c r="J202" s="76" t="s">
        <v>3590</v>
      </c>
      <c r="K202" s="92" t="s">
        <v>2678</v>
      </c>
      <c r="L202" s="95" t="s">
        <v>2587</v>
      </c>
      <c r="M202" s="39"/>
      <c r="N202" s="39"/>
      <c r="O202" s="39"/>
      <c r="P202" s="30"/>
    </row>
    <row r="203" spans="1:16" ht="36" customHeight="1">
      <c r="A203" s="136"/>
      <c r="B203" s="51"/>
      <c r="C203" s="52"/>
      <c r="D203" s="51"/>
      <c r="E203" s="52"/>
      <c r="F203" s="53"/>
      <c r="G203" s="54"/>
      <c r="H203" s="52" t="s">
        <v>2678</v>
      </c>
      <c r="I203" s="53" t="s">
        <v>3618</v>
      </c>
      <c r="J203" s="76" t="s">
        <v>3590</v>
      </c>
      <c r="K203" s="92" t="s">
        <v>2678</v>
      </c>
      <c r="L203" s="95" t="s">
        <v>2587</v>
      </c>
      <c r="M203" s="39"/>
      <c r="N203" s="39"/>
      <c r="O203" s="39"/>
      <c r="P203" s="30"/>
    </row>
    <row r="204" spans="1:16" ht="17.25" customHeight="1">
      <c r="A204" s="134"/>
      <c r="B204" s="43"/>
      <c r="C204" s="44">
        <v>7400</v>
      </c>
      <c r="D204" s="43" t="s">
        <v>1316</v>
      </c>
      <c r="E204" s="44"/>
      <c r="F204" s="45"/>
      <c r="G204" s="1898"/>
      <c r="H204" s="44"/>
      <c r="I204" s="45"/>
      <c r="J204" s="84"/>
      <c r="K204" s="46"/>
      <c r="L204" s="84"/>
      <c r="M204" s="37"/>
      <c r="N204" s="37"/>
      <c r="O204" s="37"/>
      <c r="P204" s="1899"/>
    </row>
    <row r="205" spans="1:16" ht="18.75" customHeight="1">
      <c r="A205" s="135"/>
      <c r="B205" s="47"/>
      <c r="C205" s="48"/>
      <c r="D205" s="47"/>
      <c r="E205" s="48">
        <v>7410</v>
      </c>
      <c r="F205" s="49" t="s">
        <v>2421</v>
      </c>
      <c r="G205" s="1897"/>
      <c r="H205" s="48"/>
      <c r="I205" s="49"/>
      <c r="J205" s="83"/>
      <c r="K205" s="50"/>
      <c r="L205" s="83"/>
      <c r="M205" s="38"/>
      <c r="N205" s="38"/>
      <c r="O205" s="38"/>
      <c r="P205" s="1900"/>
    </row>
    <row r="206" spans="1:16" ht="36" customHeight="1">
      <c r="A206" s="136"/>
      <c r="B206" s="51"/>
      <c r="C206" s="52"/>
      <c r="D206" s="51"/>
      <c r="E206" s="52"/>
      <c r="F206" s="53"/>
      <c r="G206" s="54"/>
      <c r="H206" s="52">
        <v>7411</v>
      </c>
      <c r="I206" s="53" t="s">
        <v>2426</v>
      </c>
      <c r="J206" s="76" t="s">
        <v>3483</v>
      </c>
      <c r="K206" s="93" t="s">
        <v>3484</v>
      </c>
      <c r="L206" s="76" t="s">
        <v>3506</v>
      </c>
      <c r="M206" s="39"/>
      <c r="N206" s="39"/>
      <c r="O206" s="39"/>
      <c r="P206" s="30"/>
    </row>
    <row r="207" spans="1:16" ht="36" customHeight="1">
      <c r="A207" s="136"/>
      <c r="B207" s="51"/>
      <c r="C207" s="52"/>
      <c r="D207" s="51"/>
      <c r="E207" s="52"/>
      <c r="F207" s="53"/>
      <c r="G207" s="54"/>
      <c r="H207" s="52">
        <v>7412</v>
      </c>
      <c r="I207" s="53" t="s">
        <v>2594</v>
      </c>
      <c r="J207" s="76" t="s">
        <v>3595</v>
      </c>
      <c r="K207" s="93" t="s">
        <v>3484</v>
      </c>
      <c r="L207" s="76" t="s">
        <v>3487</v>
      </c>
      <c r="M207" s="39"/>
      <c r="N207" s="39"/>
      <c r="O207" s="39"/>
      <c r="P207" s="30"/>
    </row>
    <row r="208" spans="1:16" ht="21.75" customHeight="1">
      <c r="A208" s="135"/>
      <c r="B208" s="47"/>
      <c r="C208" s="48"/>
      <c r="D208" s="47"/>
      <c r="E208" s="48">
        <v>7430</v>
      </c>
      <c r="F208" s="49" t="s">
        <v>2430</v>
      </c>
      <c r="G208" s="1897"/>
      <c r="H208" s="48"/>
      <c r="I208" s="49"/>
      <c r="J208" s="83"/>
      <c r="K208" s="50"/>
      <c r="L208" s="83"/>
      <c r="M208" s="38"/>
      <c r="N208" s="38"/>
      <c r="O208" s="38"/>
      <c r="P208" s="1900"/>
    </row>
    <row r="209" spans="1:16" ht="36" customHeight="1">
      <c r="A209" s="136"/>
      <c r="B209" s="51"/>
      <c r="C209" s="52"/>
      <c r="D209" s="51"/>
      <c r="E209" s="52"/>
      <c r="F209" s="53"/>
      <c r="G209" s="54"/>
      <c r="H209" s="52">
        <v>7431</v>
      </c>
      <c r="I209" s="53" t="s">
        <v>2443</v>
      </c>
      <c r="J209" s="76" t="s">
        <v>3597</v>
      </c>
      <c r="K209" s="93" t="s">
        <v>3484</v>
      </c>
      <c r="L209" s="76" t="s">
        <v>3506</v>
      </c>
      <c r="M209" s="39"/>
      <c r="N209" s="39"/>
      <c r="O209" s="39"/>
      <c r="P209" s="30"/>
    </row>
    <row r="210" spans="1:16" ht="36" customHeight="1">
      <c r="A210" s="136"/>
      <c r="B210" s="51"/>
      <c r="C210" s="52"/>
      <c r="D210" s="51"/>
      <c r="E210" s="52"/>
      <c r="F210" s="53"/>
      <c r="G210" s="54"/>
      <c r="H210" s="52">
        <v>7432</v>
      </c>
      <c r="I210" s="53" t="s">
        <v>2486</v>
      </c>
      <c r="J210" s="76" t="s">
        <v>3598</v>
      </c>
      <c r="K210" s="93" t="s">
        <v>3484</v>
      </c>
      <c r="L210" s="76" t="s">
        <v>3506</v>
      </c>
      <c r="M210" s="39"/>
      <c r="N210" s="39"/>
      <c r="O210" s="39"/>
      <c r="P210" s="30"/>
    </row>
    <row r="211" spans="1:16" ht="36" customHeight="1">
      <c r="A211" s="136"/>
      <c r="B211" s="51"/>
      <c r="C211" s="52"/>
      <c r="D211" s="51"/>
      <c r="E211" s="52"/>
      <c r="F211" s="53"/>
      <c r="G211" s="54"/>
      <c r="H211" s="52">
        <v>7434</v>
      </c>
      <c r="I211" s="53" t="s">
        <v>2431</v>
      </c>
      <c r="J211" s="76" t="s">
        <v>3529</v>
      </c>
      <c r="K211" s="93" t="s">
        <v>3484</v>
      </c>
      <c r="L211" s="76" t="s">
        <v>3507</v>
      </c>
      <c r="M211" s="39"/>
      <c r="N211" s="39"/>
      <c r="O211" s="39"/>
      <c r="P211" s="30"/>
    </row>
    <row r="212" spans="1:16" ht="36" customHeight="1">
      <c r="A212" s="136"/>
      <c r="B212" s="51"/>
      <c r="C212" s="52"/>
      <c r="D212" s="51"/>
      <c r="E212" s="52"/>
      <c r="F212" s="53"/>
      <c r="G212" s="54"/>
      <c r="H212" s="52">
        <v>7435</v>
      </c>
      <c r="I212" s="53" t="s">
        <v>2459</v>
      </c>
      <c r="J212" s="76" t="s">
        <v>3529</v>
      </c>
      <c r="K212" s="93" t="s">
        <v>3484</v>
      </c>
      <c r="L212" s="76" t="s">
        <v>3507</v>
      </c>
      <c r="M212" s="39"/>
      <c r="N212" s="39"/>
      <c r="O212" s="39"/>
      <c r="P212" s="30"/>
    </row>
    <row r="213" spans="1:16" ht="22.5" customHeight="1">
      <c r="A213" s="135"/>
      <c r="B213" s="47"/>
      <c r="C213" s="48"/>
      <c r="D213" s="47"/>
      <c r="E213" s="48">
        <v>7450</v>
      </c>
      <c r="F213" s="49" t="s">
        <v>2569</v>
      </c>
      <c r="G213" s="1897"/>
      <c r="H213" s="48"/>
      <c r="I213" s="49"/>
      <c r="J213" s="83"/>
      <c r="K213" s="50"/>
      <c r="L213" s="83"/>
      <c r="M213" s="38"/>
      <c r="N213" s="38"/>
      <c r="O213" s="38"/>
      <c r="P213" s="1900"/>
    </row>
    <row r="214" spans="1:16" ht="62.25" customHeight="1">
      <c r="A214" s="136"/>
      <c r="B214" s="51"/>
      <c r="C214" s="52"/>
      <c r="D214" s="51"/>
      <c r="E214" s="52"/>
      <c r="F214" s="53"/>
      <c r="G214" s="54"/>
      <c r="H214" s="52">
        <v>7451</v>
      </c>
      <c r="I214" s="53" t="s">
        <v>2570</v>
      </c>
      <c r="J214" s="76" t="s">
        <v>3619</v>
      </c>
      <c r="K214" s="93" t="s">
        <v>3484</v>
      </c>
      <c r="L214" s="76" t="s">
        <v>3606</v>
      </c>
      <c r="M214" s="39"/>
      <c r="N214" s="39"/>
      <c r="O214" s="39"/>
      <c r="P214" s="30"/>
    </row>
    <row r="215" spans="1:16" ht="36" customHeight="1">
      <c r="A215" s="136"/>
      <c r="B215" s="51"/>
      <c r="C215" s="52"/>
      <c r="D215" s="51"/>
      <c r="E215" s="52"/>
      <c r="F215" s="53"/>
      <c r="G215" s="54"/>
      <c r="H215" s="52">
        <v>7452</v>
      </c>
      <c r="I215" s="53" t="s">
        <v>3607</v>
      </c>
      <c r="J215" s="76" t="s">
        <v>3620</v>
      </c>
      <c r="K215" s="93" t="s">
        <v>3484</v>
      </c>
      <c r="L215" s="76" t="s">
        <v>3534</v>
      </c>
      <c r="M215" s="39"/>
      <c r="N215" s="39"/>
      <c r="O215" s="39"/>
      <c r="P215" s="30"/>
    </row>
    <row r="216" spans="1:16" ht="18.75" customHeight="1">
      <c r="A216" s="135"/>
      <c r="B216" s="47"/>
      <c r="C216" s="48"/>
      <c r="D216" s="47"/>
      <c r="E216" s="48">
        <v>7470</v>
      </c>
      <c r="F216" s="49" t="s">
        <v>2580</v>
      </c>
      <c r="G216" s="1897"/>
      <c r="H216" s="48"/>
      <c r="I216" s="49"/>
      <c r="J216" s="83"/>
      <c r="K216" s="50"/>
      <c r="L216" s="83"/>
      <c r="M216" s="38"/>
      <c r="N216" s="38"/>
      <c r="O216" s="38"/>
      <c r="P216" s="1900"/>
    </row>
    <row r="217" spans="1:16" ht="36" customHeight="1">
      <c r="A217" s="136"/>
      <c r="B217" s="51"/>
      <c r="C217" s="52"/>
      <c r="D217" s="51"/>
      <c r="E217" s="52"/>
      <c r="F217" s="53"/>
      <c r="G217" s="54"/>
      <c r="H217" s="52">
        <v>7471</v>
      </c>
      <c r="I217" s="53" t="s">
        <v>3609</v>
      </c>
      <c r="J217" s="76" t="s">
        <v>3590</v>
      </c>
      <c r="K217" s="92" t="s">
        <v>2678</v>
      </c>
      <c r="L217" s="95" t="s">
        <v>2587</v>
      </c>
      <c r="M217" s="39"/>
      <c r="N217" s="39"/>
      <c r="O217" s="39"/>
      <c r="P217" s="30"/>
    </row>
    <row r="218" spans="1:16" ht="36" customHeight="1">
      <c r="A218" s="136"/>
      <c r="B218" s="51"/>
      <c r="C218" s="52"/>
      <c r="D218" s="51"/>
      <c r="E218" s="52"/>
      <c r="F218" s="53"/>
      <c r="G218" s="54"/>
      <c r="H218" s="52">
        <v>7473</v>
      </c>
      <c r="I218" s="53" t="s">
        <v>2581</v>
      </c>
      <c r="J218" s="76" t="s">
        <v>3610</v>
      </c>
      <c r="K218" s="92" t="s">
        <v>2678</v>
      </c>
      <c r="L218" s="95" t="s">
        <v>2587</v>
      </c>
      <c r="M218" s="39"/>
      <c r="N218" s="39"/>
      <c r="O218" s="39"/>
      <c r="P218" s="30"/>
    </row>
    <row r="219" spans="1:16" ht="36" customHeight="1">
      <c r="A219" s="136"/>
      <c r="B219" s="51"/>
      <c r="C219" s="52"/>
      <c r="D219" s="51"/>
      <c r="E219" s="52"/>
      <c r="F219" s="53"/>
      <c r="G219" s="54"/>
      <c r="H219" s="52">
        <v>7475</v>
      </c>
      <c r="I219" s="53" t="s">
        <v>3611</v>
      </c>
      <c r="J219" s="76" t="s">
        <v>3612</v>
      </c>
      <c r="K219" s="92" t="s">
        <v>2678</v>
      </c>
      <c r="L219" s="95" t="s">
        <v>2587</v>
      </c>
      <c r="M219" s="39"/>
      <c r="N219" s="39"/>
      <c r="O219" s="39"/>
      <c r="P219" s="30"/>
    </row>
    <row r="220" spans="1:16" ht="18.75" customHeight="1">
      <c r="A220" s="135"/>
      <c r="B220" s="47"/>
      <c r="C220" s="48"/>
      <c r="D220" s="47"/>
      <c r="E220" s="48">
        <v>7480</v>
      </c>
      <c r="F220" s="49" t="s">
        <v>3613</v>
      </c>
      <c r="G220" s="1897"/>
      <c r="H220" s="48"/>
      <c r="I220" s="49"/>
      <c r="J220" s="83"/>
      <c r="K220" s="50"/>
      <c r="L220" s="83"/>
      <c r="M220" s="38"/>
      <c r="N220" s="38"/>
      <c r="O220" s="38"/>
      <c r="P220" s="1900"/>
    </row>
    <row r="221" spans="1:16" ht="36" customHeight="1">
      <c r="A221" s="136"/>
      <c r="B221" s="51"/>
      <c r="C221" s="52"/>
      <c r="D221" s="51"/>
      <c r="E221" s="52"/>
      <c r="F221" s="53"/>
      <c r="G221" s="54"/>
      <c r="H221" s="52">
        <v>7482</v>
      </c>
      <c r="I221" s="53" t="s">
        <v>3617</v>
      </c>
      <c r="J221" s="76" t="s">
        <v>3590</v>
      </c>
      <c r="K221" s="92" t="s">
        <v>2678</v>
      </c>
      <c r="L221" s="95" t="s">
        <v>2587</v>
      </c>
      <c r="M221" s="39"/>
      <c r="N221" s="39"/>
      <c r="O221" s="39"/>
      <c r="P221" s="30"/>
    </row>
    <row r="222" spans="1:16" ht="36" customHeight="1">
      <c r="A222" s="136"/>
      <c r="B222" s="51"/>
      <c r="C222" s="52"/>
      <c r="D222" s="51"/>
      <c r="E222" s="52"/>
      <c r="F222" s="53"/>
      <c r="G222" s="54"/>
      <c r="H222" s="52">
        <v>7484</v>
      </c>
      <c r="I222" s="53" t="s">
        <v>3618</v>
      </c>
      <c r="J222" s="76" t="s">
        <v>3590</v>
      </c>
      <c r="K222" s="92" t="s">
        <v>2678</v>
      </c>
      <c r="L222" s="95" t="s">
        <v>2587</v>
      </c>
      <c r="M222" s="39"/>
      <c r="N222" s="39"/>
      <c r="O222" s="39"/>
      <c r="P222" s="30"/>
    </row>
    <row r="223" spans="1:16" ht="17.25" customHeight="1">
      <c r="A223" s="134"/>
      <c r="B223" s="43"/>
      <c r="C223" s="157" t="s">
        <v>2678</v>
      </c>
      <c r="D223" s="156" t="s">
        <v>3621</v>
      </c>
      <c r="E223" s="44"/>
      <c r="F223" s="45"/>
      <c r="G223" s="1898"/>
      <c r="H223" s="44"/>
      <c r="I223" s="45"/>
      <c r="J223" s="84"/>
      <c r="K223" s="46"/>
      <c r="L223" s="84"/>
      <c r="M223" s="37"/>
      <c r="N223" s="37"/>
      <c r="O223" s="37"/>
      <c r="P223" s="1899"/>
    </row>
    <row r="224" spans="1:16" ht="18.75" customHeight="1">
      <c r="A224" s="135"/>
      <c r="B224" s="47"/>
      <c r="C224" s="48"/>
      <c r="D224" s="47"/>
      <c r="E224" s="48" t="s">
        <v>2678</v>
      </c>
      <c r="F224" s="49" t="s">
        <v>2421</v>
      </c>
      <c r="G224" s="1897"/>
      <c r="H224" s="48"/>
      <c r="I224" s="49"/>
      <c r="J224" s="83"/>
      <c r="K224" s="50"/>
      <c r="L224" s="83"/>
      <c r="M224" s="38"/>
      <c r="N224" s="38"/>
      <c r="O224" s="38"/>
      <c r="P224" s="1900"/>
    </row>
    <row r="225" spans="1:16" ht="36" customHeight="1">
      <c r="A225" s="136"/>
      <c r="B225" s="51"/>
      <c r="C225" s="52"/>
      <c r="D225" s="51"/>
      <c r="E225" s="52"/>
      <c r="F225" s="53"/>
      <c r="G225" s="54"/>
      <c r="H225" s="52" t="s">
        <v>2678</v>
      </c>
      <c r="I225" s="53" t="s">
        <v>2426</v>
      </c>
      <c r="J225" s="76" t="s">
        <v>3622</v>
      </c>
      <c r="K225" s="93" t="s">
        <v>3484</v>
      </c>
      <c r="L225" s="76" t="s">
        <v>3506</v>
      </c>
      <c r="M225" s="39"/>
      <c r="N225" s="39"/>
      <c r="O225" s="39"/>
      <c r="P225" s="30"/>
    </row>
    <row r="226" spans="1:16" ht="36" customHeight="1">
      <c r="A226" s="136"/>
      <c r="B226" s="51"/>
      <c r="C226" s="52"/>
      <c r="D226" s="51"/>
      <c r="E226" s="52"/>
      <c r="F226" s="53"/>
      <c r="G226" s="54"/>
      <c r="H226" s="52" t="s">
        <v>2678</v>
      </c>
      <c r="I226" s="53" t="s">
        <v>2594</v>
      </c>
      <c r="J226" s="76" t="s">
        <v>3623</v>
      </c>
      <c r="K226" s="93" t="s">
        <v>3484</v>
      </c>
      <c r="L226" s="76" t="s">
        <v>3487</v>
      </c>
      <c r="M226" s="39"/>
      <c r="N226" s="39"/>
      <c r="O226" s="39"/>
      <c r="P226" s="30"/>
    </row>
    <row r="227" spans="1:16" ht="21.75" customHeight="1">
      <c r="A227" s="135"/>
      <c r="B227" s="47"/>
      <c r="C227" s="48"/>
      <c r="D227" s="47"/>
      <c r="E227" s="48" t="s">
        <v>2678</v>
      </c>
      <c r="F227" s="49" t="s">
        <v>2430</v>
      </c>
      <c r="G227" s="1897"/>
      <c r="H227" s="48"/>
      <c r="I227" s="49"/>
      <c r="J227" s="83"/>
      <c r="K227" s="50"/>
      <c r="L227" s="83"/>
      <c r="M227" s="38"/>
      <c r="N227" s="38"/>
      <c r="O227" s="38"/>
      <c r="P227" s="1900"/>
    </row>
    <row r="228" spans="1:16" ht="36" customHeight="1">
      <c r="A228" s="136"/>
      <c r="B228" s="51"/>
      <c r="C228" s="52"/>
      <c r="D228" s="51"/>
      <c r="E228" s="52"/>
      <c r="F228" s="53"/>
      <c r="G228" s="54"/>
      <c r="H228" s="52" t="s">
        <v>2678</v>
      </c>
      <c r="I228" s="53" t="s">
        <v>2443</v>
      </c>
      <c r="J228" s="76" t="s">
        <v>3624</v>
      </c>
      <c r="K228" s="93" t="s">
        <v>3484</v>
      </c>
      <c r="L228" s="76" t="s">
        <v>3506</v>
      </c>
      <c r="M228" s="39"/>
      <c r="N228" s="39"/>
      <c r="O228" s="39"/>
      <c r="P228" s="30"/>
    </row>
    <row r="229" spans="1:16" ht="36" customHeight="1">
      <c r="A229" s="136"/>
      <c r="B229" s="51"/>
      <c r="C229" s="52"/>
      <c r="D229" s="51"/>
      <c r="E229" s="52"/>
      <c r="F229" s="53"/>
      <c r="G229" s="54"/>
      <c r="H229" s="52" t="s">
        <v>2678</v>
      </c>
      <c r="I229" s="53" t="s">
        <v>2486</v>
      </c>
      <c r="J229" s="76" t="s">
        <v>3625</v>
      </c>
      <c r="K229" s="93" t="s">
        <v>3484</v>
      </c>
      <c r="L229" s="76" t="s">
        <v>3506</v>
      </c>
      <c r="M229" s="39"/>
      <c r="N229" s="39"/>
      <c r="O229" s="39"/>
      <c r="P229" s="30"/>
    </row>
    <row r="230" spans="1:16" ht="36" customHeight="1">
      <c r="A230" s="136"/>
      <c r="B230" s="51"/>
      <c r="C230" s="52"/>
      <c r="D230" s="51"/>
      <c r="E230" s="52"/>
      <c r="F230" s="53"/>
      <c r="G230" s="54"/>
      <c r="H230" s="52" t="s">
        <v>2678</v>
      </c>
      <c r="I230" s="53" t="s">
        <v>2431</v>
      </c>
      <c r="J230" s="76" t="s">
        <v>3626</v>
      </c>
      <c r="K230" s="93" t="s">
        <v>3484</v>
      </c>
      <c r="L230" s="95" t="s">
        <v>3626</v>
      </c>
      <c r="M230" s="39"/>
      <c r="N230" s="39"/>
      <c r="O230" s="39"/>
      <c r="P230" s="30"/>
    </row>
    <row r="231" spans="1:16" ht="36" customHeight="1">
      <c r="A231" s="136"/>
      <c r="B231" s="51"/>
      <c r="C231" s="52"/>
      <c r="D231" s="51"/>
      <c r="E231" s="52"/>
      <c r="F231" s="53"/>
      <c r="G231" s="54"/>
      <c r="H231" s="52" t="s">
        <v>2678</v>
      </c>
      <c r="I231" s="53" t="s">
        <v>2459</v>
      </c>
      <c r="J231" s="76" t="s">
        <v>3626</v>
      </c>
      <c r="K231" s="93" t="s">
        <v>3484</v>
      </c>
      <c r="L231" s="95" t="s">
        <v>3626</v>
      </c>
      <c r="M231" s="39"/>
      <c r="N231" s="39"/>
      <c r="O231" s="39"/>
      <c r="P231" s="30"/>
    </row>
    <row r="232" spans="1:16" ht="18.75" customHeight="1">
      <c r="A232" s="135"/>
      <c r="B232" s="47"/>
      <c r="C232" s="48"/>
      <c r="D232" s="47"/>
      <c r="E232" s="48" t="s">
        <v>2678</v>
      </c>
      <c r="F232" s="49" t="s">
        <v>2580</v>
      </c>
      <c r="G232" s="1897"/>
      <c r="H232" s="48"/>
      <c r="I232" s="49"/>
      <c r="J232" s="83"/>
      <c r="K232" s="50"/>
      <c r="L232" s="83"/>
      <c r="M232" s="38"/>
      <c r="N232" s="38"/>
      <c r="O232" s="38"/>
      <c r="P232" s="1900"/>
    </row>
    <row r="233" spans="1:16" ht="36" customHeight="1">
      <c r="A233" s="136"/>
      <c r="B233" s="51"/>
      <c r="C233" s="52"/>
      <c r="D233" s="51"/>
      <c r="E233" s="52"/>
      <c r="F233" s="53"/>
      <c r="G233" s="54"/>
      <c r="H233" s="52" t="s">
        <v>2678</v>
      </c>
      <c r="I233" s="53" t="s">
        <v>3609</v>
      </c>
      <c r="J233" s="76" t="s">
        <v>3627</v>
      </c>
      <c r="K233" s="92" t="s">
        <v>2678</v>
      </c>
      <c r="L233" s="95" t="s">
        <v>2587</v>
      </c>
      <c r="M233" s="39"/>
      <c r="N233" s="39"/>
      <c r="O233" s="39"/>
      <c r="P233" s="30"/>
    </row>
    <row r="234" spans="1:16" ht="48.75" customHeight="1">
      <c r="A234" s="136"/>
      <c r="B234" s="51"/>
      <c r="C234" s="52"/>
      <c r="D234" s="51"/>
      <c r="E234" s="52"/>
      <c r="F234" s="53"/>
      <c r="G234" s="54"/>
      <c r="H234" s="52" t="s">
        <v>2678</v>
      </c>
      <c r="I234" s="53" t="s">
        <v>2581</v>
      </c>
      <c r="J234" s="76" t="s">
        <v>3628</v>
      </c>
      <c r="K234" s="92" t="s">
        <v>2678</v>
      </c>
      <c r="L234" s="95" t="s">
        <v>2587</v>
      </c>
      <c r="M234" s="39"/>
      <c r="N234" s="39"/>
      <c r="O234" s="39"/>
      <c r="P234" s="30"/>
    </row>
    <row r="235" spans="1:16" ht="36" customHeight="1">
      <c r="A235" s="136"/>
      <c r="B235" s="51"/>
      <c r="C235" s="52"/>
      <c r="D235" s="51"/>
      <c r="E235" s="52"/>
      <c r="F235" s="53"/>
      <c r="G235" s="54"/>
      <c r="H235" s="52" t="s">
        <v>2678</v>
      </c>
      <c r="I235" s="53" t="s">
        <v>3611</v>
      </c>
      <c r="J235" s="76" t="s">
        <v>3629</v>
      </c>
      <c r="K235" s="92" t="s">
        <v>2678</v>
      </c>
      <c r="L235" s="95" t="s">
        <v>2587</v>
      </c>
      <c r="M235" s="39"/>
      <c r="N235" s="39"/>
      <c r="O235" s="39"/>
      <c r="P235" s="30"/>
    </row>
    <row r="236" spans="1:16" ht="17.25" customHeight="1">
      <c r="A236" s="134"/>
      <c r="B236" s="43"/>
      <c r="C236" s="157" t="s">
        <v>2678</v>
      </c>
      <c r="D236" s="156" t="s">
        <v>3630</v>
      </c>
      <c r="E236" s="44"/>
      <c r="F236" s="45"/>
      <c r="G236" s="1898"/>
      <c r="H236" s="44"/>
      <c r="I236" s="45"/>
      <c r="J236" s="84"/>
      <c r="K236" s="46"/>
      <c r="L236" s="84"/>
      <c r="M236" s="37"/>
      <c r="N236" s="37"/>
      <c r="O236" s="37"/>
      <c r="P236" s="1899"/>
    </row>
    <row r="237" spans="1:16" ht="18.75" customHeight="1">
      <c r="A237" s="135"/>
      <c r="B237" s="47"/>
      <c r="C237" s="48"/>
      <c r="D237" s="47"/>
      <c r="E237" s="48" t="s">
        <v>2678</v>
      </c>
      <c r="F237" s="49" t="s">
        <v>2421</v>
      </c>
      <c r="G237" s="1897"/>
      <c r="H237" s="48"/>
      <c r="I237" s="49"/>
      <c r="J237" s="83"/>
      <c r="K237" s="50"/>
      <c r="L237" s="83"/>
      <c r="M237" s="38"/>
      <c r="N237" s="38"/>
      <c r="O237" s="38"/>
      <c r="P237" s="1900"/>
    </row>
    <row r="238" spans="1:16" ht="36" customHeight="1">
      <c r="A238" s="136"/>
      <c r="B238" s="51"/>
      <c r="C238" s="52"/>
      <c r="D238" s="51"/>
      <c r="E238" s="52"/>
      <c r="F238" s="53"/>
      <c r="G238" s="54"/>
      <c r="H238" s="52" t="s">
        <v>2678</v>
      </c>
      <c r="I238" s="53" t="s">
        <v>2426</v>
      </c>
      <c r="J238" s="76" t="s">
        <v>3622</v>
      </c>
      <c r="K238" s="93" t="s">
        <v>3484</v>
      </c>
      <c r="L238" s="76" t="s">
        <v>3506</v>
      </c>
      <c r="M238" s="39"/>
      <c r="N238" s="39"/>
      <c r="O238" s="39"/>
      <c r="P238" s="30"/>
    </row>
    <row r="239" spans="1:16" ht="36" customHeight="1">
      <c r="A239" s="136"/>
      <c r="B239" s="51"/>
      <c r="C239" s="52"/>
      <c r="D239" s="51"/>
      <c r="E239" s="52"/>
      <c r="F239" s="53"/>
      <c r="G239" s="54"/>
      <c r="H239" s="52" t="s">
        <v>2678</v>
      </c>
      <c r="I239" s="53" t="s">
        <v>2594</v>
      </c>
      <c r="J239" s="76" t="s">
        <v>3631</v>
      </c>
      <c r="K239" s="93" t="s">
        <v>3484</v>
      </c>
      <c r="L239" s="76" t="s">
        <v>3487</v>
      </c>
      <c r="M239" s="39"/>
      <c r="N239" s="39"/>
      <c r="O239" s="39"/>
      <c r="P239" s="30"/>
    </row>
    <row r="240" spans="1:16" ht="21.75" customHeight="1">
      <c r="A240" s="135"/>
      <c r="B240" s="47"/>
      <c r="C240" s="48"/>
      <c r="D240" s="47"/>
      <c r="E240" s="48" t="s">
        <v>2678</v>
      </c>
      <c r="F240" s="49" t="s">
        <v>2430</v>
      </c>
      <c r="G240" s="1897"/>
      <c r="H240" s="48"/>
      <c r="I240" s="49"/>
      <c r="J240" s="83"/>
      <c r="K240" s="50"/>
      <c r="L240" s="83"/>
      <c r="M240" s="38"/>
      <c r="N240" s="38"/>
      <c r="O240" s="38"/>
      <c r="P240" s="1900"/>
    </row>
    <row r="241" spans="1:16" ht="36" customHeight="1">
      <c r="A241" s="136"/>
      <c r="B241" s="51"/>
      <c r="C241" s="52"/>
      <c r="D241" s="51"/>
      <c r="E241" s="52"/>
      <c r="F241" s="53"/>
      <c r="G241" s="54"/>
      <c r="H241" s="52" t="s">
        <v>2678</v>
      </c>
      <c r="I241" s="53" t="s">
        <v>2443</v>
      </c>
      <c r="J241" s="76" t="s">
        <v>3632</v>
      </c>
      <c r="K241" s="93" t="s">
        <v>3484</v>
      </c>
      <c r="L241" s="76" t="s">
        <v>3506</v>
      </c>
      <c r="M241" s="39"/>
      <c r="N241" s="39"/>
      <c r="O241" s="39"/>
      <c r="P241" s="30"/>
    </row>
    <row r="242" spans="1:16" ht="36" customHeight="1">
      <c r="A242" s="136"/>
      <c r="B242" s="51"/>
      <c r="C242" s="52"/>
      <c r="D242" s="51"/>
      <c r="E242" s="52"/>
      <c r="F242" s="53"/>
      <c r="G242" s="54"/>
      <c r="H242" s="52" t="s">
        <v>2678</v>
      </c>
      <c r="I242" s="53" t="s">
        <v>2486</v>
      </c>
      <c r="J242" s="76" t="s">
        <v>3625</v>
      </c>
      <c r="K242" s="93" t="s">
        <v>3484</v>
      </c>
      <c r="L242" s="76" t="s">
        <v>3506</v>
      </c>
      <c r="M242" s="39"/>
      <c r="N242" s="39"/>
      <c r="O242" s="39"/>
      <c r="P242" s="30"/>
    </row>
    <row r="243" spans="1:16" ht="36" customHeight="1">
      <c r="A243" s="136"/>
      <c r="B243" s="51"/>
      <c r="C243" s="52"/>
      <c r="D243" s="51"/>
      <c r="E243" s="52"/>
      <c r="F243" s="53"/>
      <c r="G243" s="54"/>
      <c r="H243" s="52" t="s">
        <v>2678</v>
      </c>
      <c r="I243" s="53" t="s">
        <v>2431</v>
      </c>
      <c r="J243" s="76" t="s">
        <v>3633</v>
      </c>
      <c r="K243" s="93" t="s">
        <v>3484</v>
      </c>
      <c r="L243" s="76" t="s">
        <v>3506</v>
      </c>
      <c r="M243" s="39"/>
      <c r="N243" s="39"/>
      <c r="O243" s="39"/>
      <c r="P243" s="30"/>
    </row>
    <row r="244" spans="1:16" ht="36" customHeight="1">
      <c r="A244" s="136"/>
      <c r="B244" s="51"/>
      <c r="C244" s="52"/>
      <c r="D244" s="51"/>
      <c r="E244" s="52"/>
      <c r="F244" s="53"/>
      <c r="G244" s="54"/>
      <c r="H244" s="52" t="s">
        <v>2678</v>
      </c>
      <c r="I244" s="53" t="s">
        <v>2459</v>
      </c>
      <c r="J244" s="76" t="s">
        <v>3634</v>
      </c>
      <c r="K244" s="93" t="s">
        <v>3484</v>
      </c>
      <c r="L244" s="76" t="s">
        <v>3506</v>
      </c>
      <c r="M244" s="39"/>
      <c r="N244" s="39"/>
      <c r="O244" s="39"/>
      <c r="P244" s="30"/>
    </row>
    <row r="245" spans="1:16" ht="18.75" customHeight="1">
      <c r="A245" s="135"/>
      <c r="B245" s="47"/>
      <c r="C245" s="48"/>
      <c r="D245" s="47"/>
      <c r="E245" s="48">
        <v>7470</v>
      </c>
      <c r="F245" s="49" t="s">
        <v>2580</v>
      </c>
      <c r="G245" s="1897"/>
      <c r="H245" s="48"/>
      <c r="I245" s="49"/>
      <c r="J245" s="83"/>
      <c r="K245" s="50"/>
      <c r="L245" s="83"/>
      <c r="M245" s="38"/>
      <c r="N245" s="38"/>
      <c r="O245" s="38"/>
      <c r="P245" s="1900"/>
    </row>
    <row r="246" spans="1:16" ht="36" customHeight="1">
      <c r="A246" s="136"/>
      <c r="B246" s="51"/>
      <c r="C246" s="52"/>
      <c r="D246" s="51"/>
      <c r="E246" s="52"/>
      <c r="F246" s="53"/>
      <c r="G246" s="54"/>
      <c r="H246" s="52" t="s">
        <v>2678</v>
      </c>
      <c r="I246" s="53" t="s">
        <v>3609</v>
      </c>
      <c r="J246" s="76" t="s">
        <v>3590</v>
      </c>
      <c r="K246" s="92" t="s">
        <v>2678</v>
      </c>
      <c r="L246" s="95" t="s">
        <v>3626</v>
      </c>
      <c r="M246" s="39"/>
      <c r="N246" s="39"/>
      <c r="O246" s="39"/>
      <c r="P246" s="30"/>
    </row>
    <row r="247" spans="1:16" ht="36" customHeight="1">
      <c r="A247" s="136"/>
      <c r="B247" s="51"/>
      <c r="C247" s="52"/>
      <c r="D247" s="51"/>
      <c r="E247" s="52"/>
      <c r="F247" s="53"/>
      <c r="G247" s="54"/>
      <c r="H247" s="52" t="s">
        <v>2678</v>
      </c>
      <c r="I247" s="53" t="s">
        <v>2581</v>
      </c>
      <c r="J247" s="76" t="s">
        <v>3610</v>
      </c>
      <c r="K247" s="92" t="s">
        <v>2678</v>
      </c>
      <c r="L247" s="95" t="s">
        <v>3626</v>
      </c>
      <c r="M247" s="39"/>
      <c r="N247" s="39"/>
      <c r="O247" s="39"/>
      <c r="P247" s="30"/>
    </row>
    <row r="248" spans="1:16" ht="36" customHeight="1" thickBot="1">
      <c r="A248" s="136"/>
      <c r="B248" s="51"/>
      <c r="C248" s="52"/>
      <c r="D248" s="51"/>
      <c r="E248" s="52"/>
      <c r="F248" s="53"/>
      <c r="G248" s="54"/>
      <c r="H248" s="52" t="s">
        <v>2678</v>
      </c>
      <c r="I248" s="53" t="s">
        <v>3611</v>
      </c>
      <c r="J248" s="76" t="s">
        <v>3612</v>
      </c>
      <c r="K248" s="92" t="s">
        <v>2678</v>
      </c>
      <c r="L248" s="95" t="s">
        <v>3626</v>
      </c>
      <c r="M248" s="39"/>
      <c r="N248" s="39"/>
      <c r="O248" s="39"/>
      <c r="P248" s="30"/>
    </row>
    <row r="249" spans="1:16" ht="19.5" customHeight="1" thickBot="1">
      <c r="A249" s="139">
        <v>8000</v>
      </c>
      <c r="B249" s="140" t="s">
        <v>2666</v>
      </c>
      <c r="C249" s="62"/>
      <c r="D249" s="62"/>
      <c r="E249" s="62"/>
      <c r="F249" s="62"/>
      <c r="G249" s="62"/>
      <c r="H249" s="62"/>
      <c r="I249" s="62"/>
      <c r="J249" s="126"/>
      <c r="K249" s="63"/>
      <c r="L249" s="88"/>
      <c r="M249" s="41"/>
      <c r="N249" s="41"/>
      <c r="O249" s="41"/>
      <c r="P249" s="35"/>
    </row>
    <row r="250" spans="1:16" ht="19.5" customHeight="1">
      <c r="A250" s="134"/>
      <c r="B250" s="43"/>
      <c r="C250" s="44">
        <v>8100</v>
      </c>
      <c r="D250" s="43" t="s">
        <v>2666</v>
      </c>
      <c r="E250" s="44"/>
      <c r="F250" s="45"/>
      <c r="G250" s="1898"/>
      <c r="H250" s="44"/>
      <c r="I250" s="45"/>
      <c r="J250" s="84"/>
      <c r="K250" s="46"/>
      <c r="L250" s="84"/>
      <c r="M250" s="37"/>
      <c r="N250" s="37"/>
      <c r="O250" s="37"/>
      <c r="P250" s="1899"/>
    </row>
    <row r="251" spans="1:16" ht="21" customHeight="1">
      <c r="A251" s="135"/>
      <c r="B251" s="47"/>
      <c r="C251" s="48"/>
      <c r="D251" s="47"/>
      <c r="E251" s="48">
        <v>8110</v>
      </c>
      <c r="F251" s="49" t="s">
        <v>2667</v>
      </c>
      <c r="G251" s="1897"/>
      <c r="H251" s="48"/>
      <c r="I251" s="49"/>
      <c r="J251" s="83"/>
      <c r="K251" s="50"/>
      <c r="L251" s="83"/>
      <c r="M251" s="38"/>
      <c r="N251" s="38"/>
      <c r="O251" s="38"/>
      <c r="P251" s="1900"/>
    </row>
    <row r="252" spans="1:16" ht="36" customHeight="1">
      <c r="A252" s="136"/>
      <c r="B252" s="51"/>
      <c r="C252" s="52"/>
      <c r="D252" s="51"/>
      <c r="E252" s="52"/>
      <c r="F252" s="53"/>
      <c r="G252" s="54"/>
      <c r="H252" s="52">
        <v>8111</v>
      </c>
      <c r="I252" s="53" t="s">
        <v>2675</v>
      </c>
      <c r="J252" s="76" t="s">
        <v>3590</v>
      </c>
      <c r="K252" s="92" t="s">
        <v>2678</v>
      </c>
      <c r="L252" s="95" t="s">
        <v>2587</v>
      </c>
      <c r="M252" s="39"/>
      <c r="N252" s="39"/>
      <c r="O252" s="39"/>
      <c r="P252" s="30"/>
    </row>
    <row r="253" spans="1:16" ht="36" customHeight="1">
      <c r="A253" s="136"/>
      <c r="B253" s="51"/>
      <c r="C253" s="52"/>
      <c r="D253" s="51"/>
      <c r="E253" s="52"/>
      <c r="F253" s="53"/>
      <c r="G253" s="54"/>
      <c r="H253" s="52">
        <v>8112</v>
      </c>
      <c r="I253" s="53" t="s">
        <v>3635</v>
      </c>
      <c r="J253" s="76" t="s">
        <v>3590</v>
      </c>
      <c r="K253" s="92" t="s">
        <v>2678</v>
      </c>
      <c r="L253" s="95" t="s">
        <v>2587</v>
      </c>
      <c r="M253" s="39"/>
      <c r="N253" s="39"/>
      <c r="O253" s="39"/>
      <c r="P253" s="30"/>
    </row>
    <row r="254" spans="1:16" ht="19.5" customHeight="1">
      <c r="A254" s="135"/>
      <c r="B254" s="47"/>
      <c r="C254" s="48"/>
      <c r="D254" s="47"/>
      <c r="E254" s="48">
        <v>8120</v>
      </c>
      <c r="F254" s="49" t="s">
        <v>3636</v>
      </c>
      <c r="G254" s="1897"/>
      <c r="H254" s="48"/>
      <c r="I254" s="49"/>
      <c r="J254" s="83"/>
      <c r="K254" s="50"/>
      <c r="L254" s="83"/>
      <c r="M254" s="38"/>
      <c r="N254" s="38"/>
      <c r="O254" s="38"/>
      <c r="P254" s="1900"/>
    </row>
    <row r="255" spans="1:16" ht="36" customHeight="1">
      <c r="A255" s="136"/>
      <c r="B255" s="51"/>
      <c r="C255" s="52"/>
      <c r="D255" s="51"/>
      <c r="E255" s="52"/>
      <c r="F255" s="53"/>
      <c r="G255" s="54"/>
      <c r="H255" s="52">
        <v>8121</v>
      </c>
      <c r="I255" s="53" t="s">
        <v>3637</v>
      </c>
      <c r="J255" s="76" t="s">
        <v>3590</v>
      </c>
      <c r="K255" s="92" t="s">
        <v>2678</v>
      </c>
      <c r="L255" s="95" t="s">
        <v>2587</v>
      </c>
      <c r="M255" s="39"/>
      <c r="N255" s="39"/>
      <c r="O255" s="39"/>
      <c r="P255" s="30"/>
    </row>
    <row r="256" spans="1:16" ht="36" customHeight="1">
      <c r="A256" s="136"/>
      <c r="B256" s="51"/>
      <c r="C256" s="55"/>
      <c r="D256" s="56"/>
      <c r="E256" s="55"/>
      <c r="F256" s="70"/>
      <c r="G256" s="57"/>
      <c r="H256" s="52" t="s">
        <v>2678</v>
      </c>
      <c r="I256" s="53" t="s">
        <v>3638</v>
      </c>
      <c r="J256" s="76" t="s">
        <v>3590</v>
      </c>
      <c r="K256" s="92" t="s">
        <v>2678</v>
      </c>
      <c r="L256" s="95" t="s">
        <v>2587</v>
      </c>
      <c r="M256" s="39"/>
      <c r="N256" s="39"/>
      <c r="O256" s="39"/>
      <c r="P256" s="30"/>
    </row>
    <row r="257" spans="1:16" ht="36" customHeight="1">
      <c r="A257" s="136"/>
      <c r="B257" s="51"/>
      <c r="C257" s="55"/>
      <c r="D257" s="56"/>
      <c r="E257" s="55"/>
      <c r="F257" s="70"/>
      <c r="G257" s="57"/>
      <c r="H257" s="52" t="s">
        <v>2678</v>
      </c>
      <c r="I257" s="53" t="s">
        <v>3639</v>
      </c>
      <c r="J257" s="76" t="s">
        <v>3590</v>
      </c>
      <c r="K257" s="154" t="s">
        <v>2678</v>
      </c>
      <c r="L257" s="152" t="s">
        <v>2587</v>
      </c>
      <c r="M257" s="39"/>
      <c r="N257" s="39"/>
      <c r="O257" s="39"/>
      <c r="P257" s="30"/>
    </row>
    <row r="258" spans="1:16" ht="48.75" customHeight="1">
      <c r="A258" s="135"/>
      <c r="B258" s="47"/>
      <c r="C258" s="48"/>
      <c r="D258" s="47"/>
      <c r="E258" s="48" t="s">
        <v>2678</v>
      </c>
      <c r="F258" s="49" t="s">
        <v>2694</v>
      </c>
      <c r="G258" s="1897"/>
      <c r="H258" s="48" t="s">
        <v>2678</v>
      </c>
      <c r="I258" s="49"/>
      <c r="J258" s="83" t="s">
        <v>3640</v>
      </c>
      <c r="K258" s="1824" t="s">
        <v>2678</v>
      </c>
      <c r="L258" s="153" t="s">
        <v>2587</v>
      </c>
      <c r="M258" s="38"/>
      <c r="N258" s="38"/>
      <c r="O258" s="38"/>
      <c r="P258" s="1900"/>
    </row>
    <row r="259" spans="1:16" ht="83.25" customHeight="1" thickBot="1">
      <c r="A259" s="135"/>
      <c r="B259" s="47"/>
      <c r="C259" s="48"/>
      <c r="D259" s="47"/>
      <c r="E259" s="48" t="s">
        <v>2678</v>
      </c>
      <c r="F259" s="49" t="s">
        <v>3641</v>
      </c>
      <c r="G259" s="1897"/>
      <c r="H259" s="48" t="s">
        <v>2678</v>
      </c>
      <c r="I259" s="49"/>
      <c r="J259" s="83" t="s">
        <v>3642</v>
      </c>
      <c r="K259" s="150" t="s">
        <v>2678</v>
      </c>
      <c r="L259" s="151" t="s">
        <v>2587</v>
      </c>
      <c r="M259" s="38"/>
      <c r="N259" s="38"/>
      <c r="O259" s="38"/>
      <c r="P259" s="1900"/>
    </row>
    <row r="260" spans="1:16" ht="20.25" customHeight="1" thickBot="1">
      <c r="A260" s="139">
        <v>9000</v>
      </c>
      <c r="B260" s="140" t="s">
        <v>2745</v>
      </c>
      <c r="C260" s="62"/>
      <c r="D260" s="62"/>
      <c r="E260" s="62"/>
      <c r="F260" s="62"/>
      <c r="G260" s="62"/>
      <c r="H260" s="62"/>
      <c r="I260" s="62"/>
      <c r="J260" s="126"/>
      <c r="K260" s="63"/>
      <c r="L260" s="88"/>
      <c r="M260" s="41"/>
      <c r="N260" s="41"/>
      <c r="O260" s="41"/>
      <c r="P260" s="35"/>
    </row>
    <row r="261" spans="1:16" ht="17.25" customHeight="1">
      <c r="A261" s="143"/>
      <c r="B261" s="71"/>
      <c r="C261" s="72">
        <v>9100</v>
      </c>
      <c r="D261" s="71" t="s">
        <v>2745</v>
      </c>
      <c r="E261" s="72"/>
      <c r="F261" s="73"/>
      <c r="G261" s="1825"/>
      <c r="H261" s="72"/>
      <c r="I261" s="73"/>
      <c r="J261" s="91"/>
      <c r="K261" s="74"/>
      <c r="L261" s="91"/>
      <c r="M261" s="40"/>
      <c r="N261" s="40"/>
      <c r="O261" s="40"/>
      <c r="P261" s="1826"/>
    </row>
    <row r="262" spans="1:16" ht="21" customHeight="1">
      <c r="A262" s="135"/>
      <c r="B262" s="47"/>
      <c r="C262" s="48"/>
      <c r="D262" s="47"/>
      <c r="E262" s="48">
        <v>9120</v>
      </c>
      <c r="F262" s="49" t="s">
        <v>3643</v>
      </c>
      <c r="G262" s="1897"/>
      <c r="H262" s="48"/>
      <c r="I262" s="49"/>
      <c r="J262" s="83"/>
      <c r="K262" s="50"/>
      <c r="L262" s="83"/>
      <c r="M262" s="38"/>
      <c r="N262" s="38"/>
      <c r="O262" s="38"/>
      <c r="P262" s="1900"/>
    </row>
    <row r="263" spans="1:16" ht="36" customHeight="1">
      <c r="A263" s="136"/>
      <c r="B263" s="51"/>
      <c r="C263" s="52"/>
      <c r="D263" s="51"/>
      <c r="E263" s="52"/>
      <c r="F263" s="53"/>
      <c r="G263" s="54"/>
      <c r="H263" s="52">
        <v>9121</v>
      </c>
      <c r="I263" s="53" t="s">
        <v>3643</v>
      </c>
      <c r="J263" s="76" t="s">
        <v>3590</v>
      </c>
      <c r="K263" s="92" t="s">
        <v>2678</v>
      </c>
      <c r="L263" s="95" t="s">
        <v>2587</v>
      </c>
      <c r="M263" s="39"/>
      <c r="N263" s="39"/>
      <c r="O263" s="39"/>
      <c r="P263" s="30"/>
    </row>
    <row r="264" spans="1:16" ht="17.25" customHeight="1">
      <c r="A264" s="135"/>
      <c r="B264" s="47"/>
      <c r="C264" s="48"/>
      <c r="D264" s="47"/>
      <c r="E264" s="48">
        <v>9190</v>
      </c>
      <c r="F264" s="49" t="s">
        <v>3644</v>
      </c>
      <c r="G264" s="1897"/>
      <c r="H264" s="48"/>
      <c r="I264" s="49"/>
      <c r="J264" s="83"/>
      <c r="K264" s="50"/>
      <c r="L264" s="83"/>
      <c r="M264" s="38"/>
      <c r="N264" s="38"/>
      <c r="O264" s="38"/>
      <c r="P264" s="1900"/>
    </row>
    <row r="265" spans="1:16" ht="36" customHeight="1" thickBot="1">
      <c r="A265" s="148"/>
      <c r="B265" s="115"/>
      <c r="C265" s="116"/>
      <c r="D265" s="115"/>
      <c r="E265" s="116"/>
      <c r="F265" s="117"/>
      <c r="G265" s="118"/>
      <c r="H265" s="116">
        <v>9191</v>
      </c>
      <c r="I265" s="117" t="s">
        <v>2747</v>
      </c>
      <c r="J265" s="120" t="s">
        <v>3590</v>
      </c>
      <c r="K265" s="150" t="s">
        <v>2678</v>
      </c>
      <c r="L265" s="128" t="s">
        <v>2587</v>
      </c>
      <c r="M265" s="121"/>
      <c r="N265" s="121"/>
      <c r="O265" s="121"/>
      <c r="P265" s="122"/>
    </row>
  </sheetData>
  <mergeCells count="5">
    <mergeCell ref="A2:B2"/>
    <mergeCell ref="C2:D2"/>
    <mergeCell ref="H2:I2"/>
    <mergeCell ref="E2:G2"/>
    <mergeCell ref="A1:P1"/>
  </mergeCells>
  <pageMargins left="0.7" right="0.7" top="0.75" bottom="0.75" header="0.3" footer="0.3"/>
  <pageSetup paperSize="17" scale="39" fitToHeight="5" orientation="landscape" r:id="rId1"/>
  <headerFooter>
    <oddFooter>&amp;L&amp;BHatch Confidential&amp;B&amp;C&amp;D&amp;RPage &amp;P</oddFooter>
  </headerFooter>
  <rowBreaks count="2" manualBreakCount="2">
    <brk id="98" max="15" man="1"/>
    <brk id="174"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filterMode="1">
    <tabColor rgb="FF00B050"/>
    <pageSetUpPr fitToPage="1"/>
  </sheetPr>
  <dimension ref="A1:BF879"/>
  <sheetViews>
    <sheetView showGridLines="0" view="pageBreakPreview" zoomScale="90" zoomScaleNormal="85" zoomScaleSheetLayoutView="90" workbookViewId="0">
      <pane ySplit="8" topLeftCell="A9" activePane="bottomLeft" state="frozenSplit"/>
      <selection activeCell="T33" sqref="T33"/>
      <selection pane="bottomLeft" activeCell="T33" sqref="T33"/>
    </sheetView>
  </sheetViews>
  <sheetFormatPr defaultColWidth="9.1796875" defaultRowHeight="12.5"/>
  <cols>
    <col min="1" max="2" width="0.453125" style="214" customWidth="1"/>
    <col min="3" max="3" width="0.26953125" style="214" customWidth="1"/>
    <col min="4" max="4" width="2.7265625" style="214" customWidth="1"/>
    <col min="5" max="5" width="4.1796875" style="214" customWidth="1"/>
    <col min="6" max="6" width="8" style="214" customWidth="1"/>
    <col min="7" max="7" width="6.26953125" style="214" customWidth="1"/>
    <col min="8" max="8" width="2.81640625" style="214" customWidth="1"/>
    <col min="9" max="9" width="0.453125" style="214" customWidth="1"/>
    <col min="10" max="10" width="2" style="214" customWidth="1"/>
    <col min="11" max="11" width="2.26953125" style="214" customWidth="1"/>
    <col min="12" max="13" width="9.1796875" style="214" customWidth="1"/>
    <col min="14" max="14" width="24.453125" style="214" customWidth="1"/>
    <col min="15" max="15" width="35.453125" style="214" customWidth="1"/>
    <col min="16" max="16" width="0" style="214" hidden="1" customWidth="1"/>
    <col min="17" max="17" width="4" style="214" customWidth="1"/>
    <col min="18" max="18" width="8.7265625" style="214" customWidth="1"/>
    <col min="19" max="19" width="20.453125" style="214" customWidth="1"/>
    <col min="20" max="20" width="8.26953125" style="214" customWidth="1"/>
    <col min="21" max="21" width="12.453125" style="214" customWidth="1"/>
    <col min="22" max="22" width="10" style="214" customWidth="1"/>
    <col min="23" max="23" width="7" style="214" customWidth="1"/>
    <col min="24" max="24" width="9.1796875" style="214"/>
    <col min="25" max="25" width="10.453125" style="214" customWidth="1"/>
    <col min="26" max="26" width="9" style="214" customWidth="1"/>
    <col min="27" max="27" width="13.453125" style="214" customWidth="1"/>
    <col min="28" max="28" width="11.81640625" style="214" customWidth="1"/>
    <col min="29" max="29" width="10.81640625" style="214" customWidth="1"/>
    <col min="30" max="30" width="0.1796875" style="214" customWidth="1"/>
    <col min="31" max="31" width="0.81640625" style="214" customWidth="1"/>
    <col min="32" max="32" width="23.26953125" style="214" customWidth="1"/>
    <col min="33" max="34" width="1" style="214" customWidth="1"/>
    <col min="35" max="35" width="18.453125" style="214" customWidth="1"/>
    <col min="36" max="36" width="8" style="214" customWidth="1"/>
    <col min="37" max="37" width="2.7265625" style="214" customWidth="1"/>
    <col min="38" max="38" width="0.7265625" style="214" customWidth="1"/>
    <col min="39" max="39" width="0" style="214" hidden="1" customWidth="1"/>
    <col min="40" max="40" width="0.453125" style="214" customWidth="1"/>
    <col min="41" max="41" width="8.7265625" style="214" customWidth="1"/>
    <col min="42" max="42" width="7.1796875" style="214" customWidth="1"/>
    <col min="43" max="43" width="3" style="214" customWidth="1"/>
    <col min="44" max="44" width="2.81640625" style="214" customWidth="1"/>
    <col min="45" max="54" width="16.7265625" style="214" customWidth="1"/>
    <col min="55" max="55" width="86.7265625" style="809" customWidth="1"/>
    <col min="56" max="56" width="18.26953125" style="804" customWidth="1"/>
    <col min="57" max="58" width="9.1796875" style="804"/>
    <col min="59" max="16384" width="9.1796875" style="214"/>
  </cols>
  <sheetData>
    <row r="1" spans="1:58" ht="7.5" customHeight="1"/>
    <row r="2" spans="1:58" ht="37.5" customHeight="1">
      <c r="S2" s="772" t="s">
        <v>3645</v>
      </c>
    </row>
    <row r="3" spans="1:58" ht="25.5" customHeight="1">
      <c r="A3" s="1827"/>
      <c r="B3" s="1827"/>
      <c r="C3" s="1827"/>
      <c r="D3" s="1827"/>
      <c r="E3" s="1827"/>
      <c r="F3" s="1827"/>
      <c r="G3" s="1827"/>
      <c r="H3" s="1827"/>
      <c r="I3" s="1827"/>
      <c r="J3" s="1827"/>
      <c r="K3" s="1827"/>
      <c r="L3" s="1827"/>
      <c r="M3" s="1827"/>
      <c r="N3" s="1827"/>
      <c r="O3" s="1827"/>
      <c r="P3" s="1827"/>
      <c r="Q3" s="1827"/>
      <c r="R3" s="1827"/>
      <c r="S3" s="1827"/>
      <c r="T3" s="1827"/>
      <c r="U3" s="1827"/>
      <c r="V3" s="1827"/>
      <c r="W3" s="1827"/>
      <c r="X3" s="1827"/>
      <c r="Y3" s="1827"/>
      <c r="Z3" s="1827"/>
      <c r="AA3" s="1827"/>
      <c r="AB3" s="1827"/>
      <c r="AC3" s="1827"/>
      <c r="AD3" s="1827"/>
      <c r="AE3" s="1827"/>
      <c r="AF3" s="2255" t="s">
        <v>3646</v>
      </c>
      <c r="AG3" s="2255"/>
      <c r="AH3" s="2255"/>
      <c r="AI3" s="2255"/>
      <c r="AJ3" s="2255"/>
      <c r="AK3" s="2255"/>
      <c r="AL3" s="2255"/>
      <c r="AM3" s="2255"/>
      <c r="AN3" s="2255"/>
      <c r="AO3" s="2255"/>
      <c r="AP3" s="2255"/>
    </row>
    <row r="4" spans="1:58" ht="15.75" customHeight="1">
      <c r="A4" s="2256" t="s">
        <v>3647</v>
      </c>
      <c r="B4" s="2256"/>
      <c r="C4" s="2256"/>
      <c r="D4" s="2256"/>
      <c r="E4" s="2256"/>
      <c r="F4" s="2256"/>
      <c r="G4" s="2256"/>
      <c r="H4" s="2256"/>
      <c r="I4" s="2256"/>
      <c r="J4" s="2256"/>
      <c r="K4" s="2256"/>
      <c r="L4" s="2256"/>
      <c r="M4" s="2256"/>
      <c r="N4" s="2256"/>
      <c r="O4" s="2256"/>
      <c r="P4" s="2256"/>
      <c r="Q4" s="2256"/>
    </row>
    <row r="5" spans="1:58" ht="16.5" customHeight="1">
      <c r="A5" s="2257" t="s">
        <v>3648</v>
      </c>
      <c r="B5" s="2257"/>
      <c r="C5" s="2257"/>
      <c r="D5" s="2257"/>
      <c r="E5" s="2257"/>
      <c r="F5" s="2257"/>
      <c r="G5" s="2257"/>
      <c r="H5" s="2257"/>
      <c r="I5" s="2257"/>
      <c r="J5" s="2257"/>
      <c r="K5" s="2257"/>
      <c r="L5" s="2257"/>
      <c r="M5" s="2257"/>
      <c r="N5" s="2257"/>
      <c r="O5" s="2257"/>
      <c r="P5" s="2257"/>
      <c r="Q5" s="2257"/>
      <c r="R5" s="2257"/>
      <c r="S5" s="1828"/>
      <c r="T5" s="1828"/>
      <c r="U5" s="1828"/>
      <c r="V5" s="1828"/>
      <c r="W5" s="1828"/>
      <c r="X5" s="1828"/>
      <c r="Y5" s="1828"/>
      <c r="Z5" s="1828"/>
      <c r="AA5" s="1828"/>
      <c r="AB5" s="1828"/>
      <c r="AC5" s="1828"/>
      <c r="AD5" s="1828"/>
      <c r="AE5" s="1828"/>
      <c r="AF5" s="1828"/>
      <c r="AG5" s="1828"/>
      <c r="AH5" s="1828"/>
      <c r="AI5" s="1828"/>
      <c r="AJ5" s="1828"/>
      <c r="AK5" s="1828"/>
      <c r="AL5" s="1828"/>
      <c r="AM5" s="1828"/>
      <c r="AN5" s="1828"/>
      <c r="AO5" s="1828"/>
      <c r="AP5" s="1828"/>
    </row>
    <row r="6" spans="1:58" ht="20.149999999999999" customHeight="1">
      <c r="A6" s="807"/>
      <c r="B6" s="807"/>
      <c r="C6" s="807"/>
      <c r="D6" s="807"/>
      <c r="E6" s="807"/>
      <c r="F6" s="807"/>
      <c r="G6" s="807"/>
      <c r="H6" s="807"/>
      <c r="I6" s="807"/>
      <c r="J6" s="807"/>
      <c r="K6" s="807"/>
      <c r="L6" s="807"/>
      <c r="M6" s="807"/>
      <c r="N6" s="807"/>
      <c r="O6" s="807"/>
      <c r="P6" s="807"/>
      <c r="Q6" s="807"/>
      <c r="R6" s="807"/>
    </row>
    <row r="7" spans="1:58" ht="13.5" customHeight="1"/>
    <row r="8" spans="1:58" ht="3" customHeight="1"/>
    <row r="9" spans="1:58" ht="3.65" customHeight="1"/>
    <row r="10" spans="1:58" ht="13.9" customHeight="1">
      <c r="B10" s="2264"/>
      <c r="C10" s="2259"/>
      <c r="D10" s="2259"/>
      <c r="E10" s="2265" t="s">
        <v>3649</v>
      </c>
      <c r="F10" s="2259"/>
      <c r="G10" s="2259"/>
      <c r="H10" s="2259"/>
      <c r="I10" s="2259"/>
      <c r="J10" s="2259"/>
      <c r="K10" s="2259"/>
      <c r="L10" s="2259"/>
      <c r="M10" s="2259"/>
      <c r="N10" s="2259"/>
      <c r="O10" s="2259"/>
      <c r="P10" s="2259"/>
      <c r="Q10" s="2259"/>
      <c r="R10" s="2259"/>
      <c r="S10" s="2259"/>
      <c r="T10" s="2259"/>
      <c r="U10" s="2259"/>
      <c r="V10" s="2260"/>
      <c r="W10" s="2258" t="s">
        <v>3650</v>
      </c>
      <c r="X10" s="2259"/>
      <c r="Y10" s="2259"/>
      <c r="Z10" s="2259"/>
      <c r="AA10" s="2259"/>
      <c r="AB10" s="2259"/>
      <c r="AC10" s="2259"/>
      <c r="AD10" s="2259"/>
      <c r="AE10" s="2259"/>
      <c r="AF10" s="2259"/>
      <c r="AG10" s="2259"/>
      <c r="AH10" s="2259"/>
      <c r="AI10" s="2260"/>
      <c r="AJ10" s="2258" t="s">
        <v>3651</v>
      </c>
      <c r="AK10" s="2259"/>
      <c r="AL10" s="2259"/>
      <c r="AM10" s="2259"/>
      <c r="AN10" s="2259"/>
      <c r="AO10" s="2259"/>
      <c r="AP10" s="2260"/>
    </row>
    <row r="11" spans="1:58" ht="13.5" customHeight="1">
      <c r="B11" s="2261"/>
      <c r="C11" s="2259"/>
      <c r="D11" s="2259"/>
      <c r="E11" s="2262"/>
      <c r="F11" s="2259"/>
      <c r="G11" s="2259"/>
      <c r="H11" s="2259"/>
      <c r="I11" s="2259"/>
      <c r="J11" s="2259"/>
      <c r="K11" s="2259"/>
      <c r="L11" s="2259"/>
      <c r="M11" s="2259"/>
      <c r="N11" s="2259"/>
      <c r="O11" s="2259"/>
      <c r="P11" s="2259"/>
      <c r="Q11" s="2259"/>
      <c r="R11" s="2259"/>
      <c r="S11" s="2259"/>
      <c r="T11" s="2259"/>
      <c r="U11" s="2259"/>
      <c r="V11" s="2260"/>
      <c r="W11" s="2266" t="s">
        <v>3652</v>
      </c>
      <c r="X11" s="2262"/>
      <c r="Y11" s="2262"/>
      <c r="Z11" s="2262"/>
      <c r="AA11" s="2262"/>
      <c r="AB11" s="2262"/>
      <c r="AC11" s="2267"/>
      <c r="AD11" s="2263" t="s">
        <v>3653</v>
      </c>
      <c r="AE11" s="2259"/>
      <c r="AF11" s="2259"/>
      <c r="AG11" s="2263" t="s">
        <v>3654</v>
      </c>
      <c r="AH11" s="2259"/>
      <c r="AI11" s="2260"/>
      <c r="AJ11" s="2263"/>
      <c r="AK11" s="2259"/>
      <c r="AL11" s="2259"/>
      <c r="AM11" s="2259"/>
      <c r="AN11" s="2259"/>
      <c r="AO11" s="2259"/>
      <c r="AP11" s="2260"/>
    </row>
    <row r="12" spans="1:58" ht="26">
      <c r="B12" s="2271" t="s">
        <v>3655</v>
      </c>
      <c r="C12" s="2259"/>
      <c r="D12" s="2260"/>
      <c r="E12" s="1904" t="s">
        <v>3656</v>
      </c>
      <c r="F12" s="1904" t="s">
        <v>3657</v>
      </c>
      <c r="G12" s="1904" t="s">
        <v>3658</v>
      </c>
      <c r="H12" s="2258" t="s">
        <v>3256</v>
      </c>
      <c r="I12" s="2259"/>
      <c r="J12" s="2260"/>
      <c r="K12" s="2258" t="s">
        <v>3659</v>
      </c>
      <c r="L12" s="2260"/>
      <c r="M12" s="1905" t="s">
        <v>3346</v>
      </c>
      <c r="N12" s="1905" t="s">
        <v>16</v>
      </c>
      <c r="O12" s="1904" t="s">
        <v>21</v>
      </c>
      <c r="P12" s="2258" t="s">
        <v>3660</v>
      </c>
      <c r="Q12" s="2259"/>
      <c r="R12" s="2260"/>
      <c r="S12" s="1904" t="s">
        <v>3661</v>
      </c>
      <c r="T12" s="1904" t="s">
        <v>3662</v>
      </c>
      <c r="U12" s="1904" t="s">
        <v>3663</v>
      </c>
      <c r="V12" s="1904" t="s">
        <v>3664</v>
      </c>
      <c r="W12" s="1904" t="s">
        <v>3665</v>
      </c>
      <c r="X12" s="1904" t="s">
        <v>3666</v>
      </c>
      <c r="Y12" s="1904" t="s">
        <v>3667</v>
      </c>
      <c r="Z12" s="1904" t="s">
        <v>3668</v>
      </c>
      <c r="AA12" s="1904" t="s">
        <v>3669</v>
      </c>
      <c r="AB12" s="1904" t="s">
        <v>3670</v>
      </c>
      <c r="AC12" s="1904" t="s">
        <v>3671</v>
      </c>
      <c r="AD12" s="2258" t="s">
        <v>3672</v>
      </c>
      <c r="AE12" s="2259"/>
      <c r="AF12" s="2260"/>
      <c r="AG12" s="2258" t="s">
        <v>3673</v>
      </c>
      <c r="AH12" s="2259"/>
      <c r="AI12" s="2260"/>
      <c r="AJ12" s="1904" t="s">
        <v>3674</v>
      </c>
      <c r="AK12" s="2258" t="s">
        <v>3675</v>
      </c>
      <c r="AL12" s="2259"/>
      <c r="AM12" s="2259"/>
      <c r="AN12" s="2259"/>
      <c r="AO12" s="2260"/>
      <c r="AP12" s="1904" t="s">
        <v>3676</v>
      </c>
    </row>
    <row r="13" spans="1:58" hidden="1">
      <c r="B13" s="2268"/>
      <c r="C13" s="2269"/>
      <c r="D13" s="2269"/>
      <c r="E13" s="806"/>
      <c r="F13" s="806"/>
      <c r="G13" s="806"/>
      <c r="H13" s="2270"/>
      <c r="I13" s="2269"/>
      <c r="J13" s="2269"/>
      <c r="K13" s="2270"/>
      <c r="L13" s="2269"/>
      <c r="O13" s="806"/>
      <c r="P13" s="2270"/>
      <c r="Q13" s="2269"/>
      <c r="R13" s="2269"/>
      <c r="S13" s="806"/>
      <c r="T13" s="806"/>
      <c r="U13" s="806"/>
      <c r="V13" s="806"/>
      <c r="W13" s="806"/>
      <c r="X13" s="806"/>
      <c r="Y13" s="1906"/>
      <c r="Z13" s="1906"/>
      <c r="AA13" s="806"/>
      <c r="AB13" s="806"/>
      <c r="AC13" s="1904" t="s">
        <v>3677</v>
      </c>
      <c r="AD13" s="2270"/>
      <c r="AE13" s="2269"/>
      <c r="AF13" s="2269"/>
      <c r="AG13" s="2258" t="s">
        <v>3678</v>
      </c>
      <c r="AH13" s="2259"/>
      <c r="AI13" s="2260"/>
      <c r="AJ13" s="806"/>
      <c r="AK13" s="2270"/>
      <c r="AL13" s="2269"/>
      <c r="AM13" s="2269"/>
      <c r="AN13" s="2269"/>
      <c r="AO13" s="2269"/>
      <c r="AP13" s="805"/>
    </row>
    <row r="14" spans="1:58" ht="21" hidden="1">
      <c r="B14" s="2271"/>
      <c r="C14" s="2259"/>
      <c r="D14" s="2260"/>
      <c r="E14" s="1904"/>
      <c r="F14" s="1904"/>
      <c r="G14" s="1904"/>
      <c r="H14" s="2258"/>
      <c r="I14" s="2259"/>
      <c r="J14" s="2260"/>
      <c r="K14" s="2258"/>
      <c r="L14" s="2260"/>
      <c r="M14" s="1907"/>
      <c r="N14" s="1907"/>
      <c r="O14" s="1904"/>
      <c r="P14" s="2258"/>
      <c r="Q14" s="2259"/>
      <c r="R14" s="2260"/>
      <c r="S14" s="1904"/>
      <c r="T14" s="1904"/>
      <c r="U14" s="1904"/>
      <c r="V14" s="1904"/>
      <c r="W14" s="1904"/>
      <c r="X14" s="1904"/>
      <c r="Y14" s="1904"/>
      <c r="Z14" s="1904"/>
      <c r="AA14" s="1904"/>
      <c r="AB14" s="1904"/>
      <c r="AC14" s="1904" t="s">
        <v>3679</v>
      </c>
      <c r="AD14" s="2258"/>
      <c r="AE14" s="2259"/>
      <c r="AF14" s="2260"/>
      <c r="AG14" s="2258" t="s">
        <v>3680</v>
      </c>
      <c r="AH14" s="2259"/>
      <c r="AI14" s="2260"/>
      <c r="AJ14" s="1904"/>
      <c r="AK14" s="2258"/>
      <c r="AL14" s="2259"/>
      <c r="AM14" s="2259"/>
      <c r="AN14" s="2259"/>
      <c r="AO14" s="2260"/>
      <c r="AP14" s="1904"/>
      <c r="AT14" s="801" t="s">
        <v>5</v>
      </c>
      <c r="AU14" s="802"/>
      <c r="AV14" s="802" t="s">
        <v>7</v>
      </c>
      <c r="AW14" s="802"/>
      <c r="AX14" s="802" t="s">
        <v>9</v>
      </c>
      <c r="AY14" s="802"/>
      <c r="AZ14" s="802" t="s">
        <v>11</v>
      </c>
      <c r="BA14" s="802"/>
      <c r="BB14" s="803" t="s">
        <v>3681</v>
      </c>
      <c r="BC14" s="802" t="s">
        <v>21</v>
      </c>
      <c r="BD14" s="803" t="s">
        <v>22</v>
      </c>
      <c r="BE14" s="803" t="s">
        <v>23</v>
      </c>
      <c r="BF14" s="803" t="s">
        <v>24</v>
      </c>
    </row>
    <row r="15" spans="1:58" ht="45" hidden="1" customHeight="1">
      <c r="A15" s="808"/>
      <c r="B15" s="2279"/>
      <c r="C15" s="2275"/>
      <c r="D15" s="2273"/>
      <c r="E15" s="1829" t="s">
        <v>3682</v>
      </c>
      <c r="F15" s="1829" t="s">
        <v>3683</v>
      </c>
      <c r="G15" s="1829"/>
      <c r="H15" s="2272" t="s">
        <v>3684</v>
      </c>
      <c r="I15" s="2275"/>
      <c r="J15" s="2273"/>
      <c r="K15" s="2272" t="s">
        <v>3685</v>
      </c>
      <c r="L15" s="2273"/>
      <c r="M15" s="1829" t="e">
        <f>VLOOKUP(K15,'Estimate Details'!$R:$BR,20,FALSE)</f>
        <v>#N/A</v>
      </c>
      <c r="N15" s="1829" t="e">
        <f>VLOOKUP(M15,#REF!,2,FALSE)</f>
        <v>#N/A</v>
      </c>
      <c r="O15" s="1829" t="s">
        <v>3686</v>
      </c>
      <c r="P15" s="2274" t="s">
        <v>3687</v>
      </c>
      <c r="Q15" s="2275"/>
      <c r="R15" s="2273"/>
      <c r="S15" s="1829" t="s">
        <v>3688</v>
      </c>
      <c r="T15" s="1829" t="s">
        <v>3689</v>
      </c>
      <c r="U15" s="1829" t="s">
        <v>3690</v>
      </c>
      <c r="V15" s="1829" t="s">
        <v>3691</v>
      </c>
      <c r="W15" s="1829" t="s">
        <v>3688</v>
      </c>
      <c r="X15" s="1829" t="s">
        <v>3692</v>
      </c>
      <c r="Y15" s="1829" t="s">
        <v>3693</v>
      </c>
      <c r="Z15" s="1829"/>
      <c r="AA15" s="1829" t="s">
        <v>3694</v>
      </c>
      <c r="AB15" s="1829" t="s">
        <v>3695</v>
      </c>
      <c r="AC15" s="1829" t="s">
        <v>3696</v>
      </c>
      <c r="AD15" s="2272" t="s">
        <v>3688</v>
      </c>
      <c r="AE15" s="2275"/>
      <c r="AF15" s="2273"/>
      <c r="AG15" s="2272" t="s">
        <v>3696</v>
      </c>
      <c r="AH15" s="2275"/>
      <c r="AI15" s="2273"/>
      <c r="AJ15" s="1829" t="s">
        <v>3697</v>
      </c>
      <c r="AK15" s="2272" t="s">
        <v>3698</v>
      </c>
      <c r="AL15" s="2275"/>
      <c r="AM15" s="2276"/>
      <c r="AN15" s="2275"/>
      <c r="AO15" s="2273"/>
      <c r="AP15" s="1829" t="s">
        <v>3699</v>
      </c>
      <c r="BC15" s="214"/>
      <c r="BD15" s="214"/>
      <c r="BE15" s="214"/>
      <c r="BF15" s="214"/>
    </row>
    <row r="16" spans="1:58" ht="45" hidden="1" customHeight="1">
      <c r="B16" s="2277"/>
      <c r="C16" s="2259"/>
      <c r="D16" s="2260"/>
      <c r="E16" s="1908" t="s">
        <v>3682</v>
      </c>
      <c r="F16" s="1908" t="s">
        <v>3683</v>
      </c>
      <c r="G16" s="1908"/>
      <c r="H16" s="2278" t="s">
        <v>3684</v>
      </c>
      <c r="I16" s="2259"/>
      <c r="J16" s="2260"/>
      <c r="K16" s="2278" t="s">
        <v>3700</v>
      </c>
      <c r="L16" s="2260"/>
      <c r="M16" s="1908" t="e">
        <f>VLOOKUP(K16,'Estimate Details'!$R:$BR,20,FALSE)</f>
        <v>#N/A</v>
      </c>
      <c r="N16" s="1908" t="e">
        <f>VLOOKUP(M16,#REF!,2,FALSE)</f>
        <v>#N/A</v>
      </c>
      <c r="O16" s="1908" t="s">
        <v>3686</v>
      </c>
      <c r="P16" s="2278" t="s">
        <v>3687</v>
      </c>
      <c r="Q16" s="2259"/>
      <c r="R16" s="2260"/>
      <c r="S16" s="1908" t="s">
        <v>3688</v>
      </c>
      <c r="T16" s="1908" t="s">
        <v>3689</v>
      </c>
      <c r="U16" s="1908" t="s">
        <v>3690</v>
      </c>
      <c r="V16" s="1908" t="s">
        <v>3691</v>
      </c>
      <c r="W16" s="1908" t="s">
        <v>3688</v>
      </c>
      <c r="X16" s="1908" t="s">
        <v>3692</v>
      </c>
      <c r="Y16" s="1908" t="s">
        <v>3693</v>
      </c>
      <c r="Z16" s="1908"/>
      <c r="AA16" s="1908" t="s">
        <v>3694</v>
      </c>
      <c r="AB16" s="1908" t="s">
        <v>3695</v>
      </c>
      <c r="AC16" s="1908" t="s">
        <v>3696</v>
      </c>
      <c r="AD16" s="2278" t="s">
        <v>3688</v>
      </c>
      <c r="AE16" s="2259"/>
      <c r="AF16" s="2260"/>
      <c r="AG16" s="2278" t="s">
        <v>3696</v>
      </c>
      <c r="AH16" s="2259"/>
      <c r="AI16" s="2260"/>
      <c r="AJ16" s="1908" t="s">
        <v>3697</v>
      </c>
      <c r="AK16" s="2278" t="s">
        <v>3698</v>
      </c>
      <c r="AL16" s="2259"/>
      <c r="AM16" s="2259"/>
      <c r="AN16" s="2259"/>
      <c r="AO16" s="2260"/>
      <c r="AP16" s="1908" t="s">
        <v>3699</v>
      </c>
      <c r="BC16" s="214"/>
      <c r="BD16" s="214"/>
      <c r="BE16" s="214"/>
      <c r="BF16" s="214"/>
    </row>
    <row r="17" spans="1:58" ht="45" hidden="1" customHeight="1">
      <c r="A17" s="808"/>
      <c r="B17" s="2280"/>
      <c r="C17" s="2281"/>
      <c r="D17" s="2282"/>
      <c r="E17" s="1909" t="s">
        <v>3682</v>
      </c>
      <c r="F17" s="1909" t="s">
        <v>3683</v>
      </c>
      <c r="G17" s="1909"/>
      <c r="H17" s="2283" t="s">
        <v>3684</v>
      </c>
      <c r="I17" s="2281"/>
      <c r="J17" s="2282"/>
      <c r="K17" s="2283" t="s">
        <v>3701</v>
      </c>
      <c r="L17" s="2282"/>
      <c r="M17" s="1909" t="e">
        <f>VLOOKUP(K17,'Estimate Details'!$R:$BR,20,FALSE)</f>
        <v>#N/A</v>
      </c>
      <c r="N17" s="1909" t="e">
        <f>VLOOKUP(M17,#REF!,2,FALSE)</f>
        <v>#N/A</v>
      </c>
      <c r="O17" s="1909" t="s">
        <v>3686</v>
      </c>
      <c r="P17" s="2284" t="s">
        <v>3687</v>
      </c>
      <c r="Q17" s="2281"/>
      <c r="R17" s="2282"/>
      <c r="S17" s="1909" t="s">
        <v>3688</v>
      </c>
      <c r="T17" s="1909" t="s">
        <v>3689</v>
      </c>
      <c r="U17" s="1909" t="s">
        <v>3690</v>
      </c>
      <c r="V17" s="1909" t="s">
        <v>3691</v>
      </c>
      <c r="W17" s="1909" t="s">
        <v>3688</v>
      </c>
      <c r="X17" s="1909" t="s">
        <v>3692</v>
      </c>
      <c r="Y17" s="1909" t="s">
        <v>3693</v>
      </c>
      <c r="Z17" s="1909"/>
      <c r="AA17" s="1909" t="s">
        <v>3694</v>
      </c>
      <c r="AB17" s="1909" t="s">
        <v>3695</v>
      </c>
      <c r="AC17" s="1909" t="s">
        <v>3696</v>
      </c>
      <c r="AD17" s="2283" t="s">
        <v>3688</v>
      </c>
      <c r="AE17" s="2281"/>
      <c r="AF17" s="2282"/>
      <c r="AG17" s="2283" t="s">
        <v>3696</v>
      </c>
      <c r="AH17" s="2281"/>
      <c r="AI17" s="2282"/>
      <c r="AJ17" s="1909" t="s">
        <v>3697</v>
      </c>
      <c r="AK17" s="2283" t="s">
        <v>3698</v>
      </c>
      <c r="AL17" s="2281"/>
      <c r="AM17" s="2259"/>
      <c r="AN17" s="2281"/>
      <c r="AO17" s="2282"/>
      <c r="AP17" s="1909" t="s">
        <v>3699</v>
      </c>
      <c r="BC17" s="214"/>
      <c r="BD17" s="214"/>
      <c r="BE17" s="214"/>
      <c r="BF17" s="214"/>
    </row>
    <row r="18" spans="1:58" ht="45" hidden="1" customHeight="1">
      <c r="B18" s="2277"/>
      <c r="C18" s="2259"/>
      <c r="D18" s="2260"/>
      <c r="E18" s="1908" t="s">
        <v>3682</v>
      </c>
      <c r="F18" s="1908" t="s">
        <v>3683</v>
      </c>
      <c r="G18" s="1908"/>
      <c r="H18" s="2278" t="s">
        <v>3684</v>
      </c>
      <c r="I18" s="2259"/>
      <c r="J18" s="2260"/>
      <c r="K18" s="2278" t="s">
        <v>3702</v>
      </c>
      <c r="L18" s="2260"/>
      <c r="M18" s="1908" t="e">
        <f>VLOOKUP(K18,'Estimate Details'!$R:$BR,20,FALSE)</f>
        <v>#N/A</v>
      </c>
      <c r="N18" s="1908" t="e">
        <f>VLOOKUP(M18,#REF!,2,FALSE)</f>
        <v>#N/A</v>
      </c>
      <c r="O18" s="1908" t="s">
        <v>3686</v>
      </c>
      <c r="P18" s="2278" t="s">
        <v>3687</v>
      </c>
      <c r="Q18" s="2259"/>
      <c r="R18" s="2260"/>
      <c r="S18" s="1908" t="s">
        <v>3688</v>
      </c>
      <c r="T18" s="1908" t="s">
        <v>3689</v>
      </c>
      <c r="U18" s="1908" t="s">
        <v>3690</v>
      </c>
      <c r="V18" s="1908" t="s">
        <v>3691</v>
      </c>
      <c r="W18" s="1908" t="s">
        <v>3688</v>
      </c>
      <c r="X18" s="1908" t="s">
        <v>3692</v>
      </c>
      <c r="Y18" s="1908" t="s">
        <v>3693</v>
      </c>
      <c r="Z18" s="1908"/>
      <c r="AA18" s="1908" t="s">
        <v>3694</v>
      </c>
      <c r="AB18" s="1908" t="s">
        <v>3695</v>
      </c>
      <c r="AC18" s="1908" t="s">
        <v>3696</v>
      </c>
      <c r="AD18" s="2278" t="s">
        <v>3688</v>
      </c>
      <c r="AE18" s="2259"/>
      <c r="AF18" s="2260"/>
      <c r="AG18" s="2278" t="s">
        <v>3696</v>
      </c>
      <c r="AH18" s="2259"/>
      <c r="AI18" s="2260"/>
      <c r="AJ18" s="1908" t="s">
        <v>3697</v>
      </c>
      <c r="AK18" s="2278" t="s">
        <v>3698</v>
      </c>
      <c r="AL18" s="2259"/>
      <c r="AM18" s="2259"/>
      <c r="AN18" s="2259"/>
      <c r="AO18" s="2260"/>
      <c r="AP18" s="1908" t="s">
        <v>3699</v>
      </c>
      <c r="BC18" s="214"/>
      <c r="BD18" s="214"/>
      <c r="BE18" s="214"/>
      <c r="BF18" s="214"/>
    </row>
    <row r="19" spans="1:58" ht="45" hidden="1" customHeight="1">
      <c r="A19" s="808"/>
      <c r="B19" s="2280"/>
      <c r="C19" s="2281"/>
      <c r="D19" s="2282"/>
      <c r="E19" s="1909" t="s">
        <v>3682</v>
      </c>
      <c r="F19" s="1909" t="s">
        <v>3683</v>
      </c>
      <c r="G19" s="1909"/>
      <c r="H19" s="2283" t="s">
        <v>3703</v>
      </c>
      <c r="I19" s="2281"/>
      <c r="J19" s="2282"/>
      <c r="K19" s="2283" t="s">
        <v>3704</v>
      </c>
      <c r="L19" s="2282"/>
      <c r="M19" s="1909" t="e">
        <f>VLOOKUP(K19,'Estimate Details'!$R:$BR,20,FALSE)</f>
        <v>#N/A</v>
      </c>
      <c r="N19" s="1909" t="e">
        <f>VLOOKUP(M19,#REF!,2,FALSE)</f>
        <v>#N/A</v>
      </c>
      <c r="O19" s="1909" t="s">
        <v>3705</v>
      </c>
      <c r="P19" s="2284" t="s">
        <v>3687</v>
      </c>
      <c r="Q19" s="2281"/>
      <c r="R19" s="2282"/>
      <c r="S19" s="1909" t="s">
        <v>3688</v>
      </c>
      <c r="T19" s="1909" t="s">
        <v>3706</v>
      </c>
      <c r="U19" s="1909" t="s">
        <v>3707</v>
      </c>
      <c r="V19" s="1909" t="s">
        <v>3708</v>
      </c>
      <c r="W19" s="1909" t="s">
        <v>3688</v>
      </c>
      <c r="X19" s="1909" t="s">
        <v>3709</v>
      </c>
      <c r="Y19" s="1909" t="s">
        <v>3710</v>
      </c>
      <c r="Z19" s="1909"/>
      <c r="AA19" s="1909" t="s">
        <v>3694</v>
      </c>
      <c r="AB19" s="1909" t="s">
        <v>3711</v>
      </c>
      <c r="AC19" s="1909" t="s">
        <v>3696</v>
      </c>
      <c r="AD19" s="2283" t="s">
        <v>3712</v>
      </c>
      <c r="AE19" s="2281"/>
      <c r="AF19" s="2282"/>
      <c r="AG19" s="2283" t="s">
        <v>3713</v>
      </c>
      <c r="AH19" s="2281"/>
      <c r="AI19" s="2282"/>
      <c r="AJ19" s="1909" t="s">
        <v>3714</v>
      </c>
      <c r="AK19" s="2283" t="s">
        <v>3715</v>
      </c>
      <c r="AL19" s="2281"/>
      <c r="AM19" s="2259"/>
      <c r="AN19" s="2281"/>
      <c r="AO19" s="2282"/>
      <c r="AP19" s="1909" t="s">
        <v>3716</v>
      </c>
      <c r="BC19" s="214"/>
      <c r="BD19" s="214"/>
      <c r="BE19" s="214"/>
      <c r="BF19" s="214"/>
    </row>
    <row r="20" spans="1:58" ht="45" hidden="1" customHeight="1">
      <c r="B20" s="2277"/>
      <c r="C20" s="2259"/>
      <c r="D20" s="2260"/>
      <c r="E20" s="1908" t="s">
        <v>3682</v>
      </c>
      <c r="F20" s="1908" t="s">
        <v>3683</v>
      </c>
      <c r="G20" s="1908"/>
      <c r="H20" s="2278" t="s">
        <v>3703</v>
      </c>
      <c r="I20" s="2259"/>
      <c r="J20" s="2260"/>
      <c r="K20" s="2278" t="s">
        <v>3717</v>
      </c>
      <c r="L20" s="2260"/>
      <c r="M20" s="1908" t="e">
        <f>VLOOKUP(K20,'Estimate Details'!$R:$BR,20,FALSE)</f>
        <v>#N/A</v>
      </c>
      <c r="N20" s="1908" t="e">
        <f>VLOOKUP(M20,#REF!,2,FALSE)</f>
        <v>#N/A</v>
      </c>
      <c r="O20" s="1908" t="s">
        <v>3705</v>
      </c>
      <c r="P20" s="2278" t="s">
        <v>3687</v>
      </c>
      <c r="Q20" s="2259"/>
      <c r="R20" s="2260"/>
      <c r="S20" s="1908" t="s">
        <v>3688</v>
      </c>
      <c r="T20" s="1908" t="s">
        <v>3706</v>
      </c>
      <c r="U20" s="1908" t="s">
        <v>3707</v>
      </c>
      <c r="V20" s="1908" t="s">
        <v>3708</v>
      </c>
      <c r="W20" s="1908" t="s">
        <v>3688</v>
      </c>
      <c r="X20" s="1908" t="s">
        <v>3709</v>
      </c>
      <c r="Y20" s="1908" t="s">
        <v>3710</v>
      </c>
      <c r="Z20" s="1908"/>
      <c r="AA20" s="1908" t="s">
        <v>3694</v>
      </c>
      <c r="AB20" s="1908" t="s">
        <v>3711</v>
      </c>
      <c r="AC20" s="1908" t="s">
        <v>3696</v>
      </c>
      <c r="AD20" s="2278" t="s">
        <v>3712</v>
      </c>
      <c r="AE20" s="2259"/>
      <c r="AF20" s="2260"/>
      <c r="AG20" s="2278" t="s">
        <v>3696</v>
      </c>
      <c r="AH20" s="2259"/>
      <c r="AI20" s="2260"/>
      <c r="AJ20" s="1908" t="s">
        <v>3714</v>
      </c>
      <c r="AK20" s="2278" t="s">
        <v>3715</v>
      </c>
      <c r="AL20" s="2259"/>
      <c r="AM20" s="2259"/>
      <c r="AN20" s="2259"/>
      <c r="AO20" s="2260"/>
      <c r="AP20" s="1908" t="s">
        <v>3716</v>
      </c>
      <c r="BC20" s="214"/>
      <c r="BD20" s="214"/>
      <c r="BE20" s="214"/>
      <c r="BF20" s="214"/>
    </row>
    <row r="21" spans="1:58" ht="45" hidden="1" customHeight="1">
      <c r="A21" s="808"/>
      <c r="B21" s="2280"/>
      <c r="C21" s="2281"/>
      <c r="D21" s="2282"/>
      <c r="E21" s="1909" t="s">
        <v>3682</v>
      </c>
      <c r="F21" s="1909" t="s">
        <v>3683</v>
      </c>
      <c r="G21" s="1909"/>
      <c r="H21" s="2283" t="s">
        <v>3703</v>
      </c>
      <c r="I21" s="2281"/>
      <c r="J21" s="2282"/>
      <c r="K21" s="2283" t="s">
        <v>3718</v>
      </c>
      <c r="L21" s="2282"/>
      <c r="M21" s="1909" t="e">
        <f>VLOOKUP(K21,'Estimate Details'!$R:$BR,20,FALSE)</f>
        <v>#N/A</v>
      </c>
      <c r="N21" s="1909" t="e">
        <f>VLOOKUP(M21,#REF!,2,FALSE)</f>
        <v>#N/A</v>
      </c>
      <c r="O21" s="1909" t="s">
        <v>3705</v>
      </c>
      <c r="P21" s="2284" t="s">
        <v>3687</v>
      </c>
      <c r="Q21" s="2281"/>
      <c r="R21" s="2282"/>
      <c r="S21" s="1909" t="s">
        <v>3688</v>
      </c>
      <c r="T21" s="1909" t="s">
        <v>3706</v>
      </c>
      <c r="U21" s="1909" t="s">
        <v>3690</v>
      </c>
      <c r="V21" s="1909" t="s">
        <v>3708</v>
      </c>
      <c r="W21" s="1909" t="s">
        <v>3688</v>
      </c>
      <c r="X21" s="1909" t="s">
        <v>3709</v>
      </c>
      <c r="Y21" s="1909" t="s">
        <v>3710</v>
      </c>
      <c r="Z21" s="1909"/>
      <c r="AA21" s="1909" t="s">
        <v>3694</v>
      </c>
      <c r="AB21" s="1909" t="s">
        <v>3711</v>
      </c>
      <c r="AC21" s="1909" t="s">
        <v>3696</v>
      </c>
      <c r="AD21" s="2283" t="s">
        <v>3719</v>
      </c>
      <c r="AE21" s="2281"/>
      <c r="AF21" s="2282"/>
      <c r="AG21" s="2283" t="s">
        <v>3696</v>
      </c>
      <c r="AH21" s="2281"/>
      <c r="AI21" s="2282"/>
      <c r="AJ21" s="1909" t="s">
        <v>3714</v>
      </c>
      <c r="AK21" s="2283" t="s">
        <v>3715</v>
      </c>
      <c r="AL21" s="2281"/>
      <c r="AM21" s="2259"/>
      <c r="AN21" s="2281"/>
      <c r="AO21" s="2282"/>
      <c r="AP21" s="1909" t="s">
        <v>3699</v>
      </c>
      <c r="BC21" s="214"/>
      <c r="BD21" s="214"/>
      <c r="BE21" s="214"/>
      <c r="BF21" s="214"/>
    </row>
    <row r="22" spans="1:58" ht="45" hidden="1" customHeight="1">
      <c r="B22" s="2277"/>
      <c r="C22" s="2259"/>
      <c r="D22" s="2260"/>
      <c r="E22" s="1908" t="s">
        <v>3682</v>
      </c>
      <c r="F22" s="1908" t="s">
        <v>3683</v>
      </c>
      <c r="G22" s="1908"/>
      <c r="H22" s="2278" t="s">
        <v>3703</v>
      </c>
      <c r="I22" s="2259"/>
      <c r="J22" s="2260"/>
      <c r="K22" s="2278" t="s">
        <v>3720</v>
      </c>
      <c r="L22" s="2260"/>
      <c r="M22" s="1908" t="e">
        <f>VLOOKUP(K22,'Estimate Details'!$R:$BR,20,FALSE)</f>
        <v>#N/A</v>
      </c>
      <c r="N22" s="1908" t="e">
        <f>VLOOKUP(M22,#REF!,2,FALSE)</f>
        <v>#N/A</v>
      </c>
      <c r="O22" s="1908" t="s">
        <v>3705</v>
      </c>
      <c r="P22" s="2278" t="s">
        <v>3687</v>
      </c>
      <c r="Q22" s="2259"/>
      <c r="R22" s="2260"/>
      <c r="S22" s="1908" t="s">
        <v>3688</v>
      </c>
      <c r="T22" s="1908" t="s">
        <v>3706</v>
      </c>
      <c r="U22" s="1908" t="s">
        <v>3690</v>
      </c>
      <c r="V22" s="1908" t="s">
        <v>3708</v>
      </c>
      <c r="W22" s="1908" t="s">
        <v>3688</v>
      </c>
      <c r="X22" s="1908" t="s">
        <v>3709</v>
      </c>
      <c r="Y22" s="1908" t="s">
        <v>3710</v>
      </c>
      <c r="Z22" s="1908"/>
      <c r="AA22" s="1908" t="s">
        <v>3694</v>
      </c>
      <c r="AB22" s="1908" t="s">
        <v>3711</v>
      </c>
      <c r="AC22" s="1908" t="s">
        <v>3696</v>
      </c>
      <c r="AD22" s="2278" t="s">
        <v>1</v>
      </c>
      <c r="AE22" s="2259"/>
      <c r="AF22" s="2260"/>
      <c r="AG22" s="2278" t="s">
        <v>3696</v>
      </c>
      <c r="AH22" s="2259"/>
      <c r="AI22" s="2260"/>
      <c r="AJ22" s="1908" t="s">
        <v>3714</v>
      </c>
      <c r="AK22" s="2278" t="s">
        <v>3715</v>
      </c>
      <c r="AL22" s="2259"/>
      <c r="AM22" s="2259"/>
      <c r="AN22" s="2259"/>
      <c r="AO22" s="2260"/>
      <c r="AP22" s="1908" t="s">
        <v>3699</v>
      </c>
      <c r="BC22" s="214"/>
      <c r="BD22" s="214"/>
      <c r="BE22" s="214"/>
      <c r="BF22" s="214"/>
    </row>
    <row r="23" spans="1:58" ht="45" hidden="1" customHeight="1">
      <c r="A23" s="808"/>
      <c r="B23" s="2280"/>
      <c r="C23" s="2281"/>
      <c r="D23" s="2282"/>
      <c r="E23" s="1909" t="s">
        <v>3682</v>
      </c>
      <c r="F23" s="1909" t="s">
        <v>3683</v>
      </c>
      <c r="G23" s="1909"/>
      <c r="H23" s="2283" t="s">
        <v>3703</v>
      </c>
      <c r="I23" s="2281"/>
      <c r="J23" s="2282"/>
      <c r="K23" s="2283" t="s">
        <v>3721</v>
      </c>
      <c r="L23" s="2282"/>
      <c r="M23" s="1909" t="e">
        <f>VLOOKUP(K23,'Estimate Details'!$R:$BR,20,FALSE)</f>
        <v>#N/A</v>
      </c>
      <c r="N23" s="1909" t="e">
        <f>VLOOKUP(M23,#REF!,2,FALSE)</f>
        <v>#N/A</v>
      </c>
      <c r="O23" s="1909" t="s">
        <v>3705</v>
      </c>
      <c r="P23" s="2284" t="s">
        <v>3687</v>
      </c>
      <c r="Q23" s="2281"/>
      <c r="R23" s="2282"/>
      <c r="S23" s="1909" t="s">
        <v>3688</v>
      </c>
      <c r="T23" s="1909" t="s">
        <v>3689</v>
      </c>
      <c r="U23" s="1909" t="s">
        <v>3690</v>
      </c>
      <c r="V23" s="1909" t="s">
        <v>3708</v>
      </c>
      <c r="W23" s="1909" t="s">
        <v>3688</v>
      </c>
      <c r="X23" s="1909" t="s">
        <v>3709</v>
      </c>
      <c r="Y23" s="1909" t="s">
        <v>3710</v>
      </c>
      <c r="Z23" s="1909"/>
      <c r="AA23" s="1909" t="s">
        <v>3694</v>
      </c>
      <c r="AB23" s="1909" t="s">
        <v>3711</v>
      </c>
      <c r="AC23" s="1909" t="s">
        <v>3696</v>
      </c>
      <c r="AD23" s="2283" t="s">
        <v>3722</v>
      </c>
      <c r="AE23" s="2281"/>
      <c r="AF23" s="2282"/>
      <c r="AG23" s="2283" t="s">
        <v>3696</v>
      </c>
      <c r="AH23" s="2281"/>
      <c r="AI23" s="2282"/>
      <c r="AJ23" s="1909" t="s">
        <v>3714</v>
      </c>
      <c r="AK23" s="2283" t="s">
        <v>3715</v>
      </c>
      <c r="AL23" s="2281"/>
      <c r="AM23" s="2259"/>
      <c r="AN23" s="2281"/>
      <c r="AO23" s="2282"/>
      <c r="AP23" s="1909" t="s">
        <v>3699</v>
      </c>
      <c r="BC23" s="214"/>
      <c r="BD23" s="214"/>
      <c r="BE23" s="214"/>
      <c r="BF23" s="214"/>
    </row>
    <row r="24" spans="1:58" ht="45" hidden="1" customHeight="1">
      <c r="B24" s="2277"/>
      <c r="C24" s="2259"/>
      <c r="D24" s="2260"/>
      <c r="E24" s="1908" t="s">
        <v>3682</v>
      </c>
      <c r="F24" s="1908" t="s">
        <v>3683</v>
      </c>
      <c r="G24" s="1908"/>
      <c r="H24" s="2278" t="s">
        <v>3703</v>
      </c>
      <c r="I24" s="2259"/>
      <c r="J24" s="2260"/>
      <c r="K24" s="2278" t="s">
        <v>3723</v>
      </c>
      <c r="L24" s="2260"/>
      <c r="M24" s="1908" t="e">
        <f>VLOOKUP(K24,'Estimate Details'!$R:$BR,20,FALSE)</f>
        <v>#N/A</v>
      </c>
      <c r="N24" s="1908" t="e">
        <f>VLOOKUP(M24,#REF!,2,FALSE)</f>
        <v>#N/A</v>
      </c>
      <c r="O24" s="1908" t="s">
        <v>3705</v>
      </c>
      <c r="P24" s="2278" t="s">
        <v>3687</v>
      </c>
      <c r="Q24" s="2259"/>
      <c r="R24" s="2260"/>
      <c r="S24" s="1908" t="s">
        <v>3688</v>
      </c>
      <c r="T24" s="1908" t="s">
        <v>3689</v>
      </c>
      <c r="U24" s="1908" t="s">
        <v>3690</v>
      </c>
      <c r="V24" s="1908" t="s">
        <v>3708</v>
      </c>
      <c r="W24" s="1908" t="s">
        <v>3688</v>
      </c>
      <c r="X24" s="1908" t="s">
        <v>3709</v>
      </c>
      <c r="Y24" s="1908" t="s">
        <v>3710</v>
      </c>
      <c r="Z24" s="1908"/>
      <c r="AA24" s="1908" t="s">
        <v>3694</v>
      </c>
      <c r="AB24" s="1908" t="s">
        <v>3711</v>
      </c>
      <c r="AC24" s="1908" t="s">
        <v>3696</v>
      </c>
      <c r="AD24" s="2278" t="s">
        <v>3722</v>
      </c>
      <c r="AE24" s="2259"/>
      <c r="AF24" s="2260"/>
      <c r="AG24" s="2278" t="s">
        <v>3696</v>
      </c>
      <c r="AH24" s="2259"/>
      <c r="AI24" s="2260"/>
      <c r="AJ24" s="1908" t="s">
        <v>3714</v>
      </c>
      <c r="AK24" s="2278" t="s">
        <v>3715</v>
      </c>
      <c r="AL24" s="2259"/>
      <c r="AM24" s="2259"/>
      <c r="AN24" s="2259"/>
      <c r="AO24" s="2260"/>
      <c r="AP24" s="1908" t="s">
        <v>3699</v>
      </c>
      <c r="BC24" s="214"/>
      <c r="BD24" s="214"/>
      <c r="BE24" s="214"/>
      <c r="BF24" s="214"/>
    </row>
    <row r="25" spans="1:58" ht="45" hidden="1" customHeight="1">
      <c r="A25" s="808"/>
      <c r="B25" s="2280"/>
      <c r="C25" s="2281"/>
      <c r="D25" s="2282"/>
      <c r="E25" s="1909" t="s">
        <v>3682</v>
      </c>
      <c r="F25" s="1909" t="s">
        <v>3683</v>
      </c>
      <c r="G25" s="1909"/>
      <c r="H25" s="2283" t="s">
        <v>3703</v>
      </c>
      <c r="I25" s="2281"/>
      <c r="J25" s="2282"/>
      <c r="K25" s="2283" t="s">
        <v>3724</v>
      </c>
      <c r="L25" s="2282"/>
      <c r="M25" s="1909" t="e">
        <f>VLOOKUP(K25,'Estimate Details'!$R:$BR,20,FALSE)</f>
        <v>#N/A</v>
      </c>
      <c r="N25" s="1909" t="e">
        <f>VLOOKUP(M25,#REF!,2,FALSE)</f>
        <v>#N/A</v>
      </c>
      <c r="O25" s="1909" t="s">
        <v>3725</v>
      </c>
      <c r="P25" s="2284" t="s">
        <v>3687</v>
      </c>
      <c r="Q25" s="2281"/>
      <c r="R25" s="2282"/>
      <c r="S25" s="1909" t="s">
        <v>3688</v>
      </c>
      <c r="T25" s="1909" t="s">
        <v>3689</v>
      </c>
      <c r="U25" s="1909" t="s">
        <v>3690</v>
      </c>
      <c r="V25" s="1909" t="s">
        <v>3708</v>
      </c>
      <c r="W25" s="1909" t="s">
        <v>3688</v>
      </c>
      <c r="X25" s="1909" t="s">
        <v>3726</v>
      </c>
      <c r="Y25" s="1909" t="s">
        <v>3727</v>
      </c>
      <c r="Z25" s="1909"/>
      <c r="AA25" s="1909" t="s">
        <v>3694</v>
      </c>
      <c r="AB25" s="1909" t="s">
        <v>3728</v>
      </c>
      <c r="AC25" s="1909" t="s">
        <v>3729</v>
      </c>
      <c r="AD25" s="2283" t="s">
        <v>3730</v>
      </c>
      <c r="AE25" s="2281"/>
      <c r="AF25" s="2282"/>
      <c r="AG25" s="2283" t="s">
        <v>3696</v>
      </c>
      <c r="AH25" s="2281"/>
      <c r="AI25" s="2282"/>
      <c r="AJ25" s="1909" t="s">
        <v>3731</v>
      </c>
      <c r="AK25" s="2283" t="s">
        <v>3732</v>
      </c>
      <c r="AL25" s="2281"/>
      <c r="AM25" s="2259"/>
      <c r="AN25" s="2281"/>
      <c r="AO25" s="2282"/>
      <c r="AP25" s="1909" t="s">
        <v>3699</v>
      </c>
      <c r="BC25" s="214"/>
      <c r="BD25" s="214"/>
      <c r="BE25" s="214"/>
      <c r="BF25" s="214"/>
    </row>
    <row r="26" spans="1:58" ht="45" hidden="1" customHeight="1">
      <c r="B26" s="2277"/>
      <c r="C26" s="2259"/>
      <c r="D26" s="2260"/>
      <c r="E26" s="1908" t="s">
        <v>3682</v>
      </c>
      <c r="F26" s="1908" t="s">
        <v>3683</v>
      </c>
      <c r="G26" s="1908"/>
      <c r="H26" s="2278" t="s">
        <v>3703</v>
      </c>
      <c r="I26" s="2259"/>
      <c r="J26" s="2260"/>
      <c r="K26" s="2278" t="s">
        <v>3733</v>
      </c>
      <c r="L26" s="2260"/>
      <c r="M26" s="1908" t="e">
        <f>VLOOKUP(K26,'Estimate Details'!$R:$BR,20,FALSE)</f>
        <v>#N/A</v>
      </c>
      <c r="N26" s="1908" t="e">
        <f>VLOOKUP(M26,#REF!,2,FALSE)</f>
        <v>#N/A</v>
      </c>
      <c r="O26" s="1908" t="s">
        <v>3725</v>
      </c>
      <c r="P26" s="2278" t="s">
        <v>3687</v>
      </c>
      <c r="Q26" s="2259"/>
      <c r="R26" s="2260"/>
      <c r="S26" s="1908" t="s">
        <v>3688</v>
      </c>
      <c r="T26" s="1908" t="s">
        <v>3689</v>
      </c>
      <c r="U26" s="1908" t="s">
        <v>3690</v>
      </c>
      <c r="V26" s="1908" t="s">
        <v>3708</v>
      </c>
      <c r="W26" s="1908" t="s">
        <v>3688</v>
      </c>
      <c r="X26" s="1908" t="s">
        <v>3726</v>
      </c>
      <c r="Y26" s="1908" t="s">
        <v>3727</v>
      </c>
      <c r="Z26" s="1908"/>
      <c r="AA26" s="1908" t="s">
        <v>3694</v>
      </c>
      <c r="AB26" s="1908" t="s">
        <v>3728</v>
      </c>
      <c r="AC26" s="1908" t="s">
        <v>3729</v>
      </c>
      <c r="AD26" s="2278" t="s">
        <v>3730</v>
      </c>
      <c r="AE26" s="2259"/>
      <c r="AF26" s="2260"/>
      <c r="AG26" s="2278" t="s">
        <v>3696</v>
      </c>
      <c r="AH26" s="2259"/>
      <c r="AI26" s="2260"/>
      <c r="AJ26" s="1908" t="s">
        <v>3731</v>
      </c>
      <c r="AK26" s="2278" t="s">
        <v>3732</v>
      </c>
      <c r="AL26" s="2259"/>
      <c r="AM26" s="2259"/>
      <c r="AN26" s="2259"/>
      <c r="AO26" s="2260"/>
      <c r="AP26" s="1908" t="s">
        <v>3699</v>
      </c>
      <c r="BC26" s="214"/>
      <c r="BD26" s="214"/>
      <c r="BE26" s="214"/>
      <c r="BF26" s="214"/>
    </row>
    <row r="27" spans="1:58" ht="45" hidden="1" customHeight="1">
      <c r="A27" s="808"/>
      <c r="B27" s="2280"/>
      <c r="C27" s="2281"/>
      <c r="D27" s="2282"/>
      <c r="E27" s="1909" t="s">
        <v>3682</v>
      </c>
      <c r="F27" s="1909" t="s">
        <v>3683</v>
      </c>
      <c r="G27" s="1909"/>
      <c r="H27" s="2283" t="s">
        <v>3703</v>
      </c>
      <c r="I27" s="2281"/>
      <c r="J27" s="2282"/>
      <c r="K27" s="2283" t="s">
        <v>3734</v>
      </c>
      <c r="L27" s="2282"/>
      <c r="M27" s="1909" t="e">
        <f>VLOOKUP(K27,'Estimate Details'!$R:$BR,20,FALSE)</f>
        <v>#N/A</v>
      </c>
      <c r="N27" s="1909" t="e">
        <f>VLOOKUP(M27,#REF!,2,FALSE)</f>
        <v>#N/A</v>
      </c>
      <c r="O27" s="1909" t="s">
        <v>3725</v>
      </c>
      <c r="P27" s="2284" t="s">
        <v>3687</v>
      </c>
      <c r="Q27" s="2281"/>
      <c r="R27" s="2282"/>
      <c r="S27" s="1909" t="s">
        <v>3688</v>
      </c>
      <c r="T27" s="1909" t="s">
        <v>3689</v>
      </c>
      <c r="U27" s="1909" t="s">
        <v>3690</v>
      </c>
      <c r="V27" s="1909" t="s">
        <v>3708</v>
      </c>
      <c r="W27" s="1909" t="s">
        <v>3688</v>
      </c>
      <c r="X27" s="1909" t="s">
        <v>3726</v>
      </c>
      <c r="Y27" s="1909" t="s">
        <v>3727</v>
      </c>
      <c r="Z27" s="1909"/>
      <c r="AA27" s="1909" t="s">
        <v>3694</v>
      </c>
      <c r="AB27" s="1909" t="s">
        <v>3728</v>
      </c>
      <c r="AC27" s="1909" t="s">
        <v>3729</v>
      </c>
      <c r="AD27" s="2283" t="s">
        <v>3730</v>
      </c>
      <c r="AE27" s="2281"/>
      <c r="AF27" s="2282"/>
      <c r="AG27" s="2283" t="s">
        <v>3696</v>
      </c>
      <c r="AH27" s="2281"/>
      <c r="AI27" s="2282"/>
      <c r="AJ27" s="1909" t="s">
        <v>3731</v>
      </c>
      <c r="AK27" s="2283" t="s">
        <v>3732</v>
      </c>
      <c r="AL27" s="2281"/>
      <c r="AM27" s="2259"/>
      <c r="AN27" s="2281"/>
      <c r="AO27" s="2282"/>
      <c r="AP27" s="1909" t="s">
        <v>3699</v>
      </c>
      <c r="BC27" s="214"/>
      <c r="BD27" s="214"/>
      <c r="BE27" s="214"/>
      <c r="BF27" s="214"/>
    </row>
    <row r="28" spans="1:58" ht="45" hidden="1" customHeight="1">
      <c r="B28" s="2277"/>
      <c r="C28" s="2259"/>
      <c r="D28" s="2260"/>
      <c r="E28" s="1908" t="s">
        <v>3682</v>
      </c>
      <c r="F28" s="1908" t="s">
        <v>3683</v>
      </c>
      <c r="G28" s="1908"/>
      <c r="H28" s="2278" t="s">
        <v>3703</v>
      </c>
      <c r="I28" s="2259"/>
      <c r="J28" s="2260"/>
      <c r="K28" s="2278" t="s">
        <v>3735</v>
      </c>
      <c r="L28" s="2260"/>
      <c r="M28" s="1908" t="e">
        <f>VLOOKUP(K28,'Estimate Details'!$R:$BR,20,FALSE)</f>
        <v>#N/A</v>
      </c>
      <c r="N28" s="1908" t="e">
        <f>VLOOKUP(M28,#REF!,2,FALSE)</f>
        <v>#N/A</v>
      </c>
      <c r="O28" s="1908" t="s">
        <v>3725</v>
      </c>
      <c r="P28" s="2278" t="s">
        <v>3687</v>
      </c>
      <c r="Q28" s="2259"/>
      <c r="R28" s="2260"/>
      <c r="S28" s="1908" t="s">
        <v>3688</v>
      </c>
      <c r="T28" s="1908" t="s">
        <v>3689</v>
      </c>
      <c r="U28" s="1908" t="s">
        <v>3690</v>
      </c>
      <c r="V28" s="1908" t="s">
        <v>3708</v>
      </c>
      <c r="W28" s="1908" t="s">
        <v>3688</v>
      </c>
      <c r="X28" s="1908" t="s">
        <v>3726</v>
      </c>
      <c r="Y28" s="1908" t="s">
        <v>3727</v>
      </c>
      <c r="Z28" s="1908"/>
      <c r="AA28" s="1908" t="s">
        <v>3694</v>
      </c>
      <c r="AB28" s="1908" t="s">
        <v>3728</v>
      </c>
      <c r="AC28" s="1908" t="s">
        <v>3729</v>
      </c>
      <c r="AD28" s="2278" t="s">
        <v>3730</v>
      </c>
      <c r="AE28" s="2259"/>
      <c r="AF28" s="2260"/>
      <c r="AG28" s="2278" t="s">
        <v>3696</v>
      </c>
      <c r="AH28" s="2259"/>
      <c r="AI28" s="2260"/>
      <c r="AJ28" s="1908" t="s">
        <v>3731</v>
      </c>
      <c r="AK28" s="2278" t="s">
        <v>3732</v>
      </c>
      <c r="AL28" s="2259"/>
      <c r="AM28" s="2259"/>
      <c r="AN28" s="2259"/>
      <c r="AO28" s="2260"/>
      <c r="AP28" s="1908" t="s">
        <v>3699</v>
      </c>
      <c r="BC28" s="214"/>
      <c r="BD28" s="214"/>
      <c r="BE28" s="214"/>
      <c r="BF28" s="214"/>
    </row>
    <row r="29" spans="1:58" ht="39" hidden="1" customHeight="1">
      <c r="A29" s="808"/>
      <c r="B29" s="2280"/>
      <c r="C29" s="2281"/>
      <c r="D29" s="2282"/>
      <c r="E29" s="1909" t="s">
        <v>3682</v>
      </c>
      <c r="F29" s="1909" t="s">
        <v>3683</v>
      </c>
      <c r="G29" s="1909"/>
      <c r="H29" s="2283" t="s">
        <v>3703</v>
      </c>
      <c r="I29" s="2281"/>
      <c r="J29" s="2282"/>
      <c r="K29" s="2283" t="s">
        <v>3736</v>
      </c>
      <c r="L29" s="2282"/>
      <c r="M29" s="1909" t="e">
        <f>VLOOKUP(K29,'Estimate Details'!$R:$BR,20,FALSE)</f>
        <v>#N/A</v>
      </c>
      <c r="N29" s="1909" t="e">
        <f>VLOOKUP(M29,#REF!,2,FALSE)</f>
        <v>#N/A</v>
      </c>
      <c r="O29" s="1909" t="s">
        <v>3725</v>
      </c>
      <c r="P29" s="2284" t="s">
        <v>3687</v>
      </c>
      <c r="Q29" s="2281"/>
      <c r="R29" s="2282"/>
      <c r="S29" s="1909" t="s">
        <v>3688</v>
      </c>
      <c r="T29" s="1909" t="s">
        <v>3689</v>
      </c>
      <c r="U29" s="1909" t="s">
        <v>3690</v>
      </c>
      <c r="V29" s="1909" t="s">
        <v>3708</v>
      </c>
      <c r="W29" s="1909" t="s">
        <v>3688</v>
      </c>
      <c r="X29" s="1909" t="s">
        <v>3726</v>
      </c>
      <c r="Y29" s="1909" t="s">
        <v>3727</v>
      </c>
      <c r="Z29" s="1909"/>
      <c r="AA29" s="1909" t="s">
        <v>3694</v>
      </c>
      <c r="AB29" s="1909" t="s">
        <v>3728</v>
      </c>
      <c r="AC29" s="1909" t="s">
        <v>3729</v>
      </c>
      <c r="AD29" s="2283" t="s">
        <v>3730</v>
      </c>
      <c r="AE29" s="2281"/>
      <c r="AF29" s="2282"/>
      <c r="AG29" s="2283" t="s">
        <v>3696</v>
      </c>
      <c r="AH29" s="2281"/>
      <c r="AI29" s="2282"/>
      <c r="AJ29" s="1909" t="s">
        <v>3731</v>
      </c>
      <c r="AK29" s="2283" t="s">
        <v>3732</v>
      </c>
      <c r="AL29" s="2281"/>
      <c r="AM29" s="2259"/>
      <c r="AN29" s="2281"/>
      <c r="AO29" s="2282"/>
      <c r="AP29" s="1909" t="s">
        <v>3699</v>
      </c>
      <c r="BC29" s="214"/>
      <c r="BD29" s="214"/>
      <c r="BE29" s="214"/>
      <c r="BF29" s="214"/>
    </row>
    <row r="30" spans="1:58" ht="45" hidden="1" customHeight="1">
      <c r="B30" s="2277"/>
      <c r="C30" s="2259"/>
      <c r="D30" s="2260"/>
      <c r="E30" s="1908" t="s">
        <v>3682</v>
      </c>
      <c r="F30" s="1908" t="s">
        <v>3683</v>
      </c>
      <c r="G30" s="1908"/>
      <c r="H30" s="2278" t="s">
        <v>3703</v>
      </c>
      <c r="I30" s="2259"/>
      <c r="J30" s="2260"/>
      <c r="K30" s="2278" t="s">
        <v>3737</v>
      </c>
      <c r="L30" s="2260"/>
      <c r="M30" s="1908" t="e">
        <f>VLOOKUP(K30,'Estimate Details'!$R:$BR,20,FALSE)</f>
        <v>#N/A</v>
      </c>
      <c r="N30" s="1908" t="e">
        <f>VLOOKUP(M30,#REF!,2,FALSE)</f>
        <v>#N/A</v>
      </c>
      <c r="O30" s="1908" t="s">
        <v>3725</v>
      </c>
      <c r="P30" s="2278" t="s">
        <v>3687</v>
      </c>
      <c r="Q30" s="2259"/>
      <c r="R30" s="2260"/>
      <c r="S30" s="1908" t="s">
        <v>3688</v>
      </c>
      <c r="T30" s="1908" t="s">
        <v>3689</v>
      </c>
      <c r="U30" s="1908" t="s">
        <v>3690</v>
      </c>
      <c r="V30" s="1908" t="s">
        <v>3708</v>
      </c>
      <c r="W30" s="1908" t="s">
        <v>3688</v>
      </c>
      <c r="X30" s="1908" t="s">
        <v>3726</v>
      </c>
      <c r="Y30" s="1908" t="s">
        <v>3727</v>
      </c>
      <c r="Z30" s="1908"/>
      <c r="AA30" s="1908" t="s">
        <v>3694</v>
      </c>
      <c r="AB30" s="1908" t="s">
        <v>3728</v>
      </c>
      <c r="AC30" s="1908" t="s">
        <v>3729</v>
      </c>
      <c r="AD30" s="2278" t="s">
        <v>3730</v>
      </c>
      <c r="AE30" s="2259"/>
      <c r="AF30" s="2260"/>
      <c r="AG30" s="2278" t="s">
        <v>3696</v>
      </c>
      <c r="AH30" s="2259"/>
      <c r="AI30" s="2260"/>
      <c r="AJ30" s="1908" t="s">
        <v>3731</v>
      </c>
      <c r="AK30" s="2278" t="s">
        <v>3732</v>
      </c>
      <c r="AL30" s="2259"/>
      <c r="AM30" s="2259"/>
      <c r="AN30" s="2259"/>
      <c r="AO30" s="2260"/>
      <c r="AP30" s="1908" t="s">
        <v>3699</v>
      </c>
      <c r="BC30" s="214"/>
      <c r="BD30" s="214"/>
      <c r="BE30" s="214"/>
      <c r="BF30" s="214"/>
    </row>
    <row r="31" spans="1:58" ht="45" hidden="1" customHeight="1">
      <c r="A31" s="808"/>
      <c r="B31" s="2280"/>
      <c r="C31" s="2281"/>
      <c r="D31" s="2282"/>
      <c r="E31" s="1909" t="s">
        <v>3682</v>
      </c>
      <c r="F31" s="1909" t="s">
        <v>3683</v>
      </c>
      <c r="G31" s="1909"/>
      <c r="H31" s="2283" t="s">
        <v>3703</v>
      </c>
      <c r="I31" s="2281"/>
      <c r="J31" s="2282"/>
      <c r="K31" s="2283" t="s">
        <v>3738</v>
      </c>
      <c r="L31" s="2282"/>
      <c r="M31" s="1909" t="e">
        <f>VLOOKUP(K31,'Estimate Details'!$R:$BR,20,FALSE)</f>
        <v>#N/A</v>
      </c>
      <c r="N31" s="1909" t="e">
        <f>VLOOKUP(M31,#REF!,2,FALSE)</f>
        <v>#N/A</v>
      </c>
      <c r="O31" s="1909" t="s">
        <v>3725</v>
      </c>
      <c r="P31" s="2284" t="s">
        <v>3687</v>
      </c>
      <c r="Q31" s="2281"/>
      <c r="R31" s="2282"/>
      <c r="S31" s="1909" t="s">
        <v>3688</v>
      </c>
      <c r="T31" s="1909" t="s">
        <v>3689</v>
      </c>
      <c r="U31" s="1909" t="s">
        <v>3690</v>
      </c>
      <c r="V31" s="1909" t="s">
        <v>3708</v>
      </c>
      <c r="W31" s="1909" t="s">
        <v>3688</v>
      </c>
      <c r="X31" s="1909" t="s">
        <v>3726</v>
      </c>
      <c r="Y31" s="1909" t="s">
        <v>3727</v>
      </c>
      <c r="Z31" s="1909"/>
      <c r="AA31" s="1909" t="s">
        <v>3694</v>
      </c>
      <c r="AB31" s="1909" t="s">
        <v>3728</v>
      </c>
      <c r="AC31" s="1909" t="s">
        <v>3729</v>
      </c>
      <c r="AD31" s="2283" t="s">
        <v>3730</v>
      </c>
      <c r="AE31" s="2281"/>
      <c r="AF31" s="2282"/>
      <c r="AG31" s="2283" t="s">
        <v>3696</v>
      </c>
      <c r="AH31" s="2281"/>
      <c r="AI31" s="2282"/>
      <c r="AJ31" s="1909" t="s">
        <v>3731</v>
      </c>
      <c r="AK31" s="2283" t="s">
        <v>3732</v>
      </c>
      <c r="AL31" s="2281"/>
      <c r="AM31" s="2259"/>
      <c r="AN31" s="2281"/>
      <c r="AO31" s="2282"/>
      <c r="AP31" s="1909" t="s">
        <v>3699</v>
      </c>
      <c r="BC31" s="214"/>
      <c r="BD31" s="214"/>
      <c r="BE31" s="214"/>
      <c r="BF31" s="214"/>
    </row>
    <row r="32" spans="1:58" ht="45" hidden="1" customHeight="1">
      <c r="B32" s="2277"/>
      <c r="C32" s="2259"/>
      <c r="D32" s="2260"/>
      <c r="E32" s="1908" t="s">
        <v>3682</v>
      </c>
      <c r="F32" s="1908" t="s">
        <v>3683</v>
      </c>
      <c r="G32" s="1908"/>
      <c r="H32" s="2278" t="s">
        <v>3703</v>
      </c>
      <c r="I32" s="2259"/>
      <c r="J32" s="2260"/>
      <c r="K32" s="2278" t="s">
        <v>3739</v>
      </c>
      <c r="L32" s="2260"/>
      <c r="M32" s="1908" t="e">
        <f>VLOOKUP(K32,'Estimate Details'!$R:$BR,20,FALSE)</f>
        <v>#N/A</v>
      </c>
      <c r="N32" s="1908" t="e">
        <f>VLOOKUP(M32,#REF!,2,FALSE)</f>
        <v>#N/A</v>
      </c>
      <c r="O32" s="1908" t="s">
        <v>3725</v>
      </c>
      <c r="P32" s="2278" t="s">
        <v>3687</v>
      </c>
      <c r="Q32" s="2259"/>
      <c r="R32" s="2260"/>
      <c r="S32" s="1908" t="s">
        <v>3688</v>
      </c>
      <c r="T32" s="1908" t="s">
        <v>3689</v>
      </c>
      <c r="U32" s="1908" t="s">
        <v>3690</v>
      </c>
      <c r="V32" s="1908" t="s">
        <v>3708</v>
      </c>
      <c r="W32" s="1908" t="s">
        <v>3688</v>
      </c>
      <c r="X32" s="1908" t="s">
        <v>3726</v>
      </c>
      <c r="Y32" s="1908" t="s">
        <v>3727</v>
      </c>
      <c r="Z32" s="1908"/>
      <c r="AA32" s="1908" t="s">
        <v>3694</v>
      </c>
      <c r="AB32" s="1908" t="s">
        <v>3728</v>
      </c>
      <c r="AC32" s="1908" t="s">
        <v>3729</v>
      </c>
      <c r="AD32" s="2278" t="s">
        <v>3730</v>
      </c>
      <c r="AE32" s="2259"/>
      <c r="AF32" s="2260"/>
      <c r="AG32" s="2278" t="s">
        <v>3696</v>
      </c>
      <c r="AH32" s="2259"/>
      <c r="AI32" s="2260"/>
      <c r="AJ32" s="1908" t="s">
        <v>3731</v>
      </c>
      <c r="AK32" s="2278" t="s">
        <v>3732</v>
      </c>
      <c r="AL32" s="2259"/>
      <c r="AM32" s="2259"/>
      <c r="AN32" s="2259"/>
      <c r="AO32" s="2260"/>
      <c r="AP32" s="1908" t="s">
        <v>3699</v>
      </c>
      <c r="BC32" s="214"/>
      <c r="BD32" s="214"/>
      <c r="BE32" s="214"/>
      <c r="BF32" s="214"/>
    </row>
    <row r="33" spans="1:58" ht="45" hidden="1" customHeight="1">
      <c r="A33" s="808"/>
      <c r="B33" s="2280"/>
      <c r="C33" s="2281"/>
      <c r="D33" s="2282"/>
      <c r="E33" s="1909" t="s">
        <v>3682</v>
      </c>
      <c r="F33" s="1909" t="s">
        <v>3683</v>
      </c>
      <c r="G33" s="1909"/>
      <c r="H33" s="2283" t="s">
        <v>3703</v>
      </c>
      <c r="I33" s="2281"/>
      <c r="J33" s="2282"/>
      <c r="K33" s="2283" t="s">
        <v>3740</v>
      </c>
      <c r="L33" s="2282"/>
      <c r="M33" s="1909" t="e">
        <f>VLOOKUP(K33,'Estimate Details'!$R:$BR,20,FALSE)</f>
        <v>#N/A</v>
      </c>
      <c r="N33" s="1909" t="e">
        <f>VLOOKUP(M33,#REF!,2,FALSE)</f>
        <v>#N/A</v>
      </c>
      <c r="O33" s="1909" t="s">
        <v>3725</v>
      </c>
      <c r="P33" s="2284" t="s">
        <v>3687</v>
      </c>
      <c r="Q33" s="2281"/>
      <c r="R33" s="2282"/>
      <c r="S33" s="1909" t="s">
        <v>3688</v>
      </c>
      <c r="T33" s="1909" t="s">
        <v>3689</v>
      </c>
      <c r="U33" s="1909" t="s">
        <v>3690</v>
      </c>
      <c r="V33" s="1909" t="s">
        <v>3708</v>
      </c>
      <c r="W33" s="1909" t="s">
        <v>3688</v>
      </c>
      <c r="X33" s="1909" t="s">
        <v>3726</v>
      </c>
      <c r="Y33" s="1909" t="s">
        <v>3727</v>
      </c>
      <c r="Z33" s="1909"/>
      <c r="AA33" s="1909" t="s">
        <v>3694</v>
      </c>
      <c r="AB33" s="1909" t="s">
        <v>3728</v>
      </c>
      <c r="AC33" s="1909" t="s">
        <v>3729</v>
      </c>
      <c r="AD33" s="2283" t="s">
        <v>3730</v>
      </c>
      <c r="AE33" s="2281"/>
      <c r="AF33" s="2282"/>
      <c r="AG33" s="2283" t="s">
        <v>3696</v>
      </c>
      <c r="AH33" s="2281"/>
      <c r="AI33" s="2282"/>
      <c r="AJ33" s="1909" t="s">
        <v>3731</v>
      </c>
      <c r="AK33" s="2283" t="s">
        <v>3732</v>
      </c>
      <c r="AL33" s="2281"/>
      <c r="AM33" s="2259"/>
      <c r="AN33" s="2281"/>
      <c r="AO33" s="2282"/>
      <c r="AP33" s="1909" t="s">
        <v>3699</v>
      </c>
      <c r="BC33" s="214"/>
      <c r="BD33" s="214"/>
      <c r="BE33" s="214"/>
      <c r="BF33" s="214"/>
    </row>
    <row r="34" spans="1:58" ht="45" hidden="1" customHeight="1">
      <c r="B34" s="2277"/>
      <c r="C34" s="2259"/>
      <c r="D34" s="2260"/>
      <c r="E34" s="1908" t="s">
        <v>3682</v>
      </c>
      <c r="F34" s="1908" t="s">
        <v>3683</v>
      </c>
      <c r="G34" s="1908"/>
      <c r="H34" s="2278" t="s">
        <v>3703</v>
      </c>
      <c r="I34" s="2259"/>
      <c r="J34" s="2260"/>
      <c r="K34" s="2278" t="s">
        <v>3741</v>
      </c>
      <c r="L34" s="2260"/>
      <c r="M34" s="1908" t="e">
        <f>VLOOKUP(K34,'Estimate Details'!$R:$BR,20,FALSE)</f>
        <v>#N/A</v>
      </c>
      <c r="N34" s="1908" t="e">
        <f>VLOOKUP(M34,#REF!,2,FALSE)</f>
        <v>#N/A</v>
      </c>
      <c r="O34" s="1908" t="s">
        <v>3725</v>
      </c>
      <c r="P34" s="2278" t="s">
        <v>3687</v>
      </c>
      <c r="Q34" s="2259"/>
      <c r="R34" s="2260"/>
      <c r="S34" s="1908" t="s">
        <v>3688</v>
      </c>
      <c r="T34" s="1908" t="s">
        <v>3689</v>
      </c>
      <c r="U34" s="1908" t="s">
        <v>3690</v>
      </c>
      <c r="V34" s="1908" t="s">
        <v>3708</v>
      </c>
      <c r="W34" s="1908" t="s">
        <v>3688</v>
      </c>
      <c r="X34" s="1908" t="s">
        <v>3726</v>
      </c>
      <c r="Y34" s="1908" t="s">
        <v>3727</v>
      </c>
      <c r="Z34" s="1908"/>
      <c r="AA34" s="1908" t="s">
        <v>3694</v>
      </c>
      <c r="AB34" s="1908" t="s">
        <v>3728</v>
      </c>
      <c r="AC34" s="1908" t="s">
        <v>3729</v>
      </c>
      <c r="AD34" s="2278" t="s">
        <v>3730</v>
      </c>
      <c r="AE34" s="2259"/>
      <c r="AF34" s="2260"/>
      <c r="AG34" s="2278" t="s">
        <v>3696</v>
      </c>
      <c r="AH34" s="2259"/>
      <c r="AI34" s="2260"/>
      <c r="AJ34" s="1908" t="s">
        <v>3731</v>
      </c>
      <c r="AK34" s="2278" t="s">
        <v>3732</v>
      </c>
      <c r="AL34" s="2259"/>
      <c r="AM34" s="2259"/>
      <c r="AN34" s="2259"/>
      <c r="AO34" s="2260"/>
      <c r="AP34" s="1908" t="s">
        <v>3699</v>
      </c>
      <c r="BC34" s="214"/>
      <c r="BD34" s="214"/>
      <c r="BE34" s="214"/>
      <c r="BF34" s="214"/>
    </row>
    <row r="35" spans="1:58" ht="45" hidden="1" customHeight="1">
      <c r="A35" s="808"/>
      <c r="B35" s="2280"/>
      <c r="C35" s="2281"/>
      <c r="D35" s="2282"/>
      <c r="E35" s="1909" t="s">
        <v>3682</v>
      </c>
      <c r="F35" s="1909" t="s">
        <v>3683</v>
      </c>
      <c r="G35" s="1909"/>
      <c r="H35" s="2283" t="s">
        <v>3703</v>
      </c>
      <c r="I35" s="2281"/>
      <c r="J35" s="2282"/>
      <c r="K35" s="2283" t="s">
        <v>3742</v>
      </c>
      <c r="L35" s="2282"/>
      <c r="M35" s="1909" t="e">
        <f>VLOOKUP(K35,'Estimate Details'!$R:$BR,20,FALSE)</f>
        <v>#N/A</v>
      </c>
      <c r="N35" s="1909" t="e">
        <f>VLOOKUP(M35,#REF!,2,FALSE)</f>
        <v>#N/A</v>
      </c>
      <c r="O35" s="1909" t="s">
        <v>3743</v>
      </c>
      <c r="P35" s="2284" t="s">
        <v>3687</v>
      </c>
      <c r="Q35" s="2281"/>
      <c r="R35" s="2282"/>
      <c r="S35" s="1909" t="s">
        <v>3688</v>
      </c>
      <c r="T35" s="1909" t="s">
        <v>3689</v>
      </c>
      <c r="U35" s="1909" t="s">
        <v>3690</v>
      </c>
      <c r="V35" s="1909" t="s">
        <v>3708</v>
      </c>
      <c r="W35" s="1909" t="s">
        <v>3688</v>
      </c>
      <c r="X35" s="1909" t="s">
        <v>3744</v>
      </c>
      <c r="Y35" s="1909" t="s">
        <v>3745</v>
      </c>
      <c r="Z35" s="1909"/>
      <c r="AA35" s="1909" t="s">
        <v>3694</v>
      </c>
      <c r="AB35" s="1909" t="s">
        <v>3746</v>
      </c>
      <c r="AC35" s="1909" t="s">
        <v>3696</v>
      </c>
      <c r="AD35" s="2283" t="s">
        <v>3747</v>
      </c>
      <c r="AE35" s="2281"/>
      <c r="AF35" s="2282"/>
      <c r="AG35" s="2283" t="s">
        <v>3696</v>
      </c>
      <c r="AH35" s="2281"/>
      <c r="AI35" s="2282"/>
      <c r="AJ35" s="1909" t="s">
        <v>3714</v>
      </c>
      <c r="AK35" s="2283" t="s">
        <v>3748</v>
      </c>
      <c r="AL35" s="2281"/>
      <c r="AM35" s="2259"/>
      <c r="AN35" s="2281"/>
      <c r="AO35" s="2282"/>
      <c r="AP35" s="1909" t="s">
        <v>3699</v>
      </c>
      <c r="BC35" s="214"/>
      <c r="BD35" s="214"/>
      <c r="BE35" s="214"/>
      <c r="BF35" s="214"/>
    </row>
    <row r="36" spans="1:58" ht="45" hidden="1" customHeight="1">
      <c r="B36" s="2277"/>
      <c r="C36" s="2259"/>
      <c r="D36" s="2260"/>
      <c r="E36" s="1908" t="s">
        <v>3682</v>
      </c>
      <c r="F36" s="1908" t="s">
        <v>3683</v>
      </c>
      <c r="G36" s="1908"/>
      <c r="H36" s="2278" t="s">
        <v>3703</v>
      </c>
      <c r="I36" s="2259"/>
      <c r="J36" s="2260"/>
      <c r="K36" s="2278" t="s">
        <v>3749</v>
      </c>
      <c r="L36" s="2260"/>
      <c r="M36" s="1908" t="e">
        <f>VLOOKUP(K36,'Estimate Details'!$R:$BR,20,FALSE)</f>
        <v>#N/A</v>
      </c>
      <c r="N36" s="1908" t="e">
        <f>VLOOKUP(M36,#REF!,2,FALSE)</f>
        <v>#N/A</v>
      </c>
      <c r="O36" s="1908" t="s">
        <v>3743</v>
      </c>
      <c r="P36" s="2278" t="s">
        <v>3687</v>
      </c>
      <c r="Q36" s="2259"/>
      <c r="R36" s="2260"/>
      <c r="S36" s="1908" t="s">
        <v>3688</v>
      </c>
      <c r="T36" s="1908" t="s">
        <v>3689</v>
      </c>
      <c r="U36" s="1908" t="s">
        <v>3690</v>
      </c>
      <c r="V36" s="1908" t="s">
        <v>3708</v>
      </c>
      <c r="W36" s="1908" t="s">
        <v>3688</v>
      </c>
      <c r="X36" s="1908" t="s">
        <v>3744</v>
      </c>
      <c r="Y36" s="1908" t="s">
        <v>3745</v>
      </c>
      <c r="Z36" s="1908"/>
      <c r="AA36" s="1908" t="s">
        <v>3694</v>
      </c>
      <c r="AB36" s="1908" t="s">
        <v>3746</v>
      </c>
      <c r="AC36" s="1908" t="s">
        <v>3696</v>
      </c>
      <c r="AD36" s="2278" t="s">
        <v>3747</v>
      </c>
      <c r="AE36" s="2259"/>
      <c r="AF36" s="2260"/>
      <c r="AG36" s="2278" t="s">
        <v>3696</v>
      </c>
      <c r="AH36" s="2259"/>
      <c r="AI36" s="2260"/>
      <c r="AJ36" s="1908" t="s">
        <v>3714</v>
      </c>
      <c r="AK36" s="2278" t="s">
        <v>3748</v>
      </c>
      <c r="AL36" s="2259"/>
      <c r="AM36" s="2259"/>
      <c r="AN36" s="2259"/>
      <c r="AO36" s="2260"/>
      <c r="AP36" s="1908" t="s">
        <v>3699</v>
      </c>
      <c r="BC36" s="214"/>
      <c r="BD36" s="214"/>
      <c r="BE36" s="214"/>
      <c r="BF36" s="214"/>
    </row>
    <row r="37" spans="1:58" ht="45" hidden="1" customHeight="1">
      <c r="A37" s="808"/>
      <c r="B37" s="2280"/>
      <c r="C37" s="2281"/>
      <c r="D37" s="2282"/>
      <c r="E37" s="1909" t="s">
        <v>3682</v>
      </c>
      <c r="F37" s="1909" t="s">
        <v>3683</v>
      </c>
      <c r="G37" s="1909"/>
      <c r="H37" s="2283" t="s">
        <v>3750</v>
      </c>
      <c r="I37" s="2281"/>
      <c r="J37" s="2282"/>
      <c r="K37" s="2283" t="s">
        <v>3751</v>
      </c>
      <c r="L37" s="2282"/>
      <c r="M37" s="1909" t="e">
        <f>VLOOKUP(K37,'Estimate Details'!$R:$BR,20,FALSE)</f>
        <v>#N/A</v>
      </c>
      <c r="N37" s="1909" t="e">
        <f>VLOOKUP(M37,#REF!,2,FALSE)</f>
        <v>#N/A</v>
      </c>
      <c r="O37" s="1909" t="s">
        <v>3752</v>
      </c>
      <c r="P37" s="2284" t="s">
        <v>3687</v>
      </c>
      <c r="Q37" s="2281"/>
      <c r="R37" s="2282"/>
      <c r="S37" s="1909" t="s">
        <v>3688</v>
      </c>
      <c r="T37" s="1909" t="s">
        <v>3706</v>
      </c>
      <c r="U37" s="1909" t="s">
        <v>3690</v>
      </c>
      <c r="V37" s="1909" t="s">
        <v>3708</v>
      </c>
      <c r="W37" s="1909" t="s">
        <v>3688</v>
      </c>
      <c r="X37" s="1909" t="s">
        <v>3753</v>
      </c>
      <c r="Y37" s="1909" t="s">
        <v>3754</v>
      </c>
      <c r="Z37" s="1909"/>
      <c r="AA37" s="1909" t="s">
        <v>3694</v>
      </c>
      <c r="AB37" s="1909" t="s">
        <v>3755</v>
      </c>
      <c r="AC37" s="1909" t="s">
        <v>3696</v>
      </c>
      <c r="AD37" s="2283" t="s">
        <v>3756</v>
      </c>
      <c r="AE37" s="2281"/>
      <c r="AF37" s="2282"/>
      <c r="AG37" s="2283" t="s">
        <v>3696</v>
      </c>
      <c r="AH37" s="2281"/>
      <c r="AI37" s="2282"/>
      <c r="AJ37" s="1909" t="s">
        <v>3714</v>
      </c>
      <c r="AK37" s="2283" t="s">
        <v>3757</v>
      </c>
      <c r="AL37" s="2281"/>
      <c r="AM37" s="2259"/>
      <c r="AN37" s="2281"/>
      <c r="AO37" s="2282"/>
      <c r="AP37" s="1909" t="s">
        <v>3699</v>
      </c>
      <c r="BC37" s="214"/>
      <c r="BD37" s="214"/>
      <c r="BE37" s="214"/>
      <c r="BF37" s="214"/>
    </row>
    <row r="38" spans="1:58" ht="45" hidden="1" customHeight="1">
      <c r="B38" s="2277"/>
      <c r="C38" s="2259"/>
      <c r="D38" s="2260"/>
      <c r="E38" s="1908" t="s">
        <v>3682</v>
      </c>
      <c r="F38" s="1908" t="s">
        <v>3683</v>
      </c>
      <c r="G38" s="1908"/>
      <c r="H38" s="2278" t="s">
        <v>3750</v>
      </c>
      <c r="I38" s="2259"/>
      <c r="J38" s="2260"/>
      <c r="K38" s="2278" t="s">
        <v>3758</v>
      </c>
      <c r="L38" s="2260"/>
      <c r="M38" s="1908" t="e">
        <f>VLOOKUP(K38,'Estimate Details'!$R:$BR,20,FALSE)</f>
        <v>#N/A</v>
      </c>
      <c r="N38" s="1908" t="e">
        <f>VLOOKUP(M38,#REF!,2,FALSE)</f>
        <v>#N/A</v>
      </c>
      <c r="O38" s="1908" t="s">
        <v>3759</v>
      </c>
      <c r="P38" s="2278" t="s">
        <v>3687</v>
      </c>
      <c r="Q38" s="2259"/>
      <c r="R38" s="2260"/>
      <c r="S38" s="1908" t="s">
        <v>3688</v>
      </c>
      <c r="T38" s="1908" t="s">
        <v>3689</v>
      </c>
      <c r="U38" s="1908" t="s">
        <v>3690</v>
      </c>
      <c r="V38" s="1908" t="s">
        <v>3708</v>
      </c>
      <c r="W38" s="1908" t="s">
        <v>3688</v>
      </c>
      <c r="X38" s="1908" t="s">
        <v>3760</v>
      </c>
      <c r="Y38" s="1908" t="s">
        <v>3761</v>
      </c>
      <c r="Z38" s="1908" t="s">
        <v>3762</v>
      </c>
      <c r="AA38" s="1908" t="s">
        <v>3694</v>
      </c>
      <c r="AB38" s="1908" t="s">
        <v>3688</v>
      </c>
      <c r="AC38" s="1908" t="s">
        <v>3696</v>
      </c>
      <c r="AD38" s="2278" t="s">
        <v>1</v>
      </c>
      <c r="AE38" s="2259"/>
      <c r="AF38" s="2260"/>
      <c r="AG38" s="2278" t="s">
        <v>3696</v>
      </c>
      <c r="AH38" s="2259"/>
      <c r="AI38" s="2260"/>
      <c r="AJ38" s="1908" t="s">
        <v>3714</v>
      </c>
      <c r="AK38" s="2278" t="s">
        <v>3763</v>
      </c>
      <c r="AL38" s="2259"/>
      <c r="AM38" s="2259"/>
      <c r="AN38" s="2259"/>
      <c r="AO38" s="2260"/>
      <c r="AP38" s="1908" t="s">
        <v>3699</v>
      </c>
      <c r="BC38" s="214"/>
      <c r="BD38" s="214"/>
      <c r="BE38" s="214"/>
      <c r="BF38" s="214"/>
    </row>
    <row r="39" spans="1:58" ht="45" hidden="1" customHeight="1">
      <c r="A39" s="808"/>
      <c r="B39" s="2280"/>
      <c r="C39" s="2281"/>
      <c r="D39" s="2282"/>
      <c r="E39" s="1909" t="s">
        <v>3682</v>
      </c>
      <c r="F39" s="1909" t="s">
        <v>3683</v>
      </c>
      <c r="G39" s="1909"/>
      <c r="H39" s="2283" t="s">
        <v>3750</v>
      </c>
      <c r="I39" s="2281"/>
      <c r="J39" s="2282"/>
      <c r="K39" s="2283" t="s">
        <v>3764</v>
      </c>
      <c r="L39" s="2282"/>
      <c r="M39" s="1909" t="e">
        <f>VLOOKUP(K39,'Estimate Details'!$R:$BR,20,FALSE)</f>
        <v>#N/A</v>
      </c>
      <c r="N39" s="1909" t="e">
        <f>VLOOKUP(M39,#REF!,2,FALSE)</f>
        <v>#N/A</v>
      </c>
      <c r="O39" s="1909" t="s">
        <v>3765</v>
      </c>
      <c r="P39" s="2284" t="s">
        <v>3687</v>
      </c>
      <c r="Q39" s="2281"/>
      <c r="R39" s="2282"/>
      <c r="S39" s="1909" t="s">
        <v>3688</v>
      </c>
      <c r="T39" s="1909" t="s">
        <v>3689</v>
      </c>
      <c r="U39" s="1909" t="s">
        <v>3690</v>
      </c>
      <c r="V39" s="1909" t="s">
        <v>3691</v>
      </c>
      <c r="W39" s="1909" t="s">
        <v>3688</v>
      </c>
      <c r="X39" s="1909" t="s">
        <v>3766</v>
      </c>
      <c r="Y39" s="1909" t="s">
        <v>3767</v>
      </c>
      <c r="Z39" s="1909"/>
      <c r="AA39" s="1909" t="s">
        <v>3694</v>
      </c>
      <c r="AB39" s="1909" t="s">
        <v>3768</v>
      </c>
      <c r="AC39" s="1909" t="s">
        <v>3696</v>
      </c>
      <c r="AD39" s="2283" t="s">
        <v>3769</v>
      </c>
      <c r="AE39" s="2281"/>
      <c r="AF39" s="2282"/>
      <c r="AG39" s="2283" t="s">
        <v>3696</v>
      </c>
      <c r="AH39" s="2281"/>
      <c r="AI39" s="2282"/>
      <c r="AJ39" s="1909" t="s">
        <v>3770</v>
      </c>
      <c r="AK39" s="2283" t="s">
        <v>3771</v>
      </c>
      <c r="AL39" s="2281"/>
      <c r="AM39" s="2259"/>
      <c r="AN39" s="2281"/>
      <c r="AO39" s="2282"/>
      <c r="AP39" s="1909" t="s">
        <v>3699</v>
      </c>
      <c r="BC39" s="214"/>
      <c r="BD39" s="214"/>
      <c r="BE39" s="214"/>
      <c r="BF39" s="214"/>
    </row>
    <row r="40" spans="1:58" ht="45" hidden="1" customHeight="1">
      <c r="B40" s="2277"/>
      <c r="C40" s="2259"/>
      <c r="D40" s="2260"/>
      <c r="E40" s="1908" t="s">
        <v>3682</v>
      </c>
      <c r="F40" s="1908" t="s">
        <v>3683</v>
      </c>
      <c r="G40" s="1908"/>
      <c r="H40" s="2278" t="s">
        <v>3750</v>
      </c>
      <c r="I40" s="2259"/>
      <c r="J40" s="2260"/>
      <c r="K40" s="2278" t="s">
        <v>3772</v>
      </c>
      <c r="L40" s="2260"/>
      <c r="M40" s="1908" t="e">
        <f>VLOOKUP(K40,'Estimate Details'!$R:$BR,20,FALSE)</f>
        <v>#N/A</v>
      </c>
      <c r="N40" s="1908" t="e">
        <f>VLOOKUP(M40,#REF!,2,FALSE)</f>
        <v>#N/A</v>
      </c>
      <c r="O40" s="1908" t="s">
        <v>3765</v>
      </c>
      <c r="P40" s="2278" t="s">
        <v>3687</v>
      </c>
      <c r="Q40" s="2259"/>
      <c r="R40" s="2260"/>
      <c r="S40" s="1908" t="s">
        <v>3688</v>
      </c>
      <c r="T40" s="1908" t="s">
        <v>3689</v>
      </c>
      <c r="U40" s="1908" t="s">
        <v>3690</v>
      </c>
      <c r="V40" s="1908" t="s">
        <v>3691</v>
      </c>
      <c r="W40" s="1908" t="s">
        <v>3688</v>
      </c>
      <c r="X40" s="1908" t="s">
        <v>3766</v>
      </c>
      <c r="Y40" s="1908" t="s">
        <v>3767</v>
      </c>
      <c r="Z40" s="1908"/>
      <c r="AA40" s="1908" t="s">
        <v>3694</v>
      </c>
      <c r="AB40" s="1908" t="s">
        <v>1</v>
      </c>
      <c r="AC40" s="1908" t="s">
        <v>3696</v>
      </c>
      <c r="AD40" s="2278" t="s">
        <v>3773</v>
      </c>
      <c r="AE40" s="2259"/>
      <c r="AF40" s="2260"/>
      <c r="AG40" s="2278" t="s">
        <v>3696</v>
      </c>
      <c r="AH40" s="2259"/>
      <c r="AI40" s="2260"/>
      <c r="AJ40" s="1908" t="s">
        <v>3770</v>
      </c>
      <c r="AK40" s="2278" t="s">
        <v>3774</v>
      </c>
      <c r="AL40" s="2259"/>
      <c r="AM40" s="2259"/>
      <c r="AN40" s="2259"/>
      <c r="AO40" s="2260"/>
      <c r="AP40" s="1908" t="s">
        <v>3699</v>
      </c>
      <c r="BC40" s="214"/>
      <c r="BD40" s="214"/>
      <c r="BE40" s="214"/>
      <c r="BF40" s="214"/>
    </row>
    <row r="41" spans="1:58" ht="45" hidden="1" customHeight="1">
      <c r="A41" s="808"/>
      <c r="B41" s="2280"/>
      <c r="C41" s="2281"/>
      <c r="D41" s="2282"/>
      <c r="E41" s="1909" t="s">
        <v>3682</v>
      </c>
      <c r="F41" s="1909" t="s">
        <v>3683</v>
      </c>
      <c r="G41" s="1909"/>
      <c r="H41" s="2283" t="s">
        <v>3750</v>
      </c>
      <c r="I41" s="2281"/>
      <c r="J41" s="2282"/>
      <c r="K41" s="2283" t="s">
        <v>3775</v>
      </c>
      <c r="L41" s="2282"/>
      <c r="M41" s="1909" t="e">
        <f>VLOOKUP(K41,'Estimate Details'!$R:$BR,20,FALSE)</f>
        <v>#N/A</v>
      </c>
      <c r="N41" s="1909" t="e">
        <f>VLOOKUP(M41,#REF!,2,FALSE)</f>
        <v>#N/A</v>
      </c>
      <c r="O41" s="1909" t="s">
        <v>3776</v>
      </c>
      <c r="P41" s="2284" t="s">
        <v>3687</v>
      </c>
      <c r="Q41" s="2281"/>
      <c r="R41" s="2282"/>
      <c r="S41" s="1909" t="s">
        <v>3688</v>
      </c>
      <c r="T41" s="1909" t="s">
        <v>3689</v>
      </c>
      <c r="U41" s="1909" t="s">
        <v>3690</v>
      </c>
      <c r="V41" s="1909" t="s">
        <v>3708</v>
      </c>
      <c r="W41" s="1909" t="s">
        <v>3688</v>
      </c>
      <c r="X41" s="1909" t="s">
        <v>3777</v>
      </c>
      <c r="Y41" s="1909" t="s">
        <v>3778</v>
      </c>
      <c r="Z41" s="1909"/>
      <c r="AA41" s="1909" t="s">
        <v>3694</v>
      </c>
      <c r="AB41" s="1909" t="s">
        <v>3779</v>
      </c>
      <c r="AC41" s="1909" t="s">
        <v>3696</v>
      </c>
      <c r="AD41" s="2283" t="s">
        <v>3780</v>
      </c>
      <c r="AE41" s="2281"/>
      <c r="AF41" s="2282"/>
      <c r="AG41" s="2283" t="s">
        <v>3696</v>
      </c>
      <c r="AH41" s="2281"/>
      <c r="AI41" s="2282"/>
      <c r="AJ41" s="1909" t="s">
        <v>3714</v>
      </c>
      <c r="AK41" s="2283" t="s">
        <v>3781</v>
      </c>
      <c r="AL41" s="2281"/>
      <c r="AM41" s="2259"/>
      <c r="AN41" s="2281"/>
      <c r="AO41" s="2282"/>
      <c r="AP41" s="1909" t="s">
        <v>3699</v>
      </c>
      <c r="BC41" s="214"/>
      <c r="BD41" s="214"/>
      <c r="BE41" s="214"/>
      <c r="BF41" s="214"/>
    </row>
    <row r="42" spans="1:58" ht="45" hidden="1" customHeight="1">
      <c r="B42" s="2277"/>
      <c r="C42" s="2259"/>
      <c r="D42" s="2260"/>
      <c r="E42" s="1908" t="s">
        <v>3682</v>
      </c>
      <c r="F42" s="1908" t="s">
        <v>3683</v>
      </c>
      <c r="G42" s="1908"/>
      <c r="H42" s="2278" t="s">
        <v>3750</v>
      </c>
      <c r="I42" s="2259"/>
      <c r="J42" s="2260"/>
      <c r="K42" s="2278" t="s">
        <v>3782</v>
      </c>
      <c r="L42" s="2260"/>
      <c r="M42" s="1908" t="e">
        <f>VLOOKUP(K42,'Estimate Details'!$R:$BR,20,FALSE)</f>
        <v>#N/A</v>
      </c>
      <c r="N42" s="1908" t="e">
        <f>VLOOKUP(M42,#REF!,2,FALSE)</f>
        <v>#N/A</v>
      </c>
      <c r="O42" s="1908" t="s">
        <v>3783</v>
      </c>
      <c r="P42" s="2278" t="s">
        <v>3687</v>
      </c>
      <c r="Q42" s="2259"/>
      <c r="R42" s="2260"/>
      <c r="S42" s="1908" t="s">
        <v>3688</v>
      </c>
      <c r="T42" s="1908" t="s">
        <v>3706</v>
      </c>
      <c r="U42" s="1908" t="s">
        <v>3690</v>
      </c>
      <c r="V42" s="1908" t="s">
        <v>3708</v>
      </c>
      <c r="W42" s="1908" t="s">
        <v>3688</v>
      </c>
      <c r="X42" s="1908" t="s">
        <v>3784</v>
      </c>
      <c r="Y42" s="1908" t="s">
        <v>3785</v>
      </c>
      <c r="Z42" s="1908"/>
      <c r="AA42" s="1908" t="s">
        <v>3694</v>
      </c>
      <c r="AB42" s="1908" t="s">
        <v>3786</v>
      </c>
      <c r="AC42" s="1908" t="s">
        <v>3696</v>
      </c>
      <c r="AD42" s="2278" t="s">
        <v>1</v>
      </c>
      <c r="AE42" s="2259"/>
      <c r="AF42" s="2260"/>
      <c r="AG42" s="2278" t="s">
        <v>3696</v>
      </c>
      <c r="AH42" s="2259"/>
      <c r="AI42" s="2260"/>
      <c r="AJ42" s="1908" t="s">
        <v>3714</v>
      </c>
      <c r="AK42" s="2278" t="s">
        <v>3787</v>
      </c>
      <c r="AL42" s="2259"/>
      <c r="AM42" s="2259"/>
      <c r="AN42" s="2259"/>
      <c r="AO42" s="2260"/>
      <c r="AP42" s="1908" t="s">
        <v>3699</v>
      </c>
      <c r="BC42" s="214"/>
      <c r="BD42" s="214"/>
      <c r="BE42" s="214"/>
      <c r="BF42" s="214"/>
    </row>
    <row r="43" spans="1:58" ht="45" hidden="1" customHeight="1">
      <c r="A43" s="808"/>
      <c r="B43" s="2280"/>
      <c r="C43" s="2281"/>
      <c r="D43" s="2282"/>
      <c r="E43" s="1909" t="s">
        <v>3682</v>
      </c>
      <c r="F43" s="1909" t="s">
        <v>3683</v>
      </c>
      <c r="G43" s="1909"/>
      <c r="H43" s="2283" t="s">
        <v>3750</v>
      </c>
      <c r="I43" s="2281"/>
      <c r="J43" s="2282"/>
      <c r="K43" s="2283" t="s">
        <v>3788</v>
      </c>
      <c r="L43" s="2282"/>
      <c r="M43" s="1909" t="e">
        <f>VLOOKUP(K43,'Estimate Details'!$R:$BR,20,FALSE)</f>
        <v>#N/A</v>
      </c>
      <c r="N43" s="1909" t="e">
        <f>VLOOKUP(M43,#REF!,2,FALSE)</f>
        <v>#N/A</v>
      </c>
      <c r="O43" s="1909" t="s">
        <v>3789</v>
      </c>
      <c r="P43" s="2284" t="s">
        <v>3687</v>
      </c>
      <c r="Q43" s="2281"/>
      <c r="R43" s="2282"/>
      <c r="S43" s="1909" t="s">
        <v>3688</v>
      </c>
      <c r="T43" s="1909" t="s">
        <v>3689</v>
      </c>
      <c r="U43" s="1909" t="s">
        <v>3690</v>
      </c>
      <c r="V43" s="1909" t="s">
        <v>3691</v>
      </c>
      <c r="W43" s="1909" t="s">
        <v>3688</v>
      </c>
      <c r="X43" s="1909"/>
      <c r="Y43" s="1909"/>
      <c r="Z43" s="1909"/>
      <c r="AA43" s="1909" t="s">
        <v>3694</v>
      </c>
      <c r="AB43" s="1909" t="s">
        <v>3790</v>
      </c>
      <c r="AC43" s="1909" t="s">
        <v>3696</v>
      </c>
      <c r="AD43" s="2283" t="s">
        <v>3791</v>
      </c>
      <c r="AE43" s="2281"/>
      <c r="AF43" s="2282"/>
      <c r="AG43" s="2283" t="s">
        <v>3792</v>
      </c>
      <c r="AH43" s="2281"/>
      <c r="AI43" s="2282"/>
      <c r="AJ43" s="1909" t="s">
        <v>3770</v>
      </c>
      <c r="AK43" s="2283" t="s">
        <v>3793</v>
      </c>
      <c r="AL43" s="2281"/>
      <c r="AM43" s="2259"/>
      <c r="AN43" s="2281"/>
      <c r="AO43" s="2282"/>
      <c r="AP43" s="1909" t="s">
        <v>3699</v>
      </c>
      <c r="BC43" s="214"/>
      <c r="BD43" s="214"/>
      <c r="BE43" s="214"/>
      <c r="BF43" s="214"/>
    </row>
    <row r="44" spans="1:58" ht="39" hidden="1" customHeight="1">
      <c r="B44" s="2277"/>
      <c r="C44" s="2259"/>
      <c r="D44" s="2260"/>
      <c r="E44" s="1908" t="s">
        <v>3682</v>
      </c>
      <c r="F44" s="1908" t="s">
        <v>3683</v>
      </c>
      <c r="G44" s="1908"/>
      <c r="H44" s="2278" t="s">
        <v>3750</v>
      </c>
      <c r="I44" s="2259"/>
      <c r="J44" s="2260"/>
      <c r="K44" s="2278" t="s">
        <v>3794</v>
      </c>
      <c r="L44" s="2260"/>
      <c r="M44" s="1908" t="e">
        <f>VLOOKUP(K44,'Estimate Details'!$R:$BR,20,FALSE)</f>
        <v>#N/A</v>
      </c>
      <c r="N44" s="1908" t="e">
        <f>VLOOKUP(M44,#REF!,2,FALSE)</f>
        <v>#N/A</v>
      </c>
      <c r="O44" s="1908" t="s">
        <v>3795</v>
      </c>
      <c r="P44" s="2278" t="s">
        <v>3687</v>
      </c>
      <c r="Q44" s="2259"/>
      <c r="R44" s="2260"/>
      <c r="S44" s="1908" t="s">
        <v>3688</v>
      </c>
      <c r="T44" s="1908" t="s">
        <v>3689</v>
      </c>
      <c r="U44" s="1908" t="s">
        <v>3690</v>
      </c>
      <c r="V44" s="1908" t="s">
        <v>3691</v>
      </c>
      <c r="W44" s="1908" t="s">
        <v>3688</v>
      </c>
      <c r="X44" s="1908"/>
      <c r="Y44" s="1908"/>
      <c r="Z44" s="1908"/>
      <c r="AA44" s="1908" t="s">
        <v>3694</v>
      </c>
      <c r="AB44" s="1908" t="s">
        <v>3688</v>
      </c>
      <c r="AC44" s="1908" t="s">
        <v>3696</v>
      </c>
      <c r="AD44" s="2278" t="s">
        <v>3796</v>
      </c>
      <c r="AE44" s="2259"/>
      <c r="AF44" s="2260"/>
      <c r="AG44" s="2278" t="s">
        <v>3696</v>
      </c>
      <c r="AH44" s="2259"/>
      <c r="AI44" s="2260"/>
      <c r="AJ44" s="1908" t="s">
        <v>3797</v>
      </c>
      <c r="AK44" s="2278" t="s">
        <v>3798</v>
      </c>
      <c r="AL44" s="2259"/>
      <c r="AM44" s="2259"/>
      <c r="AN44" s="2259"/>
      <c r="AO44" s="2260"/>
      <c r="AP44" s="1908" t="s">
        <v>3699</v>
      </c>
      <c r="BC44" s="214"/>
      <c r="BD44" s="214"/>
      <c r="BE44" s="214"/>
      <c r="BF44" s="214"/>
    </row>
    <row r="45" spans="1:58" ht="45" hidden="1" customHeight="1">
      <c r="A45" s="808"/>
      <c r="B45" s="2280"/>
      <c r="C45" s="2281"/>
      <c r="D45" s="2282"/>
      <c r="E45" s="1909" t="s">
        <v>3682</v>
      </c>
      <c r="F45" s="1909" t="s">
        <v>3683</v>
      </c>
      <c r="G45" s="1909"/>
      <c r="H45" s="2283" t="s">
        <v>3750</v>
      </c>
      <c r="I45" s="2281"/>
      <c r="J45" s="2282"/>
      <c r="K45" s="2283" t="s">
        <v>3799</v>
      </c>
      <c r="L45" s="2282"/>
      <c r="M45" s="1909" t="e">
        <f>VLOOKUP(K45,'Estimate Details'!$R:$BR,20,FALSE)</f>
        <v>#N/A</v>
      </c>
      <c r="N45" s="1909" t="e">
        <f>VLOOKUP(M45,#REF!,2,FALSE)</f>
        <v>#N/A</v>
      </c>
      <c r="O45" s="1909" t="s">
        <v>3800</v>
      </c>
      <c r="P45" s="2284" t="s">
        <v>3687</v>
      </c>
      <c r="Q45" s="2281"/>
      <c r="R45" s="2282"/>
      <c r="S45" s="1909" t="s">
        <v>3688</v>
      </c>
      <c r="T45" s="1909" t="s">
        <v>3689</v>
      </c>
      <c r="U45" s="1909" t="s">
        <v>3690</v>
      </c>
      <c r="V45" s="1909" t="s">
        <v>3708</v>
      </c>
      <c r="W45" s="1909" t="s">
        <v>3688</v>
      </c>
      <c r="X45" s="1909" t="s">
        <v>3801</v>
      </c>
      <c r="Y45" s="1909" t="s">
        <v>3802</v>
      </c>
      <c r="Z45" s="1909"/>
      <c r="AA45" s="1909" t="s">
        <v>3694</v>
      </c>
      <c r="AB45" s="1909" t="s">
        <v>3803</v>
      </c>
      <c r="AC45" s="1909" t="s">
        <v>3804</v>
      </c>
      <c r="AD45" s="2283" t="s">
        <v>3805</v>
      </c>
      <c r="AE45" s="2281"/>
      <c r="AF45" s="2282"/>
      <c r="AG45" s="2283" t="s">
        <v>3696</v>
      </c>
      <c r="AH45" s="2281"/>
      <c r="AI45" s="2282"/>
      <c r="AJ45" s="1909" t="s">
        <v>3731</v>
      </c>
      <c r="AK45" s="2283" t="s">
        <v>3806</v>
      </c>
      <c r="AL45" s="2281"/>
      <c r="AM45" s="2259"/>
      <c r="AN45" s="2281"/>
      <c r="AO45" s="2282"/>
      <c r="AP45" s="1909" t="s">
        <v>3699</v>
      </c>
      <c r="BC45" s="214"/>
      <c r="BD45" s="214"/>
      <c r="BE45" s="214"/>
      <c r="BF45" s="214"/>
    </row>
    <row r="46" spans="1:58" ht="45" hidden="1" customHeight="1">
      <c r="B46" s="2277"/>
      <c r="C46" s="2259"/>
      <c r="D46" s="2260"/>
      <c r="E46" s="1908" t="s">
        <v>3682</v>
      </c>
      <c r="F46" s="1908" t="s">
        <v>3683</v>
      </c>
      <c r="G46" s="1908"/>
      <c r="H46" s="2278" t="s">
        <v>3750</v>
      </c>
      <c r="I46" s="2259"/>
      <c r="J46" s="2260"/>
      <c r="K46" s="2278" t="s">
        <v>3807</v>
      </c>
      <c r="L46" s="2260"/>
      <c r="M46" s="1908" t="e">
        <f>VLOOKUP(K46,'Estimate Details'!$R:$BR,20,FALSE)</f>
        <v>#N/A</v>
      </c>
      <c r="N46" s="1908" t="e">
        <f>VLOOKUP(M46,#REF!,2,FALSE)</f>
        <v>#N/A</v>
      </c>
      <c r="O46" s="1908" t="s">
        <v>3800</v>
      </c>
      <c r="P46" s="2278" t="s">
        <v>3687</v>
      </c>
      <c r="Q46" s="2259"/>
      <c r="R46" s="2260"/>
      <c r="S46" s="1908" t="s">
        <v>3688</v>
      </c>
      <c r="T46" s="1908" t="s">
        <v>3689</v>
      </c>
      <c r="U46" s="1908" t="s">
        <v>3690</v>
      </c>
      <c r="V46" s="1908" t="s">
        <v>3708</v>
      </c>
      <c r="W46" s="1908" t="s">
        <v>3688</v>
      </c>
      <c r="X46" s="1908" t="s">
        <v>3801</v>
      </c>
      <c r="Y46" s="1908" t="s">
        <v>3802</v>
      </c>
      <c r="Z46" s="1908"/>
      <c r="AA46" s="1908" t="s">
        <v>3694</v>
      </c>
      <c r="AB46" s="1908" t="s">
        <v>3803</v>
      </c>
      <c r="AC46" s="1908" t="s">
        <v>3804</v>
      </c>
      <c r="AD46" s="2278" t="s">
        <v>3805</v>
      </c>
      <c r="AE46" s="2259"/>
      <c r="AF46" s="2260"/>
      <c r="AG46" s="2278" t="s">
        <v>3696</v>
      </c>
      <c r="AH46" s="2259"/>
      <c r="AI46" s="2260"/>
      <c r="AJ46" s="1908" t="s">
        <v>3731</v>
      </c>
      <c r="AK46" s="2278" t="s">
        <v>3806</v>
      </c>
      <c r="AL46" s="2259"/>
      <c r="AM46" s="2259"/>
      <c r="AN46" s="2259"/>
      <c r="AO46" s="2260"/>
      <c r="AP46" s="1908" t="s">
        <v>3699</v>
      </c>
      <c r="BC46" s="214"/>
      <c r="BD46" s="214"/>
      <c r="BE46" s="214"/>
      <c r="BF46" s="214"/>
    </row>
    <row r="47" spans="1:58" ht="45" hidden="1" customHeight="1">
      <c r="A47" s="808"/>
      <c r="B47" s="2280"/>
      <c r="C47" s="2281"/>
      <c r="D47" s="2282"/>
      <c r="E47" s="1909" t="s">
        <v>3682</v>
      </c>
      <c r="F47" s="1909" t="s">
        <v>3683</v>
      </c>
      <c r="G47" s="1909"/>
      <c r="H47" s="2283" t="s">
        <v>3750</v>
      </c>
      <c r="I47" s="2281"/>
      <c r="J47" s="2282"/>
      <c r="K47" s="2283" t="s">
        <v>3808</v>
      </c>
      <c r="L47" s="2282"/>
      <c r="M47" s="1909" t="e">
        <f>VLOOKUP(K47,'Estimate Details'!$R:$BR,20,FALSE)</f>
        <v>#N/A</v>
      </c>
      <c r="N47" s="1909" t="e">
        <f>VLOOKUP(M47,#REF!,2,FALSE)</f>
        <v>#N/A</v>
      </c>
      <c r="O47" s="1909" t="s">
        <v>3809</v>
      </c>
      <c r="P47" s="2284" t="s">
        <v>3687</v>
      </c>
      <c r="Q47" s="2281"/>
      <c r="R47" s="2282"/>
      <c r="S47" s="1909" t="s">
        <v>3688</v>
      </c>
      <c r="T47" s="1909" t="s">
        <v>3689</v>
      </c>
      <c r="U47" s="1909" t="s">
        <v>3690</v>
      </c>
      <c r="V47" s="1909" t="s">
        <v>3810</v>
      </c>
      <c r="W47" s="1909" t="s">
        <v>3688</v>
      </c>
      <c r="X47" s="1909" t="s">
        <v>3811</v>
      </c>
      <c r="Y47" s="1909" t="s">
        <v>3812</v>
      </c>
      <c r="Z47" s="1909"/>
      <c r="AA47" s="1909" t="s">
        <v>3694</v>
      </c>
      <c r="AB47" s="1909" t="s">
        <v>3813</v>
      </c>
      <c r="AC47" s="1909" t="s">
        <v>3696</v>
      </c>
      <c r="AD47" s="2283" t="s">
        <v>3688</v>
      </c>
      <c r="AE47" s="2281"/>
      <c r="AF47" s="2282"/>
      <c r="AG47" s="2283" t="s">
        <v>3696</v>
      </c>
      <c r="AH47" s="2281"/>
      <c r="AI47" s="2282"/>
      <c r="AJ47" s="1909" t="s">
        <v>3814</v>
      </c>
      <c r="AK47" s="2283" t="s">
        <v>3815</v>
      </c>
      <c r="AL47" s="2281"/>
      <c r="AM47" s="2259"/>
      <c r="AN47" s="2281"/>
      <c r="AO47" s="2282"/>
      <c r="AP47" s="1909" t="s">
        <v>3699</v>
      </c>
      <c r="BC47" s="214"/>
      <c r="BD47" s="214"/>
      <c r="BE47" s="214"/>
      <c r="BF47" s="214"/>
    </row>
    <row r="48" spans="1:58" ht="45" hidden="1" customHeight="1">
      <c r="B48" s="2277"/>
      <c r="C48" s="2259"/>
      <c r="D48" s="2260"/>
      <c r="E48" s="1908" t="s">
        <v>3682</v>
      </c>
      <c r="F48" s="1908" t="s">
        <v>3683</v>
      </c>
      <c r="G48" s="1908"/>
      <c r="H48" s="2278" t="s">
        <v>3750</v>
      </c>
      <c r="I48" s="2259"/>
      <c r="J48" s="2260"/>
      <c r="K48" s="2278" t="s">
        <v>3816</v>
      </c>
      <c r="L48" s="2260"/>
      <c r="M48" s="1908" t="e">
        <f>VLOOKUP(K48,'Estimate Details'!$R:$BR,20,FALSE)</f>
        <v>#N/A</v>
      </c>
      <c r="N48" s="1908" t="e">
        <f>VLOOKUP(M48,#REF!,2,FALSE)</f>
        <v>#N/A</v>
      </c>
      <c r="O48" s="1908" t="s">
        <v>3809</v>
      </c>
      <c r="P48" s="2278" t="s">
        <v>3687</v>
      </c>
      <c r="Q48" s="2259"/>
      <c r="R48" s="2260"/>
      <c r="S48" s="1908" t="s">
        <v>3688</v>
      </c>
      <c r="T48" s="1908" t="s">
        <v>3689</v>
      </c>
      <c r="U48" s="1908" t="s">
        <v>3690</v>
      </c>
      <c r="V48" s="1908" t="s">
        <v>3810</v>
      </c>
      <c r="W48" s="1908" t="s">
        <v>3688</v>
      </c>
      <c r="X48" s="1908" t="s">
        <v>3811</v>
      </c>
      <c r="Y48" s="1908" t="s">
        <v>3812</v>
      </c>
      <c r="Z48" s="1908"/>
      <c r="AA48" s="1908" t="s">
        <v>3694</v>
      </c>
      <c r="AB48" s="1908" t="s">
        <v>3813</v>
      </c>
      <c r="AC48" s="1908" t="s">
        <v>3696</v>
      </c>
      <c r="AD48" s="2278" t="s">
        <v>3688</v>
      </c>
      <c r="AE48" s="2259"/>
      <c r="AF48" s="2260"/>
      <c r="AG48" s="2278" t="s">
        <v>3696</v>
      </c>
      <c r="AH48" s="2259"/>
      <c r="AI48" s="2260"/>
      <c r="AJ48" s="1908" t="s">
        <v>3814</v>
      </c>
      <c r="AK48" s="2278" t="s">
        <v>3815</v>
      </c>
      <c r="AL48" s="2259"/>
      <c r="AM48" s="2259"/>
      <c r="AN48" s="2259"/>
      <c r="AO48" s="2260"/>
      <c r="AP48" s="1908" t="s">
        <v>3699</v>
      </c>
      <c r="BC48" s="214"/>
      <c r="BD48" s="214"/>
      <c r="BE48" s="214"/>
      <c r="BF48" s="214"/>
    </row>
    <row r="49" spans="1:58" ht="45" hidden="1" customHeight="1">
      <c r="A49" s="808"/>
      <c r="B49" s="2280"/>
      <c r="C49" s="2281"/>
      <c r="D49" s="2282"/>
      <c r="E49" s="1909" t="s">
        <v>3682</v>
      </c>
      <c r="F49" s="1909" t="s">
        <v>3683</v>
      </c>
      <c r="G49" s="1909"/>
      <c r="H49" s="2283" t="s">
        <v>3750</v>
      </c>
      <c r="I49" s="2281"/>
      <c r="J49" s="2282"/>
      <c r="K49" s="2283" t="s">
        <v>3817</v>
      </c>
      <c r="L49" s="2282"/>
      <c r="M49" s="1909" t="e">
        <f>VLOOKUP(K49,'Estimate Details'!$R:$BR,20,FALSE)</f>
        <v>#N/A</v>
      </c>
      <c r="N49" s="1909" t="e">
        <f>VLOOKUP(M49,#REF!,2,FALSE)</f>
        <v>#N/A</v>
      </c>
      <c r="O49" s="1909" t="s">
        <v>3818</v>
      </c>
      <c r="P49" s="2284" t="s">
        <v>3687</v>
      </c>
      <c r="Q49" s="2281"/>
      <c r="R49" s="2282"/>
      <c r="S49" s="1909" t="s">
        <v>3688</v>
      </c>
      <c r="T49" s="1909" t="s">
        <v>3689</v>
      </c>
      <c r="U49" s="1909" t="s">
        <v>3707</v>
      </c>
      <c r="V49" s="1909" t="s">
        <v>3810</v>
      </c>
      <c r="W49" s="1909" t="s">
        <v>3688</v>
      </c>
      <c r="X49" s="1909"/>
      <c r="Y49" s="1909"/>
      <c r="Z49" s="1909"/>
      <c r="AA49" s="1909" t="s">
        <v>3694</v>
      </c>
      <c r="AB49" s="1909" t="s">
        <v>3688</v>
      </c>
      <c r="AC49" s="1909" t="s">
        <v>3696</v>
      </c>
      <c r="AD49" s="2283" t="s">
        <v>3688</v>
      </c>
      <c r="AE49" s="2281"/>
      <c r="AF49" s="2282"/>
      <c r="AG49" s="2283" t="s">
        <v>3696</v>
      </c>
      <c r="AH49" s="2281"/>
      <c r="AI49" s="2282"/>
      <c r="AJ49" s="1909" t="s">
        <v>3814</v>
      </c>
      <c r="AK49" s="2283" t="s">
        <v>1</v>
      </c>
      <c r="AL49" s="2281"/>
      <c r="AM49" s="2259"/>
      <c r="AN49" s="2281"/>
      <c r="AO49" s="2282"/>
      <c r="AP49" s="1909" t="s">
        <v>3699</v>
      </c>
      <c r="BC49" s="214"/>
      <c r="BD49" s="214"/>
      <c r="BE49" s="214"/>
      <c r="BF49" s="214"/>
    </row>
    <row r="50" spans="1:58" ht="45" hidden="1" customHeight="1">
      <c r="B50" s="2277"/>
      <c r="C50" s="2259"/>
      <c r="D50" s="2260"/>
      <c r="E50" s="1908" t="s">
        <v>3682</v>
      </c>
      <c r="F50" s="1908" t="s">
        <v>3683</v>
      </c>
      <c r="G50" s="1908"/>
      <c r="H50" s="2278" t="s">
        <v>3750</v>
      </c>
      <c r="I50" s="2259"/>
      <c r="J50" s="2260"/>
      <c r="K50" s="2278" t="s">
        <v>3819</v>
      </c>
      <c r="L50" s="2260"/>
      <c r="M50" s="1908" t="e">
        <f>VLOOKUP(K50,'Estimate Details'!$R:$BR,20,FALSE)</f>
        <v>#N/A</v>
      </c>
      <c r="N50" s="1908" t="e">
        <f>VLOOKUP(M50,#REF!,2,FALSE)</f>
        <v>#N/A</v>
      </c>
      <c r="O50" s="1908" t="s">
        <v>3820</v>
      </c>
      <c r="P50" s="2278" t="s">
        <v>3687</v>
      </c>
      <c r="Q50" s="2259"/>
      <c r="R50" s="2260"/>
      <c r="S50" s="1908" t="s">
        <v>3688</v>
      </c>
      <c r="T50" s="1908" t="s">
        <v>3706</v>
      </c>
      <c r="U50" s="1908" t="s">
        <v>3690</v>
      </c>
      <c r="V50" s="1908" t="s">
        <v>3708</v>
      </c>
      <c r="W50" s="1908" t="s">
        <v>3688</v>
      </c>
      <c r="X50" s="1908" t="s">
        <v>3821</v>
      </c>
      <c r="Y50" s="1908" t="s">
        <v>3822</v>
      </c>
      <c r="Z50" s="1908" t="s">
        <v>3762</v>
      </c>
      <c r="AA50" s="1908" t="s">
        <v>3694</v>
      </c>
      <c r="AB50" s="1908" t="s">
        <v>3823</v>
      </c>
      <c r="AC50" s="1908" t="s">
        <v>3696</v>
      </c>
      <c r="AD50" s="2278" t="s">
        <v>1</v>
      </c>
      <c r="AE50" s="2259"/>
      <c r="AF50" s="2260"/>
      <c r="AG50" s="2278" t="s">
        <v>3696</v>
      </c>
      <c r="AH50" s="2259"/>
      <c r="AI50" s="2260"/>
      <c r="AJ50" s="1908" t="s">
        <v>3731</v>
      </c>
      <c r="AK50" s="2278" t="s">
        <v>3824</v>
      </c>
      <c r="AL50" s="2259"/>
      <c r="AM50" s="2259"/>
      <c r="AN50" s="2259"/>
      <c r="AO50" s="2260"/>
      <c r="AP50" s="1908" t="s">
        <v>3699</v>
      </c>
      <c r="BC50" s="214"/>
      <c r="BD50" s="214"/>
      <c r="BE50" s="214"/>
      <c r="BF50" s="214"/>
    </row>
    <row r="51" spans="1:58" ht="45" hidden="1" customHeight="1">
      <c r="A51" s="808"/>
      <c r="B51" s="2280"/>
      <c r="C51" s="2281"/>
      <c r="D51" s="2282"/>
      <c r="E51" s="1909" t="s">
        <v>3682</v>
      </c>
      <c r="F51" s="1909" t="s">
        <v>3683</v>
      </c>
      <c r="G51" s="1909"/>
      <c r="H51" s="2283" t="s">
        <v>3750</v>
      </c>
      <c r="I51" s="2281"/>
      <c r="J51" s="2282"/>
      <c r="K51" s="2283" t="s">
        <v>3825</v>
      </c>
      <c r="L51" s="2282"/>
      <c r="M51" s="1909" t="e">
        <f>VLOOKUP(K51,'Estimate Details'!$R:$BR,20,FALSE)</f>
        <v>#N/A</v>
      </c>
      <c r="N51" s="1909" t="e">
        <f>VLOOKUP(M51,#REF!,2,FALSE)</f>
        <v>#N/A</v>
      </c>
      <c r="O51" s="1909" t="s">
        <v>3826</v>
      </c>
      <c r="P51" s="2284" t="s">
        <v>3687</v>
      </c>
      <c r="Q51" s="2281"/>
      <c r="R51" s="2282"/>
      <c r="S51" s="1909" t="s">
        <v>3688</v>
      </c>
      <c r="T51" s="1909" t="s">
        <v>3706</v>
      </c>
      <c r="U51" s="1909" t="s">
        <v>3690</v>
      </c>
      <c r="V51" s="1909" t="s">
        <v>3708</v>
      </c>
      <c r="W51" s="1909" t="s">
        <v>3688</v>
      </c>
      <c r="X51" s="1909" t="s">
        <v>3753</v>
      </c>
      <c r="Y51" s="1909" t="s">
        <v>3754</v>
      </c>
      <c r="Z51" s="1909"/>
      <c r="AA51" s="1909" t="s">
        <v>3694</v>
      </c>
      <c r="AB51" s="1909" t="s">
        <v>3755</v>
      </c>
      <c r="AC51" s="1909" t="s">
        <v>3696</v>
      </c>
      <c r="AD51" s="2283" t="s">
        <v>3827</v>
      </c>
      <c r="AE51" s="2281"/>
      <c r="AF51" s="2282"/>
      <c r="AG51" s="2283" t="s">
        <v>3696</v>
      </c>
      <c r="AH51" s="2281"/>
      <c r="AI51" s="2282"/>
      <c r="AJ51" s="1909" t="s">
        <v>3714</v>
      </c>
      <c r="AK51" s="2283" t="s">
        <v>3757</v>
      </c>
      <c r="AL51" s="2281"/>
      <c r="AM51" s="2259"/>
      <c r="AN51" s="2281"/>
      <c r="AO51" s="2282"/>
      <c r="AP51" s="1909" t="s">
        <v>3699</v>
      </c>
      <c r="BC51" s="214"/>
      <c r="BD51" s="214"/>
      <c r="BE51" s="214"/>
      <c r="BF51" s="214"/>
    </row>
    <row r="52" spans="1:58" ht="45" hidden="1" customHeight="1">
      <c r="B52" s="2277"/>
      <c r="C52" s="2259"/>
      <c r="D52" s="2260"/>
      <c r="E52" s="1908" t="s">
        <v>3682</v>
      </c>
      <c r="F52" s="1908" t="s">
        <v>3683</v>
      </c>
      <c r="G52" s="1908"/>
      <c r="H52" s="2278" t="s">
        <v>3750</v>
      </c>
      <c r="I52" s="2259"/>
      <c r="J52" s="2260"/>
      <c r="K52" s="2278" t="s">
        <v>3828</v>
      </c>
      <c r="L52" s="2260"/>
      <c r="M52" s="1908" t="e">
        <f>VLOOKUP(K52,'Estimate Details'!$R:$BR,20,FALSE)</f>
        <v>#N/A</v>
      </c>
      <c r="N52" s="1908" t="e">
        <f>VLOOKUP(M52,#REF!,2,FALSE)</f>
        <v>#N/A</v>
      </c>
      <c r="O52" s="1908" t="s">
        <v>3826</v>
      </c>
      <c r="P52" s="2278" t="s">
        <v>3687</v>
      </c>
      <c r="Q52" s="2259"/>
      <c r="R52" s="2260"/>
      <c r="S52" s="1908" t="s">
        <v>3688</v>
      </c>
      <c r="T52" s="1908" t="s">
        <v>3689</v>
      </c>
      <c r="U52" s="1908" t="s">
        <v>3690</v>
      </c>
      <c r="V52" s="1908" t="s">
        <v>3708</v>
      </c>
      <c r="W52" s="1908" t="s">
        <v>3688</v>
      </c>
      <c r="X52" s="1908" t="s">
        <v>3753</v>
      </c>
      <c r="Y52" s="1908" t="s">
        <v>3754</v>
      </c>
      <c r="Z52" s="1908"/>
      <c r="AA52" s="1908" t="s">
        <v>3694</v>
      </c>
      <c r="AB52" s="1908" t="s">
        <v>3755</v>
      </c>
      <c r="AC52" s="1908" t="s">
        <v>3696</v>
      </c>
      <c r="AD52" s="2278" t="s">
        <v>3829</v>
      </c>
      <c r="AE52" s="2259"/>
      <c r="AF52" s="2260"/>
      <c r="AG52" s="2278" t="s">
        <v>3696</v>
      </c>
      <c r="AH52" s="2259"/>
      <c r="AI52" s="2260"/>
      <c r="AJ52" s="1908" t="s">
        <v>3714</v>
      </c>
      <c r="AK52" s="2278" t="s">
        <v>3757</v>
      </c>
      <c r="AL52" s="2259"/>
      <c r="AM52" s="2259"/>
      <c r="AN52" s="2259"/>
      <c r="AO52" s="2260"/>
      <c r="AP52" s="1908" t="s">
        <v>3699</v>
      </c>
      <c r="BC52" s="214"/>
      <c r="BD52" s="214"/>
      <c r="BE52" s="214"/>
      <c r="BF52" s="214"/>
    </row>
    <row r="53" spans="1:58" ht="45" hidden="1" customHeight="1">
      <c r="A53" s="808"/>
      <c r="B53" s="2280"/>
      <c r="C53" s="2281"/>
      <c r="D53" s="2282"/>
      <c r="E53" s="1909" t="s">
        <v>3682</v>
      </c>
      <c r="F53" s="1909" t="s">
        <v>3683</v>
      </c>
      <c r="G53" s="1909"/>
      <c r="H53" s="2283" t="s">
        <v>3750</v>
      </c>
      <c r="I53" s="2281"/>
      <c r="J53" s="2282"/>
      <c r="K53" s="2283" t="s">
        <v>3830</v>
      </c>
      <c r="L53" s="2282"/>
      <c r="M53" s="1909" t="e">
        <f>VLOOKUP(K53,'Estimate Details'!$R:$BR,20,FALSE)</f>
        <v>#N/A</v>
      </c>
      <c r="N53" s="1909" t="e">
        <f>VLOOKUP(M53,#REF!,2,FALSE)</f>
        <v>#N/A</v>
      </c>
      <c r="O53" s="1909" t="s">
        <v>3826</v>
      </c>
      <c r="P53" s="2284" t="s">
        <v>3687</v>
      </c>
      <c r="Q53" s="2281"/>
      <c r="R53" s="2282"/>
      <c r="S53" s="1909" t="s">
        <v>3688</v>
      </c>
      <c r="T53" s="1909" t="s">
        <v>3706</v>
      </c>
      <c r="U53" s="1909" t="s">
        <v>3690</v>
      </c>
      <c r="V53" s="1909" t="s">
        <v>3708</v>
      </c>
      <c r="W53" s="1909" t="s">
        <v>3688</v>
      </c>
      <c r="X53" s="1909" t="s">
        <v>3753</v>
      </c>
      <c r="Y53" s="1909" t="s">
        <v>3754</v>
      </c>
      <c r="Z53" s="1909"/>
      <c r="AA53" s="1909" t="s">
        <v>3694</v>
      </c>
      <c r="AB53" s="1909" t="s">
        <v>3755</v>
      </c>
      <c r="AC53" s="1909" t="s">
        <v>3696</v>
      </c>
      <c r="AD53" s="2283" t="s">
        <v>3829</v>
      </c>
      <c r="AE53" s="2281"/>
      <c r="AF53" s="2282"/>
      <c r="AG53" s="2283" t="s">
        <v>3696</v>
      </c>
      <c r="AH53" s="2281"/>
      <c r="AI53" s="2282"/>
      <c r="AJ53" s="1909" t="s">
        <v>3714</v>
      </c>
      <c r="AK53" s="2283" t="s">
        <v>3757</v>
      </c>
      <c r="AL53" s="2281"/>
      <c r="AM53" s="2259"/>
      <c r="AN53" s="2281"/>
      <c r="AO53" s="2282"/>
      <c r="AP53" s="1909" t="s">
        <v>3699</v>
      </c>
      <c r="BC53" s="214"/>
      <c r="BD53" s="214"/>
      <c r="BE53" s="214"/>
      <c r="BF53" s="214"/>
    </row>
    <row r="54" spans="1:58" ht="45" hidden="1" customHeight="1">
      <c r="B54" s="2277"/>
      <c r="C54" s="2259"/>
      <c r="D54" s="2260"/>
      <c r="E54" s="1908" t="s">
        <v>3682</v>
      </c>
      <c r="F54" s="1908" t="s">
        <v>3683</v>
      </c>
      <c r="G54" s="1908"/>
      <c r="H54" s="2278" t="s">
        <v>3750</v>
      </c>
      <c r="I54" s="2259"/>
      <c r="J54" s="2260"/>
      <c r="K54" s="2278" t="s">
        <v>3831</v>
      </c>
      <c r="L54" s="2260"/>
      <c r="M54" s="1908" t="e">
        <f>VLOOKUP(K54,'Estimate Details'!$R:$BR,20,FALSE)</f>
        <v>#N/A</v>
      </c>
      <c r="N54" s="1908" t="e">
        <f>VLOOKUP(M54,#REF!,2,FALSE)</f>
        <v>#N/A</v>
      </c>
      <c r="O54" s="1908" t="s">
        <v>3832</v>
      </c>
      <c r="P54" s="2278" t="s">
        <v>3687</v>
      </c>
      <c r="Q54" s="2259"/>
      <c r="R54" s="2260"/>
      <c r="S54" s="1908" t="s">
        <v>3688</v>
      </c>
      <c r="T54" s="1908" t="s">
        <v>3706</v>
      </c>
      <c r="U54" s="1908" t="s">
        <v>3707</v>
      </c>
      <c r="V54" s="1908" t="s">
        <v>3691</v>
      </c>
      <c r="W54" s="1908" t="s">
        <v>3688</v>
      </c>
      <c r="X54" s="1908" t="s">
        <v>3833</v>
      </c>
      <c r="Y54" s="1908" t="s">
        <v>3834</v>
      </c>
      <c r="Z54" s="1908" t="s">
        <v>3762</v>
      </c>
      <c r="AA54" s="1908" t="s">
        <v>3694</v>
      </c>
      <c r="AB54" s="1908" t="s">
        <v>3835</v>
      </c>
      <c r="AC54" s="1908" t="s">
        <v>3696</v>
      </c>
      <c r="AD54" s="2278" t="s">
        <v>3836</v>
      </c>
      <c r="AE54" s="2259"/>
      <c r="AF54" s="2260"/>
      <c r="AG54" s="2278" t="s">
        <v>3696</v>
      </c>
      <c r="AH54" s="2259"/>
      <c r="AI54" s="2260"/>
      <c r="AJ54" s="1908" t="s">
        <v>3714</v>
      </c>
      <c r="AK54" s="2278" t="s">
        <v>3837</v>
      </c>
      <c r="AL54" s="2259"/>
      <c r="AM54" s="2259"/>
      <c r="AN54" s="2259"/>
      <c r="AO54" s="2260"/>
      <c r="AP54" s="1908" t="s">
        <v>3699</v>
      </c>
      <c r="BC54" s="214"/>
      <c r="BD54" s="214"/>
      <c r="BE54" s="214"/>
      <c r="BF54" s="214"/>
    </row>
    <row r="55" spans="1:58" ht="45" hidden="1" customHeight="1">
      <c r="A55" s="808"/>
      <c r="B55" s="2280"/>
      <c r="C55" s="2281"/>
      <c r="D55" s="2282"/>
      <c r="E55" s="1909" t="s">
        <v>3682</v>
      </c>
      <c r="F55" s="1909" t="s">
        <v>3683</v>
      </c>
      <c r="G55" s="1909"/>
      <c r="H55" s="2283" t="s">
        <v>3750</v>
      </c>
      <c r="I55" s="2281"/>
      <c r="J55" s="2282"/>
      <c r="K55" s="2283" t="s">
        <v>3838</v>
      </c>
      <c r="L55" s="2282"/>
      <c r="M55" s="1909" t="e">
        <f>VLOOKUP(K55,'Estimate Details'!$R:$BR,20,FALSE)</f>
        <v>#N/A</v>
      </c>
      <c r="N55" s="1909" t="e">
        <f>VLOOKUP(M55,#REF!,2,FALSE)</f>
        <v>#N/A</v>
      </c>
      <c r="O55" s="1909" t="s">
        <v>3839</v>
      </c>
      <c r="P55" s="2284" t="s">
        <v>3687</v>
      </c>
      <c r="Q55" s="2281"/>
      <c r="R55" s="2282"/>
      <c r="S55" s="1909" t="s">
        <v>3688</v>
      </c>
      <c r="T55" s="1909" t="s">
        <v>3689</v>
      </c>
      <c r="U55" s="1909" t="s">
        <v>3690</v>
      </c>
      <c r="V55" s="1909" t="s">
        <v>3691</v>
      </c>
      <c r="W55" s="1909" t="s">
        <v>3688</v>
      </c>
      <c r="X55" s="1909"/>
      <c r="Y55" s="1909"/>
      <c r="Z55" s="1909"/>
      <c r="AA55" s="1909" t="s">
        <v>3694</v>
      </c>
      <c r="AB55" s="1909" t="s">
        <v>3688</v>
      </c>
      <c r="AC55" s="1909" t="s">
        <v>3696</v>
      </c>
      <c r="AD55" s="2283" t="s">
        <v>3796</v>
      </c>
      <c r="AE55" s="2281"/>
      <c r="AF55" s="2282"/>
      <c r="AG55" s="2283" t="s">
        <v>3696</v>
      </c>
      <c r="AH55" s="2281"/>
      <c r="AI55" s="2282"/>
      <c r="AJ55" s="1909" t="s">
        <v>3797</v>
      </c>
      <c r="AK55" s="2283" t="s">
        <v>3798</v>
      </c>
      <c r="AL55" s="2281"/>
      <c r="AM55" s="2259"/>
      <c r="AN55" s="2281"/>
      <c r="AO55" s="2282"/>
      <c r="AP55" s="1909" t="s">
        <v>3699</v>
      </c>
      <c r="BC55" s="214"/>
      <c r="BD55" s="214"/>
      <c r="BE55" s="214"/>
      <c r="BF55" s="214"/>
    </row>
    <row r="56" spans="1:58" ht="45" hidden="1" customHeight="1">
      <c r="B56" s="2277"/>
      <c r="C56" s="2259"/>
      <c r="D56" s="2260"/>
      <c r="E56" s="1908" t="s">
        <v>3682</v>
      </c>
      <c r="F56" s="1908" t="s">
        <v>3683</v>
      </c>
      <c r="G56" s="1908"/>
      <c r="H56" s="2278" t="s">
        <v>3750</v>
      </c>
      <c r="I56" s="2259"/>
      <c r="J56" s="2260"/>
      <c r="K56" s="2278" t="s">
        <v>3840</v>
      </c>
      <c r="L56" s="2260"/>
      <c r="M56" s="1908" t="e">
        <f>VLOOKUP(K56,'Estimate Details'!$R:$BR,20,FALSE)</f>
        <v>#N/A</v>
      </c>
      <c r="N56" s="1908" t="e">
        <f>VLOOKUP(M56,#REF!,2,FALSE)</f>
        <v>#N/A</v>
      </c>
      <c r="O56" s="1908" t="s">
        <v>3841</v>
      </c>
      <c r="P56" s="2278" t="s">
        <v>3687</v>
      </c>
      <c r="Q56" s="2259"/>
      <c r="R56" s="2260"/>
      <c r="S56" s="1908" t="s">
        <v>3688</v>
      </c>
      <c r="T56" s="1908" t="s">
        <v>3689</v>
      </c>
      <c r="U56" s="1908" t="s">
        <v>3690</v>
      </c>
      <c r="V56" s="1908" t="s">
        <v>3708</v>
      </c>
      <c r="W56" s="1908" t="s">
        <v>3688</v>
      </c>
      <c r="X56" s="1908" t="s">
        <v>3784</v>
      </c>
      <c r="Y56" s="1908" t="s">
        <v>3785</v>
      </c>
      <c r="Z56" s="1908"/>
      <c r="AA56" s="1908" t="s">
        <v>3694</v>
      </c>
      <c r="AB56" s="1908" t="s">
        <v>3786</v>
      </c>
      <c r="AC56" s="1908" t="s">
        <v>3696</v>
      </c>
      <c r="AD56" s="2278" t="s">
        <v>1</v>
      </c>
      <c r="AE56" s="2259"/>
      <c r="AF56" s="2260"/>
      <c r="AG56" s="2278" t="s">
        <v>3696</v>
      </c>
      <c r="AH56" s="2259"/>
      <c r="AI56" s="2260"/>
      <c r="AJ56" s="1908" t="s">
        <v>3714</v>
      </c>
      <c r="AK56" s="2278" t="s">
        <v>3842</v>
      </c>
      <c r="AL56" s="2259"/>
      <c r="AM56" s="2259"/>
      <c r="AN56" s="2259"/>
      <c r="AO56" s="2260"/>
      <c r="AP56" s="1908" t="s">
        <v>3699</v>
      </c>
      <c r="BC56" s="214"/>
      <c r="BD56" s="214"/>
      <c r="BE56" s="214"/>
      <c r="BF56" s="214"/>
    </row>
    <row r="57" spans="1:58" ht="45" hidden="1" customHeight="1">
      <c r="A57" s="808"/>
      <c r="B57" s="2280"/>
      <c r="C57" s="2281"/>
      <c r="D57" s="2282"/>
      <c r="E57" s="1909" t="s">
        <v>3682</v>
      </c>
      <c r="F57" s="1909" t="s">
        <v>3683</v>
      </c>
      <c r="G57" s="1909"/>
      <c r="H57" s="2283" t="s">
        <v>3750</v>
      </c>
      <c r="I57" s="2281"/>
      <c r="J57" s="2282"/>
      <c r="K57" s="2283" t="s">
        <v>3843</v>
      </c>
      <c r="L57" s="2282"/>
      <c r="M57" s="1909" t="e">
        <f>VLOOKUP(K57,'Estimate Details'!$R:$BR,20,FALSE)</f>
        <v>#N/A</v>
      </c>
      <c r="N57" s="1909" t="e">
        <f>VLOOKUP(M57,#REF!,2,FALSE)</f>
        <v>#N/A</v>
      </c>
      <c r="O57" s="1909" t="s">
        <v>3844</v>
      </c>
      <c r="P57" s="2284" t="s">
        <v>3687</v>
      </c>
      <c r="Q57" s="2281"/>
      <c r="R57" s="2282"/>
      <c r="S57" s="1909" t="s">
        <v>3688</v>
      </c>
      <c r="T57" s="1909" t="s">
        <v>3706</v>
      </c>
      <c r="U57" s="1909" t="s">
        <v>3690</v>
      </c>
      <c r="V57" s="1909" t="s">
        <v>3708</v>
      </c>
      <c r="W57" s="1909" t="s">
        <v>3688</v>
      </c>
      <c r="X57" s="1909" t="s">
        <v>3845</v>
      </c>
      <c r="Y57" s="1909" t="s">
        <v>3846</v>
      </c>
      <c r="Z57" s="1909"/>
      <c r="AA57" s="1909" t="s">
        <v>3694</v>
      </c>
      <c r="AB57" s="1909" t="s">
        <v>3847</v>
      </c>
      <c r="AC57" s="1909" t="s">
        <v>3696</v>
      </c>
      <c r="AD57" s="2283" t="s">
        <v>3848</v>
      </c>
      <c r="AE57" s="2281"/>
      <c r="AF57" s="2282"/>
      <c r="AG57" s="2283" t="s">
        <v>3696</v>
      </c>
      <c r="AH57" s="2281"/>
      <c r="AI57" s="2282"/>
      <c r="AJ57" s="1909" t="s">
        <v>3714</v>
      </c>
      <c r="AK57" s="2283" t="s">
        <v>3849</v>
      </c>
      <c r="AL57" s="2281"/>
      <c r="AM57" s="2259"/>
      <c r="AN57" s="2281"/>
      <c r="AO57" s="2282"/>
      <c r="AP57" s="1909" t="s">
        <v>3699</v>
      </c>
      <c r="BC57" s="214"/>
      <c r="BD57" s="214"/>
      <c r="BE57" s="214"/>
      <c r="BF57" s="214"/>
    </row>
    <row r="58" spans="1:58" ht="45" hidden="1" customHeight="1">
      <c r="B58" s="2277"/>
      <c r="C58" s="2259"/>
      <c r="D58" s="2260"/>
      <c r="E58" s="1908" t="s">
        <v>3682</v>
      </c>
      <c r="F58" s="1908" t="s">
        <v>3683</v>
      </c>
      <c r="G58" s="1908"/>
      <c r="H58" s="2278" t="s">
        <v>3750</v>
      </c>
      <c r="I58" s="2259"/>
      <c r="J58" s="2260"/>
      <c r="K58" s="2278" t="s">
        <v>3850</v>
      </c>
      <c r="L58" s="2260"/>
      <c r="M58" s="1908" t="e">
        <f>VLOOKUP(K58,'Estimate Details'!$R:$BR,20,FALSE)</f>
        <v>#N/A</v>
      </c>
      <c r="N58" s="1908" t="e">
        <f>VLOOKUP(M58,#REF!,2,FALSE)</f>
        <v>#N/A</v>
      </c>
      <c r="O58" s="1908" t="s">
        <v>3851</v>
      </c>
      <c r="P58" s="2278" t="s">
        <v>3687</v>
      </c>
      <c r="Q58" s="2259"/>
      <c r="R58" s="2260"/>
      <c r="S58" s="1908" t="s">
        <v>3688</v>
      </c>
      <c r="T58" s="1908" t="s">
        <v>3689</v>
      </c>
      <c r="U58" s="1908" t="s">
        <v>3690</v>
      </c>
      <c r="V58" s="1908" t="s">
        <v>3691</v>
      </c>
      <c r="W58" s="1908" t="s">
        <v>3688</v>
      </c>
      <c r="X58" s="1908"/>
      <c r="Y58" s="1908"/>
      <c r="Z58" s="1908"/>
      <c r="AA58" s="1908" t="s">
        <v>3694</v>
      </c>
      <c r="AB58" s="1908" t="s">
        <v>3852</v>
      </c>
      <c r="AC58" s="1908" t="s">
        <v>3696</v>
      </c>
      <c r="AD58" s="2278" t="s">
        <v>3853</v>
      </c>
      <c r="AE58" s="2259"/>
      <c r="AF58" s="2260"/>
      <c r="AG58" s="2278" t="s">
        <v>3696</v>
      </c>
      <c r="AH58" s="2259"/>
      <c r="AI58" s="2260"/>
      <c r="AJ58" s="1908" t="s">
        <v>3854</v>
      </c>
      <c r="AK58" s="2278" t="s">
        <v>3855</v>
      </c>
      <c r="AL58" s="2259"/>
      <c r="AM58" s="2259"/>
      <c r="AN58" s="2259"/>
      <c r="AO58" s="2260"/>
      <c r="AP58" s="1908" t="s">
        <v>3699</v>
      </c>
      <c r="BC58" s="214"/>
      <c r="BD58" s="214"/>
      <c r="BE58" s="214"/>
      <c r="BF58" s="214"/>
    </row>
    <row r="59" spans="1:58" ht="45" hidden="1" customHeight="1">
      <c r="A59" s="808"/>
      <c r="B59" s="2280"/>
      <c r="C59" s="2281"/>
      <c r="D59" s="2282"/>
      <c r="E59" s="1909" t="s">
        <v>3682</v>
      </c>
      <c r="F59" s="1909" t="s">
        <v>3683</v>
      </c>
      <c r="G59" s="1909"/>
      <c r="H59" s="2283" t="s">
        <v>3750</v>
      </c>
      <c r="I59" s="2281"/>
      <c r="J59" s="2282"/>
      <c r="K59" s="2283" t="s">
        <v>3856</v>
      </c>
      <c r="L59" s="2282"/>
      <c r="M59" s="1909" t="e">
        <f>VLOOKUP(K59,'Estimate Details'!$R:$BR,20,FALSE)</f>
        <v>#N/A</v>
      </c>
      <c r="N59" s="1909" t="e">
        <f>VLOOKUP(M59,#REF!,2,FALSE)</f>
        <v>#N/A</v>
      </c>
      <c r="O59" s="1909" t="s">
        <v>3857</v>
      </c>
      <c r="P59" s="2284" t="s">
        <v>3687</v>
      </c>
      <c r="Q59" s="2281"/>
      <c r="R59" s="2282"/>
      <c r="S59" s="1909" t="s">
        <v>3688</v>
      </c>
      <c r="T59" s="1909" t="s">
        <v>3689</v>
      </c>
      <c r="U59" s="1909" t="s">
        <v>3690</v>
      </c>
      <c r="V59" s="1909" t="s">
        <v>3708</v>
      </c>
      <c r="W59" s="1909" t="s">
        <v>3688</v>
      </c>
      <c r="X59" s="1909" t="s">
        <v>3858</v>
      </c>
      <c r="Y59" s="1909" t="s">
        <v>3859</v>
      </c>
      <c r="Z59" s="1909"/>
      <c r="AA59" s="1909" t="s">
        <v>3694</v>
      </c>
      <c r="AB59" s="1909" t="s">
        <v>3860</v>
      </c>
      <c r="AC59" s="1909" t="s">
        <v>3696</v>
      </c>
      <c r="AD59" s="2283" t="s">
        <v>3861</v>
      </c>
      <c r="AE59" s="2281"/>
      <c r="AF59" s="2282"/>
      <c r="AG59" s="2283" t="s">
        <v>3696</v>
      </c>
      <c r="AH59" s="2281"/>
      <c r="AI59" s="2282"/>
      <c r="AJ59" s="1909" t="s">
        <v>3731</v>
      </c>
      <c r="AK59" s="2283" t="s">
        <v>3862</v>
      </c>
      <c r="AL59" s="2281"/>
      <c r="AM59" s="2259"/>
      <c r="AN59" s="2281"/>
      <c r="AO59" s="2282"/>
      <c r="AP59" s="1909" t="s">
        <v>3699</v>
      </c>
      <c r="BC59" s="214"/>
      <c r="BD59" s="214"/>
      <c r="BE59" s="214"/>
      <c r="BF59" s="214"/>
    </row>
    <row r="60" spans="1:58" ht="45" hidden="1" customHeight="1">
      <c r="B60" s="2277"/>
      <c r="C60" s="2259"/>
      <c r="D60" s="2260"/>
      <c r="E60" s="1908" t="s">
        <v>3682</v>
      </c>
      <c r="F60" s="1908" t="s">
        <v>3683</v>
      </c>
      <c r="G60" s="1908"/>
      <c r="H60" s="2278" t="s">
        <v>3750</v>
      </c>
      <c r="I60" s="2259"/>
      <c r="J60" s="2260"/>
      <c r="K60" s="2278" t="s">
        <v>3863</v>
      </c>
      <c r="L60" s="2260"/>
      <c r="M60" s="1908" t="e">
        <f>VLOOKUP(K60,'Estimate Details'!$R:$BR,20,FALSE)</f>
        <v>#N/A</v>
      </c>
      <c r="N60" s="1908" t="e">
        <f>VLOOKUP(M60,#REF!,2,FALSE)</f>
        <v>#N/A</v>
      </c>
      <c r="O60" s="1908" t="s">
        <v>3864</v>
      </c>
      <c r="P60" s="2278" t="s">
        <v>3687</v>
      </c>
      <c r="Q60" s="2259"/>
      <c r="R60" s="2260"/>
      <c r="S60" s="1908" t="s">
        <v>3688</v>
      </c>
      <c r="T60" s="1908" t="s">
        <v>3706</v>
      </c>
      <c r="U60" s="1908" t="s">
        <v>3690</v>
      </c>
      <c r="V60" s="1908" t="s">
        <v>3691</v>
      </c>
      <c r="W60" s="1908" t="s">
        <v>3688</v>
      </c>
      <c r="X60" s="1908"/>
      <c r="Y60" s="1908"/>
      <c r="Z60" s="1908"/>
      <c r="AA60" s="1908" t="s">
        <v>3694</v>
      </c>
      <c r="AB60" s="1908" t="s">
        <v>3688</v>
      </c>
      <c r="AC60" s="1908" t="s">
        <v>3696</v>
      </c>
      <c r="AD60" s="2278" t="s">
        <v>3865</v>
      </c>
      <c r="AE60" s="2259"/>
      <c r="AF60" s="2260"/>
      <c r="AG60" s="2278" t="s">
        <v>3696</v>
      </c>
      <c r="AH60" s="2259"/>
      <c r="AI60" s="2260"/>
      <c r="AJ60" s="1908" t="s">
        <v>3770</v>
      </c>
      <c r="AK60" s="2278" t="s">
        <v>3866</v>
      </c>
      <c r="AL60" s="2259"/>
      <c r="AM60" s="2259"/>
      <c r="AN60" s="2259"/>
      <c r="AO60" s="2260"/>
      <c r="AP60" s="1908" t="s">
        <v>3699</v>
      </c>
      <c r="BC60" s="214"/>
      <c r="BD60" s="214"/>
      <c r="BE60" s="214"/>
      <c r="BF60" s="214"/>
    </row>
    <row r="61" spans="1:58" ht="45" hidden="1" customHeight="1">
      <c r="A61" s="808"/>
      <c r="B61" s="2280"/>
      <c r="C61" s="2281"/>
      <c r="D61" s="2282"/>
      <c r="E61" s="1909" t="s">
        <v>3682</v>
      </c>
      <c r="F61" s="1909" t="s">
        <v>3683</v>
      </c>
      <c r="G61" s="1909"/>
      <c r="H61" s="2283" t="s">
        <v>3750</v>
      </c>
      <c r="I61" s="2281"/>
      <c r="J61" s="2282"/>
      <c r="K61" s="2283" t="s">
        <v>3867</v>
      </c>
      <c r="L61" s="2282"/>
      <c r="M61" s="1909" t="e">
        <f>VLOOKUP(K61,'Estimate Details'!$R:$BR,20,FALSE)</f>
        <v>#N/A</v>
      </c>
      <c r="N61" s="1909" t="e">
        <f>VLOOKUP(M61,#REF!,2,FALSE)</f>
        <v>#N/A</v>
      </c>
      <c r="O61" s="1909" t="s">
        <v>3857</v>
      </c>
      <c r="P61" s="2284" t="s">
        <v>3687</v>
      </c>
      <c r="Q61" s="2281"/>
      <c r="R61" s="2282"/>
      <c r="S61" s="1909" t="s">
        <v>3688</v>
      </c>
      <c r="T61" s="1909" t="s">
        <v>3689</v>
      </c>
      <c r="U61" s="1909" t="s">
        <v>3690</v>
      </c>
      <c r="V61" s="1909" t="s">
        <v>3708</v>
      </c>
      <c r="W61" s="1909" t="s">
        <v>3688</v>
      </c>
      <c r="X61" s="1909" t="s">
        <v>3868</v>
      </c>
      <c r="Y61" s="1909" t="s">
        <v>3869</v>
      </c>
      <c r="Z61" s="1909"/>
      <c r="AA61" s="1909" t="s">
        <v>3694</v>
      </c>
      <c r="AB61" s="1909" t="s">
        <v>3870</v>
      </c>
      <c r="AC61" s="1909" t="s">
        <v>3696</v>
      </c>
      <c r="AD61" s="2283" t="s">
        <v>3861</v>
      </c>
      <c r="AE61" s="2281"/>
      <c r="AF61" s="2282"/>
      <c r="AG61" s="2283" t="s">
        <v>3696</v>
      </c>
      <c r="AH61" s="2281"/>
      <c r="AI61" s="2282"/>
      <c r="AJ61" s="1909" t="s">
        <v>3731</v>
      </c>
      <c r="AK61" s="2283" t="s">
        <v>3871</v>
      </c>
      <c r="AL61" s="2281"/>
      <c r="AM61" s="2259"/>
      <c r="AN61" s="2281"/>
      <c r="AO61" s="2282"/>
      <c r="AP61" s="1909" t="s">
        <v>3699</v>
      </c>
      <c r="BC61" s="214"/>
      <c r="BD61" s="214"/>
      <c r="BE61" s="214"/>
      <c r="BF61" s="214"/>
    </row>
    <row r="62" spans="1:58" ht="45" hidden="1" customHeight="1">
      <c r="B62" s="2277"/>
      <c r="C62" s="2259"/>
      <c r="D62" s="2260"/>
      <c r="E62" s="1908" t="s">
        <v>3682</v>
      </c>
      <c r="F62" s="1908" t="s">
        <v>3683</v>
      </c>
      <c r="G62" s="1908"/>
      <c r="H62" s="2278" t="s">
        <v>3750</v>
      </c>
      <c r="I62" s="2259"/>
      <c r="J62" s="2260"/>
      <c r="K62" s="2278" t="s">
        <v>3872</v>
      </c>
      <c r="L62" s="2260"/>
      <c r="M62" s="1908" t="e">
        <f>VLOOKUP(K62,'Estimate Details'!$R:$BR,20,FALSE)</f>
        <v>#N/A</v>
      </c>
      <c r="N62" s="1908" t="e">
        <f>VLOOKUP(M62,#REF!,2,FALSE)</f>
        <v>#N/A</v>
      </c>
      <c r="O62" s="1908" t="s">
        <v>3857</v>
      </c>
      <c r="P62" s="2278" t="s">
        <v>3687</v>
      </c>
      <c r="Q62" s="2259"/>
      <c r="R62" s="2260"/>
      <c r="S62" s="1908" t="s">
        <v>3688</v>
      </c>
      <c r="T62" s="1908" t="s">
        <v>3689</v>
      </c>
      <c r="U62" s="1908" t="s">
        <v>3690</v>
      </c>
      <c r="V62" s="1908" t="s">
        <v>3708</v>
      </c>
      <c r="W62" s="1908" t="s">
        <v>3688</v>
      </c>
      <c r="X62" s="1908" t="s">
        <v>3873</v>
      </c>
      <c r="Y62" s="1908" t="s">
        <v>3874</v>
      </c>
      <c r="Z62" s="1908"/>
      <c r="AA62" s="1908" t="s">
        <v>3694</v>
      </c>
      <c r="AB62" s="1908" t="s">
        <v>3875</v>
      </c>
      <c r="AC62" s="1908" t="s">
        <v>3696</v>
      </c>
      <c r="AD62" s="2278" t="s">
        <v>3876</v>
      </c>
      <c r="AE62" s="2259"/>
      <c r="AF62" s="2260"/>
      <c r="AG62" s="2278" t="s">
        <v>3696</v>
      </c>
      <c r="AH62" s="2259"/>
      <c r="AI62" s="2260"/>
      <c r="AJ62" s="1908" t="s">
        <v>3731</v>
      </c>
      <c r="AK62" s="2278" t="s">
        <v>3877</v>
      </c>
      <c r="AL62" s="2259"/>
      <c r="AM62" s="2259"/>
      <c r="AN62" s="2259"/>
      <c r="AO62" s="2260"/>
      <c r="AP62" s="1908" t="s">
        <v>3699</v>
      </c>
      <c r="BC62" s="214"/>
      <c r="BD62" s="214"/>
      <c r="BE62" s="214"/>
      <c r="BF62" s="214"/>
    </row>
    <row r="63" spans="1:58" ht="45" hidden="1" customHeight="1">
      <c r="A63" s="808"/>
      <c r="B63" s="2280"/>
      <c r="C63" s="2281"/>
      <c r="D63" s="2282"/>
      <c r="E63" s="1909" t="s">
        <v>3682</v>
      </c>
      <c r="F63" s="1909" t="s">
        <v>3683</v>
      </c>
      <c r="G63" s="1909"/>
      <c r="H63" s="2283" t="s">
        <v>3878</v>
      </c>
      <c r="I63" s="2281"/>
      <c r="J63" s="2282"/>
      <c r="K63" s="2283" t="s">
        <v>3879</v>
      </c>
      <c r="L63" s="2282"/>
      <c r="M63" s="1909" t="e">
        <f>VLOOKUP(K63,'Estimate Details'!$R:$BR,20,FALSE)</f>
        <v>#N/A</v>
      </c>
      <c r="N63" s="1909" t="e">
        <f>VLOOKUP(M63,#REF!,2,FALSE)</f>
        <v>#N/A</v>
      </c>
      <c r="O63" s="1909" t="s">
        <v>3880</v>
      </c>
      <c r="P63" s="2284" t="s">
        <v>3687</v>
      </c>
      <c r="Q63" s="2281"/>
      <c r="R63" s="2282"/>
      <c r="S63" s="1909" t="s">
        <v>3688</v>
      </c>
      <c r="T63" s="1909" t="s">
        <v>3689</v>
      </c>
      <c r="U63" s="1909" t="s">
        <v>3690</v>
      </c>
      <c r="V63" s="1909" t="s">
        <v>3691</v>
      </c>
      <c r="W63" s="1909" t="s">
        <v>3688</v>
      </c>
      <c r="X63" s="1909"/>
      <c r="Y63" s="1909"/>
      <c r="Z63" s="1909"/>
      <c r="AA63" s="1909" t="s">
        <v>3694</v>
      </c>
      <c r="AB63" s="1909" t="s">
        <v>3881</v>
      </c>
      <c r="AC63" s="1909" t="s">
        <v>3696</v>
      </c>
      <c r="AD63" s="2283" t="s">
        <v>3882</v>
      </c>
      <c r="AE63" s="2281"/>
      <c r="AF63" s="2282"/>
      <c r="AG63" s="2283" t="s">
        <v>3883</v>
      </c>
      <c r="AH63" s="2281"/>
      <c r="AI63" s="2282"/>
      <c r="AJ63" s="1909" t="s">
        <v>3884</v>
      </c>
      <c r="AK63" s="2283" t="s">
        <v>3885</v>
      </c>
      <c r="AL63" s="2281"/>
      <c r="AM63" s="2259"/>
      <c r="AN63" s="2281"/>
      <c r="AO63" s="2282"/>
      <c r="AP63" s="1909" t="s">
        <v>3699</v>
      </c>
      <c r="BC63" s="214"/>
      <c r="BD63" s="214"/>
      <c r="BE63" s="214"/>
      <c r="BF63" s="214"/>
    </row>
    <row r="64" spans="1:58" ht="45" hidden="1" customHeight="1">
      <c r="B64" s="2277"/>
      <c r="C64" s="2259"/>
      <c r="D64" s="2260"/>
      <c r="E64" s="1908" t="s">
        <v>3682</v>
      </c>
      <c r="F64" s="1908" t="s">
        <v>3683</v>
      </c>
      <c r="G64" s="1908"/>
      <c r="H64" s="2278" t="s">
        <v>3878</v>
      </c>
      <c r="I64" s="2259"/>
      <c r="J64" s="2260"/>
      <c r="K64" s="2278" t="s">
        <v>3886</v>
      </c>
      <c r="L64" s="2260"/>
      <c r="M64" s="1908" t="e">
        <f>VLOOKUP(K64,'Estimate Details'!$R:$BR,20,FALSE)</f>
        <v>#N/A</v>
      </c>
      <c r="N64" s="1908" t="e">
        <f>VLOOKUP(M64,#REF!,2,FALSE)</f>
        <v>#N/A</v>
      </c>
      <c r="O64" s="1908" t="s">
        <v>3887</v>
      </c>
      <c r="P64" s="2278" t="s">
        <v>3687</v>
      </c>
      <c r="Q64" s="2259"/>
      <c r="R64" s="2260"/>
      <c r="S64" s="1908" t="s">
        <v>3688</v>
      </c>
      <c r="T64" s="1908" t="s">
        <v>3706</v>
      </c>
      <c r="U64" s="1908" t="s">
        <v>3690</v>
      </c>
      <c r="V64" s="1908" t="s">
        <v>3691</v>
      </c>
      <c r="W64" s="1908" t="s">
        <v>3688</v>
      </c>
      <c r="X64" s="1908" t="s">
        <v>3888</v>
      </c>
      <c r="Y64" s="1908" t="s">
        <v>3889</v>
      </c>
      <c r="Z64" s="1908"/>
      <c r="AA64" s="1908" t="s">
        <v>3694</v>
      </c>
      <c r="AB64" s="1908" t="s">
        <v>3890</v>
      </c>
      <c r="AC64" s="1908" t="s">
        <v>3696</v>
      </c>
      <c r="AD64" s="2278" t="s">
        <v>3891</v>
      </c>
      <c r="AE64" s="2259"/>
      <c r="AF64" s="2260"/>
      <c r="AG64" s="2278" t="s">
        <v>3696</v>
      </c>
      <c r="AH64" s="2259"/>
      <c r="AI64" s="2260"/>
      <c r="AJ64" s="1908" t="s">
        <v>3884</v>
      </c>
      <c r="AK64" s="2278" t="s">
        <v>3892</v>
      </c>
      <c r="AL64" s="2259"/>
      <c r="AM64" s="2259"/>
      <c r="AN64" s="2259"/>
      <c r="AO64" s="2260"/>
      <c r="AP64" s="1908" t="s">
        <v>3699</v>
      </c>
      <c r="BC64" s="214"/>
      <c r="BD64" s="214"/>
      <c r="BE64" s="214"/>
      <c r="BF64" s="214"/>
    </row>
    <row r="65" spans="1:58" ht="45" hidden="1" customHeight="1">
      <c r="A65" s="808"/>
      <c r="B65" s="2280"/>
      <c r="C65" s="2281"/>
      <c r="D65" s="2282"/>
      <c r="E65" s="1909" t="s">
        <v>3682</v>
      </c>
      <c r="F65" s="1909" t="s">
        <v>3683</v>
      </c>
      <c r="G65" s="1909"/>
      <c r="H65" s="2283" t="s">
        <v>3878</v>
      </c>
      <c r="I65" s="2281"/>
      <c r="J65" s="2282"/>
      <c r="K65" s="2283" t="s">
        <v>3893</v>
      </c>
      <c r="L65" s="2282"/>
      <c r="M65" s="1909" t="e">
        <f>VLOOKUP(K65,'Estimate Details'!$R:$BR,20,FALSE)</f>
        <v>#N/A</v>
      </c>
      <c r="N65" s="1909" t="e">
        <f>VLOOKUP(M65,#REF!,2,FALSE)</f>
        <v>#N/A</v>
      </c>
      <c r="O65" s="1909" t="s">
        <v>3894</v>
      </c>
      <c r="P65" s="2284" t="s">
        <v>3687</v>
      </c>
      <c r="Q65" s="2281"/>
      <c r="R65" s="2282"/>
      <c r="S65" s="1909" t="s">
        <v>3688</v>
      </c>
      <c r="T65" s="1909" t="s">
        <v>3689</v>
      </c>
      <c r="U65" s="1909" t="s">
        <v>3690</v>
      </c>
      <c r="V65" s="1909" t="s">
        <v>3691</v>
      </c>
      <c r="W65" s="1909" t="s">
        <v>3688</v>
      </c>
      <c r="X65" s="1909" t="s">
        <v>3895</v>
      </c>
      <c r="Y65" s="1909" t="s">
        <v>3896</v>
      </c>
      <c r="Z65" s="1909"/>
      <c r="AA65" s="1909" t="s">
        <v>3694</v>
      </c>
      <c r="AB65" s="1909" t="s">
        <v>3897</v>
      </c>
      <c r="AC65" s="1909" t="s">
        <v>3696</v>
      </c>
      <c r="AD65" s="2283" t="s">
        <v>1</v>
      </c>
      <c r="AE65" s="2281"/>
      <c r="AF65" s="2282"/>
      <c r="AG65" s="2283" t="s">
        <v>3696</v>
      </c>
      <c r="AH65" s="2281"/>
      <c r="AI65" s="2282"/>
      <c r="AJ65" s="1909" t="s">
        <v>3884</v>
      </c>
      <c r="AK65" s="2283" t="s">
        <v>3898</v>
      </c>
      <c r="AL65" s="2281"/>
      <c r="AM65" s="2259"/>
      <c r="AN65" s="2281"/>
      <c r="AO65" s="2282"/>
      <c r="AP65" s="1909" t="s">
        <v>3699</v>
      </c>
      <c r="BC65" s="214"/>
      <c r="BD65" s="214"/>
      <c r="BE65" s="214"/>
      <c r="BF65" s="214"/>
    </row>
    <row r="66" spans="1:58" ht="45" hidden="1" customHeight="1">
      <c r="B66" s="2277"/>
      <c r="C66" s="2259"/>
      <c r="D66" s="2260"/>
      <c r="E66" s="1908" t="s">
        <v>3682</v>
      </c>
      <c r="F66" s="1908" t="s">
        <v>3683</v>
      </c>
      <c r="G66" s="1908"/>
      <c r="H66" s="2278" t="s">
        <v>3878</v>
      </c>
      <c r="I66" s="2259"/>
      <c r="J66" s="2260"/>
      <c r="K66" s="2278" t="s">
        <v>3899</v>
      </c>
      <c r="L66" s="2260"/>
      <c r="M66" s="1908" t="e">
        <f>VLOOKUP(K66,'Estimate Details'!$R:$BR,20,FALSE)</f>
        <v>#N/A</v>
      </c>
      <c r="N66" s="1908" t="e">
        <f>VLOOKUP(M66,#REF!,2,FALSE)</f>
        <v>#N/A</v>
      </c>
      <c r="O66" s="1908" t="s">
        <v>3900</v>
      </c>
      <c r="P66" s="2278" t="s">
        <v>3687</v>
      </c>
      <c r="Q66" s="2259"/>
      <c r="R66" s="2260"/>
      <c r="S66" s="1908" t="s">
        <v>3688</v>
      </c>
      <c r="T66" s="1908" t="s">
        <v>3689</v>
      </c>
      <c r="U66" s="1908" t="s">
        <v>3690</v>
      </c>
      <c r="V66" s="1908" t="s">
        <v>3691</v>
      </c>
      <c r="W66" s="1908" t="s">
        <v>3688</v>
      </c>
      <c r="X66" s="1908" t="s">
        <v>3901</v>
      </c>
      <c r="Y66" s="1908" t="s">
        <v>3902</v>
      </c>
      <c r="Z66" s="1908"/>
      <c r="AA66" s="1908" t="s">
        <v>3694</v>
      </c>
      <c r="AB66" s="1908" t="s">
        <v>3903</v>
      </c>
      <c r="AC66" s="1908" t="s">
        <v>3696</v>
      </c>
      <c r="AD66" s="2278" t="s">
        <v>1</v>
      </c>
      <c r="AE66" s="2259"/>
      <c r="AF66" s="2260"/>
      <c r="AG66" s="2278" t="s">
        <v>3696</v>
      </c>
      <c r="AH66" s="2259"/>
      <c r="AI66" s="2260"/>
      <c r="AJ66" s="1908" t="s">
        <v>3884</v>
      </c>
      <c r="AK66" s="2278" t="s">
        <v>3904</v>
      </c>
      <c r="AL66" s="2259"/>
      <c r="AM66" s="2259"/>
      <c r="AN66" s="2259"/>
      <c r="AO66" s="2260"/>
      <c r="AP66" s="1908" t="s">
        <v>3699</v>
      </c>
      <c r="BC66" s="214"/>
      <c r="BD66" s="214"/>
      <c r="BE66" s="214"/>
      <c r="BF66" s="214"/>
    </row>
    <row r="67" spans="1:58" ht="62.25" hidden="1" customHeight="1">
      <c r="A67" s="808"/>
      <c r="B67" s="2280"/>
      <c r="C67" s="2281"/>
      <c r="D67" s="2282"/>
      <c r="E67" s="1909" t="s">
        <v>3682</v>
      </c>
      <c r="F67" s="1909" t="s">
        <v>3683</v>
      </c>
      <c r="G67" s="1909"/>
      <c r="H67" s="2283" t="s">
        <v>3878</v>
      </c>
      <c r="I67" s="2281"/>
      <c r="J67" s="2282"/>
      <c r="K67" s="2283" t="s">
        <v>3905</v>
      </c>
      <c r="L67" s="2282"/>
      <c r="M67" s="1909" t="e">
        <f>VLOOKUP(K67,'Estimate Details'!$R:$BR,20,FALSE)</f>
        <v>#N/A</v>
      </c>
      <c r="N67" s="1909" t="e">
        <f>VLOOKUP(M67,#REF!,2,FALSE)</f>
        <v>#N/A</v>
      </c>
      <c r="O67" s="1909" t="s">
        <v>3906</v>
      </c>
      <c r="P67" s="2284" t="s">
        <v>3687</v>
      </c>
      <c r="Q67" s="2281"/>
      <c r="R67" s="2282"/>
      <c r="S67" s="1909" t="s">
        <v>3688</v>
      </c>
      <c r="T67" s="1909" t="s">
        <v>3689</v>
      </c>
      <c r="U67" s="1909" t="s">
        <v>3690</v>
      </c>
      <c r="V67" s="1909" t="s">
        <v>3691</v>
      </c>
      <c r="W67" s="1909" t="s">
        <v>3688</v>
      </c>
      <c r="X67" s="1909"/>
      <c r="Y67" s="1909"/>
      <c r="Z67" s="1909"/>
      <c r="AA67" s="1909" t="s">
        <v>3694</v>
      </c>
      <c r="AB67" s="1909" t="s">
        <v>3907</v>
      </c>
      <c r="AC67" s="1909" t="s">
        <v>3696</v>
      </c>
      <c r="AD67" s="2283" t="s">
        <v>3908</v>
      </c>
      <c r="AE67" s="2281"/>
      <c r="AF67" s="2282"/>
      <c r="AG67" s="2283" t="s">
        <v>3909</v>
      </c>
      <c r="AH67" s="2281"/>
      <c r="AI67" s="2282"/>
      <c r="AJ67" s="1909" t="s">
        <v>3884</v>
      </c>
      <c r="AK67" s="2283" t="s">
        <v>3910</v>
      </c>
      <c r="AL67" s="2281"/>
      <c r="AM67" s="2259"/>
      <c r="AN67" s="2281"/>
      <c r="AO67" s="2282"/>
      <c r="AP67" s="1909" t="s">
        <v>3699</v>
      </c>
      <c r="BC67" s="214"/>
      <c r="BD67" s="214"/>
      <c r="BE67" s="214"/>
      <c r="BF67" s="214"/>
    </row>
    <row r="68" spans="1:58" ht="45" hidden="1" customHeight="1">
      <c r="B68" s="2277"/>
      <c r="C68" s="2259"/>
      <c r="D68" s="2260"/>
      <c r="E68" s="1908" t="s">
        <v>3682</v>
      </c>
      <c r="F68" s="1908" t="s">
        <v>3683</v>
      </c>
      <c r="G68" s="1908"/>
      <c r="H68" s="2278" t="s">
        <v>3878</v>
      </c>
      <c r="I68" s="2259"/>
      <c r="J68" s="2260"/>
      <c r="K68" s="2278" t="s">
        <v>3911</v>
      </c>
      <c r="L68" s="2260"/>
      <c r="M68" s="1908" t="e">
        <f>VLOOKUP(K68,'Estimate Details'!$R:$BR,20,FALSE)</f>
        <v>#N/A</v>
      </c>
      <c r="N68" s="1908" t="e">
        <f>VLOOKUP(M68,#REF!,2,FALSE)</f>
        <v>#N/A</v>
      </c>
      <c r="O68" s="1908" t="s">
        <v>3912</v>
      </c>
      <c r="P68" s="2278" t="s">
        <v>3687</v>
      </c>
      <c r="Q68" s="2259"/>
      <c r="R68" s="2260"/>
      <c r="S68" s="1908" t="s">
        <v>3688</v>
      </c>
      <c r="T68" s="1908" t="s">
        <v>3689</v>
      </c>
      <c r="U68" s="1908" t="s">
        <v>3690</v>
      </c>
      <c r="V68" s="1908" t="s">
        <v>3691</v>
      </c>
      <c r="W68" s="1908" t="s">
        <v>3688</v>
      </c>
      <c r="X68" s="1908"/>
      <c r="Y68" s="1908"/>
      <c r="Z68" s="1908"/>
      <c r="AA68" s="1908" t="s">
        <v>3694</v>
      </c>
      <c r="AB68" s="1908" t="s">
        <v>3688</v>
      </c>
      <c r="AC68" s="1908" t="s">
        <v>3696</v>
      </c>
      <c r="AD68" s="2278" t="s">
        <v>3913</v>
      </c>
      <c r="AE68" s="2259"/>
      <c r="AF68" s="2260"/>
      <c r="AG68" s="2278" t="s">
        <v>3696</v>
      </c>
      <c r="AH68" s="2259"/>
      <c r="AI68" s="2260"/>
      <c r="AJ68" s="1908" t="s">
        <v>3914</v>
      </c>
      <c r="AK68" s="2278" t="s">
        <v>3915</v>
      </c>
      <c r="AL68" s="2259"/>
      <c r="AM68" s="2259"/>
      <c r="AN68" s="2259"/>
      <c r="AO68" s="2260"/>
      <c r="AP68" s="1908" t="s">
        <v>3699</v>
      </c>
      <c r="BC68" s="214"/>
      <c r="BD68" s="214"/>
      <c r="BE68" s="214"/>
      <c r="BF68" s="214"/>
    </row>
    <row r="69" spans="1:58" ht="45" hidden="1" customHeight="1">
      <c r="A69" s="808"/>
      <c r="B69" s="2280"/>
      <c r="C69" s="2281"/>
      <c r="D69" s="2282"/>
      <c r="E69" s="1909" t="s">
        <v>3682</v>
      </c>
      <c r="F69" s="1909" t="s">
        <v>3683</v>
      </c>
      <c r="G69" s="1909"/>
      <c r="H69" s="2283" t="s">
        <v>3878</v>
      </c>
      <c r="I69" s="2281"/>
      <c r="J69" s="2282"/>
      <c r="K69" s="2283" t="s">
        <v>3916</v>
      </c>
      <c r="L69" s="2282"/>
      <c r="M69" s="1909" t="e">
        <f>VLOOKUP(K69,'Estimate Details'!$R:$BR,20,FALSE)</f>
        <v>#N/A</v>
      </c>
      <c r="N69" s="1909" t="e">
        <f>VLOOKUP(M69,#REF!,2,FALSE)</f>
        <v>#N/A</v>
      </c>
      <c r="O69" s="1909" t="s">
        <v>3912</v>
      </c>
      <c r="P69" s="2284" t="s">
        <v>3687</v>
      </c>
      <c r="Q69" s="2281"/>
      <c r="R69" s="2282"/>
      <c r="S69" s="1909" t="s">
        <v>3688</v>
      </c>
      <c r="T69" s="1909" t="s">
        <v>3689</v>
      </c>
      <c r="U69" s="1909" t="s">
        <v>3690</v>
      </c>
      <c r="V69" s="1909" t="s">
        <v>3691</v>
      </c>
      <c r="W69" s="1909" t="s">
        <v>3688</v>
      </c>
      <c r="X69" s="1909"/>
      <c r="Y69" s="1909"/>
      <c r="Z69" s="1909"/>
      <c r="AA69" s="1909" t="s">
        <v>3694</v>
      </c>
      <c r="AB69" s="1909" t="s">
        <v>3688</v>
      </c>
      <c r="AC69" s="1909" t="s">
        <v>3696</v>
      </c>
      <c r="AD69" s="2283" t="s">
        <v>3913</v>
      </c>
      <c r="AE69" s="2281"/>
      <c r="AF69" s="2282"/>
      <c r="AG69" s="2283" t="s">
        <v>3696</v>
      </c>
      <c r="AH69" s="2281"/>
      <c r="AI69" s="2282"/>
      <c r="AJ69" s="1909" t="s">
        <v>3914</v>
      </c>
      <c r="AK69" s="2283" t="s">
        <v>3915</v>
      </c>
      <c r="AL69" s="2281"/>
      <c r="AM69" s="2259"/>
      <c r="AN69" s="2281"/>
      <c r="AO69" s="2282"/>
      <c r="AP69" s="1909" t="s">
        <v>3699</v>
      </c>
      <c r="BC69" s="214"/>
      <c r="BD69" s="214"/>
      <c r="BE69" s="214"/>
      <c r="BF69" s="214"/>
    </row>
    <row r="70" spans="1:58" ht="45" hidden="1" customHeight="1">
      <c r="B70" s="2277"/>
      <c r="C70" s="2259"/>
      <c r="D70" s="2260"/>
      <c r="E70" s="1908" t="s">
        <v>3682</v>
      </c>
      <c r="F70" s="1908" t="s">
        <v>3683</v>
      </c>
      <c r="G70" s="1908"/>
      <c r="H70" s="2278" t="s">
        <v>3878</v>
      </c>
      <c r="I70" s="2259"/>
      <c r="J70" s="2260"/>
      <c r="K70" s="2278" t="s">
        <v>3917</v>
      </c>
      <c r="L70" s="2260"/>
      <c r="M70" s="1908" t="e">
        <f>VLOOKUP(K70,'Estimate Details'!$R:$BR,20,FALSE)</f>
        <v>#N/A</v>
      </c>
      <c r="N70" s="1908" t="e">
        <f>VLOOKUP(M70,#REF!,2,FALSE)</f>
        <v>#N/A</v>
      </c>
      <c r="O70" s="1908" t="s">
        <v>3912</v>
      </c>
      <c r="P70" s="2278" t="s">
        <v>3687</v>
      </c>
      <c r="Q70" s="2259"/>
      <c r="R70" s="2260"/>
      <c r="S70" s="1908" t="s">
        <v>3688</v>
      </c>
      <c r="T70" s="1908" t="s">
        <v>3689</v>
      </c>
      <c r="U70" s="1908" t="s">
        <v>3690</v>
      </c>
      <c r="V70" s="1908" t="s">
        <v>3691</v>
      </c>
      <c r="W70" s="1908" t="s">
        <v>3688</v>
      </c>
      <c r="X70" s="1908"/>
      <c r="Y70" s="1908"/>
      <c r="Z70" s="1908"/>
      <c r="AA70" s="1908" t="s">
        <v>3694</v>
      </c>
      <c r="AB70" s="1908" t="s">
        <v>3688</v>
      </c>
      <c r="AC70" s="1908" t="s">
        <v>3696</v>
      </c>
      <c r="AD70" s="2278" t="s">
        <v>3913</v>
      </c>
      <c r="AE70" s="2259"/>
      <c r="AF70" s="2260"/>
      <c r="AG70" s="2278" t="s">
        <v>3696</v>
      </c>
      <c r="AH70" s="2259"/>
      <c r="AI70" s="2260"/>
      <c r="AJ70" s="1908" t="s">
        <v>3914</v>
      </c>
      <c r="AK70" s="2278" t="s">
        <v>3915</v>
      </c>
      <c r="AL70" s="2259"/>
      <c r="AM70" s="2259"/>
      <c r="AN70" s="2259"/>
      <c r="AO70" s="2260"/>
      <c r="AP70" s="1908" t="s">
        <v>3699</v>
      </c>
      <c r="BC70" s="214"/>
      <c r="BD70" s="214"/>
      <c r="BE70" s="214"/>
      <c r="BF70" s="214"/>
    </row>
    <row r="71" spans="1:58" ht="45" hidden="1" customHeight="1">
      <c r="A71" s="808"/>
      <c r="B71" s="2280"/>
      <c r="C71" s="2281"/>
      <c r="D71" s="2282"/>
      <c r="E71" s="1909" t="s">
        <v>3682</v>
      </c>
      <c r="F71" s="1909" t="s">
        <v>3683</v>
      </c>
      <c r="G71" s="1909"/>
      <c r="H71" s="2283" t="s">
        <v>3878</v>
      </c>
      <c r="I71" s="2281"/>
      <c r="J71" s="2282"/>
      <c r="K71" s="2283" t="s">
        <v>3918</v>
      </c>
      <c r="L71" s="2282"/>
      <c r="M71" s="1909" t="e">
        <f>VLOOKUP(K71,'Estimate Details'!$R:$BR,20,FALSE)</f>
        <v>#N/A</v>
      </c>
      <c r="N71" s="1909" t="e">
        <f>VLOOKUP(M71,#REF!,2,FALSE)</f>
        <v>#N/A</v>
      </c>
      <c r="O71" s="1909" t="s">
        <v>3919</v>
      </c>
      <c r="P71" s="2284" t="s">
        <v>3687</v>
      </c>
      <c r="Q71" s="2281"/>
      <c r="R71" s="2282"/>
      <c r="S71" s="1909" t="s">
        <v>3688</v>
      </c>
      <c r="T71" s="1909" t="s">
        <v>3689</v>
      </c>
      <c r="U71" s="1909" t="s">
        <v>3690</v>
      </c>
      <c r="V71" s="1909" t="s">
        <v>3691</v>
      </c>
      <c r="W71" s="1909" t="s">
        <v>3688</v>
      </c>
      <c r="X71" s="1909" t="s">
        <v>3920</v>
      </c>
      <c r="Y71" s="1909"/>
      <c r="Z71" s="1909"/>
      <c r="AA71" s="1909" t="s">
        <v>3694</v>
      </c>
      <c r="AB71" s="1909" t="s">
        <v>3921</v>
      </c>
      <c r="AC71" s="1909" t="s">
        <v>3696</v>
      </c>
      <c r="AD71" s="2283" t="s">
        <v>3922</v>
      </c>
      <c r="AE71" s="2281"/>
      <c r="AF71" s="2282"/>
      <c r="AG71" s="2283" t="s">
        <v>3696</v>
      </c>
      <c r="AH71" s="2281"/>
      <c r="AI71" s="2282"/>
      <c r="AJ71" s="1909" t="s">
        <v>3923</v>
      </c>
      <c r="AK71" s="2283" t="s">
        <v>3688</v>
      </c>
      <c r="AL71" s="2281"/>
      <c r="AM71" s="2259"/>
      <c r="AN71" s="2281"/>
      <c r="AO71" s="2282"/>
      <c r="AP71" s="1909" t="s">
        <v>3699</v>
      </c>
      <c r="BC71" s="214"/>
      <c r="BD71" s="214"/>
      <c r="BE71" s="214"/>
      <c r="BF71" s="214"/>
    </row>
    <row r="72" spans="1:58" ht="45" hidden="1" customHeight="1">
      <c r="B72" s="2277"/>
      <c r="C72" s="2259"/>
      <c r="D72" s="2260"/>
      <c r="E72" s="1908" t="s">
        <v>3682</v>
      </c>
      <c r="F72" s="1908" t="s">
        <v>3683</v>
      </c>
      <c r="G72" s="1908"/>
      <c r="H72" s="2278" t="s">
        <v>3878</v>
      </c>
      <c r="I72" s="2259"/>
      <c r="J72" s="2260"/>
      <c r="K72" s="2278" t="s">
        <v>3924</v>
      </c>
      <c r="L72" s="2260"/>
      <c r="M72" s="1908" t="e">
        <f>VLOOKUP(K72,'Estimate Details'!$R:$BR,20,FALSE)</f>
        <v>#N/A</v>
      </c>
      <c r="N72" s="1908" t="e">
        <f>VLOOKUP(M72,#REF!,2,FALSE)</f>
        <v>#N/A</v>
      </c>
      <c r="O72" s="1908" t="s">
        <v>3919</v>
      </c>
      <c r="P72" s="2278" t="s">
        <v>3687</v>
      </c>
      <c r="Q72" s="2259"/>
      <c r="R72" s="2260"/>
      <c r="S72" s="1908" t="s">
        <v>3688</v>
      </c>
      <c r="T72" s="1908" t="s">
        <v>3689</v>
      </c>
      <c r="U72" s="1908" t="s">
        <v>3690</v>
      </c>
      <c r="V72" s="1908" t="s">
        <v>3691</v>
      </c>
      <c r="W72" s="1908" t="s">
        <v>3688</v>
      </c>
      <c r="X72" s="1908" t="s">
        <v>3920</v>
      </c>
      <c r="Y72" s="1908"/>
      <c r="Z72" s="1908"/>
      <c r="AA72" s="1908" t="s">
        <v>3694</v>
      </c>
      <c r="AB72" s="1908" t="s">
        <v>3921</v>
      </c>
      <c r="AC72" s="1908" t="s">
        <v>3696</v>
      </c>
      <c r="AD72" s="2278" t="s">
        <v>3922</v>
      </c>
      <c r="AE72" s="2259"/>
      <c r="AF72" s="2260"/>
      <c r="AG72" s="2278" t="s">
        <v>3696</v>
      </c>
      <c r="AH72" s="2259"/>
      <c r="AI72" s="2260"/>
      <c r="AJ72" s="1908" t="s">
        <v>3923</v>
      </c>
      <c r="AK72" s="2278" t="s">
        <v>3688</v>
      </c>
      <c r="AL72" s="2259"/>
      <c r="AM72" s="2259"/>
      <c r="AN72" s="2259"/>
      <c r="AO72" s="2260"/>
      <c r="AP72" s="1908" t="s">
        <v>3699</v>
      </c>
      <c r="BC72" s="214"/>
      <c r="BD72" s="214"/>
      <c r="BE72" s="214"/>
      <c r="BF72" s="214"/>
    </row>
    <row r="73" spans="1:58" ht="45" hidden="1" customHeight="1">
      <c r="A73" s="808"/>
      <c r="B73" s="2280"/>
      <c r="C73" s="2281"/>
      <c r="D73" s="2282"/>
      <c r="E73" s="1909" t="s">
        <v>3682</v>
      </c>
      <c r="F73" s="1909" t="s">
        <v>3683</v>
      </c>
      <c r="G73" s="1909"/>
      <c r="H73" s="2283" t="s">
        <v>3878</v>
      </c>
      <c r="I73" s="2281"/>
      <c r="J73" s="2282"/>
      <c r="K73" s="2283" t="s">
        <v>3925</v>
      </c>
      <c r="L73" s="2282"/>
      <c r="M73" s="1909" t="e">
        <f>VLOOKUP(K73,'Estimate Details'!$R:$BR,20,FALSE)</f>
        <v>#N/A</v>
      </c>
      <c r="N73" s="1909" t="e">
        <f>VLOOKUP(M73,#REF!,2,FALSE)</f>
        <v>#N/A</v>
      </c>
      <c r="O73" s="1909" t="s">
        <v>3919</v>
      </c>
      <c r="P73" s="2284" t="s">
        <v>3687</v>
      </c>
      <c r="Q73" s="2281"/>
      <c r="R73" s="2282"/>
      <c r="S73" s="1909" t="s">
        <v>3688</v>
      </c>
      <c r="T73" s="1909" t="s">
        <v>3689</v>
      </c>
      <c r="U73" s="1909" t="s">
        <v>3690</v>
      </c>
      <c r="V73" s="1909" t="s">
        <v>3691</v>
      </c>
      <c r="W73" s="1909" t="s">
        <v>3688</v>
      </c>
      <c r="X73" s="1909" t="s">
        <v>3920</v>
      </c>
      <c r="Y73" s="1909"/>
      <c r="Z73" s="1909"/>
      <c r="AA73" s="1909" t="s">
        <v>3694</v>
      </c>
      <c r="AB73" s="1909" t="s">
        <v>3921</v>
      </c>
      <c r="AC73" s="1909" t="s">
        <v>3696</v>
      </c>
      <c r="AD73" s="2283" t="s">
        <v>3922</v>
      </c>
      <c r="AE73" s="2281"/>
      <c r="AF73" s="2282"/>
      <c r="AG73" s="2283" t="s">
        <v>3696</v>
      </c>
      <c r="AH73" s="2281"/>
      <c r="AI73" s="2282"/>
      <c r="AJ73" s="1909" t="s">
        <v>3923</v>
      </c>
      <c r="AK73" s="2283" t="s">
        <v>3688</v>
      </c>
      <c r="AL73" s="2281"/>
      <c r="AM73" s="2259"/>
      <c r="AN73" s="2281"/>
      <c r="AO73" s="2282"/>
      <c r="AP73" s="1909" t="s">
        <v>3699</v>
      </c>
      <c r="BC73" s="214"/>
      <c r="BD73" s="214"/>
      <c r="BE73" s="214"/>
      <c r="BF73" s="214"/>
    </row>
    <row r="74" spans="1:58" ht="45" hidden="1" customHeight="1">
      <c r="B74" s="2277"/>
      <c r="C74" s="2259"/>
      <c r="D74" s="2260"/>
      <c r="E74" s="1908" t="s">
        <v>3682</v>
      </c>
      <c r="F74" s="1908" t="s">
        <v>3683</v>
      </c>
      <c r="G74" s="1908"/>
      <c r="H74" s="2278" t="s">
        <v>3878</v>
      </c>
      <c r="I74" s="2259"/>
      <c r="J74" s="2260"/>
      <c r="K74" s="2278" t="s">
        <v>3926</v>
      </c>
      <c r="L74" s="2260"/>
      <c r="M74" s="1908" t="e">
        <f>VLOOKUP(K74,'Estimate Details'!$R:$BR,20,FALSE)</f>
        <v>#N/A</v>
      </c>
      <c r="N74" s="1908" t="e">
        <f>VLOOKUP(M74,#REF!,2,FALSE)</f>
        <v>#N/A</v>
      </c>
      <c r="O74" s="1908" t="s">
        <v>3927</v>
      </c>
      <c r="P74" s="2278" t="s">
        <v>3687</v>
      </c>
      <c r="Q74" s="2259"/>
      <c r="R74" s="2260"/>
      <c r="S74" s="1908" t="s">
        <v>3688</v>
      </c>
      <c r="T74" s="1908" t="s">
        <v>3689</v>
      </c>
      <c r="U74" s="1908" t="s">
        <v>3690</v>
      </c>
      <c r="V74" s="1908" t="s">
        <v>3691</v>
      </c>
      <c r="W74" s="1908" t="s">
        <v>3688</v>
      </c>
      <c r="X74" s="1908"/>
      <c r="Y74" s="1908"/>
      <c r="Z74" s="1908"/>
      <c r="AA74" s="1908" t="s">
        <v>3694</v>
      </c>
      <c r="AB74" s="1908" t="s">
        <v>3928</v>
      </c>
      <c r="AC74" s="1908" t="s">
        <v>3696</v>
      </c>
      <c r="AD74" s="2278" t="s">
        <v>3929</v>
      </c>
      <c r="AE74" s="2259"/>
      <c r="AF74" s="2260"/>
      <c r="AG74" s="2278" t="s">
        <v>3930</v>
      </c>
      <c r="AH74" s="2259"/>
      <c r="AI74" s="2260"/>
      <c r="AJ74" s="1908" t="s">
        <v>3931</v>
      </c>
      <c r="AK74" s="2278" t="s">
        <v>3932</v>
      </c>
      <c r="AL74" s="2259"/>
      <c r="AM74" s="2259"/>
      <c r="AN74" s="2259"/>
      <c r="AO74" s="2260"/>
      <c r="AP74" s="1908" t="s">
        <v>3699</v>
      </c>
      <c r="BC74" s="214"/>
      <c r="BD74" s="214"/>
      <c r="BE74" s="214"/>
      <c r="BF74" s="214"/>
    </row>
    <row r="75" spans="1:58" ht="45" hidden="1" customHeight="1">
      <c r="A75" s="808"/>
      <c r="B75" s="2280"/>
      <c r="C75" s="2281"/>
      <c r="D75" s="2282"/>
      <c r="E75" s="1909" t="s">
        <v>3682</v>
      </c>
      <c r="F75" s="1909" t="s">
        <v>3683</v>
      </c>
      <c r="G75" s="1909"/>
      <c r="H75" s="2283" t="s">
        <v>3878</v>
      </c>
      <c r="I75" s="2281"/>
      <c r="J75" s="2282"/>
      <c r="K75" s="2283" t="s">
        <v>3933</v>
      </c>
      <c r="L75" s="2282"/>
      <c r="M75" s="1909" t="e">
        <f>VLOOKUP(K75,'Estimate Details'!$R:$BR,20,FALSE)</f>
        <v>#N/A</v>
      </c>
      <c r="N75" s="1909" t="e">
        <f>VLOOKUP(M75,#REF!,2,FALSE)</f>
        <v>#N/A</v>
      </c>
      <c r="O75" s="1909" t="s">
        <v>3934</v>
      </c>
      <c r="P75" s="2284" t="s">
        <v>3687</v>
      </c>
      <c r="Q75" s="2281"/>
      <c r="R75" s="2282"/>
      <c r="S75" s="1909" t="s">
        <v>3688</v>
      </c>
      <c r="T75" s="1909" t="s">
        <v>3689</v>
      </c>
      <c r="U75" s="1909" t="s">
        <v>3690</v>
      </c>
      <c r="V75" s="1909" t="s">
        <v>3691</v>
      </c>
      <c r="W75" s="1909" t="s">
        <v>3688</v>
      </c>
      <c r="X75" s="1909"/>
      <c r="Y75" s="1909"/>
      <c r="Z75" s="1909"/>
      <c r="AA75" s="1909" t="s">
        <v>3694</v>
      </c>
      <c r="AB75" s="1909" t="s">
        <v>3935</v>
      </c>
      <c r="AC75" s="1909" t="s">
        <v>3696</v>
      </c>
      <c r="AD75" s="2283" t="s">
        <v>3936</v>
      </c>
      <c r="AE75" s="2281"/>
      <c r="AF75" s="2282"/>
      <c r="AG75" s="2283" t="s">
        <v>3792</v>
      </c>
      <c r="AH75" s="2281"/>
      <c r="AI75" s="2282"/>
      <c r="AJ75" s="1909" t="s">
        <v>3931</v>
      </c>
      <c r="AK75" s="2283" t="s">
        <v>3937</v>
      </c>
      <c r="AL75" s="2281"/>
      <c r="AM75" s="2259"/>
      <c r="AN75" s="2281"/>
      <c r="AO75" s="2282"/>
      <c r="AP75" s="1909" t="s">
        <v>3699</v>
      </c>
      <c r="BC75" s="214"/>
      <c r="BD75" s="214"/>
      <c r="BE75" s="214"/>
      <c r="BF75" s="214"/>
    </row>
    <row r="76" spans="1:58" ht="45" hidden="1" customHeight="1">
      <c r="B76" s="2277"/>
      <c r="C76" s="2259"/>
      <c r="D76" s="2260"/>
      <c r="E76" s="1908" t="s">
        <v>3682</v>
      </c>
      <c r="F76" s="1908" t="s">
        <v>3683</v>
      </c>
      <c r="G76" s="1908"/>
      <c r="H76" s="2278" t="s">
        <v>3878</v>
      </c>
      <c r="I76" s="2259"/>
      <c r="J76" s="2260"/>
      <c r="K76" s="2278" t="s">
        <v>3938</v>
      </c>
      <c r="L76" s="2260"/>
      <c r="M76" s="1908" t="e">
        <f>VLOOKUP(K76,'Estimate Details'!$R:$BR,20,FALSE)</f>
        <v>#N/A</v>
      </c>
      <c r="N76" s="1908" t="e">
        <f>VLOOKUP(M76,#REF!,2,FALSE)</f>
        <v>#N/A</v>
      </c>
      <c r="O76" s="1908" t="s">
        <v>3939</v>
      </c>
      <c r="P76" s="2278" t="s">
        <v>3687</v>
      </c>
      <c r="Q76" s="2259"/>
      <c r="R76" s="2260"/>
      <c r="S76" s="1908" t="s">
        <v>3688</v>
      </c>
      <c r="T76" s="1908" t="s">
        <v>3689</v>
      </c>
      <c r="U76" s="1908" t="s">
        <v>3690</v>
      </c>
      <c r="V76" s="1908" t="s">
        <v>3691</v>
      </c>
      <c r="W76" s="1908" t="s">
        <v>3688</v>
      </c>
      <c r="X76" s="1908"/>
      <c r="Y76" s="1908"/>
      <c r="Z76" s="1908"/>
      <c r="AA76" s="1908" t="s">
        <v>3694</v>
      </c>
      <c r="AB76" s="1908" t="s">
        <v>3940</v>
      </c>
      <c r="AC76" s="1908" t="s">
        <v>3696</v>
      </c>
      <c r="AD76" s="2278" t="s">
        <v>3688</v>
      </c>
      <c r="AE76" s="2259"/>
      <c r="AF76" s="2260"/>
      <c r="AG76" s="2278" t="s">
        <v>3696</v>
      </c>
      <c r="AH76" s="2259"/>
      <c r="AI76" s="2260"/>
      <c r="AJ76" s="1908" t="s">
        <v>3931</v>
      </c>
      <c r="AK76" s="2278" t="s">
        <v>3688</v>
      </c>
      <c r="AL76" s="2259"/>
      <c r="AM76" s="2259"/>
      <c r="AN76" s="2259"/>
      <c r="AO76" s="2260"/>
      <c r="AP76" s="1908" t="s">
        <v>3699</v>
      </c>
      <c r="BC76" s="214"/>
      <c r="BD76" s="214"/>
      <c r="BE76" s="214"/>
      <c r="BF76" s="214"/>
    </row>
    <row r="77" spans="1:58" ht="45" hidden="1" customHeight="1">
      <c r="A77" s="808"/>
      <c r="B77" s="2280"/>
      <c r="C77" s="2281"/>
      <c r="D77" s="2282"/>
      <c r="E77" s="1909" t="s">
        <v>3682</v>
      </c>
      <c r="F77" s="1909" t="s">
        <v>3683</v>
      </c>
      <c r="G77" s="1909"/>
      <c r="H77" s="2283" t="s">
        <v>3878</v>
      </c>
      <c r="I77" s="2281"/>
      <c r="J77" s="2282"/>
      <c r="K77" s="2283" t="s">
        <v>3941</v>
      </c>
      <c r="L77" s="2282"/>
      <c r="M77" s="1909" t="e">
        <f>VLOOKUP(K77,'Estimate Details'!$R:$BR,20,FALSE)</f>
        <v>#N/A</v>
      </c>
      <c r="N77" s="1909" t="e">
        <f>VLOOKUP(M77,#REF!,2,FALSE)</f>
        <v>#N/A</v>
      </c>
      <c r="O77" s="1909" t="s">
        <v>3939</v>
      </c>
      <c r="P77" s="2284" t="s">
        <v>3687</v>
      </c>
      <c r="Q77" s="2281"/>
      <c r="R77" s="2282"/>
      <c r="S77" s="1909" t="s">
        <v>3688</v>
      </c>
      <c r="T77" s="1909" t="s">
        <v>3689</v>
      </c>
      <c r="U77" s="1909" t="s">
        <v>3690</v>
      </c>
      <c r="V77" s="1909" t="s">
        <v>3691</v>
      </c>
      <c r="W77" s="1909" t="s">
        <v>3688</v>
      </c>
      <c r="X77" s="1909"/>
      <c r="Y77" s="1909"/>
      <c r="Z77" s="1909"/>
      <c r="AA77" s="1909" t="s">
        <v>3694</v>
      </c>
      <c r="AB77" s="1909" t="s">
        <v>3940</v>
      </c>
      <c r="AC77" s="1909" t="s">
        <v>3696</v>
      </c>
      <c r="AD77" s="2283" t="s">
        <v>3688</v>
      </c>
      <c r="AE77" s="2281"/>
      <c r="AF77" s="2282"/>
      <c r="AG77" s="2283" t="s">
        <v>3696</v>
      </c>
      <c r="AH77" s="2281"/>
      <c r="AI77" s="2282"/>
      <c r="AJ77" s="1909" t="s">
        <v>3931</v>
      </c>
      <c r="AK77" s="2283" t="s">
        <v>3688</v>
      </c>
      <c r="AL77" s="2281"/>
      <c r="AM77" s="2259"/>
      <c r="AN77" s="2281"/>
      <c r="AO77" s="2282"/>
      <c r="AP77" s="1909" t="s">
        <v>3699</v>
      </c>
      <c r="BC77" s="214"/>
      <c r="BD77" s="214"/>
      <c r="BE77" s="214"/>
      <c r="BF77" s="214"/>
    </row>
    <row r="78" spans="1:58" ht="45" hidden="1" customHeight="1">
      <c r="B78" s="2277"/>
      <c r="C78" s="2259"/>
      <c r="D78" s="2260"/>
      <c r="E78" s="1908" t="s">
        <v>3682</v>
      </c>
      <c r="F78" s="1908" t="s">
        <v>3683</v>
      </c>
      <c r="G78" s="1908"/>
      <c r="H78" s="2278" t="s">
        <v>3878</v>
      </c>
      <c r="I78" s="2259"/>
      <c r="J78" s="2260"/>
      <c r="K78" s="2278" t="s">
        <v>3942</v>
      </c>
      <c r="L78" s="2260"/>
      <c r="M78" s="1908" t="e">
        <f>VLOOKUP(K78,'Estimate Details'!$R:$BR,20,FALSE)</f>
        <v>#N/A</v>
      </c>
      <c r="N78" s="1908" t="e">
        <f>VLOOKUP(M78,#REF!,2,FALSE)</f>
        <v>#N/A</v>
      </c>
      <c r="O78" s="1908" t="s">
        <v>3939</v>
      </c>
      <c r="P78" s="2278" t="s">
        <v>3687</v>
      </c>
      <c r="Q78" s="2259"/>
      <c r="R78" s="2260"/>
      <c r="S78" s="1908" t="s">
        <v>3688</v>
      </c>
      <c r="T78" s="1908" t="s">
        <v>3689</v>
      </c>
      <c r="U78" s="1908" t="s">
        <v>3690</v>
      </c>
      <c r="V78" s="1908" t="s">
        <v>3691</v>
      </c>
      <c r="W78" s="1908" t="s">
        <v>3688</v>
      </c>
      <c r="X78" s="1908"/>
      <c r="Y78" s="1908"/>
      <c r="Z78" s="1908"/>
      <c r="AA78" s="1908" t="s">
        <v>3694</v>
      </c>
      <c r="AB78" s="1908" t="s">
        <v>3940</v>
      </c>
      <c r="AC78" s="1908" t="s">
        <v>3696</v>
      </c>
      <c r="AD78" s="2278" t="s">
        <v>3688</v>
      </c>
      <c r="AE78" s="2259"/>
      <c r="AF78" s="2260"/>
      <c r="AG78" s="2278" t="s">
        <v>3696</v>
      </c>
      <c r="AH78" s="2259"/>
      <c r="AI78" s="2260"/>
      <c r="AJ78" s="1908" t="s">
        <v>3931</v>
      </c>
      <c r="AK78" s="2278" t="s">
        <v>3688</v>
      </c>
      <c r="AL78" s="2259"/>
      <c r="AM78" s="2259"/>
      <c r="AN78" s="2259"/>
      <c r="AO78" s="2260"/>
      <c r="AP78" s="1908" t="s">
        <v>3699</v>
      </c>
      <c r="BC78" s="214"/>
      <c r="BD78" s="214"/>
      <c r="BE78" s="214"/>
      <c r="BF78" s="214"/>
    </row>
    <row r="79" spans="1:58" ht="45" hidden="1" customHeight="1">
      <c r="A79" s="808"/>
      <c r="B79" s="2280"/>
      <c r="C79" s="2281"/>
      <c r="D79" s="2282"/>
      <c r="E79" s="1909" t="s">
        <v>3682</v>
      </c>
      <c r="F79" s="1909" t="s">
        <v>3683</v>
      </c>
      <c r="G79" s="1909"/>
      <c r="H79" s="2283" t="s">
        <v>3878</v>
      </c>
      <c r="I79" s="2281"/>
      <c r="J79" s="2282"/>
      <c r="K79" s="2283" t="s">
        <v>3943</v>
      </c>
      <c r="L79" s="2282"/>
      <c r="M79" s="1909" t="e">
        <f>VLOOKUP(K79,'Estimate Details'!$R:$BR,20,FALSE)</f>
        <v>#N/A</v>
      </c>
      <c r="N79" s="1909" t="e">
        <f>VLOOKUP(M79,#REF!,2,FALSE)</f>
        <v>#N/A</v>
      </c>
      <c r="O79" s="1909" t="s">
        <v>3939</v>
      </c>
      <c r="P79" s="2284" t="s">
        <v>3687</v>
      </c>
      <c r="Q79" s="2281"/>
      <c r="R79" s="2282"/>
      <c r="S79" s="1909" t="s">
        <v>3688</v>
      </c>
      <c r="T79" s="1909" t="s">
        <v>3689</v>
      </c>
      <c r="U79" s="1909" t="s">
        <v>3690</v>
      </c>
      <c r="V79" s="1909" t="s">
        <v>3691</v>
      </c>
      <c r="W79" s="1909" t="s">
        <v>3688</v>
      </c>
      <c r="X79" s="1909"/>
      <c r="Y79" s="1909"/>
      <c r="Z79" s="1909"/>
      <c r="AA79" s="1909" t="s">
        <v>3694</v>
      </c>
      <c r="AB79" s="1909" t="s">
        <v>3940</v>
      </c>
      <c r="AC79" s="1909" t="s">
        <v>3696</v>
      </c>
      <c r="AD79" s="2283" t="s">
        <v>3688</v>
      </c>
      <c r="AE79" s="2281"/>
      <c r="AF79" s="2282"/>
      <c r="AG79" s="2283" t="s">
        <v>3696</v>
      </c>
      <c r="AH79" s="2281"/>
      <c r="AI79" s="2282"/>
      <c r="AJ79" s="1909" t="s">
        <v>3931</v>
      </c>
      <c r="AK79" s="2283" t="s">
        <v>3688</v>
      </c>
      <c r="AL79" s="2281"/>
      <c r="AM79" s="2259"/>
      <c r="AN79" s="2281"/>
      <c r="AO79" s="2282"/>
      <c r="AP79" s="1909" t="s">
        <v>3699</v>
      </c>
      <c r="BC79" s="214"/>
      <c r="BD79" s="214"/>
      <c r="BE79" s="214"/>
      <c r="BF79" s="214"/>
    </row>
    <row r="80" spans="1:58" ht="45" hidden="1" customHeight="1">
      <c r="B80" s="2277"/>
      <c r="C80" s="2259"/>
      <c r="D80" s="2260"/>
      <c r="E80" s="1908" t="s">
        <v>3682</v>
      </c>
      <c r="F80" s="1908" t="s">
        <v>3683</v>
      </c>
      <c r="G80" s="1908"/>
      <c r="H80" s="2278" t="s">
        <v>3878</v>
      </c>
      <c r="I80" s="2259"/>
      <c r="J80" s="2260"/>
      <c r="K80" s="2278" t="s">
        <v>3944</v>
      </c>
      <c r="L80" s="2260"/>
      <c r="M80" s="1908" t="e">
        <f>VLOOKUP(K80,'Estimate Details'!$R:$BR,20,FALSE)</f>
        <v>#N/A</v>
      </c>
      <c r="N80" s="1908" t="e">
        <f>VLOOKUP(M80,#REF!,2,FALSE)</f>
        <v>#N/A</v>
      </c>
      <c r="O80" s="1908" t="s">
        <v>3945</v>
      </c>
      <c r="P80" s="2278" t="s">
        <v>3687</v>
      </c>
      <c r="Q80" s="2259"/>
      <c r="R80" s="2260"/>
      <c r="S80" s="1908" t="s">
        <v>3688</v>
      </c>
      <c r="T80" s="1908" t="s">
        <v>3689</v>
      </c>
      <c r="U80" s="1908" t="s">
        <v>3690</v>
      </c>
      <c r="V80" s="1908" t="s">
        <v>3691</v>
      </c>
      <c r="W80" s="1908" t="s">
        <v>3688</v>
      </c>
      <c r="X80" s="1908"/>
      <c r="Y80" s="1908"/>
      <c r="Z80" s="1908"/>
      <c r="AA80" s="1908" t="s">
        <v>3694</v>
      </c>
      <c r="AB80" s="1908" t="s">
        <v>3946</v>
      </c>
      <c r="AC80" s="1908" t="s">
        <v>3696</v>
      </c>
      <c r="AD80" s="2278" t="s">
        <v>3688</v>
      </c>
      <c r="AE80" s="2259"/>
      <c r="AF80" s="2260"/>
      <c r="AG80" s="2278" t="s">
        <v>3696</v>
      </c>
      <c r="AH80" s="2259"/>
      <c r="AI80" s="2260"/>
      <c r="AJ80" s="1908" t="s">
        <v>3931</v>
      </c>
      <c r="AK80" s="2278" t="s">
        <v>3688</v>
      </c>
      <c r="AL80" s="2259"/>
      <c r="AM80" s="2259"/>
      <c r="AN80" s="2259"/>
      <c r="AO80" s="2260"/>
      <c r="AP80" s="1908" t="s">
        <v>3699</v>
      </c>
      <c r="BC80" s="214"/>
      <c r="BD80" s="214"/>
      <c r="BE80" s="214"/>
      <c r="BF80" s="214"/>
    </row>
    <row r="81" spans="1:58" ht="45" hidden="1" customHeight="1">
      <c r="A81" s="808"/>
      <c r="B81" s="2280"/>
      <c r="C81" s="2281"/>
      <c r="D81" s="2282"/>
      <c r="E81" s="1909" t="s">
        <v>3682</v>
      </c>
      <c r="F81" s="1909" t="s">
        <v>3683</v>
      </c>
      <c r="G81" s="1909"/>
      <c r="H81" s="2283" t="s">
        <v>3878</v>
      </c>
      <c r="I81" s="2281"/>
      <c r="J81" s="2282"/>
      <c r="K81" s="2283" t="s">
        <v>3947</v>
      </c>
      <c r="L81" s="2282"/>
      <c r="M81" s="1909" t="e">
        <f>VLOOKUP(K81,'Estimate Details'!$R:$BR,20,FALSE)</f>
        <v>#N/A</v>
      </c>
      <c r="N81" s="1909" t="e">
        <f>VLOOKUP(M81,#REF!,2,FALSE)</f>
        <v>#N/A</v>
      </c>
      <c r="O81" s="1909" t="s">
        <v>3945</v>
      </c>
      <c r="P81" s="2284" t="s">
        <v>3687</v>
      </c>
      <c r="Q81" s="2281"/>
      <c r="R81" s="2282"/>
      <c r="S81" s="1909" t="s">
        <v>3688</v>
      </c>
      <c r="T81" s="1909" t="s">
        <v>3689</v>
      </c>
      <c r="U81" s="1909" t="s">
        <v>3690</v>
      </c>
      <c r="V81" s="1909" t="s">
        <v>3691</v>
      </c>
      <c r="W81" s="1909" t="s">
        <v>3688</v>
      </c>
      <c r="X81" s="1909"/>
      <c r="Y81" s="1909"/>
      <c r="Z81" s="1909"/>
      <c r="AA81" s="1909" t="s">
        <v>3694</v>
      </c>
      <c r="AB81" s="1909" t="s">
        <v>3946</v>
      </c>
      <c r="AC81" s="1909" t="s">
        <v>3696</v>
      </c>
      <c r="AD81" s="2283" t="s">
        <v>3688</v>
      </c>
      <c r="AE81" s="2281"/>
      <c r="AF81" s="2282"/>
      <c r="AG81" s="2283" t="s">
        <v>3696</v>
      </c>
      <c r="AH81" s="2281"/>
      <c r="AI81" s="2282"/>
      <c r="AJ81" s="1909" t="s">
        <v>3931</v>
      </c>
      <c r="AK81" s="2283" t="s">
        <v>3688</v>
      </c>
      <c r="AL81" s="2281"/>
      <c r="AM81" s="2259"/>
      <c r="AN81" s="2281"/>
      <c r="AO81" s="2282"/>
      <c r="AP81" s="1909" t="s">
        <v>3699</v>
      </c>
      <c r="BC81" s="214"/>
      <c r="BD81" s="214"/>
      <c r="BE81" s="214"/>
      <c r="BF81" s="214"/>
    </row>
    <row r="82" spans="1:58" ht="45" hidden="1" customHeight="1">
      <c r="B82" s="2277"/>
      <c r="C82" s="2259"/>
      <c r="D82" s="2260"/>
      <c r="E82" s="1908" t="s">
        <v>3682</v>
      </c>
      <c r="F82" s="1908" t="s">
        <v>3688</v>
      </c>
      <c r="G82" s="1908"/>
      <c r="H82" s="2278" t="s">
        <v>3878</v>
      </c>
      <c r="I82" s="2259"/>
      <c r="J82" s="2260"/>
      <c r="K82" s="2278" t="s">
        <v>3948</v>
      </c>
      <c r="L82" s="2260"/>
      <c r="M82" s="1908" t="e">
        <f>VLOOKUP(K82,'Estimate Details'!$R:$BR,20,FALSE)</f>
        <v>#N/A</v>
      </c>
      <c r="N82" s="1908" t="e">
        <f>VLOOKUP(M82,#REF!,2,FALSE)</f>
        <v>#N/A</v>
      </c>
      <c r="O82" s="1908" t="s">
        <v>3949</v>
      </c>
      <c r="P82" s="2278" t="s">
        <v>3687</v>
      </c>
      <c r="Q82" s="2259"/>
      <c r="R82" s="2260"/>
      <c r="S82" s="1908" t="s">
        <v>3688</v>
      </c>
      <c r="T82" s="1908" t="s">
        <v>3689</v>
      </c>
      <c r="U82" s="1908" t="s">
        <v>3690</v>
      </c>
      <c r="V82" s="1908" t="s">
        <v>3691</v>
      </c>
      <c r="W82" s="1908" t="s">
        <v>3688</v>
      </c>
      <c r="X82" s="1908"/>
      <c r="Y82" s="1908"/>
      <c r="Z82" s="1908"/>
      <c r="AA82" s="1908" t="s">
        <v>3694</v>
      </c>
      <c r="AB82" s="1908" t="s">
        <v>3950</v>
      </c>
      <c r="AC82" s="1908" t="s">
        <v>3696</v>
      </c>
      <c r="AD82" s="2278" t="s">
        <v>3951</v>
      </c>
      <c r="AE82" s="2259"/>
      <c r="AF82" s="2260"/>
      <c r="AG82" s="2278" t="s">
        <v>3696</v>
      </c>
      <c r="AH82" s="2259"/>
      <c r="AI82" s="2260"/>
      <c r="AJ82" s="1908" t="s">
        <v>3931</v>
      </c>
      <c r="AK82" s="2278" t="s">
        <v>3688</v>
      </c>
      <c r="AL82" s="2259"/>
      <c r="AM82" s="2259"/>
      <c r="AN82" s="2259"/>
      <c r="AO82" s="2260"/>
      <c r="AP82" s="1908" t="s">
        <v>3699</v>
      </c>
      <c r="BC82" s="214"/>
      <c r="BD82" s="214"/>
      <c r="BE82" s="214"/>
      <c r="BF82" s="214"/>
    </row>
    <row r="83" spans="1:58" ht="45" hidden="1" customHeight="1">
      <c r="A83" s="808"/>
      <c r="B83" s="2280"/>
      <c r="C83" s="2281"/>
      <c r="D83" s="2282"/>
      <c r="E83" s="1909" t="s">
        <v>3682</v>
      </c>
      <c r="F83" s="1909" t="s">
        <v>3688</v>
      </c>
      <c r="G83" s="1909"/>
      <c r="H83" s="2283" t="s">
        <v>3878</v>
      </c>
      <c r="I83" s="2281"/>
      <c r="J83" s="2282"/>
      <c r="K83" s="2283" t="s">
        <v>3952</v>
      </c>
      <c r="L83" s="2282"/>
      <c r="M83" s="1909" t="e">
        <f>VLOOKUP(K83,'Estimate Details'!$R:$BR,20,FALSE)</f>
        <v>#N/A</v>
      </c>
      <c r="N83" s="1909" t="e">
        <f>VLOOKUP(M83,#REF!,2,FALSE)</f>
        <v>#N/A</v>
      </c>
      <c r="O83" s="1909" t="s">
        <v>3949</v>
      </c>
      <c r="P83" s="2284" t="s">
        <v>3687</v>
      </c>
      <c r="Q83" s="2281"/>
      <c r="R83" s="2282"/>
      <c r="S83" s="1909" t="s">
        <v>3688</v>
      </c>
      <c r="T83" s="1909" t="s">
        <v>3689</v>
      </c>
      <c r="U83" s="1909" t="s">
        <v>3690</v>
      </c>
      <c r="V83" s="1909" t="s">
        <v>3691</v>
      </c>
      <c r="W83" s="1909" t="s">
        <v>3688</v>
      </c>
      <c r="X83" s="1909"/>
      <c r="Y83" s="1909"/>
      <c r="Z83" s="1909"/>
      <c r="AA83" s="1909" t="s">
        <v>3694</v>
      </c>
      <c r="AB83" s="1909" t="s">
        <v>3950</v>
      </c>
      <c r="AC83" s="1909" t="s">
        <v>3696</v>
      </c>
      <c r="AD83" s="2283" t="s">
        <v>3951</v>
      </c>
      <c r="AE83" s="2281"/>
      <c r="AF83" s="2282"/>
      <c r="AG83" s="2283" t="s">
        <v>3696</v>
      </c>
      <c r="AH83" s="2281"/>
      <c r="AI83" s="2282"/>
      <c r="AJ83" s="1909" t="s">
        <v>3931</v>
      </c>
      <c r="AK83" s="2283" t="s">
        <v>3688</v>
      </c>
      <c r="AL83" s="2281"/>
      <c r="AM83" s="2259"/>
      <c r="AN83" s="2281"/>
      <c r="AO83" s="2282"/>
      <c r="AP83" s="1909" t="s">
        <v>3699</v>
      </c>
      <c r="BC83" s="214"/>
      <c r="BD83" s="214"/>
      <c r="BE83" s="214"/>
      <c r="BF83" s="214"/>
    </row>
    <row r="84" spans="1:58" ht="45" hidden="1" customHeight="1">
      <c r="B84" s="2277"/>
      <c r="C84" s="2259"/>
      <c r="D84" s="2260"/>
      <c r="E84" s="1908" t="s">
        <v>3682</v>
      </c>
      <c r="F84" s="1908" t="s">
        <v>3688</v>
      </c>
      <c r="G84" s="1908"/>
      <c r="H84" s="2278" t="s">
        <v>3878</v>
      </c>
      <c r="I84" s="2259"/>
      <c r="J84" s="2260"/>
      <c r="K84" s="2278" t="s">
        <v>3953</v>
      </c>
      <c r="L84" s="2260"/>
      <c r="M84" s="1908" t="e">
        <f>VLOOKUP(K84,'Estimate Details'!$R:$BR,20,FALSE)</f>
        <v>#N/A</v>
      </c>
      <c r="N84" s="1908" t="e">
        <f>VLOOKUP(M84,#REF!,2,FALSE)</f>
        <v>#N/A</v>
      </c>
      <c r="O84" s="1908" t="s">
        <v>3949</v>
      </c>
      <c r="P84" s="2278" t="s">
        <v>3687</v>
      </c>
      <c r="Q84" s="2259"/>
      <c r="R84" s="2260"/>
      <c r="S84" s="1908" t="s">
        <v>3688</v>
      </c>
      <c r="T84" s="1908" t="s">
        <v>3689</v>
      </c>
      <c r="U84" s="1908" t="s">
        <v>3690</v>
      </c>
      <c r="V84" s="1908" t="s">
        <v>3691</v>
      </c>
      <c r="W84" s="1908" t="s">
        <v>3688</v>
      </c>
      <c r="X84" s="1908"/>
      <c r="Y84" s="1908"/>
      <c r="Z84" s="1908"/>
      <c r="AA84" s="1908" t="s">
        <v>3694</v>
      </c>
      <c r="AB84" s="1908" t="s">
        <v>3950</v>
      </c>
      <c r="AC84" s="1908" t="s">
        <v>3696</v>
      </c>
      <c r="AD84" s="2278" t="s">
        <v>3951</v>
      </c>
      <c r="AE84" s="2259"/>
      <c r="AF84" s="2260"/>
      <c r="AG84" s="2278" t="s">
        <v>3696</v>
      </c>
      <c r="AH84" s="2259"/>
      <c r="AI84" s="2260"/>
      <c r="AJ84" s="1908" t="s">
        <v>3931</v>
      </c>
      <c r="AK84" s="2278" t="s">
        <v>3688</v>
      </c>
      <c r="AL84" s="2259"/>
      <c r="AM84" s="2259"/>
      <c r="AN84" s="2259"/>
      <c r="AO84" s="2260"/>
      <c r="AP84" s="1908" t="s">
        <v>3699</v>
      </c>
      <c r="BC84" s="214"/>
      <c r="BD84" s="214"/>
      <c r="BE84" s="214"/>
      <c r="BF84" s="214"/>
    </row>
    <row r="85" spans="1:58" ht="45" hidden="1" customHeight="1">
      <c r="A85" s="808"/>
      <c r="B85" s="2280"/>
      <c r="C85" s="2281"/>
      <c r="D85" s="2282"/>
      <c r="E85" s="1909" t="s">
        <v>3682</v>
      </c>
      <c r="F85" s="1909" t="s">
        <v>3683</v>
      </c>
      <c r="G85" s="1909"/>
      <c r="H85" s="2283" t="s">
        <v>3878</v>
      </c>
      <c r="I85" s="2281"/>
      <c r="J85" s="2282"/>
      <c r="K85" s="2283" t="s">
        <v>3954</v>
      </c>
      <c r="L85" s="2282"/>
      <c r="M85" s="1909" t="e">
        <f>VLOOKUP(K85,'Estimate Details'!$R:$BR,20,FALSE)</f>
        <v>#N/A</v>
      </c>
      <c r="N85" s="1909" t="e">
        <f>VLOOKUP(M85,#REF!,2,FALSE)</f>
        <v>#N/A</v>
      </c>
      <c r="O85" s="1909" t="s">
        <v>3955</v>
      </c>
      <c r="P85" s="2284" t="s">
        <v>3687</v>
      </c>
      <c r="Q85" s="2281"/>
      <c r="R85" s="2282"/>
      <c r="S85" s="1909" t="s">
        <v>3688</v>
      </c>
      <c r="T85" s="1909" t="s">
        <v>3689</v>
      </c>
      <c r="U85" s="1909" t="s">
        <v>3690</v>
      </c>
      <c r="V85" s="1909" t="s">
        <v>3691</v>
      </c>
      <c r="W85" s="1909" t="s">
        <v>3688</v>
      </c>
      <c r="X85" s="1909" t="s">
        <v>3956</v>
      </c>
      <c r="Y85" s="1909"/>
      <c r="Z85" s="1909"/>
      <c r="AA85" s="1909" t="s">
        <v>3957</v>
      </c>
      <c r="AB85" s="1909" t="s">
        <v>3958</v>
      </c>
      <c r="AC85" s="1909" t="s">
        <v>3696</v>
      </c>
      <c r="AD85" s="2283" t="s">
        <v>3959</v>
      </c>
      <c r="AE85" s="2281"/>
      <c r="AF85" s="2282"/>
      <c r="AG85" s="2283" t="s">
        <v>3696</v>
      </c>
      <c r="AH85" s="2281"/>
      <c r="AI85" s="2282"/>
      <c r="AJ85" s="1909" t="s">
        <v>3960</v>
      </c>
      <c r="AK85" s="2283" t="s">
        <v>3688</v>
      </c>
      <c r="AL85" s="2281"/>
      <c r="AM85" s="2259"/>
      <c r="AN85" s="2281"/>
      <c r="AO85" s="2282"/>
      <c r="AP85" s="1909" t="s">
        <v>3699</v>
      </c>
      <c r="BC85" s="214"/>
      <c r="BD85" s="214"/>
      <c r="BE85" s="214"/>
      <c r="BF85" s="214"/>
    </row>
    <row r="86" spans="1:58" ht="45" hidden="1" customHeight="1">
      <c r="B86" s="2277"/>
      <c r="C86" s="2259"/>
      <c r="D86" s="2260"/>
      <c r="E86" s="1908" t="s">
        <v>3682</v>
      </c>
      <c r="F86" s="1908" t="s">
        <v>3683</v>
      </c>
      <c r="G86" s="1908"/>
      <c r="H86" s="2278" t="s">
        <v>3878</v>
      </c>
      <c r="I86" s="2259"/>
      <c r="J86" s="2260"/>
      <c r="K86" s="2278" t="s">
        <v>3961</v>
      </c>
      <c r="L86" s="2260"/>
      <c r="M86" s="1908" t="e">
        <f>VLOOKUP(K86,'Estimate Details'!$R:$BR,20,FALSE)</f>
        <v>#N/A</v>
      </c>
      <c r="N86" s="1908" t="e">
        <f>VLOOKUP(M86,#REF!,2,FALSE)</f>
        <v>#N/A</v>
      </c>
      <c r="O86" s="1908" t="s">
        <v>3955</v>
      </c>
      <c r="P86" s="2278" t="s">
        <v>3687</v>
      </c>
      <c r="Q86" s="2259"/>
      <c r="R86" s="2260"/>
      <c r="S86" s="1908" t="s">
        <v>3688</v>
      </c>
      <c r="T86" s="1908" t="s">
        <v>3689</v>
      </c>
      <c r="U86" s="1908" t="s">
        <v>3690</v>
      </c>
      <c r="V86" s="1908" t="s">
        <v>3691</v>
      </c>
      <c r="W86" s="1908" t="s">
        <v>3688</v>
      </c>
      <c r="X86" s="1908" t="s">
        <v>3956</v>
      </c>
      <c r="Y86" s="1908"/>
      <c r="Z86" s="1908"/>
      <c r="AA86" s="1908" t="s">
        <v>3957</v>
      </c>
      <c r="AB86" s="1908" t="s">
        <v>3958</v>
      </c>
      <c r="AC86" s="1908" t="s">
        <v>3696</v>
      </c>
      <c r="AD86" s="2278" t="s">
        <v>3959</v>
      </c>
      <c r="AE86" s="2259"/>
      <c r="AF86" s="2260"/>
      <c r="AG86" s="2278" t="s">
        <v>3696</v>
      </c>
      <c r="AH86" s="2259"/>
      <c r="AI86" s="2260"/>
      <c r="AJ86" s="1908" t="s">
        <v>3960</v>
      </c>
      <c r="AK86" s="2278" t="s">
        <v>3688</v>
      </c>
      <c r="AL86" s="2259"/>
      <c r="AM86" s="2259"/>
      <c r="AN86" s="2259"/>
      <c r="AO86" s="2260"/>
      <c r="AP86" s="1908" t="s">
        <v>3699</v>
      </c>
      <c r="BC86" s="214"/>
      <c r="BD86" s="214"/>
      <c r="BE86" s="214"/>
      <c r="BF86" s="214"/>
    </row>
    <row r="87" spans="1:58" ht="45" hidden="1" customHeight="1">
      <c r="A87" s="808"/>
      <c r="B87" s="2280"/>
      <c r="C87" s="2281"/>
      <c r="D87" s="2282"/>
      <c r="E87" s="1909" t="s">
        <v>3682</v>
      </c>
      <c r="F87" s="1909" t="s">
        <v>3683</v>
      </c>
      <c r="G87" s="1909"/>
      <c r="H87" s="2283" t="s">
        <v>3878</v>
      </c>
      <c r="I87" s="2281"/>
      <c r="J87" s="2282"/>
      <c r="K87" s="2283" t="s">
        <v>3962</v>
      </c>
      <c r="L87" s="2282"/>
      <c r="M87" s="1909" t="e">
        <f>VLOOKUP(K87,'Estimate Details'!$R:$BR,20,FALSE)</f>
        <v>#N/A</v>
      </c>
      <c r="N87" s="1909" t="e">
        <f>VLOOKUP(M87,#REF!,2,FALSE)</f>
        <v>#N/A</v>
      </c>
      <c r="O87" s="1909" t="s">
        <v>3963</v>
      </c>
      <c r="P87" s="2284" t="s">
        <v>3687</v>
      </c>
      <c r="Q87" s="2281"/>
      <c r="R87" s="2282"/>
      <c r="S87" s="1909" t="s">
        <v>3688</v>
      </c>
      <c r="T87" s="1909" t="s">
        <v>3689</v>
      </c>
      <c r="U87" s="1909" t="s">
        <v>3690</v>
      </c>
      <c r="V87" s="1909" t="s">
        <v>3691</v>
      </c>
      <c r="W87" s="1909" t="s">
        <v>3688</v>
      </c>
      <c r="X87" s="1909" t="s">
        <v>3956</v>
      </c>
      <c r="Y87" s="1909"/>
      <c r="Z87" s="1909"/>
      <c r="AA87" s="1909" t="s">
        <v>3957</v>
      </c>
      <c r="AB87" s="1909" t="s">
        <v>3958</v>
      </c>
      <c r="AC87" s="1909" t="s">
        <v>3696</v>
      </c>
      <c r="AD87" s="2283" t="s">
        <v>3964</v>
      </c>
      <c r="AE87" s="2281"/>
      <c r="AF87" s="2282"/>
      <c r="AG87" s="2283" t="s">
        <v>3696</v>
      </c>
      <c r="AH87" s="2281"/>
      <c r="AI87" s="2282"/>
      <c r="AJ87" s="1909" t="s">
        <v>3960</v>
      </c>
      <c r="AK87" s="2283" t="s">
        <v>3688</v>
      </c>
      <c r="AL87" s="2281"/>
      <c r="AM87" s="2259"/>
      <c r="AN87" s="2281"/>
      <c r="AO87" s="2282"/>
      <c r="AP87" s="1909" t="s">
        <v>3699</v>
      </c>
      <c r="BC87" s="214"/>
      <c r="BD87" s="214"/>
      <c r="BE87" s="214"/>
      <c r="BF87" s="214"/>
    </row>
    <row r="88" spans="1:58" ht="45" hidden="1" customHeight="1">
      <c r="B88" s="2277"/>
      <c r="C88" s="2259"/>
      <c r="D88" s="2260"/>
      <c r="E88" s="1908" t="s">
        <v>3682</v>
      </c>
      <c r="F88" s="1908" t="s">
        <v>3683</v>
      </c>
      <c r="G88" s="1908"/>
      <c r="H88" s="2278" t="s">
        <v>3878</v>
      </c>
      <c r="I88" s="2259"/>
      <c r="J88" s="2260"/>
      <c r="K88" s="2278" t="s">
        <v>3965</v>
      </c>
      <c r="L88" s="2260"/>
      <c r="M88" s="1908" t="e">
        <f>VLOOKUP(K88,'Estimate Details'!$R:$BR,20,FALSE)</f>
        <v>#N/A</v>
      </c>
      <c r="N88" s="1908" t="e">
        <f>VLOOKUP(M88,#REF!,2,FALSE)</f>
        <v>#N/A</v>
      </c>
      <c r="O88" s="1908" t="s">
        <v>3963</v>
      </c>
      <c r="P88" s="2278" t="s">
        <v>3687</v>
      </c>
      <c r="Q88" s="2259"/>
      <c r="R88" s="2260"/>
      <c r="S88" s="1908" t="s">
        <v>3688</v>
      </c>
      <c r="T88" s="1908" t="s">
        <v>3689</v>
      </c>
      <c r="U88" s="1908" t="s">
        <v>3690</v>
      </c>
      <c r="V88" s="1908" t="s">
        <v>3691</v>
      </c>
      <c r="W88" s="1908" t="s">
        <v>3688</v>
      </c>
      <c r="X88" s="1908" t="s">
        <v>3956</v>
      </c>
      <c r="Y88" s="1908"/>
      <c r="Z88" s="1908"/>
      <c r="AA88" s="1908" t="s">
        <v>3957</v>
      </c>
      <c r="AB88" s="1908" t="s">
        <v>3958</v>
      </c>
      <c r="AC88" s="1908" t="s">
        <v>3696</v>
      </c>
      <c r="AD88" s="2278" t="s">
        <v>3964</v>
      </c>
      <c r="AE88" s="2259"/>
      <c r="AF88" s="2260"/>
      <c r="AG88" s="2278" t="s">
        <v>3696</v>
      </c>
      <c r="AH88" s="2259"/>
      <c r="AI88" s="2260"/>
      <c r="AJ88" s="1908" t="s">
        <v>3960</v>
      </c>
      <c r="AK88" s="2278" t="s">
        <v>3688</v>
      </c>
      <c r="AL88" s="2259"/>
      <c r="AM88" s="2259"/>
      <c r="AN88" s="2259"/>
      <c r="AO88" s="2260"/>
      <c r="AP88" s="1908" t="s">
        <v>3699</v>
      </c>
      <c r="BC88" s="214"/>
      <c r="BD88" s="214"/>
      <c r="BE88" s="214"/>
      <c r="BF88" s="214"/>
    </row>
    <row r="89" spans="1:58" ht="45" hidden="1" customHeight="1">
      <c r="A89" s="808"/>
      <c r="B89" s="2280"/>
      <c r="C89" s="2281"/>
      <c r="D89" s="2282"/>
      <c r="E89" s="1909" t="s">
        <v>3682</v>
      </c>
      <c r="F89" s="1909" t="s">
        <v>3683</v>
      </c>
      <c r="G89" s="1909"/>
      <c r="H89" s="2283" t="s">
        <v>3878</v>
      </c>
      <c r="I89" s="2281"/>
      <c r="J89" s="2282"/>
      <c r="K89" s="2283" t="s">
        <v>3966</v>
      </c>
      <c r="L89" s="2282"/>
      <c r="M89" s="1909" t="e">
        <f>VLOOKUP(K89,'Estimate Details'!$R:$BR,20,FALSE)</f>
        <v>#N/A</v>
      </c>
      <c r="N89" s="1909" t="e">
        <f>VLOOKUP(M89,#REF!,2,FALSE)</f>
        <v>#N/A</v>
      </c>
      <c r="O89" s="1909" t="s">
        <v>3963</v>
      </c>
      <c r="P89" s="2284" t="s">
        <v>3687</v>
      </c>
      <c r="Q89" s="2281"/>
      <c r="R89" s="2282"/>
      <c r="S89" s="1909" t="s">
        <v>3688</v>
      </c>
      <c r="T89" s="1909" t="s">
        <v>3689</v>
      </c>
      <c r="U89" s="1909" t="s">
        <v>3690</v>
      </c>
      <c r="V89" s="1909" t="s">
        <v>3691</v>
      </c>
      <c r="W89" s="1909" t="s">
        <v>3688</v>
      </c>
      <c r="X89" s="1909" t="s">
        <v>3956</v>
      </c>
      <c r="Y89" s="1909"/>
      <c r="Z89" s="1909"/>
      <c r="AA89" s="1909" t="s">
        <v>3957</v>
      </c>
      <c r="AB89" s="1909" t="s">
        <v>3958</v>
      </c>
      <c r="AC89" s="1909" t="s">
        <v>3696</v>
      </c>
      <c r="AD89" s="2283" t="s">
        <v>3964</v>
      </c>
      <c r="AE89" s="2281"/>
      <c r="AF89" s="2282"/>
      <c r="AG89" s="2283" t="s">
        <v>3696</v>
      </c>
      <c r="AH89" s="2281"/>
      <c r="AI89" s="2282"/>
      <c r="AJ89" s="1909" t="s">
        <v>3960</v>
      </c>
      <c r="AK89" s="2283" t="s">
        <v>3688</v>
      </c>
      <c r="AL89" s="2281"/>
      <c r="AM89" s="2259"/>
      <c r="AN89" s="2281"/>
      <c r="AO89" s="2282"/>
      <c r="AP89" s="1909" t="s">
        <v>3699</v>
      </c>
      <c r="BC89" s="214"/>
      <c r="BD89" s="214"/>
      <c r="BE89" s="214"/>
      <c r="BF89" s="214"/>
    </row>
    <row r="90" spans="1:58" ht="45" hidden="1" customHeight="1">
      <c r="B90" s="2277"/>
      <c r="C90" s="2259"/>
      <c r="D90" s="2260"/>
      <c r="E90" s="1908" t="s">
        <v>3682</v>
      </c>
      <c r="F90" s="1908" t="s">
        <v>3683</v>
      </c>
      <c r="G90" s="1908"/>
      <c r="H90" s="2278" t="s">
        <v>3878</v>
      </c>
      <c r="I90" s="2259"/>
      <c r="J90" s="2260"/>
      <c r="K90" s="2278" t="s">
        <v>3967</v>
      </c>
      <c r="L90" s="2260"/>
      <c r="M90" s="1908" t="e">
        <f>VLOOKUP(K90,'Estimate Details'!$R:$BR,20,FALSE)</f>
        <v>#N/A</v>
      </c>
      <c r="N90" s="1908" t="e">
        <f>VLOOKUP(M90,#REF!,2,FALSE)</f>
        <v>#N/A</v>
      </c>
      <c r="O90" s="1908" t="s">
        <v>3963</v>
      </c>
      <c r="P90" s="2278" t="s">
        <v>3687</v>
      </c>
      <c r="Q90" s="2259"/>
      <c r="R90" s="2260"/>
      <c r="S90" s="1908" t="s">
        <v>3688</v>
      </c>
      <c r="T90" s="1908" t="s">
        <v>3689</v>
      </c>
      <c r="U90" s="1908" t="s">
        <v>3690</v>
      </c>
      <c r="V90" s="1908" t="s">
        <v>3691</v>
      </c>
      <c r="W90" s="1908" t="s">
        <v>3688</v>
      </c>
      <c r="X90" s="1908" t="s">
        <v>3956</v>
      </c>
      <c r="Y90" s="1908"/>
      <c r="Z90" s="1908"/>
      <c r="AA90" s="1908" t="s">
        <v>3957</v>
      </c>
      <c r="AB90" s="1908" t="s">
        <v>3958</v>
      </c>
      <c r="AC90" s="1908" t="s">
        <v>3696</v>
      </c>
      <c r="AD90" s="2278" t="s">
        <v>3964</v>
      </c>
      <c r="AE90" s="2259"/>
      <c r="AF90" s="2260"/>
      <c r="AG90" s="2278" t="s">
        <v>3696</v>
      </c>
      <c r="AH90" s="2259"/>
      <c r="AI90" s="2260"/>
      <c r="AJ90" s="1908" t="s">
        <v>3960</v>
      </c>
      <c r="AK90" s="2278" t="s">
        <v>3688</v>
      </c>
      <c r="AL90" s="2259"/>
      <c r="AM90" s="2259"/>
      <c r="AN90" s="2259"/>
      <c r="AO90" s="2260"/>
      <c r="AP90" s="1908" t="s">
        <v>3699</v>
      </c>
      <c r="BC90" s="214"/>
      <c r="BD90" s="214"/>
      <c r="BE90" s="214"/>
      <c r="BF90" s="214"/>
    </row>
    <row r="91" spans="1:58" ht="45" hidden="1" customHeight="1">
      <c r="A91" s="808"/>
      <c r="B91" s="2280"/>
      <c r="C91" s="2281"/>
      <c r="D91" s="2282"/>
      <c r="E91" s="1909" t="s">
        <v>3682</v>
      </c>
      <c r="F91" s="1909" t="s">
        <v>3683</v>
      </c>
      <c r="G91" s="1909"/>
      <c r="H91" s="2283" t="s">
        <v>3878</v>
      </c>
      <c r="I91" s="2281"/>
      <c r="J91" s="2282"/>
      <c r="K91" s="2283" t="s">
        <v>3968</v>
      </c>
      <c r="L91" s="2282"/>
      <c r="M91" s="1909" t="e">
        <f>VLOOKUP(K91,'Estimate Details'!$R:$BR,20,FALSE)</f>
        <v>#N/A</v>
      </c>
      <c r="N91" s="1909" t="e">
        <f>VLOOKUP(M91,#REF!,2,FALSE)</f>
        <v>#N/A</v>
      </c>
      <c r="O91" s="1909" t="s">
        <v>3963</v>
      </c>
      <c r="P91" s="2284" t="s">
        <v>3687</v>
      </c>
      <c r="Q91" s="2281"/>
      <c r="R91" s="2282"/>
      <c r="S91" s="1909" t="s">
        <v>3688</v>
      </c>
      <c r="T91" s="1909" t="s">
        <v>3689</v>
      </c>
      <c r="U91" s="1909" t="s">
        <v>3690</v>
      </c>
      <c r="V91" s="1909" t="s">
        <v>3691</v>
      </c>
      <c r="W91" s="1909" t="s">
        <v>3688</v>
      </c>
      <c r="X91" s="1909" t="s">
        <v>3956</v>
      </c>
      <c r="Y91" s="1909"/>
      <c r="Z91" s="1909"/>
      <c r="AA91" s="1909" t="s">
        <v>3957</v>
      </c>
      <c r="AB91" s="1909" t="s">
        <v>3958</v>
      </c>
      <c r="AC91" s="1909" t="s">
        <v>3696</v>
      </c>
      <c r="AD91" s="2283" t="s">
        <v>3964</v>
      </c>
      <c r="AE91" s="2281"/>
      <c r="AF91" s="2282"/>
      <c r="AG91" s="2283" t="s">
        <v>3696</v>
      </c>
      <c r="AH91" s="2281"/>
      <c r="AI91" s="2282"/>
      <c r="AJ91" s="1909" t="s">
        <v>3960</v>
      </c>
      <c r="AK91" s="2283" t="s">
        <v>3688</v>
      </c>
      <c r="AL91" s="2281"/>
      <c r="AM91" s="2259"/>
      <c r="AN91" s="2281"/>
      <c r="AO91" s="2282"/>
      <c r="AP91" s="1909" t="s">
        <v>3699</v>
      </c>
      <c r="BC91" s="214"/>
      <c r="BD91" s="214"/>
      <c r="BE91" s="214"/>
      <c r="BF91" s="214"/>
    </row>
    <row r="92" spans="1:58" ht="45" hidden="1" customHeight="1">
      <c r="B92" s="2277"/>
      <c r="C92" s="2259"/>
      <c r="D92" s="2260"/>
      <c r="E92" s="1908" t="s">
        <v>3682</v>
      </c>
      <c r="F92" s="1908" t="s">
        <v>3683</v>
      </c>
      <c r="G92" s="1908"/>
      <c r="H92" s="2278" t="s">
        <v>3878</v>
      </c>
      <c r="I92" s="2259"/>
      <c r="J92" s="2260"/>
      <c r="K92" s="2278" t="s">
        <v>3969</v>
      </c>
      <c r="L92" s="2260"/>
      <c r="M92" s="1908" t="e">
        <f>VLOOKUP(K92,'Estimate Details'!$R:$BR,20,FALSE)</f>
        <v>#N/A</v>
      </c>
      <c r="N92" s="1908" t="e">
        <f>VLOOKUP(M92,#REF!,2,FALSE)</f>
        <v>#N/A</v>
      </c>
      <c r="O92" s="1908" t="s">
        <v>3963</v>
      </c>
      <c r="P92" s="2278" t="s">
        <v>3687</v>
      </c>
      <c r="Q92" s="2259"/>
      <c r="R92" s="2260"/>
      <c r="S92" s="1908" t="s">
        <v>3688</v>
      </c>
      <c r="T92" s="1908" t="s">
        <v>3689</v>
      </c>
      <c r="U92" s="1908" t="s">
        <v>3690</v>
      </c>
      <c r="V92" s="1908" t="s">
        <v>3691</v>
      </c>
      <c r="W92" s="1908" t="s">
        <v>3688</v>
      </c>
      <c r="X92" s="1908" t="s">
        <v>3956</v>
      </c>
      <c r="Y92" s="1908"/>
      <c r="Z92" s="1908"/>
      <c r="AA92" s="1908" t="s">
        <v>3957</v>
      </c>
      <c r="AB92" s="1908" t="s">
        <v>3958</v>
      </c>
      <c r="AC92" s="1908" t="s">
        <v>3696</v>
      </c>
      <c r="AD92" s="2278" t="s">
        <v>3964</v>
      </c>
      <c r="AE92" s="2259"/>
      <c r="AF92" s="2260"/>
      <c r="AG92" s="2278" t="s">
        <v>3696</v>
      </c>
      <c r="AH92" s="2259"/>
      <c r="AI92" s="2260"/>
      <c r="AJ92" s="1908" t="s">
        <v>3960</v>
      </c>
      <c r="AK92" s="2278" t="s">
        <v>3688</v>
      </c>
      <c r="AL92" s="2259"/>
      <c r="AM92" s="2259"/>
      <c r="AN92" s="2259"/>
      <c r="AO92" s="2260"/>
      <c r="AP92" s="1908" t="s">
        <v>3699</v>
      </c>
      <c r="BC92" s="214"/>
      <c r="BD92" s="214"/>
      <c r="BE92" s="214"/>
      <c r="BF92" s="214"/>
    </row>
    <row r="93" spans="1:58" ht="45" hidden="1" customHeight="1">
      <c r="A93" s="808"/>
      <c r="B93" s="2280"/>
      <c r="C93" s="2281"/>
      <c r="D93" s="2282"/>
      <c r="E93" s="1909" t="s">
        <v>3682</v>
      </c>
      <c r="F93" s="1909" t="s">
        <v>3683</v>
      </c>
      <c r="G93" s="1909"/>
      <c r="H93" s="2283" t="s">
        <v>3878</v>
      </c>
      <c r="I93" s="2281"/>
      <c r="J93" s="2282"/>
      <c r="K93" s="2283" t="s">
        <v>3970</v>
      </c>
      <c r="L93" s="2282"/>
      <c r="M93" s="1909" t="e">
        <f>VLOOKUP(K93,'Estimate Details'!$R:$BR,20,FALSE)</f>
        <v>#N/A</v>
      </c>
      <c r="N93" s="1909" t="e">
        <f>VLOOKUP(M93,#REF!,2,FALSE)</f>
        <v>#N/A</v>
      </c>
      <c r="O93" s="1909" t="s">
        <v>3963</v>
      </c>
      <c r="P93" s="2284" t="s">
        <v>3687</v>
      </c>
      <c r="Q93" s="2281"/>
      <c r="R93" s="2282"/>
      <c r="S93" s="1909" t="s">
        <v>3688</v>
      </c>
      <c r="T93" s="1909" t="s">
        <v>3689</v>
      </c>
      <c r="U93" s="1909" t="s">
        <v>3690</v>
      </c>
      <c r="V93" s="1909" t="s">
        <v>3691</v>
      </c>
      <c r="W93" s="1909" t="s">
        <v>3688</v>
      </c>
      <c r="X93" s="1909" t="s">
        <v>3956</v>
      </c>
      <c r="Y93" s="1909"/>
      <c r="Z93" s="1909"/>
      <c r="AA93" s="1909" t="s">
        <v>3957</v>
      </c>
      <c r="AB93" s="1909" t="s">
        <v>3958</v>
      </c>
      <c r="AC93" s="1909" t="s">
        <v>3696</v>
      </c>
      <c r="AD93" s="2283" t="s">
        <v>3964</v>
      </c>
      <c r="AE93" s="2281"/>
      <c r="AF93" s="2282"/>
      <c r="AG93" s="2283" t="s">
        <v>3696</v>
      </c>
      <c r="AH93" s="2281"/>
      <c r="AI93" s="2282"/>
      <c r="AJ93" s="1909" t="s">
        <v>3960</v>
      </c>
      <c r="AK93" s="2283" t="s">
        <v>3688</v>
      </c>
      <c r="AL93" s="2281"/>
      <c r="AM93" s="2259"/>
      <c r="AN93" s="2281"/>
      <c r="AO93" s="2282"/>
      <c r="AP93" s="1909" t="s">
        <v>3699</v>
      </c>
      <c r="BC93" s="214"/>
      <c r="BD93" s="214"/>
      <c r="BE93" s="214"/>
      <c r="BF93" s="214"/>
    </row>
    <row r="94" spans="1:58" ht="45" hidden="1" customHeight="1">
      <c r="B94" s="2277"/>
      <c r="C94" s="2259"/>
      <c r="D94" s="2260"/>
      <c r="E94" s="1908" t="s">
        <v>3682</v>
      </c>
      <c r="F94" s="1908" t="s">
        <v>3683</v>
      </c>
      <c r="G94" s="1908"/>
      <c r="H94" s="2278" t="s">
        <v>3971</v>
      </c>
      <c r="I94" s="2259"/>
      <c r="J94" s="2260"/>
      <c r="K94" s="2278" t="s">
        <v>3972</v>
      </c>
      <c r="L94" s="2260"/>
      <c r="M94" s="1908" t="e">
        <f>VLOOKUP(K94,'Estimate Details'!$R:$BR,20,FALSE)</f>
        <v>#N/A</v>
      </c>
      <c r="N94" s="1908" t="e">
        <f>VLOOKUP(M94,#REF!,2,FALSE)</f>
        <v>#N/A</v>
      </c>
      <c r="O94" s="1908" t="s">
        <v>3973</v>
      </c>
      <c r="P94" s="2278" t="s">
        <v>3974</v>
      </c>
      <c r="Q94" s="2259"/>
      <c r="R94" s="2260"/>
      <c r="S94" s="1908" t="s">
        <v>3688</v>
      </c>
      <c r="T94" s="1908" t="s">
        <v>3689</v>
      </c>
      <c r="U94" s="1908" t="s">
        <v>3707</v>
      </c>
      <c r="V94" s="1908" t="s">
        <v>3975</v>
      </c>
      <c r="W94" s="1908" t="s">
        <v>3688</v>
      </c>
      <c r="X94" s="1908" t="s">
        <v>3976</v>
      </c>
      <c r="Y94" s="1908" t="s">
        <v>3977</v>
      </c>
      <c r="Z94" s="1908"/>
      <c r="AA94" s="1908" t="s">
        <v>3978</v>
      </c>
      <c r="AB94" s="1908" t="s">
        <v>3979</v>
      </c>
      <c r="AC94" s="1908" t="s">
        <v>3980</v>
      </c>
      <c r="AD94" s="2278" t="s">
        <v>3981</v>
      </c>
      <c r="AE94" s="2259"/>
      <c r="AF94" s="2260"/>
      <c r="AG94" s="2278" t="s">
        <v>3696</v>
      </c>
      <c r="AH94" s="2259"/>
      <c r="AI94" s="2260"/>
      <c r="AJ94" s="1908" t="s">
        <v>3982</v>
      </c>
      <c r="AK94" s="2278" t="s">
        <v>3983</v>
      </c>
      <c r="AL94" s="2259"/>
      <c r="AM94" s="2259"/>
      <c r="AN94" s="2259"/>
      <c r="AO94" s="2260"/>
      <c r="AP94" s="1908" t="s">
        <v>3699</v>
      </c>
      <c r="BC94" s="214"/>
      <c r="BD94" s="214"/>
      <c r="BE94" s="214"/>
      <c r="BF94" s="214"/>
    </row>
    <row r="95" spans="1:58" ht="45" hidden="1" customHeight="1">
      <c r="A95" s="808"/>
      <c r="B95" s="2280"/>
      <c r="C95" s="2281"/>
      <c r="D95" s="2282"/>
      <c r="E95" s="1909" t="s">
        <v>3682</v>
      </c>
      <c r="F95" s="1909" t="s">
        <v>3683</v>
      </c>
      <c r="G95" s="1909"/>
      <c r="H95" s="2283" t="s">
        <v>3971</v>
      </c>
      <c r="I95" s="2281"/>
      <c r="J95" s="2282"/>
      <c r="K95" s="2283" t="s">
        <v>3984</v>
      </c>
      <c r="L95" s="2282"/>
      <c r="M95" s="1909" t="e">
        <f>VLOOKUP(K95,'Estimate Details'!$R:$BR,20,FALSE)</f>
        <v>#N/A</v>
      </c>
      <c r="N95" s="1909" t="e">
        <f>VLOOKUP(M95,#REF!,2,FALSE)</f>
        <v>#N/A</v>
      </c>
      <c r="O95" s="1909" t="s">
        <v>3973</v>
      </c>
      <c r="P95" s="2284" t="s">
        <v>3974</v>
      </c>
      <c r="Q95" s="2281"/>
      <c r="R95" s="2282"/>
      <c r="S95" s="1909" t="s">
        <v>3688</v>
      </c>
      <c r="T95" s="1909" t="s">
        <v>3689</v>
      </c>
      <c r="U95" s="1909" t="s">
        <v>3707</v>
      </c>
      <c r="V95" s="1909" t="s">
        <v>3975</v>
      </c>
      <c r="W95" s="1909" t="s">
        <v>3688</v>
      </c>
      <c r="X95" s="1909" t="s">
        <v>3976</v>
      </c>
      <c r="Y95" s="1909" t="s">
        <v>3977</v>
      </c>
      <c r="Z95" s="1909"/>
      <c r="AA95" s="1909" t="s">
        <v>3978</v>
      </c>
      <c r="AB95" s="1909" t="s">
        <v>3979</v>
      </c>
      <c r="AC95" s="1909" t="s">
        <v>3980</v>
      </c>
      <c r="AD95" s="2283" t="s">
        <v>3981</v>
      </c>
      <c r="AE95" s="2281"/>
      <c r="AF95" s="2282"/>
      <c r="AG95" s="2283" t="s">
        <v>3696</v>
      </c>
      <c r="AH95" s="2281"/>
      <c r="AI95" s="2282"/>
      <c r="AJ95" s="1909" t="s">
        <v>3982</v>
      </c>
      <c r="AK95" s="2283" t="s">
        <v>3983</v>
      </c>
      <c r="AL95" s="2281"/>
      <c r="AM95" s="2259"/>
      <c r="AN95" s="2281"/>
      <c r="AO95" s="2282"/>
      <c r="AP95" s="1909" t="s">
        <v>3716</v>
      </c>
      <c r="BC95" s="214"/>
      <c r="BD95" s="214"/>
      <c r="BE95" s="214"/>
      <c r="BF95" s="214"/>
    </row>
    <row r="96" spans="1:58" ht="45" hidden="1" customHeight="1">
      <c r="B96" s="2277"/>
      <c r="C96" s="2259"/>
      <c r="D96" s="2260"/>
      <c r="E96" s="1908" t="s">
        <v>3682</v>
      </c>
      <c r="F96" s="1908" t="s">
        <v>3683</v>
      </c>
      <c r="G96" s="1908"/>
      <c r="H96" s="2278" t="s">
        <v>3971</v>
      </c>
      <c r="I96" s="2259"/>
      <c r="J96" s="2260"/>
      <c r="K96" s="2278" t="s">
        <v>3985</v>
      </c>
      <c r="L96" s="2260"/>
      <c r="M96" s="1908" t="e">
        <f>VLOOKUP(K96,'Estimate Details'!$R:$BR,20,FALSE)</f>
        <v>#N/A</v>
      </c>
      <c r="N96" s="1908" t="e">
        <f>VLOOKUP(M96,#REF!,2,FALSE)</f>
        <v>#N/A</v>
      </c>
      <c r="O96" s="1908" t="s">
        <v>3973</v>
      </c>
      <c r="P96" s="2278" t="s">
        <v>3974</v>
      </c>
      <c r="Q96" s="2259"/>
      <c r="R96" s="2260"/>
      <c r="S96" s="1908" t="s">
        <v>3688</v>
      </c>
      <c r="T96" s="1908" t="s">
        <v>3689</v>
      </c>
      <c r="U96" s="1908" t="s">
        <v>3707</v>
      </c>
      <c r="V96" s="1908" t="s">
        <v>3975</v>
      </c>
      <c r="W96" s="1908" t="s">
        <v>3688</v>
      </c>
      <c r="X96" s="1908" t="s">
        <v>3976</v>
      </c>
      <c r="Y96" s="1908" t="s">
        <v>3977</v>
      </c>
      <c r="Z96" s="1908"/>
      <c r="AA96" s="1908" t="s">
        <v>3978</v>
      </c>
      <c r="AB96" s="1908" t="s">
        <v>3979</v>
      </c>
      <c r="AC96" s="1908" t="s">
        <v>3980</v>
      </c>
      <c r="AD96" s="2278" t="s">
        <v>3981</v>
      </c>
      <c r="AE96" s="2259"/>
      <c r="AF96" s="2260"/>
      <c r="AG96" s="2278" t="s">
        <v>3696</v>
      </c>
      <c r="AH96" s="2259"/>
      <c r="AI96" s="2260"/>
      <c r="AJ96" s="1908" t="s">
        <v>3982</v>
      </c>
      <c r="AK96" s="2278" t="s">
        <v>3983</v>
      </c>
      <c r="AL96" s="2259"/>
      <c r="AM96" s="2259"/>
      <c r="AN96" s="2259"/>
      <c r="AO96" s="2260"/>
      <c r="AP96" s="1908" t="s">
        <v>3716</v>
      </c>
      <c r="BC96" s="214"/>
      <c r="BD96" s="214"/>
      <c r="BE96" s="214"/>
      <c r="BF96" s="214"/>
    </row>
    <row r="97" spans="1:58" ht="45" hidden="1" customHeight="1">
      <c r="A97" s="808"/>
      <c r="B97" s="2280"/>
      <c r="C97" s="2281"/>
      <c r="D97" s="2282"/>
      <c r="E97" s="1909" t="s">
        <v>3682</v>
      </c>
      <c r="F97" s="1909" t="s">
        <v>3683</v>
      </c>
      <c r="G97" s="1909"/>
      <c r="H97" s="2283" t="s">
        <v>3971</v>
      </c>
      <c r="I97" s="2281"/>
      <c r="J97" s="2282"/>
      <c r="K97" s="2283" t="s">
        <v>3986</v>
      </c>
      <c r="L97" s="2282"/>
      <c r="M97" s="1909" t="e">
        <f>VLOOKUP(K97,'Estimate Details'!$R:$BR,20,FALSE)</f>
        <v>#N/A</v>
      </c>
      <c r="N97" s="1909" t="e">
        <f>VLOOKUP(M97,#REF!,2,FALSE)</f>
        <v>#N/A</v>
      </c>
      <c r="O97" s="1909" t="s">
        <v>3973</v>
      </c>
      <c r="P97" s="2284" t="s">
        <v>3974</v>
      </c>
      <c r="Q97" s="2281"/>
      <c r="R97" s="2282"/>
      <c r="S97" s="1909" t="s">
        <v>3688</v>
      </c>
      <c r="T97" s="1909" t="s">
        <v>3689</v>
      </c>
      <c r="U97" s="1909" t="s">
        <v>3707</v>
      </c>
      <c r="V97" s="1909" t="s">
        <v>3975</v>
      </c>
      <c r="W97" s="1909" t="s">
        <v>3688</v>
      </c>
      <c r="X97" s="1909" t="s">
        <v>3976</v>
      </c>
      <c r="Y97" s="1909" t="s">
        <v>3977</v>
      </c>
      <c r="Z97" s="1909"/>
      <c r="AA97" s="1909" t="s">
        <v>3978</v>
      </c>
      <c r="AB97" s="1909" t="s">
        <v>3979</v>
      </c>
      <c r="AC97" s="1909" t="s">
        <v>3980</v>
      </c>
      <c r="AD97" s="2283" t="s">
        <v>3981</v>
      </c>
      <c r="AE97" s="2281"/>
      <c r="AF97" s="2282"/>
      <c r="AG97" s="2283" t="s">
        <v>3696</v>
      </c>
      <c r="AH97" s="2281"/>
      <c r="AI97" s="2282"/>
      <c r="AJ97" s="1909" t="s">
        <v>3982</v>
      </c>
      <c r="AK97" s="2283" t="s">
        <v>3983</v>
      </c>
      <c r="AL97" s="2281"/>
      <c r="AM97" s="2259"/>
      <c r="AN97" s="2281"/>
      <c r="AO97" s="2282"/>
      <c r="AP97" s="1909" t="s">
        <v>3716</v>
      </c>
      <c r="BC97" s="214"/>
      <c r="BD97" s="214"/>
      <c r="BE97" s="214"/>
      <c r="BF97" s="214"/>
    </row>
    <row r="98" spans="1:58" ht="45" hidden="1" customHeight="1">
      <c r="B98" s="2277"/>
      <c r="C98" s="2259"/>
      <c r="D98" s="2260"/>
      <c r="E98" s="1908" t="s">
        <v>3682</v>
      </c>
      <c r="F98" s="1908" t="s">
        <v>3683</v>
      </c>
      <c r="G98" s="1908"/>
      <c r="H98" s="2278" t="s">
        <v>3971</v>
      </c>
      <c r="I98" s="2259"/>
      <c r="J98" s="2260"/>
      <c r="K98" s="2278" t="s">
        <v>3987</v>
      </c>
      <c r="L98" s="2260"/>
      <c r="M98" s="1908" t="e">
        <f>VLOOKUP(K98,'Estimate Details'!$R:$BR,20,FALSE)</f>
        <v>#N/A</v>
      </c>
      <c r="N98" s="1908" t="e">
        <f>VLOOKUP(M98,#REF!,2,FALSE)</f>
        <v>#N/A</v>
      </c>
      <c r="O98" s="1908" t="s">
        <v>3973</v>
      </c>
      <c r="P98" s="2278" t="s">
        <v>3974</v>
      </c>
      <c r="Q98" s="2259"/>
      <c r="R98" s="2260"/>
      <c r="S98" s="1908" t="s">
        <v>3688</v>
      </c>
      <c r="T98" s="1908" t="s">
        <v>3689</v>
      </c>
      <c r="U98" s="1908" t="s">
        <v>3707</v>
      </c>
      <c r="V98" s="1908" t="s">
        <v>3975</v>
      </c>
      <c r="W98" s="1908" t="s">
        <v>3688</v>
      </c>
      <c r="X98" s="1908" t="s">
        <v>3976</v>
      </c>
      <c r="Y98" s="1908" t="s">
        <v>3977</v>
      </c>
      <c r="Z98" s="1908"/>
      <c r="AA98" s="1908" t="s">
        <v>3978</v>
      </c>
      <c r="AB98" s="1908" t="s">
        <v>3979</v>
      </c>
      <c r="AC98" s="1908" t="s">
        <v>3980</v>
      </c>
      <c r="AD98" s="2278" t="s">
        <v>3981</v>
      </c>
      <c r="AE98" s="2259"/>
      <c r="AF98" s="2260"/>
      <c r="AG98" s="2278" t="s">
        <v>3696</v>
      </c>
      <c r="AH98" s="2259"/>
      <c r="AI98" s="2260"/>
      <c r="AJ98" s="1908" t="s">
        <v>3982</v>
      </c>
      <c r="AK98" s="2278" t="s">
        <v>3983</v>
      </c>
      <c r="AL98" s="2259"/>
      <c r="AM98" s="2259"/>
      <c r="AN98" s="2259"/>
      <c r="AO98" s="2260"/>
      <c r="AP98" s="1908" t="s">
        <v>3716</v>
      </c>
      <c r="BC98" s="214"/>
      <c r="BD98" s="214"/>
      <c r="BE98" s="214"/>
      <c r="BF98" s="214"/>
    </row>
    <row r="99" spans="1:58" ht="45" hidden="1" customHeight="1">
      <c r="A99" s="808"/>
      <c r="B99" s="2280"/>
      <c r="C99" s="2281"/>
      <c r="D99" s="2282"/>
      <c r="E99" s="1909" t="s">
        <v>3682</v>
      </c>
      <c r="F99" s="1909" t="s">
        <v>3683</v>
      </c>
      <c r="G99" s="1909"/>
      <c r="H99" s="2283" t="s">
        <v>3971</v>
      </c>
      <c r="I99" s="2281"/>
      <c r="J99" s="2282"/>
      <c r="K99" s="2283" t="s">
        <v>3988</v>
      </c>
      <c r="L99" s="2282"/>
      <c r="M99" s="1909" t="e">
        <f>VLOOKUP(K99,'Estimate Details'!$R:$BR,20,FALSE)</f>
        <v>#N/A</v>
      </c>
      <c r="N99" s="1909" t="e">
        <f>VLOOKUP(M99,#REF!,2,FALSE)</f>
        <v>#N/A</v>
      </c>
      <c r="O99" s="1909" t="s">
        <v>3973</v>
      </c>
      <c r="P99" s="2284" t="s">
        <v>3974</v>
      </c>
      <c r="Q99" s="2281"/>
      <c r="R99" s="2282"/>
      <c r="S99" s="1909" t="s">
        <v>3688</v>
      </c>
      <c r="T99" s="1909" t="s">
        <v>3689</v>
      </c>
      <c r="U99" s="1909" t="s">
        <v>3707</v>
      </c>
      <c r="V99" s="1909" t="s">
        <v>3975</v>
      </c>
      <c r="W99" s="1909" t="s">
        <v>3688</v>
      </c>
      <c r="X99" s="1909" t="s">
        <v>3976</v>
      </c>
      <c r="Y99" s="1909" t="s">
        <v>3977</v>
      </c>
      <c r="Z99" s="1909"/>
      <c r="AA99" s="1909" t="s">
        <v>3978</v>
      </c>
      <c r="AB99" s="1909" t="s">
        <v>3979</v>
      </c>
      <c r="AC99" s="1909" t="s">
        <v>3980</v>
      </c>
      <c r="AD99" s="2283" t="s">
        <v>3981</v>
      </c>
      <c r="AE99" s="2281"/>
      <c r="AF99" s="2282"/>
      <c r="AG99" s="2283" t="s">
        <v>3696</v>
      </c>
      <c r="AH99" s="2281"/>
      <c r="AI99" s="2282"/>
      <c r="AJ99" s="1909" t="s">
        <v>3982</v>
      </c>
      <c r="AK99" s="2283" t="s">
        <v>3983</v>
      </c>
      <c r="AL99" s="2281"/>
      <c r="AM99" s="2259"/>
      <c r="AN99" s="2281"/>
      <c r="AO99" s="2282"/>
      <c r="AP99" s="1909" t="s">
        <v>3716</v>
      </c>
      <c r="BC99" s="214"/>
      <c r="BD99" s="214"/>
      <c r="BE99" s="214"/>
      <c r="BF99" s="214"/>
    </row>
    <row r="100" spans="1:58" ht="45" hidden="1" customHeight="1">
      <c r="B100" s="2277"/>
      <c r="C100" s="2259"/>
      <c r="D100" s="2260"/>
      <c r="E100" s="1908" t="s">
        <v>3682</v>
      </c>
      <c r="F100" s="1908" t="s">
        <v>3683</v>
      </c>
      <c r="G100" s="1908"/>
      <c r="H100" s="2278" t="s">
        <v>244</v>
      </c>
      <c r="I100" s="2259"/>
      <c r="J100" s="2260"/>
      <c r="K100" s="2278" t="s">
        <v>3989</v>
      </c>
      <c r="L100" s="2260"/>
      <c r="M100" s="1908" t="e">
        <f>VLOOKUP(K100,'Estimate Details'!$R:$BR,20,FALSE)</f>
        <v>#N/A</v>
      </c>
      <c r="N100" s="1908" t="e">
        <f>VLOOKUP(M100,#REF!,2,FALSE)</f>
        <v>#N/A</v>
      </c>
      <c r="O100" s="1908" t="s">
        <v>3990</v>
      </c>
      <c r="P100" s="2278" t="s">
        <v>3991</v>
      </c>
      <c r="Q100" s="2259"/>
      <c r="R100" s="2260"/>
      <c r="S100" s="1908" t="s">
        <v>3688</v>
      </c>
      <c r="T100" s="1908" t="s">
        <v>3689</v>
      </c>
      <c r="U100" s="1908" t="s">
        <v>3992</v>
      </c>
      <c r="V100" s="1908" t="s">
        <v>3810</v>
      </c>
      <c r="W100" s="1908" t="s">
        <v>3688</v>
      </c>
      <c r="X100" s="1908"/>
      <c r="Y100" s="1908"/>
      <c r="Z100" s="1908"/>
      <c r="AA100" s="1908" t="s">
        <v>3694</v>
      </c>
      <c r="AB100" s="1908" t="s">
        <v>3993</v>
      </c>
      <c r="AC100" s="1908" t="s">
        <v>3994</v>
      </c>
      <c r="AD100" s="2278" t="s">
        <v>3995</v>
      </c>
      <c r="AE100" s="2259"/>
      <c r="AF100" s="2260"/>
      <c r="AG100" s="2278" t="s">
        <v>3713</v>
      </c>
      <c r="AH100" s="2259"/>
      <c r="AI100" s="2260"/>
      <c r="AJ100" s="1908" t="s">
        <v>3996</v>
      </c>
      <c r="AK100" s="2278" t="s">
        <v>3997</v>
      </c>
      <c r="AL100" s="2259"/>
      <c r="AM100" s="2259"/>
      <c r="AN100" s="2259"/>
      <c r="AO100" s="2260"/>
      <c r="AP100" s="1908" t="s">
        <v>3699</v>
      </c>
      <c r="BC100" s="214"/>
      <c r="BD100" s="214"/>
      <c r="BE100" s="214"/>
      <c r="BF100" s="214"/>
    </row>
    <row r="101" spans="1:58" ht="45" hidden="1" customHeight="1">
      <c r="A101" s="808"/>
      <c r="B101" s="2280"/>
      <c r="C101" s="2281"/>
      <c r="D101" s="2282"/>
      <c r="E101" s="1909" t="s">
        <v>3682</v>
      </c>
      <c r="F101" s="1909" t="s">
        <v>3683</v>
      </c>
      <c r="G101" s="1909"/>
      <c r="H101" s="2283" t="s">
        <v>244</v>
      </c>
      <c r="I101" s="2281"/>
      <c r="J101" s="2282"/>
      <c r="K101" s="2283" t="s">
        <v>3998</v>
      </c>
      <c r="L101" s="2282"/>
      <c r="M101" s="1909" t="e">
        <f>VLOOKUP(K101,'Estimate Details'!$R:$BR,20,FALSE)</f>
        <v>#N/A</v>
      </c>
      <c r="N101" s="1909" t="e">
        <f>VLOOKUP(M101,#REF!,2,FALSE)</f>
        <v>#N/A</v>
      </c>
      <c r="O101" s="1909" t="s">
        <v>3999</v>
      </c>
      <c r="P101" s="2284" t="s">
        <v>3991</v>
      </c>
      <c r="Q101" s="2281"/>
      <c r="R101" s="2282"/>
      <c r="S101" s="1909" t="s">
        <v>3688</v>
      </c>
      <c r="T101" s="1909" t="s">
        <v>3689</v>
      </c>
      <c r="U101" s="1909" t="s">
        <v>3992</v>
      </c>
      <c r="V101" s="1909" t="s">
        <v>3810</v>
      </c>
      <c r="W101" s="1909" t="s">
        <v>3688</v>
      </c>
      <c r="X101" s="1909"/>
      <c r="Y101" s="1909"/>
      <c r="Z101" s="1909"/>
      <c r="AA101" s="1909" t="s">
        <v>3694</v>
      </c>
      <c r="AB101" s="1909" t="s">
        <v>3993</v>
      </c>
      <c r="AC101" s="1909" t="s">
        <v>3994</v>
      </c>
      <c r="AD101" s="2283" t="s">
        <v>3995</v>
      </c>
      <c r="AE101" s="2281"/>
      <c r="AF101" s="2282"/>
      <c r="AG101" s="2283" t="s">
        <v>3713</v>
      </c>
      <c r="AH101" s="2281"/>
      <c r="AI101" s="2282"/>
      <c r="AJ101" s="1909" t="s">
        <v>3996</v>
      </c>
      <c r="AK101" s="2283" t="s">
        <v>3997</v>
      </c>
      <c r="AL101" s="2281"/>
      <c r="AM101" s="2259"/>
      <c r="AN101" s="2281"/>
      <c r="AO101" s="2282"/>
      <c r="AP101" s="1909" t="s">
        <v>3699</v>
      </c>
      <c r="BC101" s="214"/>
      <c r="BD101" s="214"/>
      <c r="BE101" s="214"/>
      <c r="BF101" s="214"/>
    </row>
    <row r="102" spans="1:58" ht="45" hidden="1" customHeight="1">
      <c r="B102" s="2277"/>
      <c r="C102" s="2259"/>
      <c r="D102" s="2260"/>
      <c r="E102" s="1908" t="s">
        <v>3682</v>
      </c>
      <c r="F102" s="1908" t="s">
        <v>3683</v>
      </c>
      <c r="G102" s="1908"/>
      <c r="H102" s="2278" t="s">
        <v>244</v>
      </c>
      <c r="I102" s="2259"/>
      <c r="J102" s="2260"/>
      <c r="K102" s="2278" t="s">
        <v>4000</v>
      </c>
      <c r="L102" s="2260"/>
      <c r="M102" s="1908" t="e">
        <f>VLOOKUP(K102,'Estimate Details'!$R:$BR,20,FALSE)</f>
        <v>#N/A</v>
      </c>
      <c r="N102" s="1908" t="e">
        <f>VLOOKUP(M102,#REF!,2,FALSE)</f>
        <v>#N/A</v>
      </c>
      <c r="O102" s="1908" t="s">
        <v>3999</v>
      </c>
      <c r="P102" s="2278" t="s">
        <v>3991</v>
      </c>
      <c r="Q102" s="2259"/>
      <c r="R102" s="2260"/>
      <c r="S102" s="1908" t="s">
        <v>3688</v>
      </c>
      <c r="T102" s="1908" t="s">
        <v>3689</v>
      </c>
      <c r="U102" s="1908" t="s">
        <v>3992</v>
      </c>
      <c r="V102" s="1908" t="s">
        <v>3810</v>
      </c>
      <c r="W102" s="1908" t="s">
        <v>3688</v>
      </c>
      <c r="X102" s="1908"/>
      <c r="Y102" s="1908"/>
      <c r="Z102" s="1908"/>
      <c r="AA102" s="1908" t="s">
        <v>3694</v>
      </c>
      <c r="AB102" s="1908" t="s">
        <v>3993</v>
      </c>
      <c r="AC102" s="1908" t="s">
        <v>3994</v>
      </c>
      <c r="AD102" s="2278" t="s">
        <v>3995</v>
      </c>
      <c r="AE102" s="2259"/>
      <c r="AF102" s="2260"/>
      <c r="AG102" s="2278" t="s">
        <v>3713</v>
      </c>
      <c r="AH102" s="2259"/>
      <c r="AI102" s="2260"/>
      <c r="AJ102" s="1908" t="s">
        <v>3996</v>
      </c>
      <c r="AK102" s="2278" t="s">
        <v>3997</v>
      </c>
      <c r="AL102" s="2259"/>
      <c r="AM102" s="2259"/>
      <c r="AN102" s="2259"/>
      <c r="AO102" s="2260"/>
      <c r="AP102" s="1908" t="s">
        <v>3699</v>
      </c>
      <c r="BC102" s="214"/>
      <c r="BD102" s="214"/>
      <c r="BE102" s="214"/>
      <c r="BF102" s="214"/>
    </row>
    <row r="103" spans="1:58" ht="45" hidden="1" customHeight="1">
      <c r="A103" s="808"/>
      <c r="B103" s="2280"/>
      <c r="C103" s="2281"/>
      <c r="D103" s="2282"/>
      <c r="E103" s="1909" t="s">
        <v>3682</v>
      </c>
      <c r="F103" s="1909" t="s">
        <v>3683</v>
      </c>
      <c r="G103" s="1909"/>
      <c r="H103" s="2283" t="s">
        <v>244</v>
      </c>
      <c r="I103" s="2281"/>
      <c r="J103" s="2282"/>
      <c r="K103" s="2283" t="s">
        <v>4001</v>
      </c>
      <c r="L103" s="2282"/>
      <c r="M103" s="1909" t="e">
        <f>VLOOKUP(K103,'Estimate Details'!$R:$BR,20,FALSE)</f>
        <v>#N/A</v>
      </c>
      <c r="N103" s="1909" t="e">
        <f>VLOOKUP(M103,#REF!,2,FALSE)</f>
        <v>#N/A</v>
      </c>
      <c r="O103" s="1909" t="s">
        <v>4002</v>
      </c>
      <c r="P103" s="2284" t="s">
        <v>4003</v>
      </c>
      <c r="Q103" s="2281"/>
      <c r="R103" s="2282"/>
      <c r="S103" s="1909" t="s">
        <v>3688</v>
      </c>
      <c r="T103" s="1909" t="s">
        <v>3689</v>
      </c>
      <c r="U103" s="1909" t="s">
        <v>3992</v>
      </c>
      <c r="V103" s="1909" t="s">
        <v>3810</v>
      </c>
      <c r="W103" s="1909" t="s">
        <v>3688</v>
      </c>
      <c r="X103" s="1909"/>
      <c r="Y103" s="1909"/>
      <c r="Z103" s="1909"/>
      <c r="AA103" s="1909" t="s">
        <v>3694</v>
      </c>
      <c r="AB103" s="1909" t="s">
        <v>4004</v>
      </c>
      <c r="AC103" s="1909" t="s">
        <v>4005</v>
      </c>
      <c r="AD103" s="2283" t="s">
        <v>4006</v>
      </c>
      <c r="AE103" s="2281"/>
      <c r="AF103" s="2282"/>
      <c r="AG103" s="2283" t="s">
        <v>3713</v>
      </c>
      <c r="AH103" s="2281"/>
      <c r="AI103" s="2282"/>
      <c r="AJ103" s="1909" t="s">
        <v>3996</v>
      </c>
      <c r="AK103" s="2283" t="s">
        <v>3997</v>
      </c>
      <c r="AL103" s="2281"/>
      <c r="AM103" s="2259"/>
      <c r="AN103" s="2281"/>
      <c r="AO103" s="2282"/>
      <c r="AP103" s="1909" t="s">
        <v>3699</v>
      </c>
      <c r="BC103" s="214"/>
      <c r="BD103" s="214"/>
      <c r="BE103" s="214"/>
      <c r="BF103" s="214"/>
    </row>
    <row r="104" spans="1:58" ht="45" hidden="1" customHeight="1">
      <c r="B104" s="2277"/>
      <c r="C104" s="2259"/>
      <c r="D104" s="2260"/>
      <c r="E104" s="1908" t="s">
        <v>3682</v>
      </c>
      <c r="F104" s="1908" t="s">
        <v>3683</v>
      </c>
      <c r="G104" s="1908"/>
      <c r="H104" s="2278" t="s">
        <v>244</v>
      </c>
      <c r="I104" s="2259"/>
      <c r="J104" s="2260"/>
      <c r="K104" s="2278" t="s">
        <v>4007</v>
      </c>
      <c r="L104" s="2260"/>
      <c r="M104" s="1908" t="e">
        <f>VLOOKUP(K104,'Estimate Details'!$R:$BR,20,FALSE)</f>
        <v>#N/A</v>
      </c>
      <c r="N104" s="1908" t="e">
        <f>VLOOKUP(M104,#REF!,2,FALSE)</f>
        <v>#N/A</v>
      </c>
      <c r="O104" s="1908" t="s">
        <v>4002</v>
      </c>
      <c r="P104" s="2278" t="s">
        <v>4003</v>
      </c>
      <c r="Q104" s="2259"/>
      <c r="R104" s="2260"/>
      <c r="S104" s="1908" t="s">
        <v>3688</v>
      </c>
      <c r="T104" s="1908" t="s">
        <v>3689</v>
      </c>
      <c r="U104" s="1908" t="s">
        <v>3992</v>
      </c>
      <c r="V104" s="1908" t="s">
        <v>3810</v>
      </c>
      <c r="W104" s="1908" t="s">
        <v>3688</v>
      </c>
      <c r="X104" s="1908"/>
      <c r="Y104" s="1908"/>
      <c r="Z104" s="1908"/>
      <c r="AA104" s="1908" t="s">
        <v>3694</v>
      </c>
      <c r="AB104" s="1908" t="s">
        <v>4004</v>
      </c>
      <c r="AC104" s="1908" t="s">
        <v>4005</v>
      </c>
      <c r="AD104" s="2278" t="s">
        <v>4006</v>
      </c>
      <c r="AE104" s="2259"/>
      <c r="AF104" s="2260"/>
      <c r="AG104" s="2278" t="s">
        <v>3713</v>
      </c>
      <c r="AH104" s="2259"/>
      <c r="AI104" s="2260"/>
      <c r="AJ104" s="1908" t="s">
        <v>3996</v>
      </c>
      <c r="AK104" s="2278" t="s">
        <v>3997</v>
      </c>
      <c r="AL104" s="2259"/>
      <c r="AM104" s="2259"/>
      <c r="AN104" s="2259"/>
      <c r="AO104" s="2260"/>
      <c r="AP104" s="1908" t="s">
        <v>3699</v>
      </c>
      <c r="BC104" s="214"/>
      <c r="BD104" s="214"/>
      <c r="BE104" s="214"/>
      <c r="BF104" s="214"/>
    </row>
    <row r="105" spans="1:58" ht="45" hidden="1" customHeight="1">
      <c r="A105" s="808"/>
      <c r="B105" s="2280"/>
      <c r="C105" s="2281"/>
      <c r="D105" s="2282"/>
      <c r="E105" s="1909" t="s">
        <v>3682</v>
      </c>
      <c r="F105" s="1909" t="s">
        <v>3683</v>
      </c>
      <c r="G105" s="1909"/>
      <c r="H105" s="2283" t="s">
        <v>244</v>
      </c>
      <c r="I105" s="2281"/>
      <c r="J105" s="2282"/>
      <c r="K105" s="2283" t="s">
        <v>4008</v>
      </c>
      <c r="L105" s="2282"/>
      <c r="M105" s="1909" t="e">
        <f>VLOOKUP(K105,'Estimate Details'!$R:$BR,20,FALSE)</f>
        <v>#N/A</v>
      </c>
      <c r="N105" s="1909" t="e">
        <f>VLOOKUP(M105,#REF!,2,FALSE)</f>
        <v>#N/A</v>
      </c>
      <c r="O105" s="1909" t="s">
        <v>4009</v>
      </c>
      <c r="P105" s="2284" t="s">
        <v>4003</v>
      </c>
      <c r="Q105" s="2281"/>
      <c r="R105" s="2282"/>
      <c r="S105" s="1909" t="s">
        <v>3688</v>
      </c>
      <c r="T105" s="1909" t="s">
        <v>3689</v>
      </c>
      <c r="U105" s="1909" t="s">
        <v>3992</v>
      </c>
      <c r="V105" s="1909" t="s">
        <v>3810</v>
      </c>
      <c r="W105" s="1909" t="s">
        <v>3688</v>
      </c>
      <c r="X105" s="1909"/>
      <c r="Y105" s="1909"/>
      <c r="Z105" s="1909"/>
      <c r="AA105" s="1909" t="s">
        <v>3694</v>
      </c>
      <c r="AB105" s="1909" t="s">
        <v>4004</v>
      </c>
      <c r="AC105" s="1909" t="s">
        <v>4005</v>
      </c>
      <c r="AD105" s="2283" t="s">
        <v>4006</v>
      </c>
      <c r="AE105" s="2281"/>
      <c r="AF105" s="2282"/>
      <c r="AG105" s="2283" t="s">
        <v>3713</v>
      </c>
      <c r="AH105" s="2281"/>
      <c r="AI105" s="2282"/>
      <c r="AJ105" s="1909" t="s">
        <v>3996</v>
      </c>
      <c r="AK105" s="2283" t="s">
        <v>3997</v>
      </c>
      <c r="AL105" s="2281"/>
      <c r="AM105" s="2259"/>
      <c r="AN105" s="2281"/>
      <c r="AO105" s="2282"/>
      <c r="AP105" s="1909" t="s">
        <v>3699</v>
      </c>
      <c r="BC105" s="214"/>
      <c r="BD105" s="214"/>
      <c r="BE105" s="214"/>
      <c r="BF105" s="214"/>
    </row>
    <row r="106" spans="1:58" ht="45" hidden="1" customHeight="1">
      <c r="B106" s="2277"/>
      <c r="C106" s="2259"/>
      <c r="D106" s="2260"/>
      <c r="E106" s="1908" t="s">
        <v>3682</v>
      </c>
      <c r="F106" s="1908" t="s">
        <v>3683</v>
      </c>
      <c r="G106" s="1908"/>
      <c r="H106" s="2278" t="s">
        <v>225</v>
      </c>
      <c r="I106" s="2259"/>
      <c r="J106" s="2260"/>
      <c r="K106" s="2278" t="s">
        <v>4010</v>
      </c>
      <c r="L106" s="2260"/>
      <c r="M106" s="1908" t="e">
        <f>VLOOKUP(K106,'Estimate Details'!$R:$BR,20,FALSE)</f>
        <v>#N/A</v>
      </c>
      <c r="N106" s="1908" t="e">
        <f>VLOOKUP(M106,#REF!,2,FALSE)</f>
        <v>#N/A</v>
      </c>
      <c r="O106" s="1908" t="s">
        <v>4011</v>
      </c>
      <c r="P106" s="2278" t="s">
        <v>4012</v>
      </c>
      <c r="Q106" s="2259"/>
      <c r="R106" s="2260"/>
      <c r="S106" s="1908" t="s">
        <v>3688</v>
      </c>
      <c r="T106" s="1908" t="s">
        <v>3689</v>
      </c>
      <c r="U106" s="1908" t="s">
        <v>3992</v>
      </c>
      <c r="V106" s="1908" t="s">
        <v>3810</v>
      </c>
      <c r="W106" s="1908" t="s">
        <v>3688</v>
      </c>
      <c r="X106" s="1908"/>
      <c r="Y106" s="1908"/>
      <c r="Z106" s="1908"/>
      <c r="AA106" s="1908" t="s">
        <v>3694</v>
      </c>
      <c r="AB106" s="1908" t="s">
        <v>4013</v>
      </c>
      <c r="AC106" s="1908" t="s">
        <v>3696</v>
      </c>
      <c r="AD106" s="2278" t="s">
        <v>4014</v>
      </c>
      <c r="AE106" s="2259"/>
      <c r="AF106" s="2260"/>
      <c r="AG106" s="2278" t="s">
        <v>3713</v>
      </c>
      <c r="AH106" s="2259"/>
      <c r="AI106" s="2260"/>
      <c r="AJ106" s="1908" t="s">
        <v>4015</v>
      </c>
      <c r="AK106" s="2278" t="s">
        <v>4016</v>
      </c>
      <c r="AL106" s="2259"/>
      <c r="AM106" s="2259"/>
      <c r="AN106" s="2259"/>
      <c r="AO106" s="2260"/>
      <c r="AP106" s="1908" t="s">
        <v>3716</v>
      </c>
      <c r="BC106" s="214"/>
      <c r="BD106" s="214"/>
      <c r="BE106" s="214"/>
      <c r="BF106" s="214"/>
    </row>
    <row r="107" spans="1:58" ht="45" hidden="1" customHeight="1">
      <c r="A107" s="808"/>
      <c r="B107" s="2280"/>
      <c r="C107" s="2281"/>
      <c r="D107" s="2282"/>
      <c r="E107" s="1909" t="s">
        <v>3682</v>
      </c>
      <c r="F107" s="1909" t="s">
        <v>3683</v>
      </c>
      <c r="G107" s="1909"/>
      <c r="H107" s="2283" t="s">
        <v>225</v>
      </c>
      <c r="I107" s="2281"/>
      <c r="J107" s="2282"/>
      <c r="K107" s="2283" t="s">
        <v>4017</v>
      </c>
      <c r="L107" s="2282"/>
      <c r="M107" s="1909" t="e">
        <f>VLOOKUP(K107,'Estimate Details'!$R:$BR,20,FALSE)</f>
        <v>#N/A</v>
      </c>
      <c r="N107" s="1909" t="e">
        <f>VLOOKUP(M107,#REF!,2,FALSE)</f>
        <v>#N/A</v>
      </c>
      <c r="O107" s="1909" t="s">
        <v>4018</v>
      </c>
      <c r="P107" s="2284" t="s">
        <v>4012</v>
      </c>
      <c r="Q107" s="2281"/>
      <c r="R107" s="2282"/>
      <c r="S107" s="1909" t="s">
        <v>3688</v>
      </c>
      <c r="T107" s="1909" t="s">
        <v>3689</v>
      </c>
      <c r="U107" s="1909" t="s">
        <v>3992</v>
      </c>
      <c r="V107" s="1909" t="s">
        <v>3810</v>
      </c>
      <c r="W107" s="1909" t="s">
        <v>3688</v>
      </c>
      <c r="X107" s="1909"/>
      <c r="Y107" s="1909"/>
      <c r="Z107" s="1909"/>
      <c r="AA107" s="1909" t="s">
        <v>3694</v>
      </c>
      <c r="AB107" s="1909" t="s">
        <v>3688</v>
      </c>
      <c r="AC107" s="1909" t="s">
        <v>3696</v>
      </c>
      <c r="AD107" s="2283" t="s">
        <v>3688</v>
      </c>
      <c r="AE107" s="2281"/>
      <c r="AF107" s="2282"/>
      <c r="AG107" s="2283" t="s">
        <v>3713</v>
      </c>
      <c r="AH107" s="2281"/>
      <c r="AI107" s="2282"/>
      <c r="AJ107" s="1909" t="s">
        <v>4015</v>
      </c>
      <c r="AK107" s="2283" t="s">
        <v>4016</v>
      </c>
      <c r="AL107" s="2281"/>
      <c r="AM107" s="2259"/>
      <c r="AN107" s="2281"/>
      <c r="AO107" s="2282"/>
      <c r="AP107" s="1909" t="s">
        <v>3716</v>
      </c>
      <c r="BC107" s="214"/>
      <c r="BD107" s="214"/>
      <c r="BE107" s="214"/>
      <c r="BF107" s="214"/>
    </row>
    <row r="108" spans="1:58" ht="45" hidden="1" customHeight="1">
      <c r="B108" s="2277"/>
      <c r="C108" s="2259"/>
      <c r="D108" s="2260"/>
      <c r="E108" s="1908" t="s">
        <v>3682</v>
      </c>
      <c r="F108" s="1908" t="s">
        <v>3683</v>
      </c>
      <c r="G108" s="1908"/>
      <c r="H108" s="2278" t="s">
        <v>225</v>
      </c>
      <c r="I108" s="2259"/>
      <c r="J108" s="2260"/>
      <c r="K108" s="2278" t="s">
        <v>4019</v>
      </c>
      <c r="L108" s="2260"/>
      <c r="M108" s="1908" t="e">
        <f>VLOOKUP(K108,'Estimate Details'!$R:$BR,20,FALSE)</f>
        <v>#N/A</v>
      </c>
      <c r="N108" s="1908" t="e">
        <f>VLOOKUP(M108,#REF!,2,FALSE)</f>
        <v>#N/A</v>
      </c>
      <c r="O108" s="1908" t="s">
        <v>4018</v>
      </c>
      <c r="P108" s="2278" t="s">
        <v>4012</v>
      </c>
      <c r="Q108" s="2259"/>
      <c r="R108" s="2260"/>
      <c r="S108" s="1908" t="s">
        <v>3688</v>
      </c>
      <c r="T108" s="1908" t="s">
        <v>3689</v>
      </c>
      <c r="U108" s="1908" t="s">
        <v>3992</v>
      </c>
      <c r="V108" s="1908" t="s">
        <v>3810</v>
      </c>
      <c r="W108" s="1908" t="s">
        <v>3688</v>
      </c>
      <c r="X108" s="1908"/>
      <c r="Y108" s="1908"/>
      <c r="Z108" s="1908"/>
      <c r="AA108" s="1908" t="s">
        <v>3694</v>
      </c>
      <c r="AB108" s="1908" t="s">
        <v>3688</v>
      </c>
      <c r="AC108" s="1908" t="s">
        <v>3696</v>
      </c>
      <c r="AD108" s="2278" t="s">
        <v>3688</v>
      </c>
      <c r="AE108" s="2259"/>
      <c r="AF108" s="2260"/>
      <c r="AG108" s="2278" t="s">
        <v>3713</v>
      </c>
      <c r="AH108" s="2259"/>
      <c r="AI108" s="2260"/>
      <c r="AJ108" s="1908" t="s">
        <v>4015</v>
      </c>
      <c r="AK108" s="2278" t="s">
        <v>4016</v>
      </c>
      <c r="AL108" s="2259"/>
      <c r="AM108" s="2259"/>
      <c r="AN108" s="2259"/>
      <c r="AO108" s="2260"/>
      <c r="AP108" s="1908" t="s">
        <v>3716</v>
      </c>
      <c r="BC108" s="214"/>
      <c r="BD108" s="214"/>
      <c r="BE108" s="214"/>
      <c r="BF108" s="214"/>
    </row>
    <row r="109" spans="1:58" ht="45" hidden="1" customHeight="1">
      <c r="A109" s="808"/>
      <c r="B109" s="2280"/>
      <c r="C109" s="2281"/>
      <c r="D109" s="2282"/>
      <c r="E109" s="1909" t="s">
        <v>3682</v>
      </c>
      <c r="F109" s="1909" t="s">
        <v>3683</v>
      </c>
      <c r="G109" s="1909"/>
      <c r="H109" s="2283" t="s">
        <v>225</v>
      </c>
      <c r="I109" s="2281"/>
      <c r="J109" s="2282"/>
      <c r="K109" s="2283" t="s">
        <v>4020</v>
      </c>
      <c r="L109" s="2282"/>
      <c r="M109" s="1909" t="e">
        <f>VLOOKUP(K109,'Estimate Details'!$R:$BR,20,FALSE)</f>
        <v>#N/A</v>
      </c>
      <c r="N109" s="1909" t="e">
        <f>VLOOKUP(M109,#REF!,2,FALSE)</f>
        <v>#N/A</v>
      </c>
      <c r="O109" s="1909" t="s">
        <v>4018</v>
      </c>
      <c r="P109" s="2284" t="s">
        <v>4012</v>
      </c>
      <c r="Q109" s="2281"/>
      <c r="R109" s="2282"/>
      <c r="S109" s="1909" t="s">
        <v>3688</v>
      </c>
      <c r="T109" s="1909" t="s">
        <v>3689</v>
      </c>
      <c r="U109" s="1909" t="s">
        <v>3992</v>
      </c>
      <c r="V109" s="1909" t="s">
        <v>3810</v>
      </c>
      <c r="W109" s="1909" t="s">
        <v>3688</v>
      </c>
      <c r="X109" s="1909"/>
      <c r="Y109" s="1909"/>
      <c r="Z109" s="1909"/>
      <c r="AA109" s="1909" t="s">
        <v>3694</v>
      </c>
      <c r="AB109" s="1909" t="s">
        <v>3688</v>
      </c>
      <c r="AC109" s="1909" t="s">
        <v>3696</v>
      </c>
      <c r="AD109" s="2283" t="s">
        <v>3688</v>
      </c>
      <c r="AE109" s="2281"/>
      <c r="AF109" s="2282"/>
      <c r="AG109" s="2283" t="s">
        <v>3713</v>
      </c>
      <c r="AH109" s="2281"/>
      <c r="AI109" s="2282"/>
      <c r="AJ109" s="1909" t="s">
        <v>4015</v>
      </c>
      <c r="AK109" s="2283" t="s">
        <v>4016</v>
      </c>
      <c r="AL109" s="2281"/>
      <c r="AM109" s="2259"/>
      <c r="AN109" s="2281"/>
      <c r="AO109" s="2282"/>
      <c r="AP109" s="1909" t="s">
        <v>3716</v>
      </c>
      <c r="BC109" s="214"/>
      <c r="BD109" s="214"/>
      <c r="BE109" s="214"/>
      <c r="BF109" s="214"/>
    </row>
    <row r="110" spans="1:58" ht="45" hidden="1" customHeight="1">
      <c r="B110" s="2277"/>
      <c r="C110" s="2259"/>
      <c r="D110" s="2260"/>
      <c r="E110" s="1908" t="s">
        <v>3682</v>
      </c>
      <c r="F110" s="1908" t="s">
        <v>3683</v>
      </c>
      <c r="G110" s="1908"/>
      <c r="H110" s="2278" t="s">
        <v>225</v>
      </c>
      <c r="I110" s="2259"/>
      <c r="J110" s="2260"/>
      <c r="K110" s="2278" t="s">
        <v>4021</v>
      </c>
      <c r="L110" s="2260"/>
      <c r="M110" s="1908" t="e">
        <f>VLOOKUP(K110,'Estimate Details'!$R:$BR,20,FALSE)</f>
        <v>#N/A</v>
      </c>
      <c r="N110" s="1908" t="e">
        <f>VLOOKUP(M110,#REF!,2,FALSE)</f>
        <v>#N/A</v>
      </c>
      <c r="O110" s="1908" t="s">
        <v>4018</v>
      </c>
      <c r="P110" s="2278" t="s">
        <v>4012</v>
      </c>
      <c r="Q110" s="2259"/>
      <c r="R110" s="2260"/>
      <c r="S110" s="1908" t="s">
        <v>3688</v>
      </c>
      <c r="T110" s="1908" t="s">
        <v>3689</v>
      </c>
      <c r="U110" s="1908" t="s">
        <v>3992</v>
      </c>
      <c r="V110" s="1908" t="s">
        <v>3810</v>
      </c>
      <c r="W110" s="1908" t="s">
        <v>3688</v>
      </c>
      <c r="X110" s="1908"/>
      <c r="Y110" s="1908"/>
      <c r="Z110" s="1908"/>
      <c r="AA110" s="1908" t="s">
        <v>3694</v>
      </c>
      <c r="AB110" s="1908" t="s">
        <v>3688</v>
      </c>
      <c r="AC110" s="1908" t="s">
        <v>3696</v>
      </c>
      <c r="AD110" s="2278" t="s">
        <v>3688</v>
      </c>
      <c r="AE110" s="2259"/>
      <c r="AF110" s="2260"/>
      <c r="AG110" s="2278" t="s">
        <v>3713</v>
      </c>
      <c r="AH110" s="2259"/>
      <c r="AI110" s="2260"/>
      <c r="AJ110" s="1908" t="s">
        <v>4015</v>
      </c>
      <c r="AK110" s="2278" t="s">
        <v>4016</v>
      </c>
      <c r="AL110" s="2259"/>
      <c r="AM110" s="2259"/>
      <c r="AN110" s="2259"/>
      <c r="AO110" s="2260"/>
      <c r="AP110" s="1908" t="s">
        <v>3716</v>
      </c>
      <c r="BC110" s="214"/>
      <c r="BD110" s="214"/>
      <c r="BE110" s="214"/>
      <c r="BF110" s="214"/>
    </row>
    <row r="111" spans="1:58" ht="60" hidden="1" customHeight="1">
      <c r="A111" s="808"/>
      <c r="B111" s="2280"/>
      <c r="C111" s="2281"/>
      <c r="D111" s="2282"/>
      <c r="E111" s="1909" t="s">
        <v>3682</v>
      </c>
      <c r="F111" s="1909" t="s">
        <v>3683</v>
      </c>
      <c r="G111" s="1909"/>
      <c r="H111" s="2283" t="s">
        <v>225</v>
      </c>
      <c r="I111" s="2281"/>
      <c r="J111" s="2282"/>
      <c r="K111" s="2283" t="s">
        <v>232</v>
      </c>
      <c r="L111" s="2282"/>
      <c r="M111" s="1909">
        <f>VLOOKUP(K111,'Estimate Details'!$R:$BR,20,FALSE)</f>
        <v>1196938.5839999998</v>
      </c>
      <c r="N111" s="1909" t="e">
        <f>VLOOKUP(M111,#REF!,2,FALSE)</f>
        <v>#REF!</v>
      </c>
      <c r="O111" s="1909" t="s">
        <v>4022</v>
      </c>
      <c r="P111" s="2284" t="s">
        <v>4023</v>
      </c>
      <c r="Q111" s="2281"/>
      <c r="R111" s="2282"/>
      <c r="S111" s="1909" t="s">
        <v>3688</v>
      </c>
      <c r="T111" s="1909" t="s">
        <v>3689</v>
      </c>
      <c r="U111" s="1909" t="s">
        <v>3992</v>
      </c>
      <c r="V111" s="1909" t="s">
        <v>3810</v>
      </c>
      <c r="W111" s="1909" t="s">
        <v>3688</v>
      </c>
      <c r="X111" s="1909" t="s">
        <v>4024</v>
      </c>
      <c r="Y111" s="1909" t="s">
        <v>4025</v>
      </c>
      <c r="Z111" s="1909"/>
      <c r="AA111" s="1909" t="s">
        <v>3694</v>
      </c>
      <c r="AB111" s="1909" t="s">
        <v>4013</v>
      </c>
      <c r="AC111" s="1909" t="s">
        <v>4026</v>
      </c>
      <c r="AD111" s="2283" t="s">
        <v>4027</v>
      </c>
      <c r="AE111" s="2281"/>
      <c r="AF111" s="2282"/>
      <c r="AG111" s="2283" t="s">
        <v>3713</v>
      </c>
      <c r="AH111" s="2281"/>
      <c r="AI111" s="2282"/>
      <c r="AJ111" s="1909" t="s">
        <v>4015</v>
      </c>
      <c r="AK111" s="2283" t="s">
        <v>4016</v>
      </c>
      <c r="AL111" s="2281"/>
      <c r="AM111" s="2259"/>
      <c r="AN111" s="2281"/>
      <c r="AO111" s="2282"/>
      <c r="AP111" s="1909" t="s">
        <v>3716</v>
      </c>
      <c r="BC111" s="214"/>
      <c r="BD111" s="214"/>
      <c r="BE111" s="214"/>
      <c r="BF111" s="214"/>
    </row>
    <row r="112" spans="1:58" ht="45" hidden="1" customHeight="1">
      <c r="B112" s="2277"/>
      <c r="C112" s="2259"/>
      <c r="D112" s="2260"/>
      <c r="E112" s="1908" t="s">
        <v>3682</v>
      </c>
      <c r="F112" s="1910" t="s">
        <v>3688</v>
      </c>
      <c r="G112" s="1910"/>
      <c r="H112" s="2285" t="s">
        <v>225</v>
      </c>
      <c r="I112" s="2259"/>
      <c r="J112" s="2260"/>
      <c r="K112" s="2285" t="s">
        <v>241</v>
      </c>
      <c r="L112" s="2260"/>
      <c r="M112" s="1910">
        <f>VLOOKUP(K112,'Estimate Details'!$R:$BR,20,FALSE)</f>
        <v>0</v>
      </c>
      <c r="N112" s="1910" t="e">
        <f>VLOOKUP(M112,#REF!,2,FALSE)</f>
        <v>#REF!</v>
      </c>
      <c r="O112" s="1910" t="s">
        <v>4028</v>
      </c>
      <c r="P112" s="2285" t="s">
        <v>3688</v>
      </c>
      <c r="Q112" s="2259"/>
      <c r="R112" s="2260"/>
      <c r="S112" s="1910" t="s">
        <v>4029</v>
      </c>
      <c r="T112" s="1910" t="s">
        <v>3689</v>
      </c>
      <c r="U112" s="1910" t="s">
        <v>3688</v>
      </c>
      <c r="V112" s="1910" t="s">
        <v>3688</v>
      </c>
      <c r="W112" s="1910" t="s">
        <v>3688</v>
      </c>
      <c r="X112" s="1910"/>
      <c r="Y112" s="1910"/>
      <c r="Z112" s="1910"/>
      <c r="AA112" s="1910" t="s">
        <v>3694</v>
      </c>
      <c r="AB112" s="1910" t="s">
        <v>3688</v>
      </c>
      <c r="AC112" s="1910" t="s">
        <v>4030</v>
      </c>
      <c r="AD112" s="2285" t="s">
        <v>3688</v>
      </c>
      <c r="AE112" s="2259"/>
      <c r="AF112" s="2260"/>
      <c r="AG112" s="2285" t="s">
        <v>3696</v>
      </c>
      <c r="AH112" s="2259"/>
      <c r="AI112" s="2260"/>
      <c r="AJ112" s="1910" t="s">
        <v>4031</v>
      </c>
      <c r="AK112" s="2285" t="s">
        <v>3688</v>
      </c>
      <c r="AL112" s="2259"/>
      <c r="AM112" s="2259"/>
      <c r="AN112" s="2259"/>
      <c r="AO112" s="2260"/>
      <c r="AP112" s="1910" t="s">
        <v>3688</v>
      </c>
      <c r="BC112" s="214"/>
      <c r="BD112" s="214"/>
      <c r="BE112" s="214"/>
      <c r="BF112" s="214"/>
    </row>
    <row r="113" spans="1:58" ht="45" hidden="1" customHeight="1">
      <c r="A113" s="808"/>
      <c r="B113" s="2280"/>
      <c r="C113" s="2281"/>
      <c r="D113" s="2282"/>
      <c r="E113" s="1909" t="s">
        <v>3682</v>
      </c>
      <c r="F113" s="1909" t="s">
        <v>3683</v>
      </c>
      <c r="G113" s="1909"/>
      <c r="H113" s="2283" t="s">
        <v>225</v>
      </c>
      <c r="I113" s="2281"/>
      <c r="J113" s="2282"/>
      <c r="K113" s="2283" t="s">
        <v>4032</v>
      </c>
      <c r="L113" s="2282"/>
      <c r="M113" s="1909" t="e">
        <f>VLOOKUP(K113,'Estimate Details'!$R:$BR,20,FALSE)</f>
        <v>#N/A</v>
      </c>
      <c r="N113" s="1909" t="e">
        <f>VLOOKUP(M113,#REF!,2,FALSE)</f>
        <v>#N/A</v>
      </c>
      <c r="O113" s="1909" t="s">
        <v>4033</v>
      </c>
      <c r="P113" s="2284" t="s">
        <v>4023</v>
      </c>
      <c r="Q113" s="2281"/>
      <c r="R113" s="2282"/>
      <c r="S113" s="1909" t="s">
        <v>4029</v>
      </c>
      <c r="T113" s="1909" t="s">
        <v>3689</v>
      </c>
      <c r="U113" s="1909" t="s">
        <v>3992</v>
      </c>
      <c r="V113" s="1909" t="s">
        <v>3810</v>
      </c>
      <c r="W113" s="1909" t="s">
        <v>3688</v>
      </c>
      <c r="X113" s="1909"/>
      <c r="Y113" s="1909"/>
      <c r="Z113" s="1909"/>
      <c r="AA113" s="1909" t="s">
        <v>3694</v>
      </c>
      <c r="AB113" s="1909" t="s">
        <v>3688</v>
      </c>
      <c r="AC113" s="1909" t="s">
        <v>3804</v>
      </c>
      <c r="AD113" s="2283" t="s">
        <v>3688</v>
      </c>
      <c r="AE113" s="2281"/>
      <c r="AF113" s="2282"/>
      <c r="AG113" s="2283" t="s">
        <v>3696</v>
      </c>
      <c r="AH113" s="2281"/>
      <c r="AI113" s="2282"/>
      <c r="AJ113" s="1909" t="s">
        <v>3996</v>
      </c>
      <c r="AK113" s="2283" t="s">
        <v>3997</v>
      </c>
      <c r="AL113" s="2281"/>
      <c r="AM113" s="2259"/>
      <c r="AN113" s="2281"/>
      <c r="AO113" s="2282"/>
      <c r="AP113" s="1909" t="s">
        <v>3699</v>
      </c>
      <c r="BC113" s="214"/>
      <c r="BD113" s="214"/>
      <c r="BE113" s="214"/>
      <c r="BF113" s="214"/>
    </row>
    <row r="114" spans="1:58" ht="45" hidden="1" customHeight="1">
      <c r="B114" s="2277"/>
      <c r="C114" s="2259"/>
      <c r="D114" s="2260"/>
      <c r="E114" s="1908" t="s">
        <v>3682</v>
      </c>
      <c r="F114" s="1908" t="s">
        <v>3683</v>
      </c>
      <c r="G114" s="1908"/>
      <c r="H114" s="2278" t="s">
        <v>225</v>
      </c>
      <c r="I114" s="2259"/>
      <c r="J114" s="2260"/>
      <c r="K114" s="2278" t="s">
        <v>4034</v>
      </c>
      <c r="L114" s="2260"/>
      <c r="M114" s="1908" t="e">
        <f>VLOOKUP(K114,'Estimate Details'!$R:$BR,20,FALSE)</f>
        <v>#N/A</v>
      </c>
      <c r="N114" s="1908" t="e">
        <f>VLOOKUP(M114,#REF!,2,FALSE)</f>
        <v>#N/A</v>
      </c>
      <c r="O114" s="1908" t="s">
        <v>4033</v>
      </c>
      <c r="P114" s="2278" t="s">
        <v>4023</v>
      </c>
      <c r="Q114" s="2259"/>
      <c r="R114" s="2260"/>
      <c r="S114" s="1908" t="s">
        <v>4029</v>
      </c>
      <c r="T114" s="1908" t="s">
        <v>3689</v>
      </c>
      <c r="U114" s="1908" t="s">
        <v>3992</v>
      </c>
      <c r="V114" s="1908" t="s">
        <v>3810</v>
      </c>
      <c r="W114" s="1908" t="s">
        <v>3688</v>
      </c>
      <c r="X114" s="1908"/>
      <c r="Y114" s="1908"/>
      <c r="Z114" s="1908"/>
      <c r="AA114" s="1908" t="s">
        <v>3694</v>
      </c>
      <c r="AB114" s="1908" t="s">
        <v>3688</v>
      </c>
      <c r="AC114" s="1908" t="s">
        <v>4005</v>
      </c>
      <c r="AD114" s="2278" t="s">
        <v>3688</v>
      </c>
      <c r="AE114" s="2259"/>
      <c r="AF114" s="2260"/>
      <c r="AG114" s="2278" t="s">
        <v>3696</v>
      </c>
      <c r="AH114" s="2259"/>
      <c r="AI114" s="2260"/>
      <c r="AJ114" s="1908" t="s">
        <v>3996</v>
      </c>
      <c r="AK114" s="2278" t="s">
        <v>3997</v>
      </c>
      <c r="AL114" s="2259"/>
      <c r="AM114" s="2259"/>
      <c r="AN114" s="2259"/>
      <c r="AO114" s="2260"/>
      <c r="AP114" s="1908" t="s">
        <v>3699</v>
      </c>
      <c r="BC114" s="214"/>
      <c r="BD114" s="214"/>
      <c r="BE114" s="214"/>
      <c r="BF114" s="214"/>
    </row>
    <row r="115" spans="1:58" ht="45" hidden="1" customHeight="1">
      <c r="A115" s="808"/>
      <c r="B115" s="2280"/>
      <c r="C115" s="2281"/>
      <c r="D115" s="2282"/>
      <c r="E115" s="1909" t="s">
        <v>3682</v>
      </c>
      <c r="F115" s="1909" t="s">
        <v>3683</v>
      </c>
      <c r="G115" s="1909"/>
      <c r="H115" s="2283" t="s">
        <v>225</v>
      </c>
      <c r="I115" s="2281"/>
      <c r="J115" s="2282"/>
      <c r="K115" s="2283" t="s">
        <v>4035</v>
      </c>
      <c r="L115" s="2282"/>
      <c r="M115" s="1909" t="e">
        <f>VLOOKUP(K115,'Estimate Details'!$R:$BR,20,FALSE)</f>
        <v>#N/A</v>
      </c>
      <c r="N115" s="1909" t="e">
        <f>VLOOKUP(M115,#REF!,2,FALSE)</f>
        <v>#N/A</v>
      </c>
      <c r="O115" s="1909" t="s">
        <v>4033</v>
      </c>
      <c r="P115" s="2284" t="s">
        <v>4023</v>
      </c>
      <c r="Q115" s="2281"/>
      <c r="R115" s="2282"/>
      <c r="S115" s="1909" t="s">
        <v>4029</v>
      </c>
      <c r="T115" s="1909" t="s">
        <v>3689</v>
      </c>
      <c r="U115" s="1909" t="s">
        <v>3992</v>
      </c>
      <c r="V115" s="1909" t="s">
        <v>3810</v>
      </c>
      <c r="W115" s="1909" t="s">
        <v>3688</v>
      </c>
      <c r="X115" s="1909"/>
      <c r="Y115" s="1909"/>
      <c r="Z115" s="1909"/>
      <c r="AA115" s="1909" t="s">
        <v>3694</v>
      </c>
      <c r="AB115" s="1909" t="s">
        <v>3688</v>
      </c>
      <c r="AC115" s="1909" t="s">
        <v>4005</v>
      </c>
      <c r="AD115" s="2283" t="s">
        <v>3688</v>
      </c>
      <c r="AE115" s="2281"/>
      <c r="AF115" s="2282"/>
      <c r="AG115" s="2283" t="s">
        <v>3696</v>
      </c>
      <c r="AH115" s="2281"/>
      <c r="AI115" s="2282"/>
      <c r="AJ115" s="1909" t="s">
        <v>3996</v>
      </c>
      <c r="AK115" s="2283" t="s">
        <v>3997</v>
      </c>
      <c r="AL115" s="2281"/>
      <c r="AM115" s="2259"/>
      <c r="AN115" s="2281"/>
      <c r="AO115" s="2282"/>
      <c r="AP115" s="1909" t="s">
        <v>3699</v>
      </c>
      <c r="BC115" s="214"/>
      <c r="BD115" s="214"/>
      <c r="BE115" s="214"/>
      <c r="BF115" s="214"/>
    </row>
    <row r="116" spans="1:58" ht="45" hidden="1" customHeight="1">
      <c r="B116" s="2277"/>
      <c r="C116" s="2259"/>
      <c r="D116" s="2260"/>
      <c r="E116" s="1908" t="s">
        <v>3682</v>
      </c>
      <c r="F116" s="1908" t="s">
        <v>3683</v>
      </c>
      <c r="G116" s="1908"/>
      <c r="H116" s="2278" t="s">
        <v>225</v>
      </c>
      <c r="I116" s="2259"/>
      <c r="J116" s="2260"/>
      <c r="K116" s="2278" t="s">
        <v>4036</v>
      </c>
      <c r="L116" s="2260"/>
      <c r="M116" s="1908" t="e">
        <f>VLOOKUP(K116,'Estimate Details'!$R:$BR,20,FALSE)</f>
        <v>#N/A</v>
      </c>
      <c r="N116" s="1908" t="e">
        <f>VLOOKUP(M116,#REF!,2,FALSE)</f>
        <v>#N/A</v>
      </c>
      <c r="O116" s="1908" t="s">
        <v>4033</v>
      </c>
      <c r="P116" s="2278" t="s">
        <v>4023</v>
      </c>
      <c r="Q116" s="2259"/>
      <c r="R116" s="2260"/>
      <c r="S116" s="1908" t="s">
        <v>4029</v>
      </c>
      <c r="T116" s="1908" t="s">
        <v>3689</v>
      </c>
      <c r="U116" s="1908" t="s">
        <v>3992</v>
      </c>
      <c r="V116" s="1908" t="s">
        <v>3810</v>
      </c>
      <c r="W116" s="1908" t="s">
        <v>3688</v>
      </c>
      <c r="X116" s="1908"/>
      <c r="Y116" s="1908"/>
      <c r="Z116" s="1908"/>
      <c r="AA116" s="1908" t="s">
        <v>3694</v>
      </c>
      <c r="AB116" s="1908" t="s">
        <v>3688</v>
      </c>
      <c r="AC116" s="1908" t="s">
        <v>4005</v>
      </c>
      <c r="AD116" s="2278" t="s">
        <v>3688</v>
      </c>
      <c r="AE116" s="2259"/>
      <c r="AF116" s="2260"/>
      <c r="AG116" s="2278" t="s">
        <v>3696</v>
      </c>
      <c r="AH116" s="2259"/>
      <c r="AI116" s="2260"/>
      <c r="AJ116" s="1908" t="s">
        <v>3996</v>
      </c>
      <c r="AK116" s="2278" t="s">
        <v>3997</v>
      </c>
      <c r="AL116" s="2259"/>
      <c r="AM116" s="2259"/>
      <c r="AN116" s="2259"/>
      <c r="AO116" s="2260"/>
      <c r="AP116" s="1908" t="s">
        <v>3699</v>
      </c>
      <c r="BC116" s="214"/>
      <c r="BD116" s="214"/>
      <c r="BE116" s="214"/>
      <c r="BF116" s="214"/>
    </row>
    <row r="117" spans="1:58" ht="45" hidden="1" customHeight="1">
      <c r="A117" s="808"/>
      <c r="B117" s="2280"/>
      <c r="C117" s="2281"/>
      <c r="D117" s="2282"/>
      <c r="E117" s="1909" t="s">
        <v>3682</v>
      </c>
      <c r="F117" s="1909" t="s">
        <v>3683</v>
      </c>
      <c r="G117" s="1909"/>
      <c r="H117" s="2283" t="s">
        <v>225</v>
      </c>
      <c r="I117" s="2281"/>
      <c r="J117" s="2282"/>
      <c r="K117" s="2283" t="s">
        <v>4037</v>
      </c>
      <c r="L117" s="2282"/>
      <c r="M117" s="1909" t="e">
        <f>VLOOKUP(K117,'Estimate Details'!$R:$BR,20,FALSE)</f>
        <v>#N/A</v>
      </c>
      <c r="N117" s="1909" t="e">
        <f>VLOOKUP(M117,#REF!,2,FALSE)</f>
        <v>#N/A</v>
      </c>
      <c r="O117" s="1909" t="s">
        <v>4033</v>
      </c>
      <c r="P117" s="2284" t="s">
        <v>4023</v>
      </c>
      <c r="Q117" s="2281"/>
      <c r="R117" s="2282"/>
      <c r="S117" s="1909" t="s">
        <v>4029</v>
      </c>
      <c r="T117" s="1909" t="s">
        <v>3689</v>
      </c>
      <c r="U117" s="1909" t="s">
        <v>3992</v>
      </c>
      <c r="V117" s="1909" t="s">
        <v>3810</v>
      </c>
      <c r="W117" s="1909" t="s">
        <v>3688</v>
      </c>
      <c r="X117" s="1909"/>
      <c r="Y117" s="1909"/>
      <c r="Z117" s="1909"/>
      <c r="AA117" s="1909" t="s">
        <v>3694</v>
      </c>
      <c r="AB117" s="1909" t="s">
        <v>3688</v>
      </c>
      <c r="AC117" s="1909" t="s">
        <v>4005</v>
      </c>
      <c r="AD117" s="2283" t="s">
        <v>3688</v>
      </c>
      <c r="AE117" s="2281"/>
      <c r="AF117" s="2282"/>
      <c r="AG117" s="2283" t="s">
        <v>3696</v>
      </c>
      <c r="AH117" s="2281"/>
      <c r="AI117" s="2282"/>
      <c r="AJ117" s="1909" t="s">
        <v>3996</v>
      </c>
      <c r="AK117" s="2283" t="s">
        <v>3997</v>
      </c>
      <c r="AL117" s="2281"/>
      <c r="AM117" s="2259"/>
      <c r="AN117" s="2281"/>
      <c r="AO117" s="2282"/>
      <c r="AP117" s="1909" t="s">
        <v>3699</v>
      </c>
      <c r="BC117" s="214"/>
      <c r="BD117" s="214"/>
      <c r="BE117" s="214"/>
      <c r="BF117" s="214"/>
    </row>
    <row r="118" spans="1:58" ht="45" hidden="1" customHeight="1">
      <c r="B118" s="2277"/>
      <c r="C118" s="2259"/>
      <c r="D118" s="2260"/>
      <c r="E118" s="1908" t="s">
        <v>3682</v>
      </c>
      <c r="F118" s="1908" t="s">
        <v>3683</v>
      </c>
      <c r="G118" s="1908"/>
      <c r="H118" s="2278" t="s">
        <v>225</v>
      </c>
      <c r="I118" s="2259"/>
      <c r="J118" s="2260"/>
      <c r="K118" s="2278" t="s">
        <v>4038</v>
      </c>
      <c r="L118" s="2260"/>
      <c r="M118" s="1908" t="e">
        <f>VLOOKUP(K118,'Estimate Details'!$R:$BR,20,FALSE)</f>
        <v>#N/A</v>
      </c>
      <c r="N118" s="1908" t="e">
        <f>VLOOKUP(M118,#REF!,2,FALSE)</f>
        <v>#N/A</v>
      </c>
      <c r="O118" s="1908" t="s">
        <v>4033</v>
      </c>
      <c r="P118" s="2278" t="s">
        <v>4023</v>
      </c>
      <c r="Q118" s="2259"/>
      <c r="R118" s="2260"/>
      <c r="S118" s="1908" t="s">
        <v>4029</v>
      </c>
      <c r="T118" s="1908" t="s">
        <v>3689</v>
      </c>
      <c r="U118" s="1908" t="s">
        <v>3992</v>
      </c>
      <c r="V118" s="1908" t="s">
        <v>3810</v>
      </c>
      <c r="W118" s="1908" t="s">
        <v>3688</v>
      </c>
      <c r="X118" s="1908"/>
      <c r="Y118" s="1908"/>
      <c r="Z118" s="1908"/>
      <c r="AA118" s="1908" t="s">
        <v>3694</v>
      </c>
      <c r="AB118" s="1908" t="s">
        <v>3688</v>
      </c>
      <c r="AC118" s="1908" t="s">
        <v>4005</v>
      </c>
      <c r="AD118" s="2278" t="s">
        <v>3688</v>
      </c>
      <c r="AE118" s="2259"/>
      <c r="AF118" s="2260"/>
      <c r="AG118" s="2278" t="s">
        <v>3696</v>
      </c>
      <c r="AH118" s="2259"/>
      <c r="AI118" s="2260"/>
      <c r="AJ118" s="1908" t="s">
        <v>3996</v>
      </c>
      <c r="AK118" s="2278" t="s">
        <v>3997</v>
      </c>
      <c r="AL118" s="2259"/>
      <c r="AM118" s="2259"/>
      <c r="AN118" s="2259"/>
      <c r="AO118" s="2260"/>
      <c r="AP118" s="1908" t="s">
        <v>3699</v>
      </c>
      <c r="BC118" s="214"/>
      <c r="BD118" s="214"/>
      <c r="BE118" s="214"/>
      <c r="BF118" s="214"/>
    </row>
    <row r="119" spans="1:58" ht="45" hidden="1" customHeight="1">
      <c r="A119" s="808"/>
      <c r="B119" s="2280"/>
      <c r="C119" s="2281"/>
      <c r="D119" s="2282"/>
      <c r="E119" s="1909" t="s">
        <v>3682</v>
      </c>
      <c r="F119" s="1909" t="s">
        <v>3683</v>
      </c>
      <c r="G119" s="1909"/>
      <c r="H119" s="2283" t="s">
        <v>225</v>
      </c>
      <c r="I119" s="2281"/>
      <c r="J119" s="2282"/>
      <c r="K119" s="2283" t="s">
        <v>4039</v>
      </c>
      <c r="L119" s="2282"/>
      <c r="M119" s="1909" t="e">
        <f>VLOOKUP(K119,'Estimate Details'!$R:$BR,20,FALSE)</f>
        <v>#N/A</v>
      </c>
      <c r="N119" s="1909" t="e">
        <f>VLOOKUP(M119,#REF!,2,FALSE)</f>
        <v>#N/A</v>
      </c>
      <c r="O119" s="1909" t="s">
        <v>4040</v>
      </c>
      <c r="P119" s="2284" t="s">
        <v>3991</v>
      </c>
      <c r="Q119" s="2281"/>
      <c r="R119" s="2282"/>
      <c r="S119" s="1909" t="s">
        <v>3688</v>
      </c>
      <c r="T119" s="1909" t="s">
        <v>3689</v>
      </c>
      <c r="U119" s="1909" t="s">
        <v>3992</v>
      </c>
      <c r="V119" s="1909" t="s">
        <v>3810</v>
      </c>
      <c r="W119" s="1909" t="s">
        <v>3688</v>
      </c>
      <c r="X119" s="1909"/>
      <c r="Y119" s="1909"/>
      <c r="Z119" s="1909"/>
      <c r="AA119" s="1909" t="s">
        <v>3694</v>
      </c>
      <c r="AB119" s="1909" t="s">
        <v>4041</v>
      </c>
      <c r="AC119" s="1909" t="s">
        <v>3994</v>
      </c>
      <c r="AD119" s="2283" t="s">
        <v>4042</v>
      </c>
      <c r="AE119" s="2281"/>
      <c r="AF119" s="2282"/>
      <c r="AG119" s="2283" t="s">
        <v>3713</v>
      </c>
      <c r="AH119" s="2281"/>
      <c r="AI119" s="2282"/>
      <c r="AJ119" s="1909" t="s">
        <v>3996</v>
      </c>
      <c r="AK119" s="2283" t="s">
        <v>3997</v>
      </c>
      <c r="AL119" s="2281"/>
      <c r="AM119" s="2259"/>
      <c r="AN119" s="2281"/>
      <c r="AO119" s="2282"/>
      <c r="AP119" s="1909" t="s">
        <v>3699</v>
      </c>
      <c r="BC119" s="214"/>
      <c r="BD119" s="214"/>
      <c r="BE119" s="214"/>
      <c r="BF119" s="214"/>
    </row>
    <row r="120" spans="1:58" ht="45" hidden="1" customHeight="1">
      <c r="B120" s="2277"/>
      <c r="C120" s="2259"/>
      <c r="D120" s="2260"/>
      <c r="E120" s="1908" t="s">
        <v>3682</v>
      </c>
      <c r="F120" s="1908" t="s">
        <v>3683</v>
      </c>
      <c r="G120" s="1908"/>
      <c r="H120" s="2278" t="s">
        <v>225</v>
      </c>
      <c r="I120" s="2259"/>
      <c r="J120" s="2260"/>
      <c r="K120" s="2278" t="s">
        <v>4043</v>
      </c>
      <c r="L120" s="2260"/>
      <c r="M120" s="1908" t="e">
        <f>VLOOKUP(K120,'Estimate Details'!$R:$BR,20,FALSE)</f>
        <v>#N/A</v>
      </c>
      <c r="N120" s="1908" t="e">
        <f>VLOOKUP(M120,#REF!,2,FALSE)</f>
        <v>#N/A</v>
      </c>
      <c r="O120" s="1908" t="s">
        <v>4040</v>
      </c>
      <c r="P120" s="2278" t="s">
        <v>3991</v>
      </c>
      <c r="Q120" s="2259"/>
      <c r="R120" s="2260"/>
      <c r="S120" s="1908" t="s">
        <v>3688</v>
      </c>
      <c r="T120" s="1908" t="s">
        <v>3689</v>
      </c>
      <c r="U120" s="1908" t="s">
        <v>3992</v>
      </c>
      <c r="V120" s="1908" t="s">
        <v>3810</v>
      </c>
      <c r="W120" s="1908" t="s">
        <v>3688</v>
      </c>
      <c r="X120" s="1908"/>
      <c r="Y120" s="1908"/>
      <c r="Z120" s="1908"/>
      <c r="AA120" s="1908" t="s">
        <v>3694</v>
      </c>
      <c r="AB120" s="1908" t="s">
        <v>4041</v>
      </c>
      <c r="AC120" s="1908" t="s">
        <v>3994</v>
      </c>
      <c r="AD120" s="2278" t="s">
        <v>4042</v>
      </c>
      <c r="AE120" s="2259"/>
      <c r="AF120" s="2260"/>
      <c r="AG120" s="2278" t="s">
        <v>3713</v>
      </c>
      <c r="AH120" s="2259"/>
      <c r="AI120" s="2260"/>
      <c r="AJ120" s="1908" t="s">
        <v>3996</v>
      </c>
      <c r="AK120" s="2278" t="s">
        <v>3997</v>
      </c>
      <c r="AL120" s="2259"/>
      <c r="AM120" s="2259"/>
      <c r="AN120" s="2259"/>
      <c r="AO120" s="2260"/>
      <c r="AP120" s="1908" t="s">
        <v>3699</v>
      </c>
      <c r="BC120" s="214"/>
      <c r="BD120" s="214"/>
      <c r="BE120" s="214"/>
      <c r="BF120" s="214"/>
    </row>
    <row r="121" spans="1:58" ht="45" hidden="1" customHeight="1">
      <c r="A121" s="808"/>
      <c r="B121" s="2280"/>
      <c r="C121" s="2281"/>
      <c r="D121" s="2282"/>
      <c r="E121" s="1909" t="s">
        <v>3682</v>
      </c>
      <c r="F121" s="1909" t="s">
        <v>3683</v>
      </c>
      <c r="G121" s="1909"/>
      <c r="H121" s="2283" t="s">
        <v>225</v>
      </c>
      <c r="I121" s="2281"/>
      <c r="J121" s="2282"/>
      <c r="K121" s="2283" t="s">
        <v>4044</v>
      </c>
      <c r="L121" s="2282"/>
      <c r="M121" s="1909" t="e">
        <f>VLOOKUP(K121,'Estimate Details'!$R:$BR,20,FALSE)</f>
        <v>#N/A</v>
      </c>
      <c r="N121" s="1909" t="e">
        <f>VLOOKUP(M121,#REF!,2,FALSE)</f>
        <v>#N/A</v>
      </c>
      <c r="O121" s="1909" t="s">
        <v>4040</v>
      </c>
      <c r="P121" s="2284" t="s">
        <v>3991</v>
      </c>
      <c r="Q121" s="2281"/>
      <c r="R121" s="2282"/>
      <c r="S121" s="1909" t="s">
        <v>3688</v>
      </c>
      <c r="T121" s="1909" t="s">
        <v>3689</v>
      </c>
      <c r="U121" s="1909" t="s">
        <v>3992</v>
      </c>
      <c r="V121" s="1909" t="s">
        <v>3810</v>
      </c>
      <c r="W121" s="1909" t="s">
        <v>3688</v>
      </c>
      <c r="X121" s="1909"/>
      <c r="Y121" s="1909"/>
      <c r="Z121" s="1909"/>
      <c r="AA121" s="1909" t="s">
        <v>3694</v>
      </c>
      <c r="AB121" s="1909" t="s">
        <v>4041</v>
      </c>
      <c r="AC121" s="1909" t="s">
        <v>3994</v>
      </c>
      <c r="AD121" s="2283" t="s">
        <v>4042</v>
      </c>
      <c r="AE121" s="2281"/>
      <c r="AF121" s="2282"/>
      <c r="AG121" s="2283" t="s">
        <v>3713</v>
      </c>
      <c r="AH121" s="2281"/>
      <c r="AI121" s="2282"/>
      <c r="AJ121" s="1909" t="s">
        <v>3996</v>
      </c>
      <c r="AK121" s="2283" t="s">
        <v>3997</v>
      </c>
      <c r="AL121" s="2281"/>
      <c r="AM121" s="2259"/>
      <c r="AN121" s="2281"/>
      <c r="AO121" s="2282"/>
      <c r="AP121" s="1909" t="s">
        <v>3699</v>
      </c>
      <c r="BC121" s="214"/>
      <c r="BD121" s="214"/>
      <c r="BE121" s="214"/>
      <c r="BF121" s="214"/>
    </row>
    <row r="122" spans="1:58" ht="45" hidden="1" customHeight="1">
      <c r="B122" s="2277"/>
      <c r="C122" s="2259"/>
      <c r="D122" s="2260"/>
      <c r="E122" s="1908" t="s">
        <v>3682</v>
      </c>
      <c r="F122" s="1908" t="s">
        <v>3683</v>
      </c>
      <c r="G122" s="1908"/>
      <c r="H122" s="2278" t="s">
        <v>225</v>
      </c>
      <c r="I122" s="2259"/>
      <c r="J122" s="2260"/>
      <c r="K122" s="2278" t="s">
        <v>3645</v>
      </c>
      <c r="L122" s="2260"/>
      <c r="M122" s="1908" t="e">
        <f>VLOOKUP(K122,'Estimate Details'!$R:$BR,20,FALSE)</f>
        <v>#N/A</v>
      </c>
      <c r="N122" s="1908" t="e">
        <f>VLOOKUP(M122,#REF!,2,FALSE)</f>
        <v>#N/A</v>
      </c>
      <c r="O122" s="1908" t="s">
        <v>4045</v>
      </c>
      <c r="P122" s="2278" t="s">
        <v>4046</v>
      </c>
      <c r="Q122" s="2259"/>
      <c r="R122" s="2260"/>
      <c r="S122" s="1908" t="s">
        <v>3688</v>
      </c>
      <c r="T122" s="1908" t="s">
        <v>3689</v>
      </c>
      <c r="U122" s="1908" t="s">
        <v>3992</v>
      </c>
      <c r="V122" s="1908" t="s">
        <v>3810</v>
      </c>
      <c r="W122" s="1908" t="s">
        <v>3688</v>
      </c>
      <c r="X122" s="1908"/>
      <c r="Y122" s="1908"/>
      <c r="Z122" s="1908"/>
      <c r="AA122" s="1908" t="s">
        <v>3694</v>
      </c>
      <c r="AB122" s="1908" t="s">
        <v>3688</v>
      </c>
      <c r="AC122" s="1908" t="s">
        <v>3696</v>
      </c>
      <c r="AD122" s="2278" t="s">
        <v>3688</v>
      </c>
      <c r="AE122" s="2259"/>
      <c r="AF122" s="2260"/>
      <c r="AG122" s="2278" t="s">
        <v>3713</v>
      </c>
      <c r="AH122" s="2259"/>
      <c r="AI122" s="2260"/>
      <c r="AJ122" s="1908" t="s">
        <v>4015</v>
      </c>
      <c r="AK122" s="2278" t="s">
        <v>4016</v>
      </c>
      <c r="AL122" s="2259"/>
      <c r="AM122" s="2259"/>
      <c r="AN122" s="2259"/>
      <c r="AO122" s="2260"/>
      <c r="AP122" s="1908" t="s">
        <v>3716</v>
      </c>
      <c r="BC122" s="214"/>
      <c r="BD122" s="214"/>
      <c r="BE122" s="214"/>
      <c r="BF122" s="214"/>
    </row>
    <row r="123" spans="1:58" ht="45" hidden="1" customHeight="1">
      <c r="A123" s="808"/>
      <c r="B123" s="2280"/>
      <c r="C123" s="2281"/>
      <c r="D123" s="2282"/>
      <c r="E123" s="1909" t="s">
        <v>3682</v>
      </c>
      <c r="F123" s="1909" t="s">
        <v>3683</v>
      </c>
      <c r="G123" s="1909"/>
      <c r="H123" s="2283" t="s">
        <v>225</v>
      </c>
      <c r="I123" s="2281"/>
      <c r="J123" s="2282"/>
      <c r="K123" s="2283" t="s">
        <v>4047</v>
      </c>
      <c r="L123" s="2282"/>
      <c r="M123" s="1909" t="e">
        <f>VLOOKUP(K123,'Estimate Details'!$R:$BR,20,FALSE)</f>
        <v>#N/A</v>
      </c>
      <c r="N123" s="1909" t="e">
        <f>VLOOKUP(M123,#REF!,2,FALSE)</f>
        <v>#N/A</v>
      </c>
      <c r="O123" s="1909" t="s">
        <v>4048</v>
      </c>
      <c r="P123" s="2284" t="s">
        <v>4049</v>
      </c>
      <c r="Q123" s="2281"/>
      <c r="R123" s="2282"/>
      <c r="S123" s="1909" t="s">
        <v>3688</v>
      </c>
      <c r="T123" s="1909" t="s">
        <v>3689</v>
      </c>
      <c r="U123" s="1909" t="s">
        <v>3992</v>
      </c>
      <c r="V123" s="1909" t="s">
        <v>3810</v>
      </c>
      <c r="W123" s="1909" t="s">
        <v>3688</v>
      </c>
      <c r="X123" s="1909" t="s">
        <v>4050</v>
      </c>
      <c r="Y123" s="1909"/>
      <c r="Z123" s="1909"/>
      <c r="AA123" s="1909" t="s">
        <v>3694</v>
      </c>
      <c r="AB123" s="1909" t="s">
        <v>1</v>
      </c>
      <c r="AC123" s="1909" t="s">
        <v>4051</v>
      </c>
      <c r="AD123" s="2283" t="s">
        <v>4052</v>
      </c>
      <c r="AE123" s="2281"/>
      <c r="AF123" s="2282"/>
      <c r="AG123" s="2283" t="s">
        <v>3713</v>
      </c>
      <c r="AH123" s="2281"/>
      <c r="AI123" s="2282"/>
      <c r="AJ123" s="1909" t="s">
        <v>4015</v>
      </c>
      <c r="AK123" s="2283" t="s">
        <v>4016</v>
      </c>
      <c r="AL123" s="2281"/>
      <c r="AM123" s="2259"/>
      <c r="AN123" s="2281"/>
      <c r="AO123" s="2282"/>
      <c r="AP123" s="1909" t="s">
        <v>3716</v>
      </c>
      <c r="BC123" s="214"/>
      <c r="BD123" s="214"/>
      <c r="BE123" s="214"/>
      <c r="BF123" s="214"/>
    </row>
    <row r="124" spans="1:58" ht="45" hidden="1" customHeight="1">
      <c r="B124" s="2277"/>
      <c r="C124" s="2259"/>
      <c r="D124" s="2260"/>
      <c r="E124" s="1908" t="s">
        <v>3682</v>
      </c>
      <c r="F124" s="1908" t="s">
        <v>3683</v>
      </c>
      <c r="G124" s="1908"/>
      <c r="H124" s="2278" t="s">
        <v>225</v>
      </c>
      <c r="I124" s="2259"/>
      <c r="J124" s="2260"/>
      <c r="K124" s="2278" t="s">
        <v>4053</v>
      </c>
      <c r="L124" s="2260"/>
      <c r="M124" s="1908" t="e">
        <f>VLOOKUP(K124,'Estimate Details'!$R:$BR,20,FALSE)</f>
        <v>#N/A</v>
      </c>
      <c r="N124" s="1908" t="e">
        <f>VLOOKUP(M124,#REF!,2,FALSE)</f>
        <v>#N/A</v>
      </c>
      <c r="O124" s="1908" t="s">
        <v>4054</v>
      </c>
      <c r="P124" s="2278" t="s">
        <v>4055</v>
      </c>
      <c r="Q124" s="2259"/>
      <c r="R124" s="2260"/>
      <c r="S124" s="1908" t="s">
        <v>3688</v>
      </c>
      <c r="T124" s="1908" t="s">
        <v>3689</v>
      </c>
      <c r="U124" s="1908" t="s">
        <v>3992</v>
      </c>
      <c r="V124" s="1908" t="s">
        <v>3810</v>
      </c>
      <c r="W124" s="1908" t="s">
        <v>3688</v>
      </c>
      <c r="X124" s="1908"/>
      <c r="Y124" s="1908"/>
      <c r="Z124" s="1908"/>
      <c r="AA124" s="1908" t="s">
        <v>3694</v>
      </c>
      <c r="AB124" s="1908" t="s">
        <v>4013</v>
      </c>
      <c r="AC124" s="1908" t="s">
        <v>3804</v>
      </c>
      <c r="AD124" s="2278" t="s">
        <v>4014</v>
      </c>
      <c r="AE124" s="2259"/>
      <c r="AF124" s="2260"/>
      <c r="AG124" s="2278" t="s">
        <v>3713</v>
      </c>
      <c r="AH124" s="2259"/>
      <c r="AI124" s="2260"/>
      <c r="AJ124" s="1908" t="s">
        <v>4015</v>
      </c>
      <c r="AK124" s="2278" t="s">
        <v>4016</v>
      </c>
      <c r="AL124" s="2259"/>
      <c r="AM124" s="2259"/>
      <c r="AN124" s="2259"/>
      <c r="AO124" s="2260"/>
      <c r="AP124" s="1908" t="s">
        <v>3716</v>
      </c>
      <c r="BC124" s="214"/>
      <c r="BD124" s="214"/>
      <c r="BE124" s="214"/>
      <c r="BF124" s="214"/>
    </row>
    <row r="125" spans="1:58" ht="45" hidden="1" customHeight="1">
      <c r="A125" s="808"/>
      <c r="B125" s="2280"/>
      <c r="C125" s="2281"/>
      <c r="D125" s="2282"/>
      <c r="E125" s="1909" t="s">
        <v>3682</v>
      </c>
      <c r="F125" s="1909" t="s">
        <v>3683</v>
      </c>
      <c r="G125" s="1909"/>
      <c r="H125" s="2283" t="s">
        <v>280</v>
      </c>
      <c r="I125" s="2281"/>
      <c r="J125" s="2282"/>
      <c r="K125" s="2283" t="s">
        <v>284</v>
      </c>
      <c r="L125" s="2282"/>
      <c r="M125" s="1909">
        <f>VLOOKUP(K125,'Estimate Details'!$R:$BR,20,FALSE)</f>
        <v>0</v>
      </c>
      <c r="N125" s="1909" t="e">
        <f>VLOOKUP(M125,#REF!,2,FALSE)</f>
        <v>#REF!</v>
      </c>
      <c r="O125" s="1909" t="s">
        <v>4056</v>
      </c>
      <c r="P125" s="2284" t="s">
        <v>4012</v>
      </c>
      <c r="Q125" s="2281"/>
      <c r="R125" s="2282"/>
      <c r="S125" s="1909" t="s">
        <v>3688</v>
      </c>
      <c r="T125" s="1909" t="s">
        <v>3689</v>
      </c>
      <c r="U125" s="1909" t="s">
        <v>3992</v>
      </c>
      <c r="V125" s="1909" t="s">
        <v>3810</v>
      </c>
      <c r="W125" s="1909" t="s">
        <v>3688</v>
      </c>
      <c r="X125" s="1909"/>
      <c r="Y125" s="1909"/>
      <c r="Z125" s="1909"/>
      <c r="AA125" s="1909" t="s">
        <v>3694</v>
      </c>
      <c r="AB125" s="1909" t="s">
        <v>4013</v>
      </c>
      <c r="AC125" s="1909" t="s">
        <v>3696</v>
      </c>
      <c r="AD125" s="2283" t="s">
        <v>4014</v>
      </c>
      <c r="AE125" s="2281"/>
      <c r="AF125" s="2282"/>
      <c r="AG125" s="2283" t="s">
        <v>4057</v>
      </c>
      <c r="AH125" s="2281"/>
      <c r="AI125" s="2282"/>
      <c r="AJ125" s="1909" t="s">
        <v>4015</v>
      </c>
      <c r="AK125" s="2283" t="s">
        <v>4016</v>
      </c>
      <c r="AL125" s="2281"/>
      <c r="AM125" s="2259"/>
      <c r="AN125" s="2281"/>
      <c r="AO125" s="2282"/>
      <c r="AP125" s="1909" t="s">
        <v>3716</v>
      </c>
      <c r="BC125" s="214"/>
      <c r="BD125" s="214"/>
      <c r="BE125" s="214"/>
      <c r="BF125" s="214"/>
    </row>
    <row r="126" spans="1:58" ht="45" hidden="1" customHeight="1">
      <c r="B126" s="2277"/>
      <c r="C126" s="2259"/>
      <c r="D126" s="2260"/>
      <c r="E126" s="1908" t="s">
        <v>3682</v>
      </c>
      <c r="F126" s="1908" t="s">
        <v>3683</v>
      </c>
      <c r="G126" s="1908"/>
      <c r="H126" s="2278" t="s">
        <v>280</v>
      </c>
      <c r="I126" s="2259"/>
      <c r="J126" s="2260"/>
      <c r="K126" s="2278" t="s">
        <v>287</v>
      </c>
      <c r="L126" s="2260"/>
      <c r="M126" s="1908">
        <f>VLOOKUP(K126,'Estimate Details'!$R:$BR,20,FALSE)</f>
        <v>0</v>
      </c>
      <c r="N126" s="1908" t="e">
        <f>VLOOKUP(M126,#REF!,2,FALSE)</f>
        <v>#REF!</v>
      </c>
      <c r="O126" s="1908" t="s">
        <v>4058</v>
      </c>
      <c r="P126" s="2278" t="s">
        <v>4012</v>
      </c>
      <c r="Q126" s="2259"/>
      <c r="R126" s="2260"/>
      <c r="S126" s="1908" t="s">
        <v>3688</v>
      </c>
      <c r="T126" s="1908" t="s">
        <v>3689</v>
      </c>
      <c r="U126" s="1908" t="s">
        <v>3992</v>
      </c>
      <c r="V126" s="1908" t="s">
        <v>3810</v>
      </c>
      <c r="W126" s="1908" t="s">
        <v>3688</v>
      </c>
      <c r="X126" s="1908"/>
      <c r="Y126" s="1908"/>
      <c r="Z126" s="1908"/>
      <c r="AA126" s="1908" t="s">
        <v>3694</v>
      </c>
      <c r="AB126" s="1908" t="s">
        <v>4059</v>
      </c>
      <c r="AC126" s="1908" t="s">
        <v>3696</v>
      </c>
      <c r="AD126" s="2278" t="s">
        <v>4060</v>
      </c>
      <c r="AE126" s="2259"/>
      <c r="AF126" s="2260"/>
      <c r="AG126" s="2278" t="s">
        <v>4057</v>
      </c>
      <c r="AH126" s="2259"/>
      <c r="AI126" s="2260"/>
      <c r="AJ126" s="1908" t="s">
        <v>4015</v>
      </c>
      <c r="AK126" s="2278" t="s">
        <v>4016</v>
      </c>
      <c r="AL126" s="2259"/>
      <c r="AM126" s="2259"/>
      <c r="AN126" s="2259"/>
      <c r="AO126" s="2260"/>
      <c r="AP126" s="1908" t="s">
        <v>3716</v>
      </c>
      <c r="BC126" s="214"/>
      <c r="BD126" s="214"/>
      <c r="BE126" s="214"/>
      <c r="BF126" s="214"/>
    </row>
    <row r="127" spans="1:58" ht="45" hidden="1" customHeight="1">
      <c r="A127" s="808"/>
      <c r="B127" s="2280"/>
      <c r="C127" s="2281"/>
      <c r="D127" s="2282"/>
      <c r="E127" s="1909" t="s">
        <v>3682</v>
      </c>
      <c r="F127" s="1909" t="s">
        <v>3683</v>
      </c>
      <c r="G127" s="1909"/>
      <c r="H127" s="2283" t="s">
        <v>280</v>
      </c>
      <c r="I127" s="2281"/>
      <c r="J127" s="2282"/>
      <c r="K127" s="2283" t="s">
        <v>289</v>
      </c>
      <c r="L127" s="2282"/>
      <c r="M127" s="1909">
        <f>VLOOKUP(K127,'Estimate Details'!$R:$BR,20,FALSE)</f>
        <v>0</v>
      </c>
      <c r="N127" s="1909" t="e">
        <f>VLOOKUP(M127,#REF!,2,FALSE)</f>
        <v>#REF!</v>
      </c>
      <c r="O127" s="1909" t="s">
        <v>4058</v>
      </c>
      <c r="P127" s="2284" t="s">
        <v>4012</v>
      </c>
      <c r="Q127" s="2281"/>
      <c r="R127" s="2282"/>
      <c r="S127" s="1909" t="s">
        <v>3688</v>
      </c>
      <c r="T127" s="1909" t="s">
        <v>3689</v>
      </c>
      <c r="U127" s="1909" t="s">
        <v>3992</v>
      </c>
      <c r="V127" s="1909" t="s">
        <v>3810</v>
      </c>
      <c r="W127" s="1909" t="s">
        <v>3688</v>
      </c>
      <c r="X127" s="1909"/>
      <c r="Y127" s="1909"/>
      <c r="Z127" s="1909"/>
      <c r="AA127" s="1909" t="s">
        <v>3694</v>
      </c>
      <c r="AB127" s="1909" t="s">
        <v>4059</v>
      </c>
      <c r="AC127" s="1909" t="s">
        <v>3696</v>
      </c>
      <c r="AD127" s="2283" t="s">
        <v>4060</v>
      </c>
      <c r="AE127" s="2281"/>
      <c r="AF127" s="2282"/>
      <c r="AG127" s="2283" t="s">
        <v>4057</v>
      </c>
      <c r="AH127" s="2281"/>
      <c r="AI127" s="2282"/>
      <c r="AJ127" s="1909" t="s">
        <v>4015</v>
      </c>
      <c r="AK127" s="2283" t="s">
        <v>4016</v>
      </c>
      <c r="AL127" s="2281"/>
      <c r="AM127" s="2259"/>
      <c r="AN127" s="2281"/>
      <c r="AO127" s="2282"/>
      <c r="AP127" s="1909" t="s">
        <v>3716</v>
      </c>
      <c r="BC127" s="214"/>
      <c r="BD127" s="214"/>
      <c r="BE127" s="214"/>
      <c r="BF127" s="214"/>
    </row>
    <row r="128" spans="1:58" ht="45" hidden="1" customHeight="1">
      <c r="B128" s="2277"/>
      <c r="C128" s="2259"/>
      <c r="D128" s="2260"/>
      <c r="E128" s="1908" t="s">
        <v>3682</v>
      </c>
      <c r="F128" s="1908" t="s">
        <v>3683</v>
      </c>
      <c r="G128" s="1908"/>
      <c r="H128" s="2278" t="s">
        <v>280</v>
      </c>
      <c r="I128" s="2259"/>
      <c r="J128" s="2260"/>
      <c r="K128" s="2278" t="s">
        <v>292</v>
      </c>
      <c r="L128" s="2260"/>
      <c r="M128" s="1908">
        <f>VLOOKUP(K128,'Estimate Details'!$R:$BR,20,FALSE)</f>
        <v>0</v>
      </c>
      <c r="N128" s="1908" t="e">
        <f>VLOOKUP(M128,#REF!,2,FALSE)</f>
        <v>#REF!</v>
      </c>
      <c r="O128" s="1908" t="s">
        <v>4061</v>
      </c>
      <c r="P128" s="2278" t="s">
        <v>4012</v>
      </c>
      <c r="Q128" s="2259"/>
      <c r="R128" s="2260"/>
      <c r="S128" s="1908" t="s">
        <v>3688</v>
      </c>
      <c r="T128" s="1908" t="s">
        <v>3689</v>
      </c>
      <c r="U128" s="1908" t="s">
        <v>3992</v>
      </c>
      <c r="V128" s="1908" t="s">
        <v>3810</v>
      </c>
      <c r="W128" s="1908" t="s">
        <v>3688</v>
      </c>
      <c r="X128" s="1908"/>
      <c r="Y128" s="1908"/>
      <c r="Z128" s="1908"/>
      <c r="AA128" s="1908" t="s">
        <v>3694</v>
      </c>
      <c r="AB128" s="1908" t="s">
        <v>4059</v>
      </c>
      <c r="AC128" s="1908" t="s">
        <v>3696</v>
      </c>
      <c r="AD128" s="2278" t="s">
        <v>4060</v>
      </c>
      <c r="AE128" s="2259"/>
      <c r="AF128" s="2260"/>
      <c r="AG128" s="2278" t="s">
        <v>4057</v>
      </c>
      <c r="AH128" s="2259"/>
      <c r="AI128" s="2260"/>
      <c r="AJ128" s="1908" t="s">
        <v>4015</v>
      </c>
      <c r="AK128" s="2278" t="s">
        <v>4016</v>
      </c>
      <c r="AL128" s="2259"/>
      <c r="AM128" s="2259"/>
      <c r="AN128" s="2259"/>
      <c r="AO128" s="2260"/>
      <c r="AP128" s="1908" t="s">
        <v>3716</v>
      </c>
      <c r="BC128" s="214"/>
      <c r="BD128" s="214"/>
      <c r="BE128" s="214"/>
      <c r="BF128" s="214"/>
    </row>
    <row r="129" spans="1:58" ht="45" hidden="1" customHeight="1">
      <c r="A129" s="808"/>
      <c r="B129" s="2280"/>
      <c r="C129" s="2281"/>
      <c r="D129" s="2282"/>
      <c r="E129" s="1909" t="s">
        <v>3682</v>
      </c>
      <c r="F129" s="1909" t="s">
        <v>3683</v>
      </c>
      <c r="G129" s="1909"/>
      <c r="H129" s="2283" t="s">
        <v>280</v>
      </c>
      <c r="I129" s="2281"/>
      <c r="J129" s="2282"/>
      <c r="K129" s="2283" t="s">
        <v>295</v>
      </c>
      <c r="L129" s="2282"/>
      <c r="M129" s="1909">
        <f>VLOOKUP(K129,'Estimate Details'!$R:$BR,20,FALSE)</f>
        <v>0</v>
      </c>
      <c r="N129" s="1909" t="e">
        <f>VLOOKUP(M129,#REF!,2,FALSE)</f>
        <v>#REF!</v>
      </c>
      <c r="O129" s="1909" t="s">
        <v>4062</v>
      </c>
      <c r="P129" s="2284" t="s">
        <v>4012</v>
      </c>
      <c r="Q129" s="2281"/>
      <c r="R129" s="2282"/>
      <c r="S129" s="1909" t="s">
        <v>3688</v>
      </c>
      <c r="T129" s="1909" t="s">
        <v>3689</v>
      </c>
      <c r="U129" s="1909" t="s">
        <v>3992</v>
      </c>
      <c r="V129" s="1909" t="s">
        <v>3810</v>
      </c>
      <c r="W129" s="1909" t="s">
        <v>3688</v>
      </c>
      <c r="X129" s="1909"/>
      <c r="Y129" s="1909"/>
      <c r="Z129" s="1909"/>
      <c r="AA129" s="1909" t="s">
        <v>3694</v>
      </c>
      <c r="AB129" s="1909" t="s">
        <v>4059</v>
      </c>
      <c r="AC129" s="1909" t="s">
        <v>3696</v>
      </c>
      <c r="AD129" s="2283" t="s">
        <v>4060</v>
      </c>
      <c r="AE129" s="2281"/>
      <c r="AF129" s="2282"/>
      <c r="AG129" s="2283" t="s">
        <v>4057</v>
      </c>
      <c r="AH129" s="2281"/>
      <c r="AI129" s="2282"/>
      <c r="AJ129" s="1909" t="s">
        <v>4015</v>
      </c>
      <c r="AK129" s="2283" t="s">
        <v>4016</v>
      </c>
      <c r="AL129" s="2281"/>
      <c r="AM129" s="2259"/>
      <c r="AN129" s="2281"/>
      <c r="AO129" s="2282"/>
      <c r="AP129" s="1909" t="s">
        <v>3716</v>
      </c>
      <c r="BC129" s="214"/>
      <c r="BD129" s="214"/>
      <c r="BE129" s="214"/>
      <c r="BF129" s="214"/>
    </row>
    <row r="130" spans="1:58" ht="45" hidden="1" customHeight="1">
      <c r="B130" s="2277"/>
      <c r="C130" s="2259"/>
      <c r="D130" s="2260"/>
      <c r="E130" s="1908" t="s">
        <v>3682</v>
      </c>
      <c r="F130" s="1908" t="s">
        <v>3683</v>
      </c>
      <c r="G130" s="1908"/>
      <c r="H130" s="2278" t="s">
        <v>280</v>
      </c>
      <c r="I130" s="2259"/>
      <c r="J130" s="2260"/>
      <c r="K130" s="2278" t="s">
        <v>297</v>
      </c>
      <c r="L130" s="2260"/>
      <c r="M130" s="1908">
        <f>VLOOKUP(K130,'Estimate Details'!$R:$BR,20,FALSE)</f>
        <v>0</v>
      </c>
      <c r="N130" s="1908" t="e">
        <f>VLOOKUP(M130,#REF!,2,FALSE)</f>
        <v>#REF!</v>
      </c>
      <c r="O130" s="1908" t="s">
        <v>4061</v>
      </c>
      <c r="P130" s="2278" t="s">
        <v>4012</v>
      </c>
      <c r="Q130" s="2259"/>
      <c r="R130" s="2260"/>
      <c r="S130" s="1908" t="s">
        <v>3688</v>
      </c>
      <c r="T130" s="1908" t="s">
        <v>3689</v>
      </c>
      <c r="U130" s="1908" t="s">
        <v>3992</v>
      </c>
      <c r="V130" s="1908" t="s">
        <v>3810</v>
      </c>
      <c r="W130" s="1908" t="s">
        <v>3688</v>
      </c>
      <c r="X130" s="1908"/>
      <c r="Y130" s="1908"/>
      <c r="Z130" s="1908"/>
      <c r="AA130" s="1908" t="s">
        <v>3694</v>
      </c>
      <c r="AB130" s="1908" t="s">
        <v>4059</v>
      </c>
      <c r="AC130" s="1908" t="s">
        <v>3696</v>
      </c>
      <c r="AD130" s="2278" t="s">
        <v>4060</v>
      </c>
      <c r="AE130" s="2259"/>
      <c r="AF130" s="2260"/>
      <c r="AG130" s="2278" t="s">
        <v>4057</v>
      </c>
      <c r="AH130" s="2259"/>
      <c r="AI130" s="2260"/>
      <c r="AJ130" s="1908" t="s">
        <v>4015</v>
      </c>
      <c r="AK130" s="2278" t="s">
        <v>4016</v>
      </c>
      <c r="AL130" s="2259"/>
      <c r="AM130" s="2259"/>
      <c r="AN130" s="2259"/>
      <c r="AO130" s="2260"/>
      <c r="AP130" s="1908" t="s">
        <v>3716</v>
      </c>
      <c r="BC130" s="214"/>
      <c r="BD130" s="214"/>
      <c r="BE130" s="214"/>
      <c r="BF130" s="214"/>
    </row>
    <row r="131" spans="1:58" ht="49.5" hidden="1" customHeight="1">
      <c r="A131" s="808"/>
      <c r="B131" s="2280"/>
      <c r="C131" s="2281"/>
      <c r="D131" s="2282"/>
      <c r="E131" s="1909" t="s">
        <v>3682</v>
      </c>
      <c r="F131" s="1909" t="s">
        <v>3683</v>
      </c>
      <c r="G131" s="1909"/>
      <c r="H131" s="2283" t="s">
        <v>280</v>
      </c>
      <c r="I131" s="2281"/>
      <c r="J131" s="2282"/>
      <c r="K131" s="2283" t="s">
        <v>300</v>
      </c>
      <c r="L131" s="2282"/>
      <c r="M131" s="1909">
        <f>VLOOKUP(K131,'Estimate Details'!$R:$BR,20,FALSE)</f>
        <v>0</v>
      </c>
      <c r="N131" s="1909" t="e">
        <f>VLOOKUP(M131,#REF!,2,FALSE)</f>
        <v>#REF!</v>
      </c>
      <c r="O131" s="1909" t="s">
        <v>4063</v>
      </c>
      <c r="P131" s="2284" t="s">
        <v>4023</v>
      </c>
      <c r="Q131" s="2281"/>
      <c r="R131" s="2282"/>
      <c r="S131" s="1909" t="s">
        <v>3688</v>
      </c>
      <c r="T131" s="1909" t="s">
        <v>3689</v>
      </c>
      <c r="U131" s="1909" t="s">
        <v>3992</v>
      </c>
      <c r="V131" s="1909" t="s">
        <v>3810</v>
      </c>
      <c r="W131" s="1909" t="s">
        <v>3688</v>
      </c>
      <c r="X131" s="1909"/>
      <c r="Y131" s="1909" t="s">
        <v>4064</v>
      </c>
      <c r="Z131" s="1909"/>
      <c r="AA131" s="1909" t="s">
        <v>3694</v>
      </c>
      <c r="AB131" s="1909" t="s">
        <v>4059</v>
      </c>
      <c r="AC131" s="1909" t="s">
        <v>4065</v>
      </c>
      <c r="AD131" s="2283" t="s">
        <v>4066</v>
      </c>
      <c r="AE131" s="2281"/>
      <c r="AF131" s="2282"/>
      <c r="AG131" s="2283" t="s">
        <v>4057</v>
      </c>
      <c r="AH131" s="2281"/>
      <c r="AI131" s="2282"/>
      <c r="AJ131" s="1909" t="s">
        <v>4015</v>
      </c>
      <c r="AK131" s="2283" t="s">
        <v>4016</v>
      </c>
      <c r="AL131" s="2281"/>
      <c r="AM131" s="2259"/>
      <c r="AN131" s="2281"/>
      <c r="AO131" s="2282"/>
      <c r="AP131" s="1909" t="s">
        <v>3716</v>
      </c>
      <c r="BC131" s="214"/>
      <c r="BD131" s="214"/>
      <c r="BE131" s="214"/>
      <c r="BF131" s="214"/>
    </row>
    <row r="132" spans="1:58" ht="45" hidden="1" customHeight="1">
      <c r="B132" s="2277"/>
      <c r="C132" s="2259"/>
      <c r="D132" s="2260"/>
      <c r="E132" s="1908" t="s">
        <v>3682</v>
      </c>
      <c r="F132" s="1910" t="s">
        <v>3688</v>
      </c>
      <c r="G132" s="1910"/>
      <c r="H132" s="2285" t="s">
        <v>280</v>
      </c>
      <c r="I132" s="2259"/>
      <c r="J132" s="2260"/>
      <c r="K132" s="2285" t="s">
        <v>303</v>
      </c>
      <c r="L132" s="2260"/>
      <c r="M132" s="1910">
        <f>VLOOKUP(K132,'Estimate Details'!$R:$BR,20,FALSE)</f>
        <v>0</v>
      </c>
      <c r="N132" s="1910" t="e">
        <f>VLOOKUP(M132,#REF!,2,FALSE)</f>
        <v>#REF!</v>
      </c>
      <c r="O132" s="1910" t="s">
        <v>4067</v>
      </c>
      <c r="P132" s="2285" t="s">
        <v>3688</v>
      </c>
      <c r="Q132" s="2259"/>
      <c r="R132" s="2260"/>
      <c r="S132" s="1910" t="s">
        <v>4068</v>
      </c>
      <c r="T132" s="1910" t="s">
        <v>3689</v>
      </c>
      <c r="U132" s="1910" t="s">
        <v>3688</v>
      </c>
      <c r="V132" s="1910" t="s">
        <v>3688</v>
      </c>
      <c r="W132" s="1910" t="s">
        <v>3688</v>
      </c>
      <c r="X132" s="1910"/>
      <c r="Y132" s="1910"/>
      <c r="Z132" s="1910"/>
      <c r="AA132" s="1910" t="s">
        <v>3694</v>
      </c>
      <c r="AB132" s="1910" t="s">
        <v>3688</v>
      </c>
      <c r="AC132" s="1910" t="s">
        <v>4069</v>
      </c>
      <c r="AD132" s="2285" t="s">
        <v>3688</v>
      </c>
      <c r="AE132" s="2259"/>
      <c r="AF132" s="2260"/>
      <c r="AG132" s="2285" t="s">
        <v>3696</v>
      </c>
      <c r="AH132" s="2259"/>
      <c r="AI132" s="2260"/>
      <c r="AJ132" s="1910" t="s">
        <v>4031</v>
      </c>
      <c r="AK132" s="2285" t="s">
        <v>3688</v>
      </c>
      <c r="AL132" s="2259"/>
      <c r="AM132" s="2259"/>
      <c r="AN132" s="2259"/>
      <c r="AO132" s="2260"/>
      <c r="AP132" s="1910" t="s">
        <v>3688</v>
      </c>
      <c r="BC132" s="214"/>
      <c r="BD132" s="214"/>
      <c r="BE132" s="214"/>
      <c r="BF132" s="214"/>
    </row>
    <row r="133" spans="1:58" ht="45" hidden="1" customHeight="1">
      <c r="A133" s="808"/>
      <c r="B133" s="2280"/>
      <c r="C133" s="2281"/>
      <c r="D133" s="2282"/>
      <c r="E133" s="1909" t="s">
        <v>3682</v>
      </c>
      <c r="F133" s="1911" t="s">
        <v>3688</v>
      </c>
      <c r="G133" s="1911"/>
      <c r="H133" s="2286" t="s">
        <v>280</v>
      </c>
      <c r="I133" s="2281"/>
      <c r="J133" s="2282"/>
      <c r="K133" s="2286" t="s">
        <v>306</v>
      </c>
      <c r="L133" s="2282"/>
      <c r="M133" s="1911">
        <f>VLOOKUP(K133,'Estimate Details'!$R:$BR,20,FALSE)</f>
        <v>0</v>
      </c>
      <c r="N133" s="1911" t="e">
        <f>VLOOKUP(M133,#REF!,2,FALSE)</f>
        <v>#REF!</v>
      </c>
      <c r="O133" s="1911" t="s">
        <v>4070</v>
      </c>
      <c r="P133" s="2287" t="s">
        <v>3688</v>
      </c>
      <c r="Q133" s="2281"/>
      <c r="R133" s="2282"/>
      <c r="S133" s="1911" t="s">
        <v>4068</v>
      </c>
      <c r="T133" s="1911" t="s">
        <v>3689</v>
      </c>
      <c r="U133" s="1911" t="s">
        <v>3688</v>
      </c>
      <c r="V133" s="1911" t="s">
        <v>3688</v>
      </c>
      <c r="W133" s="1911" t="s">
        <v>3688</v>
      </c>
      <c r="X133" s="1911"/>
      <c r="Y133" s="1911"/>
      <c r="Z133" s="1911"/>
      <c r="AA133" s="1911" t="s">
        <v>3694</v>
      </c>
      <c r="AB133" s="1911" t="s">
        <v>3688</v>
      </c>
      <c r="AC133" s="1911" t="s">
        <v>4071</v>
      </c>
      <c r="AD133" s="2286" t="s">
        <v>3688</v>
      </c>
      <c r="AE133" s="2281"/>
      <c r="AF133" s="2282"/>
      <c r="AG133" s="2286" t="s">
        <v>3696</v>
      </c>
      <c r="AH133" s="2281"/>
      <c r="AI133" s="2282"/>
      <c r="AJ133" s="1911" t="s">
        <v>4031</v>
      </c>
      <c r="AK133" s="2286" t="s">
        <v>3688</v>
      </c>
      <c r="AL133" s="2281"/>
      <c r="AM133" s="2259"/>
      <c r="AN133" s="2281"/>
      <c r="AO133" s="2282"/>
      <c r="AP133" s="1911" t="s">
        <v>3688</v>
      </c>
      <c r="BC133" s="214"/>
      <c r="BD133" s="214"/>
      <c r="BE133" s="214"/>
      <c r="BF133" s="214"/>
    </row>
    <row r="134" spans="1:58" ht="45" hidden="1" customHeight="1">
      <c r="B134" s="2277"/>
      <c r="C134" s="2259"/>
      <c r="D134" s="2260"/>
      <c r="E134" s="1908" t="s">
        <v>3682</v>
      </c>
      <c r="F134" s="1910" t="s">
        <v>3688</v>
      </c>
      <c r="G134" s="1910"/>
      <c r="H134" s="2285" t="s">
        <v>280</v>
      </c>
      <c r="I134" s="2259"/>
      <c r="J134" s="2260"/>
      <c r="K134" s="2285" t="s">
        <v>309</v>
      </c>
      <c r="L134" s="2260"/>
      <c r="M134" s="1910">
        <f>VLOOKUP(K134,'Estimate Details'!$R:$BR,20,FALSE)</f>
        <v>0</v>
      </c>
      <c r="N134" s="1910" t="e">
        <f>VLOOKUP(M134,#REF!,2,FALSE)</f>
        <v>#REF!</v>
      </c>
      <c r="O134" s="1910" t="s">
        <v>4072</v>
      </c>
      <c r="P134" s="2285" t="s">
        <v>3688</v>
      </c>
      <c r="Q134" s="2259"/>
      <c r="R134" s="2260"/>
      <c r="S134" s="1910" t="s">
        <v>4068</v>
      </c>
      <c r="T134" s="1910" t="s">
        <v>3689</v>
      </c>
      <c r="U134" s="1910" t="s">
        <v>3688</v>
      </c>
      <c r="V134" s="1910" t="s">
        <v>3688</v>
      </c>
      <c r="W134" s="1910" t="s">
        <v>3688</v>
      </c>
      <c r="X134" s="1910"/>
      <c r="Y134" s="1910"/>
      <c r="Z134" s="1910"/>
      <c r="AA134" s="1910" t="s">
        <v>3694</v>
      </c>
      <c r="AB134" s="1910" t="s">
        <v>3688</v>
      </c>
      <c r="AC134" s="1910" t="s">
        <v>4073</v>
      </c>
      <c r="AD134" s="2285" t="s">
        <v>3688</v>
      </c>
      <c r="AE134" s="2259"/>
      <c r="AF134" s="2260"/>
      <c r="AG134" s="2285" t="s">
        <v>3696</v>
      </c>
      <c r="AH134" s="2259"/>
      <c r="AI134" s="2260"/>
      <c r="AJ134" s="1910" t="s">
        <v>4031</v>
      </c>
      <c r="AK134" s="2285" t="s">
        <v>3688</v>
      </c>
      <c r="AL134" s="2259"/>
      <c r="AM134" s="2259"/>
      <c r="AN134" s="2259"/>
      <c r="AO134" s="2260"/>
      <c r="AP134" s="1910" t="s">
        <v>3688</v>
      </c>
      <c r="BC134" s="214"/>
      <c r="BD134" s="214"/>
      <c r="BE134" s="214"/>
      <c r="BF134" s="214"/>
    </row>
    <row r="135" spans="1:58" ht="45" hidden="1" customHeight="1">
      <c r="A135" s="808"/>
      <c r="B135" s="2280"/>
      <c r="C135" s="2281"/>
      <c r="D135" s="2282"/>
      <c r="E135" s="1909" t="s">
        <v>3682</v>
      </c>
      <c r="F135" s="1911" t="s">
        <v>3688</v>
      </c>
      <c r="G135" s="1911"/>
      <c r="H135" s="2286" t="s">
        <v>280</v>
      </c>
      <c r="I135" s="2281"/>
      <c r="J135" s="2282"/>
      <c r="K135" s="2286" t="s">
        <v>312</v>
      </c>
      <c r="L135" s="2282"/>
      <c r="M135" s="1911">
        <f>VLOOKUP(K135,'Estimate Details'!$R:$BR,20,FALSE)</f>
        <v>0</v>
      </c>
      <c r="N135" s="1911" t="e">
        <f>VLOOKUP(M135,#REF!,2,FALSE)</f>
        <v>#REF!</v>
      </c>
      <c r="O135" s="1911" t="s">
        <v>4074</v>
      </c>
      <c r="P135" s="2287" t="s">
        <v>3688</v>
      </c>
      <c r="Q135" s="2281"/>
      <c r="R135" s="2282"/>
      <c r="S135" s="1911" t="s">
        <v>4068</v>
      </c>
      <c r="T135" s="1911" t="s">
        <v>3689</v>
      </c>
      <c r="U135" s="1911" t="s">
        <v>3688</v>
      </c>
      <c r="V135" s="1911" t="s">
        <v>3688</v>
      </c>
      <c r="W135" s="1911" t="s">
        <v>3688</v>
      </c>
      <c r="X135" s="1911"/>
      <c r="Y135" s="1911"/>
      <c r="Z135" s="1911"/>
      <c r="AA135" s="1911" t="s">
        <v>3694</v>
      </c>
      <c r="AB135" s="1911" t="s">
        <v>3688</v>
      </c>
      <c r="AC135" s="1911" t="s">
        <v>4075</v>
      </c>
      <c r="AD135" s="2286" t="s">
        <v>3688</v>
      </c>
      <c r="AE135" s="2281"/>
      <c r="AF135" s="2282"/>
      <c r="AG135" s="2286" t="s">
        <v>3696</v>
      </c>
      <c r="AH135" s="2281"/>
      <c r="AI135" s="2282"/>
      <c r="AJ135" s="1911" t="s">
        <v>4031</v>
      </c>
      <c r="AK135" s="2286" t="s">
        <v>3688</v>
      </c>
      <c r="AL135" s="2281"/>
      <c r="AM135" s="2259"/>
      <c r="AN135" s="2281"/>
      <c r="AO135" s="2282"/>
      <c r="AP135" s="1911" t="s">
        <v>3688</v>
      </c>
      <c r="BC135" s="214"/>
      <c r="BD135" s="214"/>
      <c r="BE135" s="214"/>
      <c r="BF135" s="214"/>
    </row>
    <row r="136" spans="1:58" ht="45" hidden="1" customHeight="1">
      <c r="B136" s="2277"/>
      <c r="C136" s="2259"/>
      <c r="D136" s="2260"/>
      <c r="E136" s="1908" t="s">
        <v>3682</v>
      </c>
      <c r="F136" s="1910" t="s">
        <v>3688</v>
      </c>
      <c r="G136" s="1910"/>
      <c r="H136" s="2285" t="s">
        <v>280</v>
      </c>
      <c r="I136" s="2259"/>
      <c r="J136" s="2260"/>
      <c r="K136" s="2285" t="s">
        <v>315</v>
      </c>
      <c r="L136" s="2260"/>
      <c r="M136" s="1910">
        <f>VLOOKUP(K136,'Estimate Details'!$R:$BR,20,FALSE)</f>
        <v>0</v>
      </c>
      <c r="N136" s="1910" t="e">
        <f>VLOOKUP(M136,#REF!,2,FALSE)</f>
        <v>#REF!</v>
      </c>
      <c r="O136" s="1910" t="s">
        <v>4076</v>
      </c>
      <c r="P136" s="2285" t="s">
        <v>3688</v>
      </c>
      <c r="Q136" s="2259"/>
      <c r="R136" s="2260"/>
      <c r="S136" s="1910" t="s">
        <v>4068</v>
      </c>
      <c r="T136" s="1910" t="s">
        <v>3689</v>
      </c>
      <c r="U136" s="1910" t="s">
        <v>3688</v>
      </c>
      <c r="V136" s="1910" t="s">
        <v>3688</v>
      </c>
      <c r="W136" s="1910" t="s">
        <v>3688</v>
      </c>
      <c r="X136" s="1910"/>
      <c r="Y136" s="1910"/>
      <c r="Z136" s="1910"/>
      <c r="AA136" s="1910" t="s">
        <v>3694</v>
      </c>
      <c r="AB136" s="1910" t="s">
        <v>3688</v>
      </c>
      <c r="AC136" s="1910" t="s">
        <v>4077</v>
      </c>
      <c r="AD136" s="2285" t="s">
        <v>3688</v>
      </c>
      <c r="AE136" s="2259"/>
      <c r="AF136" s="2260"/>
      <c r="AG136" s="2285" t="s">
        <v>3696</v>
      </c>
      <c r="AH136" s="2259"/>
      <c r="AI136" s="2260"/>
      <c r="AJ136" s="1910" t="s">
        <v>4031</v>
      </c>
      <c r="AK136" s="2285" t="s">
        <v>3688</v>
      </c>
      <c r="AL136" s="2259"/>
      <c r="AM136" s="2259"/>
      <c r="AN136" s="2259"/>
      <c r="AO136" s="2260"/>
      <c r="AP136" s="1910" t="s">
        <v>3688</v>
      </c>
      <c r="BC136" s="214"/>
      <c r="BD136" s="214"/>
      <c r="BE136" s="214"/>
      <c r="BF136" s="214"/>
    </row>
    <row r="137" spans="1:58" ht="45" hidden="1" customHeight="1">
      <c r="A137" s="808"/>
      <c r="B137" s="2280"/>
      <c r="C137" s="2281"/>
      <c r="D137" s="2282"/>
      <c r="E137" s="1909" t="s">
        <v>3682</v>
      </c>
      <c r="F137" s="1911" t="s">
        <v>3688</v>
      </c>
      <c r="G137" s="1911"/>
      <c r="H137" s="2286" t="s">
        <v>280</v>
      </c>
      <c r="I137" s="2281"/>
      <c r="J137" s="2282"/>
      <c r="K137" s="2286" t="s">
        <v>318</v>
      </c>
      <c r="L137" s="2282"/>
      <c r="M137" s="1911">
        <f>VLOOKUP(K137,'Estimate Details'!$R:$BR,20,FALSE)</f>
        <v>0</v>
      </c>
      <c r="N137" s="1911" t="e">
        <f>VLOOKUP(M137,#REF!,2,FALSE)</f>
        <v>#REF!</v>
      </c>
      <c r="O137" s="1911" t="s">
        <v>4078</v>
      </c>
      <c r="P137" s="2287" t="s">
        <v>3688</v>
      </c>
      <c r="Q137" s="2281"/>
      <c r="R137" s="2282"/>
      <c r="S137" s="1911" t="s">
        <v>4068</v>
      </c>
      <c r="T137" s="1911" t="s">
        <v>3689</v>
      </c>
      <c r="U137" s="1911" t="s">
        <v>3688</v>
      </c>
      <c r="V137" s="1911" t="s">
        <v>3688</v>
      </c>
      <c r="W137" s="1911" t="s">
        <v>3688</v>
      </c>
      <c r="X137" s="1911"/>
      <c r="Y137" s="1911"/>
      <c r="Z137" s="1911"/>
      <c r="AA137" s="1911" t="s">
        <v>3694</v>
      </c>
      <c r="AB137" s="1911" t="s">
        <v>3688</v>
      </c>
      <c r="AC137" s="1911" t="s">
        <v>4079</v>
      </c>
      <c r="AD137" s="2286" t="s">
        <v>3688</v>
      </c>
      <c r="AE137" s="2281"/>
      <c r="AF137" s="2282"/>
      <c r="AG137" s="2286" t="s">
        <v>3696</v>
      </c>
      <c r="AH137" s="2281"/>
      <c r="AI137" s="2282"/>
      <c r="AJ137" s="1911" t="s">
        <v>4031</v>
      </c>
      <c r="AK137" s="2286" t="s">
        <v>3688</v>
      </c>
      <c r="AL137" s="2281"/>
      <c r="AM137" s="2259"/>
      <c r="AN137" s="2281"/>
      <c r="AO137" s="2282"/>
      <c r="AP137" s="1911" t="s">
        <v>3688</v>
      </c>
      <c r="BC137" s="214"/>
      <c r="BD137" s="214"/>
      <c r="BE137" s="214"/>
      <c r="BF137" s="214"/>
    </row>
    <row r="138" spans="1:58" ht="45" hidden="1" customHeight="1">
      <c r="B138" s="2277"/>
      <c r="C138" s="2259"/>
      <c r="D138" s="2260"/>
      <c r="E138" s="1908" t="s">
        <v>3682</v>
      </c>
      <c r="F138" s="1910" t="s">
        <v>3688</v>
      </c>
      <c r="G138" s="1910"/>
      <c r="H138" s="2285" t="s">
        <v>280</v>
      </c>
      <c r="I138" s="2259"/>
      <c r="J138" s="2260"/>
      <c r="K138" s="2285" t="s">
        <v>320</v>
      </c>
      <c r="L138" s="2260"/>
      <c r="M138" s="1910">
        <f>VLOOKUP(K138,'Estimate Details'!$R:$BR,20,FALSE)</f>
        <v>0</v>
      </c>
      <c r="N138" s="1910" t="e">
        <f>VLOOKUP(M138,#REF!,2,FALSE)</f>
        <v>#REF!</v>
      </c>
      <c r="O138" s="1910" t="s">
        <v>4078</v>
      </c>
      <c r="P138" s="2285" t="s">
        <v>3688</v>
      </c>
      <c r="Q138" s="2259"/>
      <c r="R138" s="2260"/>
      <c r="S138" s="1910" t="s">
        <v>4068</v>
      </c>
      <c r="T138" s="1910" t="s">
        <v>3689</v>
      </c>
      <c r="U138" s="1910" t="s">
        <v>3688</v>
      </c>
      <c r="V138" s="1910" t="s">
        <v>3688</v>
      </c>
      <c r="W138" s="1910" t="s">
        <v>3688</v>
      </c>
      <c r="X138" s="1910"/>
      <c r="Y138" s="1910"/>
      <c r="Z138" s="1910"/>
      <c r="AA138" s="1910" t="s">
        <v>3694</v>
      </c>
      <c r="AB138" s="1910" t="s">
        <v>3688</v>
      </c>
      <c r="AC138" s="1910" t="s">
        <v>4079</v>
      </c>
      <c r="AD138" s="2285" t="s">
        <v>3688</v>
      </c>
      <c r="AE138" s="2259"/>
      <c r="AF138" s="2260"/>
      <c r="AG138" s="2285" t="s">
        <v>3696</v>
      </c>
      <c r="AH138" s="2259"/>
      <c r="AI138" s="2260"/>
      <c r="AJ138" s="1910" t="s">
        <v>4031</v>
      </c>
      <c r="AK138" s="2285" t="s">
        <v>3688</v>
      </c>
      <c r="AL138" s="2259"/>
      <c r="AM138" s="2259"/>
      <c r="AN138" s="2259"/>
      <c r="AO138" s="2260"/>
      <c r="AP138" s="1910" t="s">
        <v>3688</v>
      </c>
      <c r="BC138" s="214"/>
      <c r="BD138" s="214"/>
      <c r="BE138" s="214"/>
      <c r="BF138" s="214"/>
    </row>
    <row r="139" spans="1:58" ht="45" hidden="1" customHeight="1">
      <c r="A139" s="808"/>
      <c r="B139" s="2280"/>
      <c r="C139" s="2281"/>
      <c r="D139" s="2282"/>
      <c r="E139" s="1909" t="s">
        <v>3682</v>
      </c>
      <c r="F139" s="1909" t="s">
        <v>3683</v>
      </c>
      <c r="G139" s="1909"/>
      <c r="H139" s="2283" t="s">
        <v>280</v>
      </c>
      <c r="I139" s="2281"/>
      <c r="J139" s="2282"/>
      <c r="K139" s="2283" t="s">
        <v>272</v>
      </c>
      <c r="L139" s="2282"/>
      <c r="M139" s="1909">
        <f>VLOOKUP(K139,'Estimate Details'!$R:$BR,20,FALSE)</f>
        <v>0</v>
      </c>
      <c r="N139" s="1909" t="e">
        <f>VLOOKUP(M139,#REF!,2,FALSE)</f>
        <v>#REF!</v>
      </c>
      <c r="O139" s="1909" t="s">
        <v>4080</v>
      </c>
      <c r="P139" s="2284" t="s">
        <v>4080</v>
      </c>
      <c r="Q139" s="2281"/>
      <c r="R139" s="2282"/>
      <c r="S139" s="1909" t="s">
        <v>3688</v>
      </c>
      <c r="T139" s="1909" t="s">
        <v>3689</v>
      </c>
      <c r="U139" s="1909" t="s">
        <v>3992</v>
      </c>
      <c r="V139" s="1909" t="s">
        <v>3810</v>
      </c>
      <c r="W139" s="1909" t="s">
        <v>3688</v>
      </c>
      <c r="X139" s="1909"/>
      <c r="Y139" s="1912" t="s">
        <v>4081</v>
      </c>
      <c r="Z139" s="1909"/>
      <c r="AA139" s="1909" t="s">
        <v>3694</v>
      </c>
      <c r="AB139" s="1909" t="s">
        <v>4082</v>
      </c>
      <c r="AC139" s="1909" t="s">
        <v>4083</v>
      </c>
      <c r="AD139" s="2283" t="s">
        <v>3688</v>
      </c>
      <c r="AE139" s="2281"/>
      <c r="AF139" s="2282"/>
      <c r="AG139" s="2283" t="s">
        <v>4057</v>
      </c>
      <c r="AH139" s="2281"/>
      <c r="AI139" s="2282"/>
      <c r="AJ139" s="1909" t="s">
        <v>4015</v>
      </c>
      <c r="AK139" s="2283" t="s">
        <v>4016</v>
      </c>
      <c r="AL139" s="2281"/>
      <c r="AM139" s="2259"/>
      <c r="AN139" s="2281"/>
      <c r="AO139" s="2282"/>
      <c r="AP139" s="1909" t="s">
        <v>3716</v>
      </c>
      <c r="BC139" s="214"/>
      <c r="BD139" s="214"/>
      <c r="BE139" s="214"/>
      <c r="BF139" s="214"/>
    </row>
    <row r="140" spans="1:58" ht="45" hidden="1" customHeight="1">
      <c r="B140" s="2277"/>
      <c r="C140" s="2259"/>
      <c r="D140" s="2260"/>
      <c r="E140" s="1908" t="s">
        <v>3682</v>
      </c>
      <c r="F140" s="1910" t="s">
        <v>3688</v>
      </c>
      <c r="G140" s="1910"/>
      <c r="H140" s="2285" t="s">
        <v>280</v>
      </c>
      <c r="I140" s="2259"/>
      <c r="J140" s="2260"/>
      <c r="K140" s="2285" t="s">
        <v>325</v>
      </c>
      <c r="L140" s="2260"/>
      <c r="M140" s="1910">
        <f>VLOOKUP(K140,'Estimate Details'!$R:$BR,20,FALSE)</f>
        <v>0</v>
      </c>
      <c r="N140" s="1910" t="e">
        <f>VLOOKUP(M140,#REF!,2,FALSE)</f>
        <v>#REF!</v>
      </c>
      <c r="O140" s="1910" t="s">
        <v>4084</v>
      </c>
      <c r="P140" s="2285" t="s">
        <v>3688</v>
      </c>
      <c r="Q140" s="2259"/>
      <c r="R140" s="2260"/>
      <c r="S140" s="1910" t="s">
        <v>4085</v>
      </c>
      <c r="T140" s="1910" t="s">
        <v>3689</v>
      </c>
      <c r="U140" s="1910" t="s">
        <v>3688</v>
      </c>
      <c r="V140" s="1910" t="s">
        <v>3688</v>
      </c>
      <c r="W140" s="1910" t="s">
        <v>3688</v>
      </c>
      <c r="X140" s="1910"/>
      <c r="Y140" s="1910"/>
      <c r="Z140" s="1910"/>
      <c r="AA140" s="1910" t="s">
        <v>3694</v>
      </c>
      <c r="AB140" s="1910" t="s">
        <v>3688</v>
      </c>
      <c r="AC140" s="1910" t="s">
        <v>4086</v>
      </c>
      <c r="AD140" s="2285" t="s">
        <v>3688</v>
      </c>
      <c r="AE140" s="2259"/>
      <c r="AF140" s="2260"/>
      <c r="AG140" s="2285" t="s">
        <v>3696</v>
      </c>
      <c r="AH140" s="2259"/>
      <c r="AI140" s="2260"/>
      <c r="AJ140" s="1910" t="s">
        <v>4031</v>
      </c>
      <c r="AK140" s="2285" t="s">
        <v>3688</v>
      </c>
      <c r="AL140" s="2259"/>
      <c r="AM140" s="2259"/>
      <c r="AN140" s="2259"/>
      <c r="AO140" s="2260"/>
      <c r="AP140" s="1910" t="s">
        <v>3688</v>
      </c>
      <c r="BC140" s="214"/>
      <c r="BD140" s="214"/>
      <c r="BE140" s="214"/>
      <c r="BF140" s="214"/>
    </row>
    <row r="141" spans="1:58" ht="45" hidden="1" customHeight="1">
      <c r="A141" s="808"/>
      <c r="B141" s="2280"/>
      <c r="C141" s="2281"/>
      <c r="D141" s="2282"/>
      <c r="E141" s="1909" t="s">
        <v>3682</v>
      </c>
      <c r="F141" s="1911" t="s">
        <v>3688</v>
      </c>
      <c r="G141" s="1911"/>
      <c r="H141" s="2286" t="s">
        <v>280</v>
      </c>
      <c r="I141" s="2281"/>
      <c r="J141" s="2282"/>
      <c r="K141" s="2286" t="s">
        <v>418</v>
      </c>
      <c r="L141" s="2282"/>
      <c r="M141" s="1911">
        <f>VLOOKUP(K141,'Estimate Details'!$R:$BR,20,FALSE)</f>
        <v>0</v>
      </c>
      <c r="N141" s="1911" t="e">
        <f>VLOOKUP(M141,#REF!,2,FALSE)</f>
        <v>#REF!</v>
      </c>
      <c r="O141" s="1911" t="s">
        <v>4087</v>
      </c>
      <c r="P141" s="2287" t="s">
        <v>3688</v>
      </c>
      <c r="Q141" s="2281"/>
      <c r="R141" s="2282"/>
      <c r="S141" s="1911" t="s">
        <v>4085</v>
      </c>
      <c r="T141" s="1911" t="s">
        <v>3689</v>
      </c>
      <c r="U141" s="1911" t="s">
        <v>3688</v>
      </c>
      <c r="V141" s="1911" t="s">
        <v>3688</v>
      </c>
      <c r="W141" s="1911" t="s">
        <v>3688</v>
      </c>
      <c r="X141" s="1911"/>
      <c r="Y141" s="1911"/>
      <c r="Z141" s="1911"/>
      <c r="AA141" s="1911" t="s">
        <v>3694</v>
      </c>
      <c r="AB141" s="1911" t="s">
        <v>3688</v>
      </c>
      <c r="AC141" s="1911" t="s">
        <v>4088</v>
      </c>
      <c r="AD141" s="2286" t="s">
        <v>3688</v>
      </c>
      <c r="AE141" s="2281"/>
      <c r="AF141" s="2282"/>
      <c r="AG141" s="2286" t="s">
        <v>3696</v>
      </c>
      <c r="AH141" s="2281"/>
      <c r="AI141" s="2282"/>
      <c r="AJ141" s="1911" t="s">
        <v>4031</v>
      </c>
      <c r="AK141" s="2286" t="s">
        <v>3688</v>
      </c>
      <c r="AL141" s="2281"/>
      <c r="AM141" s="2259"/>
      <c r="AN141" s="2281"/>
      <c r="AO141" s="2282"/>
      <c r="AP141" s="1911" t="s">
        <v>3688</v>
      </c>
      <c r="BC141" s="214"/>
      <c r="BD141" s="214"/>
      <c r="BE141" s="214"/>
      <c r="BF141" s="214"/>
    </row>
    <row r="142" spans="1:58" ht="45" hidden="1" customHeight="1">
      <c r="B142" s="2277"/>
      <c r="C142" s="2259"/>
      <c r="D142" s="2260"/>
      <c r="E142" s="1908" t="s">
        <v>3682</v>
      </c>
      <c r="F142" s="1910" t="s">
        <v>3688</v>
      </c>
      <c r="G142" s="1910"/>
      <c r="H142" s="2285" t="s">
        <v>280</v>
      </c>
      <c r="I142" s="2259"/>
      <c r="J142" s="2260"/>
      <c r="K142" s="2285" t="s">
        <v>421</v>
      </c>
      <c r="L142" s="2260"/>
      <c r="M142" s="1910">
        <f>VLOOKUP(K142,'Estimate Details'!$R:$BR,20,FALSE)</f>
        <v>0</v>
      </c>
      <c r="N142" s="1910" t="e">
        <f>VLOOKUP(M142,#REF!,2,FALSE)</f>
        <v>#REF!</v>
      </c>
      <c r="O142" s="1910" t="s">
        <v>4089</v>
      </c>
      <c r="P142" s="2285" t="s">
        <v>3688</v>
      </c>
      <c r="Q142" s="2259"/>
      <c r="R142" s="2260"/>
      <c r="S142" s="1910" t="s">
        <v>4085</v>
      </c>
      <c r="T142" s="1910" t="s">
        <v>3689</v>
      </c>
      <c r="U142" s="1910" t="s">
        <v>3688</v>
      </c>
      <c r="V142" s="1910" t="s">
        <v>3688</v>
      </c>
      <c r="W142" s="1910" t="s">
        <v>3688</v>
      </c>
      <c r="X142" s="1910"/>
      <c r="Y142" s="1910"/>
      <c r="Z142" s="1910"/>
      <c r="AA142" s="1910" t="s">
        <v>3694</v>
      </c>
      <c r="AB142" s="1910" t="s">
        <v>3688</v>
      </c>
      <c r="AC142" s="1910" t="s">
        <v>4090</v>
      </c>
      <c r="AD142" s="2285" t="s">
        <v>3688</v>
      </c>
      <c r="AE142" s="2259"/>
      <c r="AF142" s="2260"/>
      <c r="AG142" s="2285" t="s">
        <v>3696</v>
      </c>
      <c r="AH142" s="2259"/>
      <c r="AI142" s="2260"/>
      <c r="AJ142" s="1910" t="s">
        <v>4031</v>
      </c>
      <c r="AK142" s="2285" t="s">
        <v>3688</v>
      </c>
      <c r="AL142" s="2259"/>
      <c r="AM142" s="2259"/>
      <c r="AN142" s="2259"/>
      <c r="AO142" s="2260"/>
      <c r="AP142" s="1910" t="s">
        <v>3688</v>
      </c>
      <c r="BC142" s="214"/>
      <c r="BD142" s="214"/>
      <c r="BE142" s="214"/>
      <c r="BF142" s="214"/>
    </row>
    <row r="143" spans="1:58" ht="45" hidden="1" customHeight="1">
      <c r="A143" s="808"/>
      <c r="B143" s="2280"/>
      <c r="C143" s="2281"/>
      <c r="D143" s="2282"/>
      <c r="E143" s="1909" t="s">
        <v>3682</v>
      </c>
      <c r="F143" s="1911" t="s">
        <v>3688</v>
      </c>
      <c r="G143" s="1911"/>
      <c r="H143" s="2286" t="s">
        <v>280</v>
      </c>
      <c r="I143" s="2281"/>
      <c r="J143" s="2282"/>
      <c r="K143" s="2286" t="s">
        <v>328</v>
      </c>
      <c r="L143" s="2282"/>
      <c r="M143" s="1911">
        <f>VLOOKUP(K143,'Estimate Details'!$R:$BR,20,FALSE)</f>
        <v>0</v>
      </c>
      <c r="N143" s="1911" t="e">
        <f>VLOOKUP(M143,#REF!,2,FALSE)</f>
        <v>#REF!</v>
      </c>
      <c r="O143" s="1911" t="s">
        <v>4091</v>
      </c>
      <c r="P143" s="2287" t="s">
        <v>3688</v>
      </c>
      <c r="Q143" s="2281"/>
      <c r="R143" s="2282"/>
      <c r="S143" s="1911" t="s">
        <v>4085</v>
      </c>
      <c r="T143" s="1911" t="s">
        <v>3689</v>
      </c>
      <c r="U143" s="1911" t="s">
        <v>3688</v>
      </c>
      <c r="V143" s="1911" t="s">
        <v>3688</v>
      </c>
      <c r="W143" s="1911" t="s">
        <v>3688</v>
      </c>
      <c r="X143" s="1911"/>
      <c r="Y143" s="1911"/>
      <c r="Z143" s="1911"/>
      <c r="AA143" s="1911" t="s">
        <v>3694</v>
      </c>
      <c r="AB143" s="1911" t="s">
        <v>3688</v>
      </c>
      <c r="AC143" s="1911" t="s">
        <v>4071</v>
      </c>
      <c r="AD143" s="2286" t="s">
        <v>3688</v>
      </c>
      <c r="AE143" s="2281"/>
      <c r="AF143" s="2282"/>
      <c r="AG143" s="2286" t="s">
        <v>3696</v>
      </c>
      <c r="AH143" s="2281"/>
      <c r="AI143" s="2282"/>
      <c r="AJ143" s="1911" t="s">
        <v>4031</v>
      </c>
      <c r="AK143" s="2286" t="s">
        <v>3688</v>
      </c>
      <c r="AL143" s="2281"/>
      <c r="AM143" s="2259"/>
      <c r="AN143" s="2281"/>
      <c r="AO143" s="2282"/>
      <c r="AP143" s="1911" t="s">
        <v>3688</v>
      </c>
      <c r="BC143" s="214"/>
      <c r="BD143" s="214"/>
      <c r="BE143" s="214"/>
      <c r="BF143" s="214"/>
    </row>
    <row r="144" spans="1:58" ht="45" hidden="1" customHeight="1">
      <c r="B144" s="2277"/>
      <c r="C144" s="2259"/>
      <c r="D144" s="2260"/>
      <c r="E144" s="1908" t="s">
        <v>3682</v>
      </c>
      <c r="F144" s="1910" t="s">
        <v>3688</v>
      </c>
      <c r="G144" s="1910"/>
      <c r="H144" s="2285" t="s">
        <v>280</v>
      </c>
      <c r="I144" s="2259"/>
      <c r="J144" s="2260"/>
      <c r="K144" s="2285" t="s">
        <v>331</v>
      </c>
      <c r="L144" s="2260"/>
      <c r="M144" s="1910">
        <f>VLOOKUP(K144,'Estimate Details'!$R:$BR,20,FALSE)</f>
        <v>0</v>
      </c>
      <c r="N144" s="1910" t="e">
        <f>VLOOKUP(M144,#REF!,2,FALSE)</f>
        <v>#REF!</v>
      </c>
      <c r="O144" s="1910" t="s">
        <v>4092</v>
      </c>
      <c r="P144" s="2285" t="s">
        <v>3688</v>
      </c>
      <c r="Q144" s="2259"/>
      <c r="R144" s="2260"/>
      <c r="S144" s="1910" t="s">
        <v>4085</v>
      </c>
      <c r="T144" s="1910" t="s">
        <v>3689</v>
      </c>
      <c r="U144" s="1910" t="s">
        <v>3688</v>
      </c>
      <c r="V144" s="1910" t="s">
        <v>3688</v>
      </c>
      <c r="W144" s="1910" t="s">
        <v>3688</v>
      </c>
      <c r="X144" s="1910"/>
      <c r="Y144" s="1910"/>
      <c r="Z144" s="1910"/>
      <c r="AA144" s="1910" t="s">
        <v>3694</v>
      </c>
      <c r="AB144" s="1910" t="s">
        <v>3688</v>
      </c>
      <c r="AC144" s="1910" t="s">
        <v>4093</v>
      </c>
      <c r="AD144" s="2285" t="s">
        <v>3688</v>
      </c>
      <c r="AE144" s="2259"/>
      <c r="AF144" s="2260"/>
      <c r="AG144" s="2285" t="s">
        <v>3696</v>
      </c>
      <c r="AH144" s="2259"/>
      <c r="AI144" s="2260"/>
      <c r="AJ144" s="1910" t="s">
        <v>4031</v>
      </c>
      <c r="AK144" s="2285" t="s">
        <v>3688</v>
      </c>
      <c r="AL144" s="2259"/>
      <c r="AM144" s="2259"/>
      <c r="AN144" s="2259"/>
      <c r="AO144" s="2260"/>
      <c r="AP144" s="1910" t="s">
        <v>3688</v>
      </c>
      <c r="BC144" s="214"/>
      <c r="BD144" s="214"/>
      <c r="BE144" s="214"/>
      <c r="BF144" s="214"/>
    </row>
    <row r="145" spans="1:58" ht="45" hidden="1" customHeight="1">
      <c r="A145" s="808"/>
      <c r="B145" s="2280"/>
      <c r="C145" s="2281"/>
      <c r="D145" s="2282"/>
      <c r="E145" s="1909" t="s">
        <v>3682</v>
      </c>
      <c r="F145" s="1911" t="s">
        <v>3688</v>
      </c>
      <c r="G145" s="1911"/>
      <c r="H145" s="2286" t="s">
        <v>280</v>
      </c>
      <c r="I145" s="2281"/>
      <c r="J145" s="2282"/>
      <c r="K145" s="2286" t="s">
        <v>334</v>
      </c>
      <c r="L145" s="2282"/>
      <c r="M145" s="1911">
        <f>VLOOKUP(K145,'Estimate Details'!$R:$BR,20,FALSE)</f>
        <v>0</v>
      </c>
      <c r="N145" s="1911" t="e">
        <f>VLOOKUP(M145,#REF!,2,FALSE)</f>
        <v>#REF!</v>
      </c>
      <c r="O145" s="1911" t="s">
        <v>4094</v>
      </c>
      <c r="P145" s="2287" t="s">
        <v>3688</v>
      </c>
      <c r="Q145" s="2281"/>
      <c r="R145" s="2282"/>
      <c r="S145" s="1911" t="s">
        <v>4085</v>
      </c>
      <c r="T145" s="1911" t="s">
        <v>3689</v>
      </c>
      <c r="U145" s="1911" t="s">
        <v>3688</v>
      </c>
      <c r="V145" s="1911" t="s">
        <v>3688</v>
      </c>
      <c r="W145" s="1911" t="s">
        <v>3688</v>
      </c>
      <c r="X145" s="1911"/>
      <c r="Y145" s="1911"/>
      <c r="Z145" s="1911"/>
      <c r="AA145" s="1911" t="s">
        <v>3694</v>
      </c>
      <c r="AB145" s="1911" t="s">
        <v>3688</v>
      </c>
      <c r="AC145" s="1911" t="s">
        <v>4095</v>
      </c>
      <c r="AD145" s="2286" t="s">
        <v>3688</v>
      </c>
      <c r="AE145" s="2281"/>
      <c r="AF145" s="2282"/>
      <c r="AG145" s="2286" t="s">
        <v>3696</v>
      </c>
      <c r="AH145" s="2281"/>
      <c r="AI145" s="2282"/>
      <c r="AJ145" s="1911" t="s">
        <v>4031</v>
      </c>
      <c r="AK145" s="2286" t="s">
        <v>3688</v>
      </c>
      <c r="AL145" s="2281"/>
      <c r="AM145" s="2259"/>
      <c r="AN145" s="2281"/>
      <c r="AO145" s="2282"/>
      <c r="AP145" s="1911" t="s">
        <v>3688</v>
      </c>
      <c r="BC145" s="214"/>
      <c r="BD145" s="214"/>
      <c r="BE145" s="214"/>
      <c r="BF145" s="214"/>
    </row>
    <row r="146" spans="1:58" ht="45" hidden="1" customHeight="1">
      <c r="B146" s="2277"/>
      <c r="C146" s="2259"/>
      <c r="D146" s="2260"/>
      <c r="E146" s="1908" t="s">
        <v>3682</v>
      </c>
      <c r="F146" s="1910" t="s">
        <v>3688</v>
      </c>
      <c r="G146" s="1910"/>
      <c r="H146" s="2285" t="s">
        <v>280</v>
      </c>
      <c r="I146" s="2259"/>
      <c r="J146" s="2260"/>
      <c r="K146" s="2285" t="s">
        <v>336</v>
      </c>
      <c r="L146" s="2260"/>
      <c r="M146" s="1910">
        <f>VLOOKUP(K146,'Estimate Details'!$R:$BR,20,FALSE)</f>
        <v>0</v>
      </c>
      <c r="N146" s="1910" t="e">
        <f>VLOOKUP(M146,#REF!,2,FALSE)</f>
        <v>#REF!</v>
      </c>
      <c r="O146" s="1910" t="s">
        <v>4094</v>
      </c>
      <c r="P146" s="2285" t="s">
        <v>3688</v>
      </c>
      <c r="Q146" s="2259"/>
      <c r="R146" s="2260"/>
      <c r="S146" s="1910" t="s">
        <v>4085</v>
      </c>
      <c r="T146" s="1910" t="s">
        <v>3689</v>
      </c>
      <c r="U146" s="1910" t="s">
        <v>3688</v>
      </c>
      <c r="V146" s="1910" t="s">
        <v>3688</v>
      </c>
      <c r="W146" s="1910" t="s">
        <v>3688</v>
      </c>
      <c r="X146" s="1910"/>
      <c r="Y146" s="1910"/>
      <c r="Z146" s="1910"/>
      <c r="AA146" s="1910" t="s">
        <v>3694</v>
      </c>
      <c r="AB146" s="1910" t="s">
        <v>3688</v>
      </c>
      <c r="AC146" s="1910" t="s">
        <v>4095</v>
      </c>
      <c r="AD146" s="2285" t="s">
        <v>3688</v>
      </c>
      <c r="AE146" s="2259"/>
      <c r="AF146" s="2260"/>
      <c r="AG146" s="2285" t="s">
        <v>3696</v>
      </c>
      <c r="AH146" s="2259"/>
      <c r="AI146" s="2260"/>
      <c r="AJ146" s="1910" t="s">
        <v>4031</v>
      </c>
      <c r="AK146" s="2285" t="s">
        <v>3688</v>
      </c>
      <c r="AL146" s="2259"/>
      <c r="AM146" s="2259"/>
      <c r="AN146" s="2259"/>
      <c r="AO146" s="2260"/>
      <c r="AP146" s="1910" t="s">
        <v>3688</v>
      </c>
      <c r="BC146" s="214"/>
      <c r="BD146" s="214"/>
      <c r="BE146" s="214"/>
      <c r="BF146" s="214"/>
    </row>
    <row r="147" spans="1:58" ht="45" hidden="1" customHeight="1">
      <c r="A147" s="808"/>
      <c r="B147" s="2280"/>
      <c r="C147" s="2281"/>
      <c r="D147" s="2282"/>
      <c r="E147" s="1909" t="s">
        <v>3682</v>
      </c>
      <c r="F147" s="1911" t="s">
        <v>3688</v>
      </c>
      <c r="G147" s="1911"/>
      <c r="H147" s="2286" t="s">
        <v>280</v>
      </c>
      <c r="I147" s="2281"/>
      <c r="J147" s="2282"/>
      <c r="K147" s="2286" t="s">
        <v>339</v>
      </c>
      <c r="L147" s="2282"/>
      <c r="M147" s="1911">
        <f>VLOOKUP(K147,'Estimate Details'!$R:$BR,20,FALSE)</f>
        <v>0</v>
      </c>
      <c r="N147" s="1911" t="e">
        <f>VLOOKUP(M147,#REF!,2,FALSE)</f>
        <v>#REF!</v>
      </c>
      <c r="O147" s="1911" t="s">
        <v>4096</v>
      </c>
      <c r="P147" s="2287" t="s">
        <v>3688</v>
      </c>
      <c r="Q147" s="2281"/>
      <c r="R147" s="2282"/>
      <c r="S147" s="1911" t="s">
        <v>4085</v>
      </c>
      <c r="T147" s="1911" t="s">
        <v>3689</v>
      </c>
      <c r="U147" s="1911" t="s">
        <v>3688</v>
      </c>
      <c r="V147" s="1911" t="s">
        <v>3688</v>
      </c>
      <c r="W147" s="1911" t="s">
        <v>3688</v>
      </c>
      <c r="X147" s="1911"/>
      <c r="Y147" s="1911"/>
      <c r="Z147" s="1911"/>
      <c r="AA147" s="1911" t="s">
        <v>3694</v>
      </c>
      <c r="AB147" s="1911" t="s">
        <v>3688</v>
      </c>
      <c r="AC147" s="1911" t="s">
        <v>4071</v>
      </c>
      <c r="AD147" s="2286" t="s">
        <v>3688</v>
      </c>
      <c r="AE147" s="2281"/>
      <c r="AF147" s="2282"/>
      <c r="AG147" s="2286" t="s">
        <v>3696</v>
      </c>
      <c r="AH147" s="2281"/>
      <c r="AI147" s="2282"/>
      <c r="AJ147" s="1911" t="s">
        <v>4031</v>
      </c>
      <c r="AK147" s="2286" t="s">
        <v>3688</v>
      </c>
      <c r="AL147" s="2281"/>
      <c r="AM147" s="2259"/>
      <c r="AN147" s="2281"/>
      <c r="AO147" s="2282"/>
      <c r="AP147" s="1911" t="s">
        <v>3688</v>
      </c>
      <c r="BC147" s="214"/>
      <c r="BD147" s="214"/>
      <c r="BE147" s="214"/>
      <c r="BF147" s="214"/>
    </row>
    <row r="148" spans="1:58" ht="45" hidden="1" customHeight="1">
      <c r="B148" s="2277"/>
      <c r="C148" s="2259"/>
      <c r="D148" s="2260"/>
      <c r="E148" s="1908" t="s">
        <v>3682</v>
      </c>
      <c r="F148" s="1910" t="s">
        <v>3688</v>
      </c>
      <c r="G148" s="1910"/>
      <c r="H148" s="2285" t="s">
        <v>280</v>
      </c>
      <c r="I148" s="2259"/>
      <c r="J148" s="2260"/>
      <c r="K148" s="2285" t="s">
        <v>341</v>
      </c>
      <c r="L148" s="2260"/>
      <c r="M148" s="1910">
        <f>VLOOKUP(K148,'Estimate Details'!$R:$BR,20,FALSE)</f>
        <v>0</v>
      </c>
      <c r="N148" s="1910" t="e">
        <f>VLOOKUP(M148,#REF!,2,FALSE)</f>
        <v>#REF!</v>
      </c>
      <c r="O148" s="1910" t="s">
        <v>4096</v>
      </c>
      <c r="P148" s="2285" t="s">
        <v>3688</v>
      </c>
      <c r="Q148" s="2259"/>
      <c r="R148" s="2260"/>
      <c r="S148" s="1910" t="s">
        <v>4085</v>
      </c>
      <c r="T148" s="1910" t="s">
        <v>3689</v>
      </c>
      <c r="U148" s="1910" t="s">
        <v>3688</v>
      </c>
      <c r="V148" s="1910" t="s">
        <v>3688</v>
      </c>
      <c r="W148" s="1910" t="s">
        <v>3688</v>
      </c>
      <c r="X148" s="1910"/>
      <c r="Y148" s="1910"/>
      <c r="Z148" s="1910"/>
      <c r="AA148" s="1910" t="s">
        <v>3694</v>
      </c>
      <c r="AB148" s="1910" t="s">
        <v>3688</v>
      </c>
      <c r="AC148" s="1910" t="s">
        <v>4071</v>
      </c>
      <c r="AD148" s="2285" t="s">
        <v>3688</v>
      </c>
      <c r="AE148" s="2259"/>
      <c r="AF148" s="2260"/>
      <c r="AG148" s="2285" t="s">
        <v>3696</v>
      </c>
      <c r="AH148" s="2259"/>
      <c r="AI148" s="2260"/>
      <c r="AJ148" s="1910" t="s">
        <v>4031</v>
      </c>
      <c r="AK148" s="2285" t="s">
        <v>3688</v>
      </c>
      <c r="AL148" s="2259"/>
      <c r="AM148" s="2259"/>
      <c r="AN148" s="2259"/>
      <c r="AO148" s="2260"/>
      <c r="AP148" s="1910" t="s">
        <v>3688</v>
      </c>
      <c r="BC148" s="214"/>
      <c r="BD148" s="214"/>
      <c r="BE148" s="214"/>
      <c r="BF148" s="214"/>
    </row>
    <row r="149" spans="1:58" ht="45" hidden="1" customHeight="1">
      <c r="A149" s="808"/>
      <c r="B149" s="2280"/>
      <c r="C149" s="2281"/>
      <c r="D149" s="2282"/>
      <c r="E149" s="1909" t="s">
        <v>3682</v>
      </c>
      <c r="F149" s="1911" t="s">
        <v>3688</v>
      </c>
      <c r="G149" s="1911"/>
      <c r="H149" s="2286" t="s">
        <v>280</v>
      </c>
      <c r="I149" s="2281"/>
      <c r="J149" s="2282"/>
      <c r="K149" s="2286" t="s">
        <v>344</v>
      </c>
      <c r="L149" s="2282"/>
      <c r="M149" s="1911">
        <f>VLOOKUP(K149,'Estimate Details'!$R:$BR,20,FALSE)</f>
        <v>0</v>
      </c>
      <c r="N149" s="1911" t="e">
        <f>VLOOKUP(M149,#REF!,2,FALSE)</f>
        <v>#REF!</v>
      </c>
      <c r="O149" s="1911" t="s">
        <v>4097</v>
      </c>
      <c r="P149" s="2287" t="s">
        <v>3688</v>
      </c>
      <c r="Q149" s="2281"/>
      <c r="R149" s="2282"/>
      <c r="S149" s="1911" t="s">
        <v>4085</v>
      </c>
      <c r="T149" s="1911" t="s">
        <v>3689</v>
      </c>
      <c r="U149" s="1911" t="s">
        <v>3688</v>
      </c>
      <c r="V149" s="1911" t="s">
        <v>3688</v>
      </c>
      <c r="W149" s="1911" t="s">
        <v>3688</v>
      </c>
      <c r="X149" s="1911"/>
      <c r="Y149" s="1911"/>
      <c r="Z149" s="1911"/>
      <c r="AA149" s="1911" t="s">
        <v>3694</v>
      </c>
      <c r="AB149" s="1911" t="s">
        <v>3688</v>
      </c>
      <c r="AC149" s="1911" t="s">
        <v>4098</v>
      </c>
      <c r="AD149" s="2286" t="s">
        <v>3688</v>
      </c>
      <c r="AE149" s="2281"/>
      <c r="AF149" s="2282"/>
      <c r="AG149" s="2286" t="s">
        <v>3696</v>
      </c>
      <c r="AH149" s="2281"/>
      <c r="AI149" s="2282"/>
      <c r="AJ149" s="1911" t="s">
        <v>4031</v>
      </c>
      <c r="AK149" s="2286" t="s">
        <v>3688</v>
      </c>
      <c r="AL149" s="2281"/>
      <c r="AM149" s="2259"/>
      <c r="AN149" s="2281"/>
      <c r="AO149" s="2282"/>
      <c r="AP149" s="1911" t="s">
        <v>3688</v>
      </c>
      <c r="BC149" s="214"/>
      <c r="BD149" s="214"/>
      <c r="BE149" s="214"/>
      <c r="BF149" s="214"/>
    </row>
    <row r="150" spans="1:58" ht="45" hidden="1" customHeight="1">
      <c r="B150" s="2277"/>
      <c r="C150" s="2259"/>
      <c r="D150" s="2260"/>
      <c r="E150" s="1908" t="s">
        <v>3682</v>
      </c>
      <c r="F150" s="1910" t="s">
        <v>3688</v>
      </c>
      <c r="G150" s="1910"/>
      <c r="H150" s="2285" t="s">
        <v>280</v>
      </c>
      <c r="I150" s="2259"/>
      <c r="J150" s="2260"/>
      <c r="K150" s="2285" t="s">
        <v>347</v>
      </c>
      <c r="L150" s="2260"/>
      <c r="M150" s="1910">
        <f>VLOOKUP(K150,'Estimate Details'!$R:$BR,20,FALSE)</f>
        <v>0</v>
      </c>
      <c r="N150" s="1910" t="e">
        <f>VLOOKUP(M150,#REF!,2,FALSE)</f>
        <v>#REF!</v>
      </c>
      <c r="O150" s="1910" t="s">
        <v>4099</v>
      </c>
      <c r="P150" s="2285" t="s">
        <v>3688</v>
      </c>
      <c r="Q150" s="2259"/>
      <c r="R150" s="2260"/>
      <c r="S150" s="1910" t="s">
        <v>4085</v>
      </c>
      <c r="T150" s="1910" t="s">
        <v>3689</v>
      </c>
      <c r="U150" s="1910" t="s">
        <v>3688</v>
      </c>
      <c r="V150" s="1910" t="s">
        <v>3688</v>
      </c>
      <c r="W150" s="1910" t="s">
        <v>3688</v>
      </c>
      <c r="X150" s="1910"/>
      <c r="Y150" s="1910"/>
      <c r="Z150" s="1910"/>
      <c r="AA150" s="1910" t="s">
        <v>3694</v>
      </c>
      <c r="AB150" s="1910" t="s">
        <v>3688</v>
      </c>
      <c r="AC150" s="1910" t="s">
        <v>4100</v>
      </c>
      <c r="AD150" s="2285" t="s">
        <v>3688</v>
      </c>
      <c r="AE150" s="2259"/>
      <c r="AF150" s="2260"/>
      <c r="AG150" s="2285" t="s">
        <v>3696</v>
      </c>
      <c r="AH150" s="2259"/>
      <c r="AI150" s="2260"/>
      <c r="AJ150" s="1910" t="s">
        <v>4031</v>
      </c>
      <c r="AK150" s="2285" t="s">
        <v>3688</v>
      </c>
      <c r="AL150" s="2259"/>
      <c r="AM150" s="2259"/>
      <c r="AN150" s="2259"/>
      <c r="AO150" s="2260"/>
      <c r="AP150" s="1910" t="s">
        <v>3688</v>
      </c>
      <c r="BC150" s="214"/>
      <c r="BD150" s="214"/>
      <c r="BE150" s="214"/>
      <c r="BF150" s="214"/>
    </row>
    <row r="151" spans="1:58" ht="45" hidden="1" customHeight="1">
      <c r="A151" s="808"/>
      <c r="B151" s="2280"/>
      <c r="C151" s="2281"/>
      <c r="D151" s="2282"/>
      <c r="E151" s="1909" t="s">
        <v>3682</v>
      </c>
      <c r="F151" s="1911" t="s">
        <v>3688</v>
      </c>
      <c r="G151" s="1911"/>
      <c r="H151" s="2286" t="s">
        <v>280</v>
      </c>
      <c r="I151" s="2281"/>
      <c r="J151" s="2282"/>
      <c r="K151" s="2286" t="s">
        <v>350</v>
      </c>
      <c r="L151" s="2282"/>
      <c r="M151" s="1911">
        <f>VLOOKUP(K151,'Estimate Details'!$R:$BR,20,FALSE)</f>
        <v>0</v>
      </c>
      <c r="N151" s="1911" t="e">
        <f>VLOOKUP(M151,#REF!,2,FALSE)</f>
        <v>#REF!</v>
      </c>
      <c r="O151" s="1911" t="s">
        <v>4101</v>
      </c>
      <c r="P151" s="2287" t="s">
        <v>3688</v>
      </c>
      <c r="Q151" s="2281"/>
      <c r="R151" s="2282"/>
      <c r="S151" s="1911" t="s">
        <v>4085</v>
      </c>
      <c r="T151" s="1911" t="s">
        <v>3689</v>
      </c>
      <c r="U151" s="1911" t="s">
        <v>3688</v>
      </c>
      <c r="V151" s="1911" t="s">
        <v>3688</v>
      </c>
      <c r="W151" s="1911" t="s">
        <v>3688</v>
      </c>
      <c r="X151" s="1911"/>
      <c r="Y151" s="1911"/>
      <c r="Z151" s="1911"/>
      <c r="AA151" s="1911" t="s">
        <v>3694</v>
      </c>
      <c r="AB151" s="1911" t="s">
        <v>3688</v>
      </c>
      <c r="AC151" s="1911" t="s">
        <v>4102</v>
      </c>
      <c r="AD151" s="2286" t="s">
        <v>3688</v>
      </c>
      <c r="AE151" s="2281"/>
      <c r="AF151" s="2282"/>
      <c r="AG151" s="2286" t="s">
        <v>3696</v>
      </c>
      <c r="AH151" s="2281"/>
      <c r="AI151" s="2282"/>
      <c r="AJ151" s="1911" t="s">
        <v>4031</v>
      </c>
      <c r="AK151" s="2286" t="s">
        <v>3688</v>
      </c>
      <c r="AL151" s="2281"/>
      <c r="AM151" s="2259"/>
      <c r="AN151" s="2281"/>
      <c r="AO151" s="2282"/>
      <c r="AP151" s="1911" t="s">
        <v>3688</v>
      </c>
      <c r="BC151" s="214"/>
      <c r="BD151" s="214"/>
      <c r="BE151" s="214"/>
      <c r="BF151" s="214"/>
    </row>
    <row r="152" spans="1:58" ht="45" hidden="1" customHeight="1">
      <c r="B152" s="2277"/>
      <c r="C152" s="2259"/>
      <c r="D152" s="2260"/>
      <c r="E152" s="1908" t="s">
        <v>3682</v>
      </c>
      <c r="F152" s="1910" t="s">
        <v>3688</v>
      </c>
      <c r="G152" s="1910"/>
      <c r="H152" s="2285" t="s">
        <v>280</v>
      </c>
      <c r="I152" s="2259"/>
      <c r="J152" s="2260"/>
      <c r="K152" s="2285" t="s">
        <v>353</v>
      </c>
      <c r="L152" s="2260"/>
      <c r="M152" s="1910">
        <f>VLOOKUP(K152,'Estimate Details'!$R:$BR,20,FALSE)</f>
        <v>0</v>
      </c>
      <c r="N152" s="1910" t="e">
        <f>VLOOKUP(M152,#REF!,2,FALSE)</f>
        <v>#REF!</v>
      </c>
      <c r="O152" s="1910" t="s">
        <v>4103</v>
      </c>
      <c r="P152" s="2285" t="s">
        <v>3688</v>
      </c>
      <c r="Q152" s="2259"/>
      <c r="R152" s="2260"/>
      <c r="S152" s="1910" t="s">
        <v>4085</v>
      </c>
      <c r="T152" s="1910" t="s">
        <v>3689</v>
      </c>
      <c r="U152" s="1910" t="s">
        <v>3688</v>
      </c>
      <c r="V152" s="1910" t="s">
        <v>3688</v>
      </c>
      <c r="W152" s="1910" t="s">
        <v>3688</v>
      </c>
      <c r="X152" s="1910"/>
      <c r="Y152" s="1910"/>
      <c r="Z152" s="1910"/>
      <c r="AA152" s="1910" t="s">
        <v>3694</v>
      </c>
      <c r="AB152" s="1910" t="s">
        <v>3688</v>
      </c>
      <c r="AC152" s="1910" t="s">
        <v>4079</v>
      </c>
      <c r="AD152" s="2285" t="s">
        <v>3688</v>
      </c>
      <c r="AE152" s="2259"/>
      <c r="AF152" s="2260"/>
      <c r="AG152" s="2285" t="s">
        <v>3696</v>
      </c>
      <c r="AH152" s="2259"/>
      <c r="AI152" s="2260"/>
      <c r="AJ152" s="1910" t="s">
        <v>4031</v>
      </c>
      <c r="AK152" s="2285" t="s">
        <v>3688</v>
      </c>
      <c r="AL152" s="2259"/>
      <c r="AM152" s="2259"/>
      <c r="AN152" s="2259"/>
      <c r="AO152" s="2260"/>
      <c r="AP152" s="1910" t="s">
        <v>3688</v>
      </c>
      <c r="BC152" s="214"/>
      <c r="BD152" s="214"/>
      <c r="BE152" s="214"/>
      <c r="BF152" s="214"/>
    </row>
    <row r="153" spans="1:58" ht="45" hidden="1" customHeight="1">
      <c r="A153" s="808"/>
      <c r="B153" s="2280"/>
      <c r="C153" s="2281"/>
      <c r="D153" s="2282"/>
      <c r="E153" s="1909" t="s">
        <v>3682</v>
      </c>
      <c r="F153" s="1911" t="s">
        <v>3688</v>
      </c>
      <c r="G153" s="1911"/>
      <c r="H153" s="2286" t="s">
        <v>280</v>
      </c>
      <c r="I153" s="2281"/>
      <c r="J153" s="2282"/>
      <c r="K153" s="2286" t="s">
        <v>356</v>
      </c>
      <c r="L153" s="2282"/>
      <c r="M153" s="1911">
        <f>VLOOKUP(K153,'Estimate Details'!$R:$BR,20,FALSE)</f>
        <v>0</v>
      </c>
      <c r="N153" s="1911" t="e">
        <f>VLOOKUP(M153,#REF!,2,FALSE)</f>
        <v>#REF!</v>
      </c>
      <c r="O153" s="1911" t="s">
        <v>4104</v>
      </c>
      <c r="P153" s="2287" t="s">
        <v>3688</v>
      </c>
      <c r="Q153" s="2281"/>
      <c r="R153" s="2282"/>
      <c r="S153" s="1911" t="s">
        <v>4085</v>
      </c>
      <c r="T153" s="1911" t="s">
        <v>3689</v>
      </c>
      <c r="U153" s="1911" t="s">
        <v>3688</v>
      </c>
      <c r="V153" s="1911" t="s">
        <v>3688</v>
      </c>
      <c r="W153" s="1911" t="s">
        <v>3688</v>
      </c>
      <c r="X153" s="1911"/>
      <c r="Y153" s="1911"/>
      <c r="Z153" s="1911"/>
      <c r="AA153" s="1911" t="s">
        <v>3694</v>
      </c>
      <c r="AB153" s="1911" t="s">
        <v>3688</v>
      </c>
      <c r="AC153" s="1911" t="s">
        <v>4105</v>
      </c>
      <c r="AD153" s="2286" t="s">
        <v>3688</v>
      </c>
      <c r="AE153" s="2281"/>
      <c r="AF153" s="2282"/>
      <c r="AG153" s="2286" t="s">
        <v>3696</v>
      </c>
      <c r="AH153" s="2281"/>
      <c r="AI153" s="2282"/>
      <c r="AJ153" s="1911" t="s">
        <v>4031</v>
      </c>
      <c r="AK153" s="2286" t="s">
        <v>3688</v>
      </c>
      <c r="AL153" s="2281"/>
      <c r="AM153" s="2259"/>
      <c r="AN153" s="2281"/>
      <c r="AO153" s="2282"/>
      <c r="AP153" s="1911" t="s">
        <v>3688</v>
      </c>
      <c r="BC153" s="214"/>
      <c r="BD153" s="214"/>
      <c r="BE153" s="214"/>
      <c r="BF153" s="214"/>
    </row>
    <row r="154" spans="1:58" ht="45" hidden="1" customHeight="1">
      <c r="B154" s="2277"/>
      <c r="C154" s="2259"/>
      <c r="D154" s="2260"/>
      <c r="E154" s="1908" t="s">
        <v>3682</v>
      </c>
      <c r="F154" s="1910" t="s">
        <v>3688</v>
      </c>
      <c r="G154" s="1910"/>
      <c r="H154" s="2285" t="s">
        <v>280</v>
      </c>
      <c r="I154" s="2259"/>
      <c r="J154" s="2260"/>
      <c r="K154" s="2285" t="s">
        <v>359</v>
      </c>
      <c r="L154" s="2260"/>
      <c r="M154" s="1910">
        <f>VLOOKUP(K154,'Estimate Details'!$R:$BR,20,FALSE)</f>
        <v>0</v>
      </c>
      <c r="N154" s="1910" t="e">
        <f>VLOOKUP(M154,#REF!,2,FALSE)</f>
        <v>#REF!</v>
      </c>
      <c r="O154" s="1910" t="s">
        <v>4106</v>
      </c>
      <c r="P154" s="2285" t="s">
        <v>3688</v>
      </c>
      <c r="Q154" s="2259"/>
      <c r="R154" s="2260"/>
      <c r="S154" s="1910" t="s">
        <v>4085</v>
      </c>
      <c r="T154" s="1910" t="s">
        <v>3689</v>
      </c>
      <c r="U154" s="1910" t="s">
        <v>3688</v>
      </c>
      <c r="V154" s="1910" t="s">
        <v>3688</v>
      </c>
      <c r="W154" s="1910" t="s">
        <v>3688</v>
      </c>
      <c r="X154" s="1910"/>
      <c r="Y154" s="1910"/>
      <c r="Z154" s="1910"/>
      <c r="AA154" s="1910" t="s">
        <v>3694</v>
      </c>
      <c r="AB154" s="1910" t="s">
        <v>3688</v>
      </c>
      <c r="AC154" s="1910" t="s">
        <v>4105</v>
      </c>
      <c r="AD154" s="2285" t="s">
        <v>3688</v>
      </c>
      <c r="AE154" s="2259"/>
      <c r="AF154" s="2260"/>
      <c r="AG154" s="2285" t="s">
        <v>3696</v>
      </c>
      <c r="AH154" s="2259"/>
      <c r="AI154" s="2260"/>
      <c r="AJ154" s="1910" t="s">
        <v>4031</v>
      </c>
      <c r="AK154" s="2285" t="s">
        <v>3688</v>
      </c>
      <c r="AL154" s="2259"/>
      <c r="AM154" s="2259"/>
      <c r="AN154" s="2259"/>
      <c r="AO154" s="2260"/>
      <c r="AP154" s="1910" t="s">
        <v>3688</v>
      </c>
      <c r="BC154" s="214"/>
      <c r="BD154" s="214"/>
      <c r="BE154" s="214"/>
      <c r="BF154" s="214"/>
    </row>
    <row r="155" spans="1:58" ht="45" hidden="1" customHeight="1">
      <c r="A155" s="808"/>
      <c r="B155" s="2280"/>
      <c r="C155" s="2281"/>
      <c r="D155" s="2282"/>
      <c r="E155" s="1909" t="s">
        <v>3682</v>
      </c>
      <c r="F155" s="1911" t="s">
        <v>3688</v>
      </c>
      <c r="G155" s="1911"/>
      <c r="H155" s="2286" t="s">
        <v>280</v>
      </c>
      <c r="I155" s="2281"/>
      <c r="J155" s="2282"/>
      <c r="K155" s="2286" t="s">
        <v>362</v>
      </c>
      <c r="L155" s="2282"/>
      <c r="M155" s="1911">
        <f>VLOOKUP(K155,'Estimate Details'!$R:$BR,20,FALSE)</f>
        <v>0</v>
      </c>
      <c r="N155" s="1911" t="e">
        <f>VLOOKUP(M155,#REF!,2,FALSE)</f>
        <v>#REF!</v>
      </c>
      <c r="O155" s="1911" t="s">
        <v>4107</v>
      </c>
      <c r="P155" s="2287" t="s">
        <v>3688</v>
      </c>
      <c r="Q155" s="2281"/>
      <c r="R155" s="2282"/>
      <c r="S155" s="1911" t="s">
        <v>4085</v>
      </c>
      <c r="T155" s="1911" t="s">
        <v>3689</v>
      </c>
      <c r="U155" s="1911" t="s">
        <v>3688</v>
      </c>
      <c r="V155" s="1911" t="s">
        <v>3688</v>
      </c>
      <c r="W155" s="1911" t="s">
        <v>3688</v>
      </c>
      <c r="X155" s="1911"/>
      <c r="Y155" s="1911"/>
      <c r="Z155" s="1911"/>
      <c r="AA155" s="1911" t="s">
        <v>3694</v>
      </c>
      <c r="AB155" s="1911" t="s">
        <v>3688</v>
      </c>
      <c r="AC155" s="1911" t="s">
        <v>4077</v>
      </c>
      <c r="AD155" s="2286" t="s">
        <v>3688</v>
      </c>
      <c r="AE155" s="2281"/>
      <c r="AF155" s="2282"/>
      <c r="AG155" s="2286" t="s">
        <v>3696</v>
      </c>
      <c r="AH155" s="2281"/>
      <c r="AI155" s="2282"/>
      <c r="AJ155" s="1911" t="s">
        <v>4031</v>
      </c>
      <c r="AK155" s="2286" t="s">
        <v>3688</v>
      </c>
      <c r="AL155" s="2281"/>
      <c r="AM155" s="2259"/>
      <c r="AN155" s="2281"/>
      <c r="AO155" s="2282"/>
      <c r="AP155" s="1911" t="s">
        <v>3688</v>
      </c>
      <c r="BC155" s="214"/>
      <c r="BD155" s="214"/>
      <c r="BE155" s="214"/>
      <c r="BF155" s="214"/>
    </row>
    <row r="156" spans="1:58" ht="45" hidden="1" customHeight="1">
      <c r="B156" s="2277"/>
      <c r="C156" s="2259"/>
      <c r="D156" s="2260"/>
      <c r="E156" s="1908" t="s">
        <v>3682</v>
      </c>
      <c r="F156" s="1910" t="s">
        <v>3688</v>
      </c>
      <c r="G156" s="1910"/>
      <c r="H156" s="2285" t="s">
        <v>280</v>
      </c>
      <c r="I156" s="2259"/>
      <c r="J156" s="2260"/>
      <c r="K156" s="2285" t="s">
        <v>365</v>
      </c>
      <c r="L156" s="2260"/>
      <c r="M156" s="1910">
        <f>VLOOKUP(K156,'Estimate Details'!$R:$BR,20,FALSE)</f>
        <v>0</v>
      </c>
      <c r="N156" s="1910" t="e">
        <f>VLOOKUP(M156,#REF!,2,FALSE)</f>
        <v>#REF!</v>
      </c>
      <c r="O156" s="1910" t="s">
        <v>4108</v>
      </c>
      <c r="P156" s="2285" t="s">
        <v>3688</v>
      </c>
      <c r="Q156" s="2259"/>
      <c r="R156" s="2260"/>
      <c r="S156" s="1910" t="s">
        <v>4085</v>
      </c>
      <c r="T156" s="1910" t="s">
        <v>3689</v>
      </c>
      <c r="U156" s="1910" t="s">
        <v>3688</v>
      </c>
      <c r="V156" s="1910" t="s">
        <v>3688</v>
      </c>
      <c r="W156" s="1910" t="s">
        <v>3688</v>
      </c>
      <c r="X156" s="1910"/>
      <c r="Y156" s="1910"/>
      <c r="Z156" s="1910"/>
      <c r="AA156" s="1910" t="s">
        <v>3694</v>
      </c>
      <c r="AB156" s="1910" t="s">
        <v>3688</v>
      </c>
      <c r="AC156" s="1910" t="s">
        <v>4109</v>
      </c>
      <c r="AD156" s="2285" t="s">
        <v>3688</v>
      </c>
      <c r="AE156" s="2259"/>
      <c r="AF156" s="2260"/>
      <c r="AG156" s="2285" t="s">
        <v>3696</v>
      </c>
      <c r="AH156" s="2259"/>
      <c r="AI156" s="2260"/>
      <c r="AJ156" s="1910" t="s">
        <v>4031</v>
      </c>
      <c r="AK156" s="2285" t="s">
        <v>3688</v>
      </c>
      <c r="AL156" s="2259"/>
      <c r="AM156" s="2259"/>
      <c r="AN156" s="2259"/>
      <c r="AO156" s="2260"/>
      <c r="AP156" s="1910" t="s">
        <v>3688</v>
      </c>
      <c r="BC156" s="214"/>
      <c r="BD156" s="214"/>
      <c r="BE156" s="214"/>
      <c r="BF156" s="214"/>
    </row>
    <row r="157" spans="1:58" ht="45" hidden="1" customHeight="1">
      <c r="A157" s="808"/>
      <c r="B157" s="2280"/>
      <c r="C157" s="2281"/>
      <c r="D157" s="2282"/>
      <c r="E157" s="1909" t="s">
        <v>3682</v>
      </c>
      <c r="F157" s="1911" t="s">
        <v>3688</v>
      </c>
      <c r="G157" s="1911"/>
      <c r="H157" s="2286" t="s">
        <v>280</v>
      </c>
      <c r="I157" s="2281"/>
      <c r="J157" s="2282"/>
      <c r="K157" s="2286" t="s">
        <v>367</v>
      </c>
      <c r="L157" s="2282"/>
      <c r="M157" s="1911">
        <f>VLOOKUP(K157,'Estimate Details'!$R:$BR,20,FALSE)</f>
        <v>0</v>
      </c>
      <c r="N157" s="1911" t="e">
        <f>VLOOKUP(M157,#REF!,2,FALSE)</f>
        <v>#REF!</v>
      </c>
      <c r="O157" s="1911" t="s">
        <v>4107</v>
      </c>
      <c r="P157" s="2287" t="s">
        <v>3688</v>
      </c>
      <c r="Q157" s="2281"/>
      <c r="R157" s="2282"/>
      <c r="S157" s="1911" t="s">
        <v>4085</v>
      </c>
      <c r="T157" s="1911" t="s">
        <v>3689</v>
      </c>
      <c r="U157" s="1911" t="s">
        <v>3688</v>
      </c>
      <c r="V157" s="1911" t="s">
        <v>3688</v>
      </c>
      <c r="W157" s="1911" t="s">
        <v>3688</v>
      </c>
      <c r="X157" s="1911"/>
      <c r="Y157" s="1911"/>
      <c r="Z157" s="1911"/>
      <c r="AA157" s="1911" t="s">
        <v>3694</v>
      </c>
      <c r="AB157" s="1911" t="s">
        <v>3688</v>
      </c>
      <c r="AC157" s="1911" t="s">
        <v>4110</v>
      </c>
      <c r="AD157" s="2286" t="s">
        <v>3688</v>
      </c>
      <c r="AE157" s="2281"/>
      <c r="AF157" s="2282"/>
      <c r="AG157" s="2286" t="s">
        <v>3696</v>
      </c>
      <c r="AH157" s="2281"/>
      <c r="AI157" s="2282"/>
      <c r="AJ157" s="1911" t="s">
        <v>4031</v>
      </c>
      <c r="AK157" s="2286" t="s">
        <v>3688</v>
      </c>
      <c r="AL157" s="2281"/>
      <c r="AM157" s="2259"/>
      <c r="AN157" s="2281"/>
      <c r="AO157" s="2282"/>
      <c r="AP157" s="1911" t="s">
        <v>3688</v>
      </c>
      <c r="BC157" s="214"/>
      <c r="BD157" s="214"/>
      <c r="BE157" s="214"/>
      <c r="BF157" s="214"/>
    </row>
    <row r="158" spans="1:58" ht="45" hidden="1" customHeight="1">
      <c r="B158" s="2277"/>
      <c r="C158" s="2259"/>
      <c r="D158" s="2260"/>
      <c r="E158" s="1908" t="s">
        <v>3682</v>
      </c>
      <c r="F158" s="1910" t="s">
        <v>3688</v>
      </c>
      <c r="G158" s="1910"/>
      <c r="H158" s="2285" t="s">
        <v>280</v>
      </c>
      <c r="I158" s="2259"/>
      <c r="J158" s="2260"/>
      <c r="K158" s="2285" t="s">
        <v>369</v>
      </c>
      <c r="L158" s="2260"/>
      <c r="M158" s="1910">
        <f>VLOOKUP(K158,'Estimate Details'!$R:$BR,20,FALSE)</f>
        <v>0</v>
      </c>
      <c r="N158" s="1910" t="e">
        <f>VLOOKUP(M158,#REF!,2,FALSE)</f>
        <v>#REF!</v>
      </c>
      <c r="O158" s="1910" t="s">
        <v>4108</v>
      </c>
      <c r="P158" s="2285" t="s">
        <v>3688</v>
      </c>
      <c r="Q158" s="2259"/>
      <c r="R158" s="2260"/>
      <c r="S158" s="1910" t="s">
        <v>4085</v>
      </c>
      <c r="T158" s="1910" t="s">
        <v>3689</v>
      </c>
      <c r="U158" s="1910" t="s">
        <v>3688</v>
      </c>
      <c r="V158" s="1910" t="s">
        <v>3688</v>
      </c>
      <c r="W158" s="1910" t="s">
        <v>3688</v>
      </c>
      <c r="X158" s="1910"/>
      <c r="Y158" s="1910"/>
      <c r="Z158" s="1910"/>
      <c r="AA158" s="1910" t="s">
        <v>3694</v>
      </c>
      <c r="AB158" s="1910" t="s">
        <v>3688</v>
      </c>
      <c r="AC158" s="1910" t="s">
        <v>4109</v>
      </c>
      <c r="AD158" s="2285" t="s">
        <v>3688</v>
      </c>
      <c r="AE158" s="2259"/>
      <c r="AF158" s="2260"/>
      <c r="AG158" s="2285" t="s">
        <v>3696</v>
      </c>
      <c r="AH158" s="2259"/>
      <c r="AI158" s="2260"/>
      <c r="AJ158" s="1910" t="s">
        <v>4031</v>
      </c>
      <c r="AK158" s="2285" t="s">
        <v>3688</v>
      </c>
      <c r="AL158" s="2259"/>
      <c r="AM158" s="2259"/>
      <c r="AN158" s="2259"/>
      <c r="AO158" s="2260"/>
      <c r="AP158" s="1910" t="s">
        <v>3688</v>
      </c>
      <c r="BC158" s="214"/>
      <c r="BD158" s="214"/>
      <c r="BE158" s="214"/>
      <c r="BF158" s="214"/>
    </row>
    <row r="159" spans="1:58" ht="45" hidden="1" customHeight="1">
      <c r="A159" s="808"/>
      <c r="B159" s="2280"/>
      <c r="C159" s="2281"/>
      <c r="D159" s="2282"/>
      <c r="E159" s="1909" t="s">
        <v>3682</v>
      </c>
      <c r="F159" s="1911" t="s">
        <v>3688</v>
      </c>
      <c r="G159" s="1911"/>
      <c r="H159" s="2286" t="s">
        <v>280</v>
      </c>
      <c r="I159" s="2281"/>
      <c r="J159" s="2282"/>
      <c r="K159" s="2286" t="s">
        <v>372</v>
      </c>
      <c r="L159" s="2282"/>
      <c r="M159" s="1911">
        <f>VLOOKUP(K159,'Estimate Details'!$R:$BR,20,FALSE)</f>
        <v>0</v>
      </c>
      <c r="N159" s="1911" t="e">
        <f>VLOOKUP(M159,#REF!,2,FALSE)</f>
        <v>#REF!</v>
      </c>
      <c r="O159" s="1911" t="s">
        <v>4111</v>
      </c>
      <c r="P159" s="2287" t="s">
        <v>3688</v>
      </c>
      <c r="Q159" s="2281"/>
      <c r="R159" s="2282"/>
      <c r="S159" s="1911" t="s">
        <v>4085</v>
      </c>
      <c r="T159" s="1911" t="s">
        <v>3689</v>
      </c>
      <c r="U159" s="1911" t="s">
        <v>3688</v>
      </c>
      <c r="V159" s="1911" t="s">
        <v>3688</v>
      </c>
      <c r="W159" s="1911" t="s">
        <v>3688</v>
      </c>
      <c r="X159" s="1911"/>
      <c r="Y159" s="1911"/>
      <c r="Z159" s="1911"/>
      <c r="AA159" s="1911" t="s">
        <v>3694</v>
      </c>
      <c r="AB159" s="1911" t="s">
        <v>3688</v>
      </c>
      <c r="AC159" s="1911" t="s">
        <v>4079</v>
      </c>
      <c r="AD159" s="2286" t="s">
        <v>3688</v>
      </c>
      <c r="AE159" s="2281"/>
      <c r="AF159" s="2282"/>
      <c r="AG159" s="2286" t="s">
        <v>3696</v>
      </c>
      <c r="AH159" s="2281"/>
      <c r="AI159" s="2282"/>
      <c r="AJ159" s="1911" t="s">
        <v>4031</v>
      </c>
      <c r="AK159" s="2286" t="s">
        <v>3688</v>
      </c>
      <c r="AL159" s="2281"/>
      <c r="AM159" s="2259"/>
      <c r="AN159" s="2281"/>
      <c r="AO159" s="2282"/>
      <c r="AP159" s="1911" t="s">
        <v>3688</v>
      </c>
      <c r="BC159" s="214"/>
      <c r="BD159" s="214"/>
      <c r="BE159" s="214"/>
      <c r="BF159" s="214"/>
    </row>
    <row r="160" spans="1:58" ht="45" hidden="1" customHeight="1">
      <c r="B160" s="2277"/>
      <c r="C160" s="2259"/>
      <c r="D160" s="2260"/>
      <c r="E160" s="1908" t="s">
        <v>3682</v>
      </c>
      <c r="F160" s="1910" t="s">
        <v>3688</v>
      </c>
      <c r="G160" s="1910"/>
      <c r="H160" s="2285" t="s">
        <v>280</v>
      </c>
      <c r="I160" s="2259"/>
      <c r="J160" s="2260"/>
      <c r="K160" s="2285" t="s">
        <v>374</v>
      </c>
      <c r="L160" s="2260"/>
      <c r="M160" s="1910">
        <f>VLOOKUP(K160,'Estimate Details'!$R:$BR,20,FALSE)</f>
        <v>0</v>
      </c>
      <c r="N160" s="1910" t="e">
        <f>VLOOKUP(M160,#REF!,2,FALSE)</f>
        <v>#REF!</v>
      </c>
      <c r="O160" s="1910" t="s">
        <v>4111</v>
      </c>
      <c r="P160" s="2285" t="s">
        <v>3688</v>
      </c>
      <c r="Q160" s="2259"/>
      <c r="R160" s="2260"/>
      <c r="S160" s="1910" t="s">
        <v>4085</v>
      </c>
      <c r="T160" s="1910" t="s">
        <v>3689</v>
      </c>
      <c r="U160" s="1910" t="s">
        <v>3688</v>
      </c>
      <c r="V160" s="1910" t="s">
        <v>3688</v>
      </c>
      <c r="W160" s="1910" t="s">
        <v>3688</v>
      </c>
      <c r="X160" s="1910"/>
      <c r="Y160" s="1910"/>
      <c r="Z160" s="1910"/>
      <c r="AA160" s="1910" t="s">
        <v>3694</v>
      </c>
      <c r="AB160" s="1910" t="s">
        <v>3688</v>
      </c>
      <c r="AC160" s="1910" t="s">
        <v>4079</v>
      </c>
      <c r="AD160" s="2285" t="s">
        <v>3688</v>
      </c>
      <c r="AE160" s="2259"/>
      <c r="AF160" s="2260"/>
      <c r="AG160" s="2285" t="s">
        <v>3696</v>
      </c>
      <c r="AH160" s="2259"/>
      <c r="AI160" s="2260"/>
      <c r="AJ160" s="1910" t="s">
        <v>4031</v>
      </c>
      <c r="AK160" s="2285" t="s">
        <v>3688</v>
      </c>
      <c r="AL160" s="2259"/>
      <c r="AM160" s="2259"/>
      <c r="AN160" s="2259"/>
      <c r="AO160" s="2260"/>
      <c r="AP160" s="1910" t="s">
        <v>3688</v>
      </c>
      <c r="BC160" s="214"/>
      <c r="BD160" s="214"/>
      <c r="BE160" s="214"/>
      <c r="BF160" s="214"/>
    </row>
    <row r="161" spans="1:58" ht="45" hidden="1" customHeight="1">
      <c r="A161" s="808"/>
      <c r="B161" s="2280"/>
      <c r="C161" s="2281"/>
      <c r="D161" s="2282"/>
      <c r="E161" s="1909" t="s">
        <v>3682</v>
      </c>
      <c r="F161" s="1911" t="s">
        <v>3688</v>
      </c>
      <c r="G161" s="1911"/>
      <c r="H161" s="2286" t="s">
        <v>280</v>
      </c>
      <c r="I161" s="2281"/>
      <c r="J161" s="2282"/>
      <c r="K161" s="2286" t="s">
        <v>424</v>
      </c>
      <c r="L161" s="2282"/>
      <c r="M161" s="1911">
        <f>VLOOKUP(K161,'Estimate Details'!$R:$BR,20,FALSE)</f>
        <v>0</v>
      </c>
      <c r="N161" s="1911" t="e">
        <f>VLOOKUP(M161,#REF!,2,FALSE)</f>
        <v>#REF!</v>
      </c>
      <c r="O161" s="1911" t="s">
        <v>4112</v>
      </c>
      <c r="P161" s="2287" t="s">
        <v>3688</v>
      </c>
      <c r="Q161" s="2281"/>
      <c r="R161" s="2282"/>
      <c r="S161" s="1911" t="s">
        <v>4085</v>
      </c>
      <c r="T161" s="1911" t="s">
        <v>3689</v>
      </c>
      <c r="U161" s="1911" t="s">
        <v>3688</v>
      </c>
      <c r="V161" s="1911" t="s">
        <v>3688</v>
      </c>
      <c r="W161" s="1911" t="s">
        <v>3688</v>
      </c>
      <c r="X161" s="1911"/>
      <c r="Y161" s="1911"/>
      <c r="Z161" s="1911"/>
      <c r="AA161" s="1911" t="s">
        <v>3694</v>
      </c>
      <c r="AB161" s="1911" t="s">
        <v>3688</v>
      </c>
      <c r="AC161" s="1911" t="s">
        <v>4093</v>
      </c>
      <c r="AD161" s="2286" t="s">
        <v>3688</v>
      </c>
      <c r="AE161" s="2281"/>
      <c r="AF161" s="2282"/>
      <c r="AG161" s="2286" t="s">
        <v>3696</v>
      </c>
      <c r="AH161" s="2281"/>
      <c r="AI161" s="2282"/>
      <c r="AJ161" s="1911" t="s">
        <v>4031</v>
      </c>
      <c r="AK161" s="2286" t="s">
        <v>3688</v>
      </c>
      <c r="AL161" s="2281"/>
      <c r="AM161" s="2259"/>
      <c r="AN161" s="2281"/>
      <c r="AO161" s="2282"/>
      <c r="AP161" s="1911" t="s">
        <v>3688</v>
      </c>
      <c r="BC161" s="214"/>
      <c r="BD161" s="214"/>
      <c r="BE161" s="214"/>
      <c r="BF161" s="214"/>
    </row>
    <row r="162" spans="1:58" ht="45" hidden="1" customHeight="1">
      <c r="B162" s="2277"/>
      <c r="C162" s="2259"/>
      <c r="D162" s="2260"/>
      <c r="E162" s="1908" t="s">
        <v>3682</v>
      </c>
      <c r="F162" s="1910" t="s">
        <v>3688</v>
      </c>
      <c r="G162" s="1910"/>
      <c r="H162" s="2285" t="s">
        <v>280</v>
      </c>
      <c r="I162" s="2259"/>
      <c r="J162" s="2260"/>
      <c r="K162" s="2285" t="s">
        <v>427</v>
      </c>
      <c r="L162" s="2260"/>
      <c r="M162" s="1910">
        <f>VLOOKUP(K162,'Estimate Details'!$R:$BR,20,FALSE)</f>
        <v>0</v>
      </c>
      <c r="N162" s="1910" t="e">
        <f>VLOOKUP(M162,#REF!,2,FALSE)</f>
        <v>#REF!</v>
      </c>
      <c r="O162" s="1910" t="s">
        <v>4113</v>
      </c>
      <c r="P162" s="2285" t="s">
        <v>3688</v>
      </c>
      <c r="Q162" s="2259"/>
      <c r="R162" s="2260"/>
      <c r="S162" s="1910" t="s">
        <v>4085</v>
      </c>
      <c r="T162" s="1910" t="s">
        <v>3689</v>
      </c>
      <c r="U162" s="1910" t="s">
        <v>3688</v>
      </c>
      <c r="V162" s="1910" t="s">
        <v>3688</v>
      </c>
      <c r="W162" s="1910" t="s">
        <v>3688</v>
      </c>
      <c r="X162" s="1910"/>
      <c r="Y162" s="1910"/>
      <c r="Z162" s="1910"/>
      <c r="AA162" s="1910" t="s">
        <v>3694</v>
      </c>
      <c r="AB162" s="1910" t="s">
        <v>3688</v>
      </c>
      <c r="AC162" s="1910" t="s">
        <v>4114</v>
      </c>
      <c r="AD162" s="2285" t="s">
        <v>3688</v>
      </c>
      <c r="AE162" s="2259"/>
      <c r="AF162" s="2260"/>
      <c r="AG162" s="2285" t="s">
        <v>3696</v>
      </c>
      <c r="AH162" s="2259"/>
      <c r="AI162" s="2260"/>
      <c r="AJ162" s="1910" t="s">
        <v>4031</v>
      </c>
      <c r="AK162" s="2285" t="s">
        <v>3688</v>
      </c>
      <c r="AL162" s="2259"/>
      <c r="AM162" s="2259"/>
      <c r="AN162" s="2259"/>
      <c r="AO162" s="2260"/>
      <c r="AP162" s="1910" t="s">
        <v>3688</v>
      </c>
      <c r="BC162" s="214"/>
      <c r="BD162" s="214"/>
      <c r="BE162" s="214"/>
      <c r="BF162" s="214"/>
    </row>
    <row r="163" spans="1:58" ht="45" hidden="1" customHeight="1">
      <c r="A163" s="808"/>
      <c r="B163" s="2280"/>
      <c r="C163" s="2281"/>
      <c r="D163" s="2282"/>
      <c r="E163" s="1909" t="s">
        <v>3682</v>
      </c>
      <c r="F163" s="1911" t="s">
        <v>3688</v>
      </c>
      <c r="G163" s="1911"/>
      <c r="H163" s="2286" t="s">
        <v>280</v>
      </c>
      <c r="I163" s="2281"/>
      <c r="J163" s="2282"/>
      <c r="K163" s="2286" t="s">
        <v>430</v>
      </c>
      <c r="L163" s="2282"/>
      <c r="M163" s="1911">
        <f>VLOOKUP(K163,'Estimate Details'!$R:$BR,20,FALSE)</f>
        <v>0</v>
      </c>
      <c r="N163" s="1911" t="e">
        <f>VLOOKUP(M163,#REF!,2,FALSE)</f>
        <v>#REF!</v>
      </c>
      <c r="O163" s="1911" t="s">
        <v>4115</v>
      </c>
      <c r="P163" s="2287" t="s">
        <v>3688</v>
      </c>
      <c r="Q163" s="2281"/>
      <c r="R163" s="2282"/>
      <c r="S163" s="1911" t="s">
        <v>4085</v>
      </c>
      <c r="T163" s="1911" t="s">
        <v>3689</v>
      </c>
      <c r="U163" s="1911" t="s">
        <v>3688</v>
      </c>
      <c r="V163" s="1911" t="s">
        <v>3688</v>
      </c>
      <c r="W163" s="1911" t="s">
        <v>3688</v>
      </c>
      <c r="X163" s="1911"/>
      <c r="Y163" s="1911"/>
      <c r="Z163" s="1911"/>
      <c r="AA163" s="1911" t="s">
        <v>3694</v>
      </c>
      <c r="AB163" s="1911" t="s">
        <v>3688</v>
      </c>
      <c r="AC163" s="1911" t="s">
        <v>4116</v>
      </c>
      <c r="AD163" s="2286" t="s">
        <v>3688</v>
      </c>
      <c r="AE163" s="2281"/>
      <c r="AF163" s="2282"/>
      <c r="AG163" s="2286" t="s">
        <v>3696</v>
      </c>
      <c r="AH163" s="2281"/>
      <c r="AI163" s="2282"/>
      <c r="AJ163" s="1911" t="s">
        <v>4031</v>
      </c>
      <c r="AK163" s="2286" t="s">
        <v>3688</v>
      </c>
      <c r="AL163" s="2281"/>
      <c r="AM163" s="2259"/>
      <c r="AN163" s="2281"/>
      <c r="AO163" s="2282"/>
      <c r="AP163" s="1911" t="s">
        <v>3688</v>
      </c>
      <c r="BC163" s="214"/>
      <c r="BD163" s="214"/>
      <c r="BE163" s="214"/>
      <c r="BF163" s="214"/>
    </row>
    <row r="164" spans="1:58" ht="45" hidden="1" customHeight="1">
      <c r="B164" s="2277"/>
      <c r="C164" s="2259"/>
      <c r="D164" s="2260"/>
      <c r="E164" s="1908" t="s">
        <v>3682</v>
      </c>
      <c r="F164" s="1910" t="s">
        <v>3688</v>
      </c>
      <c r="G164" s="1910"/>
      <c r="H164" s="2285" t="s">
        <v>280</v>
      </c>
      <c r="I164" s="2259"/>
      <c r="J164" s="2260"/>
      <c r="K164" s="2285" t="s">
        <v>433</v>
      </c>
      <c r="L164" s="2260"/>
      <c r="M164" s="1910">
        <f>VLOOKUP(K164,'Estimate Details'!$R:$BR,20,FALSE)</f>
        <v>0</v>
      </c>
      <c r="N164" s="1910" t="e">
        <f>VLOOKUP(M164,#REF!,2,FALSE)</f>
        <v>#REF!</v>
      </c>
      <c r="O164" s="1910" t="s">
        <v>4117</v>
      </c>
      <c r="P164" s="2285" t="s">
        <v>3688</v>
      </c>
      <c r="Q164" s="2259"/>
      <c r="R164" s="2260"/>
      <c r="S164" s="1910" t="s">
        <v>4085</v>
      </c>
      <c r="T164" s="1910" t="s">
        <v>3689</v>
      </c>
      <c r="U164" s="1910" t="s">
        <v>3688</v>
      </c>
      <c r="V164" s="1910" t="s">
        <v>3688</v>
      </c>
      <c r="W164" s="1910" t="s">
        <v>3688</v>
      </c>
      <c r="X164" s="1910"/>
      <c r="Y164" s="1910"/>
      <c r="Z164" s="1910"/>
      <c r="AA164" s="1910" t="s">
        <v>3694</v>
      </c>
      <c r="AB164" s="1910" t="s">
        <v>3688</v>
      </c>
      <c r="AC164" s="1910" t="s">
        <v>4118</v>
      </c>
      <c r="AD164" s="2285" t="s">
        <v>3688</v>
      </c>
      <c r="AE164" s="2259"/>
      <c r="AF164" s="2260"/>
      <c r="AG164" s="2285" t="s">
        <v>3696</v>
      </c>
      <c r="AH164" s="2259"/>
      <c r="AI164" s="2260"/>
      <c r="AJ164" s="1910" t="s">
        <v>4031</v>
      </c>
      <c r="AK164" s="2285" t="s">
        <v>3688</v>
      </c>
      <c r="AL164" s="2259"/>
      <c r="AM164" s="2259"/>
      <c r="AN164" s="2259"/>
      <c r="AO164" s="2260"/>
      <c r="AP164" s="1910" t="s">
        <v>3688</v>
      </c>
      <c r="BC164" s="214"/>
      <c r="BD164" s="214"/>
      <c r="BE164" s="214"/>
      <c r="BF164" s="214"/>
    </row>
    <row r="165" spans="1:58" ht="45" hidden="1" customHeight="1">
      <c r="A165" s="808"/>
      <c r="B165" s="2280"/>
      <c r="C165" s="2281"/>
      <c r="D165" s="2282"/>
      <c r="E165" s="1909" t="s">
        <v>3682</v>
      </c>
      <c r="F165" s="1911" t="s">
        <v>3688</v>
      </c>
      <c r="G165" s="1911"/>
      <c r="H165" s="2286" t="s">
        <v>280</v>
      </c>
      <c r="I165" s="2281"/>
      <c r="J165" s="2282"/>
      <c r="K165" s="2286" t="s">
        <v>436</v>
      </c>
      <c r="L165" s="2282"/>
      <c r="M165" s="1911">
        <f>VLOOKUP(K165,'Estimate Details'!$R:$BR,20,FALSE)</f>
        <v>0</v>
      </c>
      <c r="N165" s="1911" t="e">
        <f>VLOOKUP(M165,#REF!,2,FALSE)</f>
        <v>#REF!</v>
      </c>
      <c r="O165" s="1911" t="s">
        <v>4119</v>
      </c>
      <c r="P165" s="2287" t="s">
        <v>3688</v>
      </c>
      <c r="Q165" s="2281"/>
      <c r="R165" s="2282"/>
      <c r="S165" s="1911" t="s">
        <v>4085</v>
      </c>
      <c r="T165" s="1911" t="s">
        <v>3689</v>
      </c>
      <c r="U165" s="1911" t="s">
        <v>3688</v>
      </c>
      <c r="V165" s="1911" t="s">
        <v>3688</v>
      </c>
      <c r="W165" s="1911" t="s">
        <v>3688</v>
      </c>
      <c r="X165" s="1911"/>
      <c r="Y165" s="1911"/>
      <c r="Z165" s="1911"/>
      <c r="AA165" s="1911" t="s">
        <v>3694</v>
      </c>
      <c r="AB165" s="1911" t="s">
        <v>3688</v>
      </c>
      <c r="AC165" s="1911" t="s">
        <v>4120</v>
      </c>
      <c r="AD165" s="2286" t="s">
        <v>3688</v>
      </c>
      <c r="AE165" s="2281"/>
      <c r="AF165" s="2282"/>
      <c r="AG165" s="2286" t="s">
        <v>3696</v>
      </c>
      <c r="AH165" s="2281"/>
      <c r="AI165" s="2282"/>
      <c r="AJ165" s="1911" t="s">
        <v>4031</v>
      </c>
      <c r="AK165" s="2286" t="s">
        <v>3688</v>
      </c>
      <c r="AL165" s="2281"/>
      <c r="AM165" s="2259"/>
      <c r="AN165" s="2281"/>
      <c r="AO165" s="2282"/>
      <c r="AP165" s="1911" t="s">
        <v>3688</v>
      </c>
      <c r="BC165" s="214"/>
      <c r="BD165" s="214"/>
      <c r="BE165" s="214"/>
      <c r="BF165" s="214"/>
    </row>
    <row r="166" spans="1:58" ht="45" hidden="1" customHeight="1">
      <c r="B166" s="2277"/>
      <c r="C166" s="2259"/>
      <c r="D166" s="2260"/>
      <c r="E166" s="1908" t="s">
        <v>3682</v>
      </c>
      <c r="F166" s="1908" t="s">
        <v>3683</v>
      </c>
      <c r="G166" s="1908"/>
      <c r="H166" s="2278" t="s">
        <v>280</v>
      </c>
      <c r="I166" s="2259"/>
      <c r="J166" s="2260"/>
      <c r="K166" s="2278" t="s">
        <v>277</v>
      </c>
      <c r="L166" s="2260"/>
      <c r="M166" s="1908">
        <f>VLOOKUP(K166,'Estimate Details'!$R:$BR,20,FALSE)</f>
        <v>0</v>
      </c>
      <c r="N166" s="1908" t="e">
        <f>VLOOKUP(M166,#REF!,2,FALSE)</f>
        <v>#REF!</v>
      </c>
      <c r="O166" s="1908" t="s">
        <v>4080</v>
      </c>
      <c r="P166" s="2278" t="s">
        <v>4080</v>
      </c>
      <c r="Q166" s="2259"/>
      <c r="R166" s="2260"/>
      <c r="S166" s="1908" t="s">
        <v>3688</v>
      </c>
      <c r="T166" s="1908" t="s">
        <v>3689</v>
      </c>
      <c r="U166" s="1908" t="s">
        <v>3992</v>
      </c>
      <c r="V166" s="1908" t="s">
        <v>3810</v>
      </c>
      <c r="W166" s="1908" t="s">
        <v>3688</v>
      </c>
      <c r="X166" s="1908"/>
      <c r="Y166" s="1908"/>
      <c r="Z166" s="1908"/>
      <c r="AA166" s="1908" t="s">
        <v>3694</v>
      </c>
      <c r="AB166" s="1908" t="s">
        <v>4082</v>
      </c>
      <c r="AC166" s="1908" t="s">
        <v>4121</v>
      </c>
      <c r="AD166" s="2278" t="s">
        <v>3688</v>
      </c>
      <c r="AE166" s="2259"/>
      <c r="AF166" s="2260"/>
      <c r="AG166" s="2278" t="s">
        <v>4057</v>
      </c>
      <c r="AH166" s="2259"/>
      <c r="AI166" s="2260"/>
      <c r="AJ166" s="1908" t="s">
        <v>4015</v>
      </c>
      <c r="AK166" s="2278" t="s">
        <v>4016</v>
      </c>
      <c r="AL166" s="2259"/>
      <c r="AM166" s="2259"/>
      <c r="AN166" s="2259"/>
      <c r="AO166" s="2260"/>
      <c r="AP166" s="1908" t="s">
        <v>3716</v>
      </c>
      <c r="BC166" s="214"/>
      <c r="BD166" s="214"/>
      <c r="BE166" s="214"/>
      <c r="BF166" s="214"/>
    </row>
    <row r="167" spans="1:58" ht="45" hidden="1" customHeight="1">
      <c r="A167" s="808"/>
      <c r="B167" s="2280"/>
      <c r="C167" s="2281"/>
      <c r="D167" s="2282"/>
      <c r="E167" s="1909" t="s">
        <v>3682</v>
      </c>
      <c r="F167" s="1911" t="s">
        <v>3688</v>
      </c>
      <c r="G167" s="1911"/>
      <c r="H167" s="2286" t="s">
        <v>280</v>
      </c>
      <c r="I167" s="2281"/>
      <c r="J167" s="2282"/>
      <c r="K167" s="2286" t="s">
        <v>378</v>
      </c>
      <c r="L167" s="2282"/>
      <c r="M167" s="1911">
        <f>VLOOKUP(K167,'Estimate Details'!$R:$BR,20,FALSE)</f>
        <v>0</v>
      </c>
      <c r="N167" s="1911" t="e">
        <f>VLOOKUP(M167,#REF!,2,FALSE)</f>
        <v>#REF!</v>
      </c>
      <c r="O167" s="1911" t="s">
        <v>4084</v>
      </c>
      <c r="P167" s="2287" t="s">
        <v>3688</v>
      </c>
      <c r="Q167" s="2281"/>
      <c r="R167" s="2282"/>
      <c r="S167" s="1911" t="s">
        <v>4122</v>
      </c>
      <c r="T167" s="1911" t="s">
        <v>3689</v>
      </c>
      <c r="U167" s="1911" t="s">
        <v>3688</v>
      </c>
      <c r="V167" s="1911" t="s">
        <v>3688</v>
      </c>
      <c r="W167" s="1911" t="s">
        <v>3688</v>
      </c>
      <c r="X167" s="1911"/>
      <c r="Y167" s="1911"/>
      <c r="Z167" s="1911"/>
      <c r="AA167" s="1911" t="s">
        <v>3694</v>
      </c>
      <c r="AB167" s="1911" t="s">
        <v>3688</v>
      </c>
      <c r="AC167" s="1911" t="s">
        <v>4123</v>
      </c>
      <c r="AD167" s="2286" t="s">
        <v>3688</v>
      </c>
      <c r="AE167" s="2281"/>
      <c r="AF167" s="2282"/>
      <c r="AG167" s="2286" t="s">
        <v>3696</v>
      </c>
      <c r="AH167" s="2281"/>
      <c r="AI167" s="2282"/>
      <c r="AJ167" s="1911" t="s">
        <v>4031</v>
      </c>
      <c r="AK167" s="2286" t="s">
        <v>3688</v>
      </c>
      <c r="AL167" s="2281"/>
      <c r="AM167" s="2259"/>
      <c r="AN167" s="2281"/>
      <c r="AO167" s="2282"/>
      <c r="AP167" s="1911" t="s">
        <v>3688</v>
      </c>
      <c r="BC167" s="214"/>
      <c r="BD167" s="214"/>
      <c r="BE167" s="214"/>
      <c r="BF167" s="214"/>
    </row>
    <row r="168" spans="1:58" ht="45" hidden="1" customHeight="1">
      <c r="B168" s="2277"/>
      <c r="C168" s="2259"/>
      <c r="D168" s="2260"/>
      <c r="E168" s="1908" t="s">
        <v>3682</v>
      </c>
      <c r="F168" s="1910" t="s">
        <v>3688</v>
      </c>
      <c r="G168" s="1910"/>
      <c r="H168" s="2285" t="s">
        <v>280</v>
      </c>
      <c r="I168" s="2259"/>
      <c r="J168" s="2260"/>
      <c r="K168" s="2285" t="s">
        <v>438</v>
      </c>
      <c r="L168" s="2260"/>
      <c r="M168" s="1910">
        <f>VLOOKUP(K168,'Estimate Details'!$R:$BR,20,FALSE)</f>
        <v>0</v>
      </c>
      <c r="N168" s="1910" t="e">
        <f>VLOOKUP(M168,#REF!,2,FALSE)</f>
        <v>#REF!</v>
      </c>
      <c r="O168" s="1910" t="s">
        <v>4087</v>
      </c>
      <c r="P168" s="2285" t="s">
        <v>3688</v>
      </c>
      <c r="Q168" s="2259"/>
      <c r="R168" s="2260"/>
      <c r="S168" s="1910" t="s">
        <v>4122</v>
      </c>
      <c r="T168" s="1910" t="s">
        <v>3689</v>
      </c>
      <c r="U168" s="1910" t="s">
        <v>3688</v>
      </c>
      <c r="V168" s="1910" t="s">
        <v>3688</v>
      </c>
      <c r="W168" s="1910" t="s">
        <v>3688</v>
      </c>
      <c r="X168" s="1910"/>
      <c r="Y168" s="1910"/>
      <c r="Z168" s="1910"/>
      <c r="AA168" s="1910" t="s">
        <v>3694</v>
      </c>
      <c r="AB168" s="1910" t="s">
        <v>3688</v>
      </c>
      <c r="AC168" s="1910" t="s">
        <v>4088</v>
      </c>
      <c r="AD168" s="2285" t="s">
        <v>3688</v>
      </c>
      <c r="AE168" s="2259"/>
      <c r="AF168" s="2260"/>
      <c r="AG168" s="2285" t="s">
        <v>3696</v>
      </c>
      <c r="AH168" s="2259"/>
      <c r="AI168" s="2260"/>
      <c r="AJ168" s="1910" t="s">
        <v>4031</v>
      </c>
      <c r="AK168" s="2285" t="s">
        <v>3688</v>
      </c>
      <c r="AL168" s="2259"/>
      <c r="AM168" s="2259"/>
      <c r="AN168" s="2259"/>
      <c r="AO168" s="2260"/>
      <c r="AP168" s="1910" t="s">
        <v>3688</v>
      </c>
      <c r="BC168" s="214"/>
      <c r="BD168" s="214"/>
      <c r="BE168" s="214"/>
      <c r="BF168" s="214"/>
    </row>
    <row r="169" spans="1:58" ht="45" hidden="1" customHeight="1">
      <c r="A169" s="808"/>
      <c r="B169" s="2280"/>
      <c r="C169" s="2281"/>
      <c r="D169" s="2282"/>
      <c r="E169" s="1909" t="s">
        <v>3682</v>
      </c>
      <c r="F169" s="1911" t="s">
        <v>3688</v>
      </c>
      <c r="G169" s="1911"/>
      <c r="H169" s="2286" t="s">
        <v>280</v>
      </c>
      <c r="I169" s="2281"/>
      <c r="J169" s="2282"/>
      <c r="K169" s="2286" t="s">
        <v>440</v>
      </c>
      <c r="L169" s="2282"/>
      <c r="M169" s="1911">
        <f>VLOOKUP(K169,'Estimate Details'!$R:$BR,20,FALSE)</f>
        <v>0</v>
      </c>
      <c r="N169" s="1911" t="e">
        <f>VLOOKUP(M169,#REF!,2,FALSE)</f>
        <v>#REF!</v>
      </c>
      <c r="O169" s="1911" t="s">
        <v>4089</v>
      </c>
      <c r="P169" s="2287" t="s">
        <v>3688</v>
      </c>
      <c r="Q169" s="2281"/>
      <c r="R169" s="2282"/>
      <c r="S169" s="1911" t="s">
        <v>4122</v>
      </c>
      <c r="T169" s="1911" t="s">
        <v>3689</v>
      </c>
      <c r="U169" s="1911" t="s">
        <v>3688</v>
      </c>
      <c r="V169" s="1911" t="s">
        <v>3688</v>
      </c>
      <c r="W169" s="1911" t="s">
        <v>3688</v>
      </c>
      <c r="X169" s="1911"/>
      <c r="Y169" s="1911"/>
      <c r="Z169" s="1911"/>
      <c r="AA169" s="1911" t="s">
        <v>3694</v>
      </c>
      <c r="AB169" s="1911" t="s">
        <v>3688</v>
      </c>
      <c r="AC169" s="1911" t="s">
        <v>4124</v>
      </c>
      <c r="AD169" s="2286" t="s">
        <v>3688</v>
      </c>
      <c r="AE169" s="2281"/>
      <c r="AF169" s="2282"/>
      <c r="AG169" s="2286" t="s">
        <v>3696</v>
      </c>
      <c r="AH169" s="2281"/>
      <c r="AI169" s="2282"/>
      <c r="AJ169" s="1911" t="s">
        <v>4031</v>
      </c>
      <c r="AK169" s="2286" t="s">
        <v>3688</v>
      </c>
      <c r="AL169" s="2281"/>
      <c r="AM169" s="2259"/>
      <c r="AN169" s="2281"/>
      <c r="AO169" s="2282"/>
      <c r="AP169" s="1911" t="s">
        <v>3688</v>
      </c>
      <c r="BC169" s="214"/>
      <c r="BD169" s="214"/>
      <c r="BE169" s="214"/>
      <c r="BF169" s="214"/>
    </row>
    <row r="170" spans="1:58" ht="45" hidden="1" customHeight="1">
      <c r="B170" s="2277"/>
      <c r="C170" s="2259"/>
      <c r="D170" s="2260"/>
      <c r="E170" s="1908" t="s">
        <v>3682</v>
      </c>
      <c r="F170" s="1910" t="s">
        <v>3688</v>
      </c>
      <c r="G170" s="1910"/>
      <c r="H170" s="2285" t="s">
        <v>280</v>
      </c>
      <c r="I170" s="2259"/>
      <c r="J170" s="2260"/>
      <c r="K170" s="2285" t="s">
        <v>380</v>
      </c>
      <c r="L170" s="2260"/>
      <c r="M170" s="1910">
        <f>VLOOKUP(K170,'Estimate Details'!$R:$BR,20,FALSE)</f>
        <v>0</v>
      </c>
      <c r="N170" s="1910" t="e">
        <f>VLOOKUP(M170,#REF!,2,FALSE)</f>
        <v>#REF!</v>
      </c>
      <c r="O170" s="1910" t="s">
        <v>4091</v>
      </c>
      <c r="P170" s="2285" t="s">
        <v>3688</v>
      </c>
      <c r="Q170" s="2259"/>
      <c r="R170" s="2260"/>
      <c r="S170" s="1910" t="s">
        <v>4122</v>
      </c>
      <c r="T170" s="1910" t="s">
        <v>3689</v>
      </c>
      <c r="U170" s="1910" t="s">
        <v>3688</v>
      </c>
      <c r="V170" s="1910" t="s">
        <v>3688</v>
      </c>
      <c r="W170" s="1910" t="s">
        <v>3688</v>
      </c>
      <c r="X170" s="1910"/>
      <c r="Y170" s="1910"/>
      <c r="Z170" s="1910"/>
      <c r="AA170" s="1910" t="s">
        <v>3694</v>
      </c>
      <c r="AB170" s="1910" t="s">
        <v>3688</v>
      </c>
      <c r="AC170" s="1910" t="s">
        <v>4071</v>
      </c>
      <c r="AD170" s="2285" t="s">
        <v>3688</v>
      </c>
      <c r="AE170" s="2259"/>
      <c r="AF170" s="2260"/>
      <c r="AG170" s="2285" t="s">
        <v>3696</v>
      </c>
      <c r="AH170" s="2259"/>
      <c r="AI170" s="2260"/>
      <c r="AJ170" s="1910" t="s">
        <v>4031</v>
      </c>
      <c r="AK170" s="2285" t="s">
        <v>3688</v>
      </c>
      <c r="AL170" s="2259"/>
      <c r="AM170" s="2259"/>
      <c r="AN170" s="2259"/>
      <c r="AO170" s="2260"/>
      <c r="AP170" s="1910" t="s">
        <v>3688</v>
      </c>
      <c r="BC170" s="214"/>
      <c r="BD170" s="214"/>
      <c r="BE170" s="214"/>
      <c r="BF170" s="214"/>
    </row>
    <row r="171" spans="1:58" ht="45" hidden="1" customHeight="1">
      <c r="A171" s="808"/>
      <c r="B171" s="2280"/>
      <c r="C171" s="2281"/>
      <c r="D171" s="2282"/>
      <c r="E171" s="1909" t="s">
        <v>3682</v>
      </c>
      <c r="F171" s="1911" t="s">
        <v>3688</v>
      </c>
      <c r="G171" s="1911"/>
      <c r="H171" s="2286" t="s">
        <v>280</v>
      </c>
      <c r="I171" s="2281"/>
      <c r="J171" s="2282"/>
      <c r="K171" s="2286" t="s">
        <v>382</v>
      </c>
      <c r="L171" s="2282"/>
      <c r="M171" s="1911">
        <f>VLOOKUP(K171,'Estimate Details'!$R:$BR,20,FALSE)</f>
        <v>0</v>
      </c>
      <c r="N171" s="1911" t="e">
        <f>VLOOKUP(M171,#REF!,2,FALSE)</f>
        <v>#REF!</v>
      </c>
      <c r="O171" s="1911" t="s">
        <v>4092</v>
      </c>
      <c r="P171" s="2287" t="s">
        <v>3688</v>
      </c>
      <c r="Q171" s="2281"/>
      <c r="R171" s="2282"/>
      <c r="S171" s="1911" t="s">
        <v>4122</v>
      </c>
      <c r="T171" s="1911" t="s">
        <v>3689</v>
      </c>
      <c r="U171" s="1911" t="s">
        <v>3688</v>
      </c>
      <c r="V171" s="1911" t="s">
        <v>3688</v>
      </c>
      <c r="W171" s="1911" t="s">
        <v>3688</v>
      </c>
      <c r="X171" s="1911"/>
      <c r="Y171" s="1911"/>
      <c r="Z171" s="1911"/>
      <c r="AA171" s="1911" t="s">
        <v>3694</v>
      </c>
      <c r="AB171" s="1911" t="s">
        <v>3688</v>
      </c>
      <c r="AC171" s="1911" t="s">
        <v>4093</v>
      </c>
      <c r="AD171" s="2286" t="s">
        <v>3688</v>
      </c>
      <c r="AE171" s="2281"/>
      <c r="AF171" s="2282"/>
      <c r="AG171" s="2286" t="s">
        <v>3696</v>
      </c>
      <c r="AH171" s="2281"/>
      <c r="AI171" s="2282"/>
      <c r="AJ171" s="1911" t="s">
        <v>4031</v>
      </c>
      <c r="AK171" s="2286" t="s">
        <v>3688</v>
      </c>
      <c r="AL171" s="2281"/>
      <c r="AM171" s="2259"/>
      <c r="AN171" s="2281"/>
      <c r="AO171" s="2282"/>
      <c r="AP171" s="1911" t="s">
        <v>3688</v>
      </c>
      <c r="BC171" s="214"/>
      <c r="BD171" s="214"/>
      <c r="BE171" s="214"/>
      <c r="BF171" s="214"/>
    </row>
    <row r="172" spans="1:58" ht="45" hidden="1" customHeight="1">
      <c r="B172" s="2277"/>
      <c r="C172" s="2259"/>
      <c r="D172" s="2260"/>
      <c r="E172" s="1908" t="s">
        <v>3682</v>
      </c>
      <c r="F172" s="1910" t="s">
        <v>3688</v>
      </c>
      <c r="G172" s="1910"/>
      <c r="H172" s="2285" t="s">
        <v>280</v>
      </c>
      <c r="I172" s="2259"/>
      <c r="J172" s="2260"/>
      <c r="K172" s="2285" t="s">
        <v>384</v>
      </c>
      <c r="L172" s="2260"/>
      <c r="M172" s="1910">
        <f>VLOOKUP(K172,'Estimate Details'!$R:$BR,20,FALSE)</f>
        <v>0</v>
      </c>
      <c r="N172" s="1910" t="e">
        <f>VLOOKUP(M172,#REF!,2,FALSE)</f>
        <v>#REF!</v>
      </c>
      <c r="O172" s="1910" t="s">
        <v>4094</v>
      </c>
      <c r="P172" s="2285" t="s">
        <v>3688</v>
      </c>
      <c r="Q172" s="2259"/>
      <c r="R172" s="2260"/>
      <c r="S172" s="1910" t="s">
        <v>4122</v>
      </c>
      <c r="T172" s="1910" t="s">
        <v>3689</v>
      </c>
      <c r="U172" s="1910" t="s">
        <v>3688</v>
      </c>
      <c r="V172" s="1910" t="s">
        <v>3688</v>
      </c>
      <c r="W172" s="1910" t="s">
        <v>3688</v>
      </c>
      <c r="X172" s="1910"/>
      <c r="Y172" s="1910"/>
      <c r="Z172" s="1910"/>
      <c r="AA172" s="1910" t="s">
        <v>3694</v>
      </c>
      <c r="AB172" s="1910" t="s">
        <v>3688</v>
      </c>
      <c r="AC172" s="1910" t="s">
        <v>4125</v>
      </c>
      <c r="AD172" s="2285" t="s">
        <v>3688</v>
      </c>
      <c r="AE172" s="2259"/>
      <c r="AF172" s="2260"/>
      <c r="AG172" s="2285" t="s">
        <v>3696</v>
      </c>
      <c r="AH172" s="2259"/>
      <c r="AI172" s="2260"/>
      <c r="AJ172" s="1910" t="s">
        <v>4031</v>
      </c>
      <c r="AK172" s="2285" t="s">
        <v>3688</v>
      </c>
      <c r="AL172" s="2259"/>
      <c r="AM172" s="2259"/>
      <c r="AN172" s="2259"/>
      <c r="AO172" s="2260"/>
      <c r="AP172" s="1910" t="s">
        <v>3688</v>
      </c>
      <c r="BC172" s="214"/>
      <c r="BD172" s="214"/>
      <c r="BE172" s="214"/>
      <c r="BF172" s="214"/>
    </row>
    <row r="173" spans="1:58" ht="45" hidden="1" customHeight="1">
      <c r="A173" s="808"/>
      <c r="B173" s="2280"/>
      <c r="C173" s="2281"/>
      <c r="D173" s="2282"/>
      <c r="E173" s="1909" t="s">
        <v>3682</v>
      </c>
      <c r="F173" s="1911" t="s">
        <v>3688</v>
      </c>
      <c r="G173" s="1911"/>
      <c r="H173" s="2286" t="s">
        <v>280</v>
      </c>
      <c r="I173" s="2281"/>
      <c r="J173" s="2282"/>
      <c r="K173" s="2286" t="s">
        <v>386</v>
      </c>
      <c r="L173" s="2282"/>
      <c r="M173" s="1911">
        <f>VLOOKUP(K173,'Estimate Details'!$R:$BR,20,FALSE)</f>
        <v>0</v>
      </c>
      <c r="N173" s="1911" t="e">
        <f>VLOOKUP(M173,#REF!,2,FALSE)</f>
        <v>#REF!</v>
      </c>
      <c r="O173" s="1911" t="s">
        <v>4094</v>
      </c>
      <c r="P173" s="2287" t="s">
        <v>3688</v>
      </c>
      <c r="Q173" s="2281"/>
      <c r="R173" s="2282"/>
      <c r="S173" s="1911" t="s">
        <v>4122</v>
      </c>
      <c r="T173" s="1911" t="s">
        <v>3689</v>
      </c>
      <c r="U173" s="1911" t="s">
        <v>3688</v>
      </c>
      <c r="V173" s="1911" t="s">
        <v>3688</v>
      </c>
      <c r="W173" s="1911" t="s">
        <v>3688</v>
      </c>
      <c r="X173" s="1911"/>
      <c r="Y173" s="1911"/>
      <c r="Z173" s="1911"/>
      <c r="AA173" s="1911" t="s">
        <v>3694</v>
      </c>
      <c r="AB173" s="1911" t="s">
        <v>3688</v>
      </c>
      <c r="AC173" s="1911" t="s">
        <v>4125</v>
      </c>
      <c r="AD173" s="2286" t="s">
        <v>3688</v>
      </c>
      <c r="AE173" s="2281"/>
      <c r="AF173" s="2282"/>
      <c r="AG173" s="2286" t="s">
        <v>3696</v>
      </c>
      <c r="AH173" s="2281"/>
      <c r="AI173" s="2282"/>
      <c r="AJ173" s="1911" t="s">
        <v>4031</v>
      </c>
      <c r="AK173" s="2286" t="s">
        <v>3688</v>
      </c>
      <c r="AL173" s="2281"/>
      <c r="AM173" s="2259"/>
      <c r="AN173" s="2281"/>
      <c r="AO173" s="2282"/>
      <c r="AP173" s="1911" t="s">
        <v>3688</v>
      </c>
      <c r="BC173" s="214"/>
      <c r="BD173" s="214"/>
      <c r="BE173" s="214"/>
      <c r="BF173" s="214"/>
    </row>
    <row r="174" spans="1:58" ht="45" hidden="1" customHeight="1">
      <c r="B174" s="2277"/>
      <c r="C174" s="2259"/>
      <c r="D174" s="2260"/>
      <c r="E174" s="1908" t="s">
        <v>3682</v>
      </c>
      <c r="F174" s="1910" t="s">
        <v>3688</v>
      </c>
      <c r="G174" s="1910"/>
      <c r="H174" s="2285" t="s">
        <v>280</v>
      </c>
      <c r="I174" s="2259"/>
      <c r="J174" s="2260"/>
      <c r="K174" s="2285" t="s">
        <v>388</v>
      </c>
      <c r="L174" s="2260"/>
      <c r="M174" s="1910">
        <f>VLOOKUP(K174,'Estimate Details'!$R:$BR,20,FALSE)</f>
        <v>0</v>
      </c>
      <c r="N174" s="1910" t="e">
        <f>VLOOKUP(M174,#REF!,2,FALSE)</f>
        <v>#REF!</v>
      </c>
      <c r="O174" s="1910" t="s">
        <v>4096</v>
      </c>
      <c r="P174" s="2285" t="s">
        <v>3688</v>
      </c>
      <c r="Q174" s="2259"/>
      <c r="R174" s="2260"/>
      <c r="S174" s="1910" t="s">
        <v>4122</v>
      </c>
      <c r="T174" s="1910" t="s">
        <v>3689</v>
      </c>
      <c r="U174" s="1910" t="s">
        <v>3688</v>
      </c>
      <c r="V174" s="1910" t="s">
        <v>3688</v>
      </c>
      <c r="W174" s="1910" t="s">
        <v>3688</v>
      </c>
      <c r="X174" s="1910"/>
      <c r="Y174" s="1910"/>
      <c r="Z174" s="1910"/>
      <c r="AA174" s="1910" t="s">
        <v>3694</v>
      </c>
      <c r="AB174" s="1910" t="s">
        <v>3688</v>
      </c>
      <c r="AC174" s="1910" t="s">
        <v>4071</v>
      </c>
      <c r="AD174" s="2285" t="s">
        <v>3688</v>
      </c>
      <c r="AE174" s="2259"/>
      <c r="AF174" s="2260"/>
      <c r="AG174" s="2285" t="s">
        <v>3696</v>
      </c>
      <c r="AH174" s="2259"/>
      <c r="AI174" s="2260"/>
      <c r="AJ174" s="1910" t="s">
        <v>4031</v>
      </c>
      <c r="AK174" s="2285" t="s">
        <v>3688</v>
      </c>
      <c r="AL174" s="2259"/>
      <c r="AM174" s="2259"/>
      <c r="AN174" s="2259"/>
      <c r="AO174" s="2260"/>
      <c r="AP174" s="1910" t="s">
        <v>3688</v>
      </c>
      <c r="BC174" s="214"/>
      <c r="BD174" s="214"/>
      <c r="BE174" s="214"/>
      <c r="BF174" s="214"/>
    </row>
    <row r="175" spans="1:58" ht="45" hidden="1" customHeight="1">
      <c r="A175" s="808"/>
      <c r="B175" s="2280"/>
      <c r="C175" s="2281"/>
      <c r="D175" s="2282"/>
      <c r="E175" s="1909" t="s">
        <v>3682</v>
      </c>
      <c r="F175" s="1911" t="s">
        <v>3688</v>
      </c>
      <c r="G175" s="1911"/>
      <c r="H175" s="2286" t="s">
        <v>280</v>
      </c>
      <c r="I175" s="2281"/>
      <c r="J175" s="2282"/>
      <c r="K175" s="2286" t="s">
        <v>390</v>
      </c>
      <c r="L175" s="2282"/>
      <c r="M175" s="1911">
        <f>VLOOKUP(K175,'Estimate Details'!$R:$BR,20,FALSE)</f>
        <v>0</v>
      </c>
      <c r="N175" s="1911" t="e">
        <f>VLOOKUP(M175,#REF!,2,FALSE)</f>
        <v>#REF!</v>
      </c>
      <c r="O175" s="1911" t="s">
        <v>4096</v>
      </c>
      <c r="P175" s="2287" t="s">
        <v>3688</v>
      </c>
      <c r="Q175" s="2281"/>
      <c r="R175" s="2282"/>
      <c r="S175" s="1911" t="s">
        <v>4122</v>
      </c>
      <c r="T175" s="1911" t="s">
        <v>3689</v>
      </c>
      <c r="U175" s="1911" t="s">
        <v>3688</v>
      </c>
      <c r="V175" s="1911" t="s">
        <v>3688</v>
      </c>
      <c r="W175" s="1911" t="s">
        <v>3688</v>
      </c>
      <c r="X175" s="1911"/>
      <c r="Y175" s="1911"/>
      <c r="Z175" s="1911"/>
      <c r="AA175" s="1911" t="s">
        <v>3694</v>
      </c>
      <c r="AB175" s="1911" t="s">
        <v>3688</v>
      </c>
      <c r="AC175" s="1911" t="s">
        <v>4071</v>
      </c>
      <c r="AD175" s="2286" t="s">
        <v>3688</v>
      </c>
      <c r="AE175" s="2281"/>
      <c r="AF175" s="2282"/>
      <c r="AG175" s="2286" t="s">
        <v>3696</v>
      </c>
      <c r="AH175" s="2281"/>
      <c r="AI175" s="2282"/>
      <c r="AJ175" s="1911" t="s">
        <v>4031</v>
      </c>
      <c r="AK175" s="2286" t="s">
        <v>3688</v>
      </c>
      <c r="AL175" s="2281"/>
      <c r="AM175" s="2259"/>
      <c r="AN175" s="2281"/>
      <c r="AO175" s="2282"/>
      <c r="AP175" s="1911" t="s">
        <v>3688</v>
      </c>
      <c r="BC175" s="214"/>
      <c r="BD175" s="214"/>
      <c r="BE175" s="214"/>
      <c r="BF175" s="214"/>
    </row>
    <row r="176" spans="1:58" ht="45" hidden="1" customHeight="1">
      <c r="B176" s="2277"/>
      <c r="C176" s="2259"/>
      <c r="D176" s="2260"/>
      <c r="E176" s="1908" t="s">
        <v>3682</v>
      </c>
      <c r="F176" s="1910" t="s">
        <v>3688</v>
      </c>
      <c r="G176" s="1910"/>
      <c r="H176" s="2285" t="s">
        <v>280</v>
      </c>
      <c r="I176" s="2259"/>
      <c r="J176" s="2260"/>
      <c r="K176" s="2285" t="s">
        <v>392</v>
      </c>
      <c r="L176" s="2260"/>
      <c r="M176" s="1910">
        <f>VLOOKUP(K176,'Estimate Details'!$R:$BR,20,FALSE)</f>
        <v>0</v>
      </c>
      <c r="N176" s="1910" t="e">
        <f>VLOOKUP(M176,#REF!,2,FALSE)</f>
        <v>#REF!</v>
      </c>
      <c r="O176" s="1910" t="s">
        <v>4097</v>
      </c>
      <c r="P176" s="2285" t="s">
        <v>3688</v>
      </c>
      <c r="Q176" s="2259"/>
      <c r="R176" s="2260"/>
      <c r="S176" s="1910" t="s">
        <v>4122</v>
      </c>
      <c r="T176" s="1910" t="s">
        <v>3689</v>
      </c>
      <c r="U176" s="1910" t="s">
        <v>3688</v>
      </c>
      <c r="V176" s="1910" t="s">
        <v>3688</v>
      </c>
      <c r="W176" s="1910" t="s">
        <v>3688</v>
      </c>
      <c r="X176" s="1910"/>
      <c r="Y176" s="1910"/>
      <c r="Z176" s="1910"/>
      <c r="AA176" s="1910" t="s">
        <v>3694</v>
      </c>
      <c r="AB176" s="1910" t="s">
        <v>3688</v>
      </c>
      <c r="AC176" s="1910" t="s">
        <v>4098</v>
      </c>
      <c r="AD176" s="2285" t="s">
        <v>3688</v>
      </c>
      <c r="AE176" s="2259"/>
      <c r="AF176" s="2260"/>
      <c r="AG176" s="2285" t="s">
        <v>3696</v>
      </c>
      <c r="AH176" s="2259"/>
      <c r="AI176" s="2260"/>
      <c r="AJ176" s="1910" t="s">
        <v>4031</v>
      </c>
      <c r="AK176" s="2285" t="s">
        <v>3688</v>
      </c>
      <c r="AL176" s="2259"/>
      <c r="AM176" s="2259"/>
      <c r="AN176" s="2259"/>
      <c r="AO176" s="2260"/>
      <c r="AP176" s="1910" t="s">
        <v>3688</v>
      </c>
      <c r="BC176" s="214"/>
      <c r="BD176" s="214"/>
      <c r="BE176" s="214"/>
      <c r="BF176" s="214"/>
    </row>
    <row r="177" spans="1:58" ht="45" hidden="1" customHeight="1">
      <c r="A177" s="808"/>
      <c r="B177" s="2280"/>
      <c r="C177" s="2281"/>
      <c r="D177" s="2282"/>
      <c r="E177" s="1909" t="s">
        <v>3682</v>
      </c>
      <c r="F177" s="1911" t="s">
        <v>3688</v>
      </c>
      <c r="G177" s="1911"/>
      <c r="H177" s="2286" t="s">
        <v>280</v>
      </c>
      <c r="I177" s="2281"/>
      <c r="J177" s="2282"/>
      <c r="K177" s="2286" t="s">
        <v>394</v>
      </c>
      <c r="L177" s="2282"/>
      <c r="M177" s="1911">
        <f>VLOOKUP(K177,'Estimate Details'!$R:$BR,20,FALSE)</f>
        <v>0</v>
      </c>
      <c r="N177" s="1911" t="e">
        <f>VLOOKUP(M177,#REF!,2,FALSE)</f>
        <v>#REF!</v>
      </c>
      <c r="O177" s="1911" t="s">
        <v>4099</v>
      </c>
      <c r="P177" s="2287" t="s">
        <v>3688</v>
      </c>
      <c r="Q177" s="2281"/>
      <c r="R177" s="2282"/>
      <c r="S177" s="1911" t="s">
        <v>4122</v>
      </c>
      <c r="T177" s="1911" t="s">
        <v>3689</v>
      </c>
      <c r="U177" s="1911" t="s">
        <v>3688</v>
      </c>
      <c r="V177" s="1911" t="s">
        <v>3688</v>
      </c>
      <c r="W177" s="1911" t="s">
        <v>3688</v>
      </c>
      <c r="X177" s="1911"/>
      <c r="Y177" s="1911"/>
      <c r="Z177" s="1911"/>
      <c r="AA177" s="1911" t="s">
        <v>3694</v>
      </c>
      <c r="AB177" s="1911" t="s">
        <v>3688</v>
      </c>
      <c r="AC177" s="1911" t="s">
        <v>4100</v>
      </c>
      <c r="AD177" s="2286" t="s">
        <v>3688</v>
      </c>
      <c r="AE177" s="2281"/>
      <c r="AF177" s="2282"/>
      <c r="AG177" s="2286" t="s">
        <v>3696</v>
      </c>
      <c r="AH177" s="2281"/>
      <c r="AI177" s="2282"/>
      <c r="AJ177" s="1911" t="s">
        <v>4031</v>
      </c>
      <c r="AK177" s="2286" t="s">
        <v>3688</v>
      </c>
      <c r="AL177" s="2281"/>
      <c r="AM177" s="2259"/>
      <c r="AN177" s="2281"/>
      <c r="AO177" s="2282"/>
      <c r="AP177" s="1911" t="s">
        <v>3688</v>
      </c>
      <c r="BC177" s="214"/>
      <c r="BD177" s="214"/>
      <c r="BE177" s="214"/>
      <c r="BF177" s="214"/>
    </row>
    <row r="178" spans="1:58" ht="45" hidden="1" customHeight="1">
      <c r="B178" s="2277"/>
      <c r="C178" s="2259"/>
      <c r="D178" s="2260"/>
      <c r="E178" s="1908" t="s">
        <v>3682</v>
      </c>
      <c r="F178" s="1910" t="s">
        <v>3688</v>
      </c>
      <c r="G178" s="1910"/>
      <c r="H178" s="2285" t="s">
        <v>280</v>
      </c>
      <c r="I178" s="2259"/>
      <c r="J178" s="2260"/>
      <c r="K178" s="2285" t="s">
        <v>396</v>
      </c>
      <c r="L178" s="2260"/>
      <c r="M178" s="1910">
        <f>VLOOKUP(K178,'Estimate Details'!$R:$BR,20,FALSE)</f>
        <v>0</v>
      </c>
      <c r="N178" s="1910" t="e">
        <f>VLOOKUP(M178,#REF!,2,FALSE)</f>
        <v>#REF!</v>
      </c>
      <c r="O178" s="1910" t="s">
        <v>4101</v>
      </c>
      <c r="P178" s="2285" t="s">
        <v>3688</v>
      </c>
      <c r="Q178" s="2259"/>
      <c r="R178" s="2260"/>
      <c r="S178" s="1910" t="s">
        <v>4122</v>
      </c>
      <c r="T178" s="1910" t="s">
        <v>3689</v>
      </c>
      <c r="U178" s="1910" t="s">
        <v>3688</v>
      </c>
      <c r="V178" s="1910" t="s">
        <v>3688</v>
      </c>
      <c r="W178" s="1910" t="s">
        <v>3688</v>
      </c>
      <c r="X178" s="1910"/>
      <c r="Y178" s="1910"/>
      <c r="Z178" s="1910"/>
      <c r="AA178" s="1910" t="s">
        <v>3694</v>
      </c>
      <c r="AB178" s="1910" t="s">
        <v>3688</v>
      </c>
      <c r="AC178" s="1910" t="s">
        <v>4102</v>
      </c>
      <c r="AD178" s="2285" t="s">
        <v>3688</v>
      </c>
      <c r="AE178" s="2259"/>
      <c r="AF178" s="2260"/>
      <c r="AG178" s="2285" t="s">
        <v>3696</v>
      </c>
      <c r="AH178" s="2259"/>
      <c r="AI178" s="2260"/>
      <c r="AJ178" s="1910" t="s">
        <v>4031</v>
      </c>
      <c r="AK178" s="2285" t="s">
        <v>3688</v>
      </c>
      <c r="AL178" s="2259"/>
      <c r="AM178" s="2259"/>
      <c r="AN178" s="2259"/>
      <c r="AO178" s="2260"/>
      <c r="AP178" s="1910" t="s">
        <v>3688</v>
      </c>
      <c r="BC178" s="214"/>
      <c r="BD178" s="214"/>
      <c r="BE178" s="214"/>
      <c r="BF178" s="214"/>
    </row>
    <row r="179" spans="1:58" ht="45" hidden="1" customHeight="1">
      <c r="A179" s="808"/>
      <c r="B179" s="2280"/>
      <c r="C179" s="2281"/>
      <c r="D179" s="2282"/>
      <c r="E179" s="1909" t="s">
        <v>3682</v>
      </c>
      <c r="F179" s="1911" t="s">
        <v>3688</v>
      </c>
      <c r="G179" s="1911"/>
      <c r="H179" s="2286" t="s">
        <v>280</v>
      </c>
      <c r="I179" s="2281"/>
      <c r="J179" s="2282"/>
      <c r="K179" s="2286" t="s">
        <v>399</v>
      </c>
      <c r="L179" s="2282"/>
      <c r="M179" s="1911">
        <f>VLOOKUP(K179,'Estimate Details'!$R:$BR,20,FALSE)</f>
        <v>0</v>
      </c>
      <c r="N179" s="1911" t="e">
        <f>VLOOKUP(M179,#REF!,2,FALSE)</f>
        <v>#REF!</v>
      </c>
      <c r="O179" s="1911" t="s">
        <v>4126</v>
      </c>
      <c r="P179" s="2287" t="s">
        <v>3688</v>
      </c>
      <c r="Q179" s="2281"/>
      <c r="R179" s="2282"/>
      <c r="S179" s="1911" t="s">
        <v>4122</v>
      </c>
      <c r="T179" s="1911" t="s">
        <v>3689</v>
      </c>
      <c r="U179" s="1911" t="s">
        <v>3688</v>
      </c>
      <c r="V179" s="1911" t="s">
        <v>3688</v>
      </c>
      <c r="W179" s="1911" t="s">
        <v>3688</v>
      </c>
      <c r="X179" s="1911"/>
      <c r="Y179" s="1911"/>
      <c r="Z179" s="1911"/>
      <c r="AA179" s="1911" t="s">
        <v>3694</v>
      </c>
      <c r="AB179" s="1911" t="s">
        <v>3688</v>
      </c>
      <c r="AC179" s="1911" t="s">
        <v>4079</v>
      </c>
      <c r="AD179" s="2286" t="s">
        <v>3688</v>
      </c>
      <c r="AE179" s="2281"/>
      <c r="AF179" s="2282"/>
      <c r="AG179" s="2286" t="s">
        <v>3696</v>
      </c>
      <c r="AH179" s="2281"/>
      <c r="AI179" s="2282"/>
      <c r="AJ179" s="1911" t="s">
        <v>4031</v>
      </c>
      <c r="AK179" s="2286" t="s">
        <v>3688</v>
      </c>
      <c r="AL179" s="2281"/>
      <c r="AM179" s="2259"/>
      <c r="AN179" s="2281"/>
      <c r="AO179" s="2282"/>
      <c r="AP179" s="1911" t="s">
        <v>3688</v>
      </c>
      <c r="BC179" s="214"/>
      <c r="BD179" s="214"/>
      <c r="BE179" s="214"/>
      <c r="BF179" s="214"/>
    </row>
    <row r="180" spans="1:58" ht="45" hidden="1" customHeight="1">
      <c r="B180" s="2277"/>
      <c r="C180" s="2259"/>
      <c r="D180" s="2260"/>
      <c r="E180" s="1908" t="s">
        <v>3682</v>
      </c>
      <c r="F180" s="1910" t="s">
        <v>3688</v>
      </c>
      <c r="G180" s="1910"/>
      <c r="H180" s="2285" t="s">
        <v>280</v>
      </c>
      <c r="I180" s="2259"/>
      <c r="J180" s="2260"/>
      <c r="K180" s="2285" t="s">
        <v>401</v>
      </c>
      <c r="L180" s="2260"/>
      <c r="M180" s="1910">
        <f>VLOOKUP(K180,'Estimate Details'!$R:$BR,20,FALSE)</f>
        <v>0</v>
      </c>
      <c r="N180" s="1910" t="e">
        <f>VLOOKUP(M180,#REF!,2,FALSE)</f>
        <v>#REF!</v>
      </c>
      <c r="O180" s="1910" t="s">
        <v>4104</v>
      </c>
      <c r="P180" s="2285" t="s">
        <v>3688</v>
      </c>
      <c r="Q180" s="2259"/>
      <c r="R180" s="2260"/>
      <c r="S180" s="1910" t="s">
        <v>4122</v>
      </c>
      <c r="T180" s="1910" t="s">
        <v>3689</v>
      </c>
      <c r="U180" s="1910" t="s">
        <v>3688</v>
      </c>
      <c r="V180" s="1910" t="s">
        <v>3688</v>
      </c>
      <c r="W180" s="1910" t="s">
        <v>3688</v>
      </c>
      <c r="X180" s="1910"/>
      <c r="Y180" s="1910"/>
      <c r="Z180" s="1910"/>
      <c r="AA180" s="1910" t="s">
        <v>3694</v>
      </c>
      <c r="AB180" s="1910" t="s">
        <v>3688</v>
      </c>
      <c r="AC180" s="1910" t="s">
        <v>4105</v>
      </c>
      <c r="AD180" s="2285" t="s">
        <v>3688</v>
      </c>
      <c r="AE180" s="2259"/>
      <c r="AF180" s="2260"/>
      <c r="AG180" s="2285" t="s">
        <v>3696</v>
      </c>
      <c r="AH180" s="2259"/>
      <c r="AI180" s="2260"/>
      <c r="AJ180" s="1910" t="s">
        <v>4031</v>
      </c>
      <c r="AK180" s="2285" t="s">
        <v>3688</v>
      </c>
      <c r="AL180" s="2259"/>
      <c r="AM180" s="2259"/>
      <c r="AN180" s="2259"/>
      <c r="AO180" s="2260"/>
      <c r="AP180" s="1910" t="s">
        <v>3688</v>
      </c>
      <c r="BC180" s="214"/>
      <c r="BD180" s="214"/>
      <c r="BE180" s="214"/>
      <c r="BF180" s="214"/>
    </row>
    <row r="181" spans="1:58" ht="45" hidden="1" customHeight="1">
      <c r="A181" s="808"/>
      <c r="B181" s="2280"/>
      <c r="C181" s="2281"/>
      <c r="D181" s="2282"/>
      <c r="E181" s="1909" t="s">
        <v>3682</v>
      </c>
      <c r="F181" s="1911" t="s">
        <v>3688</v>
      </c>
      <c r="G181" s="1911"/>
      <c r="H181" s="2286" t="s">
        <v>280</v>
      </c>
      <c r="I181" s="2281"/>
      <c r="J181" s="2282"/>
      <c r="K181" s="2286" t="s">
        <v>403</v>
      </c>
      <c r="L181" s="2282"/>
      <c r="M181" s="1911">
        <f>VLOOKUP(K181,'Estimate Details'!$R:$BR,20,FALSE)</f>
        <v>0</v>
      </c>
      <c r="N181" s="1911" t="e">
        <f>VLOOKUP(M181,#REF!,2,FALSE)</f>
        <v>#REF!</v>
      </c>
      <c r="O181" s="1911" t="s">
        <v>4106</v>
      </c>
      <c r="P181" s="2287" t="s">
        <v>3688</v>
      </c>
      <c r="Q181" s="2281"/>
      <c r="R181" s="2282"/>
      <c r="S181" s="1911" t="s">
        <v>4122</v>
      </c>
      <c r="T181" s="1911" t="s">
        <v>3689</v>
      </c>
      <c r="U181" s="1911" t="s">
        <v>3688</v>
      </c>
      <c r="V181" s="1911" t="s">
        <v>3688</v>
      </c>
      <c r="W181" s="1911" t="s">
        <v>3688</v>
      </c>
      <c r="X181" s="1911"/>
      <c r="Y181" s="1911"/>
      <c r="Z181" s="1911"/>
      <c r="AA181" s="1911" t="s">
        <v>3694</v>
      </c>
      <c r="AB181" s="1911" t="s">
        <v>3688</v>
      </c>
      <c r="AC181" s="1911" t="s">
        <v>4105</v>
      </c>
      <c r="AD181" s="2286" t="s">
        <v>3688</v>
      </c>
      <c r="AE181" s="2281"/>
      <c r="AF181" s="2282"/>
      <c r="AG181" s="2286" t="s">
        <v>3696</v>
      </c>
      <c r="AH181" s="2281"/>
      <c r="AI181" s="2282"/>
      <c r="AJ181" s="1911" t="s">
        <v>4031</v>
      </c>
      <c r="AK181" s="2286" t="s">
        <v>3688</v>
      </c>
      <c r="AL181" s="2281"/>
      <c r="AM181" s="2259"/>
      <c r="AN181" s="2281"/>
      <c r="AO181" s="2282"/>
      <c r="AP181" s="1911" t="s">
        <v>3688</v>
      </c>
      <c r="BC181" s="214"/>
      <c r="BD181" s="214"/>
      <c r="BE181" s="214"/>
      <c r="BF181" s="214"/>
    </row>
    <row r="182" spans="1:58" ht="45" hidden="1" customHeight="1">
      <c r="B182" s="2277"/>
      <c r="C182" s="2259"/>
      <c r="D182" s="2260"/>
      <c r="E182" s="1908" t="s">
        <v>3682</v>
      </c>
      <c r="F182" s="1910" t="s">
        <v>3688</v>
      </c>
      <c r="G182" s="1910"/>
      <c r="H182" s="2285" t="s">
        <v>280</v>
      </c>
      <c r="I182" s="2259"/>
      <c r="J182" s="2260"/>
      <c r="K182" s="2285" t="s">
        <v>405</v>
      </c>
      <c r="L182" s="2260"/>
      <c r="M182" s="1910">
        <f>VLOOKUP(K182,'Estimate Details'!$R:$BR,20,FALSE)</f>
        <v>0</v>
      </c>
      <c r="N182" s="1910" t="e">
        <f>VLOOKUP(M182,#REF!,2,FALSE)</f>
        <v>#REF!</v>
      </c>
      <c r="O182" s="1910" t="s">
        <v>4107</v>
      </c>
      <c r="P182" s="2285" t="s">
        <v>3688</v>
      </c>
      <c r="Q182" s="2259"/>
      <c r="R182" s="2260"/>
      <c r="S182" s="1910" t="s">
        <v>4122</v>
      </c>
      <c r="T182" s="1910" t="s">
        <v>3689</v>
      </c>
      <c r="U182" s="1910" t="s">
        <v>3688</v>
      </c>
      <c r="V182" s="1910" t="s">
        <v>3688</v>
      </c>
      <c r="W182" s="1910" t="s">
        <v>3688</v>
      </c>
      <c r="X182" s="1910"/>
      <c r="Y182" s="1910"/>
      <c r="Z182" s="1910"/>
      <c r="AA182" s="1910" t="s">
        <v>3694</v>
      </c>
      <c r="AB182" s="1910" t="s">
        <v>3688</v>
      </c>
      <c r="AC182" s="1910" t="s">
        <v>4077</v>
      </c>
      <c r="AD182" s="2285" t="s">
        <v>3688</v>
      </c>
      <c r="AE182" s="2259"/>
      <c r="AF182" s="2260"/>
      <c r="AG182" s="2285" t="s">
        <v>3696</v>
      </c>
      <c r="AH182" s="2259"/>
      <c r="AI182" s="2260"/>
      <c r="AJ182" s="1910" t="s">
        <v>4031</v>
      </c>
      <c r="AK182" s="2285" t="s">
        <v>3688</v>
      </c>
      <c r="AL182" s="2259"/>
      <c r="AM182" s="2259"/>
      <c r="AN182" s="2259"/>
      <c r="AO182" s="2260"/>
      <c r="AP182" s="1910" t="s">
        <v>3688</v>
      </c>
      <c r="BC182" s="214"/>
      <c r="BD182" s="214"/>
      <c r="BE182" s="214"/>
      <c r="BF182" s="214"/>
    </row>
    <row r="183" spans="1:58" ht="45" hidden="1" customHeight="1">
      <c r="A183" s="808"/>
      <c r="B183" s="2280"/>
      <c r="C183" s="2281"/>
      <c r="D183" s="2282"/>
      <c r="E183" s="1909" t="s">
        <v>3682</v>
      </c>
      <c r="F183" s="1911" t="s">
        <v>3688</v>
      </c>
      <c r="G183" s="1911"/>
      <c r="H183" s="2286" t="s">
        <v>280</v>
      </c>
      <c r="I183" s="2281"/>
      <c r="J183" s="2282"/>
      <c r="K183" s="2286" t="s">
        <v>407</v>
      </c>
      <c r="L183" s="2282"/>
      <c r="M183" s="1911">
        <f>VLOOKUP(K183,'Estimate Details'!$R:$BR,20,FALSE)</f>
        <v>0</v>
      </c>
      <c r="N183" s="1911" t="e">
        <f>VLOOKUP(M183,#REF!,2,FALSE)</f>
        <v>#REF!</v>
      </c>
      <c r="O183" s="1911" t="s">
        <v>4108</v>
      </c>
      <c r="P183" s="2287" t="s">
        <v>3688</v>
      </c>
      <c r="Q183" s="2281"/>
      <c r="R183" s="2282"/>
      <c r="S183" s="1911" t="s">
        <v>4122</v>
      </c>
      <c r="T183" s="1911" t="s">
        <v>3689</v>
      </c>
      <c r="U183" s="1911" t="s">
        <v>3688</v>
      </c>
      <c r="V183" s="1911" t="s">
        <v>3688</v>
      </c>
      <c r="W183" s="1911" t="s">
        <v>3688</v>
      </c>
      <c r="X183" s="1911"/>
      <c r="Y183" s="1911"/>
      <c r="Z183" s="1911"/>
      <c r="AA183" s="1911" t="s">
        <v>3694</v>
      </c>
      <c r="AB183" s="1911" t="s">
        <v>3688</v>
      </c>
      <c r="AC183" s="1911" t="s">
        <v>4109</v>
      </c>
      <c r="AD183" s="2286" t="s">
        <v>3688</v>
      </c>
      <c r="AE183" s="2281"/>
      <c r="AF183" s="2282"/>
      <c r="AG183" s="2286" t="s">
        <v>3696</v>
      </c>
      <c r="AH183" s="2281"/>
      <c r="AI183" s="2282"/>
      <c r="AJ183" s="1911" t="s">
        <v>4031</v>
      </c>
      <c r="AK183" s="2286" t="s">
        <v>3688</v>
      </c>
      <c r="AL183" s="2281"/>
      <c r="AM183" s="2259"/>
      <c r="AN183" s="2281"/>
      <c r="AO183" s="2282"/>
      <c r="AP183" s="1911" t="s">
        <v>3688</v>
      </c>
      <c r="BC183" s="214"/>
      <c r="BD183" s="214"/>
      <c r="BE183" s="214"/>
      <c r="BF183" s="214"/>
    </row>
    <row r="184" spans="1:58" ht="45" hidden="1" customHeight="1">
      <c r="B184" s="2277"/>
      <c r="C184" s="2259"/>
      <c r="D184" s="2260"/>
      <c r="E184" s="1908" t="s">
        <v>3682</v>
      </c>
      <c r="F184" s="1910" t="s">
        <v>3688</v>
      </c>
      <c r="G184" s="1910"/>
      <c r="H184" s="2285" t="s">
        <v>280</v>
      </c>
      <c r="I184" s="2259"/>
      <c r="J184" s="2260"/>
      <c r="K184" s="2285" t="s">
        <v>409</v>
      </c>
      <c r="L184" s="2260"/>
      <c r="M184" s="1910">
        <f>VLOOKUP(K184,'Estimate Details'!$R:$BR,20,FALSE)</f>
        <v>0</v>
      </c>
      <c r="N184" s="1910" t="e">
        <f>VLOOKUP(M184,#REF!,2,FALSE)</f>
        <v>#REF!</v>
      </c>
      <c r="O184" s="1910" t="s">
        <v>4107</v>
      </c>
      <c r="P184" s="2285" t="s">
        <v>3688</v>
      </c>
      <c r="Q184" s="2259"/>
      <c r="R184" s="2260"/>
      <c r="S184" s="1910" t="s">
        <v>4122</v>
      </c>
      <c r="T184" s="1910" t="s">
        <v>3689</v>
      </c>
      <c r="U184" s="1910" t="s">
        <v>3688</v>
      </c>
      <c r="V184" s="1910" t="s">
        <v>3688</v>
      </c>
      <c r="W184" s="1910" t="s">
        <v>3688</v>
      </c>
      <c r="X184" s="1910"/>
      <c r="Y184" s="1910"/>
      <c r="Z184" s="1910"/>
      <c r="AA184" s="1910" t="s">
        <v>3694</v>
      </c>
      <c r="AB184" s="1910" t="s">
        <v>3688</v>
      </c>
      <c r="AC184" s="1910" t="s">
        <v>4110</v>
      </c>
      <c r="AD184" s="2285" t="s">
        <v>3688</v>
      </c>
      <c r="AE184" s="2259"/>
      <c r="AF184" s="2260"/>
      <c r="AG184" s="2285" t="s">
        <v>3696</v>
      </c>
      <c r="AH184" s="2259"/>
      <c r="AI184" s="2260"/>
      <c r="AJ184" s="1910" t="s">
        <v>4031</v>
      </c>
      <c r="AK184" s="2285" t="s">
        <v>3688</v>
      </c>
      <c r="AL184" s="2259"/>
      <c r="AM184" s="2259"/>
      <c r="AN184" s="2259"/>
      <c r="AO184" s="2260"/>
      <c r="AP184" s="1910" t="s">
        <v>3688</v>
      </c>
      <c r="BC184" s="214"/>
      <c r="BD184" s="214"/>
      <c r="BE184" s="214"/>
      <c r="BF184" s="214"/>
    </row>
    <row r="185" spans="1:58" ht="45" hidden="1" customHeight="1">
      <c r="A185" s="808"/>
      <c r="B185" s="2280"/>
      <c r="C185" s="2281"/>
      <c r="D185" s="2282"/>
      <c r="E185" s="1909" t="s">
        <v>3682</v>
      </c>
      <c r="F185" s="1911" t="s">
        <v>3688</v>
      </c>
      <c r="G185" s="1911"/>
      <c r="H185" s="2286" t="s">
        <v>280</v>
      </c>
      <c r="I185" s="2281"/>
      <c r="J185" s="2282"/>
      <c r="K185" s="2286" t="s">
        <v>411</v>
      </c>
      <c r="L185" s="2282"/>
      <c r="M185" s="1911">
        <f>VLOOKUP(K185,'Estimate Details'!$R:$BR,20,FALSE)</f>
        <v>0</v>
      </c>
      <c r="N185" s="1911" t="e">
        <f>VLOOKUP(M185,#REF!,2,FALSE)</f>
        <v>#REF!</v>
      </c>
      <c r="O185" s="1911" t="s">
        <v>4108</v>
      </c>
      <c r="P185" s="2287" t="s">
        <v>3688</v>
      </c>
      <c r="Q185" s="2281"/>
      <c r="R185" s="2282"/>
      <c r="S185" s="1911" t="s">
        <v>4122</v>
      </c>
      <c r="T185" s="1911" t="s">
        <v>3689</v>
      </c>
      <c r="U185" s="1911" t="s">
        <v>3688</v>
      </c>
      <c r="V185" s="1911" t="s">
        <v>3688</v>
      </c>
      <c r="W185" s="1911" t="s">
        <v>3688</v>
      </c>
      <c r="X185" s="1911"/>
      <c r="Y185" s="1911"/>
      <c r="Z185" s="1911"/>
      <c r="AA185" s="1911" t="s">
        <v>3694</v>
      </c>
      <c r="AB185" s="1911" t="s">
        <v>3688</v>
      </c>
      <c r="AC185" s="1911" t="s">
        <v>4109</v>
      </c>
      <c r="AD185" s="2286" t="s">
        <v>3688</v>
      </c>
      <c r="AE185" s="2281"/>
      <c r="AF185" s="2282"/>
      <c r="AG185" s="2286" t="s">
        <v>3696</v>
      </c>
      <c r="AH185" s="2281"/>
      <c r="AI185" s="2282"/>
      <c r="AJ185" s="1911" t="s">
        <v>4031</v>
      </c>
      <c r="AK185" s="2286" t="s">
        <v>3688</v>
      </c>
      <c r="AL185" s="2281"/>
      <c r="AM185" s="2259"/>
      <c r="AN185" s="2281"/>
      <c r="AO185" s="2282"/>
      <c r="AP185" s="1911" t="s">
        <v>3688</v>
      </c>
      <c r="BC185" s="214"/>
      <c r="BD185" s="214"/>
      <c r="BE185" s="214"/>
      <c r="BF185" s="214"/>
    </row>
    <row r="186" spans="1:58" ht="45" hidden="1" customHeight="1">
      <c r="B186" s="2277"/>
      <c r="C186" s="2259"/>
      <c r="D186" s="2260"/>
      <c r="E186" s="1908" t="s">
        <v>3682</v>
      </c>
      <c r="F186" s="1910" t="s">
        <v>3688</v>
      </c>
      <c r="G186" s="1910"/>
      <c r="H186" s="2285" t="s">
        <v>280</v>
      </c>
      <c r="I186" s="2259"/>
      <c r="J186" s="2260"/>
      <c r="K186" s="2285" t="s">
        <v>413</v>
      </c>
      <c r="L186" s="2260"/>
      <c r="M186" s="1910">
        <f>VLOOKUP(K186,'Estimate Details'!$R:$BR,20,FALSE)</f>
        <v>0</v>
      </c>
      <c r="N186" s="1910" t="e">
        <f>VLOOKUP(M186,#REF!,2,FALSE)</f>
        <v>#REF!</v>
      </c>
      <c r="O186" s="1910" t="s">
        <v>4111</v>
      </c>
      <c r="P186" s="2285" t="s">
        <v>3688</v>
      </c>
      <c r="Q186" s="2259"/>
      <c r="R186" s="2260"/>
      <c r="S186" s="1910" t="s">
        <v>4122</v>
      </c>
      <c r="T186" s="1910" t="s">
        <v>3689</v>
      </c>
      <c r="U186" s="1910" t="s">
        <v>3688</v>
      </c>
      <c r="V186" s="1910" t="s">
        <v>3688</v>
      </c>
      <c r="W186" s="1910" t="s">
        <v>3688</v>
      </c>
      <c r="X186" s="1910"/>
      <c r="Y186" s="1910"/>
      <c r="Z186" s="1910"/>
      <c r="AA186" s="1910" t="s">
        <v>3694</v>
      </c>
      <c r="AB186" s="1910" t="s">
        <v>3688</v>
      </c>
      <c r="AC186" s="1910" t="s">
        <v>4079</v>
      </c>
      <c r="AD186" s="2285" t="s">
        <v>3688</v>
      </c>
      <c r="AE186" s="2259"/>
      <c r="AF186" s="2260"/>
      <c r="AG186" s="2285" t="s">
        <v>3696</v>
      </c>
      <c r="AH186" s="2259"/>
      <c r="AI186" s="2260"/>
      <c r="AJ186" s="1910" t="s">
        <v>4031</v>
      </c>
      <c r="AK186" s="2285" t="s">
        <v>3688</v>
      </c>
      <c r="AL186" s="2259"/>
      <c r="AM186" s="2259"/>
      <c r="AN186" s="2259"/>
      <c r="AO186" s="2260"/>
      <c r="AP186" s="1910" t="s">
        <v>3688</v>
      </c>
      <c r="BC186" s="214"/>
      <c r="BD186" s="214"/>
      <c r="BE186" s="214"/>
      <c r="BF186" s="214"/>
    </row>
    <row r="187" spans="1:58" ht="45" hidden="1" customHeight="1">
      <c r="A187" s="808"/>
      <c r="B187" s="2280"/>
      <c r="C187" s="2281"/>
      <c r="D187" s="2282"/>
      <c r="E187" s="1909" t="s">
        <v>3682</v>
      </c>
      <c r="F187" s="1911" t="s">
        <v>3688</v>
      </c>
      <c r="G187" s="1911"/>
      <c r="H187" s="2286" t="s">
        <v>280</v>
      </c>
      <c r="I187" s="2281"/>
      <c r="J187" s="2282"/>
      <c r="K187" s="2286" t="s">
        <v>415</v>
      </c>
      <c r="L187" s="2282"/>
      <c r="M187" s="1911">
        <f>VLOOKUP(K187,'Estimate Details'!$R:$BR,20,FALSE)</f>
        <v>0</v>
      </c>
      <c r="N187" s="1911" t="e">
        <f>VLOOKUP(M187,#REF!,2,FALSE)</f>
        <v>#REF!</v>
      </c>
      <c r="O187" s="1911" t="s">
        <v>4111</v>
      </c>
      <c r="P187" s="2287" t="s">
        <v>3688</v>
      </c>
      <c r="Q187" s="2281"/>
      <c r="R187" s="2282"/>
      <c r="S187" s="1911" t="s">
        <v>4122</v>
      </c>
      <c r="T187" s="1911" t="s">
        <v>3689</v>
      </c>
      <c r="U187" s="1911" t="s">
        <v>3688</v>
      </c>
      <c r="V187" s="1911" t="s">
        <v>3688</v>
      </c>
      <c r="W187" s="1911" t="s">
        <v>3688</v>
      </c>
      <c r="X187" s="1911"/>
      <c r="Y187" s="1911"/>
      <c r="Z187" s="1911"/>
      <c r="AA187" s="1911" t="s">
        <v>3694</v>
      </c>
      <c r="AB187" s="1911" t="s">
        <v>3688</v>
      </c>
      <c r="AC187" s="1911" t="s">
        <v>4079</v>
      </c>
      <c r="AD187" s="2286" t="s">
        <v>3688</v>
      </c>
      <c r="AE187" s="2281"/>
      <c r="AF187" s="2282"/>
      <c r="AG187" s="2286" t="s">
        <v>3696</v>
      </c>
      <c r="AH187" s="2281"/>
      <c r="AI187" s="2282"/>
      <c r="AJ187" s="1911" t="s">
        <v>4031</v>
      </c>
      <c r="AK187" s="2286" t="s">
        <v>3688</v>
      </c>
      <c r="AL187" s="2281"/>
      <c r="AM187" s="2259"/>
      <c r="AN187" s="2281"/>
      <c r="AO187" s="2282"/>
      <c r="AP187" s="1911" t="s">
        <v>3688</v>
      </c>
      <c r="BC187" s="214"/>
      <c r="BD187" s="214"/>
      <c r="BE187" s="214"/>
      <c r="BF187" s="214"/>
    </row>
    <row r="188" spans="1:58" ht="45" hidden="1" customHeight="1">
      <c r="B188" s="2277"/>
      <c r="C188" s="2259"/>
      <c r="D188" s="2260"/>
      <c r="E188" s="1908" t="s">
        <v>3682</v>
      </c>
      <c r="F188" s="1910" t="s">
        <v>3688</v>
      </c>
      <c r="G188" s="1910"/>
      <c r="H188" s="2285" t="s">
        <v>280</v>
      </c>
      <c r="I188" s="2259"/>
      <c r="J188" s="2260"/>
      <c r="K188" s="2285" t="s">
        <v>442</v>
      </c>
      <c r="L188" s="2260"/>
      <c r="M188" s="1910">
        <f>VLOOKUP(K188,'Estimate Details'!$R:$BR,20,FALSE)</f>
        <v>0</v>
      </c>
      <c r="N188" s="1910" t="e">
        <f>VLOOKUP(M188,#REF!,2,FALSE)</f>
        <v>#REF!</v>
      </c>
      <c r="O188" s="1910" t="s">
        <v>4112</v>
      </c>
      <c r="P188" s="2285" t="s">
        <v>3688</v>
      </c>
      <c r="Q188" s="2259"/>
      <c r="R188" s="2260"/>
      <c r="S188" s="1910" t="s">
        <v>4122</v>
      </c>
      <c r="T188" s="1910" t="s">
        <v>3689</v>
      </c>
      <c r="U188" s="1910" t="s">
        <v>3688</v>
      </c>
      <c r="V188" s="1910" t="s">
        <v>3688</v>
      </c>
      <c r="W188" s="1910" t="s">
        <v>3688</v>
      </c>
      <c r="X188" s="1910"/>
      <c r="Y188" s="1910"/>
      <c r="Z188" s="1910"/>
      <c r="AA188" s="1910" t="s">
        <v>3694</v>
      </c>
      <c r="AB188" s="1910" t="s">
        <v>3688</v>
      </c>
      <c r="AC188" s="1910" t="s">
        <v>4093</v>
      </c>
      <c r="AD188" s="2285" t="s">
        <v>3688</v>
      </c>
      <c r="AE188" s="2259"/>
      <c r="AF188" s="2260"/>
      <c r="AG188" s="2285" t="s">
        <v>3696</v>
      </c>
      <c r="AH188" s="2259"/>
      <c r="AI188" s="2260"/>
      <c r="AJ188" s="1910" t="s">
        <v>4031</v>
      </c>
      <c r="AK188" s="2285" t="s">
        <v>3688</v>
      </c>
      <c r="AL188" s="2259"/>
      <c r="AM188" s="2259"/>
      <c r="AN188" s="2259"/>
      <c r="AO188" s="2260"/>
      <c r="AP188" s="1910" t="s">
        <v>3688</v>
      </c>
      <c r="BC188" s="214"/>
      <c r="BD188" s="214"/>
      <c r="BE188" s="214"/>
      <c r="BF188" s="214"/>
    </row>
    <row r="189" spans="1:58" ht="45" hidden="1" customHeight="1">
      <c r="A189" s="808"/>
      <c r="B189" s="2280"/>
      <c r="C189" s="2281"/>
      <c r="D189" s="2282"/>
      <c r="E189" s="1909" t="s">
        <v>3682</v>
      </c>
      <c r="F189" s="1911" t="s">
        <v>3688</v>
      </c>
      <c r="G189" s="1911"/>
      <c r="H189" s="2286" t="s">
        <v>280</v>
      </c>
      <c r="I189" s="2281"/>
      <c r="J189" s="2282"/>
      <c r="K189" s="2286" t="s">
        <v>444</v>
      </c>
      <c r="L189" s="2282"/>
      <c r="M189" s="1911">
        <f>VLOOKUP(K189,'Estimate Details'!$R:$BR,20,FALSE)</f>
        <v>0</v>
      </c>
      <c r="N189" s="1911" t="e">
        <f>VLOOKUP(M189,#REF!,2,FALSE)</f>
        <v>#REF!</v>
      </c>
      <c r="O189" s="1911" t="s">
        <v>4113</v>
      </c>
      <c r="P189" s="2287" t="s">
        <v>3688</v>
      </c>
      <c r="Q189" s="2281"/>
      <c r="R189" s="2282"/>
      <c r="S189" s="1911" t="s">
        <v>4122</v>
      </c>
      <c r="T189" s="1911" t="s">
        <v>3689</v>
      </c>
      <c r="U189" s="1911" t="s">
        <v>3688</v>
      </c>
      <c r="V189" s="1911" t="s">
        <v>3688</v>
      </c>
      <c r="W189" s="1911" t="s">
        <v>3688</v>
      </c>
      <c r="X189" s="1911"/>
      <c r="Y189" s="1911"/>
      <c r="Z189" s="1911"/>
      <c r="AA189" s="1911" t="s">
        <v>3694</v>
      </c>
      <c r="AB189" s="1911" t="s">
        <v>3688</v>
      </c>
      <c r="AC189" s="1911" t="s">
        <v>4114</v>
      </c>
      <c r="AD189" s="2286" t="s">
        <v>3688</v>
      </c>
      <c r="AE189" s="2281"/>
      <c r="AF189" s="2282"/>
      <c r="AG189" s="2286" t="s">
        <v>3696</v>
      </c>
      <c r="AH189" s="2281"/>
      <c r="AI189" s="2282"/>
      <c r="AJ189" s="1911" t="s">
        <v>4031</v>
      </c>
      <c r="AK189" s="2286" t="s">
        <v>3688</v>
      </c>
      <c r="AL189" s="2281"/>
      <c r="AM189" s="2259"/>
      <c r="AN189" s="2281"/>
      <c r="AO189" s="2282"/>
      <c r="AP189" s="1911" t="s">
        <v>3688</v>
      </c>
      <c r="BC189" s="214"/>
      <c r="BD189" s="214"/>
      <c r="BE189" s="214"/>
      <c r="BF189" s="214"/>
    </row>
    <row r="190" spans="1:58" ht="45" hidden="1" customHeight="1">
      <c r="B190" s="2277"/>
      <c r="C190" s="2259"/>
      <c r="D190" s="2260"/>
      <c r="E190" s="1908" t="s">
        <v>3682</v>
      </c>
      <c r="F190" s="1910" t="s">
        <v>3688</v>
      </c>
      <c r="G190" s="1910"/>
      <c r="H190" s="2285" t="s">
        <v>280</v>
      </c>
      <c r="I190" s="2259"/>
      <c r="J190" s="2260"/>
      <c r="K190" s="2285" t="s">
        <v>446</v>
      </c>
      <c r="L190" s="2260"/>
      <c r="M190" s="1910">
        <f>VLOOKUP(K190,'Estimate Details'!$R:$BR,20,FALSE)</f>
        <v>0</v>
      </c>
      <c r="N190" s="1910" t="e">
        <f>VLOOKUP(M190,#REF!,2,FALSE)</f>
        <v>#REF!</v>
      </c>
      <c r="O190" s="1910" t="s">
        <v>4115</v>
      </c>
      <c r="P190" s="2285" t="s">
        <v>3688</v>
      </c>
      <c r="Q190" s="2259"/>
      <c r="R190" s="2260"/>
      <c r="S190" s="1910" t="s">
        <v>4122</v>
      </c>
      <c r="T190" s="1910" t="s">
        <v>3689</v>
      </c>
      <c r="U190" s="1910" t="s">
        <v>3688</v>
      </c>
      <c r="V190" s="1910" t="s">
        <v>3688</v>
      </c>
      <c r="W190" s="1910" t="s">
        <v>3688</v>
      </c>
      <c r="X190" s="1910"/>
      <c r="Y190" s="1910"/>
      <c r="Z190" s="1910"/>
      <c r="AA190" s="1910" t="s">
        <v>3694</v>
      </c>
      <c r="AB190" s="1910" t="s">
        <v>3688</v>
      </c>
      <c r="AC190" s="1910" t="s">
        <v>4116</v>
      </c>
      <c r="AD190" s="2285" t="s">
        <v>3688</v>
      </c>
      <c r="AE190" s="2259"/>
      <c r="AF190" s="2260"/>
      <c r="AG190" s="2285" t="s">
        <v>3696</v>
      </c>
      <c r="AH190" s="2259"/>
      <c r="AI190" s="2260"/>
      <c r="AJ190" s="1910" t="s">
        <v>4031</v>
      </c>
      <c r="AK190" s="2285" t="s">
        <v>3688</v>
      </c>
      <c r="AL190" s="2259"/>
      <c r="AM190" s="2259"/>
      <c r="AN190" s="2259"/>
      <c r="AO190" s="2260"/>
      <c r="AP190" s="1910" t="s">
        <v>3688</v>
      </c>
      <c r="BC190" s="214"/>
      <c r="BD190" s="214"/>
      <c r="BE190" s="214"/>
      <c r="BF190" s="214"/>
    </row>
    <row r="191" spans="1:58" ht="45" hidden="1" customHeight="1">
      <c r="A191" s="808"/>
      <c r="B191" s="2280"/>
      <c r="C191" s="2281"/>
      <c r="D191" s="2282"/>
      <c r="E191" s="1909" t="s">
        <v>3682</v>
      </c>
      <c r="F191" s="1911" t="s">
        <v>3688</v>
      </c>
      <c r="G191" s="1911"/>
      <c r="H191" s="2286" t="s">
        <v>280</v>
      </c>
      <c r="I191" s="2281"/>
      <c r="J191" s="2282"/>
      <c r="K191" s="2286" t="s">
        <v>448</v>
      </c>
      <c r="L191" s="2282"/>
      <c r="M191" s="1911">
        <f>VLOOKUP(K191,'Estimate Details'!$R:$BR,20,FALSE)</f>
        <v>0</v>
      </c>
      <c r="N191" s="1911" t="e">
        <f>VLOOKUP(M191,#REF!,2,FALSE)</f>
        <v>#REF!</v>
      </c>
      <c r="O191" s="1911" t="s">
        <v>4117</v>
      </c>
      <c r="P191" s="2287" t="s">
        <v>3688</v>
      </c>
      <c r="Q191" s="2281"/>
      <c r="R191" s="2282"/>
      <c r="S191" s="1911" t="s">
        <v>4122</v>
      </c>
      <c r="T191" s="1911" t="s">
        <v>3689</v>
      </c>
      <c r="U191" s="1911" t="s">
        <v>3688</v>
      </c>
      <c r="V191" s="1911" t="s">
        <v>3688</v>
      </c>
      <c r="W191" s="1911" t="s">
        <v>3688</v>
      </c>
      <c r="X191" s="1911"/>
      <c r="Y191" s="1911"/>
      <c r="Z191" s="1911"/>
      <c r="AA191" s="1911" t="s">
        <v>3694</v>
      </c>
      <c r="AB191" s="1911" t="s">
        <v>3688</v>
      </c>
      <c r="AC191" s="1911" t="s">
        <v>4118</v>
      </c>
      <c r="AD191" s="2286" t="s">
        <v>3688</v>
      </c>
      <c r="AE191" s="2281"/>
      <c r="AF191" s="2282"/>
      <c r="AG191" s="2286" t="s">
        <v>3696</v>
      </c>
      <c r="AH191" s="2281"/>
      <c r="AI191" s="2282"/>
      <c r="AJ191" s="1911" t="s">
        <v>4031</v>
      </c>
      <c r="AK191" s="2286" t="s">
        <v>3688</v>
      </c>
      <c r="AL191" s="2281"/>
      <c r="AM191" s="2259"/>
      <c r="AN191" s="2281"/>
      <c r="AO191" s="2282"/>
      <c r="AP191" s="1911" t="s">
        <v>3688</v>
      </c>
      <c r="BC191" s="214"/>
      <c r="BD191" s="214"/>
      <c r="BE191" s="214"/>
      <c r="BF191" s="214"/>
    </row>
    <row r="192" spans="1:58" ht="45" hidden="1" customHeight="1">
      <c r="B192" s="2277"/>
      <c r="C192" s="2259"/>
      <c r="D192" s="2260"/>
      <c r="E192" s="1908" t="s">
        <v>3682</v>
      </c>
      <c r="F192" s="1910" t="s">
        <v>3688</v>
      </c>
      <c r="G192" s="1910"/>
      <c r="H192" s="2285" t="s">
        <v>280</v>
      </c>
      <c r="I192" s="2259"/>
      <c r="J192" s="2260"/>
      <c r="K192" s="2285" t="s">
        <v>450</v>
      </c>
      <c r="L192" s="2260"/>
      <c r="M192" s="1910">
        <f>VLOOKUP(K192,'Estimate Details'!$R:$BR,20,FALSE)</f>
        <v>0</v>
      </c>
      <c r="N192" s="1910" t="e">
        <f>VLOOKUP(M192,#REF!,2,FALSE)</f>
        <v>#REF!</v>
      </c>
      <c r="O192" s="1910" t="s">
        <v>4119</v>
      </c>
      <c r="P192" s="2285" t="s">
        <v>3688</v>
      </c>
      <c r="Q192" s="2259"/>
      <c r="R192" s="2260"/>
      <c r="S192" s="1910" t="s">
        <v>4122</v>
      </c>
      <c r="T192" s="1910" t="s">
        <v>3689</v>
      </c>
      <c r="U192" s="1910" t="s">
        <v>3688</v>
      </c>
      <c r="V192" s="1910" t="s">
        <v>3688</v>
      </c>
      <c r="W192" s="1910" t="s">
        <v>3688</v>
      </c>
      <c r="X192" s="1910"/>
      <c r="Y192" s="1910"/>
      <c r="Z192" s="1910"/>
      <c r="AA192" s="1910" t="s">
        <v>3694</v>
      </c>
      <c r="AB192" s="1910" t="s">
        <v>3688</v>
      </c>
      <c r="AC192" s="1910" t="s">
        <v>4120</v>
      </c>
      <c r="AD192" s="2285" t="s">
        <v>3688</v>
      </c>
      <c r="AE192" s="2259"/>
      <c r="AF192" s="2260"/>
      <c r="AG192" s="2285" t="s">
        <v>3696</v>
      </c>
      <c r="AH192" s="2259"/>
      <c r="AI192" s="2260"/>
      <c r="AJ192" s="1910" t="s">
        <v>4031</v>
      </c>
      <c r="AK192" s="2285" t="s">
        <v>3688</v>
      </c>
      <c r="AL192" s="2259"/>
      <c r="AM192" s="2259"/>
      <c r="AN192" s="2259"/>
      <c r="AO192" s="2260"/>
      <c r="AP192" s="1910" t="s">
        <v>3688</v>
      </c>
      <c r="BC192" s="214"/>
      <c r="BD192" s="214"/>
      <c r="BE192" s="214"/>
      <c r="BF192" s="214"/>
    </row>
    <row r="193" spans="1:58" ht="45" hidden="1" customHeight="1">
      <c r="A193" s="808"/>
      <c r="B193" s="2280"/>
      <c r="C193" s="2281"/>
      <c r="D193" s="2282"/>
      <c r="E193" s="1909" t="s">
        <v>3682</v>
      </c>
      <c r="F193" s="1909" t="s">
        <v>3683</v>
      </c>
      <c r="G193" s="1909"/>
      <c r="H193" s="2283" t="s">
        <v>4127</v>
      </c>
      <c r="I193" s="2281"/>
      <c r="J193" s="2282"/>
      <c r="K193" s="2283" t="s">
        <v>4128</v>
      </c>
      <c r="L193" s="2282"/>
      <c r="M193" s="1909" t="e">
        <f>VLOOKUP(K193,'Estimate Details'!$R:$BR,20,FALSE)</f>
        <v>#N/A</v>
      </c>
      <c r="N193" s="1909" t="e">
        <f>VLOOKUP(M193,#REF!,2,FALSE)</f>
        <v>#N/A</v>
      </c>
      <c r="O193" s="1909" t="s">
        <v>4129</v>
      </c>
      <c r="P193" s="2284" t="s">
        <v>4130</v>
      </c>
      <c r="Q193" s="2281"/>
      <c r="R193" s="2282"/>
      <c r="S193" s="1909" t="s">
        <v>3688</v>
      </c>
      <c r="T193" s="1909" t="s">
        <v>3689</v>
      </c>
      <c r="U193" s="1909" t="s">
        <v>3707</v>
      </c>
      <c r="V193" s="1909" t="s">
        <v>4131</v>
      </c>
      <c r="W193" s="1909" t="s">
        <v>3688</v>
      </c>
      <c r="X193" s="1909"/>
      <c r="Y193" s="1909"/>
      <c r="Z193" s="1909"/>
      <c r="AA193" s="1909" t="s">
        <v>3694</v>
      </c>
      <c r="AB193" s="1909" t="s">
        <v>3688</v>
      </c>
      <c r="AC193" s="1909" t="s">
        <v>3804</v>
      </c>
      <c r="AD193" s="2283" t="s">
        <v>3688</v>
      </c>
      <c r="AE193" s="2281"/>
      <c r="AF193" s="2282"/>
      <c r="AG193" s="2283" t="s">
        <v>4132</v>
      </c>
      <c r="AH193" s="2281"/>
      <c r="AI193" s="2282"/>
      <c r="AJ193" s="1909" t="s">
        <v>4133</v>
      </c>
      <c r="AK193" s="2283" t="s">
        <v>3688</v>
      </c>
      <c r="AL193" s="2281"/>
      <c r="AM193" s="2259"/>
      <c r="AN193" s="2281"/>
      <c r="AO193" s="2282"/>
      <c r="AP193" s="1909" t="s">
        <v>3699</v>
      </c>
      <c r="BC193" s="214"/>
      <c r="BD193" s="214"/>
      <c r="BE193" s="214"/>
      <c r="BF193" s="214"/>
    </row>
    <row r="194" spans="1:58" ht="45" hidden="1" customHeight="1">
      <c r="B194" s="2277"/>
      <c r="C194" s="2259"/>
      <c r="D194" s="2260"/>
      <c r="E194" s="1908" t="s">
        <v>3682</v>
      </c>
      <c r="F194" s="1908" t="s">
        <v>3683</v>
      </c>
      <c r="G194" s="1908"/>
      <c r="H194" s="2278" t="s">
        <v>528</v>
      </c>
      <c r="I194" s="2259"/>
      <c r="J194" s="2260"/>
      <c r="K194" s="2278" t="s">
        <v>4134</v>
      </c>
      <c r="L194" s="2260"/>
      <c r="M194" s="1908" t="e">
        <f>VLOOKUP(K194,'Estimate Details'!$R:$BR,20,FALSE)</f>
        <v>#N/A</v>
      </c>
      <c r="N194" s="1908" t="e">
        <f>VLOOKUP(M194,#REF!,2,FALSE)</f>
        <v>#N/A</v>
      </c>
      <c r="O194" s="1908" t="s">
        <v>4135</v>
      </c>
      <c r="P194" s="2278" t="s">
        <v>3687</v>
      </c>
      <c r="Q194" s="2259"/>
      <c r="R194" s="2260"/>
      <c r="S194" s="1908" t="s">
        <v>3688</v>
      </c>
      <c r="T194" s="1908" t="s">
        <v>3706</v>
      </c>
      <c r="U194" s="1908" t="s">
        <v>3690</v>
      </c>
      <c r="V194" s="1908" t="s">
        <v>3691</v>
      </c>
      <c r="W194" s="1908" t="s">
        <v>3688</v>
      </c>
      <c r="X194" s="1908" t="s">
        <v>4136</v>
      </c>
      <c r="Y194" s="1908" t="s">
        <v>3693</v>
      </c>
      <c r="Z194" s="1908"/>
      <c r="AA194" s="1908" t="s">
        <v>3694</v>
      </c>
      <c r="AB194" s="1908" t="s">
        <v>1</v>
      </c>
      <c r="AC194" s="1908" t="s">
        <v>3696</v>
      </c>
      <c r="AD194" s="2278" t="s">
        <v>4137</v>
      </c>
      <c r="AE194" s="2259"/>
      <c r="AF194" s="2260"/>
      <c r="AG194" s="2278" t="s">
        <v>3696</v>
      </c>
      <c r="AH194" s="2259"/>
      <c r="AI194" s="2260"/>
      <c r="AJ194" s="1908" t="s">
        <v>3884</v>
      </c>
      <c r="AK194" s="2278" t="s">
        <v>3698</v>
      </c>
      <c r="AL194" s="2259"/>
      <c r="AM194" s="2259"/>
      <c r="AN194" s="2259"/>
      <c r="AO194" s="2260"/>
      <c r="AP194" s="1908" t="s">
        <v>3699</v>
      </c>
      <c r="BC194" s="214"/>
      <c r="BD194" s="214"/>
      <c r="BE194" s="214"/>
      <c r="BF194" s="214"/>
    </row>
    <row r="195" spans="1:58" ht="45" hidden="1" customHeight="1">
      <c r="A195" s="808"/>
      <c r="B195" s="2280"/>
      <c r="C195" s="2281"/>
      <c r="D195" s="2282"/>
      <c r="E195" s="1909" t="s">
        <v>3682</v>
      </c>
      <c r="F195" s="1909" t="s">
        <v>3683</v>
      </c>
      <c r="G195" s="1909"/>
      <c r="H195" s="2283" t="s">
        <v>528</v>
      </c>
      <c r="I195" s="2281"/>
      <c r="J195" s="2282"/>
      <c r="K195" s="2283" t="s">
        <v>4138</v>
      </c>
      <c r="L195" s="2282"/>
      <c r="M195" s="1909" t="e">
        <f>VLOOKUP(K195,'Estimate Details'!$R:$BR,20,FALSE)</f>
        <v>#N/A</v>
      </c>
      <c r="N195" s="1909" t="e">
        <f>VLOOKUP(M195,#REF!,2,FALSE)</f>
        <v>#N/A</v>
      </c>
      <c r="O195" s="1909" t="s">
        <v>4139</v>
      </c>
      <c r="P195" s="2284" t="s">
        <v>3687</v>
      </c>
      <c r="Q195" s="2281"/>
      <c r="R195" s="2282"/>
      <c r="S195" s="1909" t="s">
        <v>3688</v>
      </c>
      <c r="T195" s="1909" t="s">
        <v>3706</v>
      </c>
      <c r="U195" s="1909" t="s">
        <v>3690</v>
      </c>
      <c r="V195" s="1909" t="s">
        <v>3691</v>
      </c>
      <c r="W195" s="1909" t="s">
        <v>3688</v>
      </c>
      <c r="X195" s="1909" t="s">
        <v>4140</v>
      </c>
      <c r="Y195" s="1909" t="s">
        <v>4141</v>
      </c>
      <c r="Z195" s="1909"/>
      <c r="AA195" s="1909" t="s">
        <v>3694</v>
      </c>
      <c r="AB195" s="1909" t="s">
        <v>4142</v>
      </c>
      <c r="AC195" s="1909" t="s">
        <v>3696</v>
      </c>
      <c r="AD195" s="2283" t="s">
        <v>4143</v>
      </c>
      <c r="AE195" s="2281"/>
      <c r="AF195" s="2282"/>
      <c r="AG195" s="2283" t="s">
        <v>3696</v>
      </c>
      <c r="AH195" s="2281"/>
      <c r="AI195" s="2282"/>
      <c r="AJ195" s="1909" t="s">
        <v>3884</v>
      </c>
      <c r="AK195" s="2283" t="s">
        <v>4144</v>
      </c>
      <c r="AL195" s="2281"/>
      <c r="AM195" s="2259"/>
      <c r="AN195" s="2281"/>
      <c r="AO195" s="2282"/>
      <c r="AP195" s="1909" t="s">
        <v>3699</v>
      </c>
      <c r="BC195" s="214"/>
      <c r="BD195" s="214"/>
      <c r="BE195" s="214"/>
      <c r="BF195" s="214"/>
    </row>
    <row r="196" spans="1:58" ht="45" hidden="1" customHeight="1">
      <c r="B196" s="2277"/>
      <c r="C196" s="2259"/>
      <c r="D196" s="2260"/>
      <c r="E196" s="1908" t="s">
        <v>3682</v>
      </c>
      <c r="F196" s="1908" t="s">
        <v>3683</v>
      </c>
      <c r="G196" s="1908"/>
      <c r="H196" s="2278" t="s">
        <v>528</v>
      </c>
      <c r="I196" s="2259"/>
      <c r="J196" s="2260"/>
      <c r="K196" s="2278" t="s">
        <v>4145</v>
      </c>
      <c r="L196" s="2260"/>
      <c r="M196" s="1908" t="e">
        <f>VLOOKUP(K196,'Estimate Details'!$R:$BR,20,FALSE)</f>
        <v>#N/A</v>
      </c>
      <c r="N196" s="1908" t="e">
        <f>VLOOKUP(M196,#REF!,2,FALSE)</f>
        <v>#N/A</v>
      </c>
      <c r="O196" s="1908" t="s">
        <v>4146</v>
      </c>
      <c r="P196" s="2278" t="s">
        <v>4130</v>
      </c>
      <c r="Q196" s="2259"/>
      <c r="R196" s="2260"/>
      <c r="S196" s="1908" t="s">
        <v>3688</v>
      </c>
      <c r="T196" s="1908" t="s">
        <v>3689</v>
      </c>
      <c r="U196" s="1908" t="s">
        <v>3690</v>
      </c>
      <c r="V196" s="1908" t="s">
        <v>4147</v>
      </c>
      <c r="W196" s="1908" t="s">
        <v>3688</v>
      </c>
      <c r="X196" s="1908" t="s">
        <v>4148</v>
      </c>
      <c r="Y196" s="1908"/>
      <c r="Z196" s="1908"/>
      <c r="AA196" s="1908" t="s">
        <v>3694</v>
      </c>
      <c r="AB196" s="1908" t="s">
        <v>4149</v>
      </c>
      <c r="AC196" s="1908" t="s">
        <v>4150</v>
      </c>
      <c r="AD196" s="2278" t="s">
        <v>4151</v>
      </c>
      <c r="AE196" s="2259"/>
      <c r="AF196" s="2260"/>
      <c r="AG196" s="2278" t="s">
        <v>4152</v>
      </c>
      <c r="AH196" s="2259"/>
      <c r="AI196" s="2260"/>
      <c r="AJ196" s="1908" t="s">
        <v>4153</v>
      </c>
      <c r="AK196" s="2278" t="s">
        <v>4154</v>
      </c>
      <c r="AL196" s="2259"/>
      <c r="AM196" s="2259"/>
      <c r="AN196" s="2259"/>
      <c r="AO196" s="2260"/>
      <c r="AP196" s="1908" t="s">
        <v>3699</v>
      </c>
      <c r="BC196" s="214"/>
      <c r="BD196" s="214"/>
      <c r="BE196" s="214"/>
      <c r="BF196" s="214"/>
    </row>
    <row r="197" spans="1:58" ht="45" hidden="1" customHeight="1">
      <c r="A197" s="808"/>
      <c r="B197" s="2280"/>
      <c r="C197" s="2281"/>
      <c r="D197" s="2282"/>
      <c r="E197" s="1909" t="s">
        <v>3682</v>
      </c>
      <c r="F197" s="1911" t="s">
        <v>3688</v>
      </c>
      <c r="G197" s="1911"/>
      <c r="H197" s="2286" t="s">
        <v>528</v>
      </c>
      <c r="I197" s="2281"/>
      <c r="J197" s="2282"/>
      <c r="K197" s="2286" t="s">
        <v>4155</v>
      </c>
      <c r="L197" s="2282"/>
      <c r="M197" s="1911" t="e">
        <f>VLOOKUP(K197,'Estimate Details'!$R:$BR,20,FALSE)</f>
        <v>#N/A</v>
      </c>
      <c r="N197" s="1911" t="e">
        <f>VLOOKUP(M197,#REF!,2,FALSE)</f>
        <v>#N/A</v>
      </c>
      <c r="O197" s="1911" t="s">
        <v>4156</v>
      </c>
      <c r="P197" s="2287" t="s">
        <v>3688</v>
      </c>
      <c r="Q197" s="2281"/>
      <c r="R197" s="2282"/>
      <c r="S197" s="1911" t="s">
        <v>4157</v>
      </c>
      <c r="T197" s="1911" t="s">
        <v>3689</v>
      </c>
      <c r="U197" s="1911" t="s">
        <v>3688</v>
      </c>
      <c r="V197" s="1911" t="s">
        <v>3688</v>
      </c>
      <c r="W197" s="1911" t="s">
        <v>3688</v>
      </c>
      <c r="X197" s="1911"/>
      <c r="Y197" s="1911"/>
      <c r="Z197" s="1911"/>
      <c r="AA197" s="1911" t="s">
        <v>3694</v>
      </c>
      <c r="AB197" s="1911" t="s">
        <v>3688</v>
      </c>
      <c r="AC197" s="1911" t="s">
        <v>4105</v>
      </c>
      <c r="AD197" s="2286" t="s">
        <v>3688</v>
      </c>
      <c r="AE197" s="2281"/>
      <c r="AF197" s="2282"/>
      <c r="AG197" s="2286" t="s">
        <v>3696</v>
      </c>
      <c r="AH197" s="2281"/>
      <c r="AI197" s="2282"/>
      <c r="AJ197" s="1911" t="s">
        <v>4158</v>
      </c>
      <c r="AK197" s="2286" t="s">
        <v>3688</v>
      </c>
      <c r="AL197" s="2281"/>
      <c r="AM197" s="2259"/>
      <c r="AN197" s="2281"/>
      <c r="AO197" s="2282"/>
      <c r="AP197" s="1911" t="s">
        <v>3688</v>
      </c>
      <c r="BC197" s="214"/>
      <c r="BD197" s="214"/>
      <c r="BE197" s="214"/>
      <c r="BF197" s="214"/>
    </row>
    <row r="198" spans="1:58" ht="45" hidden="1" customHeight="1">
      <c r="B198" s="2277"/>
      <c r="C198" s="2259"/>
      <c r="D198" s="2260"/>
      <c r="E198" s="1908" t="s">
        <v>3682</v>
      </c>
      <c r="F198" s="1908" t="s">
        <v>3683</v>
      </c>
      <c r="G198" s="1908"/>
      <c r="H198" s="2278" t="s">
        <v>528</v>
      </c>
      <c r="I198" s="2259"/>
      <c r="J198" s="2260"/>
      <c r="K198" s="2278" t="s">
        <v>4159</v>
      </c>
      <c r="L198" s="2260"/>
      <c r="M198" s="1908" t="e">
        <f>VLOOKUP(K198,'Estimate Details'!$R:$BR,20,FALSE)</f>
        <v>#N/A</v>
      </c>
      <c r="N198" s="1908" t="e">
        <f>VLOOKUP(M198,#REF!,2,FALSE)</f>
        <v>#N/A</v>
      </c>
      <c r="O198" s="1908" t="s">
        <v>4160</v>
      </c>
      <c r="P198" s="2278" t="s">
        <v>4130</v>
      </c>
      <c r="Q198" s="2259"/>
      <c r="R198" s="2260"/>
      <c r="S198" s="1908" t="s">
        <v>3688</v>
      </c>
      <c r="T198" s="1908" t="s">
        <v>3689</v>
      </c>
      <c r="U198" s="1908" t="s">
        <v>3707</v>
      </c>
      <c r="V198" s="1908" t="s">
        <v>4147</v>
      </c>
      <c r="W198" s="1908" t="s">
        <v>3688</v>
      </c>
      <c r="X198" s="1908"/>
      <c r="Y198" s="1908"/>
      <c r="Z198" s="1908"/>
      <c r="AA198" s="1908" t="s">
        <v>3694</v>
      </c>
      <c r="AB198" s="1908" t="s">
        <v>4161</v>
      </c>
      <c r="AC198" s="1908" t="s">
        <v>4150</v>
      </c>
      <c r="AD198" s="2278" t="s">
        <v>4162</v>
      </c>
      <c r="AE198" s="2259"/>
      <c r="AF198" s="2260"/>
      <c r="AG198" s="2278" t="s">
        <v>3696</v>
      </c>
      <c r="AH198" s="2259"/>
      <c r="AI198" s="2260"/>
      <c r="AJ198" s="1908" t="s">
        <v>4163</v>
      </c>
      <c r="AK198" s="2278" t="s">
        <v>4164</v>
      </c>
      <c r="AL198" s="2259"/>
      <c r="AM198" s="2259"/>
      <c r="AN198" s="2259"/>
      <c r="AO198" s="2260"/>
      <c r="AP198" s="1908" t="s">
        <v>3699</v>
      </c>
      <c r="BC198" s="214"/>
      <c r="BD198" s="214"/>
      <c r="BE198" s="214"/>
      <c r="BF198" s="214"/>
    </row>
    <row r="199" spans="1:58" ht="45" hidden="1" customHeight="1">
      <c r="A199" s="808"/>
      <c r="B199" s="2280"/>
      <c r="C199" s="2281"/>
      <c r="D199" s="2282"/>
      <c r="E199" s="1909" t="s">
        <v>3682</v>
      </c>
      <c r="F199" s="1911" t="s">
        <v>3688</v>
      </c>
      <c r="G199" s="1911"/>
      <c r="H199" s="2286" t="s">
        <v>528</v>
      </c>
      <c r="I199" s="2281"/>
      <c r="J199" s="2282"/>
      <c r="K199" s="2286" t="s">
        <v>4165</v>
      </c>
      <c r="L199" s="2282"/>
      <c r="M199" s="1911" t="e">
        <f>VLOOKUP(K199,'Estimate Details'!$R:$BR,20,FALSE)</f>
        <v>#N/A</v>
      </c>
      <c r="N199" s="1911" t="e">
        <f>VLOOKUP(M199,#REF!,2,FALSE)</f>
        <v>#N/A</v>
      </c>
      <c r="O199" s="1911" t="s">
        <v>4166</v>
      </c>
      <c r="P199" s="2287" t="s">
        <v>3688</v>
      </c>
      <c r="Q199" s="2281"/>
      <c r="R199" s="2282"/>
      <c r="S199" s="1911" t="s">
        <v>4167</v>
      </c>
      <c r="T199" s="1911" t="s">
        <v>3689</v>
      </c>
      <c r="U199" s="1911" t="s">
        <v>3688</v>
      </c>
      <c r="V199" s="1911" t="s">
        <v>3688</v>
      </c>
      <c r="W199" s="1911" t="s">
        <v>3688</v>
      </c>
      <c r="X199" s="1911"/>
      <c r="Y199" s="1911"/>
      <c r="Z199" s="1911"/>
      <c r="AA199" s="1911" t="s">
        <v>3694</v>
      </c>
      <c r="AB199" s="1911" t="s">
        <v>3688</v>
      </c>
      <c r="AC199" s="1911" t="s">
        <v>4105</v>
      </c>
      <c r="AD199" s="2286" t="s">
        <v>3688</v>
      </c>
      <c r="AE199" s="2281"/>
      <c r="AF199" s="2282"/>
      <c r="AG199" s="2286" t="s">
        <v>3696</v>
      </c>
      <c r="AH199" s="2281"/>
      <c r="AI199" s="2282"/>
      <c r="AJ199" s="1911" t="s">
        <v>4168</v>
      </c>
      <c r="AK199" s="2286" t="s">
        <v>3688</v>
      </c>
      <c r="AL199" s="2281"/>
      <c r="AM199" s="2259"/>
      <c r="AN199" s="2281"/>
      <c r="AO199" s="2282"/>
      <c r="AP199" s="1911" t="s">
        <v>3688</v>
      </c>
      <c r="BC199" s="214"/>
      <c r="BD199" s="214"/>
      <c r="BE199" s="214"/>
      <c r="BF199" s="214"/>
    </row>
    <row r="200" spans="1:58" ht="45" hidden="1" customHeight="1">
      <c r="B200" s="2277"/>
      <c r="C200" s="2259"/>
      <c r="D200" s="2260"/>
      <c r="E200" s="1908" t="s">
        <v>3682</v>
      </c>
      <c r="F200" s="1908" t="s">
        <v>3683</v>
      </c>
      <c r="G200" s="1908"/>
      <c r="H200" s="2278" t="s">
        <v>528</v>
      </c>
      <c r="I200" s="2259"/>
      <c r="J200" s="2260"/>
      <c r="K200" s="2278" t="s">
        <v>4169</v>
      </c>
      <c r="L200" s="2260"/>
      <c r="M200" s="1908" t="e">
        <f>VLOOKUP(K200,'Estimate Details'!$R:$BR,20,FALSE)</f>
        <v>#N/A</v>
      </c>
      <c r="N200" s="1908" t="e">
        <f>VLOOKUP(M200,#REF!,2,FALSE)</f>
        <v>#N/A</v>
      </c>
      <c r="O200" s="1908" t="s">
        <v>4170</v>
      </c>
      <c r="P200" s="2278" t="s">
        <v>4130</v>
      </c>
      <c r="Q200" s="2259"/>
      <c r="R200" s="2260"/>
      <c r="S200" s="1908" t="s">
        <v>3688</v>
      </c>
      <c r="T200" s="1908" t="s">
        <v>3689</v>
      </c>
      <c r="U200" s="1908" t="s">
        <v>3707</v>
      </c>
      <c r="V200" s="1908" t="s">
        <v>4147</v>
      </c>
      <c r="W200" s="1908" t="s">
        <v>3688</v>
      </c>
      <c r="X200" s="1908"/>
      <c r="Y200" s="1908"/>
      <c r="Z200" s="1908"/>
      <c r="AA200" s="1908" t="s">
        <v>3694</v>
      </c>
      <c r="AB200" s="1908" t="s">
        <v>4161</v>
      </c>
      <c r="AC200" s="1908" t="s">
        <v>4150</v>
      </c>
      <c r="AD200" s="2278" t="s">
        <v>4162</v>
      </c>
      <c r="AE200" s="2259"/>
      <c r="AF200" s="2260"/>
      <c r="AG200" s="2278" t="s">
        <v>3696</v>
      </c>
      <c r="AH200" s="2259"/>
      <c r="AI200" s="2260"/>
      <c r="AJ200" s="1908" t="s">
        <v>4163</v>
      </c>
      <c r="AK200" s="2278" t="s">
        <v>4164</v>
      </c>
      <c r="AL200" s="2259"/>
      <c r="AM200" s="2259"/>
      <c r="AN200" s="2259"/>
      <c r="AO200" s="2260"/>
      <c r="AP200" s="1908" t="s">
        <v>3699</v>
      </c>
      <c r="BC200" s="214"/>
      <c r="BD200" s="214"/>
      <c r="BE200" s="214"/>
      <c r="BF200" s="214"/>
    </row>
    <row r="201" spans="1:58" ht="45" hidden="1" customHeight="1">
      <c r="A201" s="808"/>
      <c r="B201" s="2280"/>
      <c r="C201" s="2281"/>
      <c r="D201" s="2282"/>
      <c r="E201" s="1909" t="s">
        <v>3682</v>
      </c>
      <c r="F201" s="1911" t="s">
        <v>3688</v>
      </c>
      <c r="G201" s="1911"/>
      <c r="H201" s="2286" t="s">
        <v>528</v>
      </c>
      <c r="I201" s="2281"/>
      <c r="J201" s="2282"/>
      <c r="K201" s="2286" t="s">
        <v>4171</v>
      </c>
      <c r="L201" s="2282"/>
      <c r="M201" s="1911" t="e">
        <f>VLOOKUP(K201,'Estimate Details'!$R:$BR,20,FALSE)</f>
        <v>#N/A</v>
      </c>
      <c r="N201" s="1911" t="e">
        <f>VLOOKUP(M201,#REF!,2,FALSE)</f>
        <v>#N/A</v>
      </c>
      <c r="O201" s="1911" t="s">
        <v>4166</v>
      </c>
      <c r="P201" s="2287" t="s">
        <v>3688</v>
      </c>
      <c r="Q201" s="2281"/>
      <c r="R201" s="2282"/>
      <c r="S201" s="1911" t="s">
        <v>4172</v>
      </c>
      <c r="T201" s="1911" t="s">
        <v>3689</v>
      </c>
      <c r="U201" s="1911" t="s">
        <v>3688</v>
      </c>
      <c r="V201" s="1911" t="s">
        <v>3688</v>
      </c>
      <c r="W201" s="1911" t="s">
        <v>3688</v>
      </c>
      <c r="X201" s="1911"/>
      <c r="Y201" s="1911"/>
      <c r="Z201" s="1911"/>
      <c r="AA201" s="1911" t="s">
        <v>3694</v>
      </c>
      <c r="AB201" s="1911" t="s">
        <v>3688</v>
      </c>
      <c r="AC201" s="1911" t="s">
        <v>4105</v>
      </c>
      <c r="AD201" s="2286" t="s">
        <v>3688</v>
      </c>
      <c r="AE201" s="2281"/>
      <c r="AF201" s="2282"/>
      <c r="AG201" s="2286" t="s">
        <v>3696</v>
      </c>
      <c r="AH201" s="2281"/>
      <c r="AI201" s="2282"/>
      <c r="AJ201" s="1911" t="s">
        <v>4168</v>
      </c>
      <c r="AK201" s="2286" t="s">
        <v>3688</v>
      </c>
      <c r="AL201" s="2281"/>
      <c r="AM201" s="2259"/>
      <c r="AN201" s="2281"/>
      <c r="AO201" s="2282"/>
      <c r="AP201" s="1911" t="s">
        <v>3688</v>
      </c>
      <c r="BC201" s="214"/>
      <c r="BD201" s="214"/>
      <c r="BE201" s="214"/>
      <c r="BF201" s="214"/>
    </row>
    <row r="202" spans="1:58" ht="45" hidden="1" customHeight="1">
      <c r="B202" s="2277"/>
      <c r="C202" s="2259"/>
      <c r="D202" s="2260"/>
      <c r="E202" s="1908" t="s">
        <v>3682</v>
      </c>
      <c r="F202" s="1908" t="s">
        <v>3683</v>
      </c>
      <c r="G202" s="1908"/>
      <c r="H202" s="2278" t="s">
        <v>528</v>
      </c>
      <c r="I202" s="2259"/>
      <c r="J202" s="2260"/>
      <c r="K202" s="2278" t="s">
        <v>4173</v>
      </c>
      <c r="L202" s="2260"/>
      <c r="M202" s="1908" t="e">
        <f>VLOOKUP(K202,'Estimate Details'!$R:$BR,20,FALSE)</f>
        <v>#N/A</v>
      </c>
      <c r="N202" s="1908" t="e">
        <f>VLOOKUP(M202,#REF!,2,FALSE)</f>
        <v>#N/A</v>
      </c>
      <c r="O202" s="1908" t="s">
        <v>4174</v>
      </c>
      <c r="P202" s="2278" t="s">
        <v>4175</v>
      </c>
      <c r="Q202" s="2259"/>
      <c r="R202" s="2260"/>
      <c r="S202" s="1908" t="s">
        <v>3688</v>
      </c>
      <c r="T202" s="1908" t="s">
        <v>3689</v>
      </c>
      <c r="U202" s="1908" t="s">
        <v>3707</v>
      </c>
      <c r="V202" s="1908" t="s">
        <v>4176</v>
      </c>
      <c r="W202" s="1908" t="s">
        <v>3688</v>
      </c>
      <c r="X202" s="1908"/>
      <c r="Y202" s="1908"/>
      <c r="Z202" s="1908"/>
      <c r="AA202" s="1908" t="s">
        <v>3694</v>
      </c>
      <c r="AB202" s="1908" t="s">
        <v>3688</v>
      </c>
      <c r="AC202" s="1908" t="s">
        <v>3804</v>
      </c>
      <c r="AD202" s="2278" t="s">
        <v>4177</v>
      </c>
      <c r="AE202" s="2259"/>
      <c r="AF202" s="2260"/>
      <c r="AG202" s="2278" t="s">
        <v>3696</v>
      </c>
      <c r="AH202" s="2259"/>
      <c r="AI202" s="2260"/>
      <c r="AJ202" s="1908" t="s">
        <v>3814</v>
      </c>
      <c r="AK202" s="2278" t="s">
        <v>4178</v>
      </c>
      <c r="AL202" s="2259"/>
      <c r="AM202" s="2259"/>
      <c r="AN202" s="2259"/>
      <c r="AO202" s="2260"/>
      <c r="AP202" s="1908" t="s">
        <v>3699</v>
      </c>
      <c r="BC202" s="214"/>
      <c r="BD202" s="214"/>
      <c r="BE202" s="214"/>
      <c r="BF202" s="214"/>
    </row>
    <row r="203" spans="1:58" ht="45" hidden="1" customHeight="1">
      <c r="A203" s="808"/>
      <c r="B203" s="2280"/>
      <c r="C203" s="2281"/>
      <c r="D203" s="2282"/>
      <c r="E203" s="1909" t="s">
        <v>3682</v>
      </c>
      <c r="F203" s="1909" t="s">
        <v>3683</v>
      </c>
      <c r="G203" s="1909"/>
      <c r="H203" s="2283" t="s">
        <v>528</v>
      </c>
      <c r="I203" s="2281"/>
      <c r="J203" s="2282"/>
      <c r="K203" s="2283" t="s">
        <v>533</v>
      </c>
      <c r="L203" s="2282"/>
      <c r="M203" s="1909">
        <f>VLOOKUP(K203,'Estimate Details'!$R:$BR,20,FALSE)</f>
        <v>6641.96</v>
      </c>
      <c r="N203" s="1909" t="e">
        <f>VLOOKUP(M203,#REF!,2,FALSE)</f>
        <v>#REF!</v>
      </c>
      <c r="O203" s="1909" t="s">
        <v>4179</v>
      </c>
      <c r="P203" s="2284" t="s">
        <v>4180</v>
      </c>
      <c r="Q203" s="2281"/>
      <c r="R203" s="2282"/>
      <c r="S203" s="1909" t="s">
        <v>3688</v>
      </c>
      <c r="T203" s="1909" t="s">
        <v>3689</v>
      </c>
      <c r="U203" s="1909" t="s">
        <v>3690</v>
      </c>
      <c r="V203" s="1909" t="s">
        <v>4147</v>
      </c>
      <c r="W203" s="1909" t="s">
        <v>3688</v>
      </c>
      <c r="X203" s="1909" t="s">
        <v>4181</v>
      </c>
      <c r="Y203" s="1909"/>
      <c r="Z203" s="1909"/>
      <c r="AA203" s="1909" t="s">
        <v>3694</v>
      </c>
      <c r="AB203" s="1909" t="s">
        <v>4182</v>
      </c>
      <c r="AC203" s="1909" t="s">
        <v>3696</v>
      </c>
      <c r="AD203" s="2283" t="s">
        <v>4183</v>
      </c>
      <c r="AE203" s="2281"/>
      <c r="AF203" s="2282"/>
      <c r="AG203" s="2283" t="s">
        <v>4152</v>
      </c>
      <c r="AH203" s="2281"/>
      <c r="AI203" s="2282"/>
      <c r="AJ203" s="1909" t="s">
        <v>4153</v>
      </c>
      <c r="AK203" s="2283" t="s">
        <v>4184</v>
      </c>
      <c r="AL203" s="2281"/>
      <c r="AM203" s="2259"/>
      <c r="AN203" s="2281"/>
      <c r="AO203" s="2282"/>
      <c r="AP203" s="1909" t="s">
        <v>3699</v>
      </c>
      <c r="BC203" s="214"/>
      <c r="BD203" s="214"/>
      <c r="BE203" s="214"/>
      <c r="BF203" s="214"/>
    </row>
    <row r="204" spans="1:58" ht="45" hidden="1" customHeight="1">
      <c r="B204" s="2277"/>
      <c r="C204" s="2259"/>
      <c r="D204" s="2260"/>
      <c r="E204" s="1908" t="s">
        <v>3682</v>
      </c>
      <c r="F204" s="1908" t="s">
        <v>3683</v>
      </c>
      <c r="G204" s="1908"/>
      <c r="H204" s="2278" t="s">
        <v>528</v>
      </c>
      <c r="I204" s="2259"/>
      <c r="J204" s="2260"/>
      <c r="K204" s="2278" t="s">
        <v>554</v>
      </c>
      <c r="L204" s="2260"/>
      <c r="M204" s="1908">
        <f>VLOOKUP(K204,'Estimate Details'!$R:$BR,20,FALSE)</f>
        <v>1929.6716666666666</v>
      </c>
      <c r="N204" s="1908" t="e">
        <f>VLOOKUP(M204,#REF!,2,FALSE)</f>
        <v>#REF!</v>
      </c>
      <c r="O204" s="1908" t="s">
        <v>4185</v>
      </c>
      <c r="P204" s="2278" t="s">
        <v>4180</v>
      </c>
      <c r="Q204" s="2259"/>
      <c r="R204" s="2260"/>
      <c r="S204" s="1908" t="s">
        <v>3688</v>
      </c>
      <c r="T204" s="1908" t="s">
        <v>3689</v>
      </c>
      <c r="U204" s="1908" t="s">
        <v>3690</v>
      </c>
      <c r="V204" s="1908" t="s">
        <v>4147</v>
      </c>
      <c r="W204" s="1908" t="s">
        <v>3688</v>
      </c>
      <c r="X204" s="1908" t="s">
        <v>4186</v>
      </c>
      <c r="Y204" s="1908"/>
      <c r="Z204" s="1908"/>
      <c r="AA204" s="1908" t="s">
        <v>3957</v>
      </c>
      <c r="AB204" s="1908" t="s">
        <v>4187</v>
      </c>
      <c r="AC204" s="1908" t="s">
        <v>3696</v>
      </c>
      <c r="AD204" s="2278" t="s">
        <v>4188</v>
      </c>
      <c r="AE204" s="2259"/>
      <c r="AF204" s="2260"/>
      <c r="AG204" s="2278" t="s">
        <v>4152</v>
      </c>
      <c r="AH204" s="2259"/>
      <c r="AI204" s="2260"/>
      <c r="AJ204" s="1908" t="s">
        <v>4153</v>
      </c>
      <c r="AK204" s="2278" t="s">
        <v>4189</v>
      </c>
      <c r="AL204" s="2259"/>
      <c r="AM204" s="2259"/>
      <c r="AN204" s="2259"/>
      <c r="AO204" s="2260"/>
      <c r="AP204" s="1908" t="s">
        <v>3699</v>
      </c>
      <c r="BC204" s="214"/>
      <c r="BD204" s="214"/>
      <c r="BE204" s="214"/>
      <c r="BF204" s="214"/>
    </row>
    <row r="205" spans="1:58" ht="45" hidden="1" customHeight="1">
      <c r="A205" s="808"/>
      <c r="B205" s="2280"/>
      <c r="C205" s="2281"/>
      <c r="D205" s="2282"/>
      <c r="E205" s="1909" t="s">
        <v>3682</v>
      </c>
      <c r="F205" s="1909" t="s">
        <v>3683</v>
      </c>
      <c r="G205" s="1909"/>
      <c r="H205" s="2283" t="s">
        <v>528</v>
      </c>
      <c r="I205" s="2281"/>
      <c r="J205" s="2282"/>
      <c r="K205" s="2283" t="s">
        <v>551</v>
      </c>
      <c r="L205" s="2282"/>
      <c r="M205" s="1909">
        <f>VLOOKUP(K205,'Estimate Details'!$R:$BR,20,FALSE)</f>
        <v>3320.9800000000005</v>
      </c>
      <c r="N205" s="1909" t="e">
        <f>VLOOKUP(M205,#REF!,2,FALSE)</f>
        <v>#REF!</v>
      </c>
      <c r="O205" s="1909" t="s">
        <v>4190</v>
      </c>
      <c r="P205" s="2284" t="s">
        <v>4180</v>
      </c>
      <c r="Q205" s="2281"/>
      <c r="R205" s="2282"/>
      <c r="S205" s="1909" t="s">
        <v>3688</v>
      </c>
      <c r="T205" s="1909" t="s">
        <v>3689</v>
      </c>
      <c r="U205" s="1909" t="s">
        <v>3707</v>
      </c>
      <c r="V205" s="1909" t="s">
        <v>4147</v>
      </c>
      <c r="W205" s="1909" t="s">
        <v>3688</v>
      </c>
      <c r="X205" s="1909"/>
      <c r="Y205" s="1909"/>
      <c r="Z205" s="1909"/>
      <c r="AA205" s="1909" t="s">
        <v>3957</v>
      </c>
      <c r="AB205" s="1909" t="s">
        <v>4191</v>
      </c>
      <c r="AC205" s="1909" t="s">
        <v>3696</v>
      </c>
      <c r="AD205" s="2283" t="s">
        <v>4192</v>
      </c>
      <c r="AE205" s="2281"/>
      <c r="AF205" s="2282"/>
      <c r="AG205" s="2283" t="s">
        <v>3696</v>
      </c>
      <c r="AH205" s="2281"/>
      <c r="AI205" s="2282"/>
      <c r="AJ205" s="1909" t="s">
        <v>4163</v>
      </c>
      <c r="AK205" s="2283" t="s">
        <v>4193</v>
      </c>
      <c r="AL205" s="2281"/>
      <c r="AM205" s="2259"/>
      <c r="AN205" s="2281"/>
      <c r="AO205" s="2282"/>
      <c r="AP205" s="1909" t="s">
        <v>3699</v>
      </c>
      <c r="BC205" s="214"/>
      <c r="BD205" s="214"/>
      <c r="BE205" s="214"/>
      <c r="BF205" s="214"/>
    </row>
    <row r="206" spans="1:58" ht="45" hidden="1" customHeight="1">
      <c r="B206" s="2277"/>
      <c r="C206" s="2259"/>
      <c r="D206" s="2260"/>
      <c r="E206" s="1908" t="s">
        <v>3682</v>
      </c>
      <c r="F206" s="1908" t="s">
        <v>3683</v>
      </c>
      <c r="G206" s="1908"/>
      <c r="H206" s="2278" t="s">
        <v>643</v>
      </c>
      <c r="I206" s="2259"/>
      <c r="J206" s="2260"/>
      <c r="K206" s="2278" t="s">
        <v>4194</v>
      </c>
      <c r="L206" s="2260"/>
      <c r="M206" s="1908" t="e">
        <f>VLOOKUP(K206,'Estimate Details'!$R:$BR,20,FALSE)</f>
        <v>#N/A</v>
      </c>
      <c r="N206" s="1908" t="e">
        <f>VLOOKUP(M206,#REF!,2,FALSE)</f>
        <v>#N/A</v>
      </c>
      <c r="O206" s="1908" t="s">
        <v>4195</v>
      </c>
      <c r="P206" s="2278" t="s">
        <v>4130</v>
      </c>
      <c r="Q206" s="2259"/>
      <c r="R206" s="2260"/>
      <c r="S206" s="1908" t="s">
        <v>3688</v>
      </c>
      <c r="T206" s="1908" t="s">
        <v>3689</v>
      </c>
      <c r="U206" s="1908" t="s">
        <v>3707</v>
      </c>
      <c r="V206" s="1908" t="s">
        <v>4147</v>
      </c>
      <c r="W206" s="1908" t="s">
        <v>3688</v>
      </c>
      <c r="X206" s="1908"/>
      <c r="Y206" s="1908"/>
      <c r="Z206" s="1908"/>
      <c r="AA206" s="1908" t="s">
        <v>3694</v>
      </c>
      <c r="AB206" s="1908" t="s">
        <v>4161</v>
      </c>
      <c r="AC206" s="1908" t="s">
        <v>4150</v>
      </c>
      <c r="AD206" s="2278" t="s">
        <v>4162</v>
      </c>
      <c r="AE206" s="2259"/>
      <c r="AF206" s="2260"/>
      <c r="AG206" s="2278" t="s">
        <v>3696</v>
      </c>
      <c r="AH206" s="2259"/>
      <c r="AI206" s="2260"/>
      <c r="AJ206" s="1908" t="s">
        <v>4163</v>
      </c>
      <c r="AK206" s="2278" t="s">
        <v>4164</v>
      </c>
      <c r="AL206" s="2259"/>
      <c r="AM206" s="2259"/>
      <c r="AN206" s="2259"/>
      <c r="AO206" s="2260"/>
      <c r="AP206" s="1908" t="s">
        <v>3699</v>
      </c>
      <c r="BC206" s="214"/>
      <c r="BD206" s="214"/>
      <c r="BE206" s="214"/>
      <c r="BF206" s="214"/>
    </row>
    <row r="207" spans="1:58" ht="45" hidden="1" customHeight="1">
      <c r="A207" s="808"/>
      <c r="B207" s="2280"/>
      <c r="C207" s="2281"/>
      <c r="D207" s="2282"/>
      <c r="E207" s="1909" t="s">
        <v>3682</v>
      </c>
      <c r="F207" s="1911" t="s">
        <v>3688</v>
      </c>
      <c r="G207" s="1911"/>
      <c r="H207" s="2286" t="s">
        <v>643</v>
      </c>
      <c r="I207" s="2281"/>
      <c r="J207" s="2282"/>
      <c r="K207" s="2286" t="s">
        <v>4196</v>
      </c>
      <c r="L207" s="2282"/>
      <c r="M207" s="1911" t="e">
        <f>VLOOKUP(K207,'Estimate Details'!$R:$BR,20,FALSE)</f>
        <v>#N/A</v>
      </c>
      <c r="N207" s="1911" t="e">
        <f>VLOOKUP(M207,#REF!,2,FALSE)</f>
        <v>#N/A</v>
      </c>
      <c r="O207" s="1911" t="s">
        <v>4166</v>
      </c>
      <c r="P207" s="2287" t="s">
        <v>3688</v>
      </c>
      <c r="Q207" s="2281"/>
      <c r="R207" s="2282"/>
      <c r="S207" s="1911" t="s">
        <v>4197</v>
      </c>
      <c r="T207" s="1911" t="s">
        <v>3689</v>
      </c>
      <c r="U207" s="1911" t="s">
        <v>3688</v>
      </c>
      <c r="V207" s="1911" t="s">
        <v>3688</v>
      </c>
      <c r="W207" s="1911" t="s">
        <v>3688</v>
      </c>
      <c r="X207" s="1911"/>
      <c r="Y207" s="1911"/>
      <c r="Z207" s="1911"/>
      <c r="AA207" s="1911" t="s">
        <v>3694</v>
      </c>
      <c r="AB207" s="1911" t="s">
        <v>3688</v>
      </c>
      <c r="AC207" s="1911" t="s">
        <v>4105</v>
      </c>
      <c r="AD207" s="2286" t="s">
        <v>3688</v>
      </c>
      <c r="AE207" s="2281"/>
      <c r="AF207" s="2282"/>
      <c r="AG207" s="2286" t="s">
        <v>3696</v>
      </c>
      <c r="AH207" s="2281"/>
      <c r="AI207" s="2282"/>
      <c r="AJ207" s="1911" t="s">
        <v>4168</v>
      </c>
      <c r="AK207" s="2286" t="s">
        <v>3688</v>
      </c>
      <c r="AL207" s="2281"/>
      <c r="AM207" s="2259"/>
      <c r="AN207" s="2281"/>
      <c r="AO207" s="2282"/>
      <c r="AP207" s="1911" t="s">
        <v>3688</v>
      </c>
      <c r="BC207" s="214"/>
      <c r="BD207" s="214"/>
      <c r="BE207" s="214"/>
      <c r="BF207" s="214"/>
    </row>
    <row r="208" spans="1:58" ht="45" hidden="1" customHeight="1">
      <c r="B208" s="2277"/>
      <c r="C208" s="2259"/>
      <c r="D208" s="2260"/>
      <c r="E208" s="1908" t="s">
        <v>3682</v>
      </c>
      <c r="F208" s="1908" t="s">
        <v>3683</v>
      </c>
      <c r="G208" s="1908"/>
      <c r="H208" s="2278" t="s">
        <v>643</v>
      </c>
      <c r="I208" s="2259"/>
      <c r="J208" s="2260"/>
      <c r="K208" s="2278" t="s">
        <v>4198</v>
      </c>
      <c r="L208" s="2260"/>
      <c r="M208" s="1908" t="e">
        <f>VLOOKUP(K208,'Estimate Details'!$R:$BR,20,FALSE)</f>
        <v>#N/A</v>
      </c>
      <c r="N208" s="1908" t="e">
        <f>VLOOKUP(M208,#REF!,2,FALSE)</f>
        <v>#N/A</v>
      </c>
      <c r="O208" s="1908" t="s">
        <v>4199</v>
      </c>
      <c r="P208" s="2278" t="s">
        <v>4130</v>
      </c>
      <c r="Q208" s="2259"/>
      <c r="R208" s="2260"/>
      <c r="S208" s="1908" t="s">
        <v>3688</v>
      </c>
      <c r="T208" s="1908" t="s">
        <v>3689</v>
      </c>
      <c r="U208" s="1908" t="s">
        <v>3707</v>
      </c>
      <c r="V208" s="1908" t="s">
        <v>4147</v>
      </c>
      <c r="W208" s="1908" t="s">
        <v>3688</v>
      </c>
      <c r="X208" s="1908"/>
      <c r="Y208" s="1908"/>
      <c r="Z208" s="1908"/>
      <c r="AA208" s="1908" t="s">
        <v>3694</v>
      </c>
      <c r="AB208" s="1908" t="s">
        <v>4161</v>
      </c>
      <c r="AC208" s="1908" t="s">
        <v>4150</v>
      </c>
      <c r="AD208" s="2278" t="s">
        <v>4162</v>
      </c>
      <c r="AE208" s="2259"/>
      <c r="AF208" s="2260"/>
      <c r="AG208" s="2278" t="s">
        <v>3696</v>
      </c>
      <c r="AH208" s="2259"/>
      <c r="AI208" s="2260"/>
      <c r="AJ208" s="1908" t="s">
        <v>4163</v>
      </c>
      <c r="AK208" s="2278" t="s">
        <v>4164</v>
      </c>
      <c r="AL208" s="2259"/>
      <c r="AM208" s="2259"/>
      <c r="AN208" s="2259"/>
      <c r="AO208" s="2260"/>
      <c r="AP208" s="1908" t="s">
        <v>3699</v>
      </c>
      <c r="BC208" s="214"/>
      <c r="BD208" s="214"/>
      <c r="BE208" s="214"/>
      <c r="BF208" s="214"/>
    </row>
    <row r="209" spans="1:58" ht="45" hidden="1" customHeight="1">
      <c r="A209" s="808"/>
      <c r="B209" s="2280"/>
      <c r="C209" s="2281"/>
      <c r="D209" s="2282"/>
      <c r="E209" s="1909" t="s">
        <v>3682</v>
      </c>
      <c r="F209" s="1911" t="s">
        <v>3688</v>
      </c>
      <c r="G209" s="1911"/>
      <c r="H209" s="2286" t="s">
        <v>643</v>
      </c>
      <c r="I209" s="2281"/>
      <c r="J209" s="2282"/>
      <c r="K209" s="2286" t="s">
        <v>4200</v>
      </c>
      <c r="L209" s="2282"/>
      <c r="M209" s="1911" t="e">
        <f>VLOOKUP(K209,'Estimate Details'!$R:$BR,20,FALSE)</f>
        <v>#N/A</v>
      </c>
      <c r="N209" s="1911" t="e">
        <f>VLOOKUP(M209,#REF!,2,FALSE)</f>
        <v>#N/A</v>
      </c>
      <c r="O209" s="1911" t="s">
        <v>4166</v>
      </c>
      <c r="P209" s="2287" t="s">
        <v>3688</v>
      </c>
      <c r="Q209" s="2281"/>
      <c r="R209" s="2282"/>
      <c r="S209" s="1911" t="s">
        <v>4201</v>
      </c>
      <c r="T209" s="1911" t="s">
        <v>3689</v>
      </c>
      <c r="U209" s="1911" t="s">
        <v>3688</v>
      </c>
      <c r="V209" s="1911" t="s">
        <v>3688</v>
      </c>
      <c r="W209" s="1911" t="s">
        <v>3688</v>
      </c>
      <c r="X209" s="1911"/>
      <c r="Y209" s="1911"/>
      <c r="Z209" s="1911"/>
      <c r="AA209" s="1911" t="s">
        <v>3694</v>
      </c>
      <c r="AB209" s="1911" t="s">
        <v>3688</v>
      </c>
      <c r="AC209" s="1911" t="s">
        <v>4105</v>
      </c>
      <c r="AD209" s="2286" t="s">
        <v>3688</v>
      </c>
      <c r="AE209" s="2281"/>
      <c r="AF209" s="2282"/>
      <c r="AG209" s="2286" t="s">
        <v>3696</v>
      </c>
      <c r="AH209" s="2281"/>
      <c r="AI209" s="2282"/>
      <c r="AJ209" s="1911" t="s">
        <v>4168</v>
      </c>
      <c r="AK209" s="2286" t="s">
        <v>3688</v>
      </c>
      <c r="AL209" s="2281"/>
      <c r="AM209" s="2259"/>
      <c r="AN209" s="2281"/>
      <c r="AO209" s="2282"/>
      <c r="AP209" s="1911" t="s">
        <v>3688</v>
      </c>
      <c r="BC209" s="214"/>
      <c r="BD209" s="214"/>
      <c r="BE209" s="214"/>
      <c r="BF209" s="214"/>
    </row>
    <row r="210" spans="1:58" ht="45" hidden="1" customHeight="1">
      <c r="B210" s="2277"/>
      <c r="C210" s="2259"/>
      <c r="D210" s="2260"/>
      <c r="E210" s="1908" t="s">
        <v>3682</v>
      </c>
      <c r="F210" s="1908" t="s">
        <v>3683</v>
      </c>
      <c r="G210" s="1908"/>
      <c r="H210" s="2278" t="s">
        <v>643</v>
      </c>
      <c r="I210" s="2259"/>
      <c r="J210" s="2260"/>
      <c r="K210" s="2278" t="s">
        <v>4202</v>
      </c>
      <c r="L210" s="2260"/>
      <c r="M210" s="1908" t="e">
        <f>VLOOKUP(K210,'Estimate Details'!$R:$BR,20,FALSE)</f>
        <v>#N/A</v>
      </c>
      <c r="N210" s="1908" t="e">
        <f>VLOOKUP(M210,#REF!,2,FALSE)</f>
        <v>#N/A</v>
      </c>
      <c r="O210" s="1908" t="s">
        <v>4203</v>
      </c>
      <c r="P210" s="2278" t="s">
        <v>4130</v>
      </c>
      <c r="Q210" s="2259"/>
      <c r="R210" s="2260"/>
      <c r="S210" s="1908" t="s">
        <v>3688</v>
      </c>
      <c r="T210" s="1908" t="s">
        <v>3689</v>
      </c>
      <c r="U210" s="1908" t="s">
        <v>3707</v>
      </c>
      <c r="V210" s="1908" t="s">
        <v>4147</v>
      </c>
      <c r="W210" s="1908" t="s">
        <v>3688</v>
      </c>
      <c r="X210" s="1908"/>
      <c r="Y210" s="1908"/>
      <c r="Z210" s="1908"/>
      <c r="AA210" s="1908" t="s">
        <v>3694</v>
      </c>
      <c r="AB210" s="1908" t="s">
        <v>4161</v>
      </c>
      <c r="AC210" s="1908" t="s">
        <v>4150</v>
      </c>
      <c r="AD210" s="2278" t="s">
        <v>4162</v>
      </c>
      <c r="AE210" s="2259"/>
      <c r="AF210" s="2260"/>
      <c r="AG210" s="2278" t="s">
        <v>3696</v>
      </c>
      <c r="AH210" s="2259"/>
      <c r="AI210" s="2260"/>
      <c r="AJ210" s="1908" t="s">
        <v>4163</v>
      </c>
      <c r="AK210" s="2278" t="s">
        <v>4164</v>
      </c>
      <c r="AL210" s="2259"/>
      <c r="AM210" s="2259"/>
      <c r="AN210" s="2259"/>
      <c r="AO210" s="2260"/>
      <c r="AP210" s="1908" t="s">
        <v>3699</v>
      </c>
      <c r="BC210" s="214"/>
      <c r="BD210" s="214"/>
      <c r="BE210" s="214"/>
      <c r="BF210" s="214"/>
    </row>
    <row r="211" spans="1:58" ht="45" hidden="1" customHeight="1">
      <c r="A211" s="808"/>
      <c r="B211" s="2280"/>
      <c r="C211" s="2281"/>
      <c r="D211" s="2282"/>
      <c r="E211" s="1909" t="s">
        <v>3682</v>
      </c>
      <c r="F211" s="1911" t="s">
        <v>3688</v>
      </c>
      <c r="G211" s="1911"/>
      <c r="H211" s="2286" t="s">
        <v>643</v>
      </c>
      <c r="I211" s="2281"/>
      <c r="J211" s="2282"/>
      <c r="K211" s="2286" t="s">
        <v>4204</v>
      </c>
      <c r="L211" s="2282"/>
      <c r="M211" s="1911" t="e">
        <f>VLOOKUP(K211,'Estimate Details'!$R:$BR,20,FALSE)</f>
        <v>#N/A</v>
      </c>
      <c r="N211" s="1911" t="e">
        <f>VLOOKUP(M211,#REF!,2,FALSE)</f>
        <v>#N/A</v>
      </c>
      <c r="O211" s="1911" t="s">
        <v>4166</v>
      </c>
      <c r="P211" s="2287" t="s">
        <v>3688</v>
      </c>
      <c r="Q211" s="2281"/>
      <c r="R211" s="2282"/>
      <c r="S211" s="1911" t="s">
        <v>4205</v>
      </c>
      <c r="T211" s="1911" t="s">
        <v>3689</v>
      </c>
      <c r="U211" s="1911" t="s">
        <v>3688</v>
      </c>
      <c r="V211" s="1911" t="s">
        <v>3688</v>
      </c>
      <c r="W211" s="1911" t="s">
        <v>3688</v>
      </c>
      <c r="X211" s="1911"/>
      <c r="Y211" s="1911"/>
      <c r="Z211" s="1911"/>
      <c r="AA211" s="1911" t="s">
        <v>3694</v>
      </c>
      <c r="AB211" s="1911" t="s">
        <v>3688</v>
      </c>
      <c r="AC211" s="1911" t="s">
        <v>4105</v>
      </c>
      <c r="AD211" s="2286" t="s">
        <v>3688</v>
      </c>
      <c r="AE211" s="2281"/>
      <c r="AF211" s="2282"/>
      <c r="AG211" s="2286" t="s">
        <v>3696</v>
      </c>
      <c r="AH211" s="2281"/>
      <c r="AI211" s="2282"/>
      <c r="AJ211" s="1911" t="s">
        <v>4168</v>
      </c>
      <c r="AK211" s="2286" t="s">
        <v>3688</v>
      </c>
      <c r="AL211" s="2281"/>
      <c r="AM211" s="2259"/>
      <c r="AN211" s="2281"/>
      <c r="AO211" s="2282"/>
      <c r="AP211" s="1911" t="s">
        <v>3688</v>
      </c>
      <c r="BC211" s="214"/>
      <c r="BD211" s="214"/>
      <c r="BE211" s="214"/>
      <c r="BF211" s="214"/>
    </row>
    <row r="212" spans="1:58" ht="45" hidden="1" customHeight="1">
      <c r="B212" s="2277"/>
      <c r="C212" s="2259"/>
      <c r="D212" s="2260"/>
      <c r="E212" s="1908" t="s">
        <v>3682</v>
      </c>
      <c r="F212" s="1908" t="s">
        <v>3683</v>
      </c>
      <c r="G212" s="1908"/>
      <c r="H212" s="2278" t="s">
        <v>643</v>
      </c>
      <c r="I212" s="2259"/>
      <c r="J212" s="2260"/>
      <c r="K212" s="2278" t="s">
        <v>4206</v>
      </c>
      <c r="L212" s="2260"/>
      <c r="M212" s="1908" t="e">
        <f>VLOOKUP(K212,'Estimate Details'!$R:$BR,20,FALSE)</f>
        <v>#N/A</v>
      </c>
      <c r="N212" s="1908" t="e">
        <f>VLOOKUP(M212,#REF!,2,FALSE)</f>
        <v>#N/A</v>
      </c>
      <c r="O212" s="1908" t="s">
        <v>4207</v>
      </c>
      <c r="P212" s="2278" t="s">
        <v>4130</v>
      </c>
      <c r="Q212" s="2259"/>
      <c r="R212" s="2260"/>
      <c r="S212" s="1908" t="s">
        <v>3688</v>
      </c>
      <c r="T212" s="1908" t="s">
        <v>3689</v>
      </c>
      <c r="U212" s="1908" t="s">
        <v>3707</v>
      </c>
      <c r="V212" s="1908" t="s">
        <v>4147</v>
      </c>
      <c r="W212" s="1908" t="s">
        <v>3688</v>
      </c>
      <c r="X212" s="1908"/>
      <c r="Y212" s="1908"/>
      <c r="Z212" s="1908"/>
      <c r="AA212" s="1908" t="s">
        <v>3694</v>
      </c>
      <c r="AB212" s="1908" t="s">
        <v>4161</v>
      </c>
      <c r="AC212" s="1908" t="s">
        <v>4150</v>
      </c>
      <c r="AD212" s="2278" t="s">
        <v>4162</v>
      </c>
      <c r="AE212" s="2259"/>
      <c r="AF212" s="2260"/>
      <c r="AG212" s="2278" t="s">
        <v>3696</v>
      </c>
      <c r="AH212" s="2259"/>
      <c r="AI212" s="2260"/>
      <c r="AJ212" s="1908" t="s">
        <v>4163</v>
      </c>
      <c r="AK212" s="2278" t="s">
        <v>4164</v>
      </c>
      <c r="AL212" s="2259"/>
      <c r="AM212" s="2259"/>
      <c r="AN212" s="2259"/>
      <c r="AO212" s="2260"/>
      <c r="AP212" s="1908" t="s">
        <v>3699</v>
      </c>
      <c r="BC212" s="214"/>
      <c r="BD212" s="214"/>
      <c r="BE212" s="214"/>
      <c r="BF212" s="214"/>
    </row>
    <row r="213" spans="1:58" ht="45" hidden="1" customHeight="1">
      <c r="A213" s="808"/>
      <c r="B213" s="2280"/>
      <c r="C213" s="2281"/>
      <c r="D213" s="2282"/>
      <c r="E213" s="1909" t="s">
        <v>3682</v>
      </c>
      <c r="F213" s="1911" t="s">
        <v>3688</v>
      </c>
      <c r="G213" s="1911"/>
      <c r="H213" s="2286" t="s">
        <v>643</v>
      </c>
      <c r="I213" s="2281"/>
      <c r="J213" s="2282"/>
      <c r="K213" s="2286" t="s">
        <v>4208</v>
      </c>
      <c r="L213" s="2282"/>
      <c r="M213" s="1911" t="e">
        <f>VLOOKUP(K213,'Estimate Details'!$R:$BR,20,FALSE)</f>
        <v>#N/A</v>
      </c>
      <c r="N213" s="1911" t="e">
        <f>VLOOKUP(M213,#REF!,2,FALSE)</f>
        <v>#N/A</v>
      </c>
      <c r="O213" s="1911" t="s">
        <v>4166</v>
      </c>
      <c r="P213" s="2287" t="s">
        <v>3688</v>
      </c>
      <c r="Q213" s="2281"/>
      <c r="R213" s="2282"/>
      <c r="S213" s="1911" t="s">
        <v>4209</v>
      </c>
      <c r="T213" s="1911" t="s">
        <v>3689</v>
      </c>
      <c r="U213" s="1911" t="s">
        <v>3688</v>
      </c>
      <c r="V213" s="1911" t="s">
        <v>3688</v>
      </c>
      <c r="W213" s="1911" t="s">
        <v>3688</v>
      </c>
      <c r="X213" s="1911"/>
      <c r="Y213" s="1911"/>
      <c r="Z213" s="1911"/>
      <c r="AA213" s="1911" t="s">
        <v>3694</v>
      </c>
      <c r="AB213" s="1911" t="s">
        <v>3688</v>
      </c>
      <c r="AC213" s="1911" t="s">
        <v>4105</v>
      </c>
      <c r="AD213" s="2286" t="s">
        <v>3688</v>
      </c>
      <c r="AE213" s="2281"/>
      <c r="AF213" s="2282"/>
      <c r="AG213" s="2286" t="s">
        <v>3696</v>
      </c>
      <c r="AH213" s="2281"/>
      <c r="AI213" s="2282"/>
      <c r="AJ213" s="1911" t="s">
        <v>4168</v>
      </c>
      <c r="AK213" s="2286" t="s">
        <v>3688</v>
      </c>
      <c r="AL213" s="2281"/>
      <c r="AM213" s="2259"/>
      <c r="AN213" s="2281"/>
      <c r="AO213" s="2282"/>
      <c r="AP213" s="1911" t="s">
        <v>3688</v>
      </c>
      <c r="BC213" s="214"/>
      <c r="BD213" s="214"/>
      <c r="BE213" s="214"/>
      <c r="BF213" s="214"/>
    </row>
    <row r="214" spans="1:58" ht="45" hidden="1" customHeight="1">
      <c r="B214" s="2277"/>
      <c r="C214" s="2259"/>
      <c r="D214" s="2260"/>
      <c r="E214" s="1908" t="s">
        <v>3682</v>
      </c>
      <c r="F214" s="1908" t="s">
        <v>3683</v>
      </c>
      <c r="G214" s="1908"/>
      <c r="H214" s="2278" t="s">
        <v>643</v>
      </c>
      <c r="I214" s="2259"/>
      <c r="J214" s="2260"/>
      <c r="K214" s="2278" t="s">
        <v>4210</v>
      </c>
      <c r="L214" s="2260"/>
      <c r="M214" s="1908" t="e">
        <f>VLOOKUP(K214,'Estimate Details'!$R:$BR,20,FALSE)</f>
        <v>#N/A</v>
      </c>
      <c r="N214" s="1908" t="e">
        <f>VLOOKUP(M214,#REF!,2,FALSE)</f>
        <v>#N/A</v>
      </c>
      <c r="O214" s="1908" t="s">
        <v>4211</v>
      </c>
      <c r="P214" s="2278" t="s">
        <v>4130</v>
      </c>
      <c r="Q214" s="2259"/>
      <c r="R214" s="2260"/>
      <c r="S214" s="1908" t="s">
        <v>3688</v>
      </c>
      <c r="T214" s="1908" t="s">
        <v>3689</v>
      </c>
      <c r="U214" s="1908" t="s">
        <v>3690</v>
      </c>
      <c r="V214" s="1908" t="s">
        <v>4147</v>
      </c>
      <c r="W214" s="1908" t="s">
        <v>3688</v>
      </c>
      <c r="X214" s="1908" t="s">
        <v>4148</v>
      </c>
      <c r="Y214" s="1908"/>
      <c r="Z214" s="1908"/>
      <c r="AA214" s="1908" t="s">
        <v>3694</v>
      </c>
      <c r="AB214" s="1908" t="s">
        <v>4149</v>
      </c>
      <c r="AC214" s="1908" t="s">
        <v>4150</v>
      </c>
      <c r="AD214" s="2278" t="s">
        <v>4151</v>
      </c>
      <c r="AE214" s="2259"/>
      <c r="AF214" s="2260"/>
      <c r="AG214" s="2278" t="s">
        <v>4152</v>
      </c>
      <c r="AH214" s="2259"/>
      <c r="AI214" s="2260"/>
      <c r="AJ214" s="1908" t="s">
        <v>4153</v>
      </c>
      <c r="AK214" s="2278" t="s">
        <v>4154</v>
      </c>
      <c r="AL214" s="2259"/>
      <c r="AM214" s="2259"/>
      <c r="AN214" s="2259"/>
      <c r="AO214" s="2260"/>
      <c r="AP214" s="1908" t="s">
        <v>3699</v>
      </c>
      <c r="BC214" s="214"/>
      <c r="BD214" s="214"/>
      <c r="BE214" s="214"/>
      <c r="BF214" s="214"/>
    </row>
    <row r="215" spans="1:58" ht="45" hidden="1" customHeight="1">
      <c r="A215" s="808"/>
      <c r="B215" s="2280"/>
      <c r="C215" s="2281"/>
      <c r="D215" s="2282"/>
      <c r="E215" s="1909" t="s">
        <v>3682</v>
      </c>
      <c r="F215" s="1911" t="s">
        <v>3688</v>
      </c>
      <c r="G215" s="1911"/>
      <c r="H215" s="2286" t="s">
        <v>643</v>
      </c>
      <c r="I215" s="2281"/>
      <c r="J215" s="2282"/>
      <c r="K215" s="2286" t="s">
        <v>4212</v>
      </c>
      <c r="L215" s="2282"/>
      <c r="M215" s="1911" t="e">
        <f>VLOOKUP(K215,'Estimate Details'!$R:$BR,20,FALSE)</f>
        <v>#N/A</v>
      </c>
      <c r="N215" s="1911" t="e">
        <f>VLOOKUP(M215,#REF!,2,FALSE)</f>
        <v>#N/A</v>
      </c>
      <c r="O215" s="1911" t="s">
        <v>4156</v>
      </c>
      <c r="P215" s="2287" t="s">
        <v>3688</v>
      </c>
      <c r="Q215" s="2281"/>
      <c r="R215" s="2282"/>
      <c r="S215" s="1911" t="s">
        <v>4213</v>
      </c>
      <c r="T215" s="1911" t="s">
        <v>3689</v>
      </c>
      <c r="U215" s="1911" t="s">
        <v>3688</v>
      </c>
      <c r="V215" s="1911" t="s">
        <v>3688</v>
      </c>
      <c r="W215" s="1911" t="s">
        <v>3688</v>
      </c>
      <c r="X215" s="1911"/>
      <c r="Y215" s="1911"/>
      <c r="Z215" s="1911"/>
      <c r="AA215" s="1911" t="s">
        <v>3694</v>
      </c>
      <c r="AB215" s="1911" t="s">
        <v>3688</v>
      </c>
      <c r="AC215" s="1911" t="s">
        <v>4105</v>
      </c>
      <c r="AD215" s="2286" t="s">
        <v>3688</v>
      </c>
      <c r="AE215" s="2281"/>
      <c r="AF215" s="2282"/>
      <c r="AG215" s="2286" t="s">
        <v>3696</v>
      </c>
      <c r="AH215" s="2281"/>
      <c r="AI215" s="2282"/>
      <c r="AJ215" s="1911" t="s">
        <v>4158</v>
      </c>
      <c r="AK215" s="2286" t="s">
        <v>3688</v>
      </c>
      <c r="AL215" s="2281"/>
      <c r="AM215" s="2259"/>
      <c r="AN215" s="2281"/>
      <c r="AO215" s="2282"/>
      <c r="AP215" s="1911" t="s">
        <v>3688</v>
      </c>
      <c r="BC215" s="214"/>
      <c r="BD215" s="214"/>
      <c r="BE215" s="214"/>
      <c r="BF215" s="214"/>
    </row>
    <row r="216" spans="1:58" ht="45" hidden="1" customHeight="1">
      <c r="B216" s="2277"/>
      <c r="C216" s="2259"/>
      <c r="D216" s="2260"/>
      <c r="E216" s="1908" t="s">
        <v>3682</v>
      </c>
      <c r="F216" s="1908" t="s">
        <v>3683</v>
      </c>
      <c r="G216" s="1908"/>
      <c r="H216" s="2278" t="s">
        <v>643</v>
      </c>
      <c r="I216" s="2259"/>
      <c r="J216" s="2260"/>
      <c r="K216" s="2278" t="s">
        <v>664</v>
      </c>
      <c r="L216" s="2260"/>
      <c r="M216" s="1908">
        <f>VLOOKUP(K216,'Estimate Details'!$R:$BR,20,FALSE)</f>
        <v>3320.9800000000005</v>
      </c>
      <c r="N216" s="1908" t="e">
        <f>VLOOKUP(M216,#REF!,2,FALSE)</f>
        <v>#REF!</v>
      </c>
      <c r="O216" s="1908" t="s">
        <v>4214</v>
      </c>
      <c r="P216" s="2278" t="s">
        <v>4180</v>
      </c>
      <c r="Q216" s="2259"/>
      <c r="R216" s="2260"/>
      <c r="S216" s="1908" t="s">
        <v>3688</v>
      </c>
      <c r="T216" s="1908" t="s">
        <v>3689</v>
      </c>
      <c r="U216" s="1908" t="s">
        <v>3707</v>
      </c>
      <c r="V216" s="1908" t="s">
        <v>4147</v>
      </c>
      <c r="W216" s="1908" t="s">
        <v>3688</v>
      </c>
      <c r="X216" s="1908"/>
      <c r="Y216" s="1908"/>
      <c r="Z216" s="1908"/>
      <c r="AA216" s="1908" t="s">
        <v>3957</v>
      </c>
      <c r="AB216" s="1908" t="s">
        <v>4191</v>
      </c>
      <c r="AC216" s="1908" t="s">
        <v>3696</v>
      </c>
      <c r="AD216" s="2278" t="s">
        <v>4192</v>
      </c>
      <c r="AE216" s="2259"/>
      <c r="AF216" s="2260"/>
      <c r="AG216" s="2278" t="s">
        <v>3696</v>
      </c>
      <c r="AH216" s="2259"/>
      <c r="AI216" s="2260"/>
      <c r="AJ216" s="1908" t="s">
        <v>4163</v>
      </c>
      <c r="AK216" s="2278" t="s">
        <v>4193</v>
      </c>
      <c r="AL216" s="2259"/>
      <c r="AM216" s="2259"/>
      <c r="AN216" s="2259"/>
      <c r="AO216" s="2260"/>
      <c r="AP216" s="1908" t="s">
        <v>3699</v>
      </c>
      <c r="BC216" s="214"/>
      <c r="BD216" s="214"/>
      <c r="BE216" s="214"/>
      <c r="BF216" s="214"/>
    </row>
    <row r="217" spans="1:58" ht="45" hidden="1" customHeight="1">
      <c r="A217" s="808"/>
      <c r="B217" s="2280"/>
      <c r="C217" s="2281"/>
      <c r="D217" s="2282"/>
      <c r="E217" s="1909" t="s">
        <v>3682</v>
      </c>
      <c r="F217" s="1909" t="s">
        <v>3683</v>
      </c>
      <c r="G217" s="1909"/>
      <c r="H217" s="2283" t="s">
        <v>643</v>
      </c>
      <c r="I217" s="2281"/>
      <c r="J217" s="2282"/>
      <c r="K217" s="2283" t="s">
        <v>667</v>
      </c>
      <c r="L217" s="2282"/>
      <c r="M217" s="1909">
        <f>VLOOKUP(K217,'Estimate Details'!$R:$BR,20,FALSE)</f>
        <v>3320.9800000000005</v>
      </c>
      <c r="N217" s="1909" t="e">
        <f>VLOOKUP(M217,#REF!,2,FALSE)</f>
        <v>#REF!</v>
      </c>
      <c r="O217" s="1909" t="s">
        <v>4215</v>
      </c>
      <c r="P217" s="2284" t="s">
        <v>4180</v>
      </c>
      <c r="Q217" s="2281"/>
      <c r="R217" s="2282"/>
      <c r="S217" s="1909" t="s">
        <v>3688</v>
      </c>
      <c r="T217" s="1909" t="s">
        <v>3689</v>
      </c>
      <c r="U217" s="1909" t="s">
        <v>3707</v>
      </c>
      <c r="V217" s="1909" t="s">
        <v>4147</v>
      </c>
      <c r="W217" s="1909" t="s">
        <v>3688</v>
      </c>
      <c r="X217" s="1909"/>
      <c r="Y217" s="1909"/>
      <c r="Z217" s="1909"/>
      <c r="AA217" s="1909" t="s">
        <v>3957</v>
      </c>
      <c r="AB217" s="1909" t="s">
        <v>4216</v>
      </c>
      <c r="AC217" s="1909" t="s">
        <v>3696</v>
      </c>
      <c r="AD217" s="2283" t="s">
        <v>4192</v>
      </c>
      <c r="AE217" s="2281"/>
      <c r="AF217" s="2282"/>
      <c r="AG217" s="2283" t="s">
        <v>3696</v>
      </c>
      <c r="AH217" s="2281"/>
      <c r="AI217" s="2282"/>
      <c r="AJ217" s="1909" t="s">
        <v>4163</v>
      </c>
      <c r="AK217" s="2283" t="s">
        <v>4193</v>
      </c>
      <c r="AL217" s="2281"/>
      <c r="AM217" s="2259"/>
      <c r="AN217" s="2281"/>
      <c r="AO217" s="2282"/>
      <c r="AP217" s="1909" t="s">
        <v>3699</v>
      </c>
      <c r="BC217" s="214"/>
      <c r="BD217" s="214"/>
      <c r="BE217" s="214"/>
      <c r="BF217" s="214"/>
    </row>
    <row r="218" spans="1:58" ht="45" hidden="1" customHeight="1">
      <c r="B218" s="2277"/>
      <c r="C218" s="2259"/>
      <c r="D218" s="2260"/>
      <c r="E218" s="1908" t="s">
        <v>3682</v>
      </c>
      <c r="F218" s="1908" t="s">
        <v>3683</v>
      </c>
      <c r="G218" s="1908"/>
      <c r="H218" s="2278" t="s">
        <v>643</v>
      </c>
      <c r="I218" s="2259"/>
      <c r="J218" s="2260"/>
      <c r="K218" s="2278" t="s">
        <v>653</v>
      </c>
      <c r="L218" s="2260"/>
      <c r="M218" s="1908">
        <f>VLOOKUP(K218,'Estimate Details'!$R:$BR,20,FALSE)</f>
        <v>1929.6716666666666</v>
      </c>
      <c r="N218" s="1908" t="e">
        <f>VLOOKUP(M218,#REF!,2,FALSE)</f>
        <v>#REF!</v>
      </c>
      <c r="O218" s="1908" t="s">
        <v>4217</v>
      </c>
      <c r="P218" s="2278" t="s">
        <v>4180</v>
      </c>
      <c r="Q218" s="2259"/>
      <c r="R218" s="2260"/>
      <c r="S218" s="1908" t="s">
        <v>3688</v>
      </c>
      <c r="T218" s="1908" t="s">
        <v>3689</v>
      </c>
      <c r="U218" s="1908" t="s">
        <v>3690</v>
      </c>
      <c r="V218" s="1908" t="s">
        <v>4147</v>
      </c>
      <c r="W218" s="1908" t="s">
        <v>3688</v>
      </c>
      <c r="X218" s="1908" t="s">
        <v>4218</v>
      </c>
      <c r="Y218" s="1908"/>
      <c r="Z218" s="1908"/>
      <c r="AA218" s="1908" t="s">
        <v>3957</v>
      </c>
      <c r="AB218" s="1908" t="s">
        <v>4219</v>
      </c>
      <c r="AC218" s="1908" t="s">
        <v>3696</v>
      </c>
      <c r="AD218" s="2278" t="s">
        <v>4220</v>
      </c>
      <c r="AE218" s="2259"/>
      <c r="AF218" s="2260"/>
      <c r="AG218" s="2278" t="s">
        <v>4152</v>
      </c>
      <c r="AH218" s="2259"/>
      <c r="AI218" s="2260"/>
      <c r="AJ218" s="1908" t="s">
        <v>4153</v>
      </c>
      <c r="AK218" s="2278" t="s">
        <v>4221</v>
      </c>
      <c r="AL218" s="2259"/>
      <c r="AM218" s="2259"/>
      <c r="AN218" s="2259"/>
      <c r="AO218" s="2260"/>
      <c r="AP218" s="1908" t="s">
        <v>3699</v>
      </c>
      <c r="BC218" s="214"/>
      <c r="BD218" s="214"/>
      <c r="BE218" s="214"/>
      <c r="BF218" s="214"/>
    </row>
    <row r="219" spans="1:58" ht="45" hidden="1" customHeight="1">
      <c r="A219" s="808"/>
      <c r="B219" s="2280"/>
      <c r="C219" s="2281"/>
      <c r="D219" s="2282"/>
      <c r="E219" s="1909" t="s">
        <v>3682</v>
      </c>
      <c r="F219" s="1909" t="s">
        <v>3683</v>
      </c>
      <c r="G219" s="1909"/>
      <c r="H219" s="2283" t="s">
        <v>643</v>
      </c>
      <c r="I219" s="2281"/>
      <c r="J219" s="2282"/>
      <c r="K219" s="2283" t="s">
        <v>646</v>
      </c>
      <c r="L219" s="2282"/>
      <c r="M219" s="1909">
        <f>VLOOKUP(K219,'Estimate Details'!$R:$BR,20,FALSE)</f>
        <v>6641.96</v>
      </c>
      <c r="N219" s="1909" t="e">
        <f>VLOOKUP(M219,#REF!,2,FALSE)</f>
        <v>#REF!</v>
      </c>
      <c r="O219" s="1909" t="s">
        <v>4222</v>
      </c>
      <c r="P219" s="2284" t="s">
        <v>4180</v>
      </c>
      <c r="Q219" s="2281"/>
      <c r="R219" s="2282"/>
      <c r="S219" s="1909" t="s">
        <v>3688</v>
      </c>
      <c r="T219" s="1909" t="s">
        <v>3689</v>
      </c>
      <c r="U219" s="1909" t="s">
        <v>3690</v>
      </c>
      <c r="V219" s="1909" t="s">
        <v>4147</v>
      </c>
      <c r="W219" s="1909" t="s">
        <v>3688</v>
      </c>
      <c r="X219" s="1909" t="s">
        <v>4181</v>
      </c>
      <c r="Y219" s="1909"/>
      <c r="Z219" s="1909"/>
      <c r="AA219" s="1909" t="s">
        <v>3694</v>
      </c>
      <c r="AB219" s="1909" t="s">
        <v>4182</v>
      </c>
      <c r="AC219" s="1909" t="s">
        <v>3696</v>
      </c>
      <c r="AD219" s="2283" t="s">
        <v>4183</v>
      </c>
      <c r="AE219" s="2281"/>
      <c r="AF219" s="2282"/>
      <c r="AG219" s="2283" t="s">
        <v>4152</v>
      </c>
      <c r="AH219" s="2281"/>
      <c r="AI219" s="2282"/>
      <c r="AJ219" s="1909" t="s">
        <v>4153</v>
      </c>
      <c r="AK219" s="2283" t="s">
        <v>4184</v>
      </c>
      <c r="AL219" s="2281"/>
      <c r="AM219" s="2259"/>
      <c r="AN219" s="2281"/>
      <c r="AO219" s="2282"/>
      <c r="AP219" s="1909" t="s">
        <v>3699</v>
      </c>
      <c r="BC219" s="214"/>
      <c r="BD219" s="214"/>
      <c r="BE219" s="214"/>
      <c r="BF219" s="214"/>
    </row>
    <row r="220" spans="1:58" ht="45" hidden="1" customHeight="1">
      <c r="B220" s="2277"/>
      <c r="C220" s="2259"/>
      <c r="D220" s="2260"/>
      <c r="E220" s="1908" t="s">
        <v>3682</v>
      </c>
      <c r="F220" s="1908" t="s">
        <v>3683</v>
      </c>
      <c r="G220" s="1908"/>
      <c r="H220" s="2278" t="s">
        <v>683</v>
      </c>
      <c r="I220" s="2259"/>
      <c r="J220" s="2260"/>
      <c r="K220" s="2278" t="s">
        <v>4223</v>
      </c>
      <c r="L220" s="2260"/>
      <c r="M220" s="1908" t="e">
        <f>VLOOKUP(K220,'Estimate Details'!$R:$BR,20,FALSE)</f>
        <v>#N/A</v>
      </c>
      <c r="N220" s="1908" t="e">
        <f>VLOOKUP(M220,#REF!,2,FALSE)</f>
        <v>#N/A</v>
      </c>
      <c r="O220" s="1908" t="s">
        <v>4224</v>
      </c>
      <c r="P220" s="2278" t="s">
        <v>4175</v>
      </c>
      <c r="Q220" s="2259"/>
      <c r="R220" s="2260"/>
      <c r="S220" s="1908" t="s">
        <v>3688</v>
      </c>
      <c r="T220" s="1908" t="s">
        <v>3689</v>
      </c>
      <c r="U220" s="1908" t="s">
        <v>3707</v>
      </c>
      <c r="V220" s="1908" t="s">
        <v>4176</v>
      </c>
      <c r="W220" s="1908" t="s">
        <v>3688</v>
      </c>
      <c r="X220" s="1908" t="s">
        <v>4225</v>
      </c>
      <c r="Y220" s="1908" t="s">
        <v>4226</v>
      </c>
      <c r="Z220" s="1908"/>
      <c r="AA220" s="1908" t="s">
        <v>3694</v>
      </c>
      <c r="AB220" s="1908" t="s">
        <v>4227</v>
      </c>
      <c r="AC220" s="1908" t="s">
        <v>3804</v>
      </c>
      <c r="AD220" s="2278" t="s">
        <v>4228</v>
      </c>
      <c r="AE220" s="2259"/>
      <c r="AF220" s="2260"/>
      <c r="AG220" s="2278" t="s">
        <v>3696</v>
      </c>
      <c r="AH220" s="2259"/>
      <c r="AI220" s="2260"/>
      <c r="AJ220" s="1908" t="s">
        <v>3814</v>
      </c>
      <c r="AK220" s="2278" t="s">
        <v>4229</v>
      </c>
      <c r="AL220" s="2259"/>
      <c r="AM220" s="2259"/>
      <c r="AN220" s="2259"/>
      <c r="AO220" s="2260"/>
      <c r="AP220" s="1908" t="s">
        <v>3699</v>
      </c>
      <c r="BC220" s="214"/>
      <c r="BD220" s="214"/>
      <c r="BE220" s="214"/>
      <c r="BF220" s="214"/>
    </row>
    <row r="221" spans="1:58" ht="45" hidden="1" customHeight="1">
      <c r="A221" s="808"/>
      <c r="B221" s="2280"/>
      <c r="C221" s="2281"/>
      <c r="D221" s="2282"/>
      <c r="E221" s="1909" t="s">
        <v>3682</v>
      </c>
      <c r="F221" s="1909" t="s">
        <v>3683</v>
      </c>
      <c r="G221" s="1909"/>
      <c r="H221" s="2283" t="s">
        <v>683</v>
      </c>
      <c r="I221" s="2281"/>
      <c r="J221" s="2282"/>
      <c r="K221" s="2283" t="s">
        <v>4230</v>
      </c>
      <c r="L221" s="2282"/>
      <c r="M221" s="1909" t="e">
        <f>VLOOKUP(K221,'Estimate Details'!$R:$BR,20,FALSE)</f>
        <v>#N/A</v>
      </c>
      <c r="N221" s="1909" t="e">
        <f>VLOOKUP(M221,#REF!,2,FALSE)</f>
        <v>#N/A</v>
      </c>
      <c r="O221" s="1909" t="s">
        <v>4231</v>
      </c>
      <c r="P221" s="2284" t="s">
        <v>4175</v>
      </c>
      <c r="Q221" s="2281"/>
      <c r="R221" s="2282"/>
      <c r="S221" s="1909" t="s">
        <v>3688</v>
      </c>
      <c r="T221" s="1909" t="s">
        <v>3689</v>
      </c>
      <c r="U221" s="1909" t="s">
        <v>3707</v>
      </c>
      <c r="V221" s="1909" t="s">
        <v>4176</v>
      </c>
      <c r="W221" s="1909" t="s">
        <v>3688</v>
      </c>
      <c r="X221" s="1909" t="s">
        <v>4232</v>
      </c>
      <c r="Y221" s="1909" t="s">
        <v>4233</v>
      </c>
      <c r="Z221" s="1909"/>
      <c r="AA221" s="1909" t="s">
        <v>3694</v>
      </c>
      <c r="AB221" s="1909" t="s">
        <v>4234</v>
      </c>
      <c r="AC221" s="1909" t="s">
        <v>4235</v>
      </c>
      <c r="AD221" s="2283" t="s">
        <v>4236</v>
      </c>
      <c r="AE221" s="2281"/>
      <c r="AF221" s="2282"/>
      <c r="AG221" s="2283" t="s">
        <v>3696</v>
      </c>
      <c r="AH221" s="2281"/>
      <c r="AI221" s="2282"/>
      <c r="AJ221" s="1909" t="s">
        <v>3814</v>
      </c>
      <c r="AK221" s="2283" t="s">
        <v>4237</v>
      </c>
      <c r="AL221" s="2281"/>
      <c r="AM221" s="2259"/>
      <c r="AN221" s="2281"/>
      <c r="AO221" s="2282"/>
      <c r="AP221" s="1909" t="s">
        <v>3699</v>
      </c>
      <c r="BC221" s="214"/>
      <c r="BD221" s="214"/>
      <c r="BE221" s="214"/>
      <c r="BF221" s="214"/>
    </row>
    <row r="222" spans="1:58" ht="45" hidden="1" customHeight="1">
      <c r="B222" s="2277"/>
      <c r="C222" s="2259"/>
      <c r="D222" s="2260"/>
      <c r="E222" s="1908" t="s">
        <v>3682</v>
      </c>
      <c r="F222" s="1908" t="s">
        <v>3683</v>
      </c>
      <c r="G222" s="1908"/>
      <c r="H222" s="2278" t="s">
        <v>683</v>
      </c>
      <c r="I222" s="2259"/>
      <c r="J222" s="2260"/>
      <c r="K222" s="2278" t="s">
        <v>690</v>
      </c>
      <c r="L222" s="2260"/>
      <c r="M222" s="1908">
        <f>VLOOKUP(K222,'Estimate Details'!$R:$BR,20,FALSE)</f>
        <v>0</v>
      </c>
      <c r="N222" s="1908" t="e">
        <f>VLOOKUP(M222,#REF!,2,FALSE)</f>
        <v>#REF!</v>
      </c>
      <c r="O222" s="1908" t="s">
        <v>4238</v>
      </c>
      <c r="P222" s="2278" t="s">
        <v>4175</v>
      </c>
      <c r="Q222" s="2259"/>
      <c r="R222" s="2260"/>
      <c r="S222" s="1908" t="s">
        <v>3688</v>
      </c>
      <c r="T222" s="1908" t="s">
        <v>3689</v>
      </c>
      <c r="U222" s="1908" t="s">
        <v>3707</v>
      </c>
      <c r="V222" s="1908" t="s">
        <v>4176</v>
      </c>
      <c r="W222" s="1908" t="s">
        <v>3688</v>
      </c>
      <c r="X222" s="1908"/>
      <c r="Y222" s="1908" t="s">
        <v>4239</v>
      </c>
      <c r="Z222" s="1908"/>
      <c r="AA222" s="1908" t="s">
        <v>3694</v>
      </c>
      <c r="AB222" s="1908" t="s">
        <v>4240</v>
      </c>
      <c r="AC222" s="1908" t="s">
        <v>4241</v>
      </c>
      <c r="AD222" s="2278" t="s">
        <v>4242</v>
      </c>
      <c r="AE222" s="2259"/>
      <c r="AF222" s="2260"/>
      <c r="AG222" s="2278" t="s">
        <v>3696</v>
      </c>
      <c r="AH222" s="2259"/>
      <c r="AI222" s="2260"/>
      <c r="AJ222" s="1908" t="s">
        <v>3814</v>
      </c>
      <c r="AK222" s="2278" t="s">
        <v>4243</v>
      </c>
      <c r="AL222" s="2259"/>
      <c r="AM222" s="2259"/>
      <c r="AN222" s="2259"/>
      <c r="AO222" s="2260"/>
      <c r="AP222" s="1908" t="s">
        <v>3716</v>
      </c>
      <c r="BC222" s="214"/>
      <c r="BD222" s="214"/>
      <c r="BE222" s="214"/>
      <c r="BF222" s="214"/>
    </row>
    <row r="223" spans="1:58" ht="45" hidden="1" customHeight="1">
      <c r="A223" s="808"/>
      <c r="B223" s="2280"/>
      <c r="C223" s="2281"/>
      <c r="D223" s="2282"/>
      <c r="E223" s="1909" t="s">
        <v>3682</v>
      </c>
      <c r="F223" s="1909" t="s">
        <v>3683</v>
      </c>
      <c r="G223" s="1909"/>
      <c r="H223" s="2283" t="s">
        <v>683</v>
      </c>
      <c r="I223" s="2281"/>
      <c r="J223" s="2282"/>
      <c r="K223" s="2283" t="s">
        <v>4244</v>
      </c>
      <c r="L223" s="2282"/>
      <c r="M223" s="1909" t="e">
        <f>VLOOKUP(K223,'Estimate Details'!$R:$BR,20,FALSE)</f>
        <v>#N/A</v>
      </c>
      <c r="N223" s="1909" t="e">
        <f>VLOOKUP(M223,#REF!,2,FALSE)</f>
        <v>#N/A</v>
      </c>
      <c r="O223" s="1909" t="s">
        <v>4245</v>
      </c>
      <c r="P223" s="2284" t="s">
        <v>4175</v>
      </c>
      <c r="Q223" s="2281"/>
      <c r="R223" s="2282"/>
      <c r="S223" s="1909" t="s">
        <v>3688</v>
      </c>
      <c r="T223" s="1909" t="s">
        <v>3689</v>
      </c>
      <c r="U223" s="1909" t="s">
        <v>3707</v>
      </c>
      <c r="V223" s="1909" t="s">
        <v>4176</v>
      </c>
      <c r="W223" s="1909" t="s">
        <v>3688</v>
      </c>
      <c r="X223" s="1909" t="s">
        <v>4246</v>
      </c>
      <c r="Y223" s="1909" t="s">
        <v>4247</v>
      </c>
      <c r="Z223" s="1909"/>
      <c r="AA223" s="1909" t="s">
        <v>3694</v>
      </c>
      <c r="AB223" s="1909" t="s">
        <v>4248</v>
      </c>
      <c r="AC223" s="1909" t="s">
        <v>4249</v>
      </c>
      <c r="AD223" s="2283" t="s">
        <v>4250</v>
      </c>
      <c r="AE223" s="2281"/>
      <c r="AF223" s="2282"/>
      <c r="AG223" s="2283" t="s">
        <v>3696</v>
      </c>
      <c r="AH223" s="2281"/>
      <c r="AI223" s="2282"/>
      <c r="AJ223" s="1909" t="s">
        <v>3814</v>
      </c>
      <c r="AK223" s="2283" t="s">
        <v>4251</v>
      </c>
      <c r="AL223" s="2281"/>
      <c r="AM223" s="2259"/>
      <c r="AN223" s="2281"/>
      <c r="AO223" s="2282"/>
      <c r="AP223" s="1909" t="s">
        <v>3699</v>
      </c>
      <c r="BC223" s="214"/>
      <c r="BD223" s="214"/>
      <c r="BE223" s="214"/>
      <c r="BF223" s="214"/>
    </row>
    <row r="224" spans="1:58" ht="45" hidden="1" customHeight="1">
      <c r="B224" s="2277"/>
      <c r="C224" s="2259"/>
      <c r="D224" s="2260"/>
      <c r="E224" s="1908" t="s">
        <v>3682</v>
      </c>
      <c r="F224" s="1908" t="s">
        <v>3683</v>
      </c>
      <c r="G224" s="1908"/>
      <c r="H224" s="2278" t="s">
        <v>683</v>
      </c>
      <c r="I224" s="2259"/>
      <c r="J224" s="2260"/>
      <c r="K224" s="2278" t="s">
        <v>4252</v>
      </c>
      <c r="L224" s="2260"/>
      <c r="M224" s="1908" t="e">
        <f>VLOOKUP(K224,'Estimate Details'!$R:$BR,20,FALSE)</f>
        <v>#N/A</v>
      </c>
      <c r="N224" s="1908" t="e">
        <f>VLOOKUP(M224,#REF!,2,FALSE)</f>
        <v>#N/A</v>
      </c>
      <c r="O224" s="1908" t="s">
        <v>4253</v>
      </c>
      <c r="P224" s="2278" t="s">
        <v>4175</v>
      </c>
      <c r="Q224" s="2259"/>
      <c r="R224" s="2260"/>
      <c r="S224" s="1908" t="s">
        <v>3688</v>
      </c>
      <c r="T224" s="1908" t="s">
        <v>3689</v>
      </c>
      <c r="U224" s="1908" t="s">
        <v>3707</v>
      </c>
      <c r="V224" s="1908" t="s">
        <v>4176</v>
      </c>
      <c r="W224" s="1908" t="s">
        <v>3688</v>
      </c>
      <c r="X224" s="1908"/>
      <c r="Y224" s="1908"/>
      <c r="Z224" s="1908"/>
      <c r="AA224" s="1908" t="s">
        <v>3694</v>
      </c>
      <c r="AB224" s="1908" t="s">
        <v>3688</v>
      </c>
      <c r="AC224" s="1908" t="s">
        <v>3804</v>
      </c>
      <c r="AD224" s="2278" t="s">
        <v>3688</v>
      </c>
      <c r="AE224" s="2259"/>
      <c r="AF224" s="2260"/>
      <c r="AG224" s="2278" t="s">
        <v>3696</v>
      </c>
      <c r="AH224" s="2259"/>
      <c r="AI224" s="2260"/>
      <c r="AJ224" s="1908" t="s">
        <v>3814</v>
      </c>
      <c r="AK224" s="2278" t="s">
        <v>4254</v>
      </c>
      <c r="AL224" s="2259"/>
      <c r="AM224" s="2259"/>
      <c r="AN224" s="2259"/>
      <c r="AO224" s="2260"/>
      <c r="AP224" s="1908" t="s">
        <v>3716</v>
      </c>
      <c r="BC224" s="214"/>
      <c r="BD224" s="214"/>
      <c r="BE224" s="214"/>
      <c r="BF224" s="214"/>
    </row>
    <row r="225" spans="1:58" ht="45" hidden="1" customHeight="1">
      <c r="A225" s="808"/>
      <c r="B225" s="2280"/>
      <c r="C225" s="2281"/>
      <c r="D225" s="2282"/>
      <c r="E225" s="1909" t="s">
        <v>3682</v>
      </c>
      <c r="F225" s="1909" t="s">
        <v>3683</v>
      </c>
      <c r="G225" s="1909"/>
      <c r="H225" s="2283" t="s">
        <v>683</v>
      </c>
      <c r="I225" s="2281"/>
      <c r="J225" s="2282"/>
      <c r="K225" s="2283" t="s">
        <v>4255</v>
      </c>
      <c r="L225" s="2282"/>
      <c r="M225" s="1909" t="e">
        <f>VLOOKUP(K225,'Estimate Details'!$R:$BR,20,FALSE)</f>
        <v>#N/A</v>
      </c>
      <c r="N225" s="1909" t="e">
        <f>VLOOKUP(M225,#REF!,2,FALSE)</f>
        <v>#N/A</v>
      </c>
      <c r="O225" s="1909" t="s">
        <v>4256</v>
      </c>
      <c r="P225" s="2284" t="s">
        <v>4175</v>
      </c>
      <c r="Q225" s="2281"/>
      <c r="R225" s="2282"/>
      <c r="S225" s="1909" t="s">
        <v>3688</v>
      </c>
      <c r="T225" s="1909" t="s">
        <v>3689</v>
      </c>
      <c r="U225" s="1909" t="s">
        <v>3707</v>
      </c>
      <c r="V225" s="1909" t="s">
        <v>4176</v>
      </c>
      <c r="W225" s="1909" t="s">
        <v>3688</v>
      </c>
      <c r="X225" s="1909" t="s">
        <v>4257</v>
      </c>
      <c r="Y225" s="1909" t="s">
        <v>4258</v>
      </c>
      <c r="Z225" s="1909"/>
      <c r="AA225" s="1909" t="s">
        <v>3694</v>
      </c>
      <c r="AB225" s="1909" t="s">
        <v>3688</v>
      </c>
      <c r="AC225" s="1909" t="s">
        <v>4259</v>
      </c>
      <c r="AD225" s="2283" t="s">
        <v>4260</v>
      </c>
      <c r="AE225" s="2281"/>
      <c r="AF225" s="2282"/>
      <c r="AG225" s="2283" t="s">
        <v>3696</v>
      </c>
      <c r="AH225" s="2281"/>
      <c r="AI225" s="2282"/>
      <c r="AJ225" s="1909" t="s">
        <v>3814</v>
      </c>
      <c r="AK225" s="2283" t="s">
        <v>4261</v>
      </c>
      <c r="AL225" s="2281"/>
      <c r="AM225" s="2259"/>
      <c r="AN225" s="2281"/>
      <c r="AO225" s="2282"/>
      <c r="AP225" s="1909" t="s">
        <v>3699</v>
      </c>
      <c r="BC225" s="214"/>
      <c r="BD225" s="214"/>
      <c r="BE225" s="214"/>
      <c r="BF225" s="214"/>
    </row>
    <row r="226" spans="1:58" ht="45" hidden="1" customHeight="1">
      <c r="B226" s="2277"/>
      <c r="C226" s="2259"/>
      <c r="D226" s="2260"/>
      <c r="E226" s="1908" t="s">
        <v>3682</v>
      </c>
      <c r="F226" s="1908" t="s">
        <v>3683</v>
      </c>
      <c r="G226" s="1908"/>
      <c r="H226" s="2278" t="s">
        <v>683</v>
      </c>
      <c r="I226" s="2259"/>
      <c r="J226" s="2260"/>
      <c r="K226" s="2278" t="s">
        <v>4262</v>
      </c>
      <c r="L226" s="2260"/>
      <c r="M226" s="1908" t="e">
        <f>VLOOKUP(K226,'Estimate Details'!$R:$BR,20,FALSE)</f>
        <v>#N/A</v>
      </c>
      <c r="N226" s="1908" t="e">
        <f>VLOOKUP(M226,#REF!,2,FALSE)</f>
        <v>#N/A</v>
      </c>
      <c r="O226" s="1908" t="s">
        <v>4256</v>
      </c>
      <c r="P226" s="2278" t="s">
        <v>4175</v>
      </c>
      <c r="Q226" s="2259"/>
      <c r="R226" s="2260"/>
      <c r="S226" s="1908" t="s">
        <v>3688</v>
      </c>
      <c r="T226" s="1908" t="s">
        <v>3689</v>
      </c>
      <c r="U226" s="1908" t="s">
        <v>3707</v>
      </c>
      <c r="V226" s="1908" t="s">
        <v>4176</v>
      </c>
      <c r="W226" s="1908" t="s">
        <v>3688</v>
      </c>
      <c r="X226" s="1908" t="s">
        <v>4257</v>
      </c>
      <c r="Y226" s="1908" t="s">
        <v>4258</v>
      </c>
      <c r="Z226" s="1908"/>
      <c r="AA226" s="1908" t="s">
        <v>3694</v>
      </c>
      <c r="AB226" s="1908" t="s">
        <v>3688</v>
      </c>
      <c r="AC226" s="1908" t="s">
        <v>4259</v>
      </c>
      <c r="AD226" s="2278" t="s">
        <v>4260</v>
      </c>
      <c r="AE226" s="2259"/>
      <c r="AF226" s="2260"/>
      <c r="AG226" s="2278" t="s">
        <v>3696</v>
      </c>
      <c r="AH226" s="2259"/>
      <c r="AI226" s="2260"/>
      <c r="AJ226" s="1908" t="s">
        <v>3814</v>
      </c>
      <c r="AK226" s="2278" t="s">
        <v>4261</v>
      </c>
      <c r="AL226" s="2259"/>
      <c r="AM226" s="2259"/>
      <c r="AN226" s="2259"/>
      <c r="AO226" s="2260"/>
      <c r="AP226" s="1908" t="s">
        <v>3699</v>
      </c>
      <c r="BC226" s="214"/>
      <c r="BD226" s="214"/>
      <c r="BE226" s="214"/>
      <c r="BF226" s="214"/>
    </row>
    <row r="227" spans="1:58" ht="45" hidden="1" customHeight="1">
      <c r="A227" s="808"/>
      <c r="B227" s="2280"/>
      <c r="C227" s="2281"/>
      <c r="D227" s="2282"/>
      <c r="E227" s="1909" t="s">
        <v>3682</v>
      </c>
      <c r="F227" s="1909" t="s">
        <v>3683</v>
      </c>
      <c r="G227" s="1909"/>
      <c r="H227" s="2283" t="s">
        <v>683</v>
      </c>
      <c r="I227" s="2281"/>
      <c r="J227" s="2282"/>
      <c r="K227" s="2283" t="s">
        <v>693</v>
      </c>
      <c r="L227" s="2282"/>
      <c r="M227" s="1909">
        <f>VLOOKUP(K227,'Estimate Details'!$R:$BR,20,FALSE)</f>
        <v>0</v>
      </c>
      <c r="N227" s="1909" t="e">
        <f>VLOOKUP(M227,#REF!,2,FALSE)</f>
        <v>#REF!</v>
      </c>
      <c r="O227" s="1909" t="s">
        <v>4263</v>
      </c>
      <c r="P227" s="2284" t="s">
        <v>4175</v>
      </c>
      <c r="Q227" s="2281"/>
      <c r="R227" s="2282"/>
      <c r="S227" s="1909" t="s">
        <v>3688</v>
      </c>
      <c r="T227" s="1909" t="s">
        <v>3689</v>
      </c>
      <c r="U227" s="1909" t="s">
        <v>3707</v>
      </c>
      <c r="V227" s="1909" t="s">
        <v>4176</v>
      </c>
      <c r="W227" s="1909" t="s">
        <v>3688</v>
      </c>
      <c r="X227" s="1909"/>
      <c r="Y227" s="1909" t="s">
        <v>4264</v>
      </c>
      <c r="Z227" s="1909"/>
      <c r="AA227" s="1909" t="s">
        <v>3694</v>
      </c>
      <c r="AB227" s="1909" t="s">
        <v>4265</v>
      </c>
      <c r="AC227" s="1909" t="s">
        <v>4266</v>
      </c>
      <c r="AD227" s="2283" t="s">
        <v>3688</v>
      </c>
      <c r="AE227" s="2281"/>
      <c r="AF227" s="2282"/>
      <c r="AG227" s="2283" t="s">
        <v>3696</v>
      </c>
      <c r="AH227" s="2281"/>
      <c r="AI227" s="2282"/>
      <c r="AJ227" s="1909" t="s">
        <v>3814</v>
      </c>
      <c r="AK227" s="2283" t="s">
        <v>4267</v>
      </c>
      <c r="AL227" s="2281"/>
      <c r="AM227" s="2259"/>
      <c r="AN227" s="2281"/>
      <c r="AO227" s="2282"/>
      <c r="AP227" s="1909" t="s">
        <v>3699</v>
      </c>
      <c r="BC227" s="214"/>
      <c r="BD227" s="214"/>
      <c r="BE227" s="214"/>
      <c r="BF227" s="214"/>
    </row>
    <row r="228" spans="1:58" ht="45" hidden="1" customHeight="1">
      <c r="B228" s="2277"/>
      <c r="C228" s="2259"/>
      <c r="D228" s="2260"/>
      <c r="E228" s="1908" t="s">
        <v>3682</v>
      </c>
      <c r="F228" s="1908" t="s">
        <v>3683</v>
      </c>
      <c r="G228" s="1908"/>
      <c r="H228" s="2278" t="s">
        <v>683</v>
      </c>
      <c r="I228" s="2259"/>
      <c r="J228" s="2260"/>
      <c r="K228" s="2278" t="s">
        <v>4268</v>
      </c>
      <c r="L228" s="2260"/>
      <c r="M228" s="1908" t="e">
        <f>VLOOKUP(K228,'Estimate Details'!$R:$BR,20,FALSE)</f>
        <v>#N/A</v>
      </c>
      <c r="N228" s="1908" t="e">
        <f>VLOOKUP(M228,#REF!,2,FALSE)</f>
        <v>#N/A</v>
      </c>
      <c r="O228" s="1908" t="s">
        <v>4269</v>
      </c>
      <c r="P228" s="2278" t="s">
        <v>4175</v>
      </c>
      <c r="Q228" s="2259"/>
      <c r="R228" s="2260"/>
      <c r="S228" s="1908" t="s">
        <v>3688</v>
      </c>
      <c r="T228" s="1908" t="s">
        <v>3689</v>
      </c>
      <c r="U228" s="1908" t="s">
        <v>3707</v>
      </c>
      <c r="V228" s="1908" t="s">
        <v>4176</v>
      </c>
      <c r="W228" s="1908" t="s">
        <v>3688</v>
      </c>
      <c r="X228" s="1908"/>
      <c r="Y228" s="1908"/>
      <c r="Z228" s="1908"/>
      <c r="AA228" s="1908" t="s">
        <v>3694</v>
      </c>
      <c r="AB228" s="1908" t="s">
        <v>3688</v>
      </c>
      <c r="AC228" s="1908" t="s">
        <v>3804</v>
      </c>
      <c r="AD228" s="2278" t="s">
        <v>3688</v>
      </c>
      <c r="AE228" s="2259"/>
      <c r="AF228" s="2260"/>
      <c r="AG228" s="2278" t="s">
        <v>3696</v>
      </c>
      <c r="AH228" s="2259"/>
      <c r="AI228" s="2260"/>
      <c r="AJ228" s="1908" t="s">
        <v>3814</v>
      </c>
      <c r="AK228" s="2278" t="s">
        <v>4270</v>
      </c>
      <c r="AL228" s="2259"/>
      <c r="AM228" s="2259"/>
      <c r="AN228" s="2259"/>
      <c r="AO228" s="2260"/>
      <c r="AP228" s="1908" t="s">
        <v>3699</v>
      </c>
      <c r="BC228" s="214"/>
      <c r="BD228" s="214"/>
      <c r="BE228" s="214"/>
      <c r="BF228" s="214"/>
    </row>
    <row r="229" spans="1:58" ht="45" hidden="1" customHeight="1">
      <c r="A229" s="808"/>
      <c r="B229" s="2280"/>
      <c r="C229" s="2281"/>
      <c r="D229" s="2282"/>
      <c r="E229" s="1909" t="s">
        <v>3682</v>
      </c>
      <c r="F229" s="1909" t="s">
        <v>3683</v>
      </c>
      <c r="G229" s="1909"/>
      <c r="H229" s="2283" t="s">
        <v>683</v>
      </c>
      <c r="I229" s="2281"/>
      <c r="J229" s="2282"/>
      <c r="K229" s="2283" t="s">
        <v>4271</v>
      </c>
      <c r="L229" s="2282"/>
      <c r="M229" s="1909" t="e">
        <f>VLOOKUP(K229,'Estimate Details'!$R:$BR,20,FALSE)</f>
        <v>#N/A</v>
      </c>
      <c r="N229" s="1909" t="e">
        <f>VLOOKUP(M229,#REF!,2,FALSE)</f>
        <v>#N/A</v>
      </c>
      <c r="O229" s="1909" t="s">
        <v>4272</v>
      </c>
      <c r="P229" s="2284" t="s">
        <v>4175</v>
      </c>
      <c r="Q229" s="2281"/>
      <c r="R229" s="2282"/>
      <c r="S229" s="1909" t="s">
        <v>3688</v>
      </c>
      <c r="T229" s="1909" t="s">
        <v>3689</v>
      </c>
      <c r="U229" s="1909" t="s">
        <v>3707</v>
      </c>
      <c r="V229" s="1909" t="s">
        <v>4176</v>
      </c>
      <c r="W229" s="1909" t="s">
        <v>3688</v>
      </c>
      <c r="X229" s="1909"/>
      <c r="Y229" s="1909"/>
      <c r="Z229" s="1909"/>
      <c r="AA229" s="1909" t="s">
        <v>3694</v>
      </c>
      <c r="AB229" s="1909" t="s">
        <v>3688</v>
      </c>
      <c r="AC229" s="1909" t="s">
        <v>4273</v>
      </c>
      <c r="AD229" s="2283" t="s">
        <v>4274</v>
      </c>
      <c r="AE229" s="2281"/>
      <c r="AF229" s="2282"/>
      <c r="AG229" s="2283" t="s">
        <v>3696</v>
      </c>
      <c r="AH229" s="2281"/>
      <c r="AI229" s="2282"/>
      <c r="AJ229" s="1909" t="s">
        <v>3814</v>
      </c>
      <c r="AK229" s="2283" t="s">
        <v>4254</v>
      </c>
      <c r="AL229" s="2281"/>
      <c r="AM229" s="2259"/>
      <c r="AN229" s="2281"/>
      <c r="AO229" s="2282"/>
      <c r="AP229" s="1909" t="s">
        <v>3699</v>
      </c>
      <c r="BC229" s="214"/>
      <c r="BD229" s="214"/>
      <c r="BE229" s="214"/>
      <c r="BF229" s="214"/>
    </row>
    <row r="230" spans="1:58" ht="45" hidden="1" customHeight="1">
      <c r="B230" s="2277"/>
      <c r="C230" s="2259"/>
      <c r="D230" s="2260"/>
      <c r="E230" s="1908" t="s">
        <v>3682</v>
      </c>
      <c r="F230" s="1908" t="s">
        <v>3683</v>
      </c>
      <c r="G230" s="1908"/>
      <c r="H230" s="2278" t="s">
        <v>683</v>
      </c>
      <c r="I230" s="2259"/>
      <c r="J230" s="2260"/>
      <c r="K230" s="2278" t="s">
        <v>4275</v>
      </c>
      <c r="L230" s="2260"/>
      <c r="M230" s="1908" t="e">
        <f>VLOOKUP(K230,'Estimate Details'!$R:$BR,20,FALSE)</f>
        <v>#N/A</v>
      </c>
      <c r="N230" s="1908" t="e">
        <f>VLOOKUP(M230,#REF!,2,FALSE)</f>
        <v>#N/A</v>
      </c>
      <c r="O230" s="1908" t="s">
        <v>4276</v>
      </c>
      <c r="P230" s="2278" t="s">
        <v>4175</v>
      </c>
      <c r="Q230" s="2259"/>
      <c r="R230" s="2260"/>
      <c r="S230" s="1908" t="s">
        <v>3688</v>
      </c>
      <c r="T230" s="1908" t="s">
        <v>3689</v>
      </c>
      <c r="U230" s="1908" t="s">
        <v>3707</v>
      </c>
      <c r="V230" s="1908" t="s">
        <v>4176</v>
      </c>
      <c r="W230" s="1908" t="s">
        <v>3688</v>
      </c>
      <c r="X230" s="1908"/>
      <c r="Y230" s="1908"/>
      <c r="Z230" s="1908"/>
      <c r="AA230" s="1908" t="s">
        <v>3694</v>
      </c>
      <c r="AB230" s="1908" t="s">
        <v>3688</v>
      </c>
      <c r="AC230" s="1908" t="s">
        <v>4277</v>
      </c>
      <c r="AD230" s="2278" t="s">
        <v>4278</v>
      </c>
      <c r="AE230" s="2259"/>
      <c r="AF230" s="2260"/>
      <c r="AG230" s="2278" t="s">
        <v>3696</v>
      </c>
      <c r="AH230" s="2259"/>
      <c r="AI230" s="2260"/>
      <c r="AJ230" s="1908" t="s">
        <v>3814</v>
      </c>
      <c r="AK230" s="2278" t="s">
        <v>4279</v>
      </c>
      <c r="AL230" s="2259"/>
      <c r="AM230" s="2259"/>
      <c r="AN230" s="2259"/>
      <c r="AO230" s="2260"/>
      <c r="AP230" s="1908" t="s">
        <v>3699</v>
      </c>
      <c r="BC230" s="214"/>
      <c r="BD230" s="214"/>
      <c r="BE230" s="214"/>
      <c r="BF230" s="214"/>
    </row>
    <row r="231" spans="1:58" ht="45" hidden="1" customHeight="1">
      <c r="A231" s="808"/>
      <c r="B231" s="2280"/>
      <c r="C231" s="2281"/>
      <c r="D231" s="2282"/>
      <c r="E231" s="1909" t="s">
        <v>3682</v>
      </c>
      <c r="F231" s="1909" t="s">
        <v>3683</v>
      </c>
      <c r="G231" s="1909"/>
      <c r="H231" s="2283" t="s">
        <v>683</v>
      </c>
      <c r="I231" s="2281"/>
      <c r="J231" s="2282"/>
      <c r="K231" s="2283" t="s">
        <v>4280</v>
      </c>
      <c r="L231" s="2282"/>
      <c r="M231" s="1909" t="e">
        <f>VLOOKUP(K231,'Estimate Details'!$R:$BR,20,FALSE)</f>
        <v>#N/A</v>
      </c>
      <c r="N231" s="1909" t="e">
        <f>VLOOKUP(M231,#REF!,2,FALSE)</f>
        <v>#N/A</v>
      </c>
      <c r="O231" s="1909" t="s">
        <v>4281</v>
      </c>
      <c r="P231" s="2284" t="s">
        <v>4175</v>
      </c>
      <c r="Q231" s="2281"/>
      <c r="R231" s="2282"/>
      <c r="S231" s="1909" t="s">
        <v>3688</v>
      </c>
      <c r="T231" s="1909" t="s">
        <v>3689</v>
      </c>
      <c r="U231" s="1909" t="s">
        <v>3707</v>
      </c>
      <c r="V231" s="1909" t="s">
        <v>4176</v>
      </c>
      <c r="W231" s="1909" t="s">
        <v>3688</v>
      </c>
      <c r="X231" s="1909"/>
      <c r="Y231" s="1909"/>
      <c r="Z231" s="1909"/>
      <c r="AA231" s="1909" t="s">
        <v>3694</v>
      </c>
      <c r="AB231" s="1909" t="s">
        <v>3688</v>
      </c>
      <c r="AC231" s="1909" t="s">
        <v>3804</v>
      </c>
      <c r="AD231" s="2283" t="s">
        <v>4282</v>
      </c>
      <c r="AE231" s="2281"/>
      <c r="AF231" s="2282"/>
      <c r="AG231" s="2283" t="s">
        <v>3696</v>
      </c>
      <c r="AH231" s="2281"/>
      <c r="AI231" s="2282"/>
      <c r="AJ231" s="1909" t="s">
        <v>3814</v>
      </c>
      <c r="AK231" s="2283" t="s">
        <v>4254</v>
      </c>
      <c r="AL231" s="2281"/>
      <c r="AM231" s="2259"/>
      <c r="AN231" s="2281"/>
      <c r="AO231" s="2282"/>
      <c r="AP231" s="1909" t="s">
        <v>3699</v>
      </c>
      <c r="BC231" s="214"/>
      <c r="BD231" s="214"/>
      <c r="BE231" s="214"/>
      <c r="BF231" s="214"/>
    </row>
    <row r="232" spans="1:58" ht="45" hidden="1" customHeight="1">
      <c r="B232" s="2277"/>
      <c r="C232" s="2259"/>
      <c r="D232" s="2260"/>
      <c r="E232" s="1908" t="s">
        <v>3682</v>
      </c>
      <c r="F232" s="1908" t="s">
        <v>3683</v>
      </c>
      <c r="G232" s="1908"/>
      <c r="H232" s="2278" t="s">
        <v>683</v>
      </c>
      <c r="I232" s="2259"/>
      <c r="J232" s="2260"/>
      <c r="K232" s="2278" t="s">
        <v>4283</v>
      </c>
      <c r="L232" s="2260"/>
      <c r="M232" s="1908" t="e">
        <f>VLOOKUP(K232,'Estimate Details'!$R:$BR,20,FALSE)</f>
        <v>#N/A</v>
      </c>
      <c r="N232" s="1908" t="e">
        <f>VLOOKUP(M232,#REF!,2,FALSE)</f>
        <v>#N/A</v>
      </c>
      <c r="O232" s="1908" t="s">
        <v>4224</v>
      </c>
      <c r="P232" s="2278" t="s">
        <v>4175</v>
      </c>
      <c r="Q232" s="2259"/>
      <c r="R232" s="2260"/>
      <c r="S232" s="1908" t="s">
        <v>3688</v>
      </c>
      <c r="T232" s="1908" t="s">
        <v>3689</v>
      </c>
      <c r="U232" s="1908" t="s">
        <v>3707</v>
      </c>
      <c r="V232" s="1908" t="s">
        <v>4176</v>
      </c>
      <c r="W232" s="1908" t="s">
        <v>3688</v>
      </c>
      <c r="X232" s="1908" t="s">
        <v>4225</v>
      </c>
      <c r="Y232" s="1908" t="s">
        <v>4226</v>
      </c>
      <c r="Z232" s="1908"/>
      <c r="AA232" s="1908" t="s">
        <v>3694</v>
      </c>
      <c r="AB232" s="1908" t="s">
        <v>4227</v>
      </c>
      <c r="AC232" s="1908" t="s">
        <v>3804</v>
      </c>
      <c r="AD232" s="2278" t="s">
        <v>4228</v>
      </c>
      <c r="AE232" s="2259"/>
      <c r="AF232" s="2260"/>
      <c r="AG232" s="2278" t="s">
        <v>3696</v>
      </c>
      <c r="AH232" s="2259"/>
      <c r="AI232" s="2260"/>
      <c r="AJ232" s="1908" t="s">
        <v>3814</v>
      </c>
      <c r="AK232" s="2278" t="s">
        <v>4229</v>
      </c>
      <c r="AL232" s="2259"/>
      <c r="AM232" s="2259"/>
      <c r="AN232" s="2259"/>
      <c r="AO232" s="2260"/>
      <c r="AP232" s="1908" t="s">
        <v>3699</v>
      </c>
      <c r="BC232" s="214"/>
      <c r="BD232" s="214"/>
      <c r="BE232" s="214"/>
      <c r="BF232" s="214"/>
    </row>
    <row r="233" spans="1:58" ht="45" hidden="1" customHeight="1">
      <c r="A233" s="808"/>
      <c r="B233" s="2280"/>
      <c r="C233" s="2281"/>
      <c r="D233" s="2282"/>
      <c r="E233" s="1909" t="s">
        <v>3682</v>
      </c>
      <c r="F233" s="1909" t="s">
        <v>3683</v>
      </c>
      <c r="G233" s="1909"/>
      <c r="H233" s="2283" t="s">
        <v>683</v>
      </c>
      <c r="I233" s="2281"/>
      <c r="J233" s="2282"/>
      <c r="K233" s="2283" t="s">
        <v>4284</v>
      </c>
      <c r="L233" s="2282"/>
      <c r="M233" s="1909" t="e">
        <f>VLOOKUP(K233,'Estimate Details'!$R:$BR,20,FALSE)</f>
        <v>#N/A</v>
      </c>
      <c r="N233" s="1909" t="e">
        <f>VLOOKUP(M233,#REF!,2,FALSE)</f>
        <v>#N/A</v>
      </c>
      <c r="O233" s="1909" t="s">
        <v>4256</v>
      </c>
      <c r="P233" s="2284" t="s">
        <v>4175</v>
      </c>
      <c r="Q233" s="2281"/>
      <c r="R233" s="2282"/>
      <c r="S233" s="1909" t="s">
        <v>3688</v>
      </c>
      <c r="T233" s="1909" t="s">
        <v>3689</v>
      </c>
      <c r="U233" s="1909" t="s">
        <v>3707</v>
      </c>
      <c r="V233" s="1909" t="s">
        <v>4176</v>
      </c>
      <c r="W233" s="1909" t="s">
        <v>3688</v>
      </c>
      <c r="X233" s="1909" t="s">
        <v>4257</v>
      </c>
      <c r="Y233" s="1909" t="s">
        <v>4258</v>
      </c>
      <c r="Z233" s="1909"/>
      <c r="AA233" s="1909" t="s">
        <v>3694</v>
      </c>
      <c r="AB233" s="1909" t="s">
        <v>3688</v>
      </c>
      <c r="AC233" s="1909" t="s">
        <v>4259</v>
      </c>
      <c r="AD233" s="2283" t="s">
        <v>4260</v>
      </c>
      <c r="AE233" s="2281"/>
      <c r="AF233" s="2282"/>
      <c r="AG233" s="2283" t="s">
        <v>3696</v>
      </c>
      <c r="AH233" s="2281"/>
      <c r="AI233" s="2282"/>
      <c r="AJ233" s="1909" t="s">
        <v>3814</v>
      </c>
      <c r="AK233" s="2283" t="s">
        <v>4261</v>
      </c>
      <c r="AL233" s="2281"/>
      <c r="AM233" s="2259"/>
      <c r="AN233" s="2281"/>
      <c r="AO233" s="2282"/>
      <c r="AP233" s="1909" t="s">
        <v>3699</v>
      </c>
      <c r="BC233" s="214"/>
      <c r="BD233" s="214"/>
      <c r="BE233" s="214"/>
      <c r="BF233" s="214"/>
    </row>
    <row r="234" spans="1:58" ht="45" hidden="1" customHeight="1">
      <c r="B234" s="2277"/>
      <c r="C234" s="2259"/>
      <c r="D234" s="2260"/>
      <c r="E234" s="1908" t="s">
        <v>3682</v>
      </c>
      <c r="F234" s="1908" t="s">
        <v>3683</v>
      </c>
      <c r="G234" s="1908"/>
      <c r="H234" s="2278" t="s">
        <v>683</v>
      </c>
      <c r="I234" s="2259"/>
      <c r="J234" s="2260"/>
      <c r="K234" s="2278" t="s">
        <v>696</v>
      </c>
      <c r="L234" s="2260"/>
      <c r="M234" s="1908">
        <f>VLOOKUP(K234,'Estimate Details'!$R:$BR,20,FALSE)</f>
        <v>0</v>
      </c>
      <c r="N234" s="1908" t="e">
        <f>VLOOKUP(M234,#REF!,2,FALSE)</f>
        <v>#REF!</v>
      </c>
      <c r="O234" s="1908" t="s">
        <v>4285</v>
      </c>
      <c r="P234" s="2278" t="s">
        <v>4175</v>
      </c>
      <c r="Q234" s="2259"/>
      <c r="R234" s="2260"/>
      <c r="S234" s="1908" t="s">
        <v>3688</v>
      </c>
      <c r="T234" s="1908" t="s">
        <v>3689</v>
      </c>
      <c r="U234" s="1908" t="s">
        <v>3707</v>
      </c>
      <c r="V234" s="1908" t="s">
        <v>4176</v>
      </c>
      <c r="W234" s="1908" t="s">
        <v>3688</v>
      </c>
      <c r="X234" s="1908" t="s">
        <v>4286</v>
      </c>
      <c r="Y234" s="1908" t="s">
        <v>4287</v>
      </c>
      <c r="Z234" s="1908"/>
      <c r="AA234" s="1908" t="s">
        <v>3694</v>
      </c>
      <c r="AB234" s="1908" t="s">
        <v>4288</v>
      </c>
      <c r="AC234" s="1908" t="s">
        <v>4277</v>
      </c>
      <c r="AD234" s="2278" t="s">
        <v>4289</v>
      </c>
      <c r="AE234" s="2259"/>
      <c r="AF234" s="2260"/>
      <c r="AG234" s="2278" t="s">
        <v>3696</v>
      </c>
      <c r="AH234" s="2259"/>
      <c r="AI234" s="2260"/>
      <c r="AJ234" s="1908" t="s">
        <v>3814</v>
      </c>
      <c r="AK234" s="2278" t="s">
        <v>4290</v>
      </c>
      <c r="AL234" s="2259"/>
      <c r="AM234" s="2259"/>
      <c r="AN234" s="2259"/>
      <c r="AO234" s="2260"/>
      <c r="AP234" s="1908" t="s">
        <v>3699</v>
      </c>
      <c r="BC234" s="214"/>
      <c r="BD234" s="214"/>
      <c r="BE234" s="214"/>
      <c r="BF234" s="214"/>
    </row>
    <row r="235" spans="1:58" ht="45" hidden="1" customHeight="1">
      <c r="A235" s="808"/>
      <c r="B235" s="2280"/>
      <c r="C235" s="2281"/>
      <c r="D235" s="2282"/>
      <c r="E235" s="1909" t="s">
        <v>3682</v>
      </c>
      <c r="F235" s="1909" t="s">
        <v>3683</v>
      </c>
      <c r="G235" s="1909"/>
      <c r="H235" s="2283" t="s">
        <v>683</v>
      </c>
      <c r="I235" s="2281"/>
      <c r="J235" s="2282"/>
      <c r="K235" s="2283" t="s">
        <v>699</v>
      </c>
      <c r="L235" s="2282"/>
      <c r="M235" s="1909">
        <f>VLOOKUP(K235,'Estimate Details'!$R:$BR,20,FALSE)</f>
        <v>0</v>
      </c>
      <c r="N235" s="1909" t="e">
        <f>VLOOKUP(M235,#REF!,2,FALSE)</f>
        <v>#REF!</v>
      </c>
      <c r="O235" s="1909" t="s">
        <v>4285</v>
      </c>
      <c r="P235" s="2284" t="s">
        <v>4175</v>
      </c>
      <c r="Q235" s="2281"/>
      <c r="R235" s="2282"/>
      <c r="S235" s="1909" t="s">
        <v>3688</v>
      </c>
      <c r="T235" s="1909" t="s">
        <v>3689</v>
      </c>
      <c r="U235" s="1909" t="s">
        <v>3707</v>
      </c>
      <c r="V235" s="1909" t="s">
        <v>4176</v>
      </c>
      <c r="W235" s="1909" t="s">
        <v>3688</v>
      </c>
      <c r="X235" s="1909" t="s">
        <v>4286</v>
      </c>
      <c r="Y235" s="1909" t="s">
        <v>4287</v>
      </c>
      <c r="Z235" s="1909"/>
      <c r="AA235" s="1909" t="s">
        <v>3694</v>
      </c>
      <c r="AB235" s="1909" t="s">
        <v>4288</v>
      </c>
      <c r="AC235" s="1909" t="s">
        <v>4277</v>
      </c>
      <c r="AD235" s="2283" t="s">
        <v>4289</v>
      </c>
      <c r="AE235" s="2281"/>
      <c r="AF235" s="2282"/>
      <c r="AG235" s="2283" t="s">
        <v>3696</v>
      </c>
      <c r="AH235" s="2281"/>
      <c r="AI235" s="2282"/>
      <c r="AJ235" s="1909" t="s">
        <v>3814</v>
      </c>
      <c r="AK235" s="2283" t="s">
        <v>4290</v>
      </c>
      <c r="AL235" s="2281"/>
      <c r="AM235" s="2259"/>
      <c r="AN235" s="2281"/>
      <c r="AO235" s="2282"/>
      <c r="AP235" s="1909" t="s">
        <v>3699</v>
      </c>
      <c r="BC235" s="214"/>
      <c r="BD235" s="214"/>
      <c r="BE235" s="214"/>
      <c r="BF235" s="214"/>
    </row>
    <row r="236" spans="1:58" ht="45" hidden="1" customHeight="1">
      <c r="B236" s="2277"/>
      <c r="C236" s="2259"/>
      <c r="D236" s="2260"/>
      <c r="E236" s="1908" t="s">
        <v>3682</v>
      </c>
      <c r="F236" s="1908" t="s">
        <v>3683</v>
      </c>
      <c r="G236" s="1908"/>
      <c r="H236" s="2278" t="s">
        <v>683</v>
      </c>
      <c r="I236" s="2259"/>
      <c r="J236" s="2260"/>
      <c r="K236" s="2278" t="s">
        <v>4291</v>
      </c>
      <c r="L236" s="2260"/>
      <c r="M236" s="1908" t="e">
        <f>VLOOKUP(K236,'Estimate Details'!$R:$BR,20,FALSE)</f>
        <v>#N/A</v>
      </c>
      <c r="N236" s="1908" t="e">
        <f>VLOOKUP(M236,#REF!,2,FALSE)</f>
        <v>#N/A</v>
      </c>
      <c r="O236" s="1908" t="s">
        <v>4292</v>
      </c>
      <c r="P236" s="2278" t="s">
        <v>4175</v>
      </c>
      <c r="Q236" s="2259"/>
      <c r="R236" s="2260"/>
      <c r="S236" s="1908" t="s">
        <v>3688</v>
      </c>
      <c r="T236" s="1908" t="s">
        <v>3689</v>
      </c>
      <c r="U236" s="1908" t="s">
        <v>3707</v>
      </c>
      <c r="V236" s="1908" t="s">
        <v>4176</v>
      </c>
      <c r="W236" s="1908" t="s">
        <v>3688</v>
      </c>
      <c r="X236" s="1908"/>
      <c r="Y236" s="1908"/>
      <c r="Z236" s="1908"/>
      <c r="AA236" s="1908" t="s">
        <v>3694</v>
      </c>
      <c r="AB236" s="1908" t="s">
        <v>4293</v>
      </c>
      <c r="AC236" s="1908" t="s">
        <v>4235</v>
      </c>
      <c r="AD236" s="2278" t="s">
        <v>4294</v>
      </c>
      <c r="AE236" s="2259"/>
      <c r="AF236" s="2260"/>
      <c r="AG236" s="2278" t="s">
        <v>3696</v>
      </c>
      <c r="AH236" s="2259"/>
      <c r="AI236" s="2260"/>
      <c r="AJ236" s="1908" t="s">
        <v>3814</v>
      </c>
      <c r="AK236" s="2278" t="s">
        <v>4295</v>
      </c>
      <c r="AL236" s="2259"/>
      <c r="AM236" s="2259"/>
      <c r="AN236" s="2259"/>
      <c r="AO236" s="2260"/>
      <c r="AP236" s="1908" t="s">
        <v>3699</v>
      </c>
      <c r="BC236" s="214"/>
      <c r="BD236" s="214"/>
      <c r="BE236" s="214"/>
      <c r="BF236" s="214"/>
    </row>
    <row r="237" spans="1:58" ht="45" hidden="1" customHeight="1">
      <c r="A237" s="808"/>
      <c r="B237" s="2280"/>
      <c r="C237" s="2281"/>
      <c r="D237" s="2282"/>
      <c r="E237" s="1909" t="s">
        <v>3682</v>
      </c>
      <c r="F237" s="1909" t="s">
        <v>3683</v>
      </c>
      <c r="G237" s="1909"/>
      <c r="H237" s="2283" t="s">
        <v>683</v>
      </c>
      <c r="I237" s="2281"/>
      <c r="J237" s="2282"/>
      <c r="K237" s="2283" t="s">
        <v>4296</v>
      </c>
      <c r="L237" s="2282"/>
      <c r="M237" s="1909" t="e">
        <f>VLOOKUP(K237,'Estimate Details'!$R:$BR,20,FALSE)</f>
        <v>#N/A</v>
      </c>
      <c r="N237" s="1909" t="e">
        <f>VLOOKUP(M237,#REF!,2,FALSE)</f>
        <v>#N/A</v>
      </c>
      <c r="O237" s="1909" t="s">
        <v>4297</v>
      </c>
      <c r="P237" s="2284" t="s">
        <v>4175</v>
      </c>
      <c r="Q237" s="2281"/>
      <c r="R237" s="2282"/>
      <c r="S237" s="1909" t="s">
        <v>3688</v>
      </c>
      <c r="T237" s="1909" t="s">
        <v>3689</v>
      </c>
      <c r="U237" s="1909" t="s">
        <v>3707</v>
      </c>
      <c r="V237" s="1909" t="s">
        <v>4176</v>
      </c>
      <c r="W237" s="1909" t="s">
        <v>3688</v>
      </c>
      <c r="X237" s="1909" t="s">
        <v>4298</v>
      </c>
      <c r="Y237" s="1909"/>
      <c r="Z237" s="1909"/>
      <c r="AA237" s="1909" t="s">
        <v>3694</v>
      </c>
      <c r="AB237" s="1909" t="s">
        <v>4299</v>
      </c>
      <c r="AC237" s="1909" t="s">
        <v>4266</v>
      </c>
      <c r="AD237" s="2283" t="s">
        <v>4300</v>
      </c>
      <c r="AE237" s="2281"/>
      <c r="AF237" s="2282"/>
      <c r="AG237" s="2283" t="s">
        <v>3696</v>
      </c>
      <c r="AH237" s="2281"/>
      <c r="AI237" s="2282"/>
      <c r="AJ237" s="1909" t="s">
        <v>3814</v>
      </c>
      <c r="AK237" s="2283" t="s">
        <v>4301</v>
      </c>
      <c r="AL237" s="2281"/>
      <c r="AM237" s="2259"/>
      <c r="AN237" s="2281"/>
      <c r="AO237" s="2282"/>
      <c r="AP237" s="1909" t="s">
        <v>3716</v>
      </c>
      <c r="BC237" s="214"/>
      <c r="BD237" s="214"/>
      <c r="BE237" s="214"/>
      <c r="BF237" s="214"/>
    </row>
    <row r="238" spans="1:58" ht="45" hidden="1" customHeight="1">
      <c r="B238" s="2277"/>
      <c r="C238" s="2259"/>
      <c r="D238" s="2260"/>
      <c r="E238" s="1908" t="s">
        <v>3682</v>
      </c>
      <c r="F238" s="1910" t="s">
        <v>3688</v>
      </c>
      <c r="G238" s="1910"/>
      <c r="H238" s="2285" t="s">
        <v>683</v>
      </c>
      <c r="I238" s="2259"/>
      <c r="J238" s="2260"/>
      <c r="K238" s="2285" t="s">
        <v>4302</v>
      </c>
      <c r="L238" s="2260"/>
      <c r="M238" s="1910" t="e">
        <f>VLOOKUP(K238,'Estimate Details'!$R:$BR,20,FALSE)</f>
        <v>#N/A</v>
      </c>
      <c r="N238" s="1910" t="e">
        <f>VLOOKUP(M238,#REF!,2,FALSE)</f>
        <v>#N/A</v>
      </c>
      <c r="O238" s="1910" t="s">
        <v>4297</v>
      </c>
      <c r="P238" s="2285" t="s">
        <v>3688</v>
      </c>
      <c r="Q238" s="2259"/>
      <c r="R238" s="2260"/>
      <c r="S238" s="1910" t="s">
        <v>4303</v>
      </c>
      <c r="T238" s="1910" t="s">
        <v>3689</v>
      </c>
      <c r="U238" s="1910" t="s">
        <v>3688</v>
      </c>
      <c r="V238" s="1910" t="s">
        <v>3688</v>
      </c>
      <c r="W238" s="1910" t="s">
        <v>3688</v>
      </c>
      <c r="X238" s="1910"/>
      <c r="Y238" s="1910"/>
      <c r="Z238" s="1910"/>
      <c r="AA238" s="1910" t="s">
        <v>3694</v>
      </c>
      <c r="AB238" s="1910" t="s">
        <v>3688</v>
      </c>
      <c r="AC238" s="1910" t="s">
        <v>4304</v>
      </c>
      <c r="AD238" s="2285" t="s">
        <v>3688</v>
      </c>
      <c r="AE238" s="2259"/>
      <c r="AF238" s="2260"/>
      <c r="AG238" s="2285" t="s">
        <v>3696</v>
      </c>
      <c r="AH238" s="2259"/>
      <c r="AI238" s="2260"/>
      <c r="AJ238" s="1910" t="s">
        <v>4305</v>
      </c>
      <c r="AK238" s="2285" t="s">
        <v>3688</v>
      </c>
      <c r="AL238" s="2259"/>
      <c r="AM238" s="2259"/>
      <c r="AN238" s="2259"/>
      <c r="AO238" s="2260"/>
      <c r="AP238" s="1910" t="s">
        <v>3688</v>
      </c>
      <c r="BC238" s="214"/>
      <c r="BD238" s="214"/>
      <c r="BE238" s="214"/>
      <c r="BF238" s="214"/>
    </row>
    <row r="239" spans="1:58" ht="45" hidden="1" customHeight="1">
      <c r="A239" s="808"/>
      <c r="B239" s="2280"/>
      <c r="C239" s="2281"/>
      <c r="D239" s="2282"/>
      <c r="E239" s="1909" t="s">
        <v>3682</v>
      </c>
      <c r="F239" s="1909" t="s">
        <v>3683</v>
      </c>
      <c r="G239" s="1909"/>
      <c r="H239" s="2283" t="s">
        <v>683</v>
      </c>
      <c r="I239" s="2281"/>
      <c r="J239" s="2282"/>
      <c r="K239" s="2283" t="s">
        <v>4306</v>
      </c>
      <c r="L239" s="2282"/>
      <c r="M239" s="1909" t="e">
        <f>VLOOKUP(K239,'Estimate Details'!$R:$BR,20,FALSE)</f>
        <v>#N/A</v>
      </c>
      <c r="N239" s="1909" t="e">
        <f>VLOOKUP(M239,#REF!,2,FALSE)</f>
        <v>#N/A</v>
      </c>
      <c r="O239" s="1909" t="s">
        <v>4297</v>
      </c>
      <c r="P239" s="2284" t="s">
        <v>4175</v>
      </c>
      <c r="Q239" s="2281"/>
      <c r="R239" s="2282"/>
      <c r="S239" s="1909" t="s">
        <v>3688</v>
      </c>
      <c r="T239" s="1909" t="s">
        <v>3689</v>
      </c>
      <c r="U239" s="1909" t="s">
        <v>3707</v>
      </c>
      <c r="V239" s="1909" t="s">
        <v>4176</v>
      </c>
      <c r="W239" s="1909" t="s">
        <v>3688</v>
      </c>
      <c r="X239" s="1909" t="s">
        <v>4298</v>
      </c>
      <c r="Y239" s="1909"/>
      <c r="Z239" s="1909"/>
      <c r="AA239" s="1909" t="s">
        <v>3694</v>
      </c>
      <c r="AB239" s="1909" t="s">
        <v>4299</v>
      </c>
      <c r="AC239" s="1909" t="s">
        <v>4266</v>
      </c>
      <c r="AD239" s="2283" t="s">
        <v>4300</v>
      </c>
      <c r="AE239" s="2281"/>
      <c r="AF239" s="2282"/>
      <c r="AG239" s="2283" t="s">
        <v>3696</v>
      </c>
      <c r="AH239" s="2281"/>
      <c r="AI239" s="2282"/>
      <c r="AJ239" s="1909" t="s">
        <v>3814</v>
      </c>
      <c r="AK239" s="2283" t="s">
        <v>4301</v>
      </c>
      <c r="AL239" s="2281"/>
      <c r="AM239" s="2259"/>
      <c r="AN239" s="2281"/>
      <c r="AO239" s="2282"/>
      <c r="AP239" s="1909" t="s">
        <v>3716</v>
      </c>
      <c r="BC239" s="214"/>
      <c r="BD239" s="214"/>
      <c r="BE239" s="214"/>
      <c r="BF239" s="214"/>
    </row>
    <row r="240" spans="1:58" ht="45" hidden="1" customHeight="1">
      <c r="B240" s="2277"/>
      <c r="C240" s="2259"/>
      <c r="D240" s="2260"/>
      <c r="E240" s="1908" t="s">
        <v>3682</v>
      </c>
      <c r="F240" s="1910" t="s">
        <v>3688</v>
      </c>
      <c r="G240" s="1910"/>
      <c r="H240" s="2285" t="s">
        <v>683</v>
      </c>
      <c r="I240" s="2259"/>
      <c r="J240" s="2260"/>
      <c r="K240" s="2285" t="s">
        <v>4307</v>
      </c>
      <c r="L240" s="2260"/>
      <c r="M240" s="1910" t="e">
        <f>VLOOKUP(K240,'Estimate Details'!$R:$BR,20,FALSE)</f>
        <v>#N/A</v>
      </c>
      <c r="N240" s="1910" t="e">
        <f>VLOOKUP(M240,#REF!,2,FALSE)</f>
        <v>#N/A</v>
      </c>
      <c r="O240" s="1910" t="s">
        <v>4297</v>
      </c>
      <c r="P240" s="2285" t="s">
        <v>3688</v>
      </c>
      <c r="Q240" s="2259"/>
      <c r="R240" s="2260"/>
      <c r="S240" s="1910" t="s">
        <v>4308</v>
      </c>
      <c r="T240" s="1910" t="s">
        <v>3689</v>
      </c>
      <c r="U240" s="1910" t="s">
        <v>3688</v>
      </c>
      <c r="V240" s="1910" t="s">
        <v>3688</v>
      </c>
      <c r="W240" s="1910" t="s">
        <v>3688</v>
      </c>
      <c r="X240" s="1910"/>
      <c r="Y240" s="1910"/>
      <c r="Z240" s="1910"/>
      <c r="AA240" s="1910" t="s">
        <v>3694</v>
      </c>
      <c r="AB240" s="1910" t="s">
        <v>3688</v>
      </c>
      <c r="AC240" s="1910" t="s">
        <v>4304</v>
      </c>
      <c r="AD240" s="2285" t="s">
        <v>3688</v>
      </c>
      <c r="AE240" s="2259"/>
      <c r="AF240" s="2260"/>
      <c r="AG240" s="2285" t="s">
        <v>3696</v>
      </c>
      <c r="AH240" s="2259"/>
      <c r="AI240" s="2260"/>
      <c r="AJ240" s="1910" t="s">
        <v>4305</v>
      </c>
      <c r="AK240" s="2285" t="s">
        <v>3688</v>
      </c>
      <c r="AL240" s="2259"/>
      <c r="AM240" s="2259"/>
      <c r="AN240" s="2259"/>
      <c r="AO240" s="2260"/>
      <c r="AP240" s="1910" t="s">
        <v>3688</v>
      </c>
      <c r="BC240" s="214"/>
      <c r="BD240" s="214"/>
      <c r="BE240" s="214"/>
      <c r="BF240" s="214"/>
    </row>
    <row r="241" spans="1:58" ht="45" hidden="1" customHeight="1">
      <c r="A241" s="808"/>
      <c r="B241" s="2280"/>
      <c r="C241" s="2281"/>
      <c r="D241" s="2282"/>
      <c r="E241" s="1909" t="s">
        <v>3682</v>
      </c>
      <c r="F241" s="1909" t="s">
        <v>3683</v>
      </c>
      <c r="G241" s="1909"/>
      <c r="H241" s="2283" t="s">
        <v>683</v>
      </c>
      <c r="I241" s="2281"/>
      <c r="J241" s="2282"/>
      <c r="K241" s="2283" t="s">
        <v>4309</v>
      </c>
      <c r="L241" s="2282"/>
      <c r="M241" s="1909" t="e">
        <f>VLOOKUP(K241,'Estimate Details'!$R:$BR,20,FALSE)</f>
        <v>#N/A</v>
      </c>
      <c r="N241" s="1909" t="e">
        <f>VLOOKUP(M241,#REF!,2,FALSE)</f>
        <v>#N/A</v>
      </c>
      <c r="O241" s="1909" t="s">
        <v>4310</v>
      </c>
      <c r="P241" s="2284" t="s">
        <v>4175</v>
      </c>
      <c r="Q241" s="2281"/>
      <c r="R241" s="2282"/>
      <c r="S241" s="1909" t="s">
        <v>3688</v>
      </c>
      <c r="T241" s="1909" t="s">
        <v>3689</v>
      </c>
      <c r="U241" s="1909" t="s">
        <v>3707</v>
      </c>
      <c r="V241" s="1909" t="s">
        <v>4176</v>
      </c>
      <c r="W241" s="1909" t="s">
        <v>3688</v>
      </c>
      <c r="X241" s="1909"/>
      <c r="Y241" s="1909"/>
      <c r="Z241" s="1909"/>
      <c r="AA241" s="1909" t="s">
        <v>3694</v>
      </c>
      <c r="AB241" s="1909" t="s">
        <v>3688</v>
      </c>
      <c r="AC241" s="1909" t="s">
        <v>3804</v>
      </c>
      <c r="AD241" s="2283" t="s">
        <v>3688</v>
      </c>
      <c r="AE241" s="2281"/>
      <c r="AF241" s="2282"/>
      <c r="AG241" s="2283" t="s">
        <v>3696</v>
      </c>
      <c r="AH241" s="2281"/>
      <c r="AI241" s="2282"/>
      <c r="AJ241" s="1909" t="s">
        <v>3814</v>
      </c>
      <c r="AK241" s="2283" t="s">
        <v>4254</v>
      </c>
      <c r="AL241" s="2281"/>
      <c r="AM241" s="2259"/>
      <c r="AN241" s="2281"/>
      <c r="AO241" s="2282"/>
      <c r="AP241" s="1909" t="s">
        <v>3716</v>
      </c>
      <c r="BC241" s="214"/>
      <c r="BD241" s="214"/>
      <c r="BE241" s="214"/>
      <c r="BF241" s="214"/>
    </row>
    <row r="242" spans="1:58" ht="45" hidden="1" customHeight="1">
      <c r="B242" s="2277"/>
      <c r="C242" s="2259"/>
      <c r="D242" s="2260"/>
      <c r="E242" s="1908" t="s">
        <v>3682</v>
      </c>
      <c r="F242" s="1908" t="s">
        <v>3683</v>
      </c>
      <c r="G242" s="1908"/>
      <c r="H242" s="2278" t="s">
        <v>683</v>
      </c>
      <c r="I242" s="2259"/>
      <c r="J242" s="2260"/>
      <c r="K242" s="2278" t="s">
        <v>4311</v>
      </c>
      <c r="L242" s="2260"/>
      <c r="M242" s="1908" t="e">
        <f>VLOOKUP(K242,'Estimate Details'!$R:$BR,20,FALSE)</f>
        <v>#N/A</v>
      </c>
      <c r="N242" s="1908" t="e">
        <f>VLOOKUP(M242,#REF!,2,FALSE)</f>
        <v>#N/A</v>
      </c>
      <c r="O242" s="1908" t="s">
        <v>4312</v>
      </c>
      <c r="P242" s="2278" t="s">
        <v>4175</v>
      </c>
      <c r="Q242" s="2259"/>
      <c r="R242" s="2260"/>
      <c r="S242" s="1908" t="s">
        <v>3688</v>
      </c>
      <c r="T242" s="1908" t="s">
        <v>3689</v>
      </c>
      <c r="U242" s="1908" t="s">
        <v>3707</v>
      </c>
      <c r="V242" s="1908" t="s">
        <v>4176</v>
      </c>
      <c r="W242" s="1908" t="s">
        <v>3688</v>
      </c>
      <c r="X242" s="1908"/>
      <c r="Y242" s="1908"/>
      <c r="Z242" s="1908"/>
      <c r="AA242" s="1908" t="s">
        <v>3694</v>
      </c>
      <c r="AB242" s="1908" t="s">
        <v>3688</v>
      </c>
      <c r="AC242" s="1908" t="s">
        <v>3804</v>
      </c>
      <c r="AD242" s="2278" t="s">
        <v>3688</v>
      </c>
      <c r="AE242" s="2259"/>
      <c r="AF242" s="2260"/>
      <c r="AG242" s="2278" t="s">
        <v>3696</v>
      </c>
      <c r="AH242" s="2259"/>
      <c r="AI242" s="2260"/>
      <c r="AJ242" s="1908" t="s">
        <v>3814</v>
      </c>
      <c r="AK242" s="2278" t="s">
        <v>4254</v>
      </c>
      <c r="AL242" s="2259"/>
      <c r="AM242" s="2259"/>
      <c r="AN242" s="2259"/>
      <c r="AO242" s="2260"/>
      <c r="AP242" s="1908" t="s">
        <v>3716</v>
      </c>
      <c r="BC242" s="214"/>
      <c r="BD242" s="214"/>
      <c r="BE242" s="214"/>
      <c r="BF242" s="214"/>
    </row>
    <row r="243" spans="1:58" ht="45" hidden="1" customHeight="1">
      <c r="A243" s="808"/>
      <c r="B243" s="2280"/>
      <c r="C243" s="2281"/>
      <c r="D243" s="2282"/>
      <c r="E243" s="1909" t="s">
        <v>3682</v>
      </c>
      <c r="F243" s="1909" t="s">
        <v>3683</v>
      </c>
      <c r="G243" s="1909"/>
      <c r="H243" s="2283" t="s">
        <v>683</v>
      </c>
      <c r="I243" s="2281"/>
      <c r="J243" s="2282"/>
      <c r="K243" s="2283" t="s">
        <v>4313</v>
      </c>
      <c r="L243" s="2282"/>
      <c r="M243" s="1909" t="e">
        <f>VLOOKUP(K243,'Estimate Details'!$R:$BR,20,FALSE)</f>
        <v>#N/A</v>
      </c>
      <c r="N243" s="1909" t="e">
        <f>VLOOKUP(M243,#REF!,2,FALSE)</f>
        <v>#N/A</v>
      </c>
      <c r="O243" s="1909" t="s">
        <v>4314</v>
      </c>
      <c r="P243" s="2284" t="s">
        <v>4175</v>
      </c>
      <c r="Q243" s="2281"/>
      <c r="R243" s="2282"/>
      <c r="S243" s="1909" t="s">
        <v>3688</v>
      </c>
      <c r="T243" s="1909" t="s">
        <v>3689</v>
      </c>
      <c r="U243" s="1909" t="s">
        <v>3707</v>
      </c>
      <c r="V243" s="1909" t="s">
        <v>4176</v>
      </c>
      <c r="W243" s="1909" t="s">
        <v>3688</v>
      </c>
      <c r="X243" s="1909" t="s">
        <v>4315</v>
      </c>
      <c r="Y243" s="1909" t="s">
        <v>4316</v>
      </c>
      <c r="Z243" s="1909"/>
      <c r="AA243" s="1909" t="s">
        <v>3694</v>
      </c>
      <c r="AB243" s="1909" t="s">
        <v>4317</v>
      </c>
      <c r="AC243" s="1909" t="s">
        <v>3804</v>
      </c>
      <c r="AD243" s="2283" t="s">
        <v>4318</v>
      </c>
      <c r="AE243" s="2281"/>
      <c r="AF243" s="2282"/>
      <c r="AG243" s="2283" t="s">
        <v>3696</v>
      </c>
      <c r="AH243" s="2281"/>
      <c r="AI243" s="2282"/>
      <c r="AJ243" s="1909" t="s">
        <v>3814</v>
      </c>
      <c r="AK243" s="2283" t="s">
        <v>4319</v>
      </c>
      <c r="AL243" s="2281"/>
      <c r="AM243" s="2259"/>
      <c r="AN243" s="2281"/>
      <c r="AO243" s="2282"/>
      <c r="AP243" s="1909" t="s">
        <v>3716</v>
      </c>
      <c r="BC243" s="214"/>
      <c r="BD243" s="214"/>
      <c r="BE243" s="214"/>
      <c r="BF243" s="214"/>
    </row>
    <row r="244" spans="1:58" ht="45" hidden="1" customHeight="1">
      <c r="B244" s="2277"/>
      <c r="C244" s="2259"/>
      <c r="D244" s="2260"/>
      <c r="E244" s="1908" t="s">
        <v>3682</v>
      </c>
      <c r="F244" s="1908" t="s">
        <v>3683</v>
      </c>
      <c r="G244" s="1908"/>
      <c r="H244" s="2278" t="s">
        <v>683</v>
      </c>
      <c r="I244" s="2259"/>
      <c r="J244" s="2260"/>
      <c r="K244" s="2278" t="s">
        <v>4320</v>
      </c>
      <c r="L244" s="2260"/>
      <c r="M244" s="1908" t="e">
        <f>VLOOKUP(K244,'Estimate Details'!$R:$BR,20,FALSE)</f>
        <v>#N/A</v>
      </c>
      <c r="N244" s="1908" t="e">
        <f>VLOOKUP(M244,#REF!,2,FALSE)</f>
        <v>#N/A</v>
      </c>
      <c r="O244" s="1908" t="s">
        <v>4321</v>
      </c>
      <c r="P244" s="2278" t="s">
        <v>4175</v>
      </c>
      <c r="Q244" s="2259"/>
      <c r="R244" s="2260"/>
      <c r="S244" s="1908" t="s">
        <v>3688</v>
      </c>
      <c r="T244" s="1908" t="s">
        <v>3689</v>
      </c>
      <c r="U244" s="1908" t="s">
        <v>3707</v>
      </c>
      <c r="V244" s="1908" t="s">
        <v>4176</v>
      </c>
      <c r="W244" s="1908" t="s">
        <v>3688</v>
      </c>
      <c r="X244" s="1908"/>
      <c r="Y244" s="1908"/>
      <c r="Z244" s="1908"/>
      <c r="AA244" s="1908" t="s">
        <v>3694</v>
      </c>
      <c r="AB244" s="1908" t="s">
        <v>3688</v>
      </c>
      <c r="AC244" s="1908" t="s">
        <v>3804</v>
      </c>
      <c r="AD244" s="2278" t="s">
        <v>3688</v>
      </c>
      <c r="AE244" s="2259"/>
      <c r="AF244" s="2260"/>
      <c r="AG244" s="2278" t="s">
        <v>3696</v>
      </c>
      <c r="AH244" s="2259"/>
      <c r="AI244" s="2260"/>
      <c r="AJ244" s="1908" t="s">
        <v>3814</v>
      </c>
      <c r="AK244" s="2278" t="s">
        <v>4322</v>
      </c>
      <c r="AL244" s="2259"/>
      <c r="AM244" s="2259"/>
      <c r="AN244" s="2259"/>
      <c r="AO244" s="2260"/>
      <c r="AP244" s="1908" t="s">
        <v>3716</v>
      </c>
      <c r="BC244" s="214"/>
      <c r="BD244" s="214"/>
      <c r="BE244" s="214"/>
      <c r="BF244" s="214"/>
    </row>
    <row r="245" spans="1:58" ht="45" hidden="1" customHeight="1">
      <c r="A245" s="808"/>
      <c r="B245" s="2280"/>
      <c r="C245" s="2281"/>
      <c r="D245" s="2282"/>
      <c r="E245" s="1909" t="s">
        <v>3682</v>
      </c>
      <c r="F245" s="1909" t="s">
        <v>3683</v>
      </c>
      <c r="G245" s="1909"/>
      <c r="H245" s="2283" t="s">
        <v>683</v>
      </c>
      <c r="I245" s="2281"/>
      <c r="J245" s="2282"/>
      <c r="K245" s="2283" t="s">
        <v>4323</v>
      </c>
      <c r="L245" s="2282"/>
      <c r="M245" s="1909" t="e">
        <f>VLOOKUP(K245,'Estimate Details'!$R:$BR,20,FALSE)</f>
        <v>#N/A</v>
      </c>
      <c r="N245" s="1909" t="e">
        <f>VLOOKUP(M245,#REF!,2,FALSE)</f>
        <v>#N/A</v>
      </c>
      <c r="O245" s="1909" t="s">
        <v>4321</v>
      </c>
      <c r="P245" s="2284" t="s">
        <v>4175</v>
      </c>
      <c r="Q245" s="2281"/>
      <c r="R245" s="2282"/>
      <c r="S245" s="1909" t="s">
        <v>3688</v>
      </c>
      <c r="T245" s="1909" t="s">
        <v>3689</v>
      </c>
      <c r="U245" s="1909" t="s">
        <v>3707</v>
      </c>
      <c r="V245" s="1909" t="s">
        <v>4176</v>
      </c>
      <c r="W245" s="1909" t="s">
        <v>3688</v>
      </c>
      <c r="X245" s="1909"/>
      <c r="Y245" s="1909"/>
      <c r="Z245" s="1909"/>
      <c r="AA245" s="1909" t="s">
        <v>3694</v>
      </c>
      <c r="AB245" s="1909" t="s">
        <v>3688</v>
      </c>
      <c r="AC245" s="1909" t="s">
        <v>3804</v>
      </c>
      <c r="AD245" s="2283" t="s">
        <v>3688</v>
      </c>
      <c r="AE245" s="2281"/>
      <c r="AF245" s="2282"/>
      <c r="AG245" s="2283" t="s">
        <v>3696</v>
      </c>
      <c r="AH245" s="2281"/>
      <c r="AI245" s="2282"/>
      <c r="AJ245" s="1909" t="s">
        <v>3814</v>
      </c>
      <c r="AK245" s="2283" t="s">
        <v>4322</v>
      </c>
      <c r="AL245" s="2281"/>
      <c r="AM245" s="2259"/>
      <c r="AN245" s="2281"/>
      <c r="AO245" s="2282"/>
      <c r="AP245" s="1909" t="s">
        <v>3716</v>
      </c>
      <c r="BC245" s="214"/>
      <c r="BD245" s="214"/>
      <c r="BE245" s="214"/>
      <c r="BF245" s="214"/>
    </row>
    <row r="246" spans="1:58" ht="45" hidden="1" customHeight="1">
      <c r="B246" s="2277"/>
      <c r="C246" s="2259"/>
      <c r="D246" s="2260"/>
      <c r="E246" s="1908" t="s">
        <v>3682</v>
      </c>
      <c r="F246" s="1908" t="s">
        <v>3683</v>
      </c>
      <c r="G246" s="1908"/>
      <c r="H246" s="2278" t="s">
        <v>683</v>
      </c>
      <c r="I246" s="2259"/>
      <c r="J246" s="2260"/>
      <c r="K246" s="2278" t="s">
        <v>4324</v>
      </c>
      <c r="L246" s="2260"/>
      <c r="M246" s="1908" t="e">
        <f>VLOOKUP(K246,'Estimate Details'!$R:$BR,20,FALSE)</f>
        <v>#N/A</v>
      </c>
      <c r="N246" s="1908" t="e">
        <f>VLOOKUP(M246,#REF!,2,FALSE)</f>
        <v>#N/A</v>
      </c>
      <c r="O246" s="1908" t="s">
        <v>4325</v>
      </c>
      <c r="P246" s="2278" t="s">
        <v>4175</v>
      </c>
      <c r="Q246" s="2259"/>
      <c r="R246" s="2260"/>
      <c r="S246" s="1908" t="s">
        <v>3688</v>
      </c>
      <c r="T246" s="1908" t="s">
        <v>3689</v>
      </c>
      <c r="U246" s="1908" t="s">
        <v>3707</v>
      </c>
      <c r="V246" s="1908" t="s">
        <v>4176</v>
      </c>
      <c r="W246" s="1908" t="s">
        <v>3688</v>
      </c>
      <c r="X246" s="1908"/>
      <c r="Y246" s="1908"/>
      <c r="Z246" s="1908"/>
      <c r="AA246" s="1908" t="s">
        <v>3694</v>
      </c>
      <c r="AB246" s="1908" t="s">
        <v>3688</v>
      </c>
      <c r="AC246" s="1908" t="s">
        <v>3804</v>
      </c>
      <c r="AD246" s="2278" t="s">
        <v>3688</v>
      </c>
      <c r="AE246" s="2259"/>
      <c r="AF246" s="2260"/>
      <c r="AG246" s="2278" t="s">
        <v>3696</v>
      </c>
      <c r="AH246" s="2259"/>
      <c r="AI246" s="2260"/>
      <c r="AJ246" s="1908" t="s">
        <v>3814</v>
      </c>
      <c r="AK246" s="2278" t="s">
        <v>4254</v>
      </c>
      <c r="AL246" s="2259"/>
      <c r="AM246" s="2259"/>
      <c r="AN246" s="2259"/>
      <c r="AO246" s="2260"/>
      <c r="AP246" s="1908" t="s">
        <v>3716</v>
      </c>
      <c r="BC246" s="214"/>
      <c r="BD246" s="214"/>
      <c r="BE246" s="214"/>
      <c r="BF246" s="214"/>
    </row>
    <row r="247" spans="1:58" ht="45" hidden="1" customHeight="1">
      <c r="A247" s="808"/>
      <c r="B247" s="2280"/>
      <c r="C247" s="2281"/>
      <c r="D247" s="2282"/>
      <c r="E247" s="1909" t="s">
        <v>3682</v>
      </c>
      <c r="F247" s="1909" t="s">
        <v>3683</v>
      </c>
      <c r="G247" s="1909"/>
      <c r="H247" s="2283" t="s">
        <v>4326</v>
      </c>
      <c r="I247" s="2281"/>
      <c r="J247" s="2282"/>
      <c r="K247" s="2283" t="s">
        <v>4327</v>
      </c>
      <c r="L247" s="2282"/>
      <c r="M247" s="1909" t="e">
        <f>VLOOKUP(K247,'Estimate Details'!$R:$BR,20,FALSE)</f>
        <v>#N/A</v>
      </c>
      <c r="N247" s="1909" t="e">
        <f>VLOOKUP(M247,#REF!,2,FALSE)</f>
        <v>#N/A</v>
      </c>
      <c r="O247" s="1909" t="s">
        <v>4328</v>
      </c>
      <c r="P247" s="2284" t="s">
        <v>4130</v>
      </c>
      <c r="Q247" s="2281"/>
      <c r="R247" s="2282"/>
      <c r="S247" s="1909" t="s">
        <v>3688</v>
      </c>
      <c r="T247" s="1909" t="s">
        <v>3689</v>
      </c>
      <c r="U247" s="1909" t="s">
        <v>3707</v>
      </c>
      <c r="V247" s="1909" t="s">
        <v>4147</v>
      </c>
      <c r="W247" s="1909" t="s">
        <v>3688</v>
      </c>
      <c r="X247" s="1909"/>
      <c r="Y247" s="1909"/>
      <c r="Z247" s="1909"/>
      <c r="AA247" s="1909" t="s">
        <v>3694</v>
      </c>
      <c r="AB247" s="1909" t="s">
        <v>4161</v>
      </c>
      <c r="AC247" s="1909" t="s">
        <v>4150</v>
      </c>
      <c r="AD247" s="2283" t="s">
        <v>4162</v>
      </c>
      <c r="AE247" s="2281"/>
      <c r="AF247" s="2282"/>
      <c r="AG247" s="2283" t="s">
        <v>3696</v>
      </c>
      <c r="AH247" s="2281"/>
      <c r="AI247" s="2282"/>
      <c r="AJ247" s="1909" t="s">
        <v>4163</v>
      </c>
      <c r="AK247" s="2283" t="s">
        <v>4164</v>
      </c>
      <c r="AL247" s="2281"/>
      <c r="AM247" s="2259"/>
      <c r="AN247" s="2281"/>
      <c r="AO247" s="2282"/>
      <c r="AP247" s="1909" t="s">
        <v>3699</v>
      </c>
      <c r="BC247" s="214"/>
      <c r="BD247" s="214"/>
      <c r="BE247" s="214"/>
      <c r="BF247" s="214"/>
    </row>
    <row r="248" spans="1:58" ht="45" hidden="1" customHeight="1">
      <c r="B248" s="2277"/>
      <c r="C248" s="2259"/>
      <c r="D248" s="2260"/>
      <c r="E248" s="1908" t="s">
        <v>3682</v>
      </c>
      <c r="F248" s="1910" t="s">
        <v>3688</v>
      </c>
      <c r="G248" s="1910"/>
      <c r="H248" s="2285" t="s">
        <v>4326</v>
      </c>
      <c r="I248" s="2259"/>
      <c r="J248" s="2260"/>
      <c r="K248" s="2285" t="s">
        <v>4329</v>
      </c>
      <c r="L248" s="2260"/>
      <c r="M248" s="1910" t="e">
        <f>VLOOKUP(K248,'Estimate Details'!$R:$BR,20,FALSE)</f>
        <v>#N/A</v>
      </c>
      <c r="N248" s="1910" t="e">
        <f>VLOOKUP(M248,#REF!,2,FALSE)</f>
        <v>#N/A</v>
      </c>
      <c r="O248" s="1910" t="s">
        <v>4166</v>
      </c>
      <c r="P248" s="2285" t="s">
        <v>3688</v>
      </c>
      <c r="Q248" s="2259"/>
      <c r="R248" s="2260"/>
      <c r="S248" s="1910" t="s">
        <v>4330</v>
      </c>
      <c r="T248" s="1910" t="s">
        <v>3689</v>
      </c>
      <c r="U248" s="1910" t="s">
        <v>3688</v>
      </c>
      <c r="V248" s="1910" t="s">
        <v>3688</v>
      </c>
      <c r="W248" s="1910" t="s">
        <v>3688</v>
      </c>
      <c r="X248" s="1910"/>
      <c r="Y248" s="1910"/>
      <c r="Z248" s="1910"/>
      <c r="AA248" s="1910" t="s">
        <v>3694</v>
      </c>
      <c r="AB248" s="1910" t="s">
        <v>3688</v>
      </c>
      <c r="AC248" s="1910" t="s">
        <v>4105</v>
      </c>
      <c r="AD248" s="2285" t="s">
        <v>3688</v>
      </c>
      <c r="AE248" s="2259"/>
      <c r="AF248" s="2260"/>
      <c r="AG248" s="2285" t="s">
        <v>3696</v>
      </c>
      <c r="AH248" s="2259"/>
      <c r="AI248" s="2260"/>
      <c r="AJ248" s="1910" t="s">
        <v>4168</v>
      </c>
      <c r="AK248" s="2285" t="s">
        <v>3688</v>
      </c>
      <c r="AL248" s="2259"/>
      <c r="AM248" s="2259"/>
      <c r="AN248" s="2259"/>
      <c r="AO248" s="2260"/>
      <c r="AP248" s="1910" t="s">
        <v>3688</v>
      </c>
      <c r="BC248" s="214"/>
      <c r="BD248" s="214"/>
      <c r="BE248" s="214"/>
      <c r="BF248" s="214"/>
    </row>
    <row r="249" spans="1:58" ht="45" hidden="1" customHeight="1">
      <c r="A249" s="808"/>
      <c r="B249" s="2280"/>
      <c r="C249" s="2281"/>
      <c r="D249" s="2282"/>
      <c r="E249" s="1909" t="s">
        <v>3682</v>
      </c>
      <c r="F249" s="1909" t="s">
        <v>3683</v>
      </c>
      <c r="G249" s="1909"/>
      <c r="H249" s="2283" t="s">
        <v>4326</v>
      </c>
      <c r="I249" s="2281"/>
      <c r="J249" s="2282"/>
      <c r="K249" s="2283" t="s">
        <v>4331</v>
      </c>
      <c r="L249" s="2282"/>
      <c r="M249" s="1909" t="e">
        <f>VLOOKUP(K249,'Estimate Details'!$R:$BR,20,FALSE)</f>
        <v>#N/A</v>
      </c>
      <c r="N249" s="1909" t="e">
        <f>VLOOKUP(M249,#REF!,2,FALSE)</f>
        <v>#N/A</v>
      </c>
      <c r="O249" s="1909" t="s">
        <v>4332</v>
      </c>
      <c r="P249" s="2284" t="s">
        <v>4130</v>
      </c>
      <c r="Q249" s="2281"/>
      <c r="R249" s="2282"/>
      <c r="S249" s="1909" t="s">
        <v>3688</v>
      </c>
      <c r="T249" s="1909" t="s">
        <v>3689</v>
      </c>
      <c r="U249" s="1909" t="s">
        <v>3707</v>
      </c>
      <c r="V249" s="1909" t="s">
        <v>4147</v>
      </c>
      <c r="W249" s="1909" t="s">
        <v>3688</v>
      </c>
      <c r="X249" s="1909"/>
      <c r="Y249" s="1909"/>
      <c r="Z249" s="1909"/>
      <c r="AA249" s="1909" t="s">
        <v>3694</v>
      </c>
      <c r="AB249" s="1909" t="s">
        <v>4161</v>
      </c>
      <c r="AC249" s="1909" t="s">
        <v>4150</v>
      </c>
      <c r="AD249" s="2283" t="s">
        <v>4162</v>
      </c>
      <c r="AE249" s="2281"/>
      <c r="AF249" s="2282"/>
      <c r="AG249" s="2283" t="s">
        <v>3696</v>
      </c>
      <c r="AH249" s="2281"/>
      <c r="AI249" s="2282"/>
      <c r="AJ249" s="1909" t="s">
        <v>4163</v>
      </c>
      <c r="AK249" s="2283" t="s">
        <v>4164</v>
      </c>
      <c r="AL249" s="2281"/>
      <c r="AM249" s="2259"/>
      <c r="AN249" s="2281"/>
      <c r="AO249" s="2282"/>
      <c r="AP249" s="1909" t="s">
        <v>3699</v>
      </c>
      <c r="BC249" s="214"/>
      <c r="BD249" s="214"/>
      <c r="BE249" s="214"/>
      <c r="BF249" s="214"/>
    </row>
    <row r="250" spans="1:58" ht="45" hidden="1" customHeight="1">
      <c r="B250" s="2277"/>
      <c r="C250" s="2259"/>
      <c r="D250" s="2260"/>
      <c r="E250" s="1908" t="s">
        <v>3682</v>
      </c>
      <c r="F250" s="1910" t="s">
        <v>3688</v>
      </c>
      <c r="G250" s="1910"/>
      <c r="H250" s="2285" t="s">
        <v>4326</v>
      </c>
      <c r="I250" s="2259"/>
      <c r="J250" s="2260"/>
      <c r="K250" s="2285" t="s">
        <v>4333</v>
      </c>
      <c r="L250" s="2260"/>
      <c r="M250" s="1910" t="e">
        <f>VLOOKUP(K250,'Estimate Details'!$R:$BR,20,FALSE)</f>
        <v>#N/A</v>
      </c>
      <c r="N250" s="1910" t="e">
        <f>VLOOKUP(M250,#REF!,2,FALSE)</f>
        <v>#N/A</v>
      </c>
      <c r="O250" s="1910" t="s">
        <v>4166</v>
      </c>
      <c r="P250" s="2285" t="s">
        <v>3688</v>
      </c>
      <c r="Q250" s="2259"/>
      <c r="R250" s="2260"/>
      <c r="S250" s="1910" t="s">
        <v>4334</v>
      </c>
      <c r="T250" s="1910" t="s">
        <v>3689</v>
      </c>
      <c r="U250" s="1910" t="s">
        <v>3688</v>
      </c>
      <c r="V250" s="1910" t="s">
        <v>3688</v>
      </c>
      <c r="W250" s="1910" t="s">
        <v>3688</v>
      </c>
      <c r="X250" s="1910"/>
      <c r="Y250" s="1910"/>
      <c r="Z250" s="1910"/>
      <c r="AA250" s="1910" t="s">
        <v>3694</v>
      </c>
      <c r="AB250" s="1910" t="s">
        <v>3688</v>
      </c>
      <c r="AC250" s="1910" t="s">
        <v>4105</v>
      </c>
      <c r="AD250" s="2285" t="s">
        <v>3688</v>
      </c>
      <c r="AE250" s="2259"/>
      <c r="AF250" s="2260"/>
      <c r="AG250" s="2285" t="s">
        <v>3696</v>
      </c>
      <c r="AH250" s="2259"/>
      <c r="AI250" s="2260"/>
      <c r="AJ250" s="1910" t="s">
        <v>4168</v>
      </c>
      <c r="AK250" s="2285" t="s">
        <v>3688</v>
      </c>
      <c r="AL250" s="2259"/>
      <c r="AM250" s="2259"/>
      <c r="AN250" s="2259"/>
      <c r="AO250" s="2260"/>
      <c r="AP250" s="1910" t="s">
        <v>3688</v>
      </c>
      <c r="BC250" s="214"/>
      <c r="BD250" s="214"/>
      <c r="BE250" s="214"/>
      <c r="BF250" s="214"/>
    </row>
    <row r="251" spans="1:58" ht="45" hidden="1" customHeight="1">
      <c r="A251" s="808"/>
      <c r="B251" s="2280"/>
      <c r="C251" s="2281"/>
      <c r="D251" s="2282"/>
      <c r="E251" s="1909" t="s">
        <v>3682</v>
      </c>
      <c r="F251" s="1909" t="s">
        <v>3683</v>
      </c>
      <c r="G251" s="1909"/>
      <c r="H251" s="2283" t="s">
        <v>4326</v>
      </c>
      <c r="I251" s="2281"/>
      <c r="J251" s="2282"/>
      <c r="K251" s="2283" t="s">
        <v>813</v>
      </c>
      <c r="L251" s="2282"/>
      <c r="M251" s="1909">
        <f>VLOOKUP(K251,'Estimate Details'!$R:$BR,20,FALSE)</f>
        <v>0</v>
      </c>
      <c r="N251" s="1909" t="e">
        <f>VLOOKUP(M251,#REF!,2,FALSE)</f>
        <v>#REF!</v>
      </c>
      <c r="O251" s="1909" t="s">
        <v>4335</v>
      </c>
      <c r="P251" s="2284" t="s">
        <v>4175</v>
      </c>
      <c r="Q251" s="2281"/>
      <c r="R251" s="2282"/>
      <c r="S251" s="1909" t="s">
        <v>3688</v>
      </c>
      <c r="T251" s="1909" t="s">
        <v>3689</v>
      </c>
      <c r="U251" s="1909" t="s">
        <v>3707</v>
      </c>
      <c r="V251" s="1909" t="s">
        <v>4176</v>
      </c>
      <c r="W251" s="1909" t="s">
        <v>3688</v>
      </c>
      <c r="X251" s="1909"/>
      <c r="Y251" s="1909" t="s">
        <v>4336</v>
      </c>
      <c r="Z251" s="1909"/>
      <c r="AA251" s="1909" t="s">
        <v>3694</v>
      </c>
      <c r="AB251" s="1909" t="s">
        <v>4337</v>
      </c>
      <c r="AC251" s="1909" t="s">
        <v>3804</v>
      </c>
      <c r="AD251" s="2283" t="s">
        <v>3688</v>
      </c>
      <c r="AE251" s="2281"/>
      <c r="AF251" s="2282"/>
      <c r="AG251" s="2283" t="s">
        <v>3696</v>
      </c>
      <c r="AH251" s="2281"/>
      <c r="AI251" s="2282"/>
      <c r="AJ251" s="1909" t="s">
        <v>3814</v>
      </c>
      <c r="AK251" s="2283" t="s">
        <v>4338</v>
      </c>
      <c r="AL251" s="2281"/>
      <c r="AM251" s="2259"/>
      <c r="AN251" s="2281"/>
      <c r="AO251" s="2282"/>
      <c r="AP251" s="1909" t="s">
        <v>3699</v>
      </c>
      <c r="BC251" s="214"/>
      <c r="BD251" s="214"/>
      <c r="BE251" s="214"/>
      <c r="BF251" s="214"/>
    </row>
    <row r="252" spans="1:58" ht="45" hidden="1" customHeight="1">
      <c r="B252" s="2277"/>
      <c r="C252" s="2259"/>
      <c r="D252" s="2260"/>
      <c r="E252" s="1908" t="s">
        <v>3682</v>
      </c>
      <c r="F252" s="1908" t="s">
        <v>3683</v>
      </c>
      <c r="G252" s="1908"/>
      <c r="H252" s="2278" t="s">
        <v>4326</v>
      </c>
      <c r="I252" s="2259"/>
      <c r="J252" s="2260"/>
      <c r="K252" s="2278" t="s">
        <v>4339</v>
      </c>
      <c r="L252" s="2260"/>
      <c r="M252" s="1908" t="e">
        <f>VLOOKUP(K252,'Estimate Details'!$R:$BR,20,FALSE)</f>
        <v>#N/A</v>
      </c>
      <c r="N252" s="1908" t="e">
        <f>VLOOKUP(M252,#REF!,2,FALSE)</f>
        <v>#N/A</v>
      </c>
      <c r="O252" s="1908" t="s">
        <v>4340</v>
      </c>
      <c r="P252" s="2278" t="s">
        <v>4175</v>
      </c>
      <c r="Q252" s="2259"/>
      <c r="R252" s="2260"/>
      <c r="S252" s="1908" t="s">
        <v>3688</v>
      </c>
      <c r="T252" s="1908" t="s">
        <v>3689</v>
      </c>
      <c r="U252" s="1908" t="s">
        <v>3707</v>
      </c>
      <c r="V252" s="1908" t="s">
        <v>4176</v>
      </c>
      <c r="W252" s="1908" t="s">
        <v>3688</v>
      </c>
      <c r="X252" s="1908"/>
      <c r="Y252" s="1908" t="s">
        <v>4341</v>
      </c>
      <c r="Z252" s="1908"/>
      <c r="AA252" s="1908" t="s">
        <v>3694</v>
      </c>
      <c r="AB252" s="1908" t="s">
        <v>4342</v>
      </c>
      <c r="AC252" s="1908" t="s">
        <v>4343</v>
      </c>
      <c r="AD252" s="2278" t="s">
        <v>4344</v>
      </c>
      <c r="AE252" s="2259"/>
      <c r="AF252" s="2260"/>
      <c r="AG252" s="2278" t="s">
        <v>3696</v>
      </c>
      <c r="AH252" s="2259"/>
      <c r="AI252" s="2260"/>
      <c r="AJ252" s="1908" t="s">
        <v>3814</v>
      </c>
      <c r="AK252" s="2278" t="s">
        <v>4345</v>
      </c>
      <c r="AL252" s="2259"/>
      <c r="AM252" s="2259"/>
      <c r="AN252" s="2259"/>
      <c r="AO252" s="2260"/>
      <c r="AP252" s="1908" t="s">
        <v>3699</v>
      </c>
      <c r="BC252" s="214"/>
      <c r="BD252" s="214"/>
      <c r="BE252" s="214"/>
      <c r="BF252" s="214"/>
    </row>
    <row r="253" spans="1:58" ht="45" hidden="1" customHeight="1">
      <c r="A253" s="808"/>
      <c r="B253" s="2280"/>
      <c r="C253" s="2281"/>
      <c r="D253" s="2282"/>
      <c r="E253" s="1909" t="s">
        <v>3682</v>
      </c>
      <c r="F253" s="1909" t="s">
        <v>3683</v>
      </c>
      <c r="G253" s="1909"/>
      <c r="H253" s="2283" t="s">
        <v>4326</v>
      </c>
      <c r="I253" s="2281"/>
      <c r="J253" s="2282"/>
      <c r="K253" s="2283" t="s">
        <v>4346</v>
      </c>
      <c r="L253" s="2282"/>
      <c r="M253" s="1909" t="e">
        <f>VLOOKUP(K253,'Estimate Details'!$R:$BR,20,FALSE)</f>
        <v>#N/A</v>
      </c>
      <c r="N253" s="1909" t="e">
        <f>VLOOKUP(M253,#REF!,2,FALSE)</f>
        <v>#N/A</v>
      </c>
      <c r="O253" s="1909" t="s">
        <v>4347</v>
      </c>
      <c r="P253" s="2284" t="s">
        <v>4175</v>
      </c>
      <c r="Q253" s="2281"/>
      <c r="R253" s="2282"/>
      <c r="S253" s="1909" t="s">
        <v>3688</v>
      </c>
      <c r="T253" s="1909" t="s">
        <v>3689</v>
      </c>
      <c r="U253" s="1909" t="s">
        <v>3707</v>
      </c>
      <c r="V253" s="1909" t="s">
        <v>4176</v>
      </c>
      <c r="W253" s="1909" t="s">
        <v>3688</v>
      </c>
      <c r="X253" s="1909"/>
      <c r="Y253" s="1909"/>
      <c r="Z253" s="1909"/>
      <c r="AA253" s="1909" t="s">
        <v>3694</v>
      </c>
      <c r="AB253" s="1909" t="s">
        <v>4348</v>
      </c>
      <c r="AC253" s="1909" t="s">
        <v>3804</v>
      </c>
      <c r="AD253" s="2283" t="s">
        <v>4348</v>
      </c>
      <c r="AE253" s="2281"/>
      <c r="AF253" s="2282"/>
      <c r="AG253" s="2283" t="s">
        <v>3696</v>
      </c>
      <c r="AH253" s="2281"/>
      <c r="AI253" s="2282"/>
      <c r="AJ253" s="1909" t="s">
        <v>3814</v>
      </c>
      <c r="AK253" s="2283" t="s">
        <v>4349</v>
      </c>
      <c r="AL253" s="2281"/>
      <c r="AM253" s="2259"/>
      <c r="AN253" s="2281"/>
      <c r="AO253" s="2282"/>
      <c r="AP253" s="1909" t="s">
        <v>3716</v>
      </c>
      <c r="BC253" s="214"/>
      <c r="BD253" s="214"/>
      <c r="BE253" s="214"/>
      <c r="BF253" s="214"/>
    </row>
    <row r="254" spans="1:58" ht="45" hidden="1" customHeight="1">
      <c r="B254" s="2277"/>
      <c r="C254" s="2259"/>
      <c r="D254" s="2260"/>
      <c r="E254" s="1908" t="s">
        <v>3682</v>
      </c>
      <c r="F254" s="1908" t="s">
        <v>3683</v>
      </c>
      <c r="G254" s="1908"/>
      <c r="H254" s="2278" t="s">
        <v>4326</v>
      </c>
      <c r="I254" s="2259"/>
      <c r="J254" s="2260"/>
      <c r="K254" s="2278" t="s">
        <v>809</v>
      </c>
      <c r="L254" s="2260"/>
      <c r="M254" s="1908">
        <f>VLOOKUP(K254,'Estimate Details'!$R:$BR,20,FALSE)</f>
        <v>3320.9800000000005</v>
      </c>
      <c r="N254" s="1908" t="e">
        <f>VLOOKUP(M254,#REF!,2,FALSE)</f>
        <v>#REF!</v>
      </c>
      <c r="O254" s="1908" t="s">
        <v>4350</v>
      </c>
      <c r="P254" s="2278" t="s">
        <v>4180</v>
      </c>
      <c r="Q254" s="2259"/>
      <c r="R254" s="2260"/>
      <c r="S254" s="1908" t="s">
        <v>3688</v>
      </c>
      <c r="T254" s="1908" t="s">
        <v>3689</v>
      </c>
      <c r="U254" s="1908" t="s">
        <v>3707</v>
      </c>
      <c r="V254" s="1908" t="s">
        <v>4147</v>
      </c>
      <c r="W254" s="1908" t="s">
        <v>3688</v>
      </c>
      <c r="X254" s="1908"/>
      <c r="Y254" s="1908"/>
      <c r="Z254" s="1908"/>
      <c r="AA254" s="1908" t="s">
        <v>3957</v>
      </c>
      <c r="AB254" s="1908" t="s">
        <v>4216</v>
      </c>
      <c r="AC254" s="1908" t="s">
        <v>3696</v>
      </c>
      <c r="AD254" s="2278" t="s">
        <v>4192</v>
      </c>
      <c r="AE254" s="2259"/>
      <c r="AF254" s="2260"/>
      <c r="AG254" s="2278" t="s">
        <v>3696</v>
      </c>
      <c r="AH254" s="2259"/>
      <c r="AI254" s="2260"/>
      <c r="AJ254" s="1908" t="s">
        <v>4163</v>
      </c>
      <c r="AK254" s="2278" t="s">
        <v>4193</v>
      </c>
      <c r="AL254" s="2259"/>
      <c r="AM254" s="2259"/>
      <c r="AN254" s="2259"/>
      <c r="AO254" s="2260"/>
      <c r="AP254" s="1908" t="s">
        <v>3699</v>
      </c>
      <c r="BC254" s="214"/>
      <c r="BD254" s="214"/>
      <c r="BE254" s="214"/>
      <c r="BF254" s="214"/>
    </row>
    <row r="255" spans="1:58" ht="45" hidden="1" customHeight="1">
      <c r="A255" s="808"/>
      <c r="B255" s="2280"/>
      <c r="C255" s="2281"/>
      <c r="D255" s="2282"/>
      <c r="E255" s="1909" t="s">
        <v>3682</v>
      </c>
      <c r="F255" s="1909" t="s">
        <v>3683</v>
      </c>
      <c r="G255" s="1909"/>
      <c r="H255" s="2283" t="s">
        <v>4326</v>
      </c>
      <c r="I255" s="2281"/>
      <c r="J255" s="2282"/>
      <c r="K255" s="2283" t="s">
        <v>804</v>
      </c>
      <c r="L255" s="2282"/>
      <c r="M255" s="1909">
        <f>VLOOKUP(K255,'Estimate Details'!$R:$BR,20,FALSE)</f>
        <v>8954.42</v>
      </c>
      <c r="N255" s="1909" t="e">
        <f>VLOOKUP(M255,#REF!,2,FALSE)</f>
        <v>#REF!</v>
      </c>
      <c r="O255" s="1909" t="s">
        <v>4351</v>
      </c>
      <c r="P255" s="2284" t="s">
        <v>4352</v>
      </c>
      <c r="Q255" s="2281"/>
      <c r="R255" s="2282"/>
      <c r="S255" s="1909" t="s">
        <v>3688</v>
      </c>
      <c r="T255" s="1909" t="s">
        <v>3689</v>
      </c>
      <c r="U255" s="1909" t="s">
        <v>3707</v>
      </c>
      <c r="V255" s="1909" t="s">
        <v>4353</v>
      </c>
      <c r="W255" s="1909" t="s">
        <v>3688</v>
      </c>
      <c r="X255" s="1909"/>
      <c r="Y255" s="1909"/>
      <c r="Z255" s="1909"/>
      <c r="AA255" s="1909" t="s">
        <v>4354</v>
      </c>
      <c r="AB255" s="1909" t="s">
        <v>3688</v>
      </c>
      <c r="AC255" s="1909" t="s">
        <v>3696</v>
      </c>
      <c r="AD255" s="2283" t="s">
        <v>3688</v>
      </c>
      <c r="AE255" s="2281"/>
      <c r="AF255" s="2282"/>
      <c r="AG255" s="2283" t="s">
        <v>3792</v>
      </c>
      <c r="AH255" s="2281"/>
      <c r="AI255" s="2282"/>
      <c r="AJ255" s="1909" t="s">
        <v>4355</v>
      </c>
      <c r="AK255" s="2283" t="s">
        <v>3688</v>
      </c>
      <c r="AL255" s="2281"/>
      <c r="AM255" s="2259"/>
      <c r="AN255" s="2281"/>
      <c r="AO255" s="2282"/>
      <c r="AP255" s="1909" t="s">
        <v>3699</v>
      </c>
      <c r="BC255" s="214"/>
      <c r="BD255" s="214"/>
      <c r="BE255" s="214"/>
      <c r="BF255" s="214"/>
    </row>
    <row r="256" spans="1:58" ht="45" hidden="1" customHeight="1">
      <c r="B256" s="2277"/>
      <c r="C256" s="2259"/>
      <c r="D256" s="2260"/>
      <c r="E256" s="1908" t="s">
        <v>3682</v>
      </c>
      <c r="F256" s="1908" t="s">
        <v>3683</v>
      </c>
      <c r="G256" s="1908"/>
      <c r="H256" s="2278" t="s">
        <v>4356</v>
      </c>
      <c r="I256" s="2259"/>
      <c r="J256" s="2260"/>
      <c r="K256" s="2278" t="s">
        <v>4357</v>
      </c>
      <c r="L256" s="2260"/>
      <c r="M256" s="1908" t="e">
        <f>VLOOKUP(K256,'Estimate Details'!$R:$BR,20,FALSE)</f>
        <v>#N/A</v>
      </c>
      <c r="N256" s="1908" t="e">
        <f>VLOOKUP(M256,#REF!,2,FALSE)</f>
        <v>#N/A</v>
      </c>
      <c r="O256" s="1908" t="s">
        <v>4358</v>
      </c>
      <c r="P256" s="2278" t="s">
        <v>4130</v>
      </c>
      <c r="Q256" s="2259"/>
      <c r="R256" s="2260"/>
      <c r="S256" s="1908" t="s">
        <v>3688</v>
      </c>
      <c r="T256" s="1908" t="s">
        <v>3689</v>
      </c>
      <c r="U256" s="1908" t="s">
        <v>3690</v>
      </c>
      <c r="V256" s="1908" t="s">
        <v>3691</v>
      </c>
      <c r="W256" s="1908" t="s">
        <v>3688</v>
      </c>
      <c r="X256" s="1908"/>
      <c r="Y256" s="1908"/>
      <c r="Z256" s="1908"/>
      <c r="AA256" s="1908" t="s">
        <v>3957</v>
      </c>
      <c r="AB256" s="1908" t="s">
        <v>3688</v>
      </c>
      <c r="AC256" s="1908" t="s">
        <v>3804</v>
      </c>
      <c r="AD256" s="2278" t="s">
        <v>3688</v>
      </c>
      <c r="AE256" s="2259"/>
      <c r="AF256" s="2260"/>
      <c r="AG256" s="2278" t="s">
        <v>3696</v>
      </c>
      <c r="AH256" s="2259"/>
      <c r="AI256" s="2260"/>
      <c r="AJ256" s="1908" t="s">
        <v>4359</v>
      </c>
      <c r="AK256" s="2278" t="s">
        <v>3688</v>
      </c>
      <c r="AL256" s="2259"/>
      <c r="AM256" s="2259"/>
      <c r="AN256" s="2259"/>
      <c r="AO256" s="2260"/>
      <c r="AP256" s="1908" t="s">
        <v>3699</v>
      </c>
      <c r="BC256" s="214"/>
      <c r="BD256" s="214"/>
      <c r="BE256" s="214"/>
      <c r="BF256" s="214"/>
    </row>
    <row r="257" spans="1:58" ht="45" hidden="1" customHeight="1">
      <c r="A257" s="808"/>
      <c r="B257" s="2280"/>
      <c r="C257" s="2281"/>
      <c r="D257" s="2282"/>
      <c r="E257" s="1909" t="s">
        <v>3682</v>
      </c>
      <c r="F257" s="1909" t="s">
        <v>3683</v>
      </c>
      <c r="G257" s="1909"/>
      <c r="H257" s="2283" t="s">
        <v>4356</v>
      </c>
      <c r="I257" s="2281"/>
      <c r="J257" s="2282"/>
      <c r="K257" s="2283" t="s">
        <v>4360</v>
      </c>
      <c r="L257" s="2282"/>
      <c r="M257" s="1909" t="e">
        <f>VLOOKUP(K257,'Estimate Details'!$R:$BR,20,FALSE)</f>
        <v>#N/A</v>
      </c>
      <c r="N257" s="1909" t="e">
        <f>VLOOKUP(M257,#REF!,2,FALSE)</f>
        <v>#N/A</v>
      </c>
      <c r="O257" s="1909" t="s">
        <v>4358</v>
      </c>
      <c r="P257" s="2284" t="s">
        <v>4130</v>
      </c>
      <c r="Q257" s="2281"/>
      <c r="R257" s="2282"/>
      <c r="S257" s="1909" t="s">
        <v>3688</v>
      </c>
      <c r="T257" s="1909" t="s">
        <v>3689</v>
      </c>
      <c r="U257" s="1909" t="s">
        <v>3690</v>
      </c>
      <c r="V257" s="1909" t="s">
        <v>3691</v>
      </c>
      <c r="W257" s="1909" t="s">
        <v>3688</v>
      </c>
      <c r="X257" s="1909"/>
      <c r="Y257" s="1909"/>
      <c r="Z257" s="1909"/>
      <c r="AA257" s="1909" t="s">
        <v>3957</v>
      </c>
      <c r="AB257" s="1909" t="s">
        <v>3688</v>
      </c>
      <c r="AC257" s="1909" t="s">
        <v>3804</v>
      </c>
      <c r="AD257" s="2283" t="s">
        <v>3688</v>
      </c>
      <c r="AE257" s="2281"/>
      <c r="AF257" s="2282"/>
      <c r="AG257" s="2283" t="s">
        <v>3696</v>
      </c>
      <c r="AH257" s="2281"/>
      <c r="AI257" s="2282"/>
      <c r="AJ257" s="1909" t="s">
        <v>4359</v>
      </c>
      <c r="AK257" s="2283" t="s">
        <v>3688</v>
      </c>
      <c r="AL257" s="2281"/>
      <c r="AM257" s="2259"/>
      <c r="AN257" s="2281"/>
      <c r="AO257" s="2282"/>
      <c r="AP257" s="1909" t="s">
        <v>3699</v>
      </c>
      <c r="BC257" s="214"/>
      <c r="BD257" s="214"/>
      <c r="BE257" s="214"/>
      <c r="BF257" s="214"/>
    </row>
    <row r="258" spans="1:58" ht="45" hidden="1" customHeight="1">
      <c r="B258" s="2277"/>
      <c r="C258" s="2259"/>
      <c r="D258" s="2260"/>
      <c r="E258" s="1908" t="s">
        <v>3682</v>
      </c>
      <c r="F258" s="1908" t="s">
        <v>3683</v>
      </c>
      <c r="G258" s="1908"/>
      <c r="H258" s="2278" t="s">
        <v>841</v>
      </c>
      <c r="I258" s="2259"/>
      <c r="J258" s="2260"/>
      <c r="K258" s="2278" t="s">
        <v>866</v>
      </c>
      <c r="L258" s="2260"/>
      <c r="M258" s="1908">
        <f>VLOOKUP(K258,'Estimate Details'!$R:$BR,20,FALSE)</f>
        <v>1925.0833333333335</v>
      </c>
      <c r="N258" s="1908" t="e">
        <f>VLOOKUP(M258,#REF!,2,FALSE)</f>
        <v>#REF!</v>
      </c>
      <c r="O258" s="1908" t="s">
        <v>4361</v>
      </c>
      <c r="P258" s="2278" t="s">
        <v>4362</v>
      </c>
      <c r="Q258" s="2259"/>
      <c r="R258" s="2260"/>
      <c r="S258" s="1908" t="s">
        <v>3688</v>
      </c>
      <c r="T258" s="1908" t="s">
        <v>3689</v>
      </c>
      <c r="U258" s="1908" t="s">
        <v>3707</v>
      </c>
      <c r="V258" s="1908" t="s">
        <v>4363</v>
      </c>
      <c r="W258" s="1908" t="s">
        <v>3688</v>
      </c>
      <c r="X258" s="1908"/>
      <c r="Y258" s="1908"/>
      <c r="Z258" s="1908"/>
      <c r="AA258" s="1908" t="s">
        <v>3694</v>
      </c>
      <c r="AB258" s="1908" t="s">
        <v>3688</v>
      </c>
      <c r="AC258" s="1908" t="s">
        <v>3804</v>
      </c>
      <c r="AD258" s="2278" t="s">
        <v>3688</v>
      </c>
      <c r="AE258" s="2259"/>
      <c r="AF258" s="2260"/>
      <c r="AG258" s="2278" t="s">
        <v>3696</v>
      </c>
      <c r="AH258" s="2259"/>
      <c r="AI258" s="2260"/>
      <c r="AJ258" s="1908" t="s">
        <v>4364</v>
      </c>
      <c r="AK258" s="2278" t="s">
        <v>3688</v>
      </c>
      <c r="AL258" s="2259"/>
      <c r="AM258" s="2259"/>
      <c r="AN258" s="2259"/>
      <c r="AO258" s="2260"/>
      <c r="AP258" s="1908" t="s">
        <v>3699</v>
      </c>
      <c r="BC258" s="214"/>
      <c r="BD258" s="214"/>
      <c r="BE258" s="214"/>
      <c r="BF258" s="214"/>
    </row>
    <row r="259" spans="1:58" ht="45" hidden="1" customHeight="1">
      <c r="A259" s="808"/>
      <c r="B259" s="2280"/>
      <c r="C259" s="2281"/>
      <c r="D259" s="2282"/>
      <c r="E259" s="1909" t="s">
        <v>3682</v>
      </c>
      <c r="F259" s="1909" t="s">
        <v>3683</v>
      </c>
      <c r="G259" s="1909"/>
      <c r="H259" s="2283" t="s">
        <v>841</v>
      </c>
      <c r="I259" s="2281"/>
      <c r="J259" s="2282"/>
      <c r="K259" s="2283" t="s">
        <v>864</v>
      </c>
      <c r="L259" s="2282"/>
      <c r="M259" s="1909">
        <f>VLOOKUP(K259,'Estimate Details'!$R:$BR,20,FALSE)</f>
        <v>3850.166666666667</v>
      </c>
      <c r="N259" s="1909" t="e">
        <f>VLOOKUP(M259,#REF!,2,FALSE)</f>
        <v>#REF!</v>
      </c>
      <c r="O259" s="1909" t="s">
        <v>4365</v>
      </c>
      <c r="P259" s="2284" t="s">
        <v>4362</v>
      </c>
      <c r="Q259" s="2281"/>
      <c r="R259" s="2282"/>
      <c r="S259" s="1909" t="s">
        <v>3688</v>
      </c>
      <c r="T259" s="1909" t="s">
        <v>3689</v>
      </c>
      <c r="U259" s="1909" t="s">
        <v>3707</v>
      </c>
      <c r="V259" s="1909" t="s">
        <v>4131</v>
      </c>
      <c r="W259" s="1909" t="s">
        <v>3688</v>
      </c>
      <c r="X259" s="1909"/>
      <c r="Y259" s="1909"/>
      <c r="Z259" s="1909"/>
      <c r="AA259" s="1909" t="s">
        <v>3694</v>
      </c>
      <c r="AB259" s="1909" t="s">
        <v>3688</v>
      </c>
      <c r="AC259" s="1909" t="s">
        <v>3804</v>
      </c>
      <c r="AD259" s="2283" t="s">
        <v>3688</v>
      </c>
      <c r="AE259" s="2281"/>
      <c r="AF259" s="2282"/>
      <c r="AG259" s="2283" t="s">
        <v>3696</v>
      </c>
      <c r="AH259" s="2281"/>
      <c r="AI259" s="2282"/>
      <c r="AJ259" s="1909" t="s">
        <v>4364</v>
      </c>
      <c r="AK259" s="2283" t="s">
        <v>3688</v>
      </c>
      <c r="AL259" s="2281"/>
      <c r="AM259" s="2259"/>
      <c r="AN259" s="2281"/>
      <c r="AO259" s="2282"/>
      <c r="AP259" s="1909" t="s">
        <v>3699</v>
      </c>
      <c r="BC259" s="214"/>
      <c r="BD259" s="214"/>
      <c r="BE259" s="214"/>
      <c r="BF259" s="214"/>
    </row>
    <row r="260" spans="1:58" ht="45" hidden="1" customHeight="1">
      <c r="B260" s="2277"/>
      <c r="C260" s="2259"/>
      <c r="D260" s="2260"/>
      <c r="E260" s="1908" t="s">
        <v>3682</v>
      </c>
      <c r="F260" s="1908" t="s">
        <v>3683</v>
      </c>
      <c r="G260" s="1908"/>
      <c r="H260" s="2278" t="s">
        <v>841</v>
      </c>
      <c r="I260" s="2259"/>
      <c r="J260" s="2260"/>
      <c r="K260" s="2278" t="s">
        <v>4366</v>
      </c>
      <c r="L260" s="2260"/>
      <c r="M260" s="1908" t="e">
        <f>VLOOKUP(K260,'Estimate Details'!$R:$BR,20,FALSE)</f>
        <v>#N/A</v>
      </c>
      <c r="N260" s="1908" t="e">
        <f>VLOOKUP(M260,#REF!,2,FALSE)</f>
        <v>#N/A</v>
      </c>
      <c r="O260" s="1908" t="s">
        <v>4367</v>
      </c>
      <c r="P260" s="2278" t="s">
        <v>4130</v>
      </c>
      <c r="Q260" s="2259"/>
      <c r="R260" s="2260"/>
      <c r="S260" s="1908" t="s">
        <v>3688</v>
      </c>
      <c r="T260" s="1908" t="s">
        <v>3689</v>
      </c>
      <c r="U260" s="1908" t="s">
        <v>3707</v>
      </c>
      <c r="V260" s="1908" t="s">
        <v>4363</v>
      </c>
      <c r="W260" s="1908" t="s">
        <v>3688</v>
      </c>
      <c r="X260" s="1908"/>
      <c r="Y260" s="1908"/>
      <c r="Z260" s="1908"/>
      <c r="AA260" s="1908" t="s">
        <v>3694</v>
      </c>
      <c r="AB260" s="1908" t="s">
        <v>3688</v>
      </c>
      <c r="AC260" s="1908" t="s">
        <v>3804</v>
      </c>
      <c r="AD260" s="2278" t="s">
        <v>3688</v>
      </c>
      <c r="AE260" s="2259"/>
      <c r="AF260" s="2260"/>
      <c r="AG260" s="2278" t="s">
        <v>3696</v>
      </c>
      <c r="AH260" s="2259"/>
      <c r="AI260" s="2260"/>
      <c r="AJ260" s="1908" t="s">
        <v>4364</v>
      </c>
      <c r="AK260" s="2278" t="s">
        <v>3688</v>
      </c>
      <c r="AL260" s="2259"/>
      <c r="AM260" s="2259"/>
      <c r="AN260" s="2259"/>
      <c r="AO260" s="2260"/>
      <c r="AP260" s="1908" t="s">
        <v>3716</v>
      </c>
      <c r="BC260" s="214"/>
      <c r="BD260" s="214"/>
      <c r="BE260" s="214"/>
      <c r="BF260" s="214"/>
    </row>
    <row r="261" spans="1:58" ht="45" hidden="1" customHeight="1">
      <c r="A261" s="808"/>
      <c r="B261" s="2280"/>
      <c r="C261" s="2281"/>
      <c r="D261" s="2282"/>
      <c r="E261" s="1909" t="s">
        <v>3682</v>
      </c>
      <c r="F261" s="1909" t="s">
        <v>3683</v>
      </c>
      <c r="G261" s="1909"/>
      <c r="H261" s="2283" t="s">
        <v>841</v>
      </c>
      <c r="I261" s="2281"/>
      <c r="J261" s="2282"/>
      <c r="K261" s="2283" t="s">
        <v>4368</v>
      </c>
      <c r="L261" s="2282"/>
      <c r="M261" s="1909" t="e">
        <f>VLOOKUP(K261,'Estimate Details'!$R:$BR,20,FALSE)</f>
        <v>#N/A</v>
      </c>
      <c r="N261" s="1909" t="e">
        <f>VLOOKUP(M261,#REF!,2,FALSE)</f>
        <v>#N/A</v>
      </c>
      <c r="O261" s="1909" t="s">
        <v>4369</v>
      </c>
      <c r="P261" s="2284" t="s">
        <v>4130</v>
      </c>
      <c r="Q261" s="2281"/>
      <c r="R261" s="2282"/>
      <c r="S261" s="1909" t="s">
        <v>3688</v>
      </c>
      <c r="T261" s="1909" t="s">
        <v>3689</v>
      </c>
      <c r="U261" s="1909" t="s">
        <v>3707</v>
      </c>
      <c r="V261" s="1909" t="s">
        <v>4363</v>
      </c>
      <c r="W261" s="1909" t="s">
        <v>3688</v>
      </c>
      <c r="X261" s="1909"/>
      <c r="Y261" s="1909"/>
      <c r="Z261" s="1909"/>
      <c r="AA261" s="1909" t="s">
        <v>3694</v>
      </c>
      <c r="AB261" s="1909" t="s">
        <v>3688</v>
      </c>
      <c r="AC261" s="1909" t="s">
        <v>3804</v>
      </c>
      <c r="AD261" s="2283" t="s">
        <v>3688</v>
      </c>
      <c r="AE261" s="2281"/>
      <c r="AF261" s="2282"/>
      <c r="AG261" s="2283" t="s">
        <v>3696</v>
      </c>
      <c r="AH261" s="2281"/>
      <c r="AI261" s="2282"/>
      <c r="AJ261" s="1909" t="s">
        <v>4364</v>
      </c>
      <c r="AK261" s="2283" t="s">
        <v>3688</v>
      </c>
      <c r="AL261" s="2281"/>
      <c r="AM261" s="2259"/>
      <c r="AN261" s="2281"/>
      <c r="AO261" s="2282"/>
      <c r="AP261" s="1909" t="s">
        <v>3716</v>
      </c>
      <c r="BC261" s="214"/>
      <c r="BD261" s="214"/>
      <c r="BE261" s="214"/>
      <c r="BF261" s="214"/>
    </row>
    <row r="262" spans="1:58" ht="45" hidden="1" customHeight="1">
      <c r="B262" s="2277"/>
      <c r="C262" s="2259"/>
      <c r="D262" s="2260"/>
      <c r="E262" s="1908" t="s">
        <v>3682</v>
      </c>
      <c r="F262" s="1908" t="s">
        <v>3683</v>
      </c>
      <c r="G262" s="1908"/>
      <c r="H262" s="2278" t="s">
        <v>841</v>
      </c>
      <c r="I262" s="2259"/>
      <c r="J262" s="2260"/>
      <c r="K262" s="2278" t="s">
        <v>4370</v>
      </c>
      <c r="L262" s="2260"/>
      <c r="M262" s="1908" t="e">
        <f>VLOOKUP(K262,'Estimate Details'!$R:$BR,20,FALSE)</f>
        <v>#N/A</v>
      </c>
      <c r="N262" s="1908" t="e">
        <f>VLOOKUP(M262,#REF!,2,FALSE)</f>
        <v>#N/A</v>
      </c>
      <c r="O262" s="1908" t="s">
        <v>4371</v>
      </c>
      <c r="P262" s="2278" t="s">
        <v>4130</v>
      </c>
      <c r="Q262" s="2259"/>
      <c r="R262" s="2260"/>
      <c r="S262" s="1908" t="s">
        <v>3688</v>
      </c>
      <c r="T262" s="1908" t="s">
        <v>3689</v>
      </c>
      <c r="U262" s="1908" t="s">
        <v>3707</v>
      </c>
      <c r="V262" s="1908" t="s">
        <v>4363</v>
      </c>
      <c r="W262" s="1908" t="s">
        <v>3688</v>
      </c>
      <c r="X262" s="1908"/>
      <c r="Y262" s="1908"/>
      <c r="Z262" s="1908"/>
      <c r="AA262" s="1908" t="s">
        <v>3694</v>
      </c>
      <c r="AB262" s="1908" t="s">
        <v>3688</v>
      </c>
      <c r="AC262" s="1908" t="s">
        <v>3804</v>
      </c>
      <c r="AD262" s="2278" t="s">
        <v>3688</v>
      </c>
      <c r="AE262" s="2259"/>
      <c r="AF262" s="2260"/>
      <c r="AG262" s="2278" t="s">
        <v>3696</v>
      </c>
      <c r="AH262" s="2259"/>
      <c r="AI262" s="2260"/>
      <c r="AJ262" s="1908" t="s">
        <v>4364</v>
      </c>
      <c r="AK262" s="2278" t="s">
        <v>3688</v>
      </c>
      <c r="AL262" s="2259"/>
      <c r="AM262" s="2259"/>
      <c r="AN262" s="2259"/>
      <c r="AO262" s="2260"/>
      <c r="AP262" s="1908" t="s">
        <v>3716</v>
      </c>
      <c r="BC262" s="214"/>
      <c r="BD262" s="214"/>
      <c r="BE262" s="214"/>
      <c r="BF262" s="214"/>
    </row>
    <row r="263" spans="1:58" ht="45" hidden="1" customHeight="1">
      <c r="A263" s="808"/>
      <c r="B263" s="2280"/>
      <c r="C263" s="2281"/>
      <c r="D263" s="2282"/>
      <c r="E263" s="1909" t="s">
        <v>3682</v>
      </c>
      <c r="F263" s="1909" t="s">
        <v>3683</v>
      </c>
      <c r="G263" s="1909"/>
      <c r="H263" s="2283" t="s">
        <v>841</v>
      </c>
      <c r="I263" s="2281"/>
      <c r="J263" s="2282"/>
      <c r="K263" s="2283" t="s">
        <v>4372</v>
      </c>
      <c r="L263" s="2282"/>
      <c r="M263" s="1909" t="e">
        <f>VLOOKUP(K263,'Estimate Details'!$R:$BR,20,FALSE)</f>
        <v>#N/A</v>
      </c>
      <c r="N263" s="1909" t="e">
        <f>VLOOKUP(M263,#REF!,2,FALSE)</f>
        <v>#N/A</v>
      </c>
      <c r="O263" s="1909" t="s">
        <v>4373</v>
      </c>
      <c r="P263" s="2284" t="s">
        <v>4130</v>
      </c>
      <c r="Q263" s="2281"/>
      <c r="R263" s="2282"/>
      <c r="S263" s="1909" t="s">
        <v>3688</v>
      </c>
      <c r="T263" s="1909" t="s">
        <v>3689</v>
      </c>
      <c r="U263" s="1909" t="s">
        <v>3707</v>
      </c>
      <c r="V263" s="1909" t="s">
        <v>4363</v>
      </c>
      <c r="W263" s="1909" t="s">
        <v>3688</v>
      </c>
      <c r="X263" s="1909"/>
      <c r="Y263" s="1909"/>
      <c r="Z263" s="1909"/>
      <c r="AA263" s="1909" t="s">
        <v>3694</v>
      </c>
      <c r="AB263" s="1909" t="s">
        <v>3688</v>
      </c>
      <c r="AC263" s="1909" t="s">
        <v>3804</v>
      </c>
      <c r="AD263" s="2283" t="s">
        <v>3688</v>
      </c>
      <c r="AE263" s="2281"/>
      <c r="AF263" s="2282"/>
      <c r="AG263" s="2283" t="s">
        <v>3696</v>
      </c>
      <c r="AH263" s="2281"/>
      <c r="AI263" s="2282"/>
      <c r="AJ263" s="1909" t="s">
        <v>4364</v>
      </c>
      <c r="AK263" s="2283" t="s">
        <v>3688</v>
      </c>
      <c r="AL263" s="2281"/>
      <c r="AM263" s="2259"/>
      <c r="AN263" s="2281"/>
      <c r="AO263" s="2282"/>
      <c r="AP263" s="1909" t="s">
        <v>3716</v>
      </c>
      <c r="BC263" s="214"/>
      <c r="BD263" s="214"/>
      <c r="BE263" s="214"/>
      <c r="BF263" s="214"/>
    </row>
    <row r="264" spans="1:58" ht="45" hidden="1" customHeight="1">
      <c r="B264" s="2277"/>
      <c r="C264" s="2259"/>
      <c r="D264" s="2260"/>
      <c r="E264" s="1908" t="s">
        <v>3682</v>
      </c>
      <c r="F264" s="1908" t="s">
        <v>3683</v>
      </c>
      <c r="G264" s="1908"/>
      <c r="H264" s="2278" t="s">
        <v>841</v>
      </c>
      <c r="I264" s="2259"/>
      <c r="J264" s="2260"/>
      <c r="K264" s="2278" t="s">
        <v>4374</v>
      </c>
      <c r="L264" s="2260"/>
      <c r="M264" s="1908" t="e">
        <f>VLOOKUP(K264,'Estimate Details'!$R:$BR,20,FALSE)</f>
        <v>#N/A</v>
      </c>
      <c r="N264" s="1908" t="e">
        <f>VLOOKUP(M264,#REF!,2,FALSE)</f>
        <v>#N/A</v>
      </c>
      <c r="O264" s="1908" t="s">
        <v>4375</v>
      </c>
      <c r="P264" s="2278" t="s">
        <v>4130</v>
      </c>
      <c r="Q264" s="2259"/>
      <c r="R264" s="2260"/>
      <c r="S264" s="1908" t="s">
        <v>3688</v>
      </c>
      <c r="T264" s="1908" t="s">
        <v>3689</v>
      </c>
      <c r="U264" s="1908" t="s">
        <v>3707</v>
      </c>
      <c r="V264" s="1908" t="s">
        <v>4363</v>
      </c>
      <c r="W264" s="1908" t="s">
        <v>3688</v>
      </c>
      <c r="X264" s="1908"/>
      <c r="Y264" s="1908"/>
      <c r="Z264" s="1908"/>
      <c r="AA264" s="1908" t="s">
        <v>3694</v>
      </c>
      <c r="AB264" s="1908" t="s">
        <v>3688</v>
      </c>
      <c r="AC264" s="1908" t="s">
        <v>3804</v>
      </c>
      <c r="AD264" s="2278" t="s">
        <v>3688</v>
      </c>
      <c r="AE264" s="2259"/>
      <c r="AF264" s="2260"/>
      <c r="AG264" s="2278" t="s">
        <v>3696</v>
      </c>
      <c r="AH264" s="2259"/>
      <c r="AI264" s="2260"/>
      <c r="AJ264" s="1908" t="s">
        <v>4364</v>
      </c>
      <c r="AK264" s="2278" t="s">
        <v>3688</v>
      </c>
      <c r="AL264" s="2259"/>
      <c r="AM264" s="2259"/>
      <c r="AN264" s="2259"/>
      <c r="AO264" s="2260"/>
      <c r="AP264" s="1908" t="s">
        <v>3716</v>
      </c>
      <c r="BC264" s="214"/>
      <c r="BD264" s="214"/>
      <c r="BE264" s="214"/>
      <c r="BF264" s="214"/>
    </row>
    <row r="265" spans="1:58" ht="45" hidden="1" customHeight="1">
      <c r="A265" s="808"/>
      <c r="B265" s="2280"/>
      <c r="C265" s="2281"/>
      <c r="D265" s="2282"/>
      <c r="E265" s="1909" t="s">
        <v>3682</v>
      </c>
      <c r="F265" s="1909" t="s">
        <v>3683</v>
      </c>
      <c r="G265" s="1909"/>
      <c r="H265" s="2283" t="s">
        <v>841</v>
      </c>
      <c r="I265" s="2281"/>
      <c r="J265" s="2282"/>
      <c r="K265" s="2283" t="s">
        <v>4376</v>
      </c>
      <c r="L265" s="2282"/>
      <c r="M265" s="1909" t="e">
        <f>VLOOKUP(K265,'Estimate Details'!$R:$BR,20,FALSE)</f>
        <v>#N/A</v>
      </c>
      <c r="N265" s="1909" t="e">
        <f>VLOOKUP(M265,#REF!,2,FALSE)</f>
        <v>#N/A</v>
      </c>
      <c r="O265" s="1909" t="s">
        <v>4377</v>
      </c>
      <c r="P265" s="2284" t="s">
        <v>4130</v>
      </c>
      <c r="Q265" s="2281"/>
      <c r="R265" s="2282"/>
      <c r="S265" s="1909" t="s">
        <v>3688</v>
      </c>
      <c r="T265" s="1909" t="s">
        <v>3689</v>
      </c>
      <c r="U265" s="1909" t="s">
        <v>3707</v>
      </c>
      <c r="V265" s="1909" t="s">
        <v>4363</v>
      </c>
      <c r="W265" s="1909" t="s">
        <v>3688</v>
      </c>
      <c r="X265" s="1909"/>
      <c r="Y265" s="1909"/>
      <c r="Z265" s="1909"/>
      <c r="AA265" s="1909" t="s">
        <v>3694</v>
      </c>
      <c r="AB265" s="1909" t="s">
        <v>3688</v>
      </c>
      <c r="AC265" s="1909" t="s">
        <v>3804</v>
      </c>
      <c r="AD265" s="2283" t="s">
        <v>3688</v>
      </c>
      <c r="AE265" s="2281"/>
      <c r="AF265" s="2282"/>
      <c r="AG265" s="2283" t="s">
        <v>3696</v>
      </c>
      <c r="AH265" s="2281"/>
      <c r="AI265" s="2282"/>
      <c r="AJ265" s="1909" t="s">
        <v>4364</v>
      </c>
      <c r="AK265" s="2283" t="s">
        <v>3688</v>
      </c>
      <c r="AL265" s="2281"/>
      <c r="AM265" s="2259"/>
      <c r="AN265" s="2281"/>
      <c r="AO265" s="2282"/>
      <c r="AP265" s="1909" t="s">
        <v>3716</v>
      </c>
      <c r="BC265" s="214"/>
      <c r="BD265" s="214"/>
      <c r="BE265" s="214"/>
      <c r="BF265" s="214"/>
    </row>
    <row r="266" spans="1:58" ht="45" hidden="1" customHeight="1">
      <c r="B266" s="2277"/>
      <c r="C266" s="2259"/>
      <c r="D266" s="2260"/>
      <c r="E266" s="1908" t="s">
        <v>3682</v>
      </c>
      <c r="F266" s="1908" t="s">
        <v>3683</v>
      </c>
      <c r="G266" s="1908"/>
      <c r="H266" s="2278" t="s">
        <v>841</v>
      </c>
      <c r="I266" s="2259"/>
      <c r="J266" s="2260"/>
      <c r="K266" s="2278" t="s">
        <v>847</v>
      </c>
      <c r="L266" s="2260"/>
      <c r="M266" s="1908">
        <f>VLOOKUP(K266,'Estimate Details'!$R:$BR,20,FALSE)</f>
        <v>154284.60200000001</v>
      </c>
      <c r="N266" s="1908" t="e">
        <f>VLOOKUP(M266,#REF!,2,FALSE)</f>
        <v>#REF!</v>
      </c>
      <c r="O266" s="1908" t="s">
        <v>4378</v>
      </c>
      <c r="P266" s="2278" t="s">
        <v>4180</v>
      </c>
      <c r="Q266" s="2259"/>
      <c r="R266" s="2260"/>
      <c r="S266" s="1908" t="s">
        <v>3688</v>
      </c>
      <c r="T266" s="1908" t="s">
        <v>3689</v>
      </c>
      <c r="U266" s="1908" t="s">
        <v>3707</v>
      </c>
      <c r="V266" s="1908" t="s">
        <v>4363</v>
      </c>
      <c r="W266" s="1908" t="s">
        <v>3688</v>
      </c>
      <c r="X266" s="1908" t="s">
        <v>4379</v>
      </c>
      <c r="Y266" s="1908"/>
      <c r="Z266" s="1908"/>
      <c r="AA266" s="1908" t="s">
        <v>3957</v>
      </c>
      <c r="AB266" s="1908" t="s">
        <v>4380</v>
      </c>
      <c r="AC266" s="1908" t="s">
        <v>3696</v>
      </c>
      <c r="AD266" s="2278" t="s">
        <v>3688</v>
      </c>
      <c r="AE266" s="2259"/>
      <c r="AF266" s="2260"/>
      <c r="AG266" s="2278" t="s">
        <v>3696</v>
      </c>
      <c r="AH266" s="2259"/>
      <c r="AI266" s="2260"/>
      <c r="AJ266" s="1908" t="s">
        <v>4364</v>
      </c>
      <c r="AK266" s="2278" t="s">
        <v>3688</v>
      </c>
      <c r="AL266" s="2259"/>
      <c r="AM266" s="2259"/>
      <c r="AN266" s="2259"/>
      <c r="AO266" s="2260"/>
      <c r="AP266" s="1908" t="s">
        <v>3699</v>
      </c>
      <c r="BC266" s="214"/>
      <c r="BD266" s="214"/>
      <c r="BE266" s="214"/>
      <c r="BF266" s="214"/>
    </row>
    <row r="267" spans="1:58" ht="45" hidden="1" customHeight="1">
      <c r="A267" s="808"/>
      <c r="B267" s="2280"/>
      <c r="C267" s="2281"/>
      <c r="D267" s="2282"/>
      <c r="E267" s="1909" t="s">
        <v>3682</v>
      </c>
      <c r="F267" s="1909" t="s">
        <v>3683</v>
      </c>
      <c r="G267" s="1909"/>
      <c r="H267" s="2283" t="s">
        <v>841</v>
      </c>
      <c r="I267" s="2281"/>
      <c r="J267" s="2282"/>
      <c r="K267" s="2283" t="s">
        <v>849</v>
      </c>
      <c r="L267" s="2282"/>
      <c r="M267" s="1909">
        <f>VLOOKUP(K267,'Estimate Details'!$R:$BR,20,FALSE)</f>
        <v>154284.60200000001</v>
      </c>
      <c r="N267" s="1909" t="e">
        <f>VLOOKUP(M267,#REF!,2,FALSE)</f>
        <v>#REF!</v>
      </c>
      <c r="O267" s="1909" t="s">
        <v>4378</v>
      </c>
      <c r="P267" s="2284" t="s">
        <v>4180</v>
      </c>
      <c r="Q267" s="2281"/>
      <c r="R267" s="2282"/>
      <c r="S267" s="1909" t="s">
        <v>3688</v>
      </c>
      <c r="T267" s="1909" t="s">
        <v>3689</v>
      </c>
      <c r="U267" s="1909" t="s">
        <v>3707</v>
      </c>
      <c r="V267" s="1909" t="s">
        <v>4363</v>
      </c>
      <c r="W267" s="1909" t="s">
        <v>3688</v>
      </c>
      <c r="X267" s="1909" t="s">
        <v>4379</v>
      </c>
      <c r="Y267" s="1909"/>
      <c r="Z267" s="1909"/>
      <c r="AA267" s="1909" t="s">
        <v>3957</v>
      </c>
      <c r="AB267" s="1909" t="s">
        <v>4380</v>
      </c>
      <c r="AC267" s="1909" t="s">
        <v>3696</v>
      </c>
      <c r="AD267" s="2283" t="s">
        <v>3688</v>
      </c>
      <c r="AE267" s="2281"/>
      <c r="AF267" s="2282"/>
      <c r="AG267" s="2283" t="s">
        <v>3696</v>
      </c>
      <c r="AH267" s="2281"/>
      <c r="AI267" s="2282"/>
      <c r="AJ267" s="1909" t="s">
        <v>4364</v>
      </c>
      <c r="AK267" s="2283" t="s">
        <v>3688</v>
      </c>
      <c r="AL267" s="2281"/>
      <c r="AM267" s="2259"/>
      <c r="AN267" s="2281"/>
      <c r="AO267" s="2282"/>
      <c r="AP267" s="1909" t="s">
        <v>3699</v>
      </c>
      <c r="BC267" s="214"/>
      <c r="BD267" s="214"/>
      <c r="BE267" s="214"/>
      <c r="BF267" s="214"/>
    </row>
    <row r="268" spans="1:58" ht="45" hidden="1" customHeight="1">
      <c r="B268" s="2277"/>
      <c r="C268" s="2259"/>
      <c r="D268" s="2260"/>
      <c r="E268" s="1908" t="s">
        <v>3682</v>
      </c>
      <c r="F268" s="1908" t="s">
        <v>3683</v>
      </c>
      <c r="G268" s="1908"/>
      <c r="H268" s="2278" t="s">
        <v>841</v>
      </c>
      <c r="I268" s="2259"/>
      <c r="J268" s="2260"/>
      <c r="K268" s="2278" t="s">
        <v>851</v>
      </c>
      <c r="L268" s="2260"/>
      <c r="M268" s="1908">
        <f>VLOOKUP(K268,'Estimate Details'!$R:$BR,20,FALSE)</f>
        <v>154284.60200000001</v>
      </c>
      <c r="N268" s="1908" t="e">
        <f>VLOOKUP(M268,#REF!,2,FALSE)</f>
        <v>#REF!</v>
      </c>
      <c r="O268" s="1908" t="s">
        <v>4378</v>
      </c>
      <c r="P268" s="2278" t="s">
        <v>4180</v>
      </c>
      <c r="Q268" s="2259"/>
      <c r="R268" s="2260"/>
      <c r="S268" s="1908" t="s">
        <v>3688</v>
      </c>
      <c r="T268" s="1908" t="s">
        <v>3689</v>
      </c>
      <c r="U268" s="1908" t="s">
        <v>3707</v>
      </c>
      <c r="V268" s="1908" t="s">
        <v>4363</v>
      </c>
      <c r="W268" s="1908" t="s">
        <v>3688</v>
      </c>
      <c r="X268" s="1908" t="s">
        <v>4379</v>
      </c>
      <c r="Y268" s="1908"/>
      <c r="Z268" s="1908"/>
      <c r="AA268" s="1908" t="s">
        <v>3957</v>
      </c>
      <c r="AB268" s="1908" t="s">
        <v>4380</v>
      </c>
      <c r="AC268" s="1908" t="s">
        <v>3696</v>
      </c>
      <c r="AD268" s="2278" t="s">
        <v>3688</v>
      </c>
      <c r="AE268" s="2259"/>
      <c r="AF268" s="2260"/>
      <c r="AG268" s="2278" t="s">
        <v>3696</v>
      </c>
      <c r="AH268" s="2259"/>
      <c r="AI268" s="2260"/>
      <c r="AJ268" s="1908" t="s">
        <v>4364</v>
      </c>
      <c r="AK268" s="2278" t="s">
        <v>3688</v>
      </c>
      <c r="AL268" s="2259"/>
      <c r="AM268" s="2259"/>
      <c r="AN268" s="2259"/>
      <c r="AO268" s="2260"/>
      <c r="AP268" s="1908" t="s">
        <v>3699</v>
      </c>
      <c r="BC268" s="214"/>
      <c r="BD268" s="214"/>
      <c r="BE268" s="214"/>
      <c r="BF268" s="214"/>
    </row>
    <row r="269" spans="1:58" ht="45" hidden="1" customHeight="1">
      <c r="A269" s="808"/>
      <c r="B269" s="2280"/>
      <c r="C269" s="2281"/>
      <c r="D269" s="2282"/>
      <c r="E269" s="1909" t="s">
        <v>3682</v>
      </c>
      <c r="F269" s="1909" t="s">
        <v>3683</v>
      </c>
      <c r="G269" s="1909"/>
      <c r="H269" s="2283" t="s">
        <v>841</v>
      </c>
      <c r="I269" s="2281"/>
      <c r="J269" s="2282"/>
      <c r="K269" s="2283" t="s">
        <v>853</v>
      </c>
      <c r="L269" s="2282"/>
      <c r="M269" s="1909">
        <f>VLOOKUP(K269,'Estimate Details'!$R:$BR,20,FALSE)</f>
        <v>154284.60200000001</v>
      </c>
      <c r="N269" s="1909" t="e">
        <f>VLOOKUP(M269,#REF!,2,FALSE)</f>
        <v>#REF!</v>
      </c>
      <c r="O269" s="1909" t="s">
        <v>4378</v>
      </c>
      <c r="P269" s="2284" t="s">
        <v>4180</v>
      </c>
      <c r="Q269" s="2281"/>
      <c r="R269" s="2282"/>
      <c r="S269" s="1909" t="s">
        <v>3688</v>
      </c>
      <c r="T269" s="1909" t="s">
        <v>3689</v>
      </c>
      <c r="U269" s="1909" t="s">
        <v>3707</v>
      </c>
      <c r="V269" s="1909" t="s">
        <v>4363</v>
      </c>
      <c r="W269" s="1909" t="s">
        <v>3688</v>
      </c>
      <c r="X269" s="1909" t="s">
        <v>4379</v>
      </c>
      <c r="Y269" s="1909"/>
      <c r="Z269" s="1909"/>
      <c r="AA269" s="1909" t="s">
        <v>3957</v>
      </c>
      <c r="AB269" s="1909" t="s">
        <v>4380</v>
      </c>
      <c r="AC269" s="1909" t="s">
        <v>3696</v>
      </c>
      <c r="AD269" s="2283" t="s">
        <v>3688</v>
      </c>
      <c r="AE269" s="2281"/>
      <c r="AF269" s="2282"/>
      <c r="AG269" s="2283" t="s">
        <v>3696</v>
      </c>
      <c r="AH269" s="2281"/>
      <c r="AI269" s="2282"/>
      <c r="AJ269" s="1909" t="s">
        <v>4364</v>
      </c>
      <c r="AK269" s="2283" t="s">
        <v>3688</v>
      </c>
      <c r="AL269" s="2281"/>
      <c r="AM269" s="2259"/>
      <c r="AN269" s="2281"/>
      <c r="AO269" s="2282"/>
      <c r="AP269" s="1909" t="s">
        <v>3699</v>
      </c>
      <c r="BC269" s="214"/>
      <c r="BD269" s="214"/>
      <c r="BE269" s="214"/>
      <c r="BF269" s="214"/>
    </row>
    <row r="270" spans="1:58" ht="45" hidden="1" customHeight="1">
      <c r="B270" s="2277"/>
      <c r="C270" s="2259"/>
      <c r="D270" s="2260"/>
      <c r="E270" s="1908" t="s">
        <v>3682</v>
      </c>
      <c r="F270" s="1908" t="s">
        <v>3683</v>
      </c>
      <c r="G270" s="1908"/>
      <c r="H270" s="2278" t="s">
        <v>841</v>
      </c>
      <c r="I270" s="2259"/>
      <c r="J270" s="2260"/>
      <c r="K270" s="2278" t="s">
        <v>858</v>
      </c>
      <c r="L270" s="2260"/>
      <c r="M270" s="1908">
        <f>VLOOKUP(K270,'Estimate Details'!$R:$BR,20,FALSE)</f>
        <v>95690.073999999993</v>
      </c>
      <c r="N270" s="1908" t="e">
        <f>VLOOKUP(M270,#REF!,2,FALSE)</f>
        <v>#REF!</v>
      </c>
      <c r="O270" s="1908" t="s">
        <v>4378</v>
      </c>
      <c r="P270" s="2278" t="s">
        <v>4180</v>
      </c>
      <c r="Q270" s="2259"/>
      <c r="R270" s="2260"/>
      <c r="S270" s="1908" t="s">
        <v>3688</v>
      </c>
      <c r="T270" s="1908" t="s">
        <v>3689</v>
      </c>
      <c r="U270" s="1908" t="s">
        <v>3707</v>
      </c>
      <c r="V270" s="1908" t="s">
        <v>4363</v>
      </c>
      <c r="W270" s="1908" t="s">
        <v>3688</v>
      </c>
      <c r="X270" s="1908" t="s">
        <v>4381</v>
      </c>
      <c r="Y270" s="1908"/>
      <c r="Z270" s="1908"/>
      <c r="AA270" s="1908" t="s">
        <v>3957</v>
      </c>
      <c r="AB270" s="1908" t="s">
        <v>4382</v>
      </c>
      <c r="AC270" s="1908" t="s">
        <v>3696</v>
      </c>
      <c r="AD270" s="2278" t="s">
        <v>3688</v>
      </c>
      <c r="AE270" s="2259"/>
      <c r="AF270" s="2260"/>
      <c r="AG270" s="2278" t="s">
        <v>3696</v>
      </c>
      <c r="AH270" s="2259"/>
      <c r="AI270" s="2260"/>
      <c r="AJ270" s="1908" t="s">
        <v>4364</v>
      </c>
      <c r="AK270" s="2278" t="s">
        <v>3688</v>
      </c>
      <c r="AL270" s="2259"/>
      <c r="AM270" s="2259"/>
      <c r="AN270" s="2259"/>
      <c r="AO270" s="2260"/>
      <c r="AP270" s="1908" t="s">
        <v>3688</v>
      </c>
      <c r="BC270" s="214"/>
      <c r="BD270" s="214"/>
      <c r="BE270" s="214"/>
      <c r="BF270" s="214"/>
    </row>
    <row r="271" spans="1:58" ht="45" hidden="1" customHeight="1">
      <c r="A271" s="808"/>
      <c r="B271" s="2280"/>
      <c r="C271" s="2281"/>
      <c r="D271" s="2282"/>
      <c r="E271" s="1909" t="s">
        <v>3682</v>
      </c>
      <c r="F271" s="1909" t="s">
        <v>3683</v>
      </c>
      <c r="G271" s="1909"/>
      <c r="H271" s="2283" t="s">
        <v>841</v>
      </c>
      <c r="I271" s="2281"/>
      <c r="J271" s="2282"/>
      <c r="K271" s="2283" t="s">
        <v>860</v>
      </c>
      <c r="L271" s="2282"/>
      <c r="M271" s="1909">
        <f>VLOOKUP(K271,'Estimate Details'!$R:$BR,20,FALSE)</f>
        <v>95690.073999999993</v>
      </c>
      <c r="N271" s="1909" t="e">
        <f>VLOOKUP(M271,#REF!,2,FALSE)</f>
        <v>#REF!</v>
      </c>
      <c r="O271" s="1909" t="s">
        <v>4378</v>
      </c>
      <c r="P271" s="2284" t="s">
        <v>4180</v>
      </c>
      <c r="Q271" s="2281"/>
      <c r="R271" s="2282"/>
      <c r="S271" s="1909" t="s">
        <v>3688</v>
      </c>
      <c r="T271" s="1909" t="s">
        <v>4383</v>
      </c>
      <c r="U271" s="1909" t="s">
        <v>4383</v>
      </c>
      <c r="V271" s="1909" t="s">
        <v>4363</v>
      </c>
      <c r="W271" s="1909" t="s">
        <v>3688</v>
      </c>
      <c r="X271" s="1909" t="s">
        <v>4381</v>
      </c>
      <c r="Y271" s="1909"/>
      <c r="Z271" s="1909"/>
      <c r="AA271" s="1909" t="s">
        <v>3957</v>
      </c>
      <c r="AB271" s="1909" t="s">
        <v>4382</v>
      </c>
      <c r="AC271" s="1909" t="s">
        <v>3696</v>
      </c>
      <c r="AD271" s="2283" t="s">
        <v>3688</v>
      </c>
      <c r="AE271" s="2281"/>
      <c r="AF271" s="2282"/>
      <c r="AG271" s="2283" t="s">
        <v>3696</v>
      </c>
      <c r="AH271" s="2281"/>
      <c r="AI271" s="2282"/>
      <c r="AJ271" s="1909" t="s">
        <v>4364</v>
      </c>
      <c r="AK271" s="2283" t="s">
        <v>3688</v>
      </c>
      <c r="AL271" s="2281"/>
      <c r="AM271" s="2259"/>
      <c r="AN271" s="2281"/>
      <c r="AO271" s="2282"/>
      <c r="AP271" s="1909" t="s">
        <v>3688</v>
      </c>
      <c r="BC271" s="214"/>
      <c r="BD271" s="214"/>
      <c r="BE271" s="214"/>
      <c r="BF271" s="214"/>
    </row>
    <row r="272" spans="1:58" ht="45" hidden="1" customHeight="1">
      <c r="B272" s="2277"/>
      <c r="C272" s="2259"/>
      <c r="D272" s="2260"/>
      <c r="E272" s="1908" t="s">
        <v>3682</v>
      </c>
      <c r="F272" s="1908" t="s">
        <v>3683</v>
      </c>
      <c r="G272" s="1908"/>
      <c r="H272" s="2278" t="s">
        <v>879</v>
      </c>
      <c r="I272" s="2259"/>
      <c r="J272" s="2260"/>
      <c r="K272" s="2278" t="s">
        <v>895</v>
      </c>
      <c r="L272" s="2260"/>
      <c r="M272" s="1908">
        <f>VLOOKUP(K272,'Estimate Details'!$R:$BR,20,FALSE)</f>
        <v>1925.0833333333335</v>
      </c>
      <c r="N272" s="1908" t="e">
        <f>VLOOKUP(M272,#REF!,2,FALSE)</f>
        <v>#REF!</v>
      </c>
      <c r="O272" s="1908" t="s">
        <v>4384</v>
      </c>
      <c r="P272" s="2278" t="s">
        <v>4362</v>
      </c>
      <c r="Q272" s="2259"/>
      <c r="R272" s="2260"/>
      <c r="S272" s="1908" t="s">
        <v>3688</v>
      </c>
      <c r="T272" s="1908" t="s">
        <v>3689</v>
      </c>
      <c r="U272" s="1908" t="s">
        <v>3707</v>
      </c>
      <c r="V272" s="1908" t="s">
        <v>4363</v>
      </c>
      <c r="W272" s="1908" t="s">
        <v>3688</v>
      </c>
      <c r="X272" s="1908"/>
      <c r="Y272" s="1908"/>
      <c r="Z272" s="1908"/>
      <c r="AA272" s="1908" t="s">
        <v>3694</v>
      </c>
      <c r="AB272" s="1908" t="s">
        <v>3688</v>
      </c>
      <c r="AC272" s="1908" t="s">
        <v>3804</v>
      </c>
      <c r="AD272" s="2278" t="s">
        <v>3688</v>
      </c>
      <c r="AE272" s="2259"/>
      <c r="AF272" s="2260"/>
      <c r="AG272" s="2278" t="s">
        <v>3696</v>
      </c>
      <c r="AH272" s="2259"/>
      <c r="AI272" s="2260"/>
      <c r="AJ272" s="1908" t="s">
        <v>4364</v>
      </c>
      <c r="AK272" s="2278" t="s">
        <v>3688</v>
      </c>
      <c r="AL272" s="2259"/>
      <c r="AM272" s="2259"/>
      <c r="AN272" s="2259"/>
      <c r="AO272" s="2260"/>
      <c r="AP272" s="1908" t="s">
        <v>3699</v>
      </c>
      <c r="BC272" s="214"/>
      <c r="BD272" s="214"/>
      <c r="BE272" s="214"/>
      <c r="BF272" s="214"/>
    </row>
    <row r="273" spans="1:58" ht="45" hidden="1" customHeight="1">
      <c r="A273" s="808"/>
      <c r="B273" s="2280"/>
      <c r="C273" s="2281"/>
      <c r="D273" s="2282"/>
      <c r="E273" s="1909" t="s">
        <v>3682</v>
      </c>
      <c r="F273" s="1909" t="s">
        <v>3683</v>
      </c>
      <c r="G273" s="1909"/>
      <c r="H273" s="2283" t="s">
        <v>879</v>
      </c>
      <c r="I273" s="2281"/>
      <c r="J273" s="2282"/>
      <c r="K273" s="2283" t="s">
        <v>4385</v>
      </c>
      <c r="L273" s="2282"/>
      <c r="M273" s="1909" t="e">
        <f>VLOOKUP(K273,'Estimate Details'!$R:$BR,20,FALSE)</f>
        <v>#N/A</v>
      </c>
      <c r="N273" s="1909" t="e">
        <f>VLOOKUP(M273,#REF!,2,FALSE)</f>
        <v>#N/A</v>
      </c>
      <c r="O273" s="1909" t="s">
        <v>4386</v>
      </c>
      <c r="P273" s="2284" t="s">
        <v>4387</v>
      </c>
      <c r="Q273" s="2281"/>
      <c r="R273" s="2282"/>
      <c r="S273" s="1909" t="s">
        <v>3688</v>
      </c>
      <c r="T273" s="1909" t="s">
        <v>3689</v>
      </c>
      <c r="U273" s="1909" t="s">
        <v>3707</v>
      </c>
      <c r="V273" s="1909" t="s">
        <v>4363</v>
      </c>
      <c r="W273" s="1909" t="s">
        <v>3688</v>
      </c>
      <c r="X273" s="1909"/>
      <c r="Y273" s="1909"/>
      <c r="Z273" s="1909"/>
      <c r="AA273" s="1909" t="s">
        <v>3694</v>
      </c>
      <c r="AB273" s="1909" t="s">
        <v>3688</v>
      </c>
      <c r="AC273" s="1909" t="s">
        <v>3696</v>
      </c>
      <c r="AD273" s="2283" t="s">
        <v>3688</v>
      </c>
      <c r="AE273" s="2281"/>
      <c r="AF273" s="2282"/>
      <c r="AG273" s="2283" t="s">
        <v>3696</v>
      </c>
      <c r="AH273" s="2281"/>
      <c r="AI273" s="2282"/>
      <c r="AJ273" s="1909" t="s">
        <v>4364</v>
      </c>
      <c r="AK273" s="2283" t="s">
        <v>3688</v>
      </c>
      <c r="AL273" s="2281"/>
      <c r="AM273" s="2259"/>
      <c r="AN273" s="2281"/>
      <c r="AO273" s="2282"/>
      <c r="AP273" s="1909" t="s">
        <v>3716</v>
      </c>
      <c r="BC273" s="214"/>
      <c r="BD273" s="214"/>
      <c r="BE273" s="214"/>
      <c r="BF273" s="214"/>
    </row>
    <row r="274" spans="1:58" ht="45" hidden="1" customHeight="1">
      <c r="B274" s="2277"/>
      <c r="C274" s="2259"/>
      <c r="D274" s="2260"/>
      <c r="E274" s="1908" t="s">
        <v>3682</v>
      </c>
      <c r="F274" s="1908" t="s">
        <v>3683</v>
      </c>
      <c r="G274" s="1908"/>
      <c r="H274" s="2278" t="s">
        <v>879</v>
      </c>
      <c r="I274" s="2259"/>
      <c r="J274" s="2260"/>
      <c r="K274" s="2278" t="s">
        <v>4388</v>
      </c>
      <c r="L274" s="2260"/>
      <c r="M274" s="1908" t="e">
        <f>VLOOKUP(K274,'Estimate Details'!$R:$BR,20,FALSE)</f>
        <v>#N/A</v>
      </c>
      <c r="N274" s="1908" t="e">
        <f>VLOOKUP(M274,#REF!,2,FALSE)</f>
        <v>#N/A</v>
      </c>
      <c r="O274" s="1908" t="s">
        <v>4386</v>
      </c>
      <c r="P274" s="2278" t="s">
        <v>4387</v>
      </c>
      <c r="Q274" s="2259"/>
      <c r="R274" s="2260"/>
      <c r="S274" s="1908" t="s">
        <v>3688</v>
      </c>
      <c r="T274" s="1908" t="s">
        <v>3689</v>
      </c>
      <c r="U274" s="1908" t="s">
        <v>3707</v>
      </c>
      <c r="V274" s="1908" t="s">
        <v>4363</v>
      </c>
      <c r="W274" s="1908" t="s">
        <v>3688</v>
      </c>
      <c r="X274" s="1908"/>
      <c r="Y274" s="1908"/>
      <c r="Z274" s="1908"/>
      <c r="AA274" s="1908" t="s">
        <v>3694</v>
      </c>
      <c r="AB274" s="1908" t="s">
        <v>3688</v>
      </c>
      <c r="AC274" s="1908" t="s">
        <v>3696</v>
      </c>
      <c r="AD274" s="2278" t="s">
        <v>3688</v>
      </c>
      <c r="AE274" s="2259"/>
      <c r="AF274" s="2260"/>
      <c r="AG274" s="2278" t="s">
        <v>3696</v>
      </c>
      <c r="AH274" s="2259"/>
      <c r="AI274" s="2260"/>
      <c r="AJ274" s="1908" t="s">
        <v>4364</v>
      </c>
      <c r="AK274" s="2278" t="s">
        <v>3688</v>
      </c>
      <c r="AL274" s="2259"/>
      <c r="AM274" s="2259"/>
      <c r="AN274" s="2259"/>
      <c r="AO274" s="2260"/>
      <c r="AP274" s="1908" t="s">
        <v>3716</v>
      </c>
      <c r="BC274" s="214"/>
      <c r="BD274" s="214"/>
      <c r="BE274" s="214"/>
      <c r="BF274" s="214"/>
    </row>
    <row r="275" spans="1:58" ht="45" hidden="1" customHeight="1">
      <c r="A275" s="808"/>
      <c r="B275" s="2280"/>
      <c r="C275" s="2281"/>
      <c r="D275" s="2282"/>
      <c r="E275" s="1909" t="s">
        <v>3682</v>
      </c>
      <c r="F275" s="1909" t="s">
        <v>3683</v>
      </c>
      <c r="G275" s="1909"/>
      <c r="H275" s="2283" t="s">
        <v>879</v>
      </c>
      <c r="I275" s="2281"/>
      <c r="J275" s="2282"/>
      <c r="K275" s="2283" t="s">
        <v>4389</v>
      </c>
      <c r="L275" s="2282"/>
      <c r="M275" s="1909" t="e">
        <f>VLOOKUP(K275,'Estimate Details'!$R:$BR,20,FALSE)</f>
        <v>#N/A</v>
      </c>
      <c r="N275" s="1909" t="e">
        <f>VLOOKUP(M275,#REF!,2,FALSE)</f>
        <v>#N/A</v>
      </c>
      <c r="O275" s="1909" t="s">
        <v>4390</v>
      </c>
      <c r="P275" s="2284" t="s">
        <v>4130</v>
      </c>
      <c r="Q275" s="2281"/>
      <c r="R275" s="2282"/>
      <c r="S275" s="1909" t="s">
        <v>3688</v>
      </c>
      <c r="T275" s="1909" t="s">
        <v>3689</v>
      </c>
      <c r="U275" s="1909" t="s">
        <v>3707</v>
      </c>
      <c r="V275" s="1909" t="s">
        <v>4363</v>
      </c>
      <c r="W275" s="1909" t="s">
        <v>3688</v>
      </c>
      <c r="X275" s="1909"/>
      <c r="Y275" s="1909"/>
      <c r="Z275" s="1909"/>
      <c r="AA275" s="1909" t="s">
        <v>3694</v>
      </c>
      <c r="AB275" s="1909" t="s">
        <v>3688</v>
      </c>
      <c r="AC275" s="1909" t="s">
        <v>3804</v>
      </c>
      <c r="AD275" s="2283" t="s">
        <v>3688</v>
      </c>
      <c r="AE275" s="2281"/>
      <c r="AF275" s="2282"/>
      <c r="AG275" s="2283" t="s">
        <v>3696</v>
      </c>
      <c r="AH275" s="2281"/>
      <c r="AI275" s="2282"/>
      <c r="AJ275" s="1909" t="s">
        <v>4364</v>
      </c>
      <c r="AK275" s="2283" t="s">
        <v>3688</v>
      </c>
      <c r="AL275" s="2281"/>
      <c r="AM275" s="2259"/>
      <c r="AN275" s="2281"/>
      <c r="AO275" s="2282"/>
      <c r="AP275" s="1909" t="s">
        <v>3716</v>
      </c>
      <c r="BC275" s="214"/>
      <c r="BD275" s="214"/>
      <c r="BE275" s="214"/>
      <c r="BF275" s="214"/>
    </row>
    <row r="276" spans="1:58" ht="45" hidden="1" customHeight="1">
      <c r="B276" s="2277"/>
      <c r="C276" s="2259"/>
      <c r="D276" s="2260"/>
      <c r="E276" s="1908" t="s">
        <v>3682</v>
      </c>
      <c r="F276" s="1908" t="s">
        <v>3683</v>
      </c>
      <c r="G276" s="1908"/>
      <c r="H276" s="2278" t="s">
        <v>879</v>
      </c>
      <c r="I276" s="2259"/>
      <c r="J276" s="2260"/>
      <c r="K276" s="2278" t="s">
        <v>4391</v>
      </c>
      <c r="L276" s="2260"/>
      <c r="M276" s="1908" t="e">
        <f>VLOOKUP(K276,'Estimate Details'!$R:$BR,20,FALSE)</f>
        <v>#N/A</v>
      </c>
      <c r="N276" s="1908" t="e">
        <f>VLOOKUP(M276,#REF!,2,FALSE)</f>
        <v>#N/A</v>
      </c>
      <c r="O276" s="1908" t="s">
        <v>4390</v>
      </c>
      <c r="P276" s="2278" t="s">
        <v>4130</v>
      </c>
      <c r="Q276" s="2259"/>
      <c r="R276" s="2260"/>
      <c r="S276" s="1908" t="s">
        <v>3688</v>
      </c>
      <c r="T276" s="1908" t="s">
        <v>3689</v>
      </c>
      <c r="U276" s="1908" t="s">
        <v>3707</v>
      </c>
      <c r="V276" s="1908" t="s">
        <v>4363</v>
      </c>
      <c r="W276" s="1908" t="s">
        <v>3688</v>
      </c>
      <c r="X276" s="1908"/>
      <c r="Y276" s="1908"/>
      <c r="Z276" s="1908"/>
      <c r="AA276" s="1908" t="s">
        <v>3694</v>
      </c>
      <c r="AB276" s="1908" t="s">
        <v>3688</v>
      </c>
      <c r="AC276" s="1908" t="s">
        <v>3804</v>
      </c>
      <c r="AD276" s="2278" t="s">
        <v>3688</v>
      </c>
      <c r="AE276" s="2259"/>
      <c r="AF276" s="2260"/>
      <c r="AG276" s="2278" t="s">
        <v>3696</v>
      </c>
      <c r="AH276" s="2259"/>
      <c r="AI276" s="2260"/>
      <c r="AJ276" s="1908" t="s">
        <v>4364</v>
      </c>
      <c r="AK276" s="2278" t="s">
        <v>3688</v>
      </c>
      <c r="AL276" s="2259"/>
      <c r="AM276" s="2259"/>
      <c r="AN276" s="2259"/>
      <c r="AO276" s="2260"/>
      <c r="AP276" s="1908" t="s">
        <v>3716</v>
      </c>
      <c r="BC276" s="214"/>
      <c r="BD276" s="214"/>
      <c r="BE276" s="214"/>
      <c r="BF276" s="214"/>
    </row>
    <row r="277" spans="1:58" ht="45" hidden="1" customHeight="1">
      <c r="A277" s="808"/>
      <c r="B277" s="2280"/>
      <c r="C277" s="2281"/>
      <c r="D277" s="2282"/>
      <c r="E277" s="1909" t="s">
        <v>3682</v>
      </c>
      <c r="F277" s="1909" t="s">
        <v>3683</v>
      </c>
      <c r="G277" s="1909"/>
      <c r="H277" s="2283" t="s">
        <v>879</v>
      </c>
      <c r="I277" s="2281"/>
      <c r="J277" s="2282"/>
      <c r="K277" s="2283" t="s">
        <v>885</v>
      </c>
      <c r="L277" s="2282"/>
      <c r="M277" s="1909">
        <f>VLOOKUP(K277,'Estimate Details'!$R:$BR,20,FALSE)</f>
        <v>14541.242399999999</v>
      </c>
      <c r="N277" s="1909" t="e">
        <f>VLOOKUP(M277,#REF!,2,FALSE)</f>
        <v>#REF!</v>
      </c>
      <c r="O277" s="1909" t="s">
        <v>4392</v>
      </c>
      <c r="P277" s="2284" t="s">
        <v>4180</v>
      </c>
      <c r="Q277" s="2281"/>
      <c r="R277" s="2282"/>
      <c r="S277" s="1909" t="s">
        <v>3688</v>
      </c>
      <c r="T277" s="1909" t="s">
        <v>3689</v>
      </c>
      <c r="U277" s="1909" t="s">
        <v>3707</v>
      </c>
      <c r="V277" s="1909" t="s">
        <v>4363</v>
      </c>
      <c r="W277" s="1909" t="s">
        <v>3688</v>
      </c>
      <c r="X277" s="1909" t="s">
        <v>4393</v>
      </c>
      <c r="Y277" s="1909"/>
      <c r="Z277" s="1909"/>
      <c r="AA277" s="1909" t="s">
        <v>3957</v>
      </c>
      <c r="AB277" s="1909" t="s">
        <v>4394</v>
      </c>
      <c r="AC277" s="1909" t="s">
        <v>3696</v>
      </c>
      <c r="AD277" s="2283" t="s">
        <v>3688</v>
      </c>
      <c r="AE277" s="2281"/>
      <c r="AF277" s="2282"/>
      <c r="AG277" s="2283" t="s">
        <v>3696</v>
      </c>
      <c r="AH277" s="2281"/>
      <c r="AI277" s="2282"/>
      <c r="AJ277" s="1909" t="s">
        <v>4364</v>
      </c>
      <c r="AK277" s="2283" t="s">
        <v>3688</v>
      </c>
      <c r="AL277" s="2281"/>
      <c r="AM277" s="2259"/>
      <c r="AN277" s="2281"/>
      <c r="AO277" s="2282"/>
      <c r="AP277" s="1909" t="s">
        <v>3699</v>
      </c>
      <c r="BC277" s="214"/>
      <c r="BD277" s="214"/>
      <c r="BE277" s="214"/>
      <c r="BF277" s="214"/>
    </row>
    <row r="278" spans="1:58" ht="45" hidden="1" customHeight="1">
      <c r="B278" s="2277"/>
      <c r="C278" s="2259"/>
      <c r="D278" s="2260"/>
      <c r="E278" s="1908" t="s">
        <v>3682</v>
      </c>
      <c r="F278" s="1908" t="s">
        <v>3683</v>
      </c>
      <c r="G278" s="1908"/>
      <c r="H278" s="2278" t="s">
        <v>879</v>
      </c>
      <c r="I278" s="2259"/>
      <c r="J278" s="2260"/>
      <c r="K278" s="2278" t="s">
        <v>887</v>
      </c>
      <c r="L278" s="2260"/>
      <c r="M278" s="1908">
        <f>VLOOKUP(K278,'Estimate Details'!$R:$BR,20,FALSE)</f>
        <v>14541.242399999999</v>
      </c>
      <c r="N278" s="1908" t="e">
        <f>VLOOKUP(M278,#REF!,2,FALSE)</f>
        <v>#REF!</v>
      </c>
      <c r="O278" s="1908" t="s">
        <v>4392</v>
      </c>
      <c r="P278" s="2278" t="s">
        <v>4180</v>
      </c>
      <c r="Q278" s="2259"/>
      <c r="R278" s="2260"/>
      <c r="S278" s="1908" t="s">
        <v>3688</v>
      </c>
      <c r="T278" s="1908" t="s">
        <v>3689</v>
      </c>
      <c r="U278" s="1908" t="s">
        <v>3707</v>
      </c>
      <c r="V278" s="1908" t="s">
        <v>4363</v>
      </c>
      <c r="W278" s="1908" t="s">
        <v>3688</v>
      </c>
      <c r="X278" s="1908" t="s">
        <v>4393</v>
      </c>
      <c r="Y278" s="1908"/>
      <c r="Z278" s="1908"/>
      <c r="AA278" s="1908" t="s">
        <v>3957</v>
      </c>
      <c r="AB278" s="1908" t="s">
        <v>4394</v>
      </c>
      <c r="AC278" s="1908" t="s">
        <v>3696</v>
      </c>
      <c r="AD278" s="2278" t="s">
        <v>3688</v>
      </c>
      <c r="AE278" s="2259"/>
      <c r="AF278" s="2260"/>
      <c r="AG278" s="2278" t="s">
        <v>3696</v>
      </c>
      <c r="AH278" s="2259"/>
      <c r="AI278" s="2260"/>
      <c r="AJ278" s="1908" t="s">
        <v>4364</v>
      </c>
      <c r="AK278" s="2278" t="s">
        <v>3688</v>
      </c>
      <c r="AL278" s="2259"/>
      <c r="AM278" s="2259"/>
      <c r="AN278" s="2259"/>
      <c r="AO278" s="2260"/>
      <c r="AP278" s="1908" t="s">
        <v>3699</v>
      </c>
      <c r="BC278" s="214"/>
      <c r="BD278" s="214"/>
      <c r="BE278" s="214"/>
      <c r="BF278" s="214"/>
    </row>
    <row r="279" spans="1:58" ht="45" hidden="1" customHeight="1">
      <c r="A279" s="808"/>
      <c r="B279" s="2280"/>
      <c r="C279" s="2281"/>
      <c r="D279" s="2282"/>
      <c r="E279" s="1909" t="s">
        <v>3682</v>
      </c>
      <c r="F279" s="1909" t="s">
        <v>3683</v>
      </c>
      <c r="G279" s="1909"/>
      <c r="H279" s="2283" t="s">
        <v>879</v>
      </c>
      <c r="I279" s="2281"/>
      <c r="J279" s="2282"/>
      <c r="K279" s="2283" t="s">
        <v>889</v>
      </c>
      <c r="L279" s="2282"/>
      <c r="M279" s="1909">
        <f>VLOOKUP(K279,'Estimate Details'!$R:$BR,20,FALSE)</f>
        <v>14541.242399999999</v>
      </c>
      <c r="N279" s="1909" t="e">
        <f>VLOOKUP(M279,#REF!,2,FALSE)</f>
        <v>#REF!</v>
      </c>
      <c r="O279" s="1909" t="s">
        <v>4392</v>
      </c>
      <c r="P279" s="2284" t="s">
        <v>4180</v>
      </c>
      <c r="Q279" s="2281"/>
      <c r="R279" s="2282"/>
      <c r="S279" s="1909" t="s">
        <v>3688</v>
      </c>
      <c r="T279" s="1909" t="s">
        <v>3689</v>
      </c>
      <c r="U279" s="1909" t="s">
        <v>3707</v>
      </c>
      <c r="V279" s="1909" t="s">
        <v>4363</v>
      </c>
      <c r="W279" s="1909" t="s">
        <v>3688</v>
      </c>
      <c r="X279" s="1909" t="s">
        <v>4393</v>
      </c>
      <c r="Y279" s="1909"/>
      <c r="Z279" s="1909"/>
      <c r="AA279" s="1909" t="s">
        <v>3957</v>
      </c>
      <c r="AB279" s="1909" t="s">
        <v>4394</v>
      </c>
      <c r="AC279" s="1909" t="s">
        <v>3696</v>
      </c>
      <c r="AD279" s="2283" t="s">
        <v>3688</v>
      </c>
      <c r="AE279" s="2281"/>
      <c r="AF279" s="2282"/>
      <c r="AG279" s="2283" t="s">
        <v>3696</v>
      </c>
      <c r="AH279" s="2281"/>
      <c r="AI279" s="2282"/>
      <c r="AJ279" s="1909" t="s">
        <v>4364</v>
      </c>
      <c r="AK279" s="2283" t="s">
        <v>3688</v>
      </c>
      <c r="AL279" s="2281"/>
      <c r="AM279" s="2259"/>
      <c r="AN279" s="2281"/>
      <c r="AO279" s="2282"/>
      <c r="AP279" s="1909" t="s">
        <v>3716</v>
      </c>
      <c r="BC279" s="214"/>
      <c r="BD279" s="214"/>
      <c r="BE279" s="214"/>
      <c r="BF279" s="214"/>
    </row>
    <row r="280" spans="1:58" ht="45" hidden="1" customHeight="1">
      <c r="B280" s="2277"/>
      <c r="C280" s="2259"/>
      <c r="D280" s="2260"/>
      <c r="E280" s="1908" t="s">
        <v>3682</v>
      </c>
      <c r="F280" s="1908" t="s">
        <v>3683</v>
      </c>
      <c r="G280" s="1908"/>
      <c r="H280" s="2278" t="s">
        <v>879</v>
      </c>
      <c r="I280" s="2259"/>
      <c r="J280" s="2260"/>
      <c r="K280" s="2278" t="s">
        <v>891</v>
      </c>
      <c r="L280" s="2260"/>
      <c r="M280" s="1908">
        <f>VLOOKUP(K280,'Estimate Details'!$R:$BR,20,FALSE)</f>
        <v>14541.242399999999</v>
      </c>
      <c r="N280" s="1908" t="e">
        <f>VLOOKUP(M280,#REF!,2,FALSE)</f>
        <v>#REF!</v>
      </c>
      <c r="O280" s="1908" t="s">
        <v>4392</v>
      </c>
      <c r="P280" s="2278" t="s">
        <v>4180</v>
      </c>
      <c r="Q280" s="2259"/>
      <c r="R280" s="2260"/>
      <c r="S280" s="1908" t="s">
        <v>3688</v>
      </c>
      <c r="T280" s="1908" t="s">
        <v>3689</v>
      </c>
      <c r="U280" s="1908" t="s">
        <v>3707</v>
      </c>
      <c r="V280" s="1908" t="s">
        <v>4363</v>
      </c>
      <c r="W280" s="1908" t="s">
        <v>3688</v>
      </c>
      <c r="X280" s="1908" t="s">
        <v>4393</v>
      </c>
      <c r="Y280" s="1908"/>
      <c r="Z280" s="1908"/>
      <c r="AA280" s="1908" t="s">
        <v>3957</v>
      </c>
      <c r="AB280" s="1908" t="s">
        <v>4394</v>
      </c>
      <c r="AC280" s="1908" t="s">
        <v>3696</v>
      </c>
      <c r="AD280" s="2278" t="s">
        <v>3688</v>
      </c>
      <c r="AE280" s="2259"/>
      <c r="AF280" s="2260"/>
      <c r="AG280" s="2278" t="s">
        <v>3696</v>
      </c>
      <c r="AH280" s="2259"/>
      <c r="AI280" s="2260"/>
      <c r="AJ280" s="1908" t="s">
        <v>4364</v>
      </c>
      <c r="AK280" s="2278" t="s">
        <v>3688</v>
      </c>
      <c r="AL280" s="2259"/>
      <c r="AM280" s="2259"/>
      <c r="AN280" s="2259"/>
      <c r="AO280" s="2260"/>
      <c r="AP280" s="1908" t="s">
        <v>3716</v>
      </c>
      <c r="BC280" s="214"/>
      <c r="BD280" s="214"/>
      <c r="BE280" s="214"/>
      <c r="BF280" s="214"/>
    </row>
    <row r="281" spans="1:58" ht="45" hidden="1" customHeight="1">
      <c r="A281" s="808"/>
      <c r="B281" s="2280"/>
      <c r="C281" s="2281"/>
      <c r="D281" s="2282"/>
      <c r="E281" s="1909" t="s">
        <v>3682</v>
      </c>
      <c r="F281" s="1909" t="s">
        <v>3683</v>
      </c>
      <c r="G281" s="1909"/>
      <c r="H281" s="2283" t="s">
        <v>4395</v>
      </c>
      <c r="I281" s="2281"/>
      <c r="J281" s="2282"/>
      <c r="K281" s="2283" t="s">
        <v>4396</v>
      </c>
      <c r="L281" s="2282"/>
      <c r="M281" s="1909" t="e">
        <f>VLOOKUP(K281,'Estimate Details'!$R:$BR,20,FALSE)</f>
        <v>#N/A</v>
      </c>
      <c r="N281" s="1909" t="e">
        <f>VLOOKUP(M281,#REF!,2,FALSE)</f>
        <v>#N/A</v>
      </c>
      <c r="O281" s="1909" t="s">
        <v>3974</v>
      </c>
      <c r="P281" s="2284" t="s">
        <v>3974</v>
      </c>
      <c r="Q281" s="2281"/>
      <c r="R281" s="2282"/>
      <c r="S281" s="1909" t="s">
        <v>3688</v>
      </c>
      <c r="T281" s="1909" t="s">
        <v>3689</v>
      </c>
      <c r="U281" s="1909" t="s">
        <v>3690</v>
      </c>
      <c r="V281" s="1909" t="s">
        <v>3975</v>
      </c>
      <c r="W281" s="1909" t="s">
        <v>3688</v>
      </c>
      <c r="X281" s="1909"/>
      <c r="Y281" s="1909"/>
      <c r="Z281" s="1909"/>
      <c r="AA281" s="1909" t="s">
        <v>3957</v>
      </c>
      <c r="AB281" s="1909" t="s">
        <v>1</v>
      </c>
      <c r="AC281" s="1909" t="s">
        <v>4397</v>
      </c>
      <c r="AD281" s="2283" t="s">
        <v>3688</v>
      </c>
      <c r="AE281" s="2281"/>
      <c r="AF281" s="2282"/>
      <c r="AG281" s="2283" t="s">
        <v>3696</v>
      </c>
      <c r="AH281" s="2281"/>
      <c r="AI281" s="2282"/>
      <c r="AJ281" s="1909" t="s">
        <v>3982</v>
      </c>
      <c r="AK281" s="2283" t="s">
        <v>3688</v>
      </c>
      <c r="AL281" s="2281"/>
      <c r="AM281" s="2259"/>
      <c r="AN281" s="2281"/>
      <c r="AO281" s="2282"/>
      <c r="AP281" s="1909" t="s">
        <v>3699</v>
      </c>
      <c r="BC281" s="214"/>
      <c r="BD281" s="214"/>
      <c r="BE281" s="214"/>
      <c r="BF281" s="214"/>
    </row>
    <row r="282" spans="1:58" ht="45" hidden="1" customHeight="1">
      <c r="B282" s="2277"/>
      <c r="C282" s="2259"/>
      <c r="D282" s="2260"/>
      <c r="E282" s="1908" t="s">
        <v>3682</v>
      </c>
      <c r="F282" s="1908" t="s">
        <v>3683</v>
      </c>
      <c r="G282" s="1908"/>
      <c r="H282" s="2278" t="s">
        <v>4395</v>
      </c>
      <c r="I282" s="2259"/>
      <c r="J282" s="2260"/>
      <c r="K282" s="2278" t="s">
        <v>4398</v>
      </c>
      <c r="L282" s="2260"/>
      <c r="M282" s="1908" t="e">
        <f>VLOOKUP(K282,'Estimate Details'!$R:$BR,20,FALSE)</f>
        <v>#N/A</v>
      </c>
      <c r="N282" s="1908" t="e">
        <f>VLOOKUP(M282,#REF!,2,FALSE)</f>
        <v>#N/A</v>
      </c>
      <c r="O282" s="1908" t="s">
        <v>3974</v>
      </c>
      <c r="P282" s="2278" t="s">
        <v>3974</v>
      </c>
      <c r="Q282" s="2259"/>
      <c r="R282" s="2260"/>
      <c r="S282" s="1908" t="s">
        <v>3688</v>
      </c>
      <c r="T282" s="1908" t="s">
        <v>3689</v>
      </c>
      <c r="U282" s="1908" t="s">
        <v>3690</v>
      </c>
      <c r="V282" s="1908" t="s">
        <v>3975</v>
      </c>
      <c r="W282" s="1908" t="s">
        <v>3688</v>
      </c>
      <c r="X282" s="1908"/>
      <c r="Y282" s="1908"/>
      <c r="Z282" s="1908"/>
      <c r="AA282" s="1908" t="s">
        <v>3957</v>
      </c>
      <c r="AB282" s="1908" t="s">
        <v>1</v>
      </c>
      <c r="AC282" s="1908" t="s">
        <v>4397</v>
      </c>
      <c r="AD282" s="2278" t="s">
        <v>3688</v>
      </c>
      <c r="AE282" s="2259"/>
      <c r="AF282" s="2260"/>
      <c r="AG282" s="2278" t="s">
        <v>3696</v>
      </c>
      <c r="AH282" s="2259"/>
      <c r="AI282" s="2260"/>
      <c r="AJ282" s="1908" t="s">
        <v>3982</v>
      </c>
      <c r="AK282" s="2278" t="s">
        <v>3688</v>
      </c>
      <c r="AL282" s="2259"/>
      <c r="AM282" s="2259"/>
      <c r="AN282" s="2259"/>
      <c r="AO282" s="2260"/>
      <c r="AP282" s="1908" t="s">
        <v>3699</v>
      </c>
      <c r="BC282" s="214"/>
      <c r="BD282" s="214"/>
      <c r="BE282" s="214"/>
      <c r="BF282" s="214"/>
    </row>
    <row r="283" spans="1:58" ht="45" hidden="1" customHeight="1">
      <c r="A283" s="808"/>
      <c r="B283" s="2280"/>
      <c r="C283" s="2281"/>
      <c r="D283" s="2282"/>
      <c r="E283" s="1909" t="s">
        <v>3682</v>
      </c>
      <c r="F283" s="1909" t="s">
        <v>3683</v>
      </c>
      <c r="G283" s="1909"/>
      <c r="H283" s="2283" t="s">
        <v>4395</v>
      </c>
      <c r="I283" s="2281"/>
      <c r="J283" s="2282"/>
      <c r="K283" s="2283" t="s">
        <v>4399</v>
      </c>
      <c r="L283" s="2282"/>
      <c r="M283" s="1909" t="e">
        <f>VLOOKUP(K283,'Estimate Details'!$R:$BR,20,FALSE)</f>
        <v>#N/A</v>
      </c>
      <c r="N283" s="1909" t="e">
        <f>VLOOKUP(M283,#REF!,2,FALSE)</f>
        <v>#N/A</v>
      </c>
      <c r="O283" s="1909" t="s">
        <v>3974</v>
      </c>
      <c r="P283" s="2284" t="s">
        <v>3974</v>
      </c>
      <c r="Q283" s="2281"/>
      <c r="R283" s="2282"/>
      <c r="S283" s="1909" t="s">
        <v>3688</v>
      </c>
      <c r="T283" s="1909" t="s">
        <v>3689</v>
      </c>
      <c r="U283" s="1909" t="s">
        <v>3690</v>
      </c>
      <c r="V283" s="1909" t="s">
        <v>3975</v>
      </c>
      <c r="W283" s="1909" t="s">
        <v>3688</v>
      </c>
      <c r="X283" s="1909"/>
      <c r="Y283" s="1909"/>
      <c r="Z283" s="1909"/>
      <c r="AA283" s="1909" t="s">
        <v>3957</v>
      </c>
      <c r="AB283" s="1909" t="s">
        <v>1</v>
      </c>
      <c r="AC283" s="1909" t="s">
        <v>4397</v>
      </c>
      <c r="AD283" s="2283" t="s">
        <v>3688</v>
      </c>
      <c r="AE283" s="2281"/>
      <c r="AF283" s="2282"/>
      <c r="AG283" s="2283" t="s">
        <v>3696</v>
      </c>
      <c r="AH283" s="2281"/>
      <c r="AI283" s="2282"/>
      <c r="AJ283" s="1909" t="s">
        <v>3982</v>
      </c>
      <c r="AK283" s="2283" t="s">
        <v>3688</v>
      </c>
      <c r="AL283" s="2281"/>
      <c r="AM283" s="2259"/>
      <c r="AN283" s="2281"/>
      <c r="AO283" s="2282"/>
      <c r="AP283" s="1909" t="s">
        <v>3699</v>
      </c>
      <c r="BC283" s="214"/>
      <c r="BD283" s="214"/>
      <c r="BE283" s="214"/>
      <c r="BF283" s="214"/>
    </row>
    <row r="284" spans="1:58" ht="45" hidden="1" customHeight="1">
      <c r="B284" s="2277"/>
      <c r="C284" s="2259"/>
      <c r="D284" s="2260"/>
      <c r="E284" s="1908" t="s">
        <v>3682</v>
      </c>
      <c r="F284" s="1908" t="s">
        <v>3683</v>
      </c>
      <c r="G284" s="1908"/>
      <c r="H284" s="2278" t="s">
        <v>4395</v>
      </c>
      <c r="I284" s="2259"/>
      <c r="J284" s="2260"/>
      <c r="K284" s="2278" t="s">
        <v>4400</v>
      </c>
      <c r="L284" s="2260"/>
      <c r="M284" s="1908" t="e">
        <f>VLOOKUP(K284,'Estimate Details'!$R:$BR,20,FALSE)</f>
        <v>#N/A</v>
      </c>
      <c r="N284" s="1908" t="e">
        <f>VLOOKUP(M284,#REF!,2,FALSE)</f>
        <v>#N/A</v>
      </c>
      <c r="O284" s="1908" t="s">
        <v>3974</v>
      </c>
      <c r="P284" s="2278" t="s">
        <v>3974</v>
      </c>
      <c r="Q284" s="2259"/>
      <c r="R284" s="2260"/>
      <c r="S284" s="1908" t="s">
        <v>3688</v>
      </c>
      <c r="T284" s="1908" t="s">
        <v>3689</v>
      </c>
      <c r="U284" s="1908" t="s">
        <v>3690</v>
      </c>
      <c r="V284" s="1908" t="s">
        <v>3975</v>
      </c>
      <c r="W284" s="1908" t="s">
        <v>3688</v>
      </c>
      <c r="X284" s="1908"/>
      <c r="Y284" s="1908"/>
      <c r="Z284" s="1908"/>
      <c r="AA284" s="1908" t="s">
        <v>3957</v>
      </c>
      <c r="AB284" s="1908" t="s">
        <v>1</v>
      </c>
      <c r="AC284" s="1908" t="s">
        <v>4397</v>
      </c>
      <c r="AD284" s="2278" t="s">
        <v>3688</v>
      </c>
      <c r="AE284" s="2259"/>
      <c r="AF284" s="2260"/>
      <c r="AG284" s="2278" t="s">
        <v>3696</v>
      </c>
      <c r="AH284" s="2259"/>
      <c r="AI284" s="2260"/>
      <c r="AJ284" s="1908" t="s">
        <v>3982</v>
      </c>
      <c r="AK284" s="2278" t="s">
        <v>3688</v>
      </c>
      <c r="AL284" s="2259"/>
      <c r="AM284" s="2259"/>
      <c r="AN284" s="2259"/>
      <c r="AO284" s="2260"/>
      <c r="AP284" s="1908" t="s">
        <v>3699</v>
      </c>
      <c r="BC284" s="214"/>
      <c r="BD284" s="214"/>
      <c r="BE284" s="214"/>
      <c r="BF284" s="214"/>
    </row>
    <row r="285" spans="1:58" ht="45" hidden="1" customHeight="1">
      <c r="A285" s="808"/>
      <c r="B285" s="2280"/>
      <c r="C285" s="2281"/>
      <c r="D285" s="2282"/>
      <c r="E285" s="1909" t="s">
        <v>3682</v>
      </c>
      <c r="F285" s="1909" t="s">
        <v>3683</v>
      </c>
      <c r="G285" s="1909"/>
      <c r="H285" s="2283" t="s">
        <v>4395</v>
      </c>
      <c r="I285" s="2281"/>
      <c r="J285" s="2282"/>
      <c r="K285" s="2283" t="s">
        <v>4401</v>
      </c>
      <c r="L285" s="2282"/>
      <c r="M285" s="1909" t="e">
        <f>VLOOKUP(K285,'Estimate Details'!$R:$BR,20,FALSE)</f>
        <v>#N/A</v>
      </c>
      <c r="N285" s="1909" t="e">
        <f>VLOOKUP(M285,#REF!,2,FALSE)</f>
        <v>#N/A</v>
      </c>
      <c r="O285" s="1909" t="s">
        <v>3974</v>
      </c>
      <c r="P285" s="2284" t="s">
        <v>3974</v>
      </c>
      <c r="Q285" s="2281"/>
      <c r="R285" s="2282"/>
      <c r="S285" s="1909" t="s">
        <v>3688</v>
      </c>
      <c r="T285" s="1909" t="s">
        <v>3689</v>
      </c>
      <c r="U285" s="1909" t="s">
        <v>3690</v>
      </c>
      <c r="V285" s="1909" t="s">
        <v>3975</v>
      </c>
      <c r="W285" s="1909" t="s">
        <v>3688</v>
      </c>
      <c r="X285" s="1909"/>
      <c r="Y285" s="1909"/>
      <c r="Z285" s="1909"/>
      <c r="AA285" s="1909" t="s">
        <v>3957</v>
      </c>
      <c r="AB285" s="1909" t="s">
        <v>1</v>
      </c>
      <c r="AC285" s="1909" t="s">
        <v>4397</v>
      </c>
      <c r="AD285" s="2283" t="s">
        <v>3688</v>
      </c>
      <c r="AE285" s="2281"/>
      <c r="AF285" s="2282"/>
      <c r="AG285" s="2283" t="s">
        <v>3696</v>
      </c>
      <c r="AH285" s="2281"/>
      <c r="AI285" s="2282"/>
      <c r="AJ285" s="1909" t="s">
        <v>3982</v>
      </c>
      <c r="AK285" s="2283" t="s">
        <v>3688</v>
      </c>
      <c r="AL285" s="2281"/>
      <c r="AM285" s="2259"/>
      <c r="AN285" s="2281"/>
      <c r="AO285" s="2282"/>
      <c r="AP285" s="1909" t="s">
        <v>3699</v>
      </c>
      <c r="BC285" s="214"/>
      <c r="BD285" s="214"/>
      <c r="BE285" s="214"/>
      <c r="BF285" s="214"/>
    </row>
    <row r="286" spans="1:58" ht="45" hidden="1" customHeight="1">
      <c r="B286" s="2277"/>
      <c r="C286" s="2259"/>
      <c r="D286" s="2260"/>
      <c r="E286" s="1908" t="s">
        <v>3682</v>
      </c>
      <c r="F286" s="1908" t="s">
        <v>3683</v>
      </c>
      <c r="G286" s="1908"/>
      <c r="H286" s="2278" t="s">
        <v>4395</v>
      </c>
      <c r="I286" s="2259"/>
      <c r="J286" s="2260"/>
      <c r="K286" s="2278" t="s">
        <v>4402</v>
      </c>
      <c r="L286" s="2260"/>
      <c r="M286" s="1908" t="e">
        <f>VLOOKUP(K286,'Estimate Details'!$R:$BR,20,FALSE)</f>
        <v>#N/A</v>
      </c>
      <c r="N286" s="1908" t="e">
        <f>VLOOKUP(M286,#REF!,2,FALSE)</f>
        <v>#N/A</v>
      </c>
      <c r="O286" s="1908" t="s">
        <v>3974</v>
      </c>
      <c r="P286" s="2278" t="s">
        <v>3974</v>
      </c>
      <c r="Q286" s="2259"/>
      <c r="R286" s="2260"/>
      <c r="S286" s="1908" t="s">
        <v>3688</v>
      </c>
      <c r="T286" s="1908" t="s">
        <v>3689</v>
      </c>
      <c r="U286" s="1908" t="s">
        <v>3690</v>
      </c>
      <c r="V286" s="1908" t="s">
        <v>3975</v>
      </c>
      <c r="W286" s="1908" t="s">
        <v>3688</v>
      </c>
      <c r="X286" s="1908"/>
      <c r="Y286" s="1908"/>
      <c r="Z286" s="1908"/>
      <c r="AA286" s="1908" t="s">
        <v>3957</v>
      </c>
      <c r="AB286" s="1908" t="s">
        <v>1</v>
      </c>
      <c r="AC286" s="1908" t="s">
        <v>4397</v>
      </c>
      <c r="AD286" s="2278" t="s">
        <v>3688</v>
      </c>
      <c r="AE286" s="2259"/>
      <c r="AF286" s="2260"/>
      <c r="AG286" s="2278" t="s">
        <v>3696</v>
      </c>
      <c r="AH286" s="2259"/>
      <c r="AI286" s="2260"/>
      <c r="AJ286" s="1908" t="s">
        <v>3982</v>
      </c>
      <c r="AK286" s="2278" t="s">
        <v>3688</v>
      </c>
      <c r="AL286" s="2259"/>
      <c r="AM286" s="2259"/>
      <c r="AN286" s="2259"/>
      <c r="AO286" s="2260"/>
      <c r="AP286" s="1908" t="s">
        <v>3716</v>
      </c>
      <c r="BC286" s="214"/>
      <c r="BD286" s="214"/>
      <c r="BE286" s="214"/>
      <c r="BF286" s="214"/>
    </row>
    <row r="287" spans="1:58" ht="45" hidden="1" customHeight="1">
      <c r="A287" s="808"/>
      <c r="B287" s="2280"/>
      <c r="C287" s="2281"/>
      <c r="D287" s="2282"/>
      <c r="E287" s="1909" t="s">
        <v>3682</v>
      </c>
      <c r="F287" s="1909" t="s">
        <v>3683</v>
      </c>
      <c r="G287" s="1909"/>
      <c r="H287" s="2283" t="s">
        <v>4395</v>
      </c>
      <c r="I287" s="2281"/>
      <c r="J287" s="2282"/>
      <c r="K287" s="2283" t="s">
        <v>4403</v>
      </c>
      <c r="L287" s="2282"/>
      <c r="M287" s="1909" t="e">
        <f>VLOOKUP(K287,'Estimate Details'!$R:$BR,20,FALSE)</f>
        <v>#N/A</v>
      </c>
      <c r="N287" s="1909" t="e">
        <f>VLOOKUP(M287,#REF!,2,FALSE)</f>
        <v>#N/A</v>
      </c>
      <c r="O287" s="1909" t="s">
        <v>3974</v>
      </c>
      <c r="P287" s="2284" t="s">
        <v>3974</v>
      </c>
      <c r="Q287" s="2281"/>
      <c r="R287" s="2282"/>
      <c r="S287" s="1909" t="s">
        <v>3688</v>
      </c>
      <c r="T287" s="1909" t="s">
        <v>3689</v>
      </c>
      <c r="U287" s="1909" t="s">
        <v>3690</v>
      </c>
      <c r="V287" s="1909" t="s">
        <v>3975</v>
      </c>
      <c r="W287" s="1909" t="s">
        <v>3688</v>
      </c>
      <c r="X287" s="1909"/>
      <c r="Y287" s="1909"/>
      <c r="Z287" s="1909"/>
      <c r="AA287" s="1909" t="s">
        <v>3957</v>
      </c>
      <c r="AB287" s="1909" t="s">
        <v>1</v>
      </c>
      <c r="AC287" s="1909" t="s">
        <v>4397</v>
      </c>
      <c r="AD287" s="2283" t="s">
        <v>3688</v>
      </c>
      <c r="AE287" s="2281"/>
      <c r="AF287" s="2282"/>
      <c r="AG287" s="2283" t="s">
        <v>3696</v>
      </c>
      <c r="AH287" s="2281"/>
      <c r="AI287" s="2282"/>
      <c r="AJ287" s="1909" t="s">
        <v>3982</v>
      </c>
      <c r="AK287" s="2283" t="s">
        <v>3688</v>
      </c>
      <c r="AL287" s="2281"/>
      <c r="AM287" s="2259"/>
      <c r="AN287" s="2281"/>
      <c r="AO287" s="2282"/>
      <c r="AP287" s="1909" t="s">
        <v>3716</v>
      </c>
      <c r="BC287" s="214"/>
      <c r="BD287" s="214"/>
      <c r="BE287" s="214"/>
      <c r="BF287" s="214"/>
    </row>
    <row r="288" spans="1:58" ht="45" hidden="1" customHeight="1">
      <c r="B288" s="2277"/>
      <c r="C288" s="2259"/>
      <c r="D288" s="2260"/>
      <c r="E288" s="1908" t="s">
        <v>3682</v>
      </c>
      <c r="F288" s="1908" t="s">
        <v>3683</v>
      </c>
      <c r="G288" s="1908"/>
      <c r="H288" s="2278" t="s">
        <v>929</v>
      </c>
      <c r="I288" s="2259"/>
      <c r="J288" s="2260"/>
      <c r="K288" s="2278" t="s">
        <v>4404</v>
      </c>
      <c r="L288" s="2260"/>
      <c r="M288" s="1908" t="e">
        <f>VLOOKUP(K288,'Estimate Details'!$R:$BR,20,FALSE)</f>
        <v>#N/A</v>
      </c>
      <c r="N288" s="1908" t="e">
        <f>VLOOKUP(M288,#REF!,2,FALSE)</f>
        <v>#N/A</v>
      </c>
      <c r="O288" s="1908" t="s">
        <v>4405</v>
      </c>
      <c r="P288" s="2278" t="s">
        <v>4130</v>
      </c>
      <c r="Q288" s="2259"/>
      <c r="R288" s="2260"/>
      <c r="S288" s="1908" t="s">
        <v>3688</v>
      </c>
      <c r="T288" s="1908" t="s">
        <v>3689</v>
      </c>
      <c r="U288" s="1908" t="s">
        <v>3707</v>
      </c>
      <c r="V288" s="1908" t="s">
        <v>4353</v>
      </c>
      <c r="W288" s="1908" t="s">
        <v>3688</v>
      </c>
      <c r="X288" s="1908"/>
      <c r="Y288" s="1908"/>
      <c r="Z288" s="1908"/>
      <c r="AA288" s="1908" t="s">
        <v>3957</v>
      </c>
      <c r="AB288" s="1908" t="s">
        <v>3688</v>
      </c>
      <c r="AC288" s="1908" t="s">
        <v>3804</v>
      </c>
      <c r="AD288" s="2278" t="s">
        <v>3688</v>
      </c>
      <c r="AE288" s="2259"/>
      <c r="AF288" s="2260"/>
      <c r="AG288" s="2278" t="s">
        <v>3909</v>
      </c>
      <c r="AH288" s="2259"/>
      <c r="AI288" s="2260"/>
      <c r="AJ288" s="1908" t="s">
        <v>4355</v>
      </c>
      <c r="AK288" s="2278" t="s">
        <v>3688</v>
      </c>
      <c r="AL288" s="2259"/>
      <c r="AM288" s="2259"/>
      <c r="AN288" s="2259"/>
      <c r="AO288" s="2260"/>
      <c r="AP288" s="1908" t="s">
        <v>3699</v>
      </c>
      <c r="BC288" s="214"/>
      <c r="BD288" s="214"/>
      <c r="BE288" s="214"/>
      <c r="BF288" s="214"/>
    </row>
    <row r="289" spans="1:58" ht="45" hidden="1" customHeight="1">
      <c r="A289" s="808"/>
      <c r="B289" s="2280"/>
      <c r="C289" s="2281"/>
      <c r="D289" s="2282"/>
      <c r="E289" s="1909" t="s">
        <v>3682</v>
      </c>
      <c r="F289" s="1909" t="s">
        <v>3683</v>
      </c>
      <c r="G289" s="1909"/>
      <c r="H289" s="2283" t="s">
        <v>929</v>
      </c>
      <c r="I289" s="2281"/>
      <c r="J289" s="2282"/>
      <c r="K289" s="2283" t="s">
        <v>4406</v>
      </c>
      <c r="L289" s="2282"/>
      <c r="M289" s="1909" t="e">
        <f>VLOOKUP(K289,'Estimate Details'!$R:$BR,20,FALSE)</f>
        <v>#N/A</v>
      </c>
      <c r="N289" s="1909" t="e">
        <f>VLOOKUP(M289,#REF!,2,FALSE)</f>
        <v>#N/A</v>
      </c>
      <c r="O289" s="1909" t="s">
        <v>4405</v>
      </c>
      <c r="P289" s="2284" t="s">
        <v>4130</v>
      </c>
      <c r="Q289" s="2281"/>
      <c r="R289" s="2282"/>
      <c r="S289" s="1909" t="s">
        <v>3688</v>
      </c>
      <c r="T289" s="1909" t="s">
        <v>3689</v>
      </c>
      <c r="U289" s="1909" t="s">
        <v>3707</v>
      </c>
      <c r="V289" s="1909" t="s">
        <v>4353</v>
      </c>
      <c r="W289" s="1909" t="s">
        <v>3688</v>
      </c>
      <c r="X289" s="1909"/>
      <c r="Y289" s="1909"/>
      <c r="Z289" s="1909"/>
      <c r="AA289" s="1909" t="s">
        <v>3978</v>
      </c>
      <c r="AB289" s="1909" t="s">
        <v>3688</v>
      </c>
      <c r="AC289" s="1909" t="s">
        <v>3804</v>
      </c>
      <c r="AD289" s="2283" t="s">
        <v>3688</v>
      </c>
      <c r="AE289" s="2281"/>
      <c r="AF289" s="2282"/>
      <c r="AG289" s="2283" t="s">
        <v>3909</v>
      </c>
      <c r="AH289" s="2281"/>
      <c r="AI289" s="2282"/>
      <c r="AJ289" s="1909" t="s">
        <v>4355</v>
      </c>
      <c r="AK289" s="2283" t="s">
        <v>3688</v>
      </c>
      <c r="AL289" s="2281"/>
      <c r="AM289" s="2259"/>
      <c r="AN289" s="2281"/>
      <c r="AO289" s="2282"/>
      <c r="AP289" s="1909" t="s">
        <v>3699</v>
      </c>
      <c r="BC289" s="214"/>
      <c r="BD289" s="214"/>
      <c r="BE289" s="214"/>
      <c r="BF289" s="214"/>
    </row>
    <row r="290" spans="1:58" ht="45" hidden="1" customHeight="1">
      <c r="B290" s="2277"/>
      <c r="C290" s="2259"/>
      <c r="D290" s="2260"/>
      <c r="E290" s="1908" t="s">
        <v>3682</v>
      </c>
      <c r="F290" s="1908" t="s">
        <v>3683</v>
      </c>
      <c r="G290" s="1908"/>
      <c r="H290" s="2278" t="s">
        <v>929</v>
      </c>
      <c r="I290" s="2259"/>
      <c r="J290" s="2260"/>
      <c r="K290" s="2278" t="s">
        <v>4407</v>
      </c>
      <c r="L290" s="2260"/>
      <c r="M290" s="1908" t="e">
        <f>VLOOKUP(K290,'Estimate Details'!$R:$BR,20,FALSE)</f>
        <v>#N/A</v>
      </c>
      <c r="N290" s="1908" t="e">
        <f>VLOOKUP(M290,#REF!,2,FALSE)</f>
        <v>#N/A</v>
      </c>
      <c r="O290" s="1908" t="s">
        <v>4408</v>
      </c>
      <c r="P290" s="2278" t="s">
        <v>4130</v>
      </c>
      <c r="Q290" s="2259"/>
      <c r="R290" s="2260"/>
      <c r="S290" s="1908" t="s">
        <v>3688</v>
      </c>
      <c r="T290" s="1908" t="s">
        <v>3689</v>
      </c>
      <c r="U290" s="1908" t="s">
        <v>3707</v>
      </c>
      <c r="V290" s="1908" t="s">
        <v>4353</v>
      </c>
      <c r="W290" s="1908" t="s">
        <v>3688</v>
      </c>
      <c r="X290" s="1908"/>
      <c r="Y290" s="1908"/>
      <c r="Z290" s="1908"/>
      <c r="AA290" s="1908" t="s">
        <v>3694</v>
      </c>
      <c r="AB290" s="1908" t="s">
        <v>3688</v>
      </c>
      <c r="AC290" s="1908" t="s">
        <v>3804</v>
      </c>
      <c r="AD290" s="2278" t="s">
        <v>3688</v>
      </c>
      <c r="AE290" s="2259"/>
      <c r="AF290" s="2260"/>
      <c r="AG290" s="2278" t="s">
        <v>3909</v>
      </c>
      <c r="AH290" s="2259"/>
      <c r="AI290" s="2260"/>
      <c r="AJ290" s="1908" t="s">
        <v>4355</v>
      </c>
      <c r="AK290" s="2278" t="s">
        <v>3688</v>
      </c>
      <c r="AL290" s="2259"/>
      <c r="AM290" s="2259"/>
      <c r="AN290" s="2259"/>
      <c r="AO290" s="2260"/>
      <c r="AP290" s="1908" t="s">
        <v>3699</v>
      </c>
      <c r="BC290" s="214"/>
      <c r="BD290" s="214"/>
      <c r="BE290" s="214"/>
      <c r="BF290" s="214"/>
    </row>
    <row r="291" spans="1:58" ht="45" hidden="1" customHeight="1">
      <c r="A291" s="808"/>
      <c r="B291" s="2280"/>
      <c r="C291" s="2281"/>
      <c r="D291" s="2282"/>
      <c r="E291" s="1909" t="s">
        <v>3682</v>
      </c>
      <c r="F291" s="1909" t="s">
        <v>3683</v>
      </c>
      <c r="G291" s="1909"/>
      <c r="H291" s="2283" t="s">
        <v>929</v>
      </c>
      <c r="I291" s="2281"/>
      <c r="J291" s="2282"/>
      <c r="K291" s="2283" t="s">
        <v>4409</v>
      </c>
      <c r="L291" s="2282"/>
      <c r="M291" s="1909" t="e">
        <f>VLOOKUP(K291,'Estimate Details'!$R:$BR,20,FALSE)</f>
        <v>#N/A</v>
      </c>
      <c r="N291" s="1909" t="e">
        <f>VLOOKUP(M291,#REF!,2,FALSE)</f>
        <v>#N/A</v>
      </c>
      <c r="O291" s="1909" t="s">
        <v>4410</v>
      </c>
      <c r="P291" s="2284" t="s">
        <v>4130</v>
      </c>
      <c r="Q291" s="2281"/>
      <c r="R291" s="2282"/>
      <c r="S291" s="1909" t="s">
        <v>3688</v>
      </c>
      <c r="T291" s="1909" t="s">
        <v>3689</v>
      </c>
      <c r="U291" s="1909" t="s">
        <v>3707</v>
      </c>
      <c r="V291" s="1909" t="s">
        <v>4353</v>
      </c>
      <c r="W291" s="1909" t="s">
        <v>3688</v>
      </c>
      <c r="X291" s="1909"/>
      <c r="Y291" s="1909"/>
      <c r="Z291" s="1909"/>
      <c r="AA291" s="1909" t="s">
        <v>3978</v>
      </c>
      <c r="AB291" s="1909" t="s">
        <v>3688</v>
      </c>
      <c r="AC291" s="1909" t="s">
        <v>3804</v>
      </c>
      <c r="AD291" s="2283" t="s">
        <v>3688</v>
      </c>
      <c r="AE291" s="2281"/>
      <c r="AF291" s="2282"/>
      <c r="AG291" s="2283" t="s">
        <v>3909</v>
      </c>
      <c r="AH291" s="2281"/>
      <c r="AI291" s="2282"/>
      <c r="AJ291" s="1909" t="s">
        <v>4355</v>
      </c>
      <c r="AK291" s="2283" t="s">
        <v>3688</v>
      </c>
      <c r="AL291" s="2281"/>
      <c r="AM291" s="2259"/>
      <c r="AN291" s="2281"/>
      <c r="AO291" s="2282"/>
      <c r="AP291" s="1909" t="s">
        <v>3699</v>
      </c>
      <c r="BC291" s="214"/>
      <c r="BD291" s="214"/>
      <c r="BE291" s="214"/>
      <c r="BF291" s="214"/>
    </row>
    <row r="292" spans="1:58" ht="45" hidden="1" customHeight="1">
      <c r="B292" s="2277"/>
      <c r="C292" s="2259"/>
      <c r="D292" s="2260"/>
      <c r="E292" s="1908" t="s">
        <v>3682</v>
      </c>
      <c r="F292" s="1908" t="s">
        <v>3683</v>
      </c>
      <c r="G292" s="1908"/>
      <c r="H292" s="2278" t="s">
        <v>929</v>
      </c>
      <c r="I292" s="2259"/>
      <c r="J292" s="2260"/>
      <c r="K292" s="2278" t="s">
        <v>4411</v>
      </c>
      <c r="L292" s="2260"/>
      <c r="M292" s="1908" t="e">
        <f>VLOOKUP(K292,'Estimate Details'!$R:$BR,20,FALSE)</f>
        <v>#N/A</v>
      </c>
      <c r="N292" s="1908" t="e">
        <f>VLOOKUP(M292,#REF!,2,FALSE)</f>
        <v>#N/A</v>
      </c>
      <c r="O292" s="1908" t="s">
        <v>4412</v>
      </c>
      <c r="P292" s="2278" t="s">
        <v>4130</v>
      </c>
      <c r="Q292" s="2259"/>
      <c r="R292" s="2260"/>
      <c r="S292" s="1908" t="s">
        <v>3688</v>
      </c>
      <c r="T292" s="1908" t="s">
        <v>3689</v>
      </c>
      <c r="U292" s="1908" t="s">
        <v>3707</v>
      </c>
      <c r="V292" s="1908" t="s">
        <v>4353</v>
      </c>
      <c r="W292" s="1908" t="s">
        <v>3688</v>
      </c>
      <c r="X292" s="1908"/>
      <c r="Y292" s="1908"/>
      <c r="Z292" s="1908"/>
      <c r="AA292" s="1908" t="s">
        <v>3978</v>
      </c>
      <c r="AB292" s="1908" t="s">
        <v>3688</v>
      </c>
      <c r="AC292" s="1908" t="s">
        <v>3804</v>
      </c>
      <c r="AD292" s="2278" t="s">
        <v>3688</v>
      </c>
      <c r="AE292" s="2259"/>
      <c r="AF292" s="2260"/>
      <c r="AG292" s="2278" t="s">
        <v>3909</v>
      </c>
      <c r="AH292" s="2259"/>
      <c r="AI292" s="2260"/>
      <c r="AJ292" s="1908" t="s">
        <v>4355</v>
      </c>
      <c r="AK292" s="2278" t="s">
        <v>3688</v>
      </c>
      <c r="AL292" s="2259"/>
      <c r="AM292" s="2259"/>
      <c r="AN292" s="2259"/>
      <c r="AO292" s="2260"/>
      <c r="AP292" s="1908" t="s">
        <v>3699</v>
      </c>
      <c r="BC292" s="214"/>
      <c r="BD292" s="214"/>
      <c r="BE292" s="214"/>
      <c r="BF292" s="214"/>
    </row>
    <row r="293" spans="1:58" ht="45" hidden="1" customHeight="1">
      <c r="A293" s="808"/>
      <c r="B293" s="2280"/>
      <c r="C293" s="2281"/>
      <c r="D293" s="2282"/>
      <c r="E293" s="1909" t="s">
        <v>3682</v>
      </c>
      <c r="F293" s="1909" t="s">
        <v>3683</v>
      </c>
      <c r="G293" s="1909"/>
      <c r="H293" s="2283" t="s">
        <v>929</v>
      </c>
      <c r="I293" s="2281"/>
      <c r="J293" s="2282"/>
      <c r="K293" s="2283" t="s">
        <v>4413</v>
      </c>
      <c r="L293" s="2282"/>
      <c r="M293" s="1909" t="e">
        <f>VLOOKUP(K293,'Estimate Details'!$R:$BR,20,FALSE)</f>
        <v>#N/A</v>
      </c>
      <c r="N293" s="1909" t="e">
        <f>VLOOKUP(M293,#REF!,2,FALSE)</f>
        <v>#N/A</v>
      </c>
      <c r="O293" s="1909" t="s">
        <v>4414</v>
      </c>
      <c r="P293" s="2284" t="s">
        <v>4130</v>
      </c>
      <c r="Q293" s="2281"/>
      <c r="R293" s="2282"/>
      <c r="S293" s="1909" t="s">
        <v>3688</v>
      </c>
      <c r="T293" s="1909" t="s">
        <v>3689</v>
      </c>
      <c r="U293" s="1909" t="s">
        <v>3707</v>
      </c>
      <c r="V293" s="1909" t="s">
        <v>4353</v>
      </c>
      <c r="W293" s="1909" t="s">
        <v>3688</v>
      </c>
      <c r="X293" s="1909"/>
      <c r="Y293" s="1909"/>
      <c r="Z293" s="1909"/>
      <c r="AA293" s="1909" t="s">
        <v>3694</v>
      </c>
      <c r="AB293" s="1909" t="s">
        <v>3688</v>
      </c>
      <c r="AC293" s="1909" t="s">
        <v>3804</v>
      </c>
      <c r="AD293" s="2283" t="s">
        <v>3688</v>
      </c>
      <c r="AE293" s="2281"/>
      <c r="AF293" s="2282"/>
      <c r="AG293" s="2283" t="s">
        <v>4415</v>
      </c>
      <c r="AH293" s="2281"/>
      <c r="AI293" s="2282"/>
      <c r="AJ293" s="1909" t="s">
        <v>4355</v>
      </c>
      <c r="AK293" s="2283" t="s">
        <v>3688</v>
      </c>
      <c r="AL293" s="2281"/>
      <c r="AM293" s="2259"/>
      <c r="AN293" s="2281"/>
      <c r="AO293" s="2282"/>
      <c r="AP293" s="1909" t="s">
        <v>3699</v>
      </c>
      <c r="BC293" s="214"/>
      <c r="BD293" s="214"/>
      <c r="BE293" s="214"/>
      <c r="BF293" s="214"/>
    </row>
    <row r="294" spans="1:58" ht="45" hidden="1" customHeight="1">
      <c r="B294" s="2277"/>
      <c r="C294" s="2259"/>
      <c r="D294" s="2260"/>
      <c r="E294" s="1908" t="s">
        <v>3682</v>
      </c>
      <c r="F294" s="1908" t="s">
        <v>3683</v>
      </c>
      <c r="G294" s="1908"/>
      <c r="H294" s="2278" t="s">
        <v>929</v>
      </c>
      <c r="I294" s="2259"/>
      <c r="J294" s="2260"/>
      <c r="K294" s="2278" t="s">
        <v>4416</v>
      </c>
      <c r="L294" s="2260"/>
      <c r="M294" s="1908" t="e">
        <f>VLOOKUP(K294,'Estimate Details'!$R:$BR,20,FALSE)</f>
        <v>#N/A</v>
      </c>
      <c r="N294" s="1908" t="e">
        <f>VLOOKUP(M294,#REF!,2,FALSE)</f>
        <v>#N/A</v>
      </c>
      <c r="O294" s="1908" t="s">
        <v>4417</v>
      </c>
      <c r="P294" s="2278" t="s">
        <v>4130</v>
      </c>
      <c r="Q294" s="2259"/>
      <c r="R294" s="2260"/>
      <c r="S294" s="1908" t="s">
        <v>3688</v>
      </c>
      <c r="T294" s="1908" t="s">
        <v>3689</v>
      </c>
      <c r="U294" s="1908" t="s">
        <v>3707</v>
      </c>
      <c r="V294" s="1908" t="s">
        <v>4353</v>
      </c>
      <c r="W294" s="1908" t="s">
        <v>3688</v>
      </c>
      <c r="X294" s="1908"/>
      <c r="Y294" s="1908"/>
      <c r="Z294" s="1908"/>
      <c r="AA294" s="1908" t="s">
        <v>3694</v>
      </c>
      <c r="AB294" s="1908" t="s">
        <v>3688</v>
      </c>
      <c r="AC294" s="1908" t="s">
        <v>3804</v>
      </c>
      <c r="AD294" s="2278" t="s">
        <v>3688</v>
      </c>
      <c r="AE294" s="2259"/>
      <c r="AF294" s="2260"/>
      <c r="AG294" s="2278" t="s">
        <v>4415</v>
      </c>
      <c r="AH294" s="2259"/>
      <c r="AI294" s="2260"/>
      <c r="AJ294" s="1908" t="s">
        <v>4355</v>
      </c>
      <c r="AK294" s="2278" t="s">
        <v>3688</v>
      </c>
      <c r="AL294" s="2259"/>
      <c r="AM294" s="2259"/>
      <c r="AN294" s="2259"/>
      <c r="AO294" s="2260"/>
      <c r="AP294" s="1908" t="s">
        <v>3699</v>
      </c>
      <c r="BC294" s="214"/>
      <c r="BD294" s="214"/>
      <c r="BE294" s="214"/>
      <c r="BF294" s="214"/>
    </row>
    <row r="295" spans="1:58" ht="45" hidden="1" customHeight="1">
      <c r="A295" s="808"/>
      <c r="B295" s="2280"/>
      <c r="C295" s="2281"/>
      <c r="D295" s="2282"/>
      <c r="E295" s="1909" t="s">
        <v>3682</v>
      </c>
      <c r="F295" s="1909" t="s">
        <v>3683</v>
      </c>
      <c r="G295" s="1909"/>
      <c r="H295" s="2283" t="s">
        <v>929</v>
      </c>
      <c r="I295" s="2281"/>
      <c r="J295" s="2282"/>
      <c r="K295" s="2283" t="s">
        <v>4418</v>
      </c>
      <c r="L295" s="2282"/>
      <c r="M295" s="1909" t="e">
        <f>VLOOKUP(K295,'Estimate Details'!$R:$BR,20,FALSE)</f>
        <v>#N/A</v>
      </c>
      <c r="N295" s="1909" t="e">
        <f>VLOOKUP(M295,#REF!,2,FALSE)</f>
        <v>#N/A</v>
      </c>
      <c r="O295" s="1909" t="s">
        <v>4419</v>
      </c>
      <c r="P295" s="2284" t="s">
        <v>4130</v>
      </c>
      <c r="Q295" s="2281"/>
      <c r="R295" s="2282"/>
      <c r="S295" s="1909" t="s">
        <v>3688</v>
      </c>
      <c r="T295" s="1909" t="s">
        <v>3689</v>
      </c>
      <c r="U295" s="1909" t="s">
        <v>3707</v>
      </c>
      <c r="V295" s="1909" t="s">
        <v>4353</v>
      </c>
      <c r="W295" s="1909" t="s">
        <v>3688</v>
      </c>
      <c r="X295" s="1909"/>
      <c r="Y295" s="1909"/>
      <c r="Z295" s="1909"/>
      <c r="AA295" s="1909" t="s">
        <v>3694</v>
      </c>
      <c r="AB295" s="1909" t="s">
        <v>3688</v>
      </c>
      <c r="AC295" s="1909" t="s">
        <v>3804</v>
      </c>
      <c r="AD295" s="2283" t="s">
        <v>3688</v>
      </c>
      <c r="AE295" s="2281"/>
      <c r="AF295" s="2282"/>
      <c r="AG295" s="2283" t="s">
        <v>4132</v>
      </c>
      <c r="AH295" s="2281"/>
      <c r="AI295" s="2282"/>
      <c r="AJ295" s="1909" t="s">
        <v>4355</v>
      </c>
      <c r="AK295" s="2283" t="s">
        <v>3688</v>
      </c>
      <c r="AL295" s="2281"/>
      <c r="AM295" s="2259"/>
      <c r="AN295" s="2281"/>
      <c r="AO295" s="2282"/>
      <c r="AP295" s="1909" t="s">
        <v>3699</v>
      </c>
      <c r="BC295" s="214"/>
      <c r="BD295" s="214"/>
      <c r="BE295" s="214"/>
      <c r="BF295" s="214"/>
    </row>
    <row r="296" spans="1:58" ht="45" hidden="1" customHeight="1">
      <c r="B296" s="2277"/>
      <c r="C296" s="2259"/>
      <c r="D296" s="2260"/>
      <c r="E296" s="1908" t="s">
        <v>3682</v>
      </c>
      <c r="F296" s="1908" t="s">
        <v>3683</v>
      </c>
      <c r="G296" s="1908"/>
      <c r="H296" s="2278" t="s">
        <v>929</v>
      </c>
      <c r="I296" s="2259"/>
      <c r="J296" s="2260"/>
      <c r="K296" s="2278" t="s">
        <v>4420</v>
      </c>
      <c r="L296" s="2260"/>
      <c r="M296" s="1908" t="e">
        <f>VLOOKUP(K296,'Estimate Details'!$R:$BR,20,FALSE)</f>
        <v>#N/A</v>
      </c>
      <c r="N296" s="1908" t="e">
        <f>VLOOKUP(M296,#REF!,2,FALSE)</f>
        <v>#N/A</v>
      </c>
      <c r="O296" s="1908" t="s">
        <v>4421</v>
      </c>
      <c r="P296" s="2278" t="s">
        <v>4130</v>
      </c>
      <c r="Q296" s="2259"/>
      <c r="R296" s="2260"/>
      <c r="S296" s="1908" t="s">
        <v>3688</v>
      </c>
      <c r="T296" s="1908" t="s">
        <v>3689</v>
      </c>
      <c r="U296" s="1908" t="s">
        <v>3707</v>
      </c>
      <c r="V296" s="1908" t="s">
        <v>4353</v>
      </c>
      <c r="W296" s="1908" t="s">
        <v>3688</v>
      </c>
      <c r="X296" s="1908"/>
      <c r="Y296" s="1908"/>
      <c r="Z296" s="1908"/>
      <c r="AA296" s="1908" t="s">
        <v>3694</v>
      </c>
      <c r="AB296" s="1908" t="s">
        <v>3688</v>
      </c>
      <c r="AC296" s="1908" t="s">
        <v>3804</v>
      </c>
      <c r="AD296" s="2278" t="s">
        <v>3688</v>
      </c>
      <c r="AE296" s="2259"/>
      <c r="AF296" s="2260"/>
      <c r="AG296" s="2278" t="s">
        <v>4132</v>
      </c>
      <c r="AH296" s="2259"/>
      <c r="AI296" s="2260"/>
      <c r="AJ296" s="1908" t="s">
        <v>4355</v>
      </c>
      <c r="AK296" s="2278" t="s">
        <v>3688</v>
      </c>
      <c r="AL296" s="2259"/>
      <c r="AM296" s="2259"/>
      <c r="AN296" s="2259"/>
      <c r="AO296" s="2260"/>
      <c r="AP296" s="1908" t="s">
        <v>3699</v>
      </c>
      <c r="BC296" s="214"/>
      <c r="BD296" s="214"/>
      <c r="BE296" s="214"/>
      <c r="BF296" s="214"/>
    </row>
    <row r="297" spans="1:58" ht="45" hidden="1" customHeight="1">
      <c r="A297" s="808"/>
      <c r="B297" s="2280"/>
      <c r="C297" s="2281"/>
      <c r="D297" s="2282"/>
      <c r="E297" s="1909" t="s">
        <v>3682</v>
      </c>
      <c r="F297" s="1909" t="s">
        <v>3683</v>
      </c>
      <c r="G297" s="1909"/>
      <c r="H297" s="2283" t="s">
        <v>929</v>
      </c>
      <c r="I297" s="2281"/>
      <c r="J297" s="2282"/>
      <c r="K297" s="2283" t="s">
        <v>4422</v>
      </c>
      <c r="L297" s="2282"/>
      <c r="M297" s="1909" t="e">
        <f>VLOOKUP(K297,'Estimate Details'!$R:$BR,20,FALSE)</f>
        <v>#N/A</v>
      </c>
      <c r="N297" s="1909" t="e">
        <f>VLOOKUP(M297,#REF!,2,FALSE)</f>
        <v>#N/A</v>
      </c>
      <c r="O297" s="1909" t="s">
        <v>4423</v>
      </c>
      <c r="P297" s="2284" t="s">
        <v>4130</v>
      </c>
      <c r="Q297" s="2281"/>
      <c r="R297" s="2282"/>
      <c r="S297" s="1909" t="s">
        <v>3688</v>
      </c>
      <c r="T297" s="1909" t="s">
        <v>3689</v>
      </c>
      <c r="U297" s="1909" t="s">
        <v>3690</v>
      </c>
      <c r="V297" s="1909" t="s">
        <v>3691</v>
      </c>
      <c r="W297" s="1909" t="s">
        <v>3688</v>
      </c>
      <c r="X297" s="1909"/>
      <c r="Y297" s="1909"/>
      <c r="Z297" s="1909"/>
      <c r="AA297" s="1909" t="s">
        <v>3957</v>
      </c>
      <c r="AB297" s="1909" t="s">
        <v>3688</v>
      </c>
      <c r="AC297" s="1909" t="s">
        <v>3804</v>
      </c>
      <c r="AD297" s="2283" t="s">
        <v>4424</v>
      </c>
      <c r="AE297" s="2281"/>
      <c r="AF297" s="2282"/>
      <c r="AG297" s="2283" t="s">
        <v>3696</v>
      </c>
      <c r="AH297" s="2281"/>
      <c r="AI297" s="2282"/>
      <c r="AJ297" s="1909" t="s">
        <v>4425</v>
      </c>
      <c r="AK297" s="2283" t="s">
        <v>4426</v>
      </c>
      <c r="AL297" s="2281"/>
      <c r="AM297" s="2259"/>
      <c r="AN297" s="2281"/>
      <c r="AO297" s="2282"/>
      <c r="AP297" s="1909" t="s">
        <v>3699</v>
      </c>
      <c r="BC297" s="214"/>
      <c r="BD297" s="214"/>
      <c r="BE297" s="214"/>
      <c r="BF297" s="214"/>
    </row>
    <row r="298" spans="1:58" ht="45" hidden="1" customHeight="1">
      <c r="A298" s="808"/>
      <c r="B298" s="2280"/>
      <c r="C298" s="2281"/>
      <c r="D298" s="2282"/>
      <c r="E298" s="1909" t="s">
        <v>3682</v>
      </c>
      <c r="F298" s="1909" t="s">
        <v>3683</v>
      </c>
      <c r="G298" s="1909"/>
      <c r="H298" s="2283" t="s">
        <v>929</v>
      </c>
      <c r="I298" s="2281"/>
      <c r="J298" s="2282"/>
      <c r="K298" s="2283" t="s">
        <v>4427</v>
      </c>
      <c r="L298" s="2282"/>
      <c r="M298" s="1909" t="e">
        <f>VLOOKUP(K298,'Estimate Details'!$R:$BR,20,FALSE)</f>
        <v>#N/A</v>
      </c>
      <c r="N298" s="1909" t="e">
        <f>VLOOKUP(M298,#REF!,2,FALSE)</f>
        <v>#N/A</v>
      </c>
      <c r="O298" s="1909" t="s">
        <v>4428</v>
      </c>
      <c r="P298" s="2284" t="s">
        <v>4130</v>
      </c>
      <c r="Q298" s="2281"/>
      <c r="R298" s="2282"/>
      <c r="S298" s="1909" t="s">
        <v>3688</v>
      </c>
      <c r="T298" s="1909" t="s">
        <v>3689</v>
      </c>
      <c r="U298" s="1909" t="s">
        <v>3707</v>
      </c>
      <c r="V298" s="1909" t="s">
        <v>4147</v>
      </c>
      <c r="W298" s="1909" t="s">
        <v>3688</v>
      </c>
      <c r="X298" s="1909"/>
      <c r="Y298" s="1909"/>
      <c r="Z298" s="1909"/>
      <c r="AA298" s="1909" t="s">
        <v>3694</v>
      </c>
      <c r="AB298" s="1909" t="s">
        <v>4161</v>
      </c>
      <c r="AC298" s="1909" t="s">
        <v>4150</v>
      </c>
      <c r="AD298" s="2283" t="s">
        <v>4162</v>
      </c>
      <c r="AE298" s="2281"/>
      <c r="AF298" s="2282"/>
      <c r="AG298" s="2283" t="s">
        <v>3696</v>
      </c>
      <c r="AH298" s="2281"/>
      <c r="AI298" s="2282"/>
      <c r="AJ298" s="1909" t="s">
        <v>4163</v>
      </c>
      <c r="AK298" s="2283" t="s">
        <v>4164</v>
      </c>
      <c r="AL298" s="2281"/>
      <c r="AM298" s="2259"/>
      <c r="AN298" s="2281"/>
      <c r="AO298" s="2282"/>
      <c r="AP298" s="1909" t="s">
        <v>3699</v>
      </c>
      <c r="BC298" s="214"/>
      <c r="BD298" s="214"/>
      <c r="BE298" s="214"/>
      <c r="BF298" s="214"/>
    </row>
    <row r="299" spans="1:58" ht="45" hidden="1" customHeight="1">
      <c r="B299" s="2277"/>
      <c r="C299" s="2259"/>
      <c r="D299" s="2260"/>
      <c r="E299" s="1908" t="s">
        <v>3682</v>
      </c>
      <c r="F299" s="1910" t="s">
        <v>3688</v>
      </c>
      <c r="G299" s="1910"/>
      <c r="H299" s="2285" t="s">
        <v>929</v>
      </c>
      <c r="I299" s="2259"/>
      <c r="J299" s="2260"/>
      <c r="K299" s="2285" t="s">
        <v>4429</v>
      </c>
      <c r="L299" s="2260"/>
      <c r="M299" s="1910" t="e">
        <f>VLOOKUP(K299,'Estimate Details'!$R:$BR,20,FALSE)</f>
        <v>#N/A</v>
      </c>
      <c r="N299" s="1910" t="e">
        <f>VLOOKUP(M299,#REF!,2,FALSE)</f>
        <v>#N/A</v>
      </c>
      <c r="O299" s="1910" t="s">
        <v>4166</v>
      </c>
      <c r="P299" s="2285" t="s">
        <v>3688</v>
      </c>
      <c r="Q299" s="2259"/>
      <c r="R299" s="2260"/>
      <c r="S299" s="1910" t="s">
        <v>4430</v>
      </c>
      <c r="T299" s="1910" t="s">
        <v>3689</v>
      </c>
      <c r="U299" s="1910" t="s">
        <v>3688</v>
      </c>
      <c r="V299" s="1910" t="s">
        <v>3688</v>
      </c>
      <c r="W299" s="1910" t="s">
        <v>3688</v>
      </c>
      <c r="X299" s="1910"/>
      <c r="Y299" s="1910"/>
      <c r="Z299" s="1910"/>
      <c r="AA299" s="1910" t="s">
        <v>3694</v>
      </c>
      <c r="AB299" s="1910" t="s">
        <v>3688</v>
      </c>
      <c r="AC299" s="1910" t="s">
        <v>4105</v>
      </c>
      <c r="AD299" s="2285" t="s">
        <v>3688</v>
      </c>
      <c r="AE299" s="2259"/>
      <c r="AF299" s="2260"/>
      <c r="AG299" s="2285" t="s">
        <v>3696</v>
      </c>
      <c r="AH299" s="2259"/>
      <c r="AI299" s="2260"/>
      <c r="AJ299" s="1910" t="s">
        <v>4168</v>
      </c>
      <c r="AK299" s="2285" t="s">
        <v>3688</v>
      </c>
      <c r="AL299" s="2259"/>
      <c r="AM299" s="2259"/>
      <c r="AN299" s="2259"/>
      <c r="AO299" s="2260"/>
      <c r="AP299" s="1910" t="s">
        <v>3688</v>
      </c>
      <c r="BC299" s="214"/>
      <c r="BD299" s="214"/>
      <c r="BE299" s="214"/>
      <c r="BF299" s="214"/>
    </row>
    <row r="300" spans="1:58" ht="45" hidden="1" customHeight="1">
      <c r="A300" s="808"/>
      <c r="B300" s="2280"/>
      <c r="C300" s="2281"/>
      <c r="D300" s="2282"/>
      <c r="E300" s="1909" t="s">
        <v>3682</v>
      </c>
      <c r="F300" s="1909" t="s">
        <v>3683</v>
      </c>
      <c r="G300" s="1909"/>
      <c r="H300" s="2283" t="s">
        <v>929</v>
      </c>
      <c r="I300" s="2281"/>
      <c r="J300" s="2282"/>
      <c r="K300" s="2283" t="s">
        <v>4431</v>
      </c>
      <c r="L300" s="2282"/>
      <c r="M300" s="1909" t="e">
        <f>VLOOKUP(K300,'Estimate Details'!$R:$BR,20,FALSE)</f>
        <v>#N/A</v>
      </c>
      <c r="N300" s="1909" t="e">
        <f>VLOOKUP(M300,#REF!,2,FALSE)</f>
        <v>#N/A</v>
      </c>
      <c r="O300" s="1909" t="s">
        <v>4432</v>
      </c>
      <c r="P300" s="2284" t="s">
        <v>4130</v>
      </c>
      <c r="Q300" s="2281"/>
      <c r="R300" s="2282"/>
      <c r="S300" s="1909" t="s">
        <v>3688</v>
      </c>
      <c r="T300" s="1909" t="s">
        <v>3689</v>
      </c>
      <c r="U300" s="1909" t="s">
        <v>3707</v>
      </c>
      <c r="V300" s="1909" t="s">
        <v>4147</v>
      </c>
      <c r="W300" s="1909" t="s">
        <v>3688</v>
      </c>
      <c r="X300" s="1909"/>
      <c r="Y300" s="1909"/>
      <c r="Z300" s="1909"/>
      <c r="AA300" s="1909" t="s">
        <v>3694</v>
      </c>
      <c r="AB300" s="1909" t="s">
        <v>4161</v>
      </c>
      <c r="AC300" s="1909" t="s">
        <v>4150</v>
      </c>
      <c r="AD300" s="2283" t="s">
        <v>4162</v>
      </c>
      <c r="AE300" s="2281"/>
      <c r="AF300" s="2282"/>
      <c r="AG300" s="2283" t="s">
        <v>3696</v>
      </c>
      <c r="AH300" s="2281"/>
      <c r="AI300" s="2282"/>
      <c r="AJ300" s="1909" t="s">
        <v>4163</v>
      </c>
      <c r="AK300" s="2283" t="s">
        <v>4164</v>
      </c>
      <c r="AL300" s="2281"/>
      <c r="AM300" s="2259"/>
      <c r="AN300" s="2281"/>
      <c r="AO300" s="2282"/>
      <c r="AP300" s="1909" t="s">
        <v>3699</v>
      </c>
      <c r="BC300" s="214"/>
      <c r="BD300" s="214"/>
      <c r="BE300" s="214"/>
      <c r="BF300" s="214"/>
    </row>
    <row r="301" spans="1:58" ht="45" hidden="1" customHeight="1">
      <c r="B301" s="2277"/>
      <c r="C301" s="2259"/>
      <c r="D301" s="2260"/>
      <c r="E301" s="1908" t="s">
        <v>3682</v>
      </c>
      <c r="F301" s="1910" t="s">
        <v>3688</v>
      </c>
      <c r="G301" s="1910"/>
      <c r="H301" s="2285" t="s">
        <v>929</v>
      </c>
      <c r="I301" s="2259"/>
      <c r="J301" s="2260"/>
      <c r="K301" s="2285" t="s">
        <v>4433</v>
      </c>
      <c r="L301" s="2260"/>
      <c r="M301" s="1910" t="e">
        <f>VLOOKUP(K301,'Estimate Details'!$R:$BR,20,FALSE)</f>
        <v>#N/A</v>
      </c>
      <c r="N301" s="1910" t="e">
        <f>VLOOKUP(M301,#REF!,2,FALSE)</f>
        <v>#N/A</v>
      </c>
      <c r="O301" s="1910" t="s">
        <v>4166</v>
      </c>
      <c r="P301" s="2285" t="s">
        <v>3688</v>
      </c>
      <c r="Q301" s="2259"/>
      <c r="R301" s="2260"/>
      <c r="S301" s="1910" t="s">
        <v>4434</v>
      </c>
      <c r="T301" s="1910" t="s">
        <v>3689</v>
      </c>
      <c r="U301" s="1910" t="s">
        <v>3688</v>
      </c>
      <c r="V301" s="1910" t="s">
        <v>3688</v>
      </c>
      <c r="W301" s="1910" t="s">
        <v>3688</v>
      </c>
      <c r="X301" s="1910"/>
      <c r="Y301" s="1910"/>
      <c r="Z301" s="1910"/>
      <c r="AA301" s="1910" t="s">
        <v>3694</v>
      </c>
      <c r="AB301" s="1910" t="s">
        <v>3688</v>
      </c>
      <c r="AC301" s="1910" t="s">
        <v>4105</v>
      </c>
      <c r="AD301" s="2285" t="s">
        <v>3688</v>
      </c>
      <c r="AE301" s="2259"/>
      <c r="AF301" s="2260"/>
      <c r="AG301" s="2285" t="s">
        <v>3696</v>
      </c>
      <c r="AH301" s="2259"/>
      <c r="AI301" s="2260"/>
      <c r="AJ301" s="1910" t="s">
        <v>4168</v>
      </c>
      <c r="AK301" s="2285" t="s">
        <v>3688</v>
      </c>
      <c r="AL301" s="2259"/>
      <c r="AM301" s="2259"/>
      <c r="AN301" s="2259"/>
      <c r="AO301" s="2260"/>
      <c r="AP301" s="1910" t="s">
        <v>3688</v>
      </c>
      <c r="BC301" s="214"/>
      <c r="BD301" s="214"/>
      <c r="BE301" s="214"/>
      <c r="BF301" s="214"/>
    </row>
    <row r="302" spans="1:58" ht="45" hidden="1" customHeight="1">
      <c r="A302" s="808"/>
      <c r="B302" s="2280"/>
      <c r="C302" s="2281"/>
      <c r="D302" s="2282"/>
      <c r="E302" s="1909" t="s">
        <v>3682</v>
      </c>
      <c r="F302" s="1909" t="s">
        <v>3683</v>
      </c>
      <c r="G302" s="1909"/>
      <c r="H302" s="2283" t="s">
        <v>929</v>
      </c>
      <c r="I302" s="2281"/>
      <c r="J302" s="2282"/>
      <c r="K302" s="2283" t="s">
        <v>939</v>
      </c>
      <c r="L302" s="2282"/>
      <c r="M302" s="1909">
        <f>VLOOKUP(K302,'Estimate Details'!$R:$BR,20,FALSE)</f>
        <v>6641.96</v>
      </c>
      <c r="N302" s="1909" t="e">
        <f>VLOOKUP(M302,#REF!,2,FALSE)</f>
        <v>#REF!</v>
      </c>
      <c r="O302" s="1909" t="s">
        <v>4435</v>
      </c>
      <c r="P302" s="2284" t="s">
        <v>4180</v>
      </c>
      <c r="Q302" s="2281"/>
      <c r="R302" s="2282"/>
      <c r="S302" s="1909" t="s">
        <v>3688</v>
      </c>
      <c r="T302" s="1909" t="s">
        <v>3689</v>
      </c>
      <c r="U302" s="1909" t="s">
        <v>3707</v>
      </c>
      <c r="V302" s="1909" t="s">
        <v>4353</v>
      </c>
      <c r="W302" s="1909" t="s">
        <v>3688</v>
      </c>
      <c r="X302" s="1909"/>
      <c r="Y302" s="1909"/>
      <c r="Z302" s="1909"/>
      <c r="AA302" s="1909" t="s">
        <v>3957</v>
      </c>
      <c r="AB302" s="1909" t="s">
        <v>3688</v>
      </c>
      <c r="AC302" s="1909" t="s">
        <v>3696</v>
      </c>
      <c r="AD302" s="2283" t="s">
        <v>3688</v>
      </c>
      <c r="AE302" s="2281"/>
      <c r="AF302" s="2282"/>
      <c r="AG302" s="2283" t="s">
        <v>3909</v>
      </c>
      <c r="AH302" s="2281"/>
      <c r="AI302" s="2282"/>
      <c r="AJ302" s="1909" t="s">
        <v>4355</v>
      </c>
      <c r="AK302" s="2283" t="s">
        <v>3688</v>
      </c>
      <c r="AL302" s="2281"/>
      <c r="AM302" s="2259"/>
      <c r="AN302" s="2281"/>
      <c r="AO302" s="2282"/>
      <c r="AP302" s="1909" t="s">
        <v>3699</v>
      </c>
      <c r="BC302" s="214"/>
      <c r="BD302" s="214"/>
      <c r="BE302" s="214"/>
      <c r="BF302" s="214"/>
    </row>
    <row r="303" spans="1:58" ht="45" hidden="1" customHeight="1">
      <c r="B303" s="2277"/>
      <c r="C303" s="2259"/>
      <c r="D303" s="2260"/>
      <c r="E303" s="1908" t="s">
        <v>3682</v>
      </c>
      <c r="F303" s="1908" t="s">
        <v>3683</v>
      </c>
      <c r="G303" s="1908"/>
      <c r="H303" s="2278" t="s">
        <v>929</v>
      </c>
      <c r="I303" s="2259"/>
      <c r="J303" s="2260"/>
      <c r="K303" s="2278" t="s">
        <v>942</v>
      </c>
      <c r="L303" s="2260"/>
      <c r="M303" s="1908">
        <f>VLOOKUP(K303,'Estimate Details'!$R:$BR,20,FALSE)</f>
        <v>6641.96</v>
      </c>
      <c r="N303" s="1908" t="e">
        <f>VLOOKUP(M303,#REF!,2,FALSE)</f>
        <v>#REF!</v>
      </c>
      <c r="O303" s="1908" t="s">
        <v>4436</v>
      </c>
      <c r="P303" s="2278" t="s">
        <v>4180</v>
      </c>
      <c r="Q303" s="2259"/>
      <c r="R303" s="2260"/>
      <c r="S303" s="1908" t="s">
        <v>3688</v>
      </c>
      <c r="T303" s="1908" t="s">
        <v>3689</v>
      </c>
      <c r="U303" s="1908" t="s">
        <v>3707</v>
      </c>
      <c r="V303" s="1908" t="s">
        <v>4353</v>
      </c>
      <c r="W303" s="1908" t="s">
        <v>3688</v>
      </c>
      <c r="X303" s="1908"/>
      <c r="Y303" s="1908"/>
      <c r="Z303" s="1908"/>
      <c r="AA303" s="1908" t="s">
        <v>3957</v>
      </c>
      <c r="AB303" s="1908" t="s">
        <v>3688</v>
      </c>
      <c r="AC303" s="1908" t="s">
        <v>3696</v>
      </c>
      <c r="AD303" s="2278" t="s">
        <v>3688</v>
      </c>
      <c r="AE303" s="2259"/>
      <c r="AF303" s="2260"/>
      <c r="AG303" s="2278" t="s">
        <v>3909</v>
      </c>
      <c r="AH303" s="2259"/>
      <c r="AI303" s="2260"/>
      <c r="AJ303" s="1908" t="s">
        <v>4355</v>
      </c>
      <c r="AK303" s="2278" t="s">
        <v>3688</v>
      </c>
      <c r="AL303" s="2259"/>
      <c r="AM303" s="2259"/>
      <c r="AN303" s="2259"/>
      <c r="AO303" s="2260"/>
      <c r="AP303" s="1908" t="s">
        <v>3699</v>
      </c>
      <c r="BC303" s="214"/>
      <c r="BD303" s="214"/>
      <c r="BE303" s="214"/>
      <c r="BF303" s="214"/>
    </row>
    <row r="304" spans="1:58" ht="45" hidden="1" customHeight="1">
      <c r="A304" s="808"/>
      <c r="B304" s="2280"/>
      <c r="C304" s="2281"/>
      <c r="D304" s="2282"/>
      <c r="E304" s="1909" t="s">
        <v>3682</v>
      </c>
      <c r="F304" s="1909" t="s">
        <v>3683</v>
      </c>
      <c r="G304" s="1909"/>
      <c r="H304" s="2283" t="s">
        <v>929</v>
      </c>
      <c r="I304" s="2281"/>
      <c r="J304" s="2282"/>
      <c r="K304" s="2283" t="s">
        <v>945</v>
      </c>
      <c r="L304" s="2282"/>
      <c r="M304" s="1909">
        <f>VLOOKUP(K304,'Estimate Details'!$R:$BR,20,FALSE)</f>
        <v>6641.96</v>
      </c>
      <c r="N304" s="1909" t="e">
        <f>VLOOKUP(M304,#REF!,2,FALSE)</f>
        <v>#REF!</v>
      </c>
      <c r="O304" s="1909" t="s">
        <v>4437</v>
      </c>
      <c r="P304" s="2284" t="s">
        <v>4180</v>
      </c>
      <c r="Q304" s="2281"/>
      <c r="R304" s="2282"/>
      <c r="S304" s="1909" t="s">
        <v>3688</v>
      </c>
      <c r="T304" s="1909" t="s">
        <v>3689</v>
      </c>
      <c r="U304" s="1909" t="s">
        <v>3707</v>
      </c>
      <c r="V304" s="1909" t="s">
        <v>4353</v>
      </c>
      <c r="W304" s="1909" t="s">
        <v>3688</v>
      </c>
      <c r="X304" s="1909"/>
      <c r="Y304" s="1909"/>
      <c r="Z304" s="1909"/>
      <c r="AA304" s="1909" t="s">
        <v>3957</v>
      </c>
      <c r="AB304" s="1909" t="s">
        <v>3688</v>
      </c>
      <c r="AC304" s="1909" t="s">
        <v>3696</v>
      </c>
      <c r="AD304" s="2283" t="s">
        <v>3688</v>
      </c>
      <c r="AE304" s="2281"/>
      <c r="AF304" s="2282"/>
      <c r="AG304" s="2283" t="s">
        <v>4132</v>
      </c>
      <c r="AH304" s="2281"/>
      <c r="AI304" s="2282"/>
      <c r="AJ304" s="1909" t="s">
        <v>4355</v>
      </c>
      <c r="AK304" s="2283" t="s">
        <v>3688</v>
      </c>
      <c r="AL304" s="2281"/>
      <c r="AM304" s="2259"/>
      <c r="AN304" s="2281"/>
      <c r="AO304" s="2282"/>
      <c r="AP304" s="1909" t="s">
        <v>3699</v>
      </c>
      <c r="BC304" s="214"/>
      <c r="BD304" s="214"/>
      <c r="BE304" s="214"/>
      <c r="BF304" s="214"/>
    </row>
    <row r="305" spans="1:58" ht="45" hidden="1" customHeight="1">
      <c r="B305" s="2277"/>
      <c r="C305" s="2259"/>
      <c r="D305" s="2260"/>
      <c r="E305" s="1908" t="s">
        <v>3682</v>
      </c>
      <c r="F305" s="1908" t="s">
        <v>3683</v>
      </c>
      <c r="G305" s="1908"/>
      <c r="H305" s="2278" t="s">
        <v>929</v>
      </c>
      <c r="I305" s="2259"/>
      <c r="J305" s="2260"/>
      <c r="K305" s="2278" t="s">
        <v>948</v>
      </c>
      <c r="L305" s="2260"/>
      <c r="M305" s="1908">
        <f>VLOOKUP(K305,'Estimate Details'!$R:$BR,20,FALSE)</f>
        <v>6641.96</v>
      </c>
      <c r="N305" s="1908" t="e">
        <f>VLOOKUP(M305,#REF!,2,FALSE)</f>
        <v>#REF!</v>
      </c>
      <c r="O305" s="1908" t="s">
        <v>4438</v>
      </c>
      <c r="P305" s="2278" t="s">
        <v>4180</v>
      </c>
      <c r="Q305" s="2259"/>
      <c r="R305" s="2260"/>
      <c r="S305" s="1908" t="s">
        <v>3688</v>
      </c>
      <c r="T305" s="1908" t="s">
        <v>3689</v>
      </c>
      <c r="U305" s="1908" t="s">
        <v>3707</v>
      </c>
      <c r="V305" s="1908" t="s">
        <v>4353</v>
      </c>
      <c r="W305" s="1908" t="s">
        <v>3688</v>
      </c>
      <c r="X305" s="1908"/>
      <c r="Y305" s="1908"/>
      <c r="Z305" s="1908"/>
      <c r="AA305" s="1908" t="s">
        <v>3694</v>
      </c>
      <c r="AB305" s="1908" t="s">
        <v>3688</v>
      </c>
      <c r="AC305" s="1908" t="s">
        <v>3696</v>
      </c>
      <c r="AD305" s="2278" t="s">
        <v>3688</v>
      </c>
      <c r="AE305" s="2259"/>
      <c r="AF305" s="2260"/>
      <c r="AG305" s="2278" t="s">
        <v>4415</v>
      </c>
      <c r="AH305" s="2259"/>
      <c r="AI305" s="2260"/>
      <c r="AJ305" s="1908" t="s">
        <v>4355</v>
      </c>
      <c r="AK305" s="2278" t="s">
        <v>3688</v>
      </c>
      <c r="AL305" s="2259"/>
      <c r="AM305" s="2259"/>
      <c r="AN305" s="2259"/>
      <c r="AO305" s="2260"/>
      <c r="AP305" s="1908" t="s">
        <v>3699</v>
      </c>
      <c r="BC305" s="214"/>
      <c r="BD305" s="214"/>
      <c r="BE305" s="214"/>
      <c r="BF305" s="214"/>
    </row>
    <row r="306" spans="1:58" ht="45" hidden="1" customHeight="1">
      <c r="A306" s="808"/>
      <c r="B306" s="2280"/>
      <c r="C306" s="2281"/>
      <c r="D306" s="2282"/>
      <c r="E306" s="1909" t="s">
        <v>3682</v>
      </c>
      <c r="F306" s="1909" t="s">
        <v>3683</v>
      </c>
      <c r="G306" s="1909"/>
      <c r="H306" s="2283" t="s">
        <v>929</v>
      </c>
      <c r="I306" s="2281"/>
      <c r="J306" s="2282"/>
      <c r="K306" s="2283" t="s">
        <v>951</v>
      </c>
      <c r="L306" s="2282"/>
      <c r="M306" s="1909">
        <f>VLOOKUP(K306,'Estimate Details'!$R:$BR,20,FALSE)</f>
        <v>3320.9800000000005</v>
      </c>
      <c r="N306" s="1909" t="e">
        <f>VLOOKUP(M306,#REF!,2,FALSE)</f>
        <v>#REF!</v>
      </c>
      <c r="O306" s="1909" t="s">
        <v>4439</v>
      </c>
      <c r="P306" s="2284" t="s">
        <v>4180</v>
      </c>
      <c r="Q306" s="2281"/>
      <c r="R306" s="2282"/>
      <c r="S306" s="1909" t="s">
        <v>3688</v>
      </c>
      <c r="T306" s="1909" t="s">
        <v>3689</v>
      </c>
      <c r="U306" s="1909" t="s">
        <v>3707</v>
      </c>
      <c r="V306" s="1909" t="s">
        <v>4147</v>
      </c>
      <c r="W306" s="1909" t="s">
        <v>3688</v>
      </c>
      <c r="X306" s="1909"/>
      <c r="Y306" s="1909"/>
      <c r="Z306" s="1909"/>
      <c r="AA306" s="1909" t="s">
        <v>3957</v>
      </c>
      <c r="AB306" s="1909" t="s">
        <v>4191</v>
      </c>
      <c r="AC306" s="1909" t="s">
        <v>3696</v>
      </c>
      <c r="AD306" s="2283" t="s">
        <v>4192</v>
      </c>
      <c r="AE306" s="2281"/>
      <c r="AF306" s="2282"/>
      <c r="AG306" s="2283" t="s">
        <v>3696</v>
      </c>
      <c r="AH306" s="2281"/>
      <c r="AI306" s="2282"/>
      <c r="AJ306" s="1909" t="s">
        <v>4163</v>
      </c>
      <c r="AK306" s="2283" t="s">
        <v>4193</v>
      </c>
      <c r="AL306" s="2281"/>
      <c r="AM306" s="2259"/>
      <c r="AN306" s="2281"/>
      <c r="AO306" s="2282"/>
      <c r="AP306" s="1909" t="s">
        <v>3699</v>
      </c>
      <c r="BC306" s="214"/>
      <c r="BD306" s="214"/>
      <c r="BE306" s="214"/>
      <c r="BF306" s="214"/>
    </row>
    <row r="307" spans="1:58" ht="45" hidden="1" customHeight="1">
      <c r="B307" s="2277"/>
      <c r="C307" s="2259"/>
      <c r="D307" s="2260"/>
      <c r="E307" s="1908" t="s">
        <v>3682</v>
      </c>
      <c r="F307" s="1908" t="s">
        <v>3683</v>
      </c>
      <c r="G307" s="1908"/>
      <c r="H307" s="2278" t="s">
        <v>929</v>
      </c>
      <c r="I307" s="2259"/>
      <c r="J307" s="2260"/>
      <c r="K307" s="2278" t="s">
        <v>936</v>
      </c>
      <c r="L307" s="2260"/>
      <c r="M307" s="1908">
        <f>VLOOKUP(K307,'Estimate Details'!$R:$BR,20,FALSE)</f>
        <v>8954.42</v>
      </c>
      <c r="N307" s="1908" t="e">
        <f>VLOOKUP(M307,#REF!,2,FALSE)</f>
        <v>#REF!</v>
      </c>
      <c r="O307" s="1908" t="s">
        <v>4440</v>
      </c>
      <c r="P307" s="2278" t="s">
        <v>4352</v>
      </c>
      <c r="Q307" s="2259"/>
      <c r="R307" s="2260"/>
      <c r="S307" s="1908" t="s">
        <v>3688</v>
      </c>
      <c r="T307" s="1908" t="s">
        <v>3689</v>
      </c>
      <c r="U307" s="1908" t="s">
        <v>3707</v>
      </c>
      <c r="V307" s="1908" t="s">
        <v>4131</v>
      </c>
      <c r="W307" s="1908" t="s">
        <v>3688</v>
      </c>
      <c r="X307" s="1908"/>
      <c r="Y307" s="1908"/>
      <c r="Z307" s="1908"/>
      <c r="AA307" s="1908" t="s">
        <v>4354</v>
      </c>
      <c r="AB307" s="1908" t="s">
        <v>3688</v>
      </c>
      <c r="AC307" s="1908" t="s">
        <v>3696</v>
      </c>
      <c r="AD307" s="2278" t="s">
        <v>3688</v>
      </c>
      <c r="AE307" s="2259"/>
      <c r="AF307" s="2260"/>
      <c r="AG307" s="2278" t="s">
        <v>3696</v>
      </c>
      <c r="AH307" s="2259"/>
      <c r="AI307" s="2260"/>
      <c r="AJ307" s="1908" t="s">
        <v>4355</v>
      </c>
      <c r="AK307" s="2278" t="s">
        <v>3688</v>
      </c>
      <c r="AL307" s="2259"/>
      <c r="AM307" s="2259"/>
      <c r="AN307" s="2259"/>
      <c r="AO307" s="2260"/>
      <c r="AP307" s="1908" t="s">
        <v>3699</v>
      </c>
      <c r="BC307" s="214"/>
      <c r="BD307" s="214"/>
      <c r="BE307" s="214"/>
      <c r="BF307" s="214"/>
    </row>
    <row r="308" spans="1:58" ht="45" hidden="1" customHeight="1">
      <c r="A308" s="808"/>
      <c r="B308" s="2280"/>
      <c r="C308" s="2281"/>
      <c r="D308" s="2282"/>
      <c r="E308" s="1909" t="s">
        <v>3682</v>
      </c>
      <c r="F308" s="1909" t="s">
        <v>3683</v>
      </c>
      <c r="G308" s="1909"/>
      <c r="H308" s="2283" t="s">
        <v>975</v>
      </c>
      <c r="I308" s="2281"/>
      <c r="J308" s="2282"/>
      <c r="K308" s="2283" t="s">
        <v>4441</v>
      </c>
      <c r="L308" s="2282"/>
      <c r="M308" s="1909" t="e">
        <f>VLOOKUP(K308,'Estimate Details'!$R:$BR,20,FALSE)</f>
        <v>#N/A</v>
      </c>
      <c r="N308" s="1909" t="e">
        <f>VLOOKUP(M308,#REF!,2,FALSE)</f>
        <v>#N/A</v>
      </c>
      <c r="O308" s="1909" t="s">
        <v>4442</v>
      </c>
      <c r="P308" s="2284" t="s">
        <v>4130</v>
      </c>
      <c r="Q308" s="2281"/>
      <c r="R308" s="2282"/>
      <c r="S308" s="1909" t="s">
        <v>3688</v>
      </c>
      <c r="T308" s="1909" t="s">
        <v>3689</v>
      </c>
      <c r="U308" s="1909" t="s">
        <v>3707</v>
      </c>
      <c r="V308" s="1909" t="s">
        <v>4131</v>
      </c>
      <c r="W308" s="1909" t="s">
        <v>3688</v>
      </c>
      <c r="X308" s="1909"/>
      <c r="Y308" s="1909"/>
      <c r="Z308" s="1909"/>
      <c r="AA308" s="1909" t="s">
        <v>3694</v>
      </c>
      <c r="AB308" s="1909" t="s">
        <v>3688</v>
      </c>
      <c r="AC308" s="1909" t="s">
        <v>3804</v>
      </c>
      <c r="AD308" s="2283" t="s">
        <v>3688</v>
      </c>
      <c r="AE308" s="2281"/>
      <c r="AF308" s="2282"/>
      <c r="AG308" s="2283" t="s">
        <v>3696</v>
      </c>
      <c r="AH308" s="2281"/>
      <c r="AI308" s="2282"/>
      <c r="AJ308" s="1909" t="s">
        <v>4133</v>
      </c>
      <c r="AK308" s="2283" t="s">
        <v>3688</v>
      </c>
      <c r="AL308" s="2281"/>
      <c r="AM308" s="2259"/>
      <c r="AN308" s="2281"/>
      <c r="AO308" s="2282"/>
      <c r="AP308" s="1909" t="s">
        <v>3699</v>
      </c>
      <c r="BC308" s="214"/>
      <c r="BD308" s="214"/>
      <c r="BE308" s="214"/>
      <c r="BF308" s="214"/>
    </row>
    <row r="309" spans="1:58" ht="45" hidden="1" customHeight="1">
      <c r="B309" s="2277"/>
      <c r="C309" s="2259"/>
      <c r="D309" s="2260"/>
      <c r="E309" s="1908" t="s">
        <v>3682</v>
      </c>
      <c r="F309" s="1908" t="s">
        <v>3683</v>
      </c>
      <c r="G309" s="1908"/>
      <c r="H309" s="2278" t="s">
        <v>975</v>
      </c>
      <c r="I309" s="2259"/>
      <c r="J309" s="2260"/>
      <c r="K309" s="2278" t="s">
        <v>4443</v>
      </c>
      <c r="L309" s="2260"/>
      <c r="M309" s="1908" t="e">
        <f>VLOOKUP(K309,'Estimate Details'!$R:$BR,20,FALSE)</f>
        <v>#N/A</v>
      </c>
      <c r="N309" s="1908" t="e">
        <f>VLOOKUP(M309,#REF!,2,FALSE)</f>
        <v>#N/A</v>
      </c>
      <c r="O309" s="1908" t="s">
        <v>4444</v>
      </c>
      <c r="P309" s="2278" t="s">
        <v>4130</v>
      </c>
      <c r="Q309" s="2259"/>
      <c r="R309" s="2260"/>
      <c r="S309" s="1908" t="s">
        <v>3688</v>
      </c>
      <c r="T309" s="1908" t="s">
        <v>3689</v>
      </c>
      <c r="U309" s="1908" t="s">
        <v>3707</v>
      </c>
      <c r="V309" s="1908" t="s">
        <v>4131</v>
      </c>
      <c r="W309" s="1908" t="s">
        <v>3688</v>
      </c>
      <c r="X309" s="1908"/>
      <c r="Y309" s="1908"/>
      <c r="Z309" s="1908"/>
      <c r="AA309" s="1908" t="s">
        <v>3694</v>
      </c>
      <c r="AB309" s="1908" t="s">
        <v>3688</v>
      </c>
      <c r="AC309" s="1908" t="s">
        <v>3804</v>
      </c>
      <c r="AD309" s="2278" t="s">
        <v>3688</v>
      </c>
      <c r="AE309" s="2259"/>
      <c r="AF309" s="2260"/>
      <c r="AG309" s="2278" t="s">
        <v>3696</v>
      </c>
      <c r="AH309" s="2259"/>
      <c r="AI309" s="2260"/>
      <c r="AJ309" s="1908" t="s">
        <v>4133</v>
      </c>
      <c r="AK309" s="2278" t="s">
        <v>3688</v>
      </c>
      <c r="AL309" s="2259"/>
      <c r="AM309" s="2259"/>
      <c r="AN309" s="2259"/>
      <c r="AO309" s="2260"/>
      <c r="AP309" s="1908" t="s">
        <v>3699</v>
      </c>
      <c r="BC309" s="214"/>
      <c r="BD309" s="214"/>
      <c r="BE309" s="214"/>
      <c r="BF309" s="214"/>
    </row>
    <row r="310" spans="1:58" ht="45" hidden="1" customHeight="1">
      <c r="A310" s="808"/>
      <c r="B310" s="2280"/>
      <c r="C310" s="2281"/>
      <c r="D310" s="2282"/>
      <c r="E310" s="1909" t="s">
        <v>3682</v>
      </c>
      <c r="F310" s="1909" t="s">
        <v>3683</v>
      </c>
      <c r="G310" s="1909"/>
      <c r="H310" s="2283" t="s">
        <v>975</v>
      </c>
      <c r="I310" s="2281"/>
      <c r="J310" s="2282"/>
      <c r="K310" s="2283" t="s">
        <v>4445</v>
      </c>
      <c r="L310" s="2282"/>
      <c r="M310" s="1909" t="e">
        <f>VLOOKUP(K310,'Estimate Details'!$R:$BR,20,FALSE)</f>
        <v>#N/A</v>
      </c>
      <c r="N310" s="1909" t="e">
        <f>VLOOKUP(M310,#REF!,2,FALSE)</f>
        <v>#N/A</v>
      </c>
      <c r="O310" s="1909" t="s">
        <v>4055</v>
      </c>
      <c r="P310" s="2284" t="s">
        <v>4055</v>
      </c>
      <c r="Q310" s="2281"/>
      <c r="R310" s="2282"/>
      <c r="S310" s="1909" t="s">
        <v>3688</v>
      </c>
      <c r="T310" s="1909" t="s">
        <v>3689</v>
      </c>
      <c r="U310" s="1909" t="s">
        <v>3707</v>
      </c>
      <c r="V310" s="1909" t="s">
        <v>4131</v>
      </c>
      <c r="W310" s="1909" t="s">
        <v>3688</v>
      </c>
      <c r="X310" s="1909"/>
      <c r="Y310" s="1909"/>
      <c r="Z310" s="1909"/>
      <c r="AA310" s="1909" t="s">
        <v>3694</v>
      </c>
      <c r="AB310" s="1909" t="s">
        <v>3688</v>
      </c>
      <c r="AC310" s="1909" t="s">
        <v>3696</v>
      </c>
      <c r="AD310" s="2283" t="s">
        <v>3688</v>
      </c>
      <c r="AE310" s="2281"/>
      <c r="AF310" s="2282"/>
      <c r="AG310" s="2283" t="s">
        <v>3696</v>
      </c>
      <c r="AH310" s="2281"/>
      <c r="AI310" s="2282"/>
      <c r="AJ310" s="1909" t="s">
        <v>4133</v>
      </c>
      <c r="AK310" s="2283" t="s">
        <v>3688</v>
      </c>
      <c r="AL310" s="2281"/>
      <c r="AM310" s="2259"/>
      <c r="AN310" s="2281"/>
      <c r="AO310" s="2282"/>
      <c r="AP310" s="1909" t="s">
        <v>3699</v>
      </c>
      <c r="BC310" s="214"/>
      <c r="BD310" s="214"/>
      <c r="BE310" s="214"/>
      <c r="BF310" s="214"/>
    </row>
    <row r="311" spans="1:58" ht="45" hidden="1" customHeight="1">
      <c r="B311" s="2277"/>
      <c r="C311" s="2259"/>
      <c r="D311" s="2260"/>
      <c r="E311" s="1908" t="s">
        <v>3682</v>
      </c>
      <c r="F311" s="1908" t="s">
        <v>3683</v>
      </c>
      <c r="G311" s="1908"/>
      <c r="H311" s="2278" t="s">
        <v>975</v>
      </c>
      <c r="I311" s="2259"/>
      <c r="J311" s="2260"/>
      <c r="K311" s="2278" t="s">
        <v>4446</v>
      </c>
      <c r="L311" s="2260"/>
      <c r="M311" s="1908" t="e">
        <f>VLOOKUP(K311,'Estimate Details'!$R:$BR,20,FALSE)</f>
        <v>#N/A</v>
      </c>
      <c r="N311" s="1908" t="e">
        <f>VLOOKUP(M311,#REF!,2,FALSE)</f>
        <v>#N/A</v>
      </c>
      <c r="O311" s="1908" t="s">
        <v>4447</v>
      </c>
      <c r="P311" s="2278" t="s">
        <v>4180</v>
      </c>
      <c r="Q311" s="2259"/>
      <c r="R311" s="2260"/>
      <c r="S311" s="1908" t="s">
        <v>3688</v>
      </c>
      <c r="T311" s="1908" t="s">
        <v>3689</v>
      </c>
      <c r="U311" s="1908" t="s">
        <v>3707</v>
      </c>
      <c r="V311" s="1908" t="s">
        <v>4131</v>
      </c>
      <c r="W311" s="1908" t="s">
        <v>3688</v>
      </c>
      <c r="X311" s="1908"/>
      <c r="Y311" s="1908"/>
      <c r="Z311" s="1908"/>
      <c r="AA311" s="1908" t="s">
        <v>3694</v>
      </c>
      <c r="AB311" s="1908" t="s">
        <v>3688</v>
      </c>
      <c r="AC311" s="1908" t="s">
        <v>3696</v>
      </c>
      <c r="AD311" s="2278" t="s">
        <v>3688</v>
      </c>
      <c r="AE311" s="2259"/>
      <c r="AF311" s="2260"/>
      <c r="AG311" s="2278" t="s">
        <v>3696</v>
      </c>
      <c r="AH311" s="2259"/>
      <c r="AI311" s="2260"/>
      <c r="AJ311" s="1908" t="s">
        <v>4133</v>
      </c>
      <c r="AK311" s="2278" t="s">
        <v>3688</v>
      </c>
      <c r="AL311" s="2259"/>
      <c r="AM311" s="2259"/>
      <c r="AN311" s="2259"/>
      <c r="AO311" s="2260"/>
      <c r="AP311" s="1908" t="s">
        <v>3699</v>
      </c>
      <c r="BC311" s="214"/>
      <c r="BD311" s="214"/>
      <c r="BE311" s="214"/>
      <c r="BF311" s="214"/>
    </row>
    <row r="312" spans="1:58" ht="45" hidden="1" customHeight="1">
      <c r="A312" s="808"/>
      <c r="B312" s="2280"/>
      <c r="C312" s="2281"/>
      <c r="D312" s="2282"/>
      <c r="E312" s="1909" t="s">
        <v>3682</v>
      </c>
      <c r="F312" s="1909" t="s">
        <v>3683</v>
      </c>
      <c r="G312" s="1909"/>
      <c r="H312" s="2283" t="s">
        <v>975</v>
      </c>
      <c r="I312" s="2281"/>
      <c r="J312" s="2282"/>
      <c r="K312" s="2283" t="s">
        <v>971</v>
      </c>
      <c r="L312" s="2282"/>
      <c r="M312" s="1909">
        <f>VLOOKUP(K312,'Estimate Details'!$R:$BR,20,FALSE)</f>
        <v>23101</v>
      </c>
      <c r="N312" s="1909" t="e">
        <f>VLOOKUP(M312,#REF!,2,FALSE)</f>
        <v>#REF!</v>
      </c>
      <c r="O312" s="1909" t="s">
        <v>4448</v>
      </c>
      <c r="P312" s="2284" t="s">
        <v>4352</v>
      </c>
      <c r="Q312" s="2281"/>
      <c r="R312" s="2282"/>
      <c r="S312" s="1909" t="s">
        <v>3688</v>
      </c>
      <c r="T312" s="1909" t="s">
        <v>3689</v>
      </c>
      <c r="U312" s="1909" t="s">
        <v>3707</v>
      </c>
      <c r="V312" s="1909" t="s">
        <v>4131</v>
      </c>
      <c r="W312" s="1909" t="s">
        <v>3688</v>
      </c>
      <c r="X312" s="1909"/>
      <c r="Y312" s="1909"/>
      <c r="Z312" s="1909"/>
      <c r="AA312" s="1909" t="s">
        <v>4354</v>
      </c>
      <c r="AB312" s="1909" t="s">
        <v>3688</v>
      </c>
      <c r="AC312" s="1909" t="s">
        <v>3696</v>
      </c>
      <c r="AD312" s="2283" t="s">
        <v>3688</v>
      </c>
      <c r="AE312" s="2281"/>
      <c r="AF312" s="2282"/>
      <c r="AG312" s="2283" t="s">
        <v>3696</v>
      </c>
      <c r="AH312" s="2281"/>
      <c r="AI312" s="2282"/>
      <c r="AJ312" s="1909" t="s">
        <v>4133</v>
      </c>
      <c r="AK312" s="2283" t="s">
        <v>3688</v>
      </c>
      <c r="AL312" s="2281"/>
      <c r="AM312" s="2259"/>
      <c r="AN312" s="2281"/>
      <c r="AO312" s="2282"/>
      <c r="AP312" s="1909" t="s">
        <v>3699</v>
      </c>
      <c r="BC312" s="214"/>
      <c r="BD312" s="214"/>
      <c r="BE312" s="214"/>
      <c r="BF312" s="214"/>
    </row>
    <row r="313" spans="1:58" ht="45" hidden="1" customHeight="1">
      <c r="B313" s="2277"/>
      <c r="C313" s="2259"/>
      <c r="D313" s="2260"/>
      <c r="E313" s="1908" t="s">
        <v>3682</v>
      </c>
      <c r="F313" s="1908" t="s">
        <v>3683</v>
      </c>
      <c r="G313" s="1908"/>
      <c r="H313" s="2278" t="s">
        <v>1002</v>
      </c>
      <c r="I313" s="2259"/>
      <c r="J313" s="2260"/>
      <c r="K313" s="2278" t="s">
        <v>4449</v>
      </c>
      <c r="L313" s="2260"/>
      <c r="M313" s="1908" t="e">
        <f>VLOOKUP(K313,'Estimate Details'!$R:$BR,20,FALSE)</f>
        <v>#N/A</v>
      </c>
      <c r="N313" s="1908" t="e">
        <f>VLOOKUP(M313,#REF!,2,FALSE)</f>
        <v>#N/A</v>
      </c>
      <c r="O313" s="1908" t="s">
        <v>4450</v>
      </c>
      <c r="P313" s="2278" t="s">
        <v>4130</v>
      </c>
      <c r="Q313" s="2259"/>
      <c r="R313" s="2260"/>
      <c r="S313" s="1908" t="s">
        <v>3688</v>
      </c>
      <c r="T313" s="1908" t="s">
        <v>3689</v>
      </c>
      <c r="U313" s="1908" t="s">
        <v>3707</v>
      </c>
      <c r="V313" s="1908" t="s">
        <v>4147</v>
      </c>
      <c r="W313" s="1908" t="s">
        <v>3688</v>
      </c>
      <c r="X313" s="1908"/>
      <c r="Y313" s="1908"/>
      <c r="Z313" s="1908"/>
      <c r="AA313" s="1908" t="s">
        <v>3694</v>
      </c>
      <c r="AB313" s="1908" t="s">
        <v>4161</v>
      </c>
      <c r="AC313" s="1908" t="s">
        <v>4150</v>
      </c>
      <c r="AD313" s="2278" t="s">
        <v>4162</v>
      </c>
      <c r="AE313" s="2259"/>
      <c r="AF313" s="2260"/>
      <c r="AG313" s="2278" t="s">
        <v>3696</v>
      </c>
      <c r="AH313" s="2259"/>
      <c r="AI313" s="2260"/>
      <c r="AJ313" s="1908" t="s">
        <v>4163</v>
      </c>
      <c r="AK313" s="2278" t="s">
        <v>4164</v>
      </c>
      <c r="AL313" s="2259"/>
      <c r="AM313" s="2259"/>
      <c r="AN313" s="2259"/>
      <c r="AO313" s="2260"/>
      <c r="AP313" s="1908" t="s">
        <v>3699</v>
      </c>
      <c r="BC313" s="214"/>
      <c r="BD313" s="214"/>
      <c r="BE313" s="214"/>
      <c r="BF313" s="214"/>
    </row>
    <row r="314" spans="1:58" ht="45" hidden="1" customHeight="1">
      <c r="A314" s="808"/>
      <c r="B314" s="2280"/>
      <c r="C314" s="2281"/>
      <c r="D314" s="2282"/>
      <c r="E314" s="1909" t="s">
        <v>3682</v>
      </c>
      <c r="F314" s="1911" t="s">
        <v>3688</v>
      </c>
      <c r="G314" s="1911"/>
      <c r="H314" s="2286" t="s">
        <v>1002</v>
      </c>
      <c r="I314" s="2281"/>
      <c r="J314" s="2282"/>
      <c r="K314" s="2286" t="s">
        <v>4451</v>
      </c>
      <c r="L314" s="2282"/>
      <c r="M314" s="1911" t="e">
        <f>VLOOKUP(K314,'Estimate Details'!$R:$BR,20,FALSE)</f>
        <v>#N/A</v>
      </c>
      <c r="N314" s="1911" t="e">
        <f>VLOOKUP(M314,#REF!,2,FALSE)</f>
        <v>#N/A</v>
      </c>
      <c r="O314" s="1911" t="s">
        <v>4166</v>
      </c>
      <c r="P314" s="2287" t="s">
        <v>3688</v>
      </c>
      <c r="Q314" s="2281"/>
      <c r="R314" s="2282"/>
      <c r="S314" s="1911" t="s">
        <v>4452</v>
      </c>
      <c r="T314" s="1911" t="s">
        <v>3689</v>
      </c>
      <c r="U314" s="1911" t="s">
        <v>3688</v>
      </c>
      <c r="V314" s="1911" t="s">
        <v>3688</v>
      </c>
      <c r="W314" s="1911" t="s">
        <v>3688</v>
      </c>
      <c r="X314" s="1911"/>
      <c r="Y314" s="1911"/>
      <c r="Z314" s="1911"/>
      <c r="AA314" s="1911" t="s">
        <v>3694</v>
      </c>
      <c r="AB314" s="1911" t="s">
        <v>3688</v>
      </c>
      <c r="AC314" s="1911" t="s">
        <v>4105</v>
      </c>
      <c r="AD314" s="2286" t="s">
        <v>3688</v>
      </c>
      <c r="AE314" s="2281"/>
      <c r="AF314" s="2282"/>
      <c r="AG314" s="2286" t="s">
        <v>3696</v>
      </c>
      <c r="AH314" s="2281"/>
      <c r="AI314" s="2282"/>
      <c r="AJ314" s="1911" t="s">
        <v>4168</v>
      </c>
      <c r="AK314" s="2286" t="s">
        <v>3688</v>
      </c>
      <c r="AL314" s="2281"/>
      <c r="AM314" s="2259"/>
      <c r="AN314" s="2281"/>
      <c r="AO314" s="2282"/>
      <c r="AP314" s="1911" t="s">
        <v>3688</v>
      </c>
      <c r="BC314" s="214"/>
      <c r="BD314" s="214"/>
      <c r="BE314" s="214"/>
      <c r="BF314" s="214"/>
    </row>
    <row r="315" spans="1:58" ht="45" hidden="1" customHeight="1">
      <c r="B315" s="2277"/>
      <c r="C315" s="2259"/>
      <c r="D315" s="2260"/>
      <c r="E315" s="1908" t="s">
        <v>3682</v>
      </c>
      <c r="F315" s="1908" t="s">
        <v>3683</v>
      </c>
      <c r="G315" s="1908"/>
      <c r="H315" s="2278" t="s">
        <v>1002</v>
      </c>
      <c r="I315" s="2259"/>
      <c r="J315" s="2260"/>
      <c r="K315" s="2278" t="s">
        <v>4453</v>
      </c>
      <c r="L315" s="2260"/>
      <c r="M315" s="1908" t="e">
        <f>VLOOKUP(K315,'Estimate Details'!$R:$BR,20,FALSE)</f>
        <v>#N/A</v>
      </c>
      <c r="N315" s="1908" t="e">
        <f>VLOOKUP(M315,#REF!,2,FALSE)</f>
        <v>#N/A</v>
      </c>
      <c r="O315" s="1908" t="s">
        <v>4454</v>
      </c>
      <c r="P315" s="2278" t="s">
        <v>4130</v>
      </c>
      <c r="Q315" s="2259"/>
      <c r="R315" s="2260"/>
      <c r="S315" s="1908" t="s">
        <v>3688</v>
      </c>
      <c r="T315" s="1908" t="s">
        <v>3689</v>
      </c>
      <c r="U315" s="1908" t="s">
        <v>3707</v>
      </c>
      <c r="V315" s="1908" t="s">
        <v>4147</v>
      </c>
      <c r="W315" s="1908" t="s">
        <v>3688</v>
      </c>
      <c r="X315" s="1908"/>
      <c r="Y315" s="1908"/>
      <c r="Z315" s="1908"/>
      <c r="AA315" s="1908" t="s">
        <v>3694</v>
      </c>
      <c r="AB315" s="1908" t="s">
        <v>4161</v>
      </c>
      <c r="AC315" s="1908" t="s">
        <v>4150</v>
      </c>
      <c r="AD315" s="2278" t="s">
        <v>4162</v>
      </c>
      <c r="AE315" s="2259"/>
      <c r="AF315" s="2260"/>
      <c r="AG315" s="2278" t="s">
        <v>3696</v>
      </c>
      <c r="AH315" s="2259"/>
      <c r="AI315" s="2260"/>
      <c r="AJ315" s="1908" t="s">
        <v>4163</v>
      </c>
      <c r="AK315" s="2278" t="s">
        <v>4164</v>
      </c>
      <c r="AL315" s="2259"/>
      <c r="AM315" s="2259"/>
      <c r="AN315" s="2259"/>
      <c r="AO315" s="2260"/>
      <c r="AP315" s="1908" t="s">
        <v>3699</v>
      </c>
      <c r="BC315" s="214"/>
      <c r="BD315" s="214"/>
      <c r="BE315" s="214"/>
      <c r="BF315" s="214"/>
    </row>
    <row r="316" spans="1:58" ht="45" hidden="1" customHeight="1">
      <c r="A316" s="808"/>
      <c r="B316" s="2280"/>
      <c r="C316" s="2281"/>
      <c r="D316" s="2282"/>
      <c r="E316" s="1909" t="s">
        <v>3682</v>
      </c>
      <c r="F316" s="1911" t="s">
        <v>3688</v>
      </c>
      <c r="G316" s="1911"/>
      <c r="H316" s="2286" t="s">
        <v>1002</v>
      </c>
      <c r="I316" s="2281"/>
      <c r="J316" s="2282"/>
      <c r="K316" s="2286" t="s">
        <v>4455</v>
      </c>
      <c r="L316" s="2282"/>
      <c r="M316" s="1911" t="e">
        <f>VLOOKUP(K316,'Estimate Details'!$R:$BR,20,FALSE)</f>
        <v>#N/A</v>
      </c>
      <c r="N316" s="1911" t="e">
        <f>VLOOKUP(M316,#REF!,2,FALSE)</f>
        <v>#N/A</v>
      </c>
      <c r="O316" s="1911" t="s">
        <v>4166</v>
      </c>
      <c r="P316" s="2287" t="s">
        <v>3688</v>
      </c>
      <c r="Q316" s="2281"/>
      <c r="R316" s="2282"/>
      <c r="S316" s="1911" t="s">
        <v>4456</v>
      </c>
      <c r="T316" s="1911" t="s">
        <v>3689</v>
      </c>
      <c r="U316" s="1911" t="s">
        <v>3688</v>
      </c>
      <c r="V316" s="1911" t="s">
        <v>3688</v>
      </c>
      <c r="W316" s="1911" t="s">
        <v>3688</v>
      </c>
      <c r="X316" s="1911"/>
      <c r="Y316" s="1911"/>
      <c r="Z316" s="1911"/>
      <c r="AA316" s="1911" t="s">
        <v>3694</v>
      </c>
      <c r="AB316" s="1911" t="s">
        <v>3688</v>
      </c>
      <c r="AC316" s="1911" t="s">
        <v>4105</v>
      </c>
      <c r="AD316" s="2286" t="s">
        <v>3688</v>
      </c>
      <c r="AE316" s="2281"/>
      <c r="AF316" s="2282"/>
      <c r="AG316" s="2286" t="s">
        <v>3696</v>
      </c>
      <c r="AH316" s="2281"/>
      <c r="AI316" s="2282"/>
      <c r="AJ316" s="1911" t="s">
        <v>4168</v>
      </c>
      <c r="AK316" s="2286" t="s">
        <v>3688</v>
      </c>
      <c r="AL316" s="2281"/>
      <c r="AM316" s="2259"/>
      <c r="AN316" s="2281"/>
      <c r="AO316" s="2282"/>
      <c r="AP316" s="1911" t="s">
        <v>3688</v>
      </c>
      <c r="BC316" s="214"/>
      <c r="BD316" s="214"/>
      <c r="BE316" s="214"/>
      <c r="BF316" s="214"/>
    </row>
    <row r="317" spans="1:58" ht="45" hidden="1" customHeight="1">
      <c r="B317" s="2277"/>
      <c r="C317" s="2259"/>
      <c r="D317" s="2260"/>
      <c r="E317" s="1908" t="s">
        <v>3682</v>
      </c>
      <c r="F317" s="1908" t="s">
        <v>3683</v>
      </c>
      <c r="G317" s="1908"/>
      <c r="H317" s="2278" t="s">
        <v>1002</v>
      </c>
      <c r="I317" s="2259"/>
      <c r="J317" s="2260"/>
      <c r="K317" s="2278" t="s">
        <v>1005</v>
      </c>
      <c r="L317" s="2260"/>
      <c r="M317" s="1908">
        <f>VLOOKUP(K317,'Estimate Details'!$R:$BR,20,FALSE)</f>
        <v>3320.9800000000005</v>
      </c>
      <c r="N317" s="1908" t="e">
        <f>VLOOKUP(M317,#REF!,2,FALSE)</f>
        <v>#REF!</v>
      </c>
      <c r="O317" s="1908" t="s">
        <v>4457</v>
      </c>
      <c r="P317" s="2278" t="s">
        <v>4180</v>
      </c>
      <c r="Q317" s="2259"/>
      <c r="R317" s="2260"/>
      <c r="S317" s="1908" t="s">
        <v>3688</v>
      </c>
      <c r="T317" s="1908" t="s">
        <v>3689</v>
      </c>
      <c r="U317" s="1908" t="s">
        <v>3707</v>
      </c>
      <c r="V317" s="1908" t="s">
        <v>4147</v>
      </c>
      <c r="W317" s="1908" t="s">
        <v>3688</v>
      </c>
      <c r="X317" s="1908"/>
      <c r="Y317" s="1908"/>
      <c r="Z317" s="1908"/>
      <c r="AA317" s="1908" t="s">
        <v>3957</v>
      </c>
      <c r="AB317" s="1908" t="s">
        <v>4191</v>
      </c>
      <c r="AC317" s="1908" t="s">
        <v>3696</v>
      </c>
      <c r="AD317" s="2278" t="s">
        <v>4192</v>
      </c>
      <c r="AE317" s="2259"/>
      <c r="AF317" s="2260"/>
      <c r="AG317" s="2278" t="s">
        <v>3696</v>
      </c>
      <c r="AH317" s="2259"/>
      <c r="AI317" s="2260"/>
      <c r="AJ317" s="1908" t="s">
        <v>4163</v>
      </c>
      <c r="AK317" s="2278" t="s">
        <v>4193</v>
      </c>
      <c r="AL317" s="2259"/>
      <c r="AM317" s="2259"/>
      <c r="AN317" s="2259"/>
      <c r="AO317" s="2260"/>
      <c r="AP317" s="1908" t="s">
        <v>3699</v>
      </c>
      <c r="BC317" s="214"/>
      <c r="BD317" s="214"/>
      <c r="BE317" s="214"/>
      <c r="BF317" s="214"/>
    </row>
    <row r="318" spans="1:58" ht="45" hidden="1" customHeight="1">
      <c r="A318" s="808"/>
      <c r="B318" s="2280"/>
      <c r="C318" s="2281"/>
      <c r="D318" s="2282"/>
      <c r="E318" s="1909" t="s">
        <v>3682</v>
      </c>
      <c r="F318" s="1909" t="s">
        <v>4458</v>
      </c>
      <c r="G318" s="1909"/>
      <c r="H318" s="2283" t="s">
        <v>4459</v>
      </c>
      <c r="I318" s="2281"/>
      <c r="J318" s="2282"/>
      <c r="K318" s="2283" t="s">
        <v>4460</v>
      </c>
      <c r="L318" s="2282"/>
      <c r="M318" s="1909" t="e">
        <f>VLOOKUP(K318,'Estimate Details'!$R:$BR,20,FALSE)</f>
        <v>#N/A</v>
      </c>
      <c r="N318" s="1909" t="e">
        <f>VLOOKUP(M318,#REF!,2,FALSE)</f>
        <v>#N/A</v>
      </c>
      <c r="O318" s="1909" t="s">
        <v>4461</v>
      </c>
      <c r="P318" s="2284" t="s">
        <v>3687</v>
      </c>
      <c r="Q318" s="2281"/>
      <c r="R318" s="2282"/>
      <c r="S318" s="1909" t="s">
        <v>3688</v>
      </c>
      <c r="T318" s="1909" t="s">
        <v>3689</v>
      </c>
      <c r="U318" s="1909" t="s">
        <v>3690</v>
      </c>
      <c r="V318" s="1909" t="s">
        <v>3708</v>
      </c>
      <c r="W318" s="1909" t="s">
        <v>3688</v>
      </c>
      <c r="X318" s="1909" t="s">
        <v>3709</v>
      </c>
      <c r="Y318" s="1909" t="s">
        <v>3710</v>
      </c>
      <c r="Z318" s="1909"/>
      <c r="AA318" s="1909" t="s">
        <v>3694</v>
      </c>
      <c r="AB318" s="1909" t="s">
        <v>3711</v>
      </c>
      <c r="AC318" s="1909" t="s">
        <v>3696</v>
      </c>
      <c r="AD318" s="2283" t="s">
        <v>4462</v>
      </c>
      <c r="AE318" s="2281"/>
      <c r="AF318" s="2282"/>
      <c r="AG318" s="2283" t="s">
        <v>4463</v>
      </c>
      <c r="AH318" s="2281"/>
      <c r="AI318" s="2282"/>
      <c r="AJ318" s="1909" t="s">
        <v>3714</v>
      </c>
      <c r="AK318" s="2283" t="s">
        <v>3715</v>
      </c>
      <c r="AL318" s="2281"/>
      <c r="AM318" s="2259"/>
      <c r="AN318" s="2281"/>
      <c r="AO318" s="2282"/>
      <c r="AP318" s="1909" t="s">
        <v>3699</v>
      </c>
      <c r="BC318" s="214"/>
      <c r="BD318" s="214"/>
      <c r="BE318" s="214"/>
      <c r="BF318" s="214"/>
    </row>
    <row r="319" spans="1:58" ht="45" hidden="1" customHeight="1">
      <c r="B319" s="2277"/>
      <c r="C319" s="2259"/>
      <c r="D319" s="2260"/>
      <c r="E319" s="1908" t="s">
        <v>3682</v>
      </c>
      <c r="F319" s="1908" t="s">
        <v>4458</v>
      </c>
      <c r="G319" s="1908"/>
      <c r="H319" s="2278" t="s">
        <v>4459</v>
      </c>
      <c r="I319" s="2259"/>
      <c r="J319" s="2260"/>
      <c r="K319" s="2278" t="s">
        <v>4464</v>
      </c>
      <c r="L319" s="2260"/>
      <c r="M319" s="1908" t="e">
        <f>VLOOKUP(K319,'Estimate Details'!$R:$BR,20,FALSE)</f>
        <v>#N/A</v>
      </c>
      <c r="N319" s="1908" t="e">
        <f>VLOOKUP(M319,#REF!,2,FALSE)</f>
        <v>#N/A</v>
      </c>
      <c r="O319" s="1908" t="s">
        <v>4461</v>
      </c>
      <c r="P319" s="2278" t="s">
        <v>3687</v>
      </c>
      <c r="Q319" s="2259"/>
      <c r="R319" s="2260"/>
      <c r="S319" s="1908" t="s">
        <v>3688</v>
      </c>
      <c r="T319" s="1908" t="s">
        <v>3689</v>
      </c>
      <c r="U319" s="1908" t="s">
        <v>3690</v>
      </c>
      <c r="V319" s="1908" t="s">
        <v>3708</v>
      </c>
      <c r="W319" s="1908" t="s">
        <v>3688</v>
      </c>
      <c r="X319" s="1908" t="s">
        <v>3709</v>
      </c>
      <c r="Y319" s="1908" t="s">
        <v>3710</v>
      </c>
      <c r="Z319" s="1908"/>
      <c r="AA319" s="1908" t="s">
        <v>3694</v>
      </c>
      <c r="AB319" s="1908" t="s">
        <v>3711</v>
      </c>
      <c r="AC319" s="1908" t="s">
        <v>3696</v>
      </c>
      <c r="AD319" s="2278" t="s">
        <v>4462</v>
      </c>
      <c r="AE319" s="2259"/>
      <c r="AF319" s="2260"/>
      <c r="AG319" s="2278" t="s">
        <v>4463</v>
      </c>
      <c r="AH319" s="2259"/>
      <c r="AI319" s="2260"/>
      <c r="AJ319" s="1908" t="s">
        <v>3714</v>
      </c>
      <c r="AK319" s="2278" t="s">
        <v>3715</v>
      </c>
      <c r="AL319" s="2259"/>
      <c r="AM319" s="2259"/>
      <c r="AN319" s="2259"/>
      <c r="AO319" s="2260"/>
      <c r="AP319" s="1908" t="s">
        <v>3699</v>
      </c>
      <c r="BC319" s="214"/>
      <c r="BD319" s="214"/>
      <c r="BE319" s="214"/>
      <c r="BF319" s="214"/>
    </row>
    <row r="320" spans="1:58" ht="45" hidden="1" customHeight="1">
      <c r="A320" s="808"/>
      <c r="B320" s="2280"/>
      <c r="C320" s="2281"/>
      <c r="D320" s="2282"/>
      <c r="E320" s="1909" t="s">
        <v>3682</v>
      </c>
      <c r="F320" s="1909" t="s">
        <v>4458</v>
      </c>
      <c r="G320" s="1909"/>
      <c r="H320" s="2283" t="s">
        <v>4459</v>
      </c>
      <c r="I320" s="2281"/>
      <c r="J320" s="2282"/>
      <c r="K320" s="2283" t="s">
        <v>4465</v>
      </c>
      <c r="L320" s="2282"/>
      <c r="M320" s="1909" t="e">
        <f>VLOOKUP(K320,'Estimate Details'!$R:$BR,20,FALSE)</f>
        <v>#N/A</v>
      </c>
      <c r="N320" s="1909" t="e">
        <f>VLOOKUP(M320,#REF!,2,FALSE)</f>
        <v>#N/A</v>
      </c>
      <c r="O320" s="1909" t="s">
        <v>4466</v>
      </c>
      <c r="P320" s="2284" t="s">
        <v>3687</v>
      </c>
      <c r="Q320" s="2281"/>
      <c r="R320" s="2282"/>
      <c r="S320" s="1909" t="s">
        <v>3688</v>
      </c>
      <c r="T320" s="1909" t="s">
        <v>3689</v>
      </c>
      <c r="U320" s="1909" t="s">
        <v>3690</v>
      </c>
      <c r="V320" s="1909" t="s">
        <v>3708</v>
      </c>
      <c r="W320" s="1909" t="s">
        <v>3688</v>
      </c>
      <c r="X320" s="1909" t="s">
        <v>4467</v>
      </c>
      <c r="Y320" s="1909" t="s">
        <v>4468</v>
      </c>
      <c r="Z320" s="1909"/>
      <c r="AA320" s="1909" t="s">
        <v>3694</v>
      </c>
      <c r="AB320" s="1909" t="s">
        <v>4469</v>
      </c>
      <c r="AC320" s="1909" t="s">
        <v>3696</v>
      </c>
      <c r="AD320" s="2283" t="s">
        <v>4470</v>
      </c>
      <c r="AE320" s="2281"/>
      <c r="AF320" s="2282"/>
      <c r="AG320" s="2283" t="s">
        <v>4463</v>
      </c>
      <c r="AH320" s="2281"/>
      <c r="AI320" s="2282"/>
      <c r="AJ320" s="1909" t="s">
        <v>3714</v>
      </c>
      <c r="AK320" s="2283" t="s">
        <v>4471</v>
      </c>
      <c r="AL320" s="2281"/>
      <c r="AM320" s="2259"/>
      <c r="AN320" s="2281"/>
      <c r="AO320" s="2282"/>
      <c r="AP320" s="1909" t="s">
        <v>3699</v>
      </c>
      <c r="BC320" s="214"/>
      <c r="BD320" s="214"/>
      <c r="BE320" s="214"/>
      <c r="BF320" s="214"/>
    </row>
    <row r="321" spans="1:58" ht="45" hidden="1" customHeight="1">
      <c r="B321" s="2277"/>
      <c r="C321" s="2259"/>
      <c r="D321" s="2260"/>
      <c r="E321" s="1908" t="s">
        <v>3682</v>
      </c>
      <c r="F321" s="1908" t="s">
        <v>4458</v>
      </c>
      <c r="G321" s="1908"/>
      <c r="H321" s="2278" t="s">
        <v>4459</v>
      </c>
      <c r="I321" s="2259"/>
      <c r="J321" s="2260"/>
      <c r="K321" s="2278" t="s">
        <v>4472</v>
      </c>
      <c r="L321" s="2260"/>
      <c r="M321" s="1908" t="e">
        <f>VLOOKUP(K321,'Estimate Details'!$R:$BR,20,FALSE)</f>
        <v>#N/A</v>
      </c>
      <c r="N321" s="1908" t="e">
        <f>VLOOKUP(M321,#REF!,2,FALSE)</f>
        <v>#N/A</v>
      </c>
      <c r="O321" s="1908" t="s">
        <v>4466</v>
      </c>
      <c r="P321" s="2278" t="s">
        <v>3687</v>
      </c>
      <c r="Q321" s="2259"/>
      <c r="R321" s="2260"/>
      <c r="S321" s="1908" t="s">
        <v>3688</v>
      </c>
      <c r="T321" s="1908" t="s">
        <v>3689</v>
      </c>
      <c r="U321" s="1908" t="s">
        <v>3690</v>
      </c>
      <c r="V321" s="1908" t="s">
        <v>3708</v>
      </c>
      <c r="W321" s="1908" t="s">
        <v>3688</v>
      </c>
      <c r="X321" s="1908" t="s">
        <v>4467</v>
      </c>
      <c r="Y321" s="1908" t="s">
        <v>4468</v>
      </c>
      <c r="Z321" s="1908"/>
      <c r="AA321" s="1908" t="s">
        <v>3694</v>
      </c>
      <c r="AB321" s="1908" t="s">
        <v>4469</v>
      </c>
      <c r="AC321" s="1908" t="s">
        <v>3696</v>
      </c>
      <c r="AD321" s="2278" t="s">
        <v>4473</v>
      </c>
      <c r="AE321" s="2259"/>
      <c r="AF321" s="2260"/>
      <c r="AG321" s="2278" t="s">
        <v>4463</v>
      </c>
      <c r="AH321" s="2259"/>
      <c r="AI321" s="2260"/>
      <c r="AJ321" s="1908" t="s">
        <v>3714</v>
      </c>
      <c r="AK321" s="2278" t="s">
        <v>4471</v>
      </c>
      <c r="AL321" s="2259"/>
      <c r="AM321" s="2259"/>
      <c r="AN321" s="2259"/>
      <c r="AO321" s="2260"/>
      <c r="AP321" s="1908" t="s">
        <v>3699</v>
      </c>
      <c r="BC321" s="214"/>
      <c r="BD321" s="214"/>
      <c r="BE321" s="214"/>
      <c r="BF321" s="214"/>
    </row>
    <row r="322" spans="1:58" ht="45" hidden="1" customHeight="1">
      <c r="A322" s="808"/>
      <c r="B322" s="2280"/>
      <c r="C322" s="2281"/>
      <c r="D322" s="2282"/>
      <c r="E322" s="1909" t="s">
        <v>3682</v>
      </c>
      <c r="F322" s="1909" t="s">
        <v>4458</v>
      </c>
      <c r="G322" s="1909"/>
      <c r="H322" s="2283" t="s">
        <v>4459</v>
      </c>
      <c r="I322" s="2281"/>
      <c r="J322" s="2282"/>
      <c r="K322" s="2283" t="s">
        <v>4474</v>
      </c>
      <c r="L322" s="2282"/>
      <c r="M322" s="1909" t="e">
        <f>VLOOKUP(K322,'Estimate Details'!$R:$BR,20,FALSE)</f>
        <v>#N/A</v>
      </c>
      <c r="N322" s="1909" t="e">
        <f>VLOOKUP(M322,#REF!,2,FALSE)</f>
        <v>#N/A</v>
      </c>
      <c r="O322" s="1909" t="s">
        <v>4466</v>
      </c>
      <c r="P322" s="2284" t="s">
        <v>3687</v>
      </c>
      <c r="Q322" s="2281"/>
      <c r="R322" s="2282"/>
      <c r="S322" s="1909" t="s">
        <v>3688</v>
      </c>
      <c r="T322" s="1909" t="s">
        <v>3689</v>
      </c>
      <c r="U322" s="1909" t="s">
        <v>3690</v>
      </c>
      <c r="V322" s="1909" t="s">
        <v>3708</v>
      </c>
      <c r="W322" s="1909" t="s">
        <v>3688</v>
      </c>
      <c r="X322" s="1909" t="s">
        <v>4467</v>
      </c>
      <c r="Y322" s="1909" t="s">
        <v>4468</v>
      </c>
      <c r="Z322" s="1909"/>
      <c r="AA322" s="1909" t="s">
        <v>3694</v>
      </c>
      <c r="AB322" s="1909" t="s">
        <v>4469</v>
      </c>
      <c r="AC322" s="1909" t="s">
        <v>3696</v>
      </c>
      <c r="AD322" s="2283" t="s">
        <v>4475</v>
      </c>
      <c r="AE322" s="2281"/>
      <c r="AF322" s="2282"/>
      <c r="AG322" s="2283" t="s">
        <v>4463</v>
      </c>
      <c r="AH322" s="2281"/>
      <c r="AI322" s="2282"/>
      <c r="AJ322" s="1909" t="s">
        <v>3714</v>
      </c>
      <c r="AK322" s="2283" t="s">
        <v>4471</v>
      </c>
      <c r="AL322" s="2281"/>
      <c r="AM322" s="2259"/>
      <c r="AN322" s="2281"/>
      <c r="AO322" s="2282"/>
      <c r="AP322" s="1909" t="s">
        <v>3699</v>
      </c>
      <c r="BC322" s="214"/>
      <c r="BD322" s="214"/>
      <c r="BE322" s="214"/>
      <c r="BF322" s="214"/>
    </row>
    <row r="323" spans="1:58" ht="45" hidden="1" customHeight="1">
      <c r="B323" s="2277"/>
      <c r="C323" s="2259"/>
      <c r="D323" s="2260"/>
      <c r="E323" s="1908" t="s">
        <v>3682</v>
      </c>
      <c r="F323" s="1908" t="s">
        <v>4458</v>
      </c>
      <c r="G323" s="1908"/>
      <c r="H323" s="2278" t="s">
        <v>4459</v>
      </c>
      <c r="I323" s="2259"/>
      <c r="J323" s="2260"/>
      <c r="K323" s="2278" t="s">
        <v>4476</v>
      </c>
      <c r="L323" s="2260"/>
      <c r="M323" s="1908" t="e">
        <f>VLOOKUP(K323,'Estimate Details'!$R:$BR,20,FALSE)</f>
        <v>#N/A</v>
      </c>
      <c r="N323" s="1908" t="e">
        <f>VLOOKUP(M323,#REF!,2,FALSE)</f>
        <v>#N/A</v>
      </c>
      <c r="O323" s="1908" t="s">
        <v>4466</v>
      </c>
      <c r="P323" s="2278" t="s">
        <v>3687</v>
      </c>
      <c r="Q323" s="2259"/>
      <c r="R323" s="2260"/>
      <c r="S323" s="1908" t="s">
        <v>3688</v>
      </c>
      <c r="T323" s="1908" t="s">
        <v>3689</v>
      </c>
      <c r="U323" s="1908" t="s">
        <v>3690</v>
      </c>
      <c r="V323" s="1908" t="s">
        <v>3708</v>
      </c>
      <c r="W323" s="1908" t="s">
        <v>3688</v>
      </c>
      <c r="X323" s="1908" t="s">
        <v>4467</v>
      </c>
      <c r="Y323" s="1908" t="s">
        <v>4468</v>
      </c>
      <c r="Z323" s="1908"/>
      <c r="AA323" s="1908" t="s">
        <v>3694</v>
      </c>
      <c r="AB323" s="1908" t="s">
        <v>4469</v>
      </c>
      <c r="AC323" s="1908" t="s">
        <v>3696</v>
      </c>
      <c r="AD323" s="2278" t="s">
        <v>1</v>
      </c>
      <c r="AE323" s="2259"/>
      <c r="AF323" s="2260"/>
      <c r="AG323" s="2278" t="s">
        <v>4463</v>
      </c>
      <c r="AH323" s="2259"/>
      <c r="AI323" s="2260"/>
      <c r="AJ323" s="1908" t="s">
        <v>3714</v>
      </c>
      <c r="AK323" s="2278" t="s">
        <v>4471</v>
      </c>
      <c r="AL323" s="2259"/>
      <c r="AM323" s="2259"/>
      <c r="AN323" s="2259"/>
      <c r="AO323" s="2260"/>
      <c r="AP323" s="1908" t="s">
        <v>3699</v>
      </c>
      <c r="BC323" s="214"/>
      <c r="BD323" s="214"/>
      <c r="BE323" s="214"/>
      <c r="BF323" s="214"/>
    </row>
    <row r="324" spans="1:58" ht="45" hidden="1" customHeight="1">
      <c r="A324" s="808"/>
      <c r="B324" s="2280"/>
      <c r="C324" s="2281"/>
      <c r="D324" s="2282"/>
      <c r="E324" s="1909" t="s">
        <v>3682</v>
      </c>
      <c r="F324" s="1909" t="s">
        <v>4458</v>
      </c>
      <c r="G324" s="1909"/>
      <c r="H324" s="2283" t="s">
        <v>4459</v>
      </c>
      <c r="I324" s="2281"/>
      <c r="J324" s="2282"/>
      <c r="K324" s="2283" t="s">
        <v>4477</v>
      </c>
      <c r="L324" s="2282"/>
      <c r="M324" s="1909" t="e">
        <f>VLOOKUP(K324,'Estimate Details'!$R:$BR,20,FALSE)</f>
        <v>#N/A</v>
      </c>
      <c r="N324" s="1909" t="e">
        <f>VLOOKUP(M324,#REF!,2,FALSE)</f>
        <v>#N/A</v>
      </c>
      <c r="O324" s="1909" t="s">
        <v>4478</v>
      </c>
      <c r="P324" s="2284" t="s">
        <v>3687</v>
      </c>
      <c r="Q324" s="2281"/>
      <c r="R324" s="2282"/>
      <c r="S324" s="1909" t="s">
        <v>3688</v>
      </c>
      <c r="T324" s="1909" t="s">
        <v>3689</v>
      </c>
      <c r="U324" s="1909" t="s">
        <v>3690</v>
      </c>
      <c r="V324" s="1909" t="s">
        <v>3708</v>
      </c>
      <c r="W324" s="1909" t="s">
        <v>3688</v>
      </c>
      <c r="X324" s="1909" t="s">
        <v>4479</v>
      </c>
      <c r="Y324" s="1909" t="s">
        <v>4480</v>
      </c>
      <c r="Z324" s="1909"/>
      <c r="AA324" s="1909" t="s">
        <v>3694</v>
      </c>
      <c r="AB324" s="1909" t="s">
        <v>4481</v>
      </c>
      <c r="AC324" s="1909" t="s">
        <v>3696</v>
      </c>
      <c r="AD324" s="2283" t="s">
        <v>4482</v>
      </c>
      <c r="AE324" s="2281"/>
      <c r="AF324" s="2282"/>
      <c r="AG324" s="2283" t="s">
        <v>4463</v>
      </c>
      <c r="AH324" s="2281"/>
      <c r="AI324" s="2282"/>
      <c r="AJ324" s="1909" t="s">
        <v>3714</v>
      </c>
      <c r="AK324" s="2283" t="s">
        <v>4483</v>
      </c>
      <c r="AL324" s="2281"/>
      <c r="AM324" s="2259"/>
      <c r="AN324" s="2281"/>
      <c r="AO324" s="2282"/>
      <c r="AP324" s="1909" t="s">
        <v>3699</v>
      </c>
      <c r="BC324" s="214"/>
      <c r="BD324" s="214"/>
      <c r="BE324" s="214"/>
      <c r="BF324" s="214"/>
    </row>
    <row r="325" spans="1:58" ht="45" hidden="1" customHeight="1">
      <c r="B325" s="2277"/>
      <c r="C325" s="2259"/>
      <c r="D325" s="2260"/>
      <c r="E325" s="1908" t="s">
        <v>3682</v>
      </c>
      <c r="F325" s="1908" t="s">
        <v>4458</v>
      </c>
      <c r="G325" s="1908"/>
      <c r="H325" s="2278" t="s">
        <v>4459</v>
      </c>
      <c r="I325" s="2259"/>
      <c r="J325" s="2260"/>
      <c r="K325" s="2278" t="s">
        <v>4484</v>
      </c>
      <c r="L325" s="2260"/>
      <c r="M325" s="1908" t="e">
        <f>VLOOKUP(K325,'Estimate Details'!$R:$BR,20,FALSE)</f>
        <v>#N/A</v>
      </c>
      <c r="N325" s="1908" t="e">
        <f>VLOOKUP(M325,#REF!,2,FALSE)</f>
        <v>#N/A</v>
      </c>
      <c r="O325" s="1908" t="s">
        <v>3686</v>
      </c>
      <c r="P325" s="2278" t="s">
        <v>3687</v>
      </c>
      <c r="Q325" s="2259"/>
      <c r="R325" s="2260"/>
      <c r="S325" s="1908" t="s">
        <v>3688</v>
      </c>
      <c r="T325" s="1908" t="s">
        <v>3689</v>
      </c>
      <c r="U325" s="1908" t="s">
        <v>3690</v>
      </c>
      <c r="V325" s="1908" t="s">
        <v>3691</v>
      </c>
      <c r="W325" s="1908" t="s">
        <v>3688</v>
      </c>
      <c r="X325" s="1908" t="s">
        <v>3692</v>
      </c>
      <c r="Y325" s="1908" t="s">
        <v>3693</v>
      </c>
      <c r="Z325" s="1908"/>
      <c r="AA325" s="1908" t="s">
        <v>3694</v>
      </c>
      <c r="AB325" s="1908" t="s">
        <v>3695</v>
      </c>
      <c r="AC325" s="1908" t="s">
        <v>3696</v>
      </c>
      <c r="AD325" s="2278" t="s">
        <v>3688</v>
      </c>
      <c r="AE325" s="2259"/>
      <c r="AF325" s="2260"/>
      <c r="AG325" s="2278" t="s">
        <v>3696</v>
      </c>
      <c r="AH325" s="2259"/>
      <c r="AI325" s="2260"/>
      <c r="AJ325" s="1908" t="s">
        <v>3697</v>
      </c>
      <c r="AK325" s="2278" t="s">
        <v>3698</v>
      </c>
      <c r="AL325" s="2259"/>
      <c r="AM325" s="2259"/>
      <c r="AN325" s="2259"/>
      <c r="AO325" s="2260"/>
      <c r="AP325" s="1908" t="s">
        <v>3699</v>
      </c>
      <c r="BC325" s="214"/>
      <c r="BD325" s="214"/>
      <c r="BE325" s="214"/>
      <c r="BF325" s="214"/>
    </row>
    <row r="326" spans="1:58" ht="45" hidden="1" customHeight="1">
      <c r="A326" s="808"/>
      <c r="B326" s="2280"/>
      <c r="C326" s="2281"/>
      <c r="D326" s="2282"/>
      <c r="E326" s="1909" t="s">
        <v>3682</v>
      </c>
      <c r="F326" s="1909" t="s">
        <v>4458</v>
      </c>
      <c r="G326" s="1909"/>
      <c r="H326" s="2283" t="s">
        <v>4459</v>
      </c>
      <c r="I326" s="2281"/>
      <c r="J326" s="2282"/>
      <c r="K326" s="2283" t="s">
        <v>4485</v>
      </c>
      <c r="L326" s="2282"/>
      <c r="M326" s="1909" t="e">
        <f>VLOOKUP(K326,'Estimate Details'!$R:$BR,20,FALSE)</f>
        <v>#N/A</v>
      </c>
      <c r="N326" s="1909" t="e">
        <f>VLOOKUP(M326,#REF!,2,FALSE)</f>
        <v>#N/A</v>
      </c>
      <c r="O326" s="1909" t="s">
        <v>3686</v>
      </c>
      <c r="P326" s="2284" t="s">
        <v>3687</v>
      </c>
      <c r="Q326" s="2281"/>
      <c r="R326" s="2282"/>
      <c r="S326" s="1909" t="s">
        <v>3688</v>
      </c>
      <c r="T326" s="1909" t="s">
        <v>3689</v>
      </c>
      <c r="U326" s="1909" t="s">
        <v>3690</v>
      </c>
      <c r="V326" s="1909" t="s">
        <v>3691</v>
      </c>
      <c r="W326" s="1909" t="s">
        <v>3688</v>
      </c>
      <c r="X326" s="1909" t="s">
        <v>3692</v>
      </c>
      <c r="Y326" s="1909" t="s">
        <v>3693</v>
      </c>
      <c r="Z326" s="1909"/>
      <c r="AA326" s="1909" t="s">
        <v>3694</v>
      </c>
      <c r="AB326" s="1909" t="s">
        <v>3695</v>
      </c>
      <c r="AC326" s="1909" t="s">
        <v>3696</v>
      </c>
      <c r="AD326" s="2283" t="s">
        <v>3688</v>
      </c>
      <c r="AE326" s="2281"/>
      <c r="AF326" s="2282"/>
      <c r="AG326" s="2283" t="s">
        <v>3696</v>
      </c>
      <c r="AH326" s="2281"/>
      <c r="AI326" s="2282"/>
      <c r="AJ326" s="1909" t="s">
        <v>3697</v>
      </c>
      <c r="AK326" s="2283" t="s">
        <v>3698</v>
      </c>
      <c r="AL326" s="2281"/>
      <c r="AM326" s="2259"/>
      <c r="AN326" s="2281"/>
      <c r="AO326" s="2282"/>
      <c r="AP326" s="1909" t="s">
        <v>3699</v>
      </c>
      <c r="BC326" s="214"/>
      <c r="BD326" s="214"/>
      <c r="BE326" s="214"/>
      <c r="BF326" s="214"/>
    </row>
    <row r="327" spans="1:58" ht="45" hidden="1" customHeight="1">
      <c r="B327" s="2277"/>
      <c r="C327" s="2259"/>
      <c r="D327" s="2260"/>
      <c r="E327" s="1908" t="s">
        <v>3682</v>
      </c>
      <c r="F327" s="1908" t="s">
        <v>4458</v>
      </c>
      <c r="G327" s="1908"/>
      <c r="H327" s="2278" t="s">
        <v>4459</v>
      </c>
      <c r="I327" s="2259"/>
      <c r="J327" s="2260"/>
      <c r="K327" s="2278" t="s">
        <v>4486</v>
      </c>
      <c r="L327" s="2260"/>
      <c r="M327" s="1908" t="e">
        <f>VLOOKUP(K327,'Estimate Details'!$R:$BR,20,FALSE)</f>
        <v>#N/A</v>
      </c>
      <c r="N327" s="1908" t="e">
        <f>VLOOKUP(M327,#REF!,2,FALSE)</f>
        <v>#N/A</v>
      </c>
      <c r="O327" s="1908" t="s">
        <v>3686</v>
      </c>
      <c r="P327" s="2278" t="s">
        <v>3687</v>
      </c>
      <c r="Q327" s="2259"/>
      <c r="R327" s="2260"/>
      <c r="S327" s="1908" t="s">
        <v>3688</v>
      </c>
      <c r="T327" s="1908" t="s">
        <v>3689</v>
      </c>
      <c r="U327" s="1908" t="s">
        <v>3690</v>
      </c>
      <c r="V327" s="1908" t="s">
        <v>3691</v>
      </c>
      <c r="W327" s="1908" t="s">
        <v>3688</v>
      </c>
      <c r="X327" s="1908" t="s">
        <v>3692</v>
      </c>
      <c r="Y327" s="1908" t="s">
        <v>3693</v>
      </c>
      <c r="Z327" s="1908"/>
      <c r="AA327" s="1908" t="s">
        <v>3694</v>
      </c>
      <c r="AB327" s="1908" t="s">
        <v>3695</v>
      </c>
      <c r="AC327" s="1908" t="s">
        <v>3696</v>
      </c>
      <c r="AD327" s="2278" t="s">
        <v>3688</v>
      </c>
      <c r="AE327" s="2259"/>
      <c r="AF327" s="2260"/>
      <c r="AG327" s="2278" t="s">
        <v>3696</v>
      </c>
      <c r="AH327" s="2259"/>
      <c r="AI327" s="2260"/>
      <c r="AJ327" s="1908" t="s">
        <v>3697</v>
      </c>
      <c r="AK327" s="2278" t="s">
        <v>3698</v>
      </c>
      <c r="AL327" s="2259"/>
      <c r="AM327" s="2259"/>
      <c r="AN327" s="2259"/>
      <c r="AO327" s="2260"/>
      <c r="AP327" s="1908" t="s">
        <v>3699</v>
      </c>
      <c r="BC327" s="214"/>
      <c r="BD327" s="214"/>
      <c r="BE327" s="214"/>
      <c r="BF327" s="214"/>
    </row>
    <row r="328" spans="1:58" ht="45" hidden="1" customHeight="1">
      <c r="A328" s="808"/>
      <c r="B328" s="2280"/>
      <c r="C328" s="2281"/>
      <c r="D328" s="2282"/>
      <c r="E328" s="1909" t="s">
        <v>3682</v>
      </c>
      <c r="F328" s="1909" t="s">
        <v>4458</v>
      </c>
      <c r="G328" s="1909"/>
      <c r="H328" s="2283" t="s">
        <v>4459</v>
      </c>
      <c r="I328" s="2281"/>
      <c r="J328" s="2282"/>
      <c r="K328" s="2283" t="s">
        <v>4487</v>
      </c>
      <c r="L328" s="2282"/>
      <c r="M328" s="1909" t="e">
        <f>VLOOKUP(K328,'Estimate Details'!$R:$BR,20,FALSE)</f>
        <v>#N/A</v>
      </c>
      <c r="N328" s="1909" t="e">
        <f>VLOOKUP(M328,#REF!,2,FALSE)</f>
        <v>#N/A</v>
      </c>
      <c r="O328" s="1909" t="s">
        <v>3686</v>
      </c>
      <c r="P328" s="2284" t="s">
        <v>3687</v>
      </c>
      <c r="Q328" s="2281"/>
      <c r="R328" s="2282"/>
      <c r="S328" s="1909" t="s">
        <v>3688</v>
      </c>
      <c r="T328" s="1909" t="s">
        <v>3689</v>
      </c>
      <c r="U328" s="1909" t="s">
        <v>3690</v>
      </c>
      <c r="V328" s="1909" t="s">
        <v>3691</v>
      </c>
      <c r="W328" s="1909" t="s">
        <v>3688</v>
      </c>
      <c r="X328" s="1909" t="s">
        <v>3692</v>
      </c>
      <c r="Y328" s="1909" t="s">
        <v>3693</v>
      </c>
      <c r="Z328" s="1909"/>
      <c r="AA328" s="1909" t="s">
        <v>3694</v>
      </c>
      <c r="AB328" s="1909" t="s">
        <v>3695</v>
      </c>
      <c r="AC328" s="1909" t="s">
        <v>3696</v>
      </c>
      <c r="AD328" s="2283" t="s">
        <v>3688</v>
      </c>
      <c r="AE328" s="2281"/>
      <c r="AF328" s="2282"/>
      <c r="AG328" s="2283" t="s">
        <v>3696</v>
      </c>
      <c r="AH328" s="2281"/>
      <c r="AI328" s="2282"/>
      <c r="AJ328" s="1909" t="s">
        <v>3697</v>
      </c>
      <c r="AK328" s="2283" t="s">
        <v>3698</v>
      </c>
      <c r="AL328" s="2281"/>
      <c r="AM328" s="2259"/>
      <c r="AN328" s="2281"/>
      <c r="AO328" s="2282"/>
      <c r="AP328" s="1909" t="s">
        <v>3699</v>
      </c>
      <c r="BC328" s="214"/>
      <c r="BD328" s="214"/>
      <c r="BE328" s="214"/>
      <c r="BF328" s="214"/>
    </row>
    <row r="329" spans="1:58" ht="45" hidden="1" customHeight="1">
      <c r="B329" s="2277"/>
      <c r="C329" s="2259"/>
      <c r="D329" s="2260"/>
      <c r="E329" s="1908" t="s">
        <v>3682</v>
      </c>
      <c r="F329" s="1908" t="s">
        <v>4458</v>
      </c>
      <c r="G329" s="1908"/>
      <c r="H329" s="2278" t="s">
        <v>4459</v>
      </c>
      <c r="I329" s="2259"/>
      <c r="J329" s="2260"/>
      <c r="K329" s="2278" t="s">
        <v>4488</v>
      </c>
      <c r="L329" s="2260"/>
      <c r="M329" s="1908" t="e">
        <f>VLOOKUP(K329,'Estimate Details'!$R:$BR,20,FALSE)</f>
        <v>#N/A</v>
      </c>
      <c r="N329" s="1908" t="e">
        <f>VLOOKUP(M329,#REF!,2,FALSE)</f>
        <v>#N/A</v>
      </c>
      <c r="O329" s="1908" t="s">
        <v>3686</v>
      </c>
      <c r="P329" s="2278" t="s">
        <v>3687</v>
      </c>
      <c r="Q329" s="2259"/>
      <c r="R329" s="2260"/>
      <c r="S329" s="1908" t="s">
        <v>3688</v>
      </c>
      <c r="T329" s="1908" t="s">
        <v>3689</v>
      </c>
      <c r="U329" s="1908" t="s">
        <v>3690</v>
      </c>
      <c r="V329" s="1908" t="s">
        <v>3691</v>
      </c>
      <c r="W329" s="1908" t="s">
        <v>3688</v>
      </c>
      <c r="X329" s="1908" t="s">
        <v>3692</v>
      </c>
      <c r="Y329" s="1908" t="s">
        <v>3693</v>
      </c>
      <c r="Z329" s="1908"/>
      <c r="AA329" s="1908" t="s">
        <v>3694</v>
      </c>
      <c r="AB329" s="1908" t="s">
        <v>3695</v>
      </c>
      <c r="AC329" s="1908" t="s">
        <v>3696</v>
      </c>
      <c r="AD329" s="2278" t="s">
        <v>3688</v>
      </c>
      <c r="AE329" s="2259"/>
      <c r="AF329" s="2260"/>
      <c r="AG329" s="2278" t="s">
        <v>3696</v>
      </c>
      <c r="AH329" s="2259"/>
      <c r="AI329" s="2260"/>
      <c r="AJ329" s="1908" t="s">
        <v>3697</v>
      </c>
      <c r="AK329" s="2278" t="s">
        <v>3698</v>
      </c>
      <c r="AL329" s="2259"/>
      <c r="AM329" s="2259"/>
      <c r="AN329" s="2259"/>
      <c r="AO329" s="2260"/>
      <c r="AP329" s="1908" t="s">
        <v>3699</v>
      </c>
      <c r="BC329" s="214"/>
      <c r="BD329" s="214"/>
      <c r="BE329" s="214"/>
      <c r="BF329" s="214"/>
    </row>
    <row r="330" spans="1:58" ht="45" hidden="1" customHeight="1">
      <c r="A330" s="808"/>
      <c r="B330" s="2280"/>
      <c r="C330" s="2281"/>
      <c r="D330" s="2282"/>
      <c r="E330" s="1909" t="s">
        <v>3682</v>
      </c>
      <c r="F330" s="1909" t="s">
        <v>4458</v>
      </c>
      <c r="G330" s="1909"/>
      <c r="H330" s="2283" t="s">
        <v>4459</v>
      </c>
      <c r="I330" s="2281"/>
      <c r="J330" s="2282"/>
      <c r="K330" s="2283" t="s">
        <v>4489</v>
      </c>
      <c r="L330" s="2282"/>
      <c r="M330" s="1909" t="e">
        <f>VLOOKUP(K330,'Estimate Details'!$R:$BR,20,FALSE)</f>
        <v>#N/A</v>
      </c>
      <c r="N330" s="1909" t="e">
        <f>VLOOKUP(M330,#REF!,2,FALSE)</f>
        <v>#N/A</v>
      </c>
      <c r="O330" s="1909" t="s">
        <v>4490</v>
      </c>
      <c r="P330" s="2284" t="s">
        <v>3687</v>
      </c>
      <c r="Q330" s="2281"/>
      <c r="R330" s="2282"/>
      <c r="S330" s="1909" t="s">
        <v>3688</v>
      </c>
      <c r="T330" s="1909" t="s">
        <v>3689</v>
      </c>
      <c r="U330" s="1909" t="s">
        <v>3690</v>
      </c>
      <c r="V330" s="1909" t="s">
        <v>3708</v>
      </c>
      <c r="W330" s="1909" t="s">
        <v>3688</v>
      </c>
      <c r="X330" s="1909"/>
      <c r="Y330" s="1909" t="s">
        <v>4491</v>
      </c>
      <c r="Z330" s="1909"/>
      <c r="AA330" s="1909" t="s">
        <v>3694</v>
      </c>
      <c r="AB330" s="1909" t="s">
        <v>3688</v>
      </c>
      <c r="AC330" s="1909" t="s">
        <v>3696</v>
      </c>
      <c r="AD330" s="2283" t="s">
        <v>4492</v>
      </c>
      <c r="AE330" s="2281"/>
      <c r="AF330" s="2282"/>
      <c r="AG330" s="2283" t="s">
        <v>3696</v>
      </c>
      <c r="AH330" s="2281"/>
      <c r="AI330" s="2282"/>
      <c r="AJ330" s="1909" t="s">
        <v>4493</v>
      </c>
      <c r="AK330" s="2283" t="s">
        <v>4494</v>
      </c>
      <c r="AL330" s="2281"/>
      <c r="AM330" s="2259"/>
      <c r="AN330" s="2281"/>
      <c r="AO330" s="2282"/>
      <c r="AP330" s="1909" t="s">
        <v>3699</v>
      </c>
      <c r="BC330" s="214"/>
      <c r="BD330" s="214"/>
      <c r="BE330" s="214"/>
      <c r="BF330" s="214"/>
    </row>
    <row r="331" spans="1:58" ht="45" hidden="1" customHeight="1">
      <c r="B331" s="2277"/>
      <c r="C331" s="2259"/>
      <c r="D331" s="2260"/>
      <c r="E331" s="1908" t="s">
        <v>3682</v>
      </c>
      <c r="F331" s="1908" t="s">
        <v>4458</v>
      </c>
      <c r="G331" s="1908"/>
      <c r="H331" s="2278" t="s">
        <v>4459</v>
      </c>
      <c r="I331" s="2259"/>
      <c r="J331" s="2260"/>
      <c r="K331" s="2278" t="s">
        <v>4495</v>
      </c>
      <c r="L331" s="2260"/>
      <c r="M331" s="1908" t="e">
        <f>VLOOKUP(K331,'Estimate Details'!$R:$BR,20,FALSE)</f>
        <v>#N/A</v>
      </c>
      <c r="N331" s="1908" t="e">
        <f>VLOOKUP(M331,#REF!,2,FALSE)</f>
        <v>#N/A</v>
      </c>
      <c r="O331" s="1908" t="s">
        <v>4490</v>
      </c>
      <c r="P331" s="2278" t="s">
        <v>3687</v>
      </c>
      <c r="Q331" s="2259"/>
      <c r="R331" s="2260"/>
      <c r="S331" s="1908" t="s">
        <v>3688</v>
      </c>
      <c r="T331" s="1908" t="s">
        <v>3689</v>
      </c>
      <c r="U331" s="1908" t="s">
        <v>3707</v>
      </c>
      <c r="V331" s="1908" t="s">
        <v>3708</v>
      </c>
      <c r="W331" s="1908" t="s">
        <v>3688</v>
      </c>
      <c r="X331" s="1908" t="s">
        <v>4496</v>
      </c>
      <c r="Y331" s="1908" t="s">
        <v>4491</v>
      </c>
      <c r="Z331" s="1908"/>
      <c r="AA331" s="1908" t="s">
        <v>3694</v>
      </c>
      <c r="AB331" s="1908" t="s">
        <v>3688</v>
      </c>
      <c r="AC331" s="1908" t="s">
        <v>3696</v>
      </c>
      <c r="AD331" s="2278" t="s">
        <v>3712</v>
      </c>
      <c r="AE331" s="2259"/>
      <c r="AF331" s="2260"/>
      <c r="AG331" s="2278" t="s">
        <v>3696</v>
      </c>
      <c r="AH331" s="2259"/>
      <c r="AI331" s="2260"/>
      <c r="AJ331" s="1908" t="s">
        <v>4493</v>
      </c>
      <c r="AK331" s="2278" t="s">
        <v>4494</v>
      </c>
      <c r="AL331" s="2259"/>
      <c r="AM331" s="2259"/>
      <c r="AN331" s="2259"/>
      <c r="AO331" s="2260"/>
      <c r="AP331" s="1908" t="s">
        <v>3716</v>
      </c>
      <c r="BC331" s="214"/>
      <c r="BD331" s="214"/>
      <c r="BE331" s="214"/>
      <c r="BF331" s="214"/>
    </row>
    <row r="332" spans="1:58" ht="45" hidden="1" customHeight="1">
      <c r="A332" s="808"/>
      <c r="B332" s="2280"/>
      <c r="C332" s="2281"/>
      <c r="D332" s="2282"/>
      <c r="E332" s="1909" t="s">
        <v>3682</v>
      </c>
      <c r="F332" s="1909" t="s">
        <v>4458</v>
      </c>
      <c r="G332" s="1909"/>
      <c r="H332" s="2283" t="s">
        <v>4459</v>
      </c>
      <c r="I332" s="2281"/>
      <c r="J332" s="2282"/>
      <c r="K332" s="2283" t="s">
        <v>4497</v>
      </c>
      <c r="L332" s="2282"/>
      <c r="M332" s="1909" t="e">
        <f>VLOOKUP(K332,'Estimate Details'!$R:$BR,20,FALSE)</f>
        <v>#N/A</v>
      </c>
      <c r="N332" s="1909" t="e">
        <f>VLOOKUP(M332,#REF!,2,FALSE)</f>
        <v>#N/A</v>
      </c>
      <c r="O332" s="1909" t="s">
        <v>4498</v>
      </c>
      <c r="P332" s="2284" t="s">
        <v>3687</v>
      </c>
      <c r="Q332" s="2281"/>
      <c r="R332" s="2282"/>
      <c r="S332" s="1909" t="s">
        <v>3688</v>
      </c>
      <c r="T332" s="1909" t="s">
        <v>3706</v>
      </c>
      <c r="U332" s="1909" t="s">
        <v>3707</v>
      </c>
      <c r="V332" s="1909" t="s">
        <v>4499</v>
      </c>
      <c r="W332" s="1909" t="s">
        <v>3688</v>
      </c>
      <c r="X332" s="1909"/>
      <c r="Y332" s="1909"/>
      <c r="Z332" s="1909"/>
      <c r="AA332" s="1909" t="s">
        <v>3694</v>
      </c>
      <c r="AB332" s="1909" t="s">
        <v>3688</v>
      </c>
      <c r="AC332" s="1909" t="s">
        <v>3696</v>
      </c>
      <c r="AD332" s="2283" t="s">
        <v>1</v>
      </c>
      <c r="AE332" s="2281"/>
      <c r="AF332" s="2282"/>
      <c r="AG332" s="2283" t="s">
        <v>3696</v>
      </c>
      <c r="AH332" s="2281"/>
      <c r="AI332" s="2282"/>
      <c r="AJ332" s="1909" t="s">
        <v>4493</v>
      </c>
      <c r="AK332" s="2283" t="s">
        <v>4500</v>
      </c>
      <c r="AL332" s="2281"/>
      <c r="AM332" s="2259"/>
      <c r="AN332" s="2281"/>
      <c r="AO332" s="2282"/>
      <c r="AP332" s="1909" t="s">
        <v>3699</v>
      </c>
      <c r="BC332" s="214"/>
      <c r="BD332" s="214"/>
      <c r="BE332" s="214"/>
      <c r="BF332" s="214"/>
    </row>
    <row r="333" spans="1:58" ht="45" hidden="1" customHeight="1">
      <c r="B333" s="2277"/>
      <c r="C333" s="2259"/>
      <c r="D333" s="2260"/>
      <c r="E333" s="1908" t="s">
        <v>3682</v>
      </c>
      <c r="F333" s="1908" t="s">
        <v>4458</v>
      </c>
      <c r="G333" s="1908"/>
      <c r="H333" s="2278" t="s">
        <v>4459</v>
      </c>
      <c r="I333" s="2259"/>
      <c r="J333" s="2260"/>
      <c r="K333" s="2278" t="s">
        <v>4501</v>
      </c>
      <c r="L333" s="2260"/>
      <c r="M333" s="1908" t="e">
        <f>VLOOKUP(K333,'Estimate Details'!$R:$BR,20,FALSE)</f>
        <v>#N/A</v>
      </c>
      <c r="N333" s="1908" t="e">
        <f>VLOOKUP(M333,#REF!,2,FALSE)</f>
        <v>#N/A</v>
      </c>
      <c r="O333" s="1908" t="s">
        <v>4502</v>
      </c>
      <c r="P333" s="2278" t="s">
        <v>3687</v>
      </c>
      <c r="Q333" s="2259"/>
      <c r="R333" s="2260"/>
      <c r="S333" s="1908" t="s">
        <v>3688</v>
      </c>
      <c r="T333" s="1908" t="s">
        <v>3706</v>
      </c>
      <c r="U333" s="1908" t="s">
        <v>3690</v>
      </c>
      <c r="V333" s="1908" t="s">
        <v>3691</v>
      </c>
      <c r="W333" s="1908" t="s">
        <v>3688</v>
      </c>
      <c r="X333" s="1908"/>
      <c r="Y333" s="1908"/>
      <c r="Z333" s="1908"/>
      <c r="AA333" s="1908" t="s">
        <v>3694</v>
      </c>
      <c r="AB333" s="1908" t="s">
        <v>3688</v>
      </c>
      <c r="AC333" s="1908" t="s">
        <v>3696</v>
      </c>
      <c r="AD333" s="2278" t="s">
        <v>4503</v>
      </c>
      <c r="AE333" s="2259"/>
      <c r="AF333" s="2260"/>
      <c r="AG333" s="2278" t="s">
        <v>3696</v>
      </c>
      <c r="AH333" s="2259"/>
      <c r="AI333" s="2260"/>
      <c r="AJ333" s="1908" t="s">
        <v>3770</v>
      </c>
      <c r="AK333" s="2278" t="s">
        <v>4504</v>
      </c>
      <c r="AL333" s="2259"/>
      <c r="AM333" s="2259"/>
      <c r="AN333" s="2259"/>
      <c r="AO333" s="2260"/>
      <c r="AP333" s="1908" t="s">
        <v>3699</v>
      </c>
      <c r="BC333" s="214"/>
      <c r="BD333" s="214"/>
      <c r="BE333" s="214"/>
      <c r="BF333" s="214"/>
    </row>
    <row r="334" spans="1:58" ht="45" hidden="1" customHeight="1">
      <c r="A334" s="808"/>
      <c r="B334" s="2280"/>
      <c r="C334" s="2281"/>
      <c r="D334" s="2282"/>
      <c r="E334" s="1909" t="s">
        <v>3682</v>
      </c>
      <c r="F334" s="1909" t="s">
        <v>4458</v>
      </c>
      <c r="G334" s="1909"/>
      <c r="H334" s="2283" t="s">
        <v>4505</v>
      </c>
      <c r="I334" s="2281"/>
      <c r="J334" s="2282"/>
      <c r="K334" s="2283" t="s">
        <v>4506</v>
      </c>
      <c r="L334" s="2282"/>
      <c r="M334" s="1909" t="e">
        <f>VLOOKUP(K334,'Estimate Details'!$R:$BR,20,FALSE)</f>
        <v>#N/A</v>
      </c>
      <c r="N334" s="1909" t="e">
        <f>VLOOKUP(M334,#REF!,2,FALSE)</f>
        <v>#N/A</v>
      </c>
      <c r="O334" s="1909" t="s">
        <v>4507</v>
      </c>
      <c r="P334" s="2284" t="s">
        <v>3687</v>
      </c>
      <c r="Q334" s="2281"/>
      <c r="R334" s="2282"/>
      <c r="S334" s="1909" t="s">
        <v>3688</v>
      </c>
      <c r="T334" s="1909" t="s">
        <v>3689</v>
      </c>
      <c r="U334" s="1909" t="s">
        <v>3690</v>
      </c>
      <c r="V334" s="1909" t="s">
        <v>3691</v>
      </c>
      <c r="W334" s="1909" t="s">
        <v>3688</v>
      </c>
      <c r="X334" s="1909" t="s">
        <v>4508</v>
      </c>
      <c r="Y334" s="1909" t="s">
        <v>4509</v>
      </c>
      <c r="Z334" s="1909"/>
      <c r="AA334" s="1909" t="s">
        <v>3694</v>
      </c>
      <c r="AB334" s="1909" t="s">
        <v>4510</v>
      </c>
      <c r="AC334" s="1909" t="s">
        <v>3696</v>
      </c>
      <c r="AD334" s="2283" t="s">
        <v>4511</v>
      </c>
      <c r="AE334" s="2281"/>
      <c r="AF334" s="2282"/>
      <c r="AG334" s="2283" t="s">
        <v>4463</v>
      </c>
      <c r="AH334" s="2281"/>
      <c r="AI334" s="2282"/>
      <c r="AJ334" s="1909" t="s">
        <v>4512</v>
      </c>
      <c r="AK334" s="2283" t="s">
        <v>4513</v>
      </c>
      <c r="AL334" s="2281"/>
      <c r="AM334" s="2259"/>
      <c r="AN334" s="2281"/>
      <c r="AO334" s="2282"/>
      <c r="AP334" s="1909" t="s">
        <v>3699</v>
      </c>
      <c r="BC334" s="214"/>
      <c r="BD334" s="214"/>
      <c r="BE334" s="214"/>
      <c r="BF334" s="214"/>
    </row>
    <row r="335" spans="1:58" ht="45" hidden="1" customHeight="1">
      <c r="B335" s="2277"/>
      <c r="C335" s="2259"/>
      <c r="D335" s="2260"/>
      <c r="E335" s="1908" t="s">
        <v>3682</v>
      </c>
      <c r="F335" s="1908" t="s">
        <v>4458</v>
      </c>
      <c r="G335" s="1908"/>
      <c r="H335" s="2278" t="s">
        <v>4505</v>
      </c>
      <c r="I335" s="2259"/>
      <c r="J335" s="2260"/>
      <c r="K335" s="2278" t="s">
        <v>4514</v>
      </c>
      <c r="L335" s="2260"/>
      <c r="M335" s="1908" t="e">
        <f>VLOOKUP(K335,'Estimate Details'!$R:$BR,20,FALSE)</f>
        <v>#N/A</v>
      </c>
      <c r="N335" s="1908" t="e">
        <f>VLOOKUP(M335,#REF!,2,FALSE)</f>
        <v>#N/A</v>
      </c>
      <c r="O335" s="1908" t="s">
        <v>4515</v>
      </c>
      <c r="P335" s="2278" t="s">
        <v>3687</v>
      </c>
      <c r="Q335" s="2259"/>
      <c r="R335" s="2260"/>
      <c r="S335" s="1908" t="s">
        <v>3688</v>
      </c>
      <c r="T335" s="1908" t="s">
        <v>3689</v>
      </c>
      <c r="U335" s="1908" t="s">
        <v>3690</v>
      </c>
      <c r="V335" s="1908" t="s">
        <v>3691</v>
      </c>
      <c r="W335" s="1908" t="s">
        <v>3688</v>
      </c>
      <c r="X335" s="1908" t="s">
        <v>4516</v>
      </c>
      <c r="Y335" s="1908" t="s">
        <v>4517</v>
      </c>
      <c r="Z335" s="1908"/>
      <c r="AA335" s="1908" t="s">
        <v>3694</v>
      </c>
      <c r="AB335" s="1908" t="s">
        <v>4518</v>
      </c>
      <c r="AC335" s="1908" t="s">
        <v>3696</v>
      </c>
      <c r="AD335" s="2278" t="s">
        <v>4519</v>
      </c>
      <c r="AE335" s="2259"/>
      <c r="AF335" s="2260"/>
      <c r="AG335" s="2278" t="s">
        <v>4463</v>
      </c>
      <c r="AH335" s="2259"/>
      <c r="AI335" s="2260"/>
      <c r="AJ335" s="1908" t="s">
        <v>4520</v>
      </c>
      <c r="AK335" s="2278" t="s">
        <v>4521</v>
      </c>
      <c r="AL335" s="2259"/>
      <c r="AM335" s="2259"/>
      <c r="AN335" s="2259"/>
      <c r="AO335" s="2260"/>
      <c r="AP335" s="1908" t="s">
        <v>3699</v>
      </c>
      <c r="BC335" s="214"/>
      <c r="BD335" s="214"/>
      <c r="BE335" s="214"/>
      <c r="BF335" s="214"/>
    </row>
    <row r="336" spans="1:58" ht="45" hidden="1" customHeight="1">
      <c r="A336" s="808"/>
      <c r="B336" s="2280"/>
      <c r="C336" s="2281"/>
      <c r="D336" s="2282"/>
      <c r="E336" s="1909" t="s">
        <v>3682</v>
      </c>
      <c r="F336" s="1909" t="s">
        <v>4458</v>
      </c>
      <c r="G336" s="1909"/>
      <c r="H336" s="2283" t="s">
        <v>4505</v>
      </c>
      <c r="I336" s="2281"/>
      <c r="J336" s="2282"/>
      <c r="K336" s="2283" t="s">
        <v>4522</v>
      </c>
      <c r="L336" s="2282"/>
      <c r="M336" s="1909" t="e">
        <f>VLOOKUP(K336,'Estimate Details'!$R:$BR,20,FALSE)</f>
        <v>#N/A</v>
      </c>
      <c r="N336" s="1909" t="e">
        <f>VLOOKUP(M336,#REF!,2,FALSE)</f>
        <v>#N/A</v>
      </c>
      <c r="O336" s="1909" t="s">
        <v>4523</v>
      </c>
      <c r="P336" s="2284" t="s">
        <v>3687</v>
      </c>
      <c r="Q336" s="2281"/>
      <c r="R336" s="2282"/>
      <c r="S336" s="1909" t="s">
        <v>3688</v>
      </c>
      <c r="T336" s="1909" t="s">
        <v>3689</v>
      </c>
      <c r="U336" s="1909" t="s">
        <v>3690</v>
      </c>
      <c r="V336" s="1909" t="s">
        <v>3691</v>
      </c>
      <c r="W336" s="1909" t="s">
        <v>3688</v>
      </c>
      <c r="X336" s="1909" t="s">
        <v>4516</v>
      </c>
      <c r="Y336" s="1909" t="s">
        <v>4517</v>
      </c>
      <c r="Z336" s="1909"/>
      <c r="AA336" s="1909" t="s">
        <v>3694</v>
      </c>
      <c r="AB336" s="1909" t="s">
        <v>4518</v>
      </c>
      <c r="AC336" s="1909" t="s">
        <v>3696</v>
      </c>
      <c r="AD336" s="2283" t="s">
        <v>4519</v>
      </c>
      <c r="AE336" s="2281"/>
      <c r="AF336" s="2282"/>
      <c r="AG336" s="2283" t="s">
        <v>4463</v>
      </c>
      <c r="AH336" s="2281"/>
      <c r="AI336" s="2282"/>
      <c r="AJ336" s="1909" t="s">
        <v>4520</v>
      </c>
      <c r="AK336" s="2283" t="s">
        <v>4521</v>
      </c>
      <c r="AL336" s="2281"/>
      <c r="AM336" s="2259"/>
      <c r="AN336" s="2281"/>
      <c r="AO336" s="2282"/>
      <c r="AP336" s="1909" t="s">
        <v>3699</v>
      </c>
      <c r="BC336" s="214"/>
      <c r="BD336" s="214"/>
      <c r="BE336" s="214"/>
      <c r="BF336" s="214"/>
    </row>
    <row r="337" spans="1:58" ht="45" hidden="1" customHeight="1">
      <c r="B337" s="2277"/>
      <c r="C337" s="2259"/>
      <c r="D337" s="2260"/>
      <c r="E337" s="1908" t="s">
        <v>3682</v>
      </c>
      <c r="F337" s="1908" t="s">
        <v>4458</v>
      </c>
      <c r="G337" s="1908"/>
      <c r="H337" s="2278" t="s">
        <v>4505</v>
      </c>
      <c r="I337" s="2259"/>
      <c r="J337" s="2260"/>
      <c r="K337" s="2278" t="s">
        <v>4524</v>
      </c>
      <c r="L337" s="2260"/>
      <c r="M337" s="1908" t="e">
        <f>VLOOKUP(K337,'Estimate Details'!$R:$BR,20,FALSE)</f>
        <v>#N/A</v>
      </c>
      <c r="N337" s="1908" t="e">
        <f>VLOOKUP(M337,#REF!,2,FALSE)</f>
        <v>#N/A</v>
      </c>
      <c r="O337" s="1908" t="s">
        <v>4507</v>
      </c>
      <c r="P337" s="2278" t="s">
        <v>3687</v>
      </c>
      <c r="Q337" s="2259"/>
      <c r="R337" s="2260"/>
      <c r="S337" s="1908" t="s">
        <v>3688</v>
      </c>
      <c r="T337" s="1908" t="s">
        <v>3689</v>
      </c>
      <c r="U337" s="1908" t="s">
        <v>3690</v>
      </c>
      <c r="V337" s="1908" t="s">
        <v>3691</v>
      </c>
      <c r="W337" s="1908" t="s">
        <v>3688</v>
      </c>
      <c r="X337" s="1908" t="s">
        <v>4508</v>
      </c>
      <c r="Y337" s="1908" t="s">
        <v>4509</v>
      </c>
      <c r="Z337" s="1908"/>
      <c r="AA337" s="1908" t="s">
        <v>3694</v>
      </c>
      <c r="AB337" s="1908" t="s">
        <v>4510</v>
      </c>
      <c r="AC337" s="1908" t="s">
        <v>3696</v>
      </c>
      <c r="AD337" s="2278" t="s">
        <v>4511</v>
      </c>
      <c r="AE337" s="2259"/>
      <c r="AF337" s="2260"/>
      <c r="AG337" s="2278" t="s">
        <v>4463</v>
      </c>
      <c r="AH337" s="2259"/>
      <c r="AI337" s="2260"/>
      <c r="AJ337" s="1908" t="s">
        <v>4512</v>
      </c>
      <c r="AK337" s="2278" t="s">
        <v>4513</v>
      </c>
      <c r="AL337" s="2259"/>
      <c r="AM337" s="2259"/>
      <c r="AN337" s="2259"/>
      <c r="AO337" s="2260"/>
      <c r="AP337" s="1908" t="s">
        <v>3699</v>
      </c>
      <c r="BC337" s="214"/>
      <c r="BD337" s="214"/>
      <c r="BE337" s="214"/>
      <c r="BF337" s="214"/>
    </row>
    <row r="338" spans="1:58" ht="45" hidden="1" customHeight="1">
      <c r="A338" s="808"/>
      <c r="B338" s="2280"/>
      <c r="C338" s="2281"/>
      <c r="D338" s="2282"/>
      <c r="E338" s="1909" t="s">
        <v>3682</v>
      </c>
      <c r="F338" s="1909" t="s">
        <v>4458</v>
      </c>
      <c r="G338" s="1909"/>
      <c r="H338" s="2283" t="s">
        <v>4505</v>
      </c>
      <c r="I338" s="2281"/>
      <c r="J338" s="2282"/>
      <c r="K338" s="2283" t="s">
        <v>4525</v>
      </c>
      <c r="L338" s="2282"/>
      <c r="M338" s="1909" t="e">
        <f>VLOOKUP(K338,'Estimate Details'!$R:$BR,20,FALSE)</f>
        <v>#N/A</v>
      </c>
      <c r="N338" s="1909" t="e">
        <f>VLOOKUP(M338,#REF!,2,FALSE)</f>
        <v>#N/A</v>
      </c>
      <c r="O338" s="1909" t="s">
        <v>4515</v>
      </c>
      <c r="P338" s="2284" t="s">
        <v>3687</v>
      </c>
      <c r="Q338" s="2281"/>
      <c r="R338" s="2282"/>
      <c r="S338" s="1909" t="s">
        <v>3688</v>
      </c>
      <c r="T338" s="1909" t="s">
        <v>3689</v>
      </c>
      <c r="U338" s="1909" t="s">
        <v>3690</v>
      </c>
      <c r="V338" s="1909" t="s">
        <v>3691</v>
      </c>
      <c r="W338" s="1909" t="s">
        <v>3688</v>
      </c>
      <c r="X338" s="1909" t="s">
        <v>4516</v>
      </c>
      <c r="Y338" s="1909" t="s">
        <v>4517</v>
      </c>
      <c r="Z338" s="1909"/>
      <c r="AA338" s="1909" t="s">
        <v>3694</v>
      </c>
      <c r="AB338" s="1909" t="s">
        <v>4518</v>
      </c>
      <c r="AC338" s="1909" t="s">
        <v>3696</v>
      </c>
      <c r="AD338" s="2283" t="s">
        <v>4519</v>
      </c>
      <c r="AE338" s="2281"/>
      <c r="AF338" s="2282"/>
      <c r="AG338" s="2283" t="s">
        <v>4463</v>
      </c>
      <c r="AH338" s="2281"/>
      <c r="AI338" s="2282"/>
      <c r="AJ338" s="1909" t="s">
        <v>4520</v>
      </c>
      <c r="AK338" s="2283" t="s">
        <v>4521</v>
      </c>
      <c r="AL338" s="2281"/>
      <c r="AM338" s="2259"/>
      <c r="AN338" s="2281"/>
      <c r="AO338" s="2282"/>
      <c r="AP338" s="1909" t="s">
        <v>3699</v>
      </c>
      <c r="BC338" s="214"/>
      <c r="BD338" s="214"/>
      <c r="BE338" s="214"/>
      <c r="BF338" s="214"/>
    </row>
    <row r="339" spans="1:58" ht="45" hidden="1" customHeight="1">
      <c r="B339" s="2277"/>
      <c r="C339" s="2259"/>
      <c r="D339" s="2260"/>
      <c r="E339" s="1908" t="s">
        <v>3682</v>
      </c>
      <c r="F339" s="1908" t="s">
        <v>4458</v>
      </c>
      <c r="G339" s="1908"/>
      <c r="H339" s="2278" t="s">
        <v>4505</v>
      </c>
      <c r="I339" s="2259"/>
      <c r="J339" s="2260"/>
      <c r="K339" s="2278" t="s">
        <v>4526</v>
      </c>
      <c r="L339" s="2260"/>
      <c r="M339" s="1908" t="e">
        <f>VLOOKUP(K339,'Estimate Details'!$R:$BR,20,FALSE)</f>
        <v>#N/A</v>
      </c>
      <c r="N339" s="1908" t="e">
        <f>VLOOKUP(M339,#REF!,2,FALSE)</f>
        <v>#N/A</v>
      </c>
      <c r="O339" s="1908" t="s">
        <v>4523</v>
      </c>
      <c r="P339" s="2278" t="s">
        <v>3687</v>
      </c>
      <c r="Q339" s="2259"/>
      <c r="R339" s="2260"/>
      <c r="S339" s="1908" t="s">
        <v>3688</v>
      </c>
      <c r="T339" s="1908" t="s">
        <v>3689</v>
      </c>
      <c r="U339" s="1908" t="s">
        <v>3690</v>
      </c>
      <c r="V339" s="1908" t="s">
        <v>3691</v>
      </c>
      <c r="W339" s="1908" t="s">
        <v>3688</v>
      </c>
      <c r="X339" s="1908" t="s">
        <v>4516</v>
      </c>
      <c r="Y339" s="1908" t="s">
        <v>4517</v>
      </c>
      <c r="Z339" s="1908"/>
      <c r="AA339" s="1908" t="s">
        <v>3694</v>
      </c>
      <c r="AB339" s="1908" t="s">
        <v>4518</v>
      </c>
      <c r="AC339" s="1908" t="s">
        <v>3696</v>
      </c>
      <c r="AD339" s="2278" t="s">
        <v>4519</v>
      </c>
      <c r="AE339" s="2259"/>
      <c r="AF339" s="2260"/>
      <c r="AG339" s="2278" t="s">
        <v>4463</v>
      </c>
      <c r="AH339" s="2259"/>
      <c r="AI339" s="2260"/>
      <c r="AJ339" s="1908" t="s">
        <v>4520</v>
      </c>
      <c r="AK339" s="2278" t="s">
        <v>4521</v>
      </c>
      <c r="AL339" s="2259"/>
      <c r="AM339" s="2259"/>
      <c r="AN339" s="2259"/>
      <c r="AO339" s="2260"/>
      <c r="AP339" s="1908" t="s">
        <v>3699</v>
      </c>
      <c r="BC339" s="214"/>
      <c r="BD339" s="214"/>
      <c r="BE339" s="214"/>
      <c r="BF339" s="214"/>
    </row>
    <row r="340" spans="1:58" ht="45" hidden="1" customHeight="1">
      <c r="A340" s="808"/>
      <c r="B340" s="2280"/>
      <c r="C340" s="2281"/>
      <c r="D340" s="2282"/>
      <c r="E340" s="1909" t="s">
        <v>3682</v>
      </c>
      <c r="F340" s="1909" t="s">
        <v>4458</v>
      </c>
      <c r="G340" s="1909"/>
      <c r="H340" s="2283" t="s">
        <v>4505</v>
      </c>
      <c r="I340" s="2281"/>
      <c r="J340" s="2282"/>
      <c r="K340" s="2283" t="s">
        <v>4527</v>
      </c>
      <c r="L340" s="2282"/>
      <c r="M340" s="1909" t="e">
        <f>VLOOKUP(K340,'Estimate Details'!$R:$BR,20,FALSE)</f>
        <v>#N/A</v>
      </c>
      <c r="N340" s="1909" t="e">
        <f>VLOOKUP(M340,#REF!,2,FALSE)</f>
        <v>#N/A</v>
      </c>
      <c r="O340" s="1909" t="s">
        <v>4507</v>
      </c>
      <c r="P340" s="2284" t="s">
        <v>3687</v>
      </c>
      <c r="Q340" s="2281"/>
      <c r="R340" s="2282"/>
      <c r="S340" s="1909" t="s">
        <v>3688</v>
      </c>
      <c r="T340" s="1909" t="s">
        <v>3689</v>
      </c>
      <c r="U340" s="1909" t="s">
        <v>3690</v>
      </c>
      <c r="V340" s="1909" t="s">
        <v>3691</v>
      </c>
      <c r="W340" s="1909" t="s">
        <v>3688</v>
      </c>
      <c r="X340" s="1909" t="s">
        <v>4508</v>
      </c>
      <c r="Y340" s="1909" t="s">
        <v>4509</v>
      </c>
      <c r="Z340" s="1909"/>
      <c r="AA340" s="1909" t="s">
        <v>3694</v>
      </c>
      <c r="AB340" s="1909" t="s">
        <v>4510</v>
      </c>
      <c r="AC340" s="1909" t="s">
        <v>3696</v>
      </c>
      <c r="AD340" s="2283" t="s">
        <v>4511</v>
      </c>
      <c r="AE340" s="2281"/>
      <c r="AF340" s="2282"/>
      <c r="AG340" s="2283" t="s">
        <v>4463</v>
      </c>
      <c r="AH340" s="2281"/>
      <c r="AI340" s="2282"/>
      <c r="AJ340" s="1909" t="s">
        <v>4512</v>
      </c>
      <c r="AK340" s="2283" t="s">
        <v>4513</v>
      </c>
      <c r="AL340" s="2281"/>
      <c r="AM340" s="2259"/>
      <c r="AN340" s="2281"/>
      <c r="AO340" s="2282"/>
      <c r="AP340" s="1909" t="s">
        <v>3699</v>
      </c>
      <c r="BC340" s="214"/>
      <c r="BD340" s="214"/>
      <c r="BE340" s="214"/>
      <c r="BF340" s="214"/>
    </row>
    <row r="341" spans="1:58" ht="45" hidden="1" customHeight="1">
      <c r="B341" s="2277"/>
      <c r="C341" s="2259"/>
      <c r="D341" s="2260"/>
      <c r="E341" s="1908" t="s">
        <v>3682</v>
      </c>
      <c r="F341" s="1908" t="s">
        <v>4458</v>
      </c>
      <c r="G341" s="1908"/>
      <c r="H341" s="2278" t="s">
        <v>4505</v>
      </c>
      <c r="I341" s="2259"/>
      <c r="J341" s="2260"/>
      <c r="K341" s="2278" t="s">
        <v>4528</v>
      </c>
      <c r="L341" s="2260"/>
      <c r="M341" s="1908" t="e">
        <f>VLOOKUP(K341,'Estimate Details'!$R:$BR,20,FALSE)</f>
        <v>#N/A</v>
      </c>
      <c r="N341" s="1908" t="e">
        <f>VLOOKUP(M341,#REF!,2,FALSE)</f>
        <v>#N/A</v>
      </c>
      <c r="O341" s="1908" t="s">
        <v>4515</v>
      </c>
      <c r="P341" s="2278" t="s">
        <v>3687</v>
      </c>
      <c r="Q341" s="2259"/>
      <c r="R341" s="2260"/>
      <c r="S341" s="1908" t="s">
        <v>3688</v>
      </c>
      <c r="T341" s="1908" t="s">
        <v>3689</v>
      </c>
      <c r="U341" s="1908" t="s">
        <v>3690</v>
      </c>
      <c r="V341" s="1908" t="s">
        <v>3691</v>
      </c>
      <c r="W341" s="1908" t="s">
        <v>3688</v>
      </c>
      <c r="X341" s="1908" t="s">
        <v>4516</v>
      </c>
      <c r="Y341" s="1908" t="s">
        <v>4517</v>
      </c>
      <c r="Z341" s="1908"/>
      <c r="AA341" s="1908" t="s">
        <v>3694</v>
      </c>
      <c r="AB341" s="1908" t="s">
        <v>4518</v>
      </c>
      <c r="AC341" s="1908" t="s">
        <v>3696</v>
      </c>
      <c r="AD341" s="2278" t="s">
        <v>4519</v>
      </c>
      <c r="AE341" s="2259"/>
      <c r="AF341" s="2260"/>
      <c r="AG341" s="2278" t="s">
        <v>4463</v>
      </c>
      <c r="AH341" s="2259"/>
      <c r="AI341" s="2260"/>
      <c r="AJ341" s="1908" t="s">
        <v>4520</v>
      </c>
      <c r="AK341" s="2278" t="s">
        <v>4521</v>
      </c>
      <c r="AL341" s="2259"/>
      <c r="AM341" s="2259"/>
      <c r="AN341" s="2259"/>
      <c r="AO341" s="2260"/>
      <c r="AP341" s="1908" t="s">
        <v>3699</v>
      </c>
      <c r="BC341" s="214"/>
      <c r="BD341" s="214"/>
      <c r="BE341" s="214"/>
      <c r="BF341" s="214"/>
    </row>
    <row r="342" spans="1:58" ht="45" hidden="1" customHeight="1">
      <c r="A342" s="808"/>
      <c r="B342" s="2280"/>
      <c r="C342" s="2281"/>
      <c r="D342" s="2282"/>
      <c r="E342" s="1909" t="s">
        <v>3682</v>
      </c>
      <c r="F342" s="1909" t="s">
        <v>4458</v>
      </c>
      <c r="G342" s="1909"/>
      <c r="H342" s="2283" t="s">
        <v>4505</v>
      </c>
      <c r="I342" s="2281"/>
      <c r="J342" s="2282"/>
      <c r="K342" s="2283" t="s">
        <v>4529</v>
      </c>
      <c r="L342" s="2282"/>
      <c r="M342" s="1909" t="e">
        <f>VLOOKUP(K342,'Estimate Details'!$R:$BR,20,FALSE)</f>
        <v>#N/A</v>
      </c>
      <c r="N342" s="1909" t="e">
        <f>VLOOKUP(M342,#REF!,2,FALSE)</f>
        <v>#N/A</v>
      </c>
      <c r="O342" s="1909" t="s">
        <v>4523</v>
      </c>
      <c r="P342" s="2284" t="s">
        <v>3687</v>
      </c>
      <c r="Q342" s="2281"/>
      <c r="R342" s="2282"/>
      <c r="S342" s="1909" t="s">
        <v>3688</v>
      </c>
      <c r="T342" s="1909" t="s">
        <v>3689</v>
      </c>
      <c r="U342" s="1909" t="s">
        <v>3690</v>
      </c>
      <c r="V342" s="1909" t="s">
        <v>3691</v>
      </c>
      <c r="W342" s="1909" t="s">
        <v>3688</v>
      </c>
      <c r="X342" s="1909" t="s">
        <v>4516</v>
      </c>
      <c r="Y342" s="1909" t="s">
        <v>4517</v>
      </c>
      <c r="Z342" s="1909"/>
      <c r="AA342" s="1909" t="s">
        <v>3694</v>
      </c>
      <c r="AB342" s="1909" t="s">
        <v>4518</v>
      </c>
      <c r="AC342" s="1909" t="s">
        <v>3696</v>
      </c>
      <c r="AD342" s="2283" t="s">
        <v>4519</v>
      </c>
      <c r="AE342" s="2281"/>
      <c r="AF342" s="2282"/>
      <c r="AG342" s="2283" t="s">
        <v>4463</v>
      </c>
      <c r="AH342" s="2281"/>
      <c r="AI342" s="2282"/>
      <c r="AJ342" s="1909" t="s">
        <v>4520</v>
      </c>
      <c r="AK342" s="2283" t="s">
        <v>4521</v>
      </c>
      <c r="AL342" s="2281"/>
      <c r="AM342" s="2259"/>
      <c r="AN342" s="2281"/>
      <c r="AO342" s="2282"/>
      <c r="AP342" s="1909" t="s">
        <v>3699</v>
      </c>
      <c r="BC342" s="214"/>
      <c r="BD342" s="214"/>
      <c r="BE342" s="214"/>
      <c r="BF342" s="214"/>
    </row>
    <row r="343" spans="1:58" ht="45" hidden="1" customHeight="1">
      <c r="B343" s="2277"/>
      <c r="C343" s="2259"/>
      <c r="D343" s="2260"/>
      <c r="E343" s="1908" t="s">
        <v>3682</v>
      </c>
      <c r="F343" s="1908" t="s">
        <v>4458</v>
      </c>
      <c r="G343" s="1908"/>
      <c r="H343" s="2278" t="s">
        <v>4505</v>
      </c>
      <c r="I343" s="2259"/>
      <c r="J343" s="2260"/>
      <c r="K343" s="2278" t="s">
        <v>4530</v>
      </c>
      <c r="L343" s="2260"/>
      <c r="M343" s="1908" t="e">
        <f>VLOOKUP(K343,'Estimate Details'!$R:$BR,20,FALSE)</f>
        <v>#N/A</v>
      </c>
      <c r="N343" s="1908" t="e">
        <f>VLOOKUP(M343,#REF!,2,FALSE)</f>
        <v>#N/A</v>
      </c>
      <c r="O343" s="1908" t="s">
        <v>4507</v>
      </c>
      <c r="P343" s="2278" t="s">
        <v>3687</v>
      </c>
      <c r="Q343" s="2259"/>
      <c r="R343" s="2260"/>
      <c r="S343" s="1908" t="s">
        <v>3688</v>
      </c>
      <c r="T343" s="1908" t="s">
        <v>3689</v>
      </c>
      <c r="U343" s="1908" t="s">
        <v>3690</v>
      </c>
      <c r="V343" s="1908" t="s">
        <v>3691</v>
      </c>
      <c r="W343" s="1908" t="s">
        <v>3688</v>
      </c>
      <c r="X343" s="1908" t="s">
        <v>4508</v>
      </c>
      <c r="Y343" s="1908" t="s">
        <v>4509</v>
      </c>
      <c r="Z343" s="1908"/>
      <c r="AA343" s="1908" t="s">
        <v>3694</v>
      </c>
      <c r="AB343" s="1908" t="s">
        <v>4510</v>
      </c>
      <c r="AC343" s="1908" t="s">
        <v>3696</v>
      </c>
      <c r="AD343" s="2278" t="s">
        <v>4511</v>
      </c>
      <c r="AE343" s="2259"/>
      <c r="AF343" s="2260"/>
      <c r="AG343" s="2278" t="s">
        <v>4463</v>
      </c>
      <c r="AH343" s="2259"/>
      <c r="AI343" s="2260"/>
      <c r="AJ343" s="1908" t="s">
        <v>4512</v>
      </c>
      <c r="AK343" s="2278" t="s">
        <v>4513</v>
      </c>
      <c r="AL343" s="2259"/>
      <c r="AM343" s="2259"/>
      <c r="AN343" s="2259"/>
      <c r="AO343" s="2260"/>
      <c r="AP343" s="1908" t="s">
        <v>3699</v>
      </c>
      <c r="BC343" s="214"/>
      <c r="BD343" s="214"/>
      <c r="BE343" s="214"/>
      <c r="BF343" s="214"/>
    </row>
    <row r="344" spans="1:58" ht="45" hidden="1" customHeight="1">
      <c r="A344" s="808"/>
      <c r="B344" s="2280"/>
      <c r="C344" s="2281"/>
      <c r="D344" s="2282"/>
      <c r="E344" s="1909" t="s">
        <v>3682</v>
      </c>
      <c r="F344" s="1909" t="s">
        <v>4458</v>
      </c>
      <c r="G344" s="1909"/>
      <c r="H344" s="2283" t="s">
        <v>4505</v>
      </c>
      <c r="I344" s="2281"/>
      <c r="J344" s="2282"/>
      <c r="K344" s="2283" t="s">
        <v>4531</v>
      </c>
      <c r="L344" s="2282"/>
      <c r="M344" s="1909" t="e">
        <f>VLOOKUP(K344,'Estimate Details'!$R:$BR,20,FALSE)</f>
        <v>#N/A</v>
      </c>
      <c r="N344" s="1909" t="e">
        <f>VLOOKUP(M344,#REF!,2,FALSE)</f>
        <v>#N/A</v>
      </c>
      <c r="O344" s="1909" t="s">
        <v>4515</v>
      </c>
      <c r="P344" s="2284" t="s">
        <v>3687</v>
      </c>
      <c r="Q344" s="2281"/>
      <c r="R344" s="2282"/>
      <c r="S344" s="1909" t="s">
        <v>3688</v>
      </c>
      <c r="T344" s="1909" t="s">
        <v>3689</v>
      </c>
      <c r="U344" s="1909" t="s">
        <v>3690</v>
      </c>
      <c r="V344" s="1909" t="s">
        <v>3691</v>
      </c>
      <c r="W344" s="1909" t="s">
        <v>3688</v>
      </c>
      <c r="X344" s="1909" t="s">
        <v>4516</v>
      </c>
      <c r="Y344" s="1909" t="s">
        <v>4517</v>
      </c>
      <c r="Z344" s="1909"/>
      <c r="AA344" s="1909" t="s">
        <v>3694</v>
      </c>
      <c r="AB344" s="1909" t="s">
        <v>4518</v>
      </c>
      <c r="AC344" s="1909" t="s">
        <v>3696</v>
      </c>
      <c r="AD344" s="2283" t="s">
        <v>4519</v>
      </c>
      <c r="AE344" s="2281"/>
      <c r="AF344" s="2282"/>
      <c r="AG344" s="2283" t="s">
        <v>4463</v>
      </c>
      <c r="AH344" s="2281"/>
      <c r="AI344" s="2282"/>
      <c r="AJ344" s="1909" t="s">
        <v>4520</v>
      </c>
      <c r="AK344" s="2283" t="s">
        <v>4521</v>
      </c>
      <c r="AL344" s="2281"/>
      <c r="AM344" s="2259"/>
      <c r="AN344" s="2281"/>
      <c r="AO344" s="2282"/>
      <c r="AP344" s="1909" t="s">
        <v>3699</v>
      </c>
      <c r="BC344" s="214"/>
      <c r="BD344" s="214"/>
      <c r="BE344" s="214"/>
      <c r="BF344" s="214"/>
    </row>
    <row r="345" spans="1:58" ht="45" hidden="1" customHeight="1">
      <c r="B345" s="2277"/>
      <c r="C345" s="2259"/>
      <c r="D345" s="2260"/>
      <c r="E345" s="1908" t="s">
        <v>3682</v>
      </c>
      <c r="F345" s="1908" t="s">
        <v>4458</v>
      </c>
      <c r="G345" s="1908"/>
      <c r="H345" s="2278" t="s">
        <v>4505</v>
      </c>
      <c r="I345" s="2259"/>
      <c r="J345" s="2260"/>
      <c r="K345" s="2278" t="s">
        <v>4532</v>
      </c>
      <c r="L345" s="2260"/>
      <c r="M345" s="1908" t="e">
        <f>VLOOKUP(K345,'Estimate Details'!$R:$BR,20,FALSE)</f>
        <v>#N/A</v>
      </c>
      <c r="N345" s="1908" t="e">
        <f>VLOOKUP(M345,#REF!,2,FALSE)</f>
        <v>#N/A</v>
      </c>
      <c r="O345" s="1908" t="s">
        <v>4523</v>
      </c>
      <c r="P345" s="2278" t="s">
        <v>3687</v>
      </c>
      <c r="Q345" s="2259"/>
      <c r="R345" s="2260"/>
      <c r="S345" s="1908" t="s">
        <v>3688</v>
      </c>
      <c r="T345" s="1908" t="s">
        <v>3689</v>
      </c>
      <c r="U345" s="1908" t="s">
        <v>3690</v>
      </c>
      <c r="V345" s="1908" t="s">
        <v>3691</v>
      </c>
      <c r="W345" s="1908" t="s">
        <v>3688</v>
      </c>
      <c r="X345" s="1908" t="s">
        <v>4516</v>
      </c>
      <c r="Y345" s="1908" t="s">
        <v>4517</v>
      </c>
      <c r="Z345" s="1908"/>
      <c r="AA345" s="1908" t="s">
        <v>3694</v>
      </c>
      <c r="AB345" s="1908" t="s">
        <v>4518</v>
      </c>
      <c r="AC345" s="1908" t="s">
        <v>3696</v>
      </c>
      <c r="AD345" s="2278" t="s">
        <v>4519</v>
      </c>
      <c r="AE345" s="2259"/>
      <c r="AF345" s="2260"/>
      <c r="AG345" s="2278" t="s">
        <v>4463</v>
      </c>
      <c r="AH345" s="2259"/>
      <c r="AI345" s="2260"/>
      <c r="AJ345" s="1908" t="s">
        <v>4520</v>
      </c>
      <c r="AK345" s="2278" t="s">
        <v>4521</v>
      </c>
      <c r="AL345" s="2259"/>
      <c r="AM345" s="2259"/>
      <c r="AN345" s="2259"/>
      <c r="AO345" s="2260"/>
      <c r="AP345" s="1908" t="s">
        <v>3699</v>
      </c>
      <c r="BC345" s="214"/>
      <c r="BD345" s="214"/>
      <c r="BE345" s="214"/>
      <c r="BF345" s="214"/>
    </row>
    <row r="346" spans="1:58" ht="45" hidden="1" customHeight="1">
      <c r="A346" s="808"/>
      <c r="B346" s="2280"/>
      <c r="C346" s="2281"/>
      <c r="D346" s="2282"/>
      <c r="E346" s="1909" t="s">
        <v>3682</v>
      </c>
      <c r="F346" s="1909" t="s">
        <v>4458</v>
      </c>
      <c r="G346" s="1909"/>
      <c r="H346" s="2283" t="s">
        <v>4505</v>
      </c>
      <c r="I346" s="2281"/>
      <c r="J346" s="2282"/>
      <c r="K346" s="2283" t="s">
        <v>4533</v>
      </c>
      <c r="L346" s="2282"/>
      <c r="M346" s="1909" t="e">
        <f>VLOOKUP(K346,'Estimate Details'!$R:$BR,20,FALSE)</f>
        <v>#N/A</v>
      </c>
      <c r="N346" s="1909" t="e">
        <f>VLOOKUP(M346,#REF!,2,FALSE)</f>
        <v>#N/A</v>
      </c>
      <c r="O346" s="1909" t="s">
        <v>4507</v>
      </c>
      <c r="P346" s="2284" t="s">
        <v>3687</v>
      </c>
      <c r="Q346" s="2281"/>
      <c r="R346" s="2282"/>
      <c r="S346" s="1909" t="s">
        <v>3688</v>
      </c>
      <c r="T346" s="1909" t="s">
        <v>3689</v>
      </c>
      <c r="U346" s="1909" t="s">
        <v>3690</v>
      </c>
      <c r="V346" s="1909" t="s">
        <v>3691</v>
      </c>
      <c r="W346" s="1909" t="s">
        <v>3688</v>
      </c>
      <c r="X346" s="1909" t="s">
        <v>4508</v>
      </c>
      <c r="Y346" s="1909" t="s">
        <v>4509</v>
      </c>
      <c r="Z346" s="1909"/>
      <c r="AA346" s="1909" t="s">
        <v>3694</v>
      </c>
      <c r="AB346" s="1909" t="s">
        <v>4510</v>
      </c>
      <c r="AC346" s="1909" t="s">
        <v>3696</v>
      </c>
      <c r="AD346" s="2283" t="s">
        <v>4511</v>
      </c>
      <c r="AE346" s="2281"/>
      <c r="AF346" s="2282"/>
      <c r="AG346" s="2283" t="s">
        <v>4463</v>
      </c>
      <c r="AH346" s="2281"/>
      <c r="AI346" s="2282"/>
      <c r="AJ346" s="1909" t="s">
        <v>4512</v>
      </c>
      <c r="AK346" s="2283" t="s">
        <v>4513</v>
      </c>
      <c r="AL346" s="2281"/>
      <c r="AM346" s="2259"/>
      <c r="AN346" s="2281"/>
      <c r="AO346" s="2282"/>
      <c r="AP346" s="1909" t="s">
        <v>3716</v>
      </c>
      <c r="BC346" s="214"/>
      <c r="BD346" s="214"/>
      <c r="BE346" s="214"/>
      <c r="BF346" s="214"/>
    </row>
    <row r="347" spans="1:58" ht="45" hidden="1" customHeight="1">
      <c r="B347" s="2277"/>
      <c r="C347" s="2259"/>
      <c r="D347" s="2260"/>
      <c r="E347" s="1908" t="s">
        <v>3682</v>
      </c>
      <c r="F347" s="1908" t="s">
        <v>4458</v>
      </c>
      <c r="G347" s="1908"/>
      <c r="H347" s="2278" t="s">
        <v>4505</v>
      </c>
      <c r="I347" s="2259"/>
      <c r="J347" s="2260"/>
      <c r="K347" s="2278" t="s">
        <v>4534</v>
      </c>
      <c r="L347" s="2260"/>
      <c r="M347" s="1908" t="e">
        <f>VLOOKUP(K347,'Estimate Details'!$R:$BR,20,FALSE)</f>
        <v>#N/A</v>
      </c>
      <c r="N347" s="1908" t="e">
        <f>VLOOKUP(M347,#REF!,2,FALSE)</f>
        <v>#N/A</v>
      </c>
      <c r="O347" s="1908" t="s">
        <v>4515</v>
      </c>
      <c r="P347" s="2278" t="s">
        <v>3687</v>
      </c>
      <c r="Q347" s="2259"/>
      <c r="R347" s="2260"/>
      <c r="S347" s="1908" t="s">
        <v>3688</v>
      </c>
      <c r="T347" s="1908" t="s">
        <v>3689</v>
      </c>
      <c r="U347" s="1908" t="s">
        <v>3690</v>
      </c>
      <c r="V347" s="1908" t="s">
        <v>3691</v>
      </c>
      <c r="W347" s="1908" t="s">
        <v>3688</v>
      </c>
      <c r="X347" s="1908" t="s">
        <v>4516</v>
      </c>
      <c r="Y347" s="1908" t="s">
        <v>4517</v>
      </c>
      <c r="Z347" s="1908"/>
      <c r="AA347" s="1908" t="s">
        <v>3694</v>
      </c>
      <c r="AB347" s="1908" t="s">
        <v>4518</v>
      </c>
      <c r="AC347" s="1908" t="s">
        <v>3696</v>
      </c>
      <c r="AD347" s="2278" t="s">
        <v>4519</v>
      </c>
      <c r="AE347" s="2259"/>
      <c r="AF347" s="2260"/>
      <c r="AG347" s="2278" t="s">
        <v>4463</v>
      </c>
      <c r="AH347" s="2259"/>
      <c r="AI347" s="2260"/>
      <c r="AJ347" s="1908" t="s">
        <v>4520</v>
      </c>
      <c r="AK347" s="2278" t="s">
        <v>4521</v>
      </c>
      <c r="AL347" s="2259"/>
      <c r="AM347" s="2259"/>
      <c r="AN347" s="2259"/>
      <c r="AO347" s="2260"/>
      <c r="AP347" s="1908" t="s">
        <v>3699</v>
      </c>
      <c r="BC347" s="214"/>
      <c r="BD347" s="214"/>
      <c r="BE347" s="214"/>
      <c r="BF347" s="214"/>
    </row>
    <row r="348" spans="1:58" ht="45" hidden="1" customHeight="1">
      <c r="A348" s="808"/>
      <c r="B348" s="2280"/>
      <c r="C348" s="2281"/>
      <c r="D348" s="2282"/>
      <c r="E348" s="1909" t="s">
        <v>3682</v>
      </c>
      <c r="F348" s="1909" t="s">
        <v>4458</v>
      </c>
      <c r="G348" s="1909"/>
      <c r="H348" s="2283" t="s">
        <v>4505</v>
      </c>
      <c r="I348" s="2281"/>
      <c r="J348" s="2282"/>
      <c r="K348" s="2283" t="s">
        <v>4535</v>
      </c>
      <c r="L348" s="2282"/>
      <c r="M348" s="1909" t="e">
        <f>VLOOKUP(K348,'Estimate Details'!$R:$BR,20,FALSE)</f>
        <v>#N/A</v>
      </c>
      <c r="N348" s="1909" t="e">
        <f>VLOOKUP(M348,#REF!,2,FALSE)</f>
        <v>#N/A</v>
      </c>
      <c r="O348" s="1909" t="s">
        <v>4523</v>
      </c>
      <c r="P348" s="2284" t="s">
        <v>3687</v>
      </c>
      <c r="Q348" s="2281"/>
      <c r="R348" s="2282"/>
      <c r="S348" s="1909" t="s">
        <v>3688</v>
      </c>
      <c r="T348" s="1909" t="s">
        <v>3689</v>
      </c>
      <c r="U348" s="1909" t="s">
        <v>3690</v>
      </c>
      <c r="V348" s="1909" t="s">
        <v>3691</v>
      </c>
      <c r="W348" s="1909" t="s">
        <v>3688</v>
      </c>
      <c r="X348" s="1909" t="s">
        <v>4516</v>
      </c>
      <c r="Y348" s="1909" t="s">
        <v>4517</v>
      </c>
      <c r="Z348" s="1909"/>
      <c r="AA348" s="1909" t="s">
        <v>3694</v>
      </c>
      <c r="AB348" s="1909" t="s">
        <v>4518</v>
      </c>
      <c r="AC348" s="1909" t="s">
        <v>3696</v>
      </c>
      <c r="AD348" s="2283" t="s">
        <v>4519</v>
      </c>
      <c r="AE348" s="2281"/>
      <c r="AF348" s="2282"/>
      <c r="AG348" s="2283" t="s">
        <v>4463</v>
      </c>
      <c r="AH348" s="2281"/>
      <c r="AI348" s="2282"/>
      <c r="AJ348" s="1909" t="s">
        <v>4520</v>
      </c>
      <c r="AK348" s="2283" t="s">
        <v>4521</v>
      </c>
      <c r="AL348" s="2281"/>
      <c r="AM348" s="2259"/>
      <c r="AN348" s="2281"/>
      <c r="AO348" s="2282"/>
      <c r="AP348" s="1909" t="s">
        <v>3699</v>
      </c>
      <c r="BC348" s="214"/>
      <c r="BD348" s="214"/>
      <c r="BE348" s="214"/>
      <c r="BF348" s="214"/>
    </row>
    <row r="349" spans="1:58" ht="45" hidden="1" customHeight="1">
      <c r="B349" s="2277"/>
      <c r="C349" s="2259"/>
      <c r="D349" s="2260"/>
      <c r="E349" s="1908" t="s">
        <v>3682</v>
      </c>
      <c r="F349" s="1908" t="s">
        <v>4458</v>
      </c>
      <c r="G349" s="1908"/>
      <c r="H349" s="2278" t="s">
        <v>4505</v>
      </c>
      <c r="I349" s="2259"/>
      <c r="J349" s="2260"/>
      <c r="K349" s="2278" t="s">
        <v>4536</v>
      </c>
      <c r="L349" s="2260"/>
      <c r="M349" s="1908" t="e">
        <f>VLOOKUP(K349,'Estimate Details'!$R:$BR,20,FALSE)</f>
        <v>#N/A</v>
      </c>
      <c r="N349" s="1908" t="e">
        <f>VLOOKUP(M349,#REF!,2,FALSE)</f>
        <v>#N/A</v>
      </c>
      <c r="O349" s="1908" t="s">
        <v>4507</v>
      </c>
      <c r="P349" s="2278" t="s">
        <v>3687</v>
      </c>
      <c r="Q349" s="2259"/>
      <c r="R349" s="2260"/>
      <c r="S349" s="1908" t="s">
        <v>3688</v>
      </c>
      <c r="T349" s="1908" t="s">
        <v>3689</v>
      </c>
      <c r="U349" s="1908" t="s">
        <v>3690</v>
      </c>
      <c r="V349" s="1908" t="s">
        <v>3691</v>
      </c>
      <c r="W349" s="1908" t="s">
        <v>3688</v>
      </c>
      <c r="X349" s="1908" t="s">
        <v>4508</v>
      </c>
      <c r="Y349" s="1908" t="s">
        <v>4509</v>
      </c>
      <c r="Z349" s="1908"/>
      <c r="AA349" s="1908" t="s">
        <v>3694</v>
      </c>
      <c r="AB349" s="1908" t="s">
        <v>4510</v>
      </c>
      <c r="AC349" s="1908" t="s">
        <v>3696</v>
      </c>
      <c r="AD349" s="2278" t="s">
        <v>4511</v>
      </c>
      <c r="AE349" s="2259"/>
      <c r="AF349" s="2260"/>
      <c r="AG349" s="2278" t="s">
        <v>4463</v>
      </c>
      <c r="AH349" s="2259"/>
      <c r="AI349" s="2260"/>
      <c r="AJ349" s="1908" t="s">
        <v>4512</v>
      </c>
      <c r="AK349" s="2278" t="s">
        <v>4513</v>
      </c>
      <c r="AL349" s="2259"/>
      <c r="AM349" s="2259"/>
      <c r="AN349" s="2259"/>
      <c r="AO349" s="2260"/>
      <c r="AP349" s="1908" t="s">
        <v>3716</v>
      </c>
      <c r="BC349" s="214"/>
      <c r="BD349" s="214"/>
      <c r="BE349" s="214"/>
      <c r="BF349" s="214"/>
    </row>
    <row r="350" spans="1:58" ht="45" hidden="1" customHeight="1">
      <c r="A350" s="808"/>
      <c r="B350" s="2280"/>
      <c r="C350" s="2281"/>
      <c r="D350" s="2282"/>
      <c r="E350" s="1909" t="s">
        <v>3682</v>
      </c>
      <c r="F350" s="1909" t="s">
        <v>4458</v>
      </c>
      <c r="G350" s="1909"/>
      <c r="H350" s="2283" t="s">
        <v>4505</v>
      </c>
      <c r="I350" s="2281"/>
      <c r="J350" s="2282"/>
      <c r="K350" s="2283" t="s">
        <v>4537</v>
      </c>
      <c r="L350" s="2282"/>
      <c r="M350" s="1909" t="e">
        <f>VLOOKUP(K350,'Estimate Details'!$R:$BR,20,FALSE)</f>
        <v>#N/A</v>
      </c>
      <c r="N350" s="1909" t="e">
        <f>VLOOKUP(M350,#REF!,2,FALSE)</f>
        <v>#N/A</v>
      </c>
      <c r="O350" s="1909" t="s">
        <v>4515</v>
      </c>
      <c r="P350" s="2284" t="s">
        <v>3687</v>
      </c>
      <c r="Q350" s="2281"/>
      <c r="R350" s="2282"/>
      <c r="S350" s="1909" t="s">
        <v>3688</v>
      </c>
      <c r="T350" s="1909" t="s">
        <v>3689</v>
      </c>
      <c r="U350" s="1909" t="s">
        <v>3690</v>
      </c>
      <c r="V350" s="1909" t="s">
        <v>3691</v>
      </c>
      <c r="W350" s="1909" t="s">
        <v>3688</v>
      </c>
      <c r="X350" s="1909" t="s">
        <v>4516</v>
      </c>
      <c r="Y350" s="1909" t="s">
        <v>4517</v>
      </c>
      <c r="Z350" s="1909"/>
      <c r="AA350" s="1909" t="s">
        <v>3694</v>
      </c>
      <c r="AB350" s="1909" t="s">
        <v>4518</v>
      </c>
      <c r="AC350" s="1909" t="s">
        <v>3696</v>
      </c>
      <c r="AD350" s="2283" t="s">
        <v>4519</v>
      </c>
      <c r="AE350" s="2281"/>
      <c r="AF350" s="2282"/>
      <c r="AG350" s="2283" t="s">
        <v>4463</v>
      </c>
      <c r="AH350" s="2281"/>
      <c r="AI350" s="2282"/>
      <c r="AJ350" s="1909" t="s">
        <v>4520</v>
      </c>
      <c r="AK350" s="2283" t="s">
        <v>4521</v>
      </c>
      <c r="AL350" s="2281"/>
      <c r="AM350" s="2259"/>
      <c r="AN350" s="2281"/>
      <c r="AO350" s="2282"/>
      <c r="AP350" s="1909" t="s">
        <v>3699</v>
      </c>
      <c r="BC350" s="214"/>
      <c r="BD350" s="214"/>
      <c r="BE350" s="214"/>
      <c r="BF350" s="214"/>
    </row>
    <row r="351" spans="1:58" ht="45" hidden="1" customHeight="1">
      <c r="B351" s="2277"/>
      <c r="C351" s="2259"/>
      <c r="D351" s="2260"/>
      <c r="E351" s="1908" t="s">
        <v>3682</v>
      </c>
      <c r="F351" s="1908" t="s">
        <v>4458</v>
      </c>
      <c r="G351" s="1908"/>
      <c r="H351" s="2278" t="s">
        <v>4505</v>
      </c>
      <c r="I351" s="2259"/>
      <c r="J351" s="2260"/>
      <c r="K351" s="2278" t="s">
        <v>4538</v>
      </c>
      <c r="L351" s="2260"/>
      <c r="M351" s="1908" t="e">
        <f>VLOOKUP(K351,'Estimate Details'!$R:$BR,20,FALSE)</f>
        <v>#N/A</v>
      </c>
      <c r="N351" s="1908" t="e">
        <f>VLOOKUP(M351,#REF!,2,FALSE)</f>
        <v>#N/A</v>
      </c>
      <c r="O351" s="1908" t="s">
        <v>4523</v>
      </c>
      <c r="P351" s="2278" t="s">
        <v>3687</v>
      </c>
      <c r="Q351" s="2259"/>
      <c r="R351" s="2260"/>
      <c r="S351" s="1908" t="s">
        <v>3688</v>
      </c>
      <c r="T351" s="1908" t="s">
        <v>3689</v>
      </c>
      <c r="U351" s="1908" t="s">
        <v>3690</v>
      </c>
      <c r="V351" s="1908" t="s">
        <v>3691</v>
      </c>
      <c r="W351" s="1908" t="s">
        <v>3688</v>
      </c>
      <c r="X351" s="1908" t="s">
        <v>4516</v>
      </c>
      <c r="Y351" s="1908" t="s">
        <v>4517</v>
      </c>
      <c r="Z351" s="1908"/>
      <c r="AA351" s="1908" t="s">
        <v>3694</v>
      </c>
      <c r="AB351" s="1908" t="s">
        <v>4518</v>
      </c>
      <c r="AC351" s="1908" t="s">
        <v>3696</v>
      </c>
      <c r="AD351" s="2278" t="s">
        <v>4519</v>
      </c>
      <c r="AE351" s="2259"/>
      <c r="AF351" s="2260"/>
      <c r="AG351" s="2278" t="s">
        <v>4463</v>
      </c>
      <c r="AH351" s="2259"/>
      <c r="AI351" s="2260"/>
      <c r="AJ351" s="1908" t="s">
        <v>4520</v>
      </c>
      <c r="AK351" s="2278" t="s">
        <v>4521</v>
      </c>
      <c r="AL351" s="2259"/>
      <c r="AM351" s="2259"/>
      <c r="AN351" s="2259"/>
      <c r="AO351" s="2260"/>
      <c r="AP351" s="1908" t="s">
        <v>3699</v>
      </c>
      <c r="BC351" s="214"/>
      <c r="BD351" s="214"/>
      <c r="BE351" s="214"/>
      <c r="BF351" s="214"/>
    </row>
    <row r="352" spans="1:58" ht="45" hidden="1" customHeight="1">
      <c r="A352" s="808"/>
      <c r="B352" s="2280"/>
      <c r="C352" s="2281"/>
      <c r="D352" s="2282"/>
      <c r="E352" s="1909" t="s">
        <v>3682</v>
      </c>
      <c r="F352" s="1909" t="s">
        <v>4458</v>
      </c>
      <c r="G352" s="1909"/>
      <c r="H352" s="2283" t="s">
        <v>4505</v>
      </c>
      <c r="I352" s="2281"/>
      <c r="J352" s="2282"/>
      <c r="K352" s="2283" t="s">
        <v>4539</v>
      </c>
      <c r="L352" s="2282"/>
      <c r="M352" s="1909" t="e">
        <f>VLOOKUP(K352,'Estimate Details'!$R:$BR,20,FALSE)</f>
        <v>#N/A</v>
      </c>
      <c r="N352" s="1909" t="e">
        <f>VLOOKUP(M352,#REF!,2,FALSE)</f>
        <v>#N/A</v>
      </c>
      <c r="O352" s="1909" t="s">
        <v>4507</v>
      </c>
      <c r="P352" s="2284" t="s">
        <v>3687</v>
      </c>
      <c r="Q352" s="2281"/>
      <c r="R352" s="2282"/>
      <c r="S352" s="1909" t="s">
        <v>3688</v>
      </c>
      <c r="T352" s="1909" t="s">
        <v>3689</v>
      </c>
      <c r="U352" s="1909" t="s">
        <v>3690</v>
      </c>
      <c r="V352" s="1909" t="s">
        <v>3691</v>
      </c>
      <c r="W352" s="1909" t="s">
        <v>3688</v>
      </c>
      <c r="X352" s="1909" t="s">
        <v>4508</v>
      </c>
      <c r="Y352" s="1909">
        <v>11400</v>
      </c>
      <c r="Z352" s="1909"/>
      <c r="AA352" s="1909" t="s">
        <v>3694</v>
      </c>
      <c r="AB352" s="1909" t="s">
        <v>4510</v>
      </c>
      <c r="AC352" s="1909" t="s">
        <v>3696</v>
      </c>
      <c r="AD352" s="2283" t="s">
        <v>4511</v>
      </c>
      <c r="AE352" s="2281"/>
      <c r="AF352" s="2282"/>
      <c r="AG352" s="2283" t="s">
        <v>4463</v>
      </c>
      <c r="AH352" s="2281"/>
      <c r="AI352" s="2282"/>
      <c r="AJ352" s="1909" t="s">
        <v>4512</v>
      </c>
      <c r="AK352" s="2283" t="s">
        <v>4513</v>
      </c>
      <c r="AL352" s="2281"/>
      <c r="AM352" s="2259"/>
      <c r="AN352" s="2281"/>
      <c r="AO352" s="2282"/>
      <c r="AP352" s="1909" t="s">
        <v>3716</v>
      </c>
      <c r="BC352" s="214"/>
      <c r="BD352" s="214"/>
      <c r="BE352" s="214"/>
      <c r="BF352" s="214"/>
    </row>
    <row r="353" spans="1:58" ht="45" hidden="1" customHeight="1">
      <c r="B353" s="2277"/>
      <c r="C353" s="2259"/>
      <c r="D353" s="2260"/>
      <c r="E353" s="1908" t="s">
        <v>3682</v>
      </c>
      <c r="F353" s="1908" t="s">
        <v>4458</v>
      </c>
      <c r="G353" s="1908"/>
      <c r="H353" s="2278" t="s">
        <v>4505</v>
      </c>
      <c r="I353" s="2259"/>
      <c r="J353" s="2260"/>
      <c r="K353" s="2278" t="s">
        <v>4540</v>
      </c>
      <c r="L353" s="2260"/>
      <c r="M353" s="1908" t="e">
        <f>VLOOKUP(K353,'Estimate Details'!$R:$BR,20,FALSE)</f>
        <v>#N/A</v>
      </c>
      <c r="N353" s="1908" t="e">
        <f>VLOOKUP(M353,#REF!,2,FALSE)</f>
        <v>#N/A</v>
      </c>
      <c r="O353" s="1908" t="s">
        <v>4515</v>
      </c>
      <c r="P353" s="2278" t="s">
        <v>3687</v>
      </c>
      <c r="Q353" s="2259"/>
      <c r="R353" s="2260"/>
      <c r="S353" s="1908" t="s">
        <v>3688</v>
      </c>
      <c r="T353" s="1908" t="s">
        <v>3689</v>
      </c>
      <c r="U353" s="1908" t="s">
        <v>3690</v>
      </c>
      <c r="V353" s="1908" t="s">
        <v>3691</v>
      </c>
      <c r="W353" s="1908" t="s">
        <v>3688</v>
      </c>
      <c r="X353" s="1908" t="s">
        <v>4516</v>
      </c>
      <c r="Y353" s="1908" t="s">
        <v>4517</v>
      </c>
      <c r="Z353" s="1908"/>
      <c r="AA353" s="1908" t="s">
        <v>3694</v>
      </c>
      <c r="AB353" s="1908" t="s">
        <v>4518</v>
      </c>
      <c r="AC353" s="1908" t="s">
        <v>3696</v>
      </c>
      <c r="AD353" s="2278" t="s">
        <v>4519</v>
      </c>
      <c r="AE353" s="2259"/>
      <c r="AF353" s="2260"/>
      <c r="AG353" s="2278" t="s">
        <v>4463</v>
      </c>
      <c r="AH353" s="2259"/>
      <c r="AI353" s="2260"/>
      <c r="AJ353" s="1908" t="s">
        <v>4520</v>
      </c>
      <c r="AK353" s="2278" t="s">
        <v>4521</v>
      </c>
      <c r="AL353" s="2259"/>
      <c r="AM353" s="2259"/>
      <c r="AN353" s="2259"/>
      <c r="AO353" s="2260"/>
      <c r="AP353" s="1908" t="s">
        <v>3699</v>
      </c>
      <c r="BC353" s="214"/>
      <c r="BD353" s="214"/>
      <c r="BE353" s="214"/>
      <c r="BF353" s="214"/>
    </row>
    <row r="354" spans="1:58" ht="45" hidden="1" customHeight="1">
      <c r="A354" s="808"/>
      <c r="B354" s="2280"/>
      <c r="C354" s="2281"/>
      <c r="D354" s="2282"/>
      <c r="E354" s="1909" t="s">
        <v>3682</v>
      </c>
      <c r="F354" s="1909" t="s">
        <v>4458</v>
      </c>
      <c r="G354" s="1909"/>
      <c r="H354" s="2283" t="s">
        <v>4505</v>
      </c>
      <c r="I354" s="2281"/>
      <c r="J354" s="2282"/>
      <c r="K354" s="2283" t="s">
        <v>4541</v>
      </c>
      <c r="L354" s="2282"/>
      <c r="M354" s="1909" t="e">
        <f>VLOOKUP(K354,'Estimate Details'!$R:$BR,20,FALSE)</f>
        <v>#N/A</v>
      </c>
      <c r="N354" s="1909" t="e">
        <f>VLOOKUP(M354,#REF!,2,FALSE)</f>
        <v>#N/A</v>
      </c>
      <c r="O354" s="1909" t="s">
        <v>4523</v>
      </c>
      <c r="P354" s="2284" t="s">
        <v>3687</v>
      </c>
      <c r="Q354" s="2281"/>
      <c r="R354" s="2282"/>
      <c r="S354" s="1909" t="s">
        <v>3688</v>
      </c>
      <c r="T354" s="1909" t="s">
        <v>3689</v>
      </c>
      <c r="U354" s="1909" t="s">
        <v>3690</v>
      </c>
      <c r="V354" s="1909" t="s">
        <v>3691</v>
      </c>
      <c r="W354" s="1909" t="s">
        <v>3688</v>
      </c>
      <c r="X354" s="1909" t="s">
        <v>4516</v>
      </c>
      <c r="Y354" s="1909" t="s">
        <v>4517</v>
      </c>
      <c r="Z354" s="1909"/>
      <c r="AA354" s="1909" t="s">
        <v>3694</v>
      </c>
      <c r="AB354" s="1909" t="s">
        <v>4518</v>
      </c>
      <c r="AC354" s="1909" t="s">
        <v>3696</v>
      </c>
      <c r="AD354" s="2283" t="s">
        <v>4519</v>
      </c>
      <c r="AE354" s="2281"/>
      <c r="AF354" s="2282"/>
      <c r="AG354" s="2283" t="s">
        <v>4463</v>
      </c>
      <c r="AH354" s="2281"/>
      <c r="AI354" s="2282"/>
      <c r="AJ354" s="1909" t="s">
        <v>4520</v>
      </c>
      <c r="AK354" s="2283" t="s">
        <v>4521</v>
      </c>
      <c r="AL354" s="2281"/>
      <c r="AM354" s="2259"/>
      <c r="AN354" s="2281"/>
      <c r="AO354" s="2282"/>
      <c r="AP354" s="1909" t="s">
        <v>3699</v>
      </c>
      <c r="BC354" s="214"/>
      <c r="BD354" s="214"/>
      <c r="BE354" s="214"/>
      <c r="BF354" s="214"/>
    </row>
    <row r="355" spans="1:58" ht="45" hidden="1" customHeight="1">
      <c r="B355" s="2277"/>
      <c r="C355" s="2259"/>
      <c r="D355" s="2260"/>
      <c r="E355" s="1908" t="s">
        <v>3682</v>
      </c>
      <c r="F355" s="1908" t="s">
        <v>4458</v>
      </c>
      <c r="G355" s="1908"/>
      <c r="H355" s="2278" t="s">
        <v>4505</v>
      </c>
      <c r="I355" s="2259"/>
      <c r="J355" s="2260"/>
      <c r="K355" s="2278" t="s">
        <v>4542</v>
      </c>
      <c r="L355" s="2260"/>
      <c r="M355" s="1908" t="e">
        <f>VLOOKUP(K355,'Estimate Details'!$R:$BR,20,FALSE)</f>
        <v>#N/A</v>
      </c>
      <c r="N355" s="1908" t="e">
        <f>VLOOKUP(M355,#REF!,2,FALSE)</f>
        <v>#N/A</v>
      </c>
      <c r="O355" s="1908" t="s">
        <v>4507</v>
      </c>
      <c r="P355" s="2278" t="s">
        <v>3687</v>
      </c>
      <c r="Q355" s="2259"/>
      <c r="R355" s="2260"/>
      <c r="S355" s="1908" t="s">
        <v>3688</v>
      </c>
      <c r="T355" s="1908" t="s">
        <v>3689</v>
      </c>
      <c r="U355" s="1908" t="s">
        <v>3690</v>
      </c>
      <c r="V355" s="1908" t="s">
        <v>3691</v>
      </c>
      <c r="W355" s="1908" t="s">
        <v>3688</v>
      </c>
      <c r="X355" s="1908" t="s">
        <v>4508</v>
      </c>
      <c r="Y355" s="1908" t="s">
        <v>4509</v>
      </c>
      <c r="Z355" s="1908"/>
      <c r="AA355" s="1908" t="s">
        <v>3694</v>
      </c>
      <c r="AB355" s="1908" t="s">
        <v>4510</v>
      </c>
      <c r="AC355" s="1908" t="s">
        <v>3696</v>
      </c>
      <c r="AD355" s="2278" t="s">
        <v>4511</v>
      </c>
      <c r="AE355" s="2259"/>
      <c r="AF355" s="2260"/>
      <c r="AG355" s="2278" t="s">
        <v>4463</v>
      </c>
      <c r="AH355" s="2259"/>
      <c r="AI355" s="2260"/>
      <c r="AJ355" s="1908" t="s">
        <v>4512</v>
      </c>
      <c r="AK355" s="2278" t="s">
        <v>4513</v>
      </c>
      <c r="AL355" s="2259"/>
      <c r="AM355" s="2259"/>
      <c r="AN355" s="2259"/>
      <c r="AO355" s="2260"/>
      <c r="AP355" s="1908" t="s">
        <v>3716</v>
      </c>
      <c r="BC355" s="214"/>
      <c r="BD355" s="214"/>
      <c r="BE355" s="214"/>
      <c r="BF355" s="214"/>
    </row>
    <row r="356" spans="1:58" ht="45" hidden="1" customHeight="1">
      <c r="A356" s="808"/>
      <c r="B356" s="2280"/>
      <c r="C356" s="2281"/>
      <c r="D356" s="2282"/>
      <c r="E356" s="1909" t="s">
        <v>3682</v>
      </c>
      <c r="F356" s="1909" t="s">
        <v>4458</v>
      </c>
      <c r="G356" s="1909"/>
      <c r="H356" s="2283" t="s">
        <v>4505</v>
      </c>
      <c r="I356" s="2281"/>
      <c r="J356" s="2282"/>
      <c r="K356" s="2283" t="s">
        <v>4543</v>
      </c>
      <c r="L356" s="2282"/>
      <c r="M356" s="1909" t="e">
        <f>VLOOKUP(K356,'Estimate Details'!$R:$BR,20,FALSE)</f>
        <v>#N/A</v>
      </c>
      <c r="N356" s="1909" t="e">
        <f>VLOOKUP(M356,#REF!,2,FALSE)</f>
        <v>#N/A</v>
      </c>
      <c r="O356" s="1909" t="s">
        <v>4515</v>
      </c>
      <c r="P356" s="2284" t="s">
        <v>3687</v>
      </c>
      <c r="Q356" s="2281"/>
      <c r="R356" s="2282"/>
      <c r="S356" s="1909" t="s">
        <v>3688</v>
      </c>
      <c r="T356" s="1909" t="s">
        <v>3689</v>
      </c>
      <c r="U356" s="1909" t="s">
        <v>3690</v>
      </c>
      <c r="V356" s="1909" t="s">
        <v>3691</v>
      </c>
      <c r="W356" s="1909" t="s">
        <v>3688</v>
      </c>
      <c r="X356" s="1909" t="s">
        <v>4516</v>
      </c>
      <c r="Y356" s="1909" t="s">
        <v>4517</v>
      </c>
      <c r="Z356" s="1909"/>
      <c r="AA356" s="1909" t="s">
        <v>3694</v>
      </c>
      <c r="AB356" s="1909" t="s">
        <v>4518</v>
      </c>
      <c r="AC356" s="1909" t="s">
        <v>3696</v>
      </c>
      <c r="AD356" s="2283" t="s">
        <v>4519</v>
      </c>
      <c r="AE356" s="2281"/>
      <c r="AF356" s="2282"/>
      <c r="AG356" s="2283" t="s">
        <v>4463</v>
      </c>
      <c r="AH356" s="2281"/>
      <c r="AI356" s="2282"/>
      <c r="AJ356" s="1909" t="s">
        <v>4520</v>
      </c>
      <c r="AK356" s="2283" t="s">
        <v>4521</v>
      </c>
      <c r="AL356" s="2281"/>
      <c r="AM356" s="2259"/>
      <c r="AN356" s="2281"/>
      <c r="AO356" s="2282"/>
      <c r="AP356" s="1909" t="s">
        <v>3699</v>
      </c>
      <c r="BC356" s="214"/>
      <c r="BD356" s="214"/>
      <c r="BE356" s="214"/>
      <c r="BF356" s="214"/>
    </row>
    <row r="357" spans="1:58" ht="45" hidden="1" customHeight="1">
      <c r="B357" s="2277"/>
      <c r="C357" s="2259"/>
      <c r="D357" s="2260"/>
      <c r="E357" s="1908" t="s">
        <v>3682</v>
      </c>
      <c r="F357" s="1908" t="s">
        <v>4458</v>
      </c>
      <c r="G357" s="1908"/>
      <c r="H357" s="2278" t="s">
        <v>4505</v>
      </c>
      <c r="I357" s="2259"/>
      <c r="J357" s="2260"/>
      <c r="K357" s="2278" t="s">
        <v>4544</v>
      </c>
      <c r="L357" s="2260"/>
      <c r="M357" s="1908" t="e">
        <f>VLOOKUP(K357,'Estimate Details'!$R:$BR,20,FALSE)</f>
        <v>#N/A</v>
      </c>
      <c r="N357" s="1908" t="e">
        <f>VLOOKUP(M357,#REF!,2,FALSE)</f>
        <v>#N/A</v>
      </c>
      <c r="O357" s="1908" t="s">
        <v>4523</v>
      </c>
      <c r="P357" s="2278" t="s">
        <v>3687</v>
      </c>
      <c r="Q357" s="2259"/>
      <c r="R357" s="2260"/>
      <c r="S357" s="1908" t="s">
        <v>3688</v>
      </c>
      <c r="T357" s="1908" t="s">
        <v>3689</v>
      </c>
      <c r="U357" s="1908" t="s">
        <v>3690</v>
      </c>
      <c r="V357" s="1908" t="s">
        <v>3691</v>
      </c>
      <c r="W357" s="1908" t="s">
        <v>3688</v>
      </c>
      <c r="X357" s="1908" t="s">
        <v>4516</v>
      </c>
      <c r="Y357" s="1908" t="s">
        <v>4517</v>
      </c>
      <c r="Z357" s="1908"/>
      <c r="AA357" s="1908" t="s">
        <v>3694</v>
      </c>
      <c r="AB357" s="1908" t="s">
        <v>4518</v>
      </c>
      <c r="AC357" s="1908" t="s">
        <v>3696</v>
      </c>
      <c r="AD357" s="2278" t="s">
        <v>4519</v>
      </c>
      <c r="AE357" s="2259"/>
      <c r="AF357" s="2260"/>
      <c r="AG357" s="2278" t="s">
        <v>4463</v>
      </c>
      <c r="AH357" s="2259"/>
      <c r="AI357" s="2260"/>
      <c r="AJ357" s="1908" t="s">
        <v>4520</v>
      </c>
      <c r="AK357" s="2278" t="s">
        <v>4521</v>
      </c>
      <c r="AL357" s="2259"/>
      <c r="AM357" s="2259"/>
      <c r="AN357" s="2259"/>
      <c r="AO357" s="2260"/>
      <c r="AP357" s="1908" t="s">
        <v>3699</v>
      </c>
      <c r="BC357" s="214"/>
      <c r="BD357" s="214"/>
      <c r="BE357" s="214"/>
      <c r="BF357" s="214"/>
    </row>
    <row r="358" spans="1:58" ht="45" hidden="1" customHeight="1">
      <c r="A358" s="808"/>
      <c r="B358" s="2280"/>
      <c r="C358" s="2281"/>
      <c r="D358" s="2282"/>
      <c r="E358" s="1909" t="s">
        <v>3682</v>
      </c>
      <c r="F358" s="1909" t="s">
        <v>4458</v>
      </c>
      <c r="G358" s="1909"/>
      <c r="H358" s="2283" t="s">
        <v>4505</v>
      </c>
      <c r="I358" s="2281"/>
      <c r="J358" s="2282"/>
      <c r="K358" s="2283" t="s">
        <v>4545</v>
      </c>
      <c r="L358" s="2282"/>
      <c r="M358" s="1909" t="e">
        <f>VLOOKUP(K358,'Estimate Details'!$R:$BR,20,FALSE)</f>
        <v>#N/A</v>
      </c>
      <c r="N358" s="1909" t="e">
        <f>VLOOKUP(M358,#REF!,2,FALSE)</f>
        <v>#N/A</v>
      </c>
      <c r="O358" s="1909" t="s">
        <v>4507</v>
      </c>
      <c r="P358" s="2284" t="s">
        <v>3687</v>
      </c>
      <c r="Q358" s="2281"/>
      <c r="R358" s="2282"/>
      <c r="S358" s="1909" t="s">
        <v>3688</v>
      </c>
      <c r="T358" s="1909" t="s">
        <v>3689</v>
      </c>
      <c r="U358" s="1909" t="s">
        <v>3690</v>
      </c>
      <c r="V358" s="1909" t="s">
        <v>3691</v>
      </c>
      <c r="W358" s="1909" t="s">
        <v>3688</v>
      </c>
      <c r="X358" s="1909" t="s">
        <v>4508</v>
      </c>
      <c r="Y358" s="1909" t="s">
        <v>4509</v>
      </c>
      <c r="Z358" s="1909"/>
      <c r="AA358" s="1909" t="s">
        <v>3694</v>
      </c>
      <c r="AB358" s="1909" t="s">
        <v>4510</v>
      </c>
      <c r="AC358" s="1909" t="s">
        <v>3696</v>
      </c>
      <c r="AD358" s="2283" t="s">
        <v>4511</v>
      </c>
      <c r="AE358" s="2281"/>
      <c r="AF358" s="2282"/>
      <c r="AG358" s="2283" t="s">
        <v>4463</v>
      </c>
      <c r="AH358" s="2281"/>
      <c r="AI358" s="2282"/>
      <c r="AJ358" s="1909" t="s">
        <v>4512</v>
      </c>
      <c r="AK358" s="2283" t="s">
        <v>4513</v>
      </c>
      <c r="AL358" s="2281"/>
      <c r="AM358" s="2259"/>
      <c r="AN358" s="2281"/>
      <c r="AO358" s="2282"/>
      <c r="AP358" s="1909" t="s">
        <v>3716</v>
      </c>
      <c r="BC358" s="214"/>
      <c r="BD358" s="214"/>
      <c r="BE358" s="214"/>
      <c r="BF358" s="214"/>
    </row>
    <row r="359" spans="1:58" ht="45" hidden="1" customHeight="1">
      <c r="B359" s="2277"/>
      <c r="C359" s="2259"/>
      <c r="D359" s="2260"/>
      <c r="E359" s="1908" t="s">
        <v>3682</v>
      </c>
      <c r="F359" s="1908" t="s">
        <v>4458</v>
      </c>
      <c r="G359" s="1908"/>
      <c r="H359" s="2278" t="s">
        <v>4505</v>
      </c>
      <c r="I359" s="2259"/>
      <c r="J359" s="2260"/>
      <c r="K359" s="2278" t="s">
        <v>4546</v>
      </c>
      <c r="L359" s="2260"/>
      <c r="M359" s="1908" t="e">
        <f>VLOOKUP(K359,'Estimate Details'!$R:$BR,20,FALSE)</f>
        <v>#N/A</v>
      </c>
      <c r="N359" s="1908" t="e">
        <f>VLOOKUP(M359,#REF!,2,FALSE)</f>
        <v>#N/A</v>
      </c>
      <c r="O359" s="1908" t="s">
        <v>4515</v>
      </c>
      <c r="P359" s="2278" t="s">
        <v>3687</v>
      </c>
      <c r="Q359" s="2259"/>
      <c r="R359" s="2260"/>
      <c r="S359" s="1908" t="s">
        <v>3688</v>
      </c>
      <c r="T359" s="1908" t="s">
        <v>3689</v>
      </c>
      <c r="U359" s="1908" t="s">
        <v>3690</v>
      </c>
      <c r="V359" s="1908" t="s">
        <v>3691</v>
      </c>
      <c r="W359" s="1908" t="s">
        <v>3688</v>
      </c>
      <c r="X359" s="1908" t="s">
        <v>4516</v>
      </c>
      <c r="Y359" s="1908" t="s">
        <v>4517</v>
      </c>
      <c r="Z359" s="1908"/>
      <c r="AA359" s="1908" t="s">
        <v>3694</v>
      </c>
      <c r="AB359" s="1908" t="s">
        <v>4518</v>
      </c>
      <c r="AC359" s="1908" t="s">
        <v>3696</v>
      </c>
      <c r="AD359" s="2278" t="s">
        <v>4519</v>
      </c>
      <c r="AE359" s="2259"/>
      <c r="AF359" s="2260"/>
      <c r="AG359" s="2278" t="s">
        <v>4463</v>
      </c>
      <c r="AH359" s="2259"/>
      <c r="AI359" s="2260"/>
      <c r="AJ359" s="1908" t="s">
        <v>4520</v>
      </c>
      <c r="AK359" s="2278" t="s">
        <v>4521</v>
      </c>
      <c r="AL359" s="2259"/>
      <c r="AM359" s="2259"/>
      <c r="AN359" s="2259"/>
      <c r="AO359" s="2260"/>
      <c r="AP359" s="1908" t="s">
        <v>3699</v>
      </c>
      <c r="BC359" s="214"/>
      <c r="BD359" s="214"/>
      <c r="BE359" s="214"/>
      <c r="BF359" s="214"/>
    </row>
    <row r="360" spans="1:58" ht="45" hidden="1" customHeight="1">
      <c r="A360" s="808"/>
      <c r="B360" s="2280"/>
      <c r="C360" s="2281"/>
      <c r="D360" s="2282"/>
      <c r="E360" s="1909" t="s">
        <v>3682</v>
      </c>
      <c r="F360" s="1909" t="s">
        <v>4458</v>
      </c>
      <c r="G360" s="1909"/>
      <c r="H360" s="2283" t="s">
        <v>4505</v>
      </c>
      <c r="I360" s="2281"/>
      <c r="J360" s="2282"/>
      <c r="K360" s="2283" t="s">
        <v>4547</v>
      </c>
      <c r="L360" s="2282"/>
      <c r="M360" s="1909" t="e">
        <f>VLOOKUP(K360,'Estimate Details'!$R:$BR,20,FALSE)</f>
        <v>#N/A</v>
      </c>
      <c r="N360" s="1909" t="e">
        <f>VLOOKUP(M360,#REF!,2,FALSE)</f>
        <v>#N/A</v>
      </c>
      <c r="O360" s="1909" t="s">
        <v>4523</v>
      </c>
      <c r="P360" s="2284" t="s">
        <v>3687</v>
      </c>
      <c r="Q360" s="2281"/>
      <c r="R360" s="2282"/>
      <c r="S360" s="1909" t="s">
        <v>3688</v>
      </c>
      <c r="T360" s="1909" t="s">
        <v>3689</v>
      </c>
      <c r="U360" s="1909" t="s">
        <v>3690</v>
      </c>
      <c r="V360" s="1909" t="s">
        <v>3691</v>
      </c>
      <c r="W360" s="1909" t="s">
        <v>3688</v>
      </c>
      <c r="X360" s="1909" t="s">
        <v>4516</v>
      </c>
      <c r="Y360" s="1909" t="s">
        <v>4517</v>
      </c>
      <c r="Z360" s="1909"/>
      <c r="AA360" s="1909" t="s">
        <v>3694</v>
      </c>
      <c r="AB360" s="1909" t="s">
        <v>4518</v>
      </c>
      <c r="AC360" s="1909" t="s">
        <v>3696</v>
      </c>
      <c r="AD360" s="2283" t="s">
        <v>4519</v>
      </c>
      <c r="AE360" s="2281"/>
      <c r="AF360" s="2282"/>
      <c r="AG360" s="2283" t="s">
        <v>4463</v>
      </c>
      <c r="AH360" s="2281"/>
      <c r="AI360" s="2282"/>
      <c r="AJ360" s="1909" t="s">
        <v>4520</v>
      </c>
      <c r="AK360" s="2283" t="s">
        <v>4521</v>
      </c>
      <c r="AL360" s="2281"/>
      <c r="AM360" s="2259"/>
      <c r="AN360" s="2281"/>
      <c r="AO360" s="2282"/>
      <c r="AP360" s="1909" t="s">
        <v>3699</v>
      </c>
      <c r="BC360" s="214"/>
      <c r="BD360" s="214"/>
      <c r="BE360" s="214"/>
      <c r="BF360" s="214"/>
    </row>
    <row r="361" spans="1:58" ht="45" hidden="1" customHeight="1">
      <c r="B361" s="2277"/>
      <c r="C361" s="2259"/>
      <c r="D361" s="2260"/>
      <c r="E361" s="1908" t="s">
        <v>3682</v>
      </c>
      <c r="F361" s="1908" t="s">
        <v>4458</v>
      </c>
      <c r="G361" s="1908"/>
      <c r="H361" s="2278" t="s">
        <v>4505</v>
      </c>
      <c r="I361" s="2259"/>
      <c r="J361" s="2260"/>
      <c r="K361" s="2278" t="s">
        <v>4548</v>
      </c>
      <c r="L361" s="2260"/>
      <c r="M361" s="1908" t="e">
        <f>VLOOKUP(K361,'Estimate Details'!$R:$BR,20,FALSE)</f>
        <v>#N/A</v>
      </c>
      <c r="N361" s="1908" t="e">
        <f>VLOOKUP(M361,#REF!,2,FALSE)</f>
        <v>#N/A</v>
      </c>
      <c r="O361" s="1908" t="s">
        <v>4507</v>
      </c>
      <c r="P361" s="2278" t="s">
        <v>3687</v>
      </c>
      <c r="Q361" s="2259"/>
      <c r="R361" s="2260"/>
      <c r="S361" s="1908" t="s">
        <v>3688</v>
      </c>
      <c r="T361" s="1908" t="s">
        <v>3689</v>
      </c>
      <c r="U361" s="1908" t="s">
        <v>3690</v>
      </c>
      <c r="V361" s="1908" t="s">
        <v>3691</v>
      </c>
      <c r="W361" s="1908" t="s">
        <v>3688</v>
      </c>
      <c r="X361" s="1908" t="s">
        <v>4508</v>
      </c>
      <c r="Y361" s="1908" t="s">
        <v>4509</v>
      </c>
      <c r="Z361" s="1908"/>
      <c r="AA361" s="1908" t="s">
        <v>3694</v>
      </c>
      <c r="AB361" s="1908" t="s">
        <v>4510</v>
      </c>
      <c r="AC361" s="1908" t="s">
        <v>3696</v>
      </c>
      <c r="AD361" s="2278" t="s">
        <v>4511</v>
      </c>
      <c r="AE361" s="2259"/>
      <c r="AF361" s="2260"/>
      <c r="AG361" s="2278" t="s">
        <v>4463</v>
      </c>
      <c r="AH361" s="2259"/>
      <c r="AI361" s="2260"/>
      <c r="AJ361" s="1908" t="s">
        <v>4512</v>
      </c>
      <c r="AK361" s="2278" t="s">
        <v>4513</v>
      </c>
      <c r="AL361" s="2259"/>
      <c r="AM361" s="2259"/>
      <c r="AN361" s="2259"/>
      <c r="AO361" s="2260"/>
      <c r="AP361" s="1908" t="s">
        <v>3716</v>
      </c>
      <c r="BC361" s="214"/>
      <c r="BD361" s="214"/>
      <c r="BE361" s="214"/>
      <c r="BF361" s="214"/>
    </row>
    <row r="362" spans="1:58" ht="45" hidden="1" customHeight="1">
      <c r="A362" s="808"/>
      <c r="B362" s="2280"/>
      <c r="C362" s="2281"/>
      <c r="D362" s="2282"/>
      <c r="E362" s="1909" t="s">
        <v>3682</v>
      </c>
      <c r="F362" s="1909" t="s">
        <v>4458</v>
      </c>
      <c r="G362" s="1909"/>
      <c r="H362" s="2283" t="s">
        <v>4505</v>
      </c>
      <c r="I362" s="2281"/>
      <c r="J362" s="2282"/>
      <c r="K362" s="2283" t="s">
        <v>4549</v>
      </c>
      <c r="L362" s="2282"/>
      <c r="M362" s="1909" t="e">
        <f>VLOOKUP(K362,'Estimate Details'!$R:$BR,20,FALSE)</f>
        <v>#N/A</v>
      </c>
      <c r="N362" s="1909" t="e">
        <f>VLOOKUP(M362,#REF!,2,FALSE)</f>
        <v>#N/A</v>
      </c>
      <c r="O362" s="1909" t="s">
        <v>4515</v>
      </c>
      <c r="P362" s="2284" t="s">
        <v>3687</v>
      </c>
      <c r="Q362" s="2281"/>
      <c r="R362" s="2282"/>
      <c r="S362" s="1909" t="s">
        <v>3688</v>
      </c>
      <c r="T362" s="1909" t="s">
        <v>3689</v>
      </c>
      <c r="U362" s="1909" t="s">
        <v>3690</v>
      </c>
      <c r="V362" s="1909" t="s">
        <v>3691</v>
      </c>
      <c r="W362" s="1909" t="s">
        <v>3688</v>
      </c>
      <c r="X362" s="1909" t="s">
        <v>4516</v>
      </c>
      <c r="Y362" s="1909" t="s">
        <v>4517</v>
      </c>
      <c r="Z362" s="1909"/>
      <c r="AA362" s="1909" t="s">
        <v>3694</v>
      </c>
      <c r="AB362" s="1909" t="s">
        <v>4518</v>
      </c>
      <c r="AC362" s="1909" t="s">
        <v>3696</v>
      </c>
      <c r="AD362" s="2283" t="s">
        <v>4519</v>
      </c>
      <c r="AE362" s="2281"/>
      <c r="AF362" s="2282"/>
      <c r="AG362" s="2283" t="s">
        <v>4463</v>
      </c>
      <c r="AH362" s="2281"/>
      <c r="AI362" s="2282"/>
      <c r="AJ362" s="1909" t="s">
        <v>4520</v>
      </c>
      <c r="AK362" s="2283" t="s">
        <v>4521</v>
      </c>
      <c r="AL362" s="2281"/>
      <c r="AM362" s="2259"/>
      <c r="AN362" s="2281"/>
      <c r="AO362" s="2282"/>
      <c r="AP362" s="1909" t="s">
        <v>3699</v>
      </c>
      <c r="BC362" s="214"/>
      <c r="BD362" s="214"/>
      <c r="BE362" s="214"/>
      <c r="BF362" s="214"/>
    </row>
    <row r="363" spans="1:58" ht="45" hidden="1" customHeight="1">
      <c r="B363" s="2277"/>
      <c r="C363" s="2259"/>
      <c r="D363" s="2260"/>
      <c r="E363" s="1908" t="s">
        <v>3682</v>
      </c>
      <c r="F363" s="1908" t="s">
        <v>4458</v>
      </c>
      <c r="G363" s="1908"/>
      <c r="H363" s="2278" t="s">
        <v>4505</v>
      </c>
      <c r="I363" s="2259"/>
      <c r="J363" s="2260"/>
      <c r="K363" s="2278" t="s">
        <v>4550</v>
      </c>
      <c r="L363" s="2260"/>
      <c r="M363" s="1908" t="e">
        <f>VLOOKUP(K363,'Estimate Details'!$R:$BR,20,FALSE)</f>
        <v>#N/A</v>
      </c>
      <c r="N363" s="1908" t="e">
        <f>VLOOKUP(M363,#REF!,2,FALSE)</f>
        <v>#N/A</v>
      </c>
      <c r="O363" s="1908" t="s">
        <v>4523</v>
      </c>
      <c r="P363" s="2278" t="s">
        <v>3687</v>
      </c>
      <c r="Q363" s="2259"/>
      <c r="R363" s="2260"/>
      <c r="S363" s="1908" t="s">
        <v>3688</v>
      </c>
      <c r="T363" s="1908" t="s">
        <v>3689</v>
      </c>
      <c r="U363" s="1908" t="s">
        <v>3690</v>
      </c>
      <c r="V363" s="1908" t="s">
        <v>3691</v>
      </c>
      <c r="W363" s="1908" t="s">
        <v>3688</v>
      </c>
      <c r="X363" s="1908" t="s">
        <v>4516</v>
      </c>
      <c r="Y363" s="1908" t="s">
        <v>4517</v>
      </c>
      <c r="Z363" s="1908"/>
      <c r="AA363" s="1908" t="s">
        <v>3694</v>
      </c>
      <c r="AB363" s="1908" t="s">
        <v>4518</v>
      </c>
      <c r="AC363" s="1908" t="s">
        <v>3696</v>
      </c>
      <c r="AD363" s="2278" t="s">
        <v>4519</v>
      </c>
      <c r="AE363" s="2259"/>
      <c r="AF363" s="2260"/>
      <c r="AG363" s="2278" t="s">
        <v>4463</v>
      </c>
      <c r="AH363" s="2259"/>
      <c r="AI363" s="2260"/>
      <c r="AJ363" s="1908" t="s">
        <v>4520</v>
      </c>
      <c r="AK363" s="2278" t="s">
        <v>4521</v>
      </c>
      <c r="AL363" s="2259"/>
      <c r="AM363" s="2259"/>
      <c r="AN363" s="2259"/>
      <c r="AO363" s="2260"/>
      <c r="AP363" s="1908" t="s">
        <v>3699</v>
      </c>
      <c r="BC363" s="214"/>
      <c r="BD363" s="214"/>
      <c r="BE363" s="214"/>
      <c r="BF363" s="214"/>
    </row>
    <row r="364" spans="1:58" ht="45" hidden="1" customHeight="1">
      <c r="A364" s="808"/>
      <c r="B364" s="2280"/>
      <c r="C364" s="2281"/>
      <c r="D364" s="2282"/>
      <c r="E364" s="1909" t="s">
        <v>3682</v>
      </c>
      <c r="F364" s="1909" t="s">
        <v>4458</v>
      </c>
      <c r="G364" s="1909"/>
      <c r="H364" s="2283" t="s">
        <v>4505</v>
      </c>
      <c r="I364" s="2281"/>
      <c r="J364" s="2282"/>
      <c r="K364" s="2283" t="s">
        <v>4551</v>
      </c>
      <c r="L364" s="2282"/>
      <c r="M364" s="1909" t="e">
        <f>VLOOKUP(K364,'Estimate Details'!$R:$BR,20,FALSE)</f>
        <v>#N/A</v>
      </c>
      <c r="N364" s="1909" t="e">
        <f>VLOOKUP(M364,#REF!,2,FALSE)</f>
        <v>#N/A</v>
      </c>
      <c r="O364" s="1909" t="s">
        <v>4507</v>
      </c>
      <c r="P364" s="2284" t="s">
        <v>3687</v>
      </c>
      <c r="Q364" s="2281"/>
      <c r="R364" s="2282"/>
      <c r="S364" s="1909" t="s">
        <v>3688</v>
      </c>
      <c r="T364" s="1909" t="s">
        <v>3689</v>
      </c>
      <c r="U364" s="1909" t="s">
        <v>3690</v>
      </c>
      <c r="V364" s="1909" t="s">
        <v>3691</v>
      </c>
      <c r="W364" s="1909" t="s">
        <v>3688</v>
      </c>
      <c r="X364" s="1909" t="s">
        <v>4508</v>
      </c>
      <c r="Y364" s="1909" t="s">
        <v>4509</v>
      </c>
      <c r="Z364" s="1909"/>
      <c r="AA364" s="1909" t="s">
        <v>3694</v>
      </c>
      <c r="AB364" s="1909" t="s">
        <v>4510</v>
      </c>
      <c r="AC364" s="1909" t="s">
        <v>3696</v>
      </c>
      <c r="AD364" s="2283" t="s">
        <v>4511</v>
      </c>
      <c r="AE364" s="2281"/>
      <c r="AF364" s="2282"/>
      <c r="AG364" s="2283" t="s">
        <v>4463</v>
      </c>
      <c r="AH364" s="2281"/>
      <c r="AI364" s="2282"/>
      <c r="AJ364" s="1909" t="s">
        <v>4512</v>
      </c>
      <c r="AK364" s="2283" t="s">
        <v>4513</v>
      </c>
      <c r="AL364" s="2281"/>
      <c r="AM364" s="2259"/>
      <c r="AN364" s="2281"/>
      <c r="AO364" s="2282"/>
      <c r="AP364" s="1909" t="s">
        <v>3716</v>
      </c>
      <c r="BC364" s="214"/>
      <c r="BD364" s="214"/>
      <c r="BE364" s="214"/>
      <c r="BF364" s="214"/>
    </row>
    <row r="365" spans="1:58" ht="45" hidden="1" customHeight="1">
      <c r="B365" s="2277"/>
      <c r="C365" s="2259"/>
      <c r="D365" s="2260"/>
      <c r="E365" s="1908" t="s">
        <v>3682</v>
      </c>
      <c r="F365" s="1908" t="s">
        <v>4458</v>
      </c>
      <c r="G365" s="1908"/>
      <c r="H365" s="2278" t="s">
        <v>4505</v>
      </c>
      <c r="I365" s="2259"/>
      <c r="J365" s="2260"/>
      <c r="K365" s="2278" t="s">
        <v>4552</v>
      </c>
      <c r="L365" s="2260"/>
      <c r="M365" s="1908" t="e">
        <f>VLOOKUP(K365,'Estimate Details'!$R:$BR,20,FALSE)</f>
        <v>#N/A</v>
      </c>
      <c r="N365" s="1908" t="e">
        <f>VLOOKUP(M365,#REF!,2,FALSE)</f>
        <v>#N/A</v>
      </c>
      <c r="O365" s="1908" t="s">
        <v>4515</v>
      </c>
      <c r="P365" s="2278" t="s">
        <v>3687</v>
      </c>
      <c r="Q365" s="2259"/>
      <c r="R365" s="2260"/>
      <c r="S365" s="1908" t="s">
        <v>3688</v>
      </c>
      <c r="T365" s="1908" t="s">
        <v>3689</v>
      </c>
      <c r="U365" s="1908" t="s">
        <v>3690</v>
      </c>
      <c r="V365" s="1908" t="s">
        <v>3691</v>
      </c>
      <c r="W365" s="1908" t="s">
        <v>3688</v>
      </c>
      <c r="X365" s="1908" t="s">
        <v>4516</v>
      </c>
      <c r="Y365" s="1908" t="s">
        <v>4517</v>
      </c>
      <c r="Z365" s="1908"/>
      <c r="AA365" s="1908" t="s">
        <v>3694</v>
      </c>
      <c r="AB365" s="1908" t="s">
        <v>4518</v>
      </c>
      <c r="AC365" s="1908" t="s">
        <v>3696</v>
      </c>
      <c r="AD365" s="2278" t="s">
        <v>4519</v>
      </c>
      <c r="AE365" s="2259"/>
      <c r="AF365" s="2260"/>
      <c r="AG365" s="2278" t="s">
        <v>4463</v>
      </c>
      <c r="AH365" s="2259"/>
      <c r="AI365" s="2260"/>
      <c r="AJ365" s="1908" t="s">
        <v>4520</v>
      </c>
      <c r="AK365" s="2278" t="s">
        <v>4521</v>
      </c>
      <c r="AL365" s="2259"/>
      <c r="AM365" s="2259"/>
      <c r="AN365" s="2259"/>
      <c r="AO365" s="2260"/>
      <c r="AP365" s="1908" t="s">
        <v>3716</v>
      </c>
      <c r="BC365" s="214"/>
      <c r="BD365" s="214"/>
      <c r="BE365" s="214"/>
      <c r="BF365" s="214"/>
    </row>
    <row r="366" spans="1:58" ht="45" hidden="1" customHeight="1">
      <c r="A366" s="808"/>
      <c r="B366" s="2280"/>
      <c r="C366" s="2281"/>
      <c r="D366" s="2282"/>
      <c r="E366" s="1909" t="s">
        <v>3682</v>
      </c>
      <c r="F366" s="1909" t="s">
        <v>4458</v>
      </c>
      <c r="G366" s="1909"/>
      <c r="H366" s="2283" t="s">
        <v>4505</v>
      </c>
      <c r="I366" s="2281"/>
      <c r="J366" s="2282"/>
      <c r="K366" s="2283" t="s">
        <v>4553</v>
      </c>
      <c r="L366" s="2282"/>
      <c r="M366" s="1909" t="e">
        <f>VLOOKUP(K366,'Estimate Details'!$R:$BR,20,FALSE)</f>
        <v>#N/A</v>
      </c>
      <c r="N366" s="1909" t="e">
        <f>VLOOKUP(M366,#REF!,2,FALSE)</f>
        <v>#N/A</v>
      </c>
      <c r="O366" s="1909" t="s">
        <v>4523</v>
      </c>
      <c r="P366" s="2284" t="s">
        <v>3687</v>
      </c>
      <c r="Q366" s="2281"/>
      <c r="R366" s="2282"/>
      <c r="S366" s="1909" t="s">
        <v>3688</v>
      </c>
      <c r="T366" s="1909" t="s">
        <v>3689</v>
      </c>
      <c r="U366" s="1909" t="s">
        <v>3690</v>
      </c>
      <c r="V366" s="1909" t="s">
        <v>3691</v>
      </c>
      <c r="W366" s="1909" t="s">
        <v>3688</v>
      </c>
      <c r="X366" s="1909" t="s">
        <v>4516</v>
      </c>
      <c r="Y366" s="1909" t="s">
        <v>4517</v>
      </c>
      <c r="Z366" s="1909"/>
      <c r="AA366" s="1909" t="s">
        <v>3694</v>
      </c>
      <c r="AB366" s="1909" t="s">
        <v>4518</v>
      </c>
      <c r="AC366" s="1909" t="s">
        <v>3696</v>
      </c>
      <c r="AD366" s="2283" t="s">
        <v>4519</v>
      </c>
      <c r="AE366" s="2281"/>
      <c r="AF366" s="2282"/>
      <c r="AG366" s="2283" t="s">
        <v>4463</v>
      </c>
      <c r="AH366" s="2281"/>
      <c r="AI366" s="2282"/>
      <c r="AJ366" s="1909" t="s">
        <v>4520</v>
      </c>
      <c r="AK366" s="2283" t="s">
        <v>4521</v>
      </c>
      <c r="AL366" s="2281"/>
      <c r="AM366" s="2259"/>
      <c r="AN366" s="2281"/>
      <c r="AO366" s="2282"/>
      <c r="AP366" s="1909" t="s">
        <v>3716</v>
      </c>
      <c r="BC366" s="214"/>
      <c r="BD366" s="214"/>
      <c r="BE366" s="214"/>
      <c r="BF366" s="214"/>
    </row>
    <row r="367" spans="1:58" ht="45" hidden="1" customHeight="1">
      <c r="B367" s="2277"/>
      <c r="C367" s="2259"/>
      <c r="D367" s="2260"/>
      <c r="E367" s="1908" t="s">
        <v>3682</v>
      </c>
      <c r="F367" s="1908" t="s">
        <v>4458</v>
      </c>
      <c r="G367" s="1908"/>
      <c r="H367" s="2278" t="s">
        <v>4505</v>
      </c>
      <c r="I367" s="2259"/>
      <c r="J367" s="2260"/>
      <c r="K367" s="2278" t="s">
        <v>4554</v>
      </c>
      <c r="L367" s="2260"/>
      <c r="M367" s="1908" t="e">
        <f>VLOOKUP(K367,'Estimate Details'!$R:$BR,20,FALSE)</f>
        <v>#N/A</v>
      </c>
      <c r="N367" s="1908" t="e">
        <f>VLOOKUP(M367,#REF!,2,FALSE)</f>
        <v>#N/A</v>
      </c>
      <c r="O367" s="1908" t="s">
        <v>4507</v>
      </c>
      <c r="P367" s="2278" t="s">
        <v>3687</v>
      </c>
      <c r="Q367" s="2259"/>
      <c r="R367" s="2260"/>
      <c r="S367" s="1908" t="s">
        <v>3688</v>
      </c>
      <c r="T367" s="1908" t="s">
        <v>3689</v>
      </c>
      <c r="U367" s="1908" t="s">
        <v>3690</v>
      </c>
      <c r="V367" s="1908" t="s">
        <v>3691</v>
      </c>
      <c r="W367" s="1908" t="s">
        <v>3688</v>
      </c>
      <c r="X367" s="1908" t="s">
        <v>4508</v>
      </c>
      <c r="Y367" s="1908" t="s">
        <v>4509</v>
      </c>
      <c r="Z367" s="1908"/>
      <c r="AA367" s="1908" t="s">
        <v>3694</v>
      </c>
      <c r="AB367" s="1908" t="s">
        <v>4510</v>
      </c>
      <c r="AC367" s="1908" t="s">
        <v>3696</v>
      </c>
      <c r="AD367" s="2278" t="s">
        <v>4511</v>
      </c>
      <c r="AE367" s="2259"/>
      <c r="AF367" s="2260"/>
      <c r="AG367" s="2278" t="s">
        <v>4463</v>
      </c>
      <c r="AH367" s="2259"/>
      <c r="AI367" s="2260"/>
      <c r="AJ367" s="1908" t="s">
        <v>4512</v>
      </c>
      <c r="AK367" s="2278" t="s">
        <v>4513</v>
      </c>
      <c r="AL367" s="2259"/>
      <c r="AM367" s="2259"/>
      <c r="AN367" s="2259"/>
      <c r="AO367" s="2260"/>
      <c r="AP367" s="1908" t="s">
        <v>3716</v>
      </c>
      <c r="BC367" s="214"/>
      <c r="BD367" s="214"/>
      <c r="BE367" s="214"/>
      <c r="BF367" s="214"/>
    </row>
    <row r="368" spans="1:58" ht="45" hidden="1" customHeight="1">
      <c r="A368" s="808"/>
      <c r="B368" s="2280"/>
      <c r="C368" s="2281"/>
      <c r="D368" s="2282"/>
      <c r="E368" s="1909" t="s">
        <v>3682</v>
      </c>
      <c r="F368" s="1909" t="s">
        <v>4458</v>
      </c>
      <c r="G368" s="1909"/>
      <c r="H368" s="2283" t="s">
        <v>4505</v>
      </c>
      <c r="I368" s="2281"/>
      <c r="J368" s="2282"/>
      <c r="K368" s="2283" t="s">
        <v>4555</v>
      </c>
      <c r="L368" s="2282"/>
      <c r="M368" s="1909" t="e">
        <f>VLOOKUP(K368,'Estimate Details'!$R:$BR,20,FALSE)</f>
        <v>#N/A</v>
      </c>
      <c r="N368" s="1909" t="e">
        <f>VLOOKUP(M368,#REF!,2,FALSE)</f>
        <v>#N/A</v>
      </c>
      <c r="O368" s="1909" t="s">
        <v>4515</v>
      </c>
      <c r="P368" s="2284" t="s">
        <v>3687</v>
      </c>
      <c r="Q368" s="2281"/>
      <c r="R368" s="2282"/>
      <c r="S368" s="1909" t="s">
        <v>3688</v>
      </c>
      <c r="T368" s="1909" t="s">
        <v>3689</v>
      </c>
      <c r="U368" s="1909" t="s">
        <v>3690</v>
      </c>
      <c r="V368" s="1909" t="s">
        <v>3691</v>
      </c>
      <c r="W368" s="1909" t="s">
        <v>3688</v>
      </c>
      <c r="X368" s="1909" t="s">
        <v>4516</v>
      </c>
      <c r="Y368" s="1909" t="s">
        <v>4517</v>
      </c>
      <c r="Z368" s="1909"/>
      <c r="AA368" s="1909" t="s">
        <v>3694</v>
      </c>
      <c r="AB368" s="1909" t="s">
        <v>4518</v>
      </c>
      <c r="AC368" s="1909" t="s">
        <v>3696</v>
      </c>
      <c r="AD368" s="2283" t="s">
        <v>4519</v>
      </c>
      <c r="AE368" s="2281"/>
      <c r="AF368" s="2282"/>
      <c r="AG368" s="2283" t="s">
        <v>4463</v>
      </c>
      <c r="AH368" s="2281"/>
      <c r="AI368" s="2282"/>
      <c r="AJ368" s="1909" t="s">
        <v>4520</v>
      </c>
      <c r="AK368" s="2283" t="s">
        <v>4521</v>
      </c>
      <c r="AL368" s="2281"/>
      <c r="AM368" s="2259"/>
      <c r="AN368" s="2281"/>
      <c r="AO368" s="2282"/>
      <c r="AP368" s="1909" t="s">
        <v>3716</v>
      </c>
      <c r="BC368" s="214"/>
      <c r="BD368" s="214"/>
      <c r="BE368" s="214"/>
      <c r="BF368" s="214"/>
    </row>
    <row r="369" spans="1:58" ht="45" hidden="1" customHeight="1">
      <c r="B369" s="2277"/>
      <c r="C369" s="2259"/>
      <c r="D369" s="2260"/>
      <c r="E369" s="1908" t="s">
        <v>3682</v>
      </c>
      <c r="F369" s="1908" t="s">
        <v>4458</v>
      </c>
      <c r="G369" s="1908"/>
      <c r="H369" s="2278" t="s">
        <v>4505</v>
      </c>
      <c r="I369" s="2259"/>
      <c r="J369" s="2260"/>
      <c r="K369" s="2278" t="s">
        <v>4556</v>
      </c>
      <c r="L369" s="2260"/>
      <c r="M369" s="1908" t="e">
        <f>VLOOKUP(K369,'Estimate Details'!$R:$BR,20,FALSE)</f>
        <v>#N/A</v>
      </c>
      <c r="N369" s="1908" t="e">
        <f>VLOOKUP(M369,#REF!,2,FALSE)</f>
        <v>#N/A</v>
      </c>
      <c r="O369" s="1908" t="s">
        <v>4523</v>
      </c>
      <c r="P369" s="2278" t="s">
        <v>3687</v>
      </c>
      <c r="Q369" s="2259"/>
      <c r="R369" s="2260"/>
      <c r="S369" s="1908" t="s">
        <v>3688</v>
      </c>
      <c r="T369" s="1908" t="s">
        <v>3689</v>
      </c>
      <c r="U369" s="1908" t="s">
        <v>3690</v>
      </c>
      <c r="V369" s="1908" t="s">
        <v>3691</v>
      </c>
      <c r="W369" s="1908" t="s">
        <v>3688</v>
      </c>
      <c r="X369" s="1908" t="s">
        <v>4516</v>
      </c>
      <c r="Y369" s="1908" t="s">
        <v>4517</v>
      </c>
      <c r="Z369" s="1908"/>
      <c r="AA369" s="1908" t="s">
        <v>3694</v>
      </c>
      <c r="AB369" s="1908" t="s">
        <v>4518</v>
      </c>
      <c r="AC369" s="1908" t="s">
        <v>3696</v>
      </c>
      <c r="AD369" s="2278" t="s">
        <v>4519</v>
      </c>
      <c r="AE369" s="2259"/>
      <c r="AF369" s="2260"/>
      <c r="AG369" s="2278" t="s">
        <v>4463</v>
      </c>
      <c r="AH369" s="2259"/>
      <c r="AI369" s="2260"/>
      <c r="AJ369" s="1908" t="s">
        <v>4520</v>
      </c>
      <c r="AK369" s="2278" t="s">
        <v>4521</v>
      </c>
      <c r="AL369" s="2259"/>
      <c r="AM369" s="2259"/>
      <c r="AN369" s="2259"/>
      <c r="AO369" s="2260"/>
      <c r="AP369" s="1908" t="s">
        <v>3716</v>
      </c>
      <c r="BC369" s="214"/>
      <c r="BD369" s="214"/>
      <c r="BE369" s="214"/>
      <c r="BF369" s="214"/>
    </row>
    <row r="370" spans="1:58" ht="45" hidden="1" customHeight="1">
      <c r="A370" s="808"/>
      <c r="B370" s="2280"/>
      <c r="C370" s="2281"/>
      <c r="D370" s="2282"/>
      <c r="E370" s="1909" t="s">
        <v>3682</v>
      </c>
      <c r="F370" s="1909" t="s">
        <v>4458</v>
      </c>
      <c r="G370" s="1909"/>
      <c r="H370" s="2283" t="s">
        <v>4505</v>
      </c>
      <c r="I370" s="2281"/>
      <c r="J370" s="2282"/>
      <c r="K370" s="2283" t="s">
        <v>4557</v>
      </c>
      <c r="L370" s="2282"/>
      <c r="M370" s="1909" t="e">
        <f>VLOOKUP(K370,'Estimate Details'!$R:$BR,20,FALSE)</f>
        <v>#N/A</v>
      </c>
      <c r="N370" s="1909" t="e">
        <f>VLOOKUP(M370,#REF!,2,FALSE)</f>
        <v>#N/A</v>
      </c>
      <c r="O370" s="1909" t="s">
        <v>4507</v>
      </c>
      <c r="P370" s="2284" t="s">
        <v>3687</v>
      </c>
      <c r="Q370" s="2281"/>
      <c r="R370" s="2282"/>
      <c r="S370" s="1909" t="s">
        <v>3688</v>
      </c>
      <c r="T370" s="1909" t="s">
        <v>3689</v>
      </c>
      <c r="U370" s="1909" t="s">
        <v>3690</v>
      </c>
      <c r="V370" s="1909" t="s">
        <v>3691</v>
      </c>
      <c r="W370" s="1909" t="s">
        <v>3688</v>
      </c>
      <c r="X370" s="1909" t="s">
        <v>4508</v>
      </c>
      <c r="Y370" s="1909" t="s">
        <v>4509</v>
      </c>
      <c r="Z370" s="1909"/>
      <c r="AA370" s="1909" t="s">
        <v>3694</v>
      </c>
      <c r="AB370" s="1909" t="s">
        <v>4510</v>
      </c>
      <c r="AC370" s="1909" t="s">
        <v>3696</v>
      </c>
      <c r="AD370" s="2283" t="s">
        <v>4511</v>
      </c>
      <c r="AE370" s="2281"/>
      <c r="AF370" s="2282"/>
      <c r="AG370" s="2283" t="s">
        <v>4463</v>
      </c>
      <c r="AH370" s="2281"/>
      <c r="AI370" s="2282"/>
      <c r="AJ370" s="1909" t="s">
        <v>4512</v>
      </c>
      <c r="AK370" s="2283" t="s">
        <v>4513</v>
      </c>
      <c r="AL370" s="2281"/>
      <c r="AM370" s="2259"/>
      <c r="AN370" s="2281"/>
      <c r="AO370" s="2282"/>
      <c r="AP370" s="1909" t="s">
        <v>3716</v>
      </c>
      <c r="BC370" s="214"/>
      <c r="BD370" s="214"/>
      <c r="BE370" s="214"/>
      <c r="BF370" s="214"/>
    </row>
    <row r="371" spans="1:58" ht="45" hidden="1" customHeight="1">
      <c r="B371" s="2277"/>
      <c r="C371" s="2259"/>
      <c r="D371" s="2260"/>
      <c r="E371" s="1908" t="s">
        <v>3682</v>
      </c>
      <c r="F371" s="1908" t="s">
        <v>4458</v>
      </c>
      <c r="G371" s="1908"/>
      <c r="H371" s="2278" t="s">
        <v>4505</v>
      </c>
      <c r="I371" s="2259"/>
      <c r="J371" s="2260"/>
      <c r="K371" s="2278" t="s">
        <v>4558</v>
      </c>
      <c r="L371" s="2260"/>
      <c r="M371" s="1908" t="e">
        <f>VLOOKUP(K371,'Estimate Details'!$R:$BR,20,FALSE)</f>
        <v>#N/A</v>
      </c>
      <c r="N371" s="1908" t="e">
        <f>VLOOKUP(M371,#REF!,2,FALSE)</f>
        <v>#N/A</v>
      </c>
      <c r="O371" s="1908" t="s">
        <v>4515</v>
      </c>
      <c r="P371" s="2278" t="s">
        <v>3687</v>
      </c>
      <c r="Q371" s="2259"/>
      <c r="R371" s="2260"/>
      <c r="S371" s="1908" t="s">
        <v>3688</v>
      </c>
      <c r="T371" s="1908" t="s">
        <v>3689</v>
      </c>
      <c r="U371" s="1908" t="s">
        <v>3690</v>
      </c>
      <c r="V371" s="1908" t="s">
        <v>3691</v>
      </c>
      <c r="W371" s="1908" t="s">
        <v>3688</v>
      </c>
      <c r="X371" s="1908" t="s">
        <v>4516</v>
      </c>
      <c r="Y371" s="1908" t="s">
        <v>4517</v>
      </c>
      <c r="Z371" s="1908"/>
      <c r="AA371" s="1908" t="s">
        <v>3694</v>
      </c>
      <c r="AB371" s="1908" t="s">
        <v>4518</v>
      </c>
      <c r="AC371" s="1908" t="s">
        <v>3696</v>
      </c>
      <c r="AD371" s="2278" t="s">
        <v>4519</v>
      </c>
      <c r="AE371" s="2259"/>
      <c r="AF371" s="2260"/>
      <c r="AG371" s="2278" t="s">
        <v>4463</v>
      </c>
      <c r="AH371" s="2259"/>
      <c r="AI371" s="2260"/>
      <c r="AJ371" s="1908" t="s">
        <v>4520</v>
      </c>
      <c r="AK371" s="2278" t="s">
        <v>4521</v>
      </c>
      <c r="AL371" s="2259"/>
      <c r="AM371" s="2259"/>
      <c r="AN371" s="2259"/>
      <c r="AO371" s="2260"/>
      <c r="AP371" s="1908" t="s">
        <v>3716</v>
      </c>
      <c r="BC371" s="214"/>
      <c r="BD371" s="214"/>
      <c r="BE371" s="214"/>
      <c r="BF371" s="214"/>
    </row>
    <row r="372" spans="1:58" ht="45" hidden="1" customHeight="1">
      <c r="A372" s="808"/>
      <c r="B372" s="2280"/>
      <c r="C372" s="2281"/>
      <c r="D372" s="2282"/>
      <c r="E372" s="1909" t="s">
        <v>3682</v>
      </c>
      <c r="F372" s="1909" t="s">
        <v>4458</v>
      </c>
      <c r="G372" s="1909"/>
      <c r="H372" s="2283" t="s">
        <v>4505</v>
      </c>
      <c r="I372" s="2281"/>
      <c r="J372" s="2282"/>
      <c r="K372" s="2283" t="s">
        <v>4559</v>
      </c>
      <c r="L372" s="2282"/>
      <c r="M372" s="1909" t="e">
        <f>VLOOKUP(K372,'Estimate Details'!$R:$BR,20,FALSE)</f>
        <v>#N/A</v>
      </c>
      <c r="N372" s="1909" t="e">
        <f>VLOOKUP(M372,#REF!,2,FALSE)</f>
        <v>#N/A</v>
      </c>
      <c r="O372" s="1909" t="s">
        <v>4523</v>
      </c>
      <c r="P372" s="2284" t="s">
        <v>3687</v>
      </c>
      <c r="Q372" s="2281"/>
      <c r="R372" s="2282"/>
      <c r="S372" s="1909" t="s">
        <v>3688</v>
      </c>
      <c r="T372" s="1909" t="s">
        <v>3689</v>
      </c>
      <c r="U372" s="1909" t="s">
        <v>3690</v>
      </c>
      <c r="V372" s="1909" t="s">
        <v>3691</v>
      </c>
      <c r="W372" s="1909" t="s">
        <v>3688</v>
      </c>
      <c r="X372" s="1909" t="s">
        <v>4516</v>
      </c>
      <c r="Y372" s="1909" t="s">
        <v>4517</v>
      </c>
      <c r="Z372" s="1909"/>
      <c r="AA372" s="1909" t="s">
        <v>3694</v>
      </c>
      <c r="AB372" s="1909" t="s">
        <v>4518</v>
      </c>
      <c r="AC372" s="1909" t="s">
        <v>3696</v>
      </c>
      <c r="AD372" s="2283" t="s">
        <v>4519</v>
      </c>
      <c r="AE372" s="2281"/>
      <c r="AF372" s="2282"/>
      <c r="AG372" s="2283" t="s">
        <v>4463</v>
      </c>
      <c r="AH372" s="2281"/>
      <c r="AI372" s="2282"/>
      <c r="AJ372" s="1909" t="s">
        <v>4520</v>
      </c>
      <c r="AK372" s="2283" t="s">
        <v>4521</v>
      </c>
      <c r="AL372" s="2281"/>
      <c r="AM372" s="2259"/>
      <c r="AN372" s="2281"/>
      <c r="AO372" s="2282"/>
      <c r="AP372" s="1909" t="s">
        <v>3716</v>
      </c>
      <c r="BC372" s="214"/>
      <c r="BD372" s="214"/>
      <c r="BE372" s="214"/>
      <c r="BF372" s="214"/>
    </row>
    <row r="373" spans="1:58" ht="45" hidden="1" customHeight="1">
      <c r="B373" s="2277"/>
      <c r="C373" s="2259"/>
      <c r="D373" s="2260"/>
      <c r="E373" s="1908" t="s">
        <v>3682</v>
      </c>
      <c r="F373" s="1908" t="s">
        <v>4458</v>
      </c>
      <c r="G373" s="1908"/>
      <c r="H373" s="2278" t="s">
        <v>4505</v>
      </c>
      <c r="I373" s="2259"/>
      <c r="J373" s="2260"/>
      <c r="K373" s="2278" t="s">
        <v>4560</v>
      </c>
      <c r="L373" s="2260"/>
      <c r="M373" s="1908" t="e">
        <f>VLOOKUP(K373,'Estimate Details'!$R:$BR,20,FALSE)</f>
        <v>#N/A</v>
      </c>
      <c r="N373" s="1908" t="e">
        <f>VLOOKUP(M373,#REF!,2,FALSE)</f>
        <v>#N/A</v>
      </c>
      <c r="O373" s="1908" t="s">
        <v>4507</v>
      </c>
      <c r="P373" s="2278" t="s">
        <v>3687</v>
      </c>
      <c r="Q373" s="2259"/>
      <c r="R373" s="2260"/>
      <c r="S373" s="1908" t="s">
        <v>3688</v>
      </c>
      <c r="T373" s="1908" t="s">
        <v>3689</v>
      </c>
      <c r="U373" s="1908" t="s">
        <v>3690</v>
      </c>
      <c r="V373" s="1908" t="s">
        <v>3691</v>
      </c>
      <c r="W373" s="1908" t="s">
        <v>3688</v>
      </c>
      <c r="X373" s="1908" t="s">
        <v>4508</v>
      </c>
      <c r="Y373" s="1908" t="s">
        <v>4509</v>
      </c>
      <c r="Z373" s="1908"/>
      <c r="AA373" s="1908" t="s">
        <v>3694</v>
      </c>
      <c r="AB373" s="1908" t="s">
        <v>4510</v>
      </c>
      <c r="AC373" s="1908" t="s">
        <v>3696</v>
      </c>
      <c r="AD373" s="2278" t="s">
        <v>4511</v>
      </c>
      <c r="AE373" s="2259"/>
      <c r="AF373" s="2260"/>
      <c r="AG373" s="2278" t="s">
        <v>4463</v>
      </c>
      <c r="AH373" s="2259"/>
      <c r="AI373" s="2260"/>
      <c r="AJ373" s="1908" t="s">
        <v>4512</v>
      </c>
      <c r="AK373" s="2278" t="s">
        <v>4513</v>
      </c>
      <c r="AL373" s="2259"/>
      <c r="AM373" s="2259"/>
      <c r="AN373" s="2259"/>
      <c r="AO373" s="2260"/>
      <c r="AP373" s="1908" t="s">
        <v>3716</v>
      </c>
      <c r="BC373" s="214"/>
      <c r="BD373" s="214"/>
      <c r="BE373" s="214"/>
      <c r="BF373" s="214"/>
    </row>
    <row r="374" spans="1:58" ht="45" hidden="1" customHeight="1">
      <c r="A374" s="808"/>
      <c r="B374" s="2280"/>
      <c r="C374" s="2281"/>
      <c r="D374" s="2282"/>
      <c r="E374" s="1909" t="s">
        <v>3682</v>
      </c>
      <c r="F374" s="1909" t="s">
        <v>4458</v>
      </c>
      <c r="G374" s="1909"/>
      <c r="H374" s="2283" t="s">
        <v>4505</v>
      </c>
      <c r="I374" s="2281"/>
      <c r="J374" s="2282"/>
      <c r="K374" s="2283" t="s">
        <v>4561</v>
      </c>
      <c r="L374" s="2282"/>
      <c r="M374" s="1909" t="e">
        <f>VLOOKUP(K374,'Estimate Details'!$R:$BR,20,FALSE)</f>
        <v>#N/A</v>
      </c>
      <c r="N374" s="1909" t="e">
        <f>VLOOKUP(M374,#REF!,2,FALSE)</f>
        <v>#N/A</v>
      </c>
      <c r="O374" s="1909" t="s">
        <v>4515</v>
      </c>
      <c r="P374" s="2284" t="s">
        <v>3687</v>
      </c>
      <c r="Q374" s="2281"/>
      <c r="R374" s="2282"/>
      <c r="S374" s="1909" t="s">
        <v>3688</v>
      </c>
      <c r="T374" s="1909" t="s">
        <v>3689</v>
      </c>
      <c r="U374" s="1909" t="s">
        <v>3690</v>
      </c>
      <c r="V374" s="1909" t="s">
        <v>3691</v>
      </c>
      <c r="W374" s="1909" t="s">
        <v>3688</v>
      </c>
      <c r="X374" s="1909" t="s">
        <v>4516</v>
      </c>
      <c r="Y374" s="1909" t="s">
        <v>4517</v>
      </c>
      <c r="Z374" s="1909"/>
      <c r="AA374" s="1909" t="s">
        <v>3694</v>
      </c>
      <c r="AB374" s="1909" t="s">
        <v>4518</v>
      </c>
      <c r="AC374" s="1909" t="s">
        <v>3696</v>
      </c>
      <c r="AD374" s="2283" t="s">
        <v>4519</v>
      </c>
      <c r="AE374" s="2281"/>
      <c r="AF374" s="2282"/>
      <c r="AG374" s="2283" t="s">
        <v>4463</v>
      </c>
      <c r="AH374" s="2281"/>
      <c r="AI374" s="2282"/>
      <c r="AJ374" s="1909" t="s">
        <v>4520</v>
      </c>
      <c r="AK374" s="2283" t="s">
        <v>4521</v>
      </c>
      <c r="AL374" s="2281"/>
      <c r="AM374" s="2259"/>
      <c r="AN374" s="2281"/>
      <c r="AO374" s="2282"/>
      <c r="AP374" s="1909" t="s">
        <v>3716</v>
      </c>
      <c r="BC374" s="214"/>
      <c r="BD374" s="214"/>
      <c r="BE374" s="214"/>
      <c r="BF374" s="214"/>
    </row>
    <row r="375" spans="1:58" ht="45" hidden="1" customHeight="1">
      <c r="B375" s="2277"/>
      <c r="C375" s="2259"/>
      <c r="D375" s="2260"/>
      <c r="E375" s="1908" t="s">
        <v>3682</v>
      </c>
      <c r="F375" s="1908" t="s">
        <v>4458</v>
      </c>
      <c r="G375" s="1908"/>
      <c r="H375" s="2278" t="s">
        <v>4505</v>
      </c>
      <c r="I375" s="2259"/>
      <c r="J375" s="2260"/>
      <c r="K375" s="2278" t="s">
        <v>4562</v>
      </c>
      <c r="L375" s="2260"/>
      <c r="M375" s="1908" t="e">
        <f>VLOOKUP(K375,'Estimate Details'!$R:$BR,20,FALSE)</f>
        <v>#N/A</v>
      </c>
      <c r="N375" s="1908" t="e">
        <f>VLOOKUP(M375,#REF!,2,FALSE)</f>
        <v>#N/A</v>
      </c>
      <c r="O375" s="1908" t="s">
        <v>4523</v>
      </c>
      <c r="P375" s="2278" t="s">
        <v>3687</v>
      </c>
      <c r="Q375" s="2259"/>
      <c r="R375" s="2260"/>
      <c r="S375" s="1908" t="s">
        <v>3688</v>
      </c>
      <c r="T375" s="1908" t="s">
        <v>3689</v>
      </c>
      <c r="U375" s="1908" t="s">
        <v>3690</v>
      </c>
      <c r="V375" s="1908" t="s">
        <v>3691</v>
      </c>
      <c r="W375" s="1908" t="s">
        <v>3688</v>
      </c>
      <c r="X375" s="1908" t="s">
        <v>4516</v>
      </c>
      <c r="Y375" s="1908" t="s">
        <v>4517</v>
      </c>
      <c r="Z375" s="1908"/>
      <c r="AA375" s="1908" t="s">
        <v>3694</v>
      </c>
      <c r="AB375" s="1908" t="s">
        <v>4518</v>
      </c>
      <c r="AC375" s="1908" t="s">
        <v>3696</v>
      </c>
      <c r="AD375" s="2278" t="s">
        <v>4519</v>
      </c>
      <c r="AE375" s="2259"/>
      <c r="AF375" s="2260"/>
      <c r="AG375" s="2278" t="s">
        <v>4463</v>
      </c>
      <c r="AH375" s="2259"/>
      <c r="AI375" s="2260"/>
      <c r="AJ375" s="1908" t="s">
        <v>4520</v>
      </c>
      <c r="AK375" s="2278" t="s">
        <v>4521</v>
      </c>
      <c r="AL375" s="2259"/>
      <c r="AM375" s="2259"/>
      <c r="AN375" s="2259"/>
      <c r="AO375" s="2260"/>
      <c r="AP375" s="1908" t="s">
        <v>3716</v>
      </c>
      <c r="BC375" s="214"/>
      <c r="BD375" s="214"/>
      <c r="BE375" s="214"/>
      <c r="BF375" s="214"/>
    </row>
    <row r="376" spans="1:58" ht="45" hidden="1" customHeight="1">
      <c r="A376" s="808"/>
      <c r="B376" s="2280"/>
      <c r="C376" s="2281"/>
      <c r="D376" s="2282"/>
      <c r="E376" s="1909" t="s">
        <v>3682</v>
      </c>
      <c r="F376" s="1909" t="s">
        <v>4458</v>
      </c>
      <c r="G376" s="1909"/>
      <c r="H376" s="2283" t="s">
        <v>4505</v>
      </c>
      <c r="I376" s="2281"/>
      <c r="J376" s="2282"/>
      <c r="K376" s="2283" t="s">
        <v>4563</v>
      </c>
      <c r="L376" s="2282"/>
      <c r="M376" s="1909" t="e">
        <f>VLOOKUP(K376,'Estimate Details'!$R:$BR,20,FALSE)</f>
        <v>#N/A</v>
      </c>
      <c r="N376" s="1909" t="e">
        <f>VLOOKUP(M376,#REF!,2,FALSE)</f>
        <v>#N/A</v>
      </c>
      <c r="O376" s="1909" t="s">
        <v>4507</v>
      </c>
      <c r="P376" s="2284" t="s">
        <v>3687</v>
      </c>
      <c r="Q376" s="2281"/>
      <c r="R376" s="2282"/>
      <c r="S376" s="1909" t="s">
        <v>3688</v>
      </c>
      <c r="T376" s="1909" t="s">
        <v>3689</v>
      </c>
      <c r="U376" s="1909" t="s">
        <v>3690</v>
      </c>
      <c r="V376" s="1909" t="s">
        <v>3691</v>
      </c>
      <c r="W376" s="1909" t="s">
        <v>3688</v>
      </c>
      <c r="X376" s="1909" t="s">
        <v>4508</v>
      </c>
      <c r="Y376" s="1909" t="s">
        <v>4509</v>
      </c>
      <c r="Z376" s="1909"/>
      <c r="AA376" s="1909" t="s">
        <v>3694</v>
      </c>
      <c r="AB376" s="1909" t="s">
        <v>4510</v>
      </c>
      <c r="AC376" s="1909" t="s">
        <v>3696</v>
      </c>
      <c r="AD376" s="2283" t="s">
        <v>4511</v>
      </c>
      <c r="AE376" s="2281"/>
      <c r="AF376" s="2282"/>
      <c r="AG376" s="2283" t="s">
        <v>4463</v>
      </c>
      <c r="AH376" s="2281"/>
      <c r="AI376" s="2282"/>
      <c r="AJ376" s="1909" t="s">
        <v>4512</v>
      </c>
      <c r="AK376" s="2283" t="s">
        <v>4513</v>
      </c>
      <c r="AL376" s="2281"/>
      <c r="AM376" s="2259"/>
      <c r="AN376" s="2281"/>
      <c r="AO376" s="2282"/>
      <c r="AP376" s="1909" t="s">
        <v>3716</v>
      </c>
      <c r="BC376" s="214"/>
      <c r="BD376" s="214"/>
      <c r="BE376" s="214"/>
      <c r="BF376" s="214"/>
    </row>
    <row r="377" spans="1:58" ht="45" hidden="1" customHeight="1">
      <c r="B377" s="2277"/>
      <c r="C377" s="2259"/>
      <c r="D377" s="2260"/>
      <c r="E377" s="1908" t="s">
        <v>3682</v>
      </c>
      <c r="F377" s="1908" t="s">
        <v>4458</v>
      </c>
      <c r="G377" s="1908"/>
      <c r="H377" s="2278" t="s">
        <v>4505</v>
      </c>
      <c r="I377" s="2259"/>
      <c r="J377" s="2260"/>
      <c r="K377" s="2278" t="s">
        <v>4564</v>
      </c>
      <c r="L377" s="2260"/>
      <c r="M377" s="1908" t="e">
        <f>VLOOKUP(K377,'Estimate Details'!$R:$BR,20,FALSE)</f>
        <v>#N/A</v>
      </c>
      <c r="N377" s="1908" t="e">
        <f>VLOOKUP(M377,#REF!,2,FALSE)</f>
        <v>#N/A</v>
      </c>
      <c r="O377" s="1908" t="s">
        <v>4515</v>
      </c>
      <c r="P377" s="2278" t="s">
        <v>3687</v>
      </c>
      <c r="Q377" s="2259"/>
      <c r="R377" s="2260"/>
      <c r="S377" s="1908" t="s">
        <v>3688</v>
      </c>
      <c r="T377" s="1908" t="s">
        <v>3689</v>
      </c>
      <c r="U377" s="1908" t="s">
        <v>3690</v>
      </c>
      <c r="V377" s="1908" t="s">
        <v>3691</v>
      </c>
      <c r="W377" s="1908" t="s">
        <v>3688</v>
      </c>
      <c r="X377" s="1908" t="s">
        <v>4516</v>
      </c>
      <c r="Y377" s="1908" t="s">
        <v>4517</v>
      </c>
      <c r="Z377" s="1908"/>
      <c r="AA377" s="1908" t="s">
        <v>3694</v>
      </c>
      <c r="AB377" s="1908" t="s">
        <v>4518</v>
      </c>
      <c r="AC377" s="1908" t="s">
        <v>3696</v>
      </c>
      <c r="AD377" s="2278" t="s">
        <v>4519</v>
      </c>
      <c r="AE377" s="2259"/>
      <c r="AF377" s="2260"/>
      <c r="AG377" s="2278" t="s">
        <v>4463</v>
      </c>
      <c r="AH377" s="2259"/>
      <c r="AI377" s="2260"/>
      <c r="AJ377" s="1908" t="s">
        <v>4520</v>
      </c>
      <c r="AK377" s="2278" t="s">
        <v>4521</v>
      </c>
      <c r="AL377" s="2259"/>
      <c r="AM377" s="2259"/>
      <c r="AN377" s="2259"/>
      <c r="AO377" s="2260"/>
      <c r="AP377" s="1908" t="s">
        <v>3716</v>
      </c>
      <c r="BC377" s="214"/>
      <c r="BD377" s="214"/>
      <c r="BE377" s="214"/>
      <c r="BF377" s="214"/>
    </row>
    <row r="378" spans="1:58" ht="45" hidden="1" customHeight="1">
      <c r="A378" s="808"/>
      <c r="B378" s="2280"/>
      <c r="C378" s="2281"/>
      <c r="D378" s="2282"/>
      <c r="E378" s="1909" t="s">
        <v>3682</v>
      </c>
      <c r="F378" s="1909" t="s">
        <v>4458</v>
      </c>
      <c r="G378" s="1909"/>
      <c r="H378" s="2283" t="s">
        <v>4505</v>
      </c>
      <c r="I378" s="2281"/>
      <c r="J378" s="2282"/>
      <c r="K378" s="2283" t="s">
        <v>4565</v>
      </c>
      <c r="L378" s="2282"/>
      <c r="M378" s="1909" t="e">
        <f>VLOOKUP(K378,'Estimate Details'!$R:$BR,20,FALSE)</f>
        <v>#N/A</v>
      </c>
      <c r="N378" s="1909" t="e">
        <f>VLOOKUP(M378,#REF!,2,FALSE)</f>
        <v>#N/A</v>
      </c>
      <c r="O378" s="1909" t="s">
        <v>4523</v>
      </c>
      <c r="P378" s="2284" t="s">
        <v>3687</v>
      </c>
      <c r="Q378" s="2281"/>
      <c r="R378" s="2282"/>
      <c r="S378" s="1909" t="s">
        <v>3688</v>
      </c>
      <c r="T378" s="1909" t="s">
        <v>3689</v>
      </c>
      <c r="U378" s="1909" t="s">
        <v>3690</v>
      </c>
      <c r="V378" s="1909" t="s">
        <v>3691</v>
      </c>
      <c r="W378" s="1909" t="s">
        <v>3688</v>
      </c>
      <c r="X378" s="1909" t="s">
        <v>4516</v>
      </c>
      <c r="Y378" s="1909" t="s">
        <v>4517</v>
      </c>
      <c r="Z378" s="1909"/>
      <c r="AA378" s="1909" t="s">
        <v>3694</v>
      </c>
      <c r="AB378" s="1909" t="s">
        <v>4518</v>
      </c>
      <c r="AC378" s="1909" t="s">
        <v>3696</v>
      </c>
      <c r="AD378" s="2283" t="s">
        <v>4519</v>
      </c>
      <c r="AE378" s="2281"/>
      <c r="AF378" s="2282"/>
      <c r="AG378" s="2283" t="s">
        <v>4463</v>
      </c>
      <c r="AH378" s="2281"/>
      <c r="AI378" s="2282"/>
      <c r="AJ378" s="1909" t="s">
        <v>4520</v>
      </c>
      <c r="AK378" s="2283" t="s">
        <v>4521</v>
      </c>
      <c r="AL378" s="2281"/>
      <c r="AM378" s="2259"/>
      <c r="AN378" s="2281"/>
      <c r="AO378" s="2282"/>
      <c r="AP378" s="1909" t="s">
        <v>3716</v>
      </c>
      <c r="BC378" s="214"/>
      <c r="BD378" s="214"/>
      <c r="BE378" s="214"/>
      <c r="BF378" s="214"/>
    </row>
    <row r="379" spans="1:58" ht="45" hidden="1" customHeight="1">
      <c r="B379" s="2277"/>
      <c r="C379" s="2259"/>
      <c r="D379" s="2260"/>
      <c r="E379" s="1908" t="s">
        <v>3682</v>
      </c>
      <c r="F379" s="1908" t="s">
        <v>4458</v>
      </c>
      <c r="G379" s="1908"/>
      <c r="H379" s="2278" t="s">
        <v>4505</v>
      </c>
      <c r="I379" s="2259"/>
      <c r="J379" s="2260"/>
      <c r="K379" s="2278" t="s">
        <v>4566</v>
      </c>
      <c r="L379" s="2260"/>
      <c r="M379" s="1908" t="e">
        <f>VLOOKUP(K379,'Estimate Details'!$R:$BR,20,FALSE)</f>
        <v>#N/A</v>
      </c>
      <c r="N379" s="1908" t="e">
        <f>VLOOKUP(M379,#REF!,2,FALSE)</f>
        <v>#N/A</v>
      </c>
      <c r="O379" s="1908" t="s">
        <v>4507</v>
      </c>
      <c r="P379" s="2278" t="s">
        <v>3687</v>
      </c>
      <c r="Q379" s="2259"/>
      <c r="R379" s="2260"/>
      <c r="S379" s="1908" t="s">
        <v>3688</v>
      </c>
      <c r="T379" s="1908" t="s">
        <v>3689</v>
      </c>
      <c r="U379" s="1908" t="s">
        <v>3690</v>
      </c>
      <c r="V379" s="1908" t="s">
        <v>3691</v>
      </c>
      <c r="W379" s="1908" t="s">
        <v>3688</v>
      </c>
      <c r="X379" s="1908" t="s">
        <v>4508</v>
      </c>
      <c r="Y379" s="1908" t="s">
        <v>4509</v>
      </c>
      <c r="Z379" s="1908"/>
      <c r="AA379" s="1908" t="s">
        <v>3694</v>
      </c>
      <c r="AB379" s="1908" t="s">
        <v>4510</v>
      </c>
      <c r="AC379" s="1908" t="s">
        <v>3696</v>
      </c>
      <c r="AD379" s="2278" t="s">
        <v>4511</v>
      </c>
      <c r="AE379" s="2259"/>
      <c r="AF379" s="2260"/>
      <c r="AG379" s="2278" t="s">
        <v>4463</v>
      </c>
      <c r="AH379" s="2259"/>
      <c r="AI379" s="2260"/>
      <c r="AJ379" s="1908" t="s">
        <v>4512</v>
      </c>
      <c r="AK379" s="2278" t="s">
        <v>4513</v>
      </c>
      <c r="AL379" s="2259"/>
      <c r="AM379" s="2259"/>
      <c r="AN379" s="2259"/>
      <c r="AO379" s="2260"/>
      <c r="AP379" s="1908" t="s">
        <v>3716</v>
      </c>
      <c r="BC379" s="214"/>
      <c r="BD379" s="214"/>
      <c r="BE379" s="214"/>
      <c r="BF379" s="214"/>
    </row>
    <row r="380" spans="1:58" ht="45" hidden="1" customHeight="1">
      <c r="A380" s="808"/>
      <c r="B380" s="2280"/>
      <c r="C380" s="2281"/>
      <c r="D380" s="2282"/>
      <c r="E380" s="1909" t="s">
        <v>3682</v>
      </c>
      <c r="F380" s="1909" t="s">
        <v>4458</v>
      </c>
      <c r="G380" s="1909"/>
      <c r="H380" s="2283" t="s">
        <v>4505</v>
      </c>
      <c r="I380" s="2281"/>
      <c r="J380" s="2282"/>
      <c r="K380" s="2283" t="s">
        <v>4567</v>
      </c>
      <c r="L380" s="2282"/>
      <c r="M380" s="1909" t="e">
        <f>VLOOKUP(K380,'Estimate Details'!$R:$BR,20,FALSE)</f>
        <v>#N/A</v>
      </c>
      <c r="N380" s="1909" t="e">
        <f>VLOOKUP(M380,#REF!,2,FALSE)</f>
        <v>#N/A</v>
      </c>
      <c r="O380" s="1909" t="s">
        <v>4515</v>
      </c>
      <c r="P380" s="2284" t="s">
        <v>3687</v>
      </c>
      <c r="Q380" s="2281"/>
      <c r="R380" s="2282"/>
      <c r="S380" s="1909" t="s">
        <v>3688</v>
      </c>
      <c r="T380" s="1909" t="s">
        <v>3689</v>
      </c>
      <c r="U380" s="1909" t="s">
        <v>3690</v>
      </c>
      <c r="V380" s="1909" t="s">
        <v>3691</v>
      </c>
      <c r="W380" s="1909" t="s">
        <v>3688</v>
      </c>
      <c r="X380" s="1909" t="s">
        <v>4516</v>
      </c>
      <c r="Y380" s="1909" t="s">
        <v>4517</v>
      </c>
      <c r="Z380" s="1909"/>
      <c r="AA380" s="1909" t="s">
        <v>3694</v>
      </c>
      <c r="AB380" s="1909" t="s">
        <v>4518</v>
      </c>
      <c r="AC380" s="1909" t="s">
        <v>3696</v>
      </c>
      <c r="AD380" s="2283" t="s">
        <v>4519</v>
      </c>
      <c r="AE380" s="2281"/>
      <c r="AF380" s="2282"/>
      <c r="AG380" s="2283" t="s">
        <v>4463</v>
      </c>
      <c r="AH380" s="2281"/>
      <c r="AI380" s="2282"/>
      <c r="AJ380" s="1909" t="s">
        <v>4520</v>
      </c>
      <c r="AK380" s="2283" t="s">
        <v>4521</v>
      </c>
      <c r="AL380" s="2281"/>
      <c r="AM380" s="2259"/>
      <c r="AN380" s="2281"/>
      <c r="AO380" s="2282"/>
      <c r="AP380" s="1909" t="s">
        <v>3716</v>
      </c>
      <c r="BC380" s="214"/>
      <c r="BD380" s="214"/>
      <c r="BE380" s="214"/>
      <c r="BF380" s="214"/>
    </row>
    <row r="381" spans="1:58" ht="45" hidden="1" customHeight="1">
      <c r="B381" s="2277"/>
      <c r="C381" s="2259"/>
      <c r="D381" s="2260"/>
      <c r="E381" s="1908" t="s">
        <v>3682</v>
      </c>
      <c r="F381" s="1908" t="s">
        <v>4458</v>
      </c>
      <c r="G381" s="1908"/>
      <c r="H381" s="2278" t="s">
        <v>4505</v>
      </c>
      <c r="I381" s="2259"/>
      <c r="J381" s="2260"/>
      <c r="K381" s="2278" t="s">
        <v>4568</v>
      </c>
      <c r="L381" s="2260"/>
      <c r="M381" s="1908" t="e">
        <f>VLOOKUP(K381,'Estimate Details'!$R:$BR,20,FALSE)</f>
        <v>#N/A</v>
      </c>
      <c r="N381" s="1908" t="e">
        <f>VLOOKUP(M381,#REF!,2,FALSE)</f>
        <v>#N/A</v>
      </c>
      <c r="O381" s="1908" t="s">
        <v>4523</v>
      </c>
      <c r="P381" s="2278" t="s">
        <v>3687</v>
      </c>
      <c r="Q381" s="2259"/>
      <c r="R381" s="2260"/>
      <c r="S381" s="1908" t="s">
        <v>3688</v>
      </c>
      <c r="T381" s="1908" t="s">
        <v>3689</v>
      </c>
      <c r="U381" s="1908" t="s">
        <v>3690</v>
      </c>
      <c r="V381" s="1908" t="s">
        <v>3691</v>
      </c>
      <c r="W381" s="1908" t="s">
        <v>3688</v>
      </c>
      <c r="X381" s="1908" t="s">
        <v>4516</v>
      </c>
      <c r="Y381" s="1908" t="s">
        <v>4517</v>
      </c>
      <c r="Z381" s="1908"/>
      <c r="AA381" s="1908" t="s">
        <v>3694</v>
      </c>
      <c r="AB381" s="1908" t="s">
        <v>4518</v>
      </c>
      <c r="AC381" s="1908" t="s">
        <v>3696</v>
      </c>
      <c r="AD381" s="2278" t="s">
        <v>4519</v>
      </c>
      <c r="AE381" s="2259"/>
      <c r="AF381" s="2260"/>
      <c r="AG381" s="2278" t="s">
        <v>4463</v>
      </c>
      <c r="AH381" s="2259"/>
      <c r="AI381" s="2260"/>
      <c r="AJ381" s="1908" t="s">
        <v>4520</v>
      </c>
      <c r="AK381" s="2278" t="s">
        <v>4521</v>
      </c>
      <c r="AL381" s="2259"/>
      <c r="AM381" s="2259"/>
      <c r="AN381" s="2259"/>
      <c r="AO381" s="2260"/>
      <c r="AP381" s="1908" t="s">
        <v>3716</v>
      </c>
      <c r="BC381" s="214"/>
      <c r="BD381" s="214"/>
      <c r="BE381" s="214"/>
      <c r="BF381" s="214"/>
    </row>
    <row r="382" spans="1:58" ht="45" hidden="1" customHeight="1">
      <c r="A382" s="808"/>
      <c r="B382" s="2280"/>
      <c r="C382" s="2281"/>
      <c r="D382" s="2282"/>
      <c r="E382" s="1909" t="s">
        <v>3682</v>
      </c>
      <c r="F382" s="1909" t="s">
        <v>4458</v>
      </c>
      <c r="G382" s="1909"/>
      <c r="H382" s="2283" t="s">
        <v>4505</v>
      </c>
      <c r="I382" s="2281"/>
      <c r="J382" s="2282"/>
      <c r="K382" s="2283" t="s">
        <v>4569</v>
      </c>
      <c r="L382" s="2282"/>
      <c r="M382" s="1909" t="e">
        <f>VLOOKUP(K382,'Estimate Details'!$R:$BR,20,FALSE)</f>
        <v>#N/A</v>
      </c>
      <c r="N382" s="1909" t="e">
        <f>VLOOKUP(M382,#REF!,2,FALSE)</f>
        <v>#N/A</v>
      </c>
      <c r="O382" s="1909" t="s">
        <v>4507</v>
      </c>
      <c r="P382" s="2284" t="s">
        <v>3687</v>
      </c>
      <c r="Q382" s="2281"/>
      <c r="R382" s="2282"/>
      <c r="S382" s="1909" t="s">
        <v>3688</v>
      </c>
      <c r="T382" s="1909" t="s">
        <v>3689</v>
      </c>
      <c r="U382" s="1909" t="s">
        <v>3690</v>
      </c>
      <c r="V382" s="1909" t="s">
        <v>3691</v>
      </c>
      <c r="W382" s="1909" t="s">
        <v>3688</v>
      </c>
      <c r="X382" s="1909" t="s">
        <v>4508</v>
      </c>
      <c r="Y382" s="1909" t="s">
        <v>4509</v>
      </c>
      <c r="Z382" s="1909"/>
      <c r="AA382" s="1909" t="s">
        <v>3694</v>
      </c>
      <c r="AB382" s="1909" t="s">
        <v>4510</v>
      </c>
      <c r="AC382" s="1909" t="s">
        <v>3696</v>
      </c>
      <c r="AD382" s="2283" t="s">
        <v>4511</v>
      </c>
      <c r="AE382" s="2281"/>
      <c r="AF382" s="2282"/>
      <c r="AG382" s="2283" t="s">
        <v>4463</v>
      </c>
      <c r="AH382" s="2281"/>
      <c r="AI382" s="2282"/>
      <c r="AJ382" s="1909" t="s">
        <v>4512</v>
      </c>
      <c r="AK382" s="2283" t="s">
        <v>4513</v>
      </c>
      <c r="AL382" s="2281"/>
      <c r="AM382" s="2259"/>
      <c r="AN382" s="2281"/>
      <c r="AO382" s="2282"/>
      <c r="AP382" s="1909" t="s">
        <v>3716</v>
      </c>
      <c r="BC382" s="214"/>
      <c r="BD382" s="214"/>
      <c r="BE382" s="214"/>
      <c r="BF382" s="214"/>
    </row>
    <row r="383" spans="1:58" ht="45" hidden="1" customHeight="1">
      <c r="B383" s="2277"/>
      <c r="C383" s="2259"/>
      <c r="D383" s="2260"/>
      <c r="E383" s="1908" t="s">
        <v>3682</v>
      </c>
      <c r="F383" s="1908" t="s">
        <v>4458</v>
      </c>
      <c r="G383" s="1908"/>
      <c r="H383" s="2278" t="s">
        <v>4505</v>
      </c>
      <c r="I383" s="2259"/>
      <c r="J383" s="2260"/>
      <c r="K383" s="2278" t="s">
        <v>4570</v>
      </c>
      <c r="L383" s="2260"/>
      <c r="M383" s="1908" t="e">
        <f>VLOOKUP(K383,'Estimate Details'!$R:$BR,20,FALSE)</f>
        <v>#N/A</v>
      </c>
      <c r="N383" s="1908" t="e">
        <f>VLOOKUP(M383,#REF!,2,FALSE)</f>
        <v>#N/A</v>
      </c>
      <c r="O383" s="1908" t="s">
        <v>4515</v>
      </c>
      <c r="P383" s="2278" t="s">
        <v>3687</v>
      </c>
      <c r="Q383" s="2259"/>
      <c r="R383" s="2260"/>
      <c r="S383" s="1908" t="s">
        <v>3688</v>
      </c>
      <c r="T383" s="1908" t="s">
        <v>3689</v>
      </c>
      <c r="U383" s="1908" t="s">
        <v>3690</v>
      </c>
      <c r="V383" s="1908" t="s">
        <v>3691</v>
      </c>
      <c r="W383" s="1908" t="s">
        <v>3688</v>
      </c>
      <c r="X383" s="1908" t="s">
        <v>4516</v>
      </c>
      <c r="Y383" s="1908" t="s">
        <v>4517</v>
      </c>
      <c r="Z383" s="1908"/>
      <c r="AA383" s="1908" t="s">
        <v>3694</v>
      </c>
      <c r="AB383" s="1908" t="s">
        <v>4518</v>
      </c>
      <c r="AC383" s="1908" t="s">
        <v>3696</v>
      </c>
      <c r="AD383" s="2278" t="s">
        <v>4519</v>
      </c>
      <c r="AE383" s="2259"/>
      <c r="AF383" s="2260"/>
      <c r="AG383" s="2278" t="s">
        <v>4463</v>
      </c>
      <c r="AH383" s="2259"/>
      <c r="AI383" s="2260"/>
      <c r="AJ383" s="1908" t="s">
        <v>4520</v>
      </c>
      <c r="AK383" s="2278" t="s">
        <v>4521</v>
      </c>
      <c r="AL383" s="2259"/>
      <c r="AM383" s="2259"/>
      <c r="AN383" s="2259"/>
      <c r="AO383" s="2260"/>
      <c r="AP383" s="1908" t="s">
        <v>3716</v>
      </c>
      <c r="BC383" s="214"/>
      <c r="BD383" s="214"/>
      <c r="BE383" s="214"/>
      <c r="BF383" s="214"/>
    </row>
    <row r="384" spans="1:58" ht="45" hidden="1" customHeight="1">
      <c r="A384" s="808"/>
      <c r="B384" s="2280"/>
      <c r="C384" s="2281"/>
      <c r="D384" s="2282"/>
      <c r="E384" s="1909" t="s">
        <v>3682</v>
      </c>
      <c r="F384" s="1909" t="s">
        <v>4458</v>
      </c>
      <c r="G384" s="1909"/>
      <c r="H384" s="2283" t="s">
        <v>4505</v>
      </c>
      <c r="I384" s="2281"/>
      <c r="J384" s="2282"/>
      <c r="K384" s="2283" t="s">
        <v>4571</v>
      </c>
      <c r="L384" s="2282"/>
      <c r="M384" s="1909" t="e">
        <f>VLOOKUP(K384,'Estimate Details'!$R:$BR,20,FALSE)</f>
        <v>#N/A</v>
      </c>
      <c r="N384" s="1909" t="e">
        <f>VLOOKUP(M384,#REF!,2,FALSE)</f>
        <v>#N/A</v>
      </c>
      <c r="O384" s="1909" t="s">
        <v>4523</v>
      </c>
      <c r="P384" s="2284" t="s">
        <v>3687</v>
      </c>
      <c r="Q384" s="2281"/>
      <c r="R384" s="2282"/>
      <c r="S384" s="1909" t="s">
        <v>3688</v>
      </c>
      <c r="T384" s="1909" t="s">
        <v>3689</v>
      </c>
      <c r="U384" s="1909" t="s">
        <v>3690</v>
      </c>
      <c r="V384" s="1909" t="s">
        <v>3691</v>
      </c>
      <c r="W384" s="1909" t="s">
        <v>3688</v>
      </c>
      <c r="X384" s="1909" t="s">
        <v>4516</v>
      </c>
      <c r="Y384" s="1909" t="s">
        <v>4517</v>
      </c>
      <c r="Z384" s="1909"/>
      <c r="AA384" s="1909" t="s">
        <v>3694</v>
      </c>
      <c r="AB384" s="1909" t="s">
        <v>4518</v>
      </c>
      <c r="AC384" s="1909" t="s">
        <v>3696</v>
      </c>
      <c r="AD384" s="2283" t="s">
        <v>4519</v>
      </c>
      <c r="AE384" s="2281"/>
      <c r="AF384" s="2282"/>
      <c r="AG384" s="2283" t="s">
        <v>4463</v>
      </c>
      <c r="AH384" s="2281"/>
      <c r="AI384" s="2282"/>
      <c r="AJ384" s="1909" t="s">
        <v>4520</v>
      </c>
      <c r="AK384" s="2283" t="s">
        <v>4521</v>
      </c>
      <c r="AL384" s="2281"/>
      <c r="AM384" s="2259"/>
      <c r="AN384" s="2281"/>
      <c r="AO384" s="2282"/>
      <c r="AP384" s="1909" t="s">
        <v>3716</v>
      </c>
      <c r="BC384" s="214"/>
      <c r="BD384" s="214"/>
      <c r="BE384" s="214"/>
      <c r="BF384" s="214"/>
    </row>
    <row r="385" spans="1:58" ht="45" hidden="1" customHeight="1">
      <c r="B385" s="2277"/>
      <c r="C385" s="2259"/>
      <c r="D385" s="2260"/>
      <c r="E385" s="1908" t="s">
        <v>3682</v>
      </c>
      <c r="F385" s="1908" t="s">
        <v>4458</v>
      </c>
      <c r="G385" s="1908"/>
      <c r="H385" s="2278" t="s">
        <v>4505</v>
      </c>
      <c r="I385" s="2259"/>
      <c r="J385" s="2260"/>
      <c r="K385" s="2278" t="s">
        <v>4572</v>
      </c>
      <c r="L385" s="2260"/>
      <c r="M385" s="1908" t="e">
        <f>VLOOKUP(K385,'Estimate Details'!$R:$BR,20,FALSE)</f>
        <v>#N/A</v>
      </c>
      <c r="N385" s="1908" t="e">
        <f>VLOOKUP(M385,#REF!,2,FALSE)</f>
        <v>#N/A</v>
      </c>
      <c r="O385" s="1908" t="s">
        <v>4507</v>
      </c>
      <c r="P385" s="2278" t="s">
        <v>3687</v>
      </c>
      <c r="Q385" s="2259"/>
      <c r="R385" s="2260"/>
      <c r="S385" s="1908" t="s">
        <v>3688</v>
      </c>
      <c r="T385" s="1908" t="s">
        <v>3689</v>
      </c>
      <c r="U385" s="1908" t="s">
        <v>3690</v>
      </c>
      <c r="V385" s="1908" t="s">
        <v>3691</v>
      </c>
      <c r="W385" s="1908" t="s">
        <v>3688</v>
      </c>
      <c r="X385" s="1908" t="s">
        <v>4508</v>
      </c>
      <c r="Y385" s="1908" t="s">
        <v>4509</v>
      </c>
      <c r="Z385" s="1908"/>
      <c r="AA385" s="1908" t="s">
        <v>3694</v>
      </c>
      <c r="AB385" s="1908" t="s">
        <v>4510</v>
      </c>
      <c r="AC385" s="1908" t="s">
        <v>3696</v>
      </c>
      <c r="AD385" s="2278" t="s">
        <v>4511</v>
      </c>
      <c r="AE385" s="2259"/>
      <c r="AF385" s="2260"/>
      <c r="AG385" s="2278" t="s">
        <v>4463</v>
      </c>
      <c r="AH385" s="2259"/>
      <c r="AI385" s="2260"/>
      <c r="AJ385" s="1908" t="s">
        <v>4512</v>
      </c>
      <c r="AK385" s="2278" t="s">
        <v>4513</v>
      </c>
      <c r="AL385" s="2259"/>
      <c r="AM385" s="2259"/>
      <c r="AN385" s="2259"/>
      <c r="AO385" s="2260"/>
      <c r="AP385" s="1908" t="s">
        <v>3716</v>
      </c>
      <c r="BC385" s="214"/>
      <c r="BD385" s="214"/>
      <c r="BE385" s="214"/>
      <c r="BF385" s="214"/>
    </row>
    <row r="386" spans="1:58" ht="45" hidden="1" customHeight="1">
      <c r="A386" s="808"/>
      <c r="B386" s="2280"/>
      <c r="C386" s="2281"/>
      <c r="D386" s="2282"/>
      <c r="E386" s="1909" t="s">
        <v>3682</v>
      </c>
      <c r="F386" s="1909" t="s">
        <v>4458</v>
      </c>
      <c r="G386" s="1909"/>
      <c r="H386" s="2283" t="s">
        <v>4505</v>
      </c>
      <c r="I386" s="2281"/>
      <c r="J386" s="2282"/>
      <c r="K386" s="2283" t="s">
        <v>4573</v>
      </c>
      <c r="L386" s="2282"/>
      <c r="M386" s="1909" t="e">
        <f>VLOOKUP(K386,'Estimate Details'!$R:$BR,20,FALSE)</f>
        <v>#N/A</v>
      </c>
      <c r="N386" s="1909" t="e">
        <f>VLOOKUP(M386,#REF!,2,FALSE)</f>
        <v>#N/A</v>
      </c>
      <c r="O386" s="1909" t="s">
        <v>4515</v>
      </c>
      <c r="P386" s="2284" t="s">
        <v>3687</v>
      </c>
      <c r="Q386" s="2281"/>
      <c r="R386" s="2282"/>
      <c r="S386" s="1909" t="s">
        <v>3688</v>
      </c>
      <c r="T386" s="1909" t="s">
        <v>3689</v>
      </c>
      <c r="U386" s="1909" t="s">
        <v>3690</v>
      </c>
      <c r="V386" s="1909" t="s">
        <v>3691</v>
      </c>
      <c r="W386" s="1909" t="s">
        <v>3688</v>
      </c>
      <c r="X386" s="1909" t="s">
        <v>4516</v>
      </c>
      <c r="Y386" s="1909" t="s">
        <v>4517</v>
      </c>
      <c r="Z386" s="1909"/>
      <c r="AA386" s="1909" t="s">
        <v>3694</v>
      </c>
      <c r="AB386" s="1909" t="s">
        <v>4518</v>
      </c>
      <c r="AC386" s="1909" t="s">
        <v>3696</v>
      </c>
      <c r="AD386" s="2283" t="s">
        <v>4519</v>
      </c>
      <c r="AE386" s="2281"/>
      <c r="AF386" s="2282"/>
      <c r="AG386" s="2283" t="s">
        <v>4463</v>
      </c>
      <c r="AH386" s="2281"/>
      <c r="AI386" s="2282"/>
      <c r="AJ386" s="1909" t="s">
        <v>4520</v>
      </c>
      <c r="AK386" s="2283" t="s">
        <v>4521</v>
      </c>
      <c r="AL386" s="2281"/>
      <c r="AM386" s="2259"/>
      <c r="AN386" s="2281"/>
      <c r="AO386" s="2282"/>
      <c r="AP386" s="1909" t="s">
        <v>3716</v>
      </c>
      <c r="BC386" s="214"/>
      <c r="BD386" s="214"/>
      <c r="BE386" s="214"/>
      <c r="BF386" s="214"/>
    </row>
    <row r="387" spans="1:58" ht="45" hidden="1" customHeight="1">
      <c r="B387" s="2277"/>
      <c r="C387" s="2259"/>
      <c r="D387" s="2260"/>
      <c r="E387" s="1908" t="s">
        <v>3682</v>
      </c>
      <c r="F387" s="1908" t="s">
        <v>4458</v>
      </c>
      <c r="G387" s="1908"/>
      <c r="H387" s="2278" t="s">
        <v>4505</v>
      </c>
      <c r="I387" s="2259"/>
      <c r="J387" s="2260"/>
      <c r="K387" s="2278" t="s">
        <v>4574</v>
      </c>
      <c r="L387" s="2260"/>
      <c r="M387" s="1908" t="e">
        <f>VLOOKUP(K387,'Estimate Details'!$R:$BR,20,FALSE)</f>
        <v>#N/A</v>
      </c>
      <c r="N387" s="1908" t="e">
        <f>VLOOKUP(M387,#REF!,2,FALSE)</f>
        <v>#N/A</v>
      </c>
      <c r="O387" s="1908" t="s">
        <v>4523</v>
      </c>
      <c r="P387" s="2278" t="s">
        <v>3687</v>
      </c>
      <c r="Q387" s="2259"/>
      <c r="R387" s="2260"/>
      <c r="S387" s="1908" t="s">
        <v>3688</v>
      </c>
      <c r="T387" s="1908" t="s">
        <v>3689</v>
      </c>
      <c r="U387" s="1908" t="s">
        <v>3690</v>
      </c>
      <c r="V387" s="1908" t="s">
        <v>3691</v>
      </c>
      <c r="W387" s="1908" t="s">
        <v>3688</v>
      </c>
      <c r="X387" s="1908" t="s">
        <v>4516</v>
      </c>
      <c r="Y387" s="1908" t="s">
        <v>4517</v>
      </c>
      <c r="Z387" s="1908"/>
      <c r="AA387" s="1908" t="s">
        <v>3694</v>
      </c>
      <c r="AB387" s="1908" t="s">
        <v>4518</v>
      </c>
      <c r="AC387" s="1908" t="s">
        <v>3696</v>
      </c>
      <c r="AD387" s="2278" t="s">
        <v>4519</v>
      </c>
      <c r="AE387" s="2259"/>
      <c r="AF387" s="2260"/>
      <c r="AG387" s="2278" t="s">
        <v>4463</v>
      </c>
      <c r="AH387" s="2259"/>
      <c r="AI387" s="2260"/>
      <c r="AJ387" s="1908" t="s">
        <v>4520</v>
      </c>
      <c r="AK387" s="2278" t="s">
        <v>4521</v>
      </c>
      <c r="AL387" s="2259"/>
      <c r="AM387" s="2259"/>
      <c r="AN387" s="2259"/>
      <c r="AO387" s="2260"/>
      <c r="AP387" s="1908" t="s">
        <v>3716</v>
      </c>
      <c r="BC387" s="214"/>
      <c r="BD387" s="214"/>
      <c r="BE387" s="214"/>
      <c r="BF387" s="214"/>
    </row>
    <row r="388" spans="1:58" ht="45" hidden="1" customHeight="1">
      <c r="A388" s="808"/>
      <c r="B388" s="2280"/>
      <c r="C388" s="2281"/>
      <c r="D388" s="2282"/>
      <c r="E388" s="1909" t="s">
        <v>3682</v>
      </c>
      <c r="F388" s="1909" t="s">
        <v>4458</v>
      </c>
      <c r="G388" s="1909"/>
      <c r="H388" s="2283" t="s">
        <v>4505</v>
      </c>
      <c r="I388" s="2281"/>
      <c r="J388" s="2282"/>
      <c r="K388" s="2283" t="s">
        <v>4575</v>
      </c>
      <c r="L388" s="2282"/>
      <c r="M388" s="1909" t="e">
        <f>VLOOKUP(K388,'Estimate Details'!$R:$BR,20,FALSE)</f>
        <v>#N/A</v>
      </c>
      <c r="N388" s="1909" t="e">
        <f>VLOOKUP(M388,#REF!,2,FALSE)</f>
        <v>#N/A</v>
      </c>
      <c r="O388" s="1909" t="s">
        <v>4507</v>
      </c>
      <c r="P388" s="2284" t="s">
        <v>3687</v>
      </c>
      <c r="Q388" s="2281"/>
      <c r="R388" s="2282"/>
      <c r="S388" s="1909" t="s">
        <v>3688</v>
      </c>
      <c r="T388" s="1909" t="s">
        <v>3689</v>
      </c>
      <c r="U388" s="1909" t="s">
        <v>3690</v>
      </c>
      <c r="V388" s="1909" t="s">
        <v>3691</v>
      </c>
      <c r="W388" s="1909" t="s">
        <v>3688</v>
      </c>
      <c r="X388" s="1909" t="s">
        <v>4508</v>
      </c>
      <c r="Y388" s="1909" t="s">
        <v>4509</v>
      </c>
      <c r="Z388" s="1909"/>
      <c r="AA388" s="1909" t="s">
        <v>3694</v>
      </c>
      <c r="AB388" s="1909" t="s">
        <v>4510</v>
      </c>
      <c r="AC388" s="1909" t="s">
        <v>3696</v>
      </c>
      <c r="AD388" s="2283" t="s">
        <v>4511</v>
      </c>
      <c r="AE388" s="2281"/>
      <c r="AF388" s="2282"/>
      <c r="AG388" s="2283" t="s">
        <v>4463</v>
      </c>
      <c r="AH388" s="2281"/>
      <c r="AI388" s="2282"/>
      <c r="AJ388" s="1909" t="s">
        <v>4512</v>
      </c>
      <c r="AK388" s="2283" t="s">
        <v>4513</v>
      </c>
      <c r="AL388" s="2281"/>
      <c r="AM388" s="2259"/>
      <c r="AN388" s="2281"/>
      <c r="AO388" s="2282"/>
      <c r="AP388" s="1909" t="s">
        <v>3716</v>
      </c>
      <c r="BC388" s="214"/>
      <c r="BD388" s="214"/>
      <c r="BE388" s="214"/>
      <c r="BF388" s="214"/>
    </row>
    <row r="389" spans="1:58" ht="45" hidden="1" customHeight="1">
      <c r="B389" s="2277"/>
      <c r="C389" s="2259"/>
      <c r="D389" s="2260"/>
      <c r="E389" s="1908" t="s">
        <v>3682</v>
      </c>
      <c r="F389" s="1908" t="s">
        <v>4458</v>
      </c>
      <c r="G389" s="1908"/>
      <c r="H389" s="2278" t="s">
        <v>4505</v>
      </c>
      <c r="I389" s="2259"/>
      <c r="J389" s="2260"/>
      <c r="K389" s="2278" t="s">
        <v>4576</v>
      </c>
      <c r="L389" s="2260"/>
      <c r="M389" s="1908" t="e">
        <f>VLOOKUP(K389,'Estimate Details'!$R:$BR,20,FALSE)</f>
        <v>#N/A</v>
      </c>
      <c r="N389" s="1908" t="e">
        <f>VLOOKUP(M389,#REF!,2,FALSE)</f>
        <v>#N/A</v>
      </c>
      <c r="O389" s="1908" t="s">
        <v>4515</v>
      </c>
      <c r="P389" s="2278" t="s">
        <v>3687</v>
      </c>
      <c r="Q389" s="2259"/>
      <c r="R389" s="2260"/>
      <c r="S389" s="1908" t="s">
        <v>3688</v>
      </c>
      <c r="T389" s="1908" t="s">
        <v>3689</v>
      </c>
      <c r="U389" s="1908" t="s">
        <v>3690</v>
      </c>
      <c r="V389" s="1908" t="s">
        <v>3691</v>
      </c>
      <c r="W389" s="1908" t="s">
        <v>3688</v>
      </c>
      <c r="X389" s="1908" t="s">
        <v>4516</v>
      </c>
      <c r="Y389" s="1908" t="s">
        <v>4517</v>
      </c>
      <c r="Z389" s="1908"/>
      <c r="AA389" s="1908" t="s">
        <v>3694</v>
      </c>
      <c r="AB389" s="1908" t="s">
        <v>4518</v>
      </c>
      <c r="AC389" s="1908" t="s">
        <v>3696</v>
      </c>
      <c r="AD389" s="2278" t="s">
        <v>4519</v>
      </c>
      <c r="AE389" s="2259"/>
      <c r="AF389" s="2260"/>
      <c r="AG389" s="2278" t="s">
        <v>4463</v>
      </c>
      <c r="AH389" s="2259"/>
      <c r="AI389" s="2260"/>
      <c r="AJ389" s="1908" t="s">
        <v>4520</v>
      </c>
      <c r="AK389" s="2278" t="s">
        <v>4521</v>
      </c>
      <c r="AL389" s="2259"/>
      <c r="AM389" s="2259"/>
      <c r="AN389" s="2259"/>
      <c r="AO389" s="2260"/>
      <c r="AP389" s="1908" t="s">
        <v>3716</v>
      </c>
      <c r="BC389" s="214"/>
      <c r="BD389" s="214"/>
      <c r="BE389" s="214"/>
      <c r="BF389" s="214"/>
    </row>
    <row r="390" spans="1:58" ht="45" hidden="1" customHeight="1">
      <c r="A390" s="808"/>
      <c r="B390" s="2280"/>
      <c r="C390" s="2281"/>
      <c r="D390" s="2282"/>
      <c r="E390" s="1909" t="s">
        <v>3682</v>
      </c>
      <c r="F390" s="1909" t="s">
        <v>4458</v>
      </c>
      <c r="G390" s="1909"/>
      <c r="H390" s="2283" t="s">
        <v>4505</v>
      </c>
      <c r="I390" s="2281"/>
      <c r="J390" s="2282"/>
      <c r="K390" s="2283" t="s">
        <v>4577</v>
      </c>
      <c r="L390" s="2282"/>
      <c r="M390" s="1909" t="e">
        <f>VLOOKUP(K390,'Estimate Details'!$R:$BR,20,FALSE)</f>
        <v>#N/A</v>
      </c>
      <c r="N390" s="1909" t="e">
        <f>VLOOKUP(M390,#REF!,2,FALSE)</f>
        <v>#N/A</v>
      </c>
      <c r="O390" s="1909" t="s">
        <v>4523</v>
      </c>
      <c r="P390" s="2284" t="s">
        <v>3687</v>
      </c>
      <c r="Q390" s="2281"/>
      <c r="R390" s="2282"/>
      <c r="S390" s="1909" t="s">
        <v>3688</v>
      </c>
      <c r="T390" s="1909" t="s">
        <v>3689</v>
      </c>
      <c r="U390" s="1909" t="s">
        <v>3690</v>
      </c>
      <c r="V390" s="1909" t="s">
        <v>3691</v>
      </c>
      <c r="W390" s="1909" t="s">
        <v>3688</v>
      </c>
      <c r="X390" s="1909" t="s">
        <v>4516</v>
      </c>
      <c r="Y390" s="1909" t="s">
        <v>4517</v>
      </c>
      <c r="Z390" s="1909"/>
      <c r="AA390" s="1909" t="s">
        <v>3694</v>
      </c>
      <c r="AB390" s="1909" t="s">
        <v>4518</v>
      </c>
      <c r="AC390" s="1909" t="s">
        <v>3696</v>
      </c>
      <c r="AD390" s="2283" t="s">
        <v>4519</v>
      </c>
      <c r="AE390" s="2281"/>
      <c r="AF390" s="2282"/>
      <c r="AG390" s="2283" t="s">
        <v>4463</v>
      </c>
      <c r="AH390" s="2281"/>
      <c r="AI390" s="2282"/>
      <c r="AJ390" s="1909" t="s">
        <v>4520</v>
      </c>
      <c r="AK390" s="2283" t="s">
        <v>4521</v>
      </c>
      <c r="AL390" s="2281"/>
      <c r="AM390" s="2259"/>
      <c r="AN390" s="2281"/>
      <c r="AO390" s="2282"/>
      <c r="AP390" s="1909" t="s">
        <v>3716</v>
      </c>
      <c r="BC390" s="214"/>
      <c r="BD390" s="214"/>
      <c r="BE390" s="214"/>
      <c r="BF390" s="214"/>
    </row>
    <row r="391" spans="1:58" ht="45" hidden="1" customHeight="1">
      <c r="B391" s="2277"/>
      <c r="C391" s="2259"/>
      <c r="D391" s="2260"/>
      <c r="E391" s="1908" t="s">
        <v>3682</v>
      </c>
      <c r="F391" s="1908" t="s">
        <v>4458</v>
      </c>
      <c r="G391" s="1908"/>
      <c r="H391" s="2278" t="s">
        <v>4505</v>
      </c>
      <c r="I391" s="2259"/>
      <c r="J391" s="2260"/>
      <c r="K391" s="2278" t="s">
        <v>4578</v>
      </c>
      <c r="L391" s="2260"/>
      <c r="M391" s="1908" t="e">
        <f>VLOOKUP(K391,'Estimate Details'!$R:$BR,20,FALSE)</f>
        <v>#N/A</v>
      </c>
      <c r="N391" s="1908" t="e">
        <f>VLOOKUP(M391,#REF!,2,FALSE)</f>
        <v>#N/A</v>
      </c>
      <c r="O391" s="1908" t="s">
        <v>4507</v>
      </c>
      <c r="P391" s="2278" t="s">
        <v>3687</v>
      </c>
      <c r="Q391" s="2259"/>
      <c r="R391" s="2260"/>
      <c r="S391" s="1908" t="s">
        <v>3688</v>
      </c>
      <c r="T391" s="1908" t="s">
        <v>3689</v>
      </c>
      <c r="U391" s="1908" t="s">
        <v>3690</v>
      </c>
      <c r="V391" s="1908" t="s">
        <v>3691</v>
      </c>
      <c r="W391" s="1908" t="s">
        <v>3688</v>
      </c>
      <c r="X391" s="1908" t="s">
        <v>4508</v>
      </c>
      <c r="Y391" s="1908" t="s">
        <v>4579</v>
      </c>
      <c r="Z391" s="1908"/>
      <c r="AA391" s="1908" t="s">
        <v>3694</v>
      </c>
      <c r="AB391" s="1908" t="s">
        <v>4510</v>
      </c>
      <c r="AC391" s="1908" t="s">
        <v>3696</v>
      </c>
      <c r="AD391" s="2278" t="s">
        <v>4511</v>
      </c>
      <c r="AE391" s="2259"/>
      <c r="AF391" s="2260"/>
      <c r="AG391" s="2278" t="s">
        <v>4463</v>
      </c>
      <c r="AH391" s="2259"/>
      <c r="AI391" s="2260"/>
      <c r="AJ391" s="1908" t="s">
        <v>4512</v>
      </c>
      <c r="AK391" s="2278" t="s">
        <v>4513</v>
      </c>
      <c r="AL391" s="2259"/>
      <c r="AM391" s="2259"/>
      <c r="AN391" s="2259"/>
      <c r="AO391" s="2260"/>
      <c r="AP391" s="1908" t="s">
        <v>3716</v>
      </c>
      <c r="BC391" s="214"/>
      <c r="BD391" s="214"/>
      <c r="BE391" s="214"/>
      <c r="BF391" s="214"/>
    </row>
    <row r="392" spans="1:58" ht="45" hidden="1" customHeight="1">
      <c r="A392" s="808"/>
      <c r="B392" s="2280"/>
      <c r="C392" s="2281"/>
      <c r="D392" s="2282"/>
      <c r="E392" s="1909" t="s">
        <v>3682</v>
      </c>
      <c r="F392" s="1909" t="s">
        <v>4458</v>
      </c>
      <c r="G392" s="1909"/>
      <c r="H392" s="2283" t="s">
        <v>4505</v>
      </c>
      <c r="I392" s="2281"/>
      <c r="J392" s="2282"/>
      <c r="K392" s="2283" t="s">
        <v>4580</v>
      </c>
      <c r="L392" s="2282"/>
      <c r="M392" s="1909" t="e">
        <f>VLOOKUP(K392,'Estimate Details'!$R:$BR,20,FALSE)</f>
        <v>#N/A</v>
      </c>
      <c r="N392" s="1909" t="e">
        <f>VLOOKUP(M392,#REF!,2,FALSE)</f>
        <v>#N/A</v>
      </c>
      <c r="O392" s="1909" t="s">
        <v>4515</v>
      </c>
      <c r="P392" s="2284" t="s">
        <v>3687</v>
      </c>
      <c r="Q392" s="2281"/>
      <c r="R392" s="2282"/>
      <c r="S392" s="1909" t="s">
        <v>3688</v>
      </c>
      <c r="T392" s="1909" t="s">
        <v>3689</v>
      </c>
      <c r="U392" s="1909" t="s">
        <v>3690</v>
      </c>
      <c r="V392" s="1909" t="s">
        <v>3691</v>
      </c>
      <c r="W392" s="1909" t="s">
        <v>3688</v>
      </c>
      <c r="X392" s="1909" t="s">
        <v>4516</v>
      </c>
      <c r="Y392" s="1909" t="s">
        <v>4517</v>
      </c>
      <c r="Z392" s="1909"/>
      <c r="AA392" s="1909" t="s">
        <v>3694</v>
      </c>
      <c r="AB392" s="1909" t="s">
        <v>4518</v>
      </c>
      <c r="AC392" s="1909" t="s">
        <v>3696</v>
      </c>
      <c r="AD392" s="2283" t="s">
        <v>4519</v>
      </c>
      <c r="AE392" s="2281"/>
      <c r="AF392" s="2282"/>
      <c r="AG392" s="2283" t="s">
        <v>4463</v>
      </c>
      <c r="AH392" s="2281"/>
      <c r="AI392" s="2282"/>
      <c r="AJ392" s="1909" t="s">
        <v>4520</v>
      </c>
      <c r="AK392" s="2283" t="s">
        <v>4521</v>
      </c>
      <c r="AL392" s="2281"/>
      <c r="AM392" s="2259"/>
      <c r="AN392" s="2281"/>
      <c r="AO392" s="2282"/>
      <c r="AP392" s="1909" t="s">
        <v>3716</v>
      </c>
      <c r="BC392" s="214"/>
      <c r="BD392" s="214"/>
      <c r="BE392" s="214"/>
      <c r="BF392" s="214"/>
    </row>
    <row r="393" spans="1:58" ht="45" hidden="1" customHeight="1">
      <c r="B393" s="2277"/>
      <c r="C393" s="2259"/>
      <c r="D393" s="2260"/>
      <c r="E393" s="1908" t="s">
        <v>3682</v>
      </c>
      <c r="F393" s="1908" t="s">
        <v>4458</v>
      </c>
      <c r="G393" s="1908"/>
      <c r="H393" s="2278" t="s">
        <v>4505</v>
      </c>
      <c r="I393" s="2259"/>
      <c r="J393" s="2260"/>
      <c r="K393" s="2278" t="s">
        <v>4581</v>
      </c>
      <c r="L393" s="2260"/>
      <c r="M393" s="1908" t="e">
        <f>VLOOKUP(K393,'Estimate Details'!$R:$BR,20,FALSE)</f>
        <v>#N/A</v>
      </c>
      <c r="N393" s="1908" t="e">
        <f>VLOOKUP(M393,#REF!,2,FALSE)</f>
        <v>#N/A</v>
      </c>
      <c r="O393" s="1908" t="s">
        <v>4523</v>
      </c>
      <c r="P393" s="2278" t="s">
        <v>3687</v>
      </c>
      <c r="Q393" s="2259"/>
      <c r="R393" s="2260"/>
      <c r="S393" s="1908" t="s">
        <v>3688</v>
      </c>
      <c r="T393" s="1908" t="s">
        <v>3689</v>
      </c>
      <c r="U393" s="1908" t="s">
        <v>3690</v>
      </c>
      <c r="V393" s="1908" t="s">
        <v>3691</v>
      </c>
      <c r="W393" s="1908" t="s">
        <v>3688</v>
      </c>
      <c r="X393" s="1908" t="s">
        <v>4516</v>
      </c>
      <c r="Y393" s="1908" t="s">
        <v>4517</v>
      </c>
      <c r="Z393" s="1908"/>
      <c r="AA393" s="1908" t="s">
        <v>3694</v>
      </c>
      <c r="AB393" s="1908" t="s">
        <v>4518</v>
      </c>
      <c r="AC393" s="1908" t="s">
        <v>3696</v>
      </c>
      <c r="AD393" s="2278" t="s">
        <v>4519</v>
      </c>
      <c r="AE393" s="2259"/>
      <c r="AF393" s="2260"/>
      <c r="AG393" s="2278" t="s">
        <v>4463</v>
      </c>
      <c r="AH393" s="2259"/>
      <c r="AI393" s="2260"/>
      <c r="AJ393" s="1908" t="s">
        <v>4520</v>
      </c>
      <c r="AK393" s="2278" t="s">
        <v>4521</v>
      </c>
      <c r="AL393" s="2259"/>
      <c r="AM393" s="2259"/>
      <c r="AN393" s="2259"/>
      <c r="AO393" s="2260"/>
      <c r="AP393" s="1908" t="s">
        <v>3716</v>
      </c>
      <c r="BC393" s="214"/>
      <c r="BD393" s="214"/>
      <c r="BE393" s="214"/>
      <c r="BF393" s="214"/>
    </row>
    <row r="394" spans="1:58" ht="45" hidden="1" customHeight="1">
      <c r="A394" s="808"/>
      <c r="B394" s="2280"/>
      <c r="C394" s="2281"/>
      <c r="D394" s="2282"/>
      <c r="E394" s="1909" t="s">
        <v>3682</v>
      </c>
      <c r="F394" s="1909" t="s">
        <v>4458</v>
      </c>
      <c r="G394" s="1909"/>
      <c r="H394" s="2283" t="s">
        <v>4505</v>
      </c>
      <c r="I394" s="2281"/>
      <c r="J394" s="2282"/>
      <c r="K394" s="2283" t="s">
        <v>4582</v>
      </c>
      <c r="L394" s="2282"/>
      <c r="M394" s="1909" t="e">
        <f>VLOOKUP(K394,'Estimate Details'!$R:$BR,20,FALSE)</f>
        <v>#N/A</v>
      </c>
      <c r="N394" s="1909" t="e">
        <f>VLOOKUP(M394,#REF!,2,FALSE)</f>
        <v>#N/A</v>
      </c>
      <c r="O394" s="1909" t="s">
        <v>4583</v>
      </c>
      <c r="P394" s="2284" t="s">
        <v>3687</v>
      </c>
      <c r="Q394" s="2281"/>
      <c r="R394" s="2282"/>
      <c r="S394" s="1909" t="s">
        <v>3688</v>
      </c>
      <c r="T394" s="1909" t="s">
        <v>3689</v>
      </c>
      <c r="U394" s="1909" t="s">
        <v>3690</v>
      </c>
      <c r="V394" s="1909" t="s">
        <v>3708</v>
      </c>
      <c r="W394" s="1909" t="s">
        <v>3688</v>
      </c>
      <c r="X394" s="1909" t="s">
        <v>4584</v>
      </c>
      <c r="Y394" s="1909" t="s">
        <v>4585</v>
      </c>
      <c r="Z394" s="1909"/>
      <c r="AA394" s="1909" t="s">
        <v>3694</v>
      </c>
      <c r="AB394" s="1909" t="s">
        <v>4586</v>
      </c>
      <c r="AC394" s="1909" t="s">
        <v>3696</v>
      </c>
      <c r="AD394" s="2283" t="s">
        <v>4473</v>
      </c>
      <c r="AE394" s="2281"/>
      <c r="AF394" s="2282"/>
      <c r="AG394" s="2283" t="s">
        <v>3696</v>
      </c>
      <c r="AH394" s="2281"/>
      <c r="AI394" s="2282"/>
      <c r="AJ394" s="1909" t="s">
        <v>3714</v>
      </c>
      <c r="AK394" s="2283" t="s">
        <v>4587</v>
      </c>
      <c r="AL394" s="2281"/>
      <c r="AM394" s="2259"/>
      <c r="AN394" s="2281"/>
      <c r="AO394" s="2282"/>
      <c r="AP394" s="1909" t="s">
        <v>3699</v>
      </c>
      <c r="BC394" s="214"/>
      <c r="BD394" s="214"/>
      <c r="BE394" s="214"/>
      <c r="BF394" s="214"/>
    </row>
    <row r="395" spans="1:58" ht="45" hidden="1" customHeight="1">
      <c r="B395" s="2277"/>
      <c r="C395" s="2259"/>
      <c r="D395" s="2260"/>
      <c r="E395" s="1908" t="s">
        <v>3682</v>
      </c>
      <c r="F395" s="1908" t="s">
        <v>4458</v>
      </c>
      <c r="G395" s="1908"/>
      <c r="H395" s="2278" t="s">
        <v>4505</v>
      </c>
      <c r="I395" s="2259"/>
      <c r="J395" s="2260"/>
      <c r="K395" s="2278" t="s">
        <v>4588</v>
      </c>
      <c r="L395" s="2260"/>
      <c r="M395" s="1908" t="e">
        <f>VLOOKUP(K395,'Estimate Details'!$R:$BR,20,FALSE)</f>
        <v>#N/A</v>
      </c>
      <c r="N395" s="1908" t="e">
        <f>VLOOKUP(M395,#REF!,2,FALSE)</f>
        <v>#N/A</v>
      </c>
      <c r="O395" s="1908" t="s">
        <v>4583</v>
      </c>
      <c r="P395" s="2278" t="s">
        <v>3687</v>
      </c>
      <c r="Q395" s="2259"/>
      <c r="R395" s="2260"/>
      <c r="S395" s="1908" t="s">
        <v>3688</v>
      </c>
      <c r="T395" s="1908" t="s">
        <v>3689</v>
      </c>
      <c r="U395" s="1908" t="s">
        <v>3690</v>
      </c>
      <c r="V395" s="1908" t="s">
        <v>3708</v>
      </c>
      <c r="W395" s="1908" t="s">
        <v>3688</v>
      </c>
      <c r="X395" s="1908" t="s">
        <v>4584</v>
      </c>
      <c r="Y395" s="1908" t="s">
        <v>4589</v>
      </c>
      <c r="Z395" s="1908"/>
      <c r="AA395" s="1908" t="s">
        <v>3694</v>
      </c>
      <c r="AB395" s="1908" t="s">
        <v>4586</v>
      </c>
      <c r="AC395" s="1908" t="s">
        <v>3696</v>
      </c>
      <c r="AD395" s="2278" t="s">
        <v>1</v>
      </c>
      <c r="AE395" s="2259"/>
      <c r="AF395" s="2260"/>
      <c r="AG395" s="2278" t="s">
        <v>3696</v>
      </c>
      <c r="AH395" s="2259"/>
      <c r="AI395" s="2260"/>
      <c r="AJ395" s="1908" t="s">
        <v>3714</v>
      </c>
      <c r="AK395" s="2278" t="s">
        <v>4587</v>
      </c>
      <c r="AL395" s="2259"/>
      <c r="AM395" s="2259"/>
      <c r="AN395" s="2259"/>
      <c r="AO395" s="2260"/>
      <c r="AP395" s="1908" t="s">
        <v>3699</v>
      </c>
      <c r="BC395" s="214"/>
      <c r="BD395" s="214"/>
      <c r="BE395" s="214"/>
      <c r="BF395" s="214"/>
    </row>
    <row r="396" spans="1:58" ht="45" hidden="1" customHeight="1">
      <c r="A396" s="808"/>
      <c r="B396" s="2280"/>
      <c r="C396" s="2281"/>
      <c r="D396" s="2282"/>
      <c r="E396" s="1909" t="s">
        <v>3682</v>
      </c>
      <c r="F396" s="1909" t="s">
        <v>4458</v>
      </c>
      <c r="G396" s="1909"/>
      <c r="H396" s="2283" t="s">
        <v>4505</v>
      </c>
      <c r="I396" s="2281"/>
      <c r="J396" s="2282"/>
      <c r="K396" s="2283" t="s">
        <v>4590</v>
      </c>
      <c r="L396" s="2282"/>
      <c r="M396" s="1909" t="e">
        <f>VLOOKUP(K396,'Estimate Details'!$R:$BR,20,FALSE)</f>
        <v>#N/A</v>
      </c>
      <c r="N396" s="1909" t="e">
        <f>VLOOKUP(M396,#REF!,2,FALSE)</f>
        <v>#N/A</v>
      </c>
      <c r="O396" s="1909" t="s">
        <v>4591</v>
      </c>
      <c r="P396" s="2284" t="s">
        <v>3687</v>
      </c>
      <c r="Q396" s="2281"/>
      <c r="R396" s="2282"/>
      <c r="S396" s="1909" t="s">
        <v>3688</v>
      </c>
      <c r="T396" s="1909" t="s">
        <v>3689</v>
      </c>
      <c r="U396" s="1909" t="s">
        <v>3690</v>
      </c>
      <c r="V396" s="1909" t="s">
        <v>3708</v>
      </c>
      <c r="W396" s="1909" t="s">
        <v>3688</v>
      </c>
      <c r="X396" s="1909" t="s">
        <v>4592</v>
      </c>
      <c r="Y396" s="1909" t="s">
        <v>4593</v>
      </c>
      <c r="Z396" s="1909"/>
      <c r="AA396" s="1909" t="s">
        <v>3694</v>
      </c>
      <c r="AB396" s="1909" t="s">
        <v>4594</v>
      </c>
      <c r="AC396" s="1909" t="s">
        <v>3696</v>
      </c>
      <c r="AD396" s="2283" t="s">
        <v>4595</v>
      </c>
      <c r="AE396" s="2281"/>
      <c r="AF396" s="2282"/>
      <c r="AG396" s="2283" t="s">
        <v>3696</v>
      </c>
      <c r="AH396" s="2281"/>
      <c r="AI396" s="2282"/>
      <c r="AJ396" s="1909" t="s">
        <v>3714</v>
      </c>
      <c r="AK396" s="2283" t="s">
        <v>4596</v>
      </c>
      <c r="AL396" s="2281"/>
      <c r="AM396" s="2259"/>
      <c r="AN396" s="2281"/>
      <c r="AO396" s="2282"/>
      <c r="AP396" s="1909" t="s">
        <v>3699</v>
      </c>
      <c r="BC396" s="214"/>
      <c r="BD396" s="214"/>
      <c r="BE396" s="214"/>
      <c r="BF396" s="214"/>
    </row>
    <row r="397" spans="1:58" ht="45" hidden="1" customHeight="1">
      <c r="B397" s="2277"/>
      <c r="C397" s="2259"/>
      <c r="D397" s="2260"/>
      <c r="E397" s="1908" t="s">
        <v>3682</v>
      </c>
      <c r="F397" s="1908" t="s">
        <v>4458</v>
      </c>
      <c r="G397" s="1908"/>
      <c r="H397" s="2278" t="s">
        <v>4505</v>
      </c>
      <c r="I397" s="2259"/>
      <c r="J397" s="2260"/>
      <c r="K397" s="2278" t="s">
        <v>4597</v>
      </c>
      <c r="L397" s="2260"/>
      <c r="M397" s="1908" t="e">
        <f>VLOOKUP(K397,'Estimate Details'!$R:$BR,20,FALSE)</f>
        <v>#N/A</v>
      </c>
      <c r="N397" s="1908" t="e">
        <f>VLOOKUP(M397,#REF!,2,FALSE)</f>
        <v>#N/A</v>
      </c>
      <c r="O397" s="1908" t="s">
        <v>4598</v>
      </c>
      <c r="P397" s="2278" t="s">
        <v>3687</v>
      </c>
      <c r="Q397" s="2259"/>
      <c r="R397" s="2260"/>
      <c r="S397" s="1908" t="s">
        <v>3688</v>
      </c>
      <c r="T397" s="1908" t="s">
        <v>3706</v>
      </c>
      <c r="U397" s="1908" t="s">
        <v>3690</v>
      </c>
      <c r="V397" s="1908" t="s">
        <v>3708</v>
      </c>
      <c r="W397" s="1908" t="s">
        <v>3688</v>
      </c>
      <c r="X397" s="1908" t="s">
        <v>4599</v>
      </c>
      <c r="Y397" s="1908" t="s">
        <v>4600</v>
      </c>
      <c r="Z397" s="1908"/>
      <c r="AA397" s="1908" t="s">
        <v>3694</v>
      </c>
      <c r="AB397" s="1908" t="s">
        <v>4601</v>
      </c>
      <c r="AC397" s="1908" t="s">
        <v>3696</v>
      </c>
      <c r="AD397" s="2278" t="s">
        <v>4602</v>
      </c>
      <c r="AE397" s="2259"/>
      <c r="AF397" s="2260"/>
      <c r="AG397" s="2278" t="s">
        <v>3696</v>
      </c>
      <c r="AH397" s="2259"/>
      <c r="AI397" s="2260"/>
      <c r="AJ397" s="1908" t="s">
        <v>3714</v>
      </c>
      <c r="AK397" s="2278" t="s">
        <v>4603</v>
      </c>
      <c r="AL397" s="2259"/>
      <c r="AM397" s="2259"/>
      <c r="AN397" s="2259"/>
      <c r="AO397" s="2260"/>
      <c r="AP397" s="1908" t="s">
        <v>3699</v>
      </c>
      <c r="BC397" s="214"/>
      <c r="BD397" s="214"/>
      <c r="BE397" s="214"/>
      <c r="BF397" s="214"/>
    </row>
    <row r="398" spans="1:58" ht="45" hidden="1" customHeight="1">
      <c r="A398" s="808"/>
      <c r="B398" s="2280"/>
      <c r="C398" s="2281"/>
      <c r="D398" s="2282"/>
      <c r="E398" s="1909" t="s">
        <v>3682</v>
      </c>
      <c r="F398" s="1909" t="s">
        <v>4458</v>
      </c>
      <c r="G398" s="1909"/>
      <c r="H398" s="2283" t="s">
        <v>4505</v>
      </c>
      <c r="I398" s="2281"/>
      <c r="J398" s="2282"/>
      <c r="K398" s="2283" t="s">
        <v>4604</v>
      </c>
      <c r="L398" s="2282"/>
      <c r="M398" s="1909" t="e">
        <f>VLOOKUP(K398,'Estimate Details'!$R:$BR,20,FALSE)</f>
        <v>#N/A</v>
      </c>
      <c r="N398" s="1909" t="e">
        <f>VLOOKUP(M398,#REF!,2,FALSE)</f>
        <v>#N/A</v>
      </c>
      <c r="O398" s="1909" t="s">
        <v>4605</v>
      </c>
      <c r="P398" s="2284" t="s">
        <v>3687</v>
      </c>
      <c r="Q398" s="2281"/>
      <c r="R398" s="2282"/>
      <c r="S398" s="1909" t="s">
        <v>3688</v>
      </c>
      <c r="T398" s="1909" t="s">
        <v>3689</v>
      </c>
      <c r="U398" s="1909" t="s">
        <v>3690</v>
      </c>
      <c r="V398" s="1909" t="s">
        <v>3708</v>
      </c>
      <c r="W398" s="1909" t="s">
        <v>3688</v>
      </c>
      <c r="X398" s="1909" t="s">
        <v>4606</v>
      </c>
      <c r="Y398" s="1909" t="s">
        <v>4607</v>
      </c>
      <c r="Z398" s="1909"/>
      <c r="AA398" s="1909" t="s">
        <v>3694</v>
      </c>
      <c r="AB398" s="1909" t="s">
        <v>4608</v>
      </c>
      <c r="AC398" s="1909" t="s">
        <v>3696</v>
      </c>
      <c r="AD398" s="2283" t="s">
        <v>4609</v>
      </c>
      <c r="AE398" s="2281"/>
      <c r="AF398" s="2282"/>
      <c r="AG398" s="2283" t="s">
        <v>4463</v>
      </c>
      <c r="AH398" s="2281"/>
      <c r="AI398" s="2282"/>
      <c r="AJ398" s="1909" t="s">
        <v>3714</v>
      </c>
      <c r="AK398" s="2283" t="s">
        <v>4610</v>
      </c>
      <c r="AL398" s="2281"/>
      <c r="AM398" s="2259"/>
      <c r="AN398" s="2281"/>
      <c r="AO398" s="2282"/>
      <c r="AP398" s="1909" t="s">
        <v>3699</v>
      </c>
      <c r="BC398" s="214"/>
      <c r="BD398" s="214"/>
      <c r="BE398" s="214"/>
      <c r="BF398" s="214"/>
    </row>
    <row r="399" spans="1:58" ht="45" hidden="1" customHeight="1">
      <c r="B399" s="2277"/>
      <c r="C399" s="2259"/>
      <c r="D399" s="2260"/>
      <c r="E399" s="1908" t="s">
        <v>3682</v>
      </c>
      <c r="F399" s="1908" t="s">
        <v>4458</v>
      </c>
      <c r="G399" s="1908"/>
      <c r="H399" s="2278" t="s">
        <v>4505</v>
      </c>
      <c r="I399" s="2259"/>
      <c r="J399" s="2260"/>
      <c r="K399" s="2278" t="s">
        <v>4611</v>
      </c>
      <c r="L399" s="2260"/>
      <c r="M399" s="1908" t="e">
        <f>VLOOKUP(K399,'Estimate Details'!$R:$BR,20,FALSE)</f>
        <v>#N/A</v>
      </c>
      <c r="N399" s="1908" t="e">
        <f>VLOOKUP(M399,#REF!,2,FALSE)</f>
        <v>#N/A</v>
      </c>
      <c r="O399" s="1908" t="s">
        <v>4612</v>
      </c>
      <c r="P399" s="2278" t="s">
        <v>3687</v>
      </c>
      <c r="Q399" s="2259"/>
      <c r="R399" s="2260"/>
      <c r="S399" s="1908" t="s">
        <v>3688</v>
      </c>
      <c r="T399" s="1908" t="s">
        <v>3706</v>
      </c>
      <c r="U399" s="1908" t="s">
        <v>3690</v>
      </c>
      <c r="V399" s="1908" t="s">
        <v>3708</v>
      </c>
      <c r="W399" s="1908" t="s">
        <v>3688</v>
      </c>
      <c r="X399" s="1908" t="s">
        <v>4479</v>
      </c>
      <c r="Y399" s="1908" t="s">
        <v>4480</v>
      </c>
      <c r="Z399" s="1908"/>
      <c r="AA399" s="1908" t="s">
        <v>3694</v>
      </c>
      <c r="AB399" s="1908" t="s">
        <v>4481</v>
      </c>
      <c r="AC399" s="1908" t="s">
        <v>3696</v>
      </c>
      <c r="AD399" s="2278" t="s">
        <v>4613</v>
      </c>
      <c r="AE399" s="2259"/>
      <c r="AF399" s="2260"/>
      <c r="AG399" s="2278" t="s">
        <v>4463</v>
      </c>
      <c r="AH399" s="2259"/>
      <c r="AI399" s="2260"/>
      <c r="AJ399" s="1908" t="s">
        <v>3714</v>
      </c>
      <c r="AK399" s="2278" t="s">
        <v>4483</v>
      </c>
      <c r="AL399" s="2259"/>
      <c r="AM399" s="2259"/>
      <c r="AN399" s="2259"/>
      <c r="AO399" s="2260"/>
      <c r="AP399" s="1908" t="s">
        <v>3699</v>
      </c>
      <c r="BC399" s="214"/>
      <c r="BD399" s="214"/>
      <c r="BE399" s="214"/>
      <c r="BF399" s="214"/>
    </row>
    <row r="400" spans="1:58" ht="45" hidden="1" customHeight="1">
      <c r="A400" s="808"/>
      <c r="B400" s="2280"/>
      <c r="C400" s="2281"/>
      <c r="D400" s="2282"/>
      <c r="E400" s="1909" t="s">
        <v>3682</v>
      </c>
      <c r="F400" s="1909" t="s">
        <v>4458</v>
      </c>
      <c r="G400" s="1909"/>
      <c r="H400" s="2283" t="s">
        <v>4505</v>
      </c>
      <c r="I400" s="2281"/>
      <c r="J400" s="2282"/>
      <c r="K400" s="2283" t="s">
        <v>4614</v>
      </c>
      <c r="L400" s="2282"/>
      <c r="M400" s="1909" t="e">
        <f>VLOOKUP(K400,'Estimate Details'!$R:$BR,20,FALSE)</f>
        <v>#N/A</v>
      </c>
      <c r="N400" s="1909" t="e">
        <f>VLOOKUP(M400,#REF!,2,FALSE)</f>
        <v>#N/A</v>
      </c>
      <c r="O400" s="1909" t="s">
        <v>3725</v>
      </c>
      <c r="P400" s="2284" t="s">
        <v>3687</v>
      </c>
      <c r="Q400" s="2281"/>
      <c r="R400" s="2282"/>
      <c r="S400" s="1909" t="s">
        <v>3688</v>
      </c>
      <c r="T400" s="1909" t="s">
        <v>3689</v>
      </c>
      <c r="U400" s="1909" t="s">
        <v>3690</v>
      </c>
      <c r="V400" s="1909" t="s">
        <v>3708</v>
      </c>
      <c r="W400" s="1909" t="s">
        <v>3688</v>
      </c>
      <c r="X400" s="1909" t="s">
        <v>3726</v>
      </c>
      <c r="Y400" s="1909" t="s">
        <v>3727</v>
      </c>
      <c r="Z400" s="1909"/>
      <c r="AA400" s="1909" t="s">
        <v>3694</v>
      </c>
      <c r="AB400" s="1909" t="s">
        <v>3728</v>
      </c>
      <c r="AC400" s="1909" t="s">
        <v>3729</v>
      </c>
      <c r="AD400" s="2283" t="s">
        <v>3730</v>
      </c>
      <c r="AE400" s="2281"/>
      <c r="AF400" s="2282"/>
      <c r="AG400" s="2283" t="s">
        <v>3696</v>
      </c>
      <c r="AH400" s="2281"/>
      <c r="AI400" s="2282"/>
      <c r="AJ400" s="1909" t="s">
        <v>3731</v>
      </c>
      <c r="AK400" s="2283" t="s">
        <v>3732</v>
      </c>
      <c r="AL400" s="2281"/>
      <c r="AM400" s="2259"/>
      <c r="AN400" s="2281"/>
      <c r="AO400" s="2282"/>
      <c r="AP400" s="1909" t="s">
        <v>3699</v>
      </c>
      <c r="BC400" s="214"/>
      <c r="BD400" s="214"/>
      <c r="BE400" s="214"/>
      <c r="BF400" s="214"/>
    </row>
    <row r="401" spans="1:58" ht="45" hidden="1" customHeight="1">
      <c r="B401" s="2277"/>
      <c r="C401" s="2259"/>
      <c r="D401" s="2260"/>
      <c r="E401" s="1908" t="s">
        <v>3682</v>
      </c>
      <c r="F401" s="1908" t="s">
        <v>4458</v>
      </c>
      <c r="G401" s="1908"/>
      <c r="H401" s="2278" t="s">
        <v>4505</v>
      </c>
      <c r="I401" s="2259"/>
      <c r="J401" s="2260"/>
      <c r="K401" s="2278" t="s">
        <v>4615</v>
      </c>
      <c r="L401" s="2260"/>
      <c r="M401" s="1908" t="e">
        <f>VLOOKUP(K401,'Estimate Details'!$R:$BR,20,FALSE)</f>
        <v>#N/A</v>
      </c>
      <c r="N401" s="1908" t="e">
        <f>VLOOKUP(M401,#REF!,2,FALSE)</f>
        <v>#N/A</v>
      </c>
      <c r="O401" s="1908" t="s">
        <v>3725</v>
      </c>
      <c r="P401" s="2278" t="s">
        <v>3687</v>
      </c>
      <c r="Q401" s="2259"/>
      <c r="R401" s="2260"/>
      <c r="S401" s="1908" t="s">
        <v>3688</v>
      </c>
      <c r="T401" s="1908" t="s">
        <v>3689</v>
      </c>
      <c r="U401" s="1908" t="s">
        <v>3690</v>
      </c>
      <c r="V401" s="1908" t="s">
        <v>3708</v>
      </c>
      <c r="W401" s="1908" t="s">
        <v>3688</v>
      </c>
      <c r="X401" s="1908" t="s">
        <v>3726</v>
      </c>
      <c r="Y401" s="1908" t="s">
        <v>3727</v>
      </c>
      <c r="Z401" s="1908"/>
      <c r="AA401" s="1908" t="s">
        <v>3694</v>
      </c>
      <c r="AB401" s="1908" t="s">
        <v>3728</v>
      </c>
      <c r="AC401" s="1908" t="s">
        <v>3729</v>
      </c>
      <c r="AD401" s="2278" t="s">
        <v>3730</v>
      </c>
      <c r="AE401" s="2259"/>
      <c r="AF401" s="2260"/>
      <c r="AG401" s="2278" t="s">
        <v>3696</v>
      </c>
      <c r="AH401" s="2259"/>
      <c r="AI401" s="2260"/>
      <c r="AJ401" s="1908" t="s">
        <v>3731</v>
      </c>
      <c r="AK401" s="2278" t="s">
        <v>3732</v>
      </c>
      <c r="AL401" s="2259"/>
      <c r="AM401" s="2259"/>
      <c r="AN401" s="2259"/>
      <c r="AO401" s="2260"/>
      <c r="AP401" s="1908" t="s">
        <v>3699</v>
      </c>
      <c r="BC401" s="214"/>
      <c r="BD401" s="214"/>
      <c r="BE401" s="214"/>
      <c r="BF401" s="214"/>
    </row>
    <row r="402" spans="1:58" ht="45" hidden="1" customHeight="1">
      <c r="A402" s="808"/>
      <c r="B402" s="2280"/>
      <c r="C402" s="2281"/>
      <c r="D402" s="2282"/>
      <c r="E402" s="1909" t="s">
        <v>3682</v>
      </c>
      <c r="F402" s="1909" t="s">
        <v>4458</v>
      </c>
      <c r="G402" s="1909"/>
      <c r="H402" s="2283" t="s">
        <v>4505</v>
      </c>
      <c r="I402" s="2281"/>
      <c r="J402" s="2282"/>
      <c r="K402" s="2283" t="s">
        <v>4616</v>
      </c>
      <c r="L402" s="2282"/>
      <c r="M402" s="1909" t="e">
        <f>VLOOKUP(K402,'Estimate Details'!$R:$BR,20,FALSE)</f>
        <v>#N/A</v>
      </c>
      <c r="N402" s="1909" t="e">
        <f>VLOOKUP(M402,#REF!,2,FALSE)</f>
        <v>#N/A</v>
      </c>
      <c r="O402" s="1909" t="s">
        <v>3725</v>
      </c>
      <c r="P402" s="2284" t="s">
        <v>3687</v>
      </c>
      <c r="Q402" s="2281"/>
      <c r="R402" s="2282"/>
      <c r="S402" s="1909" t="s">
        <v>3688</v>
      </c>
      <c r="T402" s="1909" t="s">
        <v>3689</v>
      </c>
      <c r="U402" s="1909" t="s">
        <v>3690</v>
      </c>
      <c r="V402" s="1909" t="s">
        <v>3708</v>
      </c>
      <c r="W402" s="1909" t="s">
        <v>3688</v>
      </c>
      <c r="X402" s="1909" t="s">
        <v>3726</v>
      </c>
      <c r="Y402" s="1909" t="s">
        <v>3727</v>
      </c>
      <c r="Z402" s="1909"/>
      <c r="AA402" s="1909" t="s">
        <v>3694</v>
      </c>
      <c r="AB402" s="1909" t="s">
        <v>3728</v>
      </c>
      <c r="AC402" s="1909" t="s">
        <v>3729</v>
      </c>
      <c r="AD402" s="2283" t="s">
        <v>3730</v>
      </c>
      <c r="AE402" s="2281"/>
      <c r="AF402" s="2282"/>
      <c r="AG402" s="2283" t="s">
        <v>3696</v>
      </c>
      <c r="AH402" s="2281"/>
      <c r="AI402" s="2282"/>
      <c r="AJ402" s="1909" t="s">
        <v>3731</v>
      </c>
      <c r="AK402" s="2283" t="s">
        <v>3732</v>
      </c>
      <c r="AL402" s="2281"/>
      <c r="AM402" s="2259"/>
      <c r="AN402" s="2281"/>
      <c r="AO402" s="2282"/>
      <c r="AP402" s="1909" t="s">
        <v>3699</v>
      </c>
      <c r="BC402" s="214"/>
      <c r="BD402" s="214"/>
      <c r="BE402" s="214"/>
      <c r="BF402" s="214"/>
    </row>
    <row r="403" spans="1:58" ht="45" hidden="1" customHeight="1">
      <c r="B403" s="2277"/>
      <c r="C403" s="2259"/>
      <c r="D403" s="2260"/>
      <c r="E403" s="1908" t="s">
        <v>3682</v>
      </c>
      <c r="F403" s="1908" t="s">
        <v>4458</v>
      </c>
      <c r="G403" s="1908"/>
      <c r="H403" s="2278" t="s">
        <v>4505</v>
      </c>
      <c r="I403" s="2259"/>
      <c r="J403" s="2260"/>
      <c r="K403" s="2278" t="s">
        <v>4617</v>
      </c>
      <c r="L403" s="2260"/>
      <c r="M403" s="1908" t="e">
        <f>VLOOKUP(K403,'Estimate Details'!$R:$BR,20,FALSE)</f>
        <v>#N/A</v>
      </c>
      <c r="N403" s="1908" t="e">
        <f>VLOOKUP(M403,#REF!,2,FALSE)</f>
        <v>#N/A</v>
      </c>
      <c r="O403" s="1908" t="s">
        <v>3725</v>
      </c>
      <c r="P403" s="2278" t="s">
        <v>3687</v>
      </c>
      <c r="Q403" s="2259"/>
      <c r="R403" s="2260"/>
      <c r="S403" s="1908" t="s">
        <v>3688</v>
      </c>
      <c r="T403" s="1908" t="s">
        <v>3689</v>
      </c>
      <c r="U403" s="1908" t="s">
        <v>3690</v>
      </c>
      <c r="V403" s="1908" t="s">
        <v>3708</v>
      </c>
      <c r="W403" s="1908" t="s">
        <v>3688</v>
      </c>
      <c r="X403" s="1908" t="s">
        <v>3726</v>
      </c>
      <c r="Y403" s="1908" t="s">
        <v>3727</v>
      </c>
      <c r="Z403" s="1908"/>
      <c r="AA403" s="1908" t="s">
        <v>3694</v>
      </c>
      <c r="AB403" s="1908" t="s">
        <v>3728</v>
      </c>
      <c r="AC403" s="1908" t="s">
        <v>3729</v>
      </c>
      <c r="AD403" s="2278" t="s">
        <v>3730</v>
      </c>
      <c r="AE403" s="2259"/>
      <c r="AF403" s="2260"/>
      <c r="AG403" s="2278" t="s">
        <v>3696</v>
      </c>
      <c r="AH403" s="2259"/>
      <c r="AI403" s="2260"/>
      <c r="AJ403" s="1908" t="s">
        <v>3731</v>
      </c>
      <c r="AK403" s="2278" t="s">
        <v>3732</v>
      </c>
      <c r="AL403" s="2259"/>
      <c r="AM403" s="2259"/>
      <c r="AN403" s="2259"/>
      <c r="AO403" s="2260"/>
      <c r="AP403" s="1908" t="s">
        <v>3699</v>
      </c>
      <c r="BC403" s="214"/>
      <c r="BD403" s="214"/>
      <c r="BE403" s="214"/>
      <c r="BF403" s="214"/>
    </row>
    <row r="404" spans="1:58" ht="45" hidden="1" customHeight="1">
      <c r="A404" s="808"/>
      <c r="B404" s="2280"/>
      <c r="C404" s="2281"/>
      <c r="D404" s="2282"/>
      <c r="E404" s="1909" t="s">
        <v>3682</v>
      </c>
      <c r="F404" s="1909" t="s">
        <v>4458</v>
      </c>
      <c r="G404" s="1909"/>
      <c r="H404" s="2283" t="s">
        <v>4505</v>
      </c>
      <c r="I404" s="2281"/>
      <c r="J404" s="2282"/>
      <c r="K404" s="2283" t="s">
        <v>4618</v>
      </c>
      <c r="L404" s="2282"/>
      <c r="M404" s="1909" t="e">
        <f>VLOOKUP(K404,'Estimate Details'!$R:$BR,20,FALSE)</f>
        <v>#N/A</v>
      </c>
      <c r="N404" s="1909" t="e">
        <f>VLOOKUP(M404,#REF!,2,FALSE)</f>
        <v>#N/A</v>
      </c>
      <c r="O404" s="1909" t="s">
        <v>3725</v>
      </c>
      <c r="P404" s="2284" t="s">
        <v>3687</v>
      </c>
      <c r="Q404" s="2281"/>
      <c r="R404" s="2282"/>
      <c r="S404" s="1909" t="s">
        <v>3688</v>
      </c>
      <c r="T404" s="1909" t="s">
        <v>3689</v>
      </c>
      <c r="U404" s="1909" t="s">
        <v>3690</v>
      </c>
      <c r="V404" s="1909" t="s">
        <v>3708</v>
      </c>
      <c r="W404" s="1909" t="s">
        <v>3688</v>
      </c>
      <c r="X404" s="1909" t="s">
        <v>3726</v>
      </c>
      <c r="Y404" s="1909" t="s">
        <v>3727</v>
      </c>
      <c r="Z404" s="1909"/>
      <c r="AA404" s="1909" t="s">
        <v>3694</v>
      </c>
      <c r="AB404" s="1909" t="s">
        <v>3728</v>
      </c>
      <c r="AC404" s="1909" t="s">
        <v>3729</v>
      </c>
      <c r="AD404" s="2283" t="s">
        <v>3730</v>
      </c>
      <c r="AE404" s="2281"/>
      <c r="AF404" s="2282"/>
      <c r="AG404" s="2283" t="s">
        <v>3696</v>
      </c>
      <c r="AH404" s="2281"/>
      <c r="AI404" s="2282"/>
      <c r="AJ404" s="1909" t="s">
        <v>3731</v>
      </c>
      <c r="AK404" s="2283" t="s">
        <v>3732</v>
      </c>
      <c r="AL404" s="2281"/>
      <c r="AM404" s="2259"/>
      <c r="AN404" s="2281"/>
      <c r="AO404" s="2282"/>
      <c r="AP404" s="1909" t="s">
        <v>3699</v>
      </c>
      <c r="BC404" s="214"/>
      <c r="BD404" s="214"/>
      <c r="BE404" s="214"/>
      <c r="BF404" s="214"/>
    </row>
    <row r="405" spans="1:58" ht="45" hidden="1" customHeight="1">
      <c r="B405" s="2277"/>
      <c r="C405" s="2259"/>
      <c r="D405" s="2260"/>
      <c r="E405" s="1908" t="s">
        <v>3682</v>
      </c>
      <c r="F405" s="1908" t="s">
        <v>4458</v>
      </c>
      <c r="G405" s="1908"/>
      <c r="H405" s="2278" t="s">
        <v>4505</v>
      </c>
      <c r="I405" s="2259"/>
      <c r="J405" s="2260"/>
      <c r="K405" s="2278" t="s">
        <v>4619</v>
      </c>
      <c r="L405" s="2260"/>
      <c r="M405" s="1908" t="e">
        <f>VLOOKUP(K405,'Estimate Details'!$R:$BR,20,FALSE)</f>
        <v>#N/A</v>
      </c>
      <c r="N405" s="1908" t="e">
        <f>VLOOKUP(M405,#REF!,2,FALSE)</f>
        <v>#N/A</v>
      </c>
      <c r="O405" s="1908" t="s">
        <v>3725</v>
      </c>
      <c r="P405" s="2278" t="s">
        <v>3687</v>
      </c>
      <c r="Q405" s="2259"/>
      <c r="R405" s="2260"/>
      <c r="S405" s="1908" t="s">
        <v>3688</v>
      </c>
      <c r="T405" s="1908" t="s">
        <v>3689</v>
      </c>
      <c r="U405" s="1908" t="s">
        <v>3690</v>
      </c>
      <c r="V405" s="1908" t="s">
        <v>3708</v>
      </c>
      <c r="W405" s="1908" t="s">
        <v>3688</v>
      </c>
      <c r="X405" s="1908" t="s">
        <v>3726</v>
      </c>
      <c r="Y405" s="1908" t="s">
        <v>3727</v>
      </c>
      <c r="Z405" s="1908"/>
      <c r="AA405" s="1908" t="s">
        <v>3694</v>
      </c>
      <c r="AB405" s="1908" t="s">
        <v>3728</v>
      </c>
      <c r="AC405" s="1908" t="s">
        <v>3729</v>
      </c>
      <c r="AD405" s="2278" t="s">
        <v>3730</v>
      </c>
      <c r="AE405" s="2259"/>
      <c r="AF405" s="2260"/>
      <c r="AG405" s="2278" t="s">
        <v>3696</v>
      </c>
      <c r="AH405" s="2259"/>
      <c r="AI405" s="2260"/>
      <c r="AJ405" s="1908" t="s">
        <v>3731</v>
      </c>
      <c r="AK405" s="2278" t="s">
        <v>3732</v>
      </c>
      <c r="AL405" s="2259"/>
      <c r="AM405" s="2259"/>
      <c r="AN405" s="2259"/>
      <c r="AO405" s="2260"/>
      <c r="AP405" s="1908" t="s">
        <v>3699</v>
      </c>
      <c r="BC405" s="214"/>
      <c r="BD405" s="214"/>
      <c r="BE405" s="214"/>
      <c r="BF405" s="214"/>
    </row>
    <row r="406" spans="1:58" ht="45" hidden="1" customHeight="1">
      <c r="A406" s="808"/>
      <c r="B406" s="2280"/>
      <c r="C406" s="2281"/>
      <c r="D406" s="2282"/>
      <c r="E406" s="1909" t="s">
        <v>3682</v>
      </c>
      <c r="F406" s="1909" t="s">
        <v>4458</v>
      </c>
      <c r="G406" s="1909"/>
      <c r="H406" s="2283" t="s">
        <v>4505</v>
      </c>
      <c r="I406" s="2281"/>
      <c r="J406" s="2282"/>
      <c r="K406" s="2283" t="s">
        <v>4620</v>
      </c>
      <c r="L406" s="2282"/>
      <c r="M406" s="1909" t="e">
        <f>VLOOKUP(K406,'Estimate Details'!$R:$BR,20,FALSE)</f>
        <v>#N/A</v>
      </c>
      <c r="N406" s="1909" t="e">
        <f>VLOOKUP(M406,#REF!,2,FALSE)</f>
        <v>#N/A</v>
      </c>
      <c r="O406" s="1909" t="s">
        <v>3725</v>
      </c>
      <c r="P406" s="2284" t="s">
        <v>3687</v>
      </c>
      <c r="Q406" s="2281"/>
      <c r="R406" s="2282"/>
      <c r="S406" s="1909" t="s">
        <v>3688</v>
      </c>
      <c r="T406" s="1909" t="s">
        <v>3689</v>
      </c>
      <c r="U406" s="1909" t="s">
        <v>3690</v>
      </c>
      <c r="V406" s="1909" t="s">
        <v>3708</v>
      </c>
      <c r="W406" s="1909" t="s">
        <v>3688</v>
      </c>
      <c r="X406" s="1909" t="s">
        <v>3726</v>
      </c>
      <c r="Y406" s="1909" t="s">
        <v>3727</v>
      </c>
      <c r="Z406" s="1909"/>
      <c r="AA406" s="1909" t="s">
        <v>3694</v>
      </c>
      <c r="AB406" s="1909" t="s">
        <v>3728</v>
      </c>
      <c r="AC406" s="1909" t="s">
        <v>3729</v>
      </c>
      <c r="AD406" s="2283" t="s">
        <v>3730</v>
      </c>
      <c r="AE406" s="2281"/>
      <c r="AF406" s="2282"/>
      <c r="AG406" s="2283" t="s">
        <v>3696</v>
      </c>
      <c r="AH406" s="2281"/>
      <c r="AI406" s="2282"/>
      <c r="AJ406" s="1909" t="s">
        <v>3731</v>
      </c>
      <c r="AK406" s="2283" t="s">
        <v>3732</v>
      </c>
      <c r="AL406" s="2281"/>
      <c r="AM406" s="2259"/>
      <c r="AN406" s="2281"/>
      <c r="AO406" s="2282"/>
      <c r="AP406" s="1909" t="s">
        <v>3699</v>
      </c>
      <c r="BC406" s="214"/>
      <c r="BD406" s="214"/>
      <c r="BE406" s="214"/>
      <c r="BF406" s="214"/>
    </row>
    <row r="407" spans="1:58" ht="45" hidden="1" customHeight="1">
      <c r="B407" s="2277"/>
      <c r="C407" s="2259"/>
      <c r="D407" s="2260"/>
      <c r="E407" s="1908" t="s">
        <v>3682</v>
      </c>
      <c r="F407" s="1908" t="s">
        <v>4458</v>
      </c>
      <c r="G407" s="1908"/>
      <c r="H407" s="2278" t="s">
        <v>4505</v>
      </c>
      <c r="I407" s="2259"/>
      <c r="J407" s="2260"/>
      <c r="K407" s="2278" t="s">
        <v>4621</v>
      </c>
      <c r="L407" s="2260"/>
      <c r="M407" s="1908" t="e">
        <f>VLOOKUP(K407,'Estimate Details'!$R:$BR,20,FALSE)</f>
        <v>#N/A</v>
      </c>
      <c r="N407" s="1908" t="e">
        <f>VLOOKUP(M407,#REF!,2,FALSE)</f>
        <v>#N/A</v>
      </c>
      <c r="O407" s="1908" t="s">
        <v>3725</v>
      </c>
      <c r="P407" s="2278" t="s">
        <v>3687</v>
      </c>
      <c r="Q407" s="2259"/>
      <c r="R407" s="2260"/>
      <c r="S407" s="1908" t="s">
        <v>3688</v>
      </c>
      <c r="T407" s="1908" t="s">
        <v>3689</v>
      </c>
      <c r="U407" s="1908" t="s">
        <v>3690</v>
      </c>
      <c r="V407" s="1908" t="s">
        <v>3708</v>
      </c>
      <c r="W407" s="1908" t="s">
        <v>3688</v>
      </c>
      <c r="X407" s="1908" t="s">
        <v>3726</v>
      </c>
      <c r="Y407" s="1908" t="s">
        <v>3727</v>
      </c>
      <c r="Z407" s="1908"/>
      <c r="AA407" s="1908" t="s">
        <v>3694</v>
      </c>
      <c r="AB407" s="1908" t="s">
        <v>3728</v>
      </c>
      <c r="AC407" s="1908" t="s">
        <v>3729</v>
      </c>
      <c r="AD407" s="2278" t="s">
        <v>3730</v>
      </c>
      <c r="AE407" s="2259"/>
      <c r="AF407" s="2260"/>
      <c r="AG407" s="2278" t="s">
        <v>3696</v>
      </c>
      <c r="AH407" s="2259"/>
      <c r="AI407" s="2260"/>
      <c r="AJ407" s="1908" t="s">
        <v>3731</v>
      </c>
      <c r="AK407" s="2278" t="s">
        <v>3732</v>
      </c>
      <c r="AL407" s="2259"/>
      <c r="AM407" s="2259"/>
      <c r="AN407" s="2259"/>
      <c r="AO407" s="2260"/>
      <c r="AP407" s="1908" t="s">
        <v>3699</v>
      </c>
      <c r="BC407" s="214"/>
      <c r="BD407" s="214"/>
      <c r="BE407" s="214"/>
      <c r="BF407" s="214"/>
    </row>
    <row r="408" spans="1:58" ht="45" hidden="1" customHeight="1">
      <c r="A408" s="808"/>
      <c r="B408" s="2280"/>
      <c r="C408" s="2281"/>
      <c r="D408" s="2282"/>
      <c r="E408" s="1909" t="s">
        <v>3682</v>
      </c>
      <c r="F408" s="1909" t="s">
        <v>4458</v>
      </c>
      <c r="G408" s="1909"/>
      <c r="H408" s="2283" t="s">
        <v>4505</v>
      </c>
      <c r="I408" s="2281"/>
      <c r="J408" s="2282"/>
      <c r="K408" s="2283" t="s">
        <v>4622</v>
      </c>
      <c r="L408" s="2282"/>
      <c r="M408" s="1909" t="e">
        <f>VLOOKUP(K408,'Estimate Details'!$R:$BR,20,FALSE)</f>
        <v>#N/A</v>
      </c>
      <c r="N408" s="1909" t="e">
        <f>VLOOKUP(M408,#REF!,2,FALSE)</f>
        <v>#N/A</v>
      </c>
      <c r="O408" s="1909" t="s">
        <v>3725</v>
      </c>
      <c r="P408" s="2284" t="s">
        <v>3687</v>
      </c>
      <c r="Q408" s="2281"/>
      <c r="R408" s="2282"/>
      <c r="S408" s="1909" t="s">
        <v>3688</v>
      </c>
      <c r="T408" s="1909" t="s">
        <v>3689</v>
      </c>
      <c r="U408" s="1909" t="s">
        <v>3690</v>
      </c>
      <c r="V408" s="1909" t="s">
        <v>3708</v>
      </c>
      <c r="W408" s="1909" t="s">
        <v>3688</v>
      </c>
      <c r="X408" s="1909" t="s">
        <v>3726</v>
      </c>
      <c r="Y408" s="1909" t="s">
        <v>3727</v>
      </c>
      <c r="Z408" s="1909"/>
      <c r="AA408" s="1909" t="s">
        <v>3694</v>
      </c>
      <c r="AB408" s="1909" t="s">
        <v>3728</v>
      </c>
      <c r="AC408" s="1909" t="s">
        <v>3729</v>
      </c>
      <c r="AD408" s="2283" t="s">
        <v>3730</v>
      </c>
      <c r="AE408" s="2281"/>
      <c r="AF408" s="2282"/>
      <c r="AG408" s="2283" t="s">
        <v>3696</v>
      </c>
      <c r="AH408" s="2281"/>
      <c r="AI408" s="2282"/>
      <c r="AJ408" s="1909" t="s">
        <v>3731</v>
      </c>
      <c r="AK408" s="2283" t="s">
        <v>3732</v>
      </c>
      <c r="AL408" s="2281"/>
      <c r="AM408" s="2259"/>
      <c r="AN408" s="2281"/>
      <c r="AO408" s="2282"/>
      <c r="AP408" s="1909" t="s">
        <v>3699</v>
      </c>
      <c r="BC408" s="214"/>
      <c r="BD408" s="214"/>
      <c r="BE408" s="214"/>
      <c r="BF408" s="214"/>
    </row>
    <row r="409" spans="1:58" ht="45" hidden="1" customHeight="1">
      <c r="B409" s="2277"/>
      <c r="C409" s="2259"/>
      <c r="D409" s="2260"/>
      <c r="E409" s="1908" t="s">
        <v>3682</v>
      </c>
      <c r="F409" s="1908" t="s">
        <v>4458</v>
      </c>
      <c r="G409" s="1908"/>
      <c r="H409" s="2278" t="s">
        <v>4505</v>
      </c>
      <c r="I409" s="2259"/>
      <c r="J409" s="2260"/>
      <c r="K409" s="2278" t="s">
        <v>4623</v>
      </c>
      <c r="L409" s="2260"/>
      <c r="M409" s="1908" t="e">
        <f>VLOOKUP(K409,'Estimate Details'!$R:$BR,20,FALSE)</f>
        <v>#N/A</v>
      </c>
      <c r="N409" s="1908" t="e">
        <f>VLOOKUP(M409,#REF!,2,FALSE)</f>
        <v>#N/A</v>
      </c>
      <c r="O409" s="1908" t="s">
        <v>3725</v>
      </c>
      <c r="P409" s="2278" t="s">
        <v>3687</v>
      </c>
      <c r="Q409" s="2259"/>
      <c r="R409" s="2260"/>
      <c r="S409" s="1908" t="s">
        <v>3688</v>
      </c>
      <c r="T409" s="1908" t="s">
        <v>3689</v>
      </c>
      <c r="U409" s="1908" t="s">
        <v>3690</v>
      </c>
      <c r="V409" s="1908" t="s">
        <v>3708</v>
      </c>
      <c r="W409" s="1908" t="s">
        <v>3688</v>
      </c>
      <c r="X409" s="1908" t="s">
        <v>3726</v>
      </c>
      <c r="Y409" s="1908" t="s">
        <v>3727</v>
      </c>
      <c r="Z409" s="1908"/>
      <c r="AA409" s="1908" t="s">
        <v>3694</v>
      </c>
      <c r="AB409" s="1908" t="s">
        <v>3728</v>
      </c>
      <c r="AC409" s="1908" t="s">
        <v>3729</v>
      </c>
      <c r="AD409" s="2278" t="s">
        <v>3730</v>
      </c>
      <c r="AE409" s="2259"/>
      <c r="AF409" s="2260"/>
      <c r="AG409" s="2278" t="s">
        <v>3696</v>
      </c>
      <c r="AH409" s="2259"/>
      <c r="AI409" s="2260"/>
      <c r="AJ409" s="1908" t="s">
        <v>3731</v>
      </c>
      <c r="AK409" s="2278" t="s">
        <v>3732</v>
      </c>
      <c r="AL409" s="2259"/>
      <c r="AM409" s="2259"/>
      <c r="AN409" s="2259"/>
      <c r="AO409" s="2260"/>
      <c r="AP409" s="1908" t="s">
        <v>3699</v>
      </c>
      <c r="BC409" s="214"/>
      <c r="BD409" s="214"/>
      <c r="BE409" s="214"/>
      <c r="BF409" s="214"/>
    </row>
    <row r="410" spans="1:58" ht="45" hidden="1" customHeight="1">
      <c r="A410" s="808"/>
      <c r="B410" s="2280"/>
      <c r="C410" s="2281"/>
      <c r="D410" s="2282"/>
      <c r="E410" s="1909" t="s">
        <v>3682</v>
      </c>
      <c r="F410" s="1909" t="s">
        <v>4458</v>
      </c>
      <c r="G410" s="1909"/>
      <c r="H410" s="2283" t="s">
        <v>4624</v>
      </c>
      <c r="I410" s="2281"/>
      <c r="J410" s="2282"/>
      <c r="K410" s="2283" t="s">
        <v>4625</v>
      </c>
      <c r="L410" s="2282"/>
      <c r="M410" s="1909" t="e">
        <f>VLOOKUP(K410,'Estimate Details'!$R:$BR,20,FALSE)</f>
        <v>#N/A</v>
      </c>
      <c r="N410" s="1909" t="e">
        <f>VLOOKUP(M410,#REF!,2,FALSE)</f>
        <v>#N/A</v>
      </c>
      <c r="O410" s="1909" t="s">
        <v>4626</v>
      </c>
      <c r="P410" s="2284" t="s">
        <v>3687</v>
      </c>
      <c r="Q410" s="2281"/>
      <c r="R410" s="2282"/>
      <c r="S410" s="1909" t="s">
        <v>3688</v>
      </c>
      <c r="T410" s="1909" t="s">
        <v>3689</v>
      </c>
      <c r="U410" s="1909" t="s">
        <v>3690</v>
      </c>
      <c r="V410" s="1909" t="s">
        <v>3691</v>
      </c>
      <c r="W410" s="1909" t="s">
        <v>3688</v>
      </c>
      <c r="X410" s="1909"/>
      <c r="Y410" s="1909"/>
      <c r="Z410" s="1909"/>
      <c r="AA410" s="1909" t="s">
        <v>3694</v>
      </c>
      <c r="AB410" s="1909" t="s">
        <v>3768</v>
      </c>
      <c r="AC410" s="1909" t="s">
        <v>3696</v>
      </c>
      <c r="AD410" s="2283" t="s">
        <v>3769</v>
      </c>
      <c r="AE410" s="2281"/>
      <c r="AF410" s="2282"/>
      <c r="AG410" s="2283" t="s">
        <v>3696</v>
      </c>
      <c r="AH410" s="2281"/>
      <c r="AI410" s="2282"/>
      <c r="AJ410" s="1909" t="s">
        <v>3770</v>
      </c>
      <c r="AK410" s="2283" t="s">
        <v>3771</v>
      </c>
      <c r="AL410" s="2281"/>
      <c r="AM410" s="2259"/>
      <c r="AN410" s="2281"/>
      <c r="AO410" s="2282"/>
      <c r="AP410" s="1909" t="s">
        <v>3699</v>
      </c>
      <c r="BC410" s="214"/>
      <c r="BD410" s="214"/>
      <c r="BE410" s="214"/>
      <c r="BF410" s="214"/>
    </row>
    <row r="411" spans="1:58" ht="45" hidden="1" customHeight="1">
      <c r="B411" s="2277"/>
      <c r="C411" s="2259"/>
      <c r="D411" s="2260"/>
      <c r="E411" s="1908" t="s">
        <v>3682</v>
      </c>
      <c r="F411" s="1908" t="s">
        <v>4458</v>
      </c>
      <c r="G411" s="1908"/>
      <c r="H411" s="2278" t="s">
        <v>4624</v>
      </c>
      <c r="I411" s="2259"/>
      <c r="J411" s="2260"/>
      <c r="K411" s="2278" t="s">
        <v>4627</v>
      </c>
      <c r="L411" s="2260"/>
      <c r="M411" s="1908" t="e">
        <f>VLOOKUP(K411,'Estimate Details'!$R:$BR,20,FALSE)</f>
        <v>#N/A</v>
      </c>
      <c r="N411" s="1908" t="e">
        <f>VLOOKUP(M411,#REF!,2,FALSE)</f>
        <v>#N/A</v>
      </c>
      <c r="O411" s="1908" t="s">
        <v>4626</v>
      </c>
      <c r="P411" s="2278" t="s">
        <v>3687</v>
      </c>
      <c r="Q411" s="2259"/>
      <c r="R411" s="2260"/>
      <c r="S411" s="1908" t="s">
        <v>3688</v>
      </c>
      <c r="T411" s="1908" t="s">
        <v>3689</v>
      </c>
      <c r="U411" s="1908" t="s">
        <v>3690</v>
      </c>
      <c r="V411" s="1908" t="s">
        <v>3691</v>
      </c>
      <c r="W411" s="1908" t="s">
        <v>3688</v>
      </c>
      <c r="X411" s="1908"/>
      <c r="Y411" s="1908"/>
      <c r="Z411" s="1908"/>
      <c r="AA411" s="1908" t="s">
        <v>3694</v>
      </c>
      <c r="AB411" s="1908" t="s">
        <v>1</v>
      </c>
      <c r="AC411" s="1908" t="s">
        <v>3696</v>
      </c>
      <c r="AD411" s="2278" t="s">
        <v>3773</v>
      </c>
      <c r="AE411" s="2259"/>
      <c r="AF411" s="2260"/>
      <c r="AG411" s="2278" t="s">
        <v>3696</v>
      </c>
      <c r="AH411" s="2259"/>
      <c r="AI411" s="2260"/>
      <c r="AJ411" s="1908" t="s">
        <v>3770</v>
      </c>
      <c r="AK411" s="2278" t="s">
        <v>3774</v>
      </c>
      <c r="AL411" s="2259"/>
      <c r="AM411" s="2259"/>
      <c r="AN411" s="2259"/>
      <c r="AO411" s="2260"/>
      <c r="AP411" s="1908" t="s">
        <v>3699</v>
      </c>
      <c r="BC411" s="214"/>
      <c r="BD411" s="214"/>
      <c r="BE411" s="214"/>
      <c r="BF411" s="214"/>
    </row>
    <row r="412" spans="1:58" ht="45" hidden="1" customHeight="1">
      <c r="A412" s="808"/>
      <c r="B412" s="2280"/>
      <c r="C412" s="2281"/>
      <c r="D412" s="2282"/>
      <c r="E412" s="1909" t="s">
        <v>3682</v>
      </c>
      <c r="F412" s="1909" t="s">
        <v>4458</v>
      </c>
      <c r="G412" s="1909"/>
      <c r="H412" s="2283" t="s">
        <v>4624</v>
      </c>
      <c r="I412" s="2281"/>
      <c r="J412" s="2282"/>
      <c r="K412" s="2283" t="s">
        <v>4628</v>
      </c>
      <c r="L412" s="2282"/>
      <c r="M412" s="1909" t="e">
        <f>VLOOKUP(K412,'Estimate Details'!$R:$BR,20,FALSE)</f>
        <v>#N/A</v>
      </c>
      <c r="N412" s="1909" t="e">
        <f>VLOOKUP(M412,#REF!,2,FALSE)</f>
        <v>#N/A</v>
      </c>
      <c r="O412" s="1909" t="s">
        <v>3789</v>
      </c>
      <c r="P412" s="2284" t="s">
        <v>3687</v>
      </c>
      <c r="Q412" s="2281"/>
      <c r="R412" s="2282"/>
      <c r="S412" s="1909" t="s">
        <v>3688</v>
      </c>
      <c r="T412" s="1909" t="s">
        <v>3689</v>
      </c>
      <c r="U412" s="1909" t="s">
        <v>3690</v>
      </c>
      <c r="V412" s="1909" t="s">
        <v>3691</v>
      </c>
      <c r="W412" s="1909" t="s">
        <v>3688</v>
      </c>
      <c r="X412" s="1909"/>
      <c r="Y412" s="1909"/>
      <c r="Z412" s="1909"/>
      <c r="AA412" s="1909" t="s">
        <v>3694</v>
      </c>
      <c r="AB412" s="1909" t="s">
        <v>3790</v>
      </c>
      <c r="AC412" s="1909" t="s">
        <v>3696</v>
      </c>
      <c r="AD412" s="2283" t="s">
        <v>3791</v>
      </c>
      <c r="AE412" s="2281"/>
      <c r="AF412" s="2282"/>
      <c r="AG412" s="2283" t="s">
        <v>4629</v>
      </c>
      <c r="AH412" s="2281"/>
      <c r="AI412" s="2282"/>
      <c r="AJ412" s="1909" t="s">
        <v>3770</v>
      </c>
      <c r="AK412" s="2283" t="s">
        <v>3793</v>
      </c>
      <c r="AL412" s="2281"/>
      <c r="AM412" s="2259"/>
      <c r="AN412" s="2281"/>
      <c r="AO412" s="2282"/>
      <c r="AP412" s="1909" t="s">
        <v>3699</v>
      </c>
      <c r="BC412" s="214"/>
      <c r="BD412" s="214"/>
      <c r="BE412" s="214"/>
      <c r="BF412" s="214"/>
    </row>
    <row r="413" spans="1:58" ht="45" hidden="1" customHeight="1">
      <c r="B413" s="2277"/>
      <c r="C413" s="2259"/>
      <c r="D413" s="2260"/>
      <c r="E413" s="1908" t="s">
        <v>3682</v>
      </c>
      <c r="F413" s="1908" t="s">
        <v>4458</v>
      </c>
      <c r="G413" s="1908"/>
      <c r="H413" s="2278" t="s">
        <v>4624</v>
      </c>
      <c r="I413" s="2259"/>
      <c r="J413" s="2260"/>
      <c r="K413" s="2278" t="s">
        <v>4630</v>
      </c>
      <c r="L413" s="2260"/>
      <c r="M413" s="1908" t="e">
        <f>VLOOKUP(K413,'Estimate Details'!$R:$BR,20,FALSE)</f>
        <v>#N/A</v>
      </c>
      <c r="N413" s="1908" t="e">
        <f>VLOOKUP(M413,#REF!,2,FALSE)</f>
        <v>#N/A</v>
      </c>
      <c r="O413" s="1908" t="s">
        <v>4631</v>
      </c>
      <c r="P413" s="2278" t="s">
        <v>3687</v>
      </c>
      <c r="Q413" s="2259"/>
      <c r="R413" s="2260"/>
      <c r="S413" s="1908" t="s">
        <v>3688</v>
      </c>
      <c r="T413" s="1908" t="s">
        <v>3689</v>
      </c>
      <c r="U413" s="1908" t="s">
        <v>3690</v>
      </c>
      <c r="V413" s="1908" t="s">
        <v>3691</v>
      </c>
      <c r="W413" s="1908" t="s">
        <v>3688</v>
      </c>
      <c r="X413" s="1908"/>
      <c r="Y413" s="1908"/>
      <c r="Z413" s="1908"/>
      <c r="AA413" s="1908" t="s">
        <v>3694</v>
      </c>
      <c r="AB413" s="1908" t="s">
        <v>3688</v>
      </c>
      <c r="AC413" s="1908" t="s">
        <v>3696</v>
      </c>
      <c r="AD413" s="2278" t="s">
        <v>3913</v>
      </c>
      <c r="AE413" s="2259"/>
      <c r="AF413" s="2260"/>
      <c r="AG413" s="2278" t="s">
        <v>3696</v>
      </c>
      <c r="AH413" s="2259"/>
      <c r="AI413" s="2260"/>
      <c r="AJ413" s="1908" t="s">
        <v>3914</v>
      </c>
      <c r="AK413" s="2278" t="s">
        <v>3915</v>
      </c>
      <c r="AL413" s="2259"/>
      <c r="AM413" s="2259"/>
      <c r="AN413" s="2259"/>
      <c r="AO413" s="2260"/>
      <c r="AP413" s="1908" t="s">
        <v>3699</v>
      </c>
      <c r="BC413" s="214"/>
      <c r="BD413" s="214"/>
      <c r="BE413" s="214"/>
      <c r="BF413" s="214"/>
    </row>
    <row r="414" spans="1:58" ht="45" hidden="1" customHeight="1">
      <c r="A414" s="808"/>
      <c r="B414" s="2280"/>
      <c r="C414" s="2281"/>
      <c r="D414" s="2282"/>
      <c r="E414" s="1909" t="s">
        <v>3682</v>
      </c>
      <c r="F414" s="1909" t="s">
        <v>4458</v>
      </c>
      <c r="G414" s="1909"/>
      <c r="H414" s="2283" t="s">
        <v>4624</v>
      </c>
      <c r="I414" s="2281"/>
      <c r="J414" s="2282"/>
      <c r="K414" s="2283" t="s">
        <v>4632</v>
      </c>
      <c r="L414" s="2282"/>
      <c r="M414" s="1909" t="e">
        <f>VLOOKUP(K414,'Estimate Details'!$R:$BR,20,FALSE)</f>
        <v>#N/A</v>
      </c>
      <c r="N414" s="1909" t="e">
        <f>VLOOKUP(M414,#REF!,2,FALSE)</f>
        <v>#N/A</v>
      </c>
      <c r="O414" s="1909" t="s">
        <v>4631</v>
      </c>
      <c r="P414" s="2284" t="s">
        <v>3687</v>
      </c>
      <c r="Q414" s="2281"/>
      <c r="R414" s="2282"/>
      <c r="S414" s="1909" t="s">
        <v>3688</v>
      </c>
      <c r="T414" s="1909" t="s">
        <v>3689</v>
      </c>
      <c r="U414" s="1909" t="s">
        <v>3690</v>
      </c>
      <c r="V414" s="1909" t="s">
        <v>3691</v>
      </c>
      <c r="W414" s="1909" t="s">
        <v>3688</v>
      </c>
      <c r="X414" s="1909"/>
      <c r="Y414" s="1909"/>
      <c r="Z414" s="1909"/>
      <c r="AA414" s="1909" t="s">
        <v>3694</v>
      </c>
      <c r="AB414" s="1909" t="s">
        <v>3688</v>
      </c>
      <c r="AC414" s="1909" t="s">
        <v>3696</v>
      </c>
      <c r="AD414" s="2283" t="s">
        <v>3913</v>
      </c>
      <c r="AE414" s="2281"/>
      <c r="AF414" s="2282"/>
      <c r="AG414" s="2283" t="s">
        <v>3696</v>
      </c>
      <c r="AH414" s="2281"/>
      <c r="AI414" s="2282"/>
      <c r="AJ414" s="1909" t="s">
        <v>3914</v>
      </c>
      <c r="AK414" s="2283" t="s">
        <v>3915</v>
      </c>
      <c r="AL414" s="2281"/>
      <c r="AM414" s="2259"/>
      <c r="AN414" s="2281"/>
      <c r="AO414" s="2282"/>
      <c r="AP414" s="1909" t="s">
        <v>3699</v>
      </c>
      <c r="BC414" s="214"/>
      <c r="BD414" s="214"/>
      <c r="BE414" s="214"/>
      <c r="BF414" s="214"/>
    </row>
    <row r="415" spans="1:58" ht="45" hidden="1" customHeight="1">
      <c r="B415" s="2277"/>
      <c r="C415" s="2259"/>
      <c r="D415" s="2260"/>
      <c r="E415" s="1908" t="s">
        <v>3682</v>
      </c>
      <c r="F415" s="1908" t="s">
        <v>4458</v>
      </c>
      <c r="G415" s="1908"/>
      <c r="H415" s="2278" t="s">
        <v>4624</v>
      </c>
      <c r="I415" s="2259"/>
      <c r="J415" s="2260"/>
      <c r="K415" s="2278" t="s">
        <v>4633</v>
      </c>
      <c r="L415" s="2260"/>
      <c r="M415" s="1908" t="e">
        <f>VLOOKUP(K415,'Estimate Details'!$R:$BR,20,FALSE)</f>
        <v>#N/A</v>
      </c>
      <c r="N415" s="1908" t="e">
        <f>VLOOKUP(M415,#REF!,2,FALSE)</f>
        <v>#N/A</v>
      </c>
      <c r="O415" s="1908" t="s">
        <v>4634</v>
      </c>
      <c r="P415" s="2278" t="s">
        <v>3687</v>
      </c>
      <c r="Q415" s="2259"/>
      <c r="R415" s="2260"/>
      <c r="S415" s="1908" t="s">
        <v>3688</v>
      </c>
      <c r="T415" s="1908" t="s">
        <v>3689</v>
      </c>
      <c r="U415" s="1908" t="s">
        <v>3690</v>
      </c>
      <c r="V415" s="1908" t="s">
        <v>3708</v>
      </c>
      <c r="W415" s="1908" t="s">
        <v>3688</v>
      </c>
      <c r="X415" s="1908"/>
      <c r="Y415" s="1908" t="s">
        <v>4635</v>
      </c>
      <c r="Z415" s="1908"/>
      <c r="AA415" s="1908" t="s">
        <v>3694</v>
      </c>
      <c r="AB415" s="1908" t="s">
        <v>4636</v>
      </c>
      <c r="AC415" s="1908" t="s">
        <v>3696</v>
      </c>
      <c r="AD415" s="2278" t="s">
        <v>4637</v>
      </c>
      <c r="AE415" s="2259"/>
      <c r="AF415" s="2260"/>
      <c r="AG415" s="2278" t="s">
        <v>3696</v>
      </c>
      <c r="AH415" s="2259"/>
      <c r="AI415" s="2260"/>
      <c r="AJ415" s="1908" t="s">
        <v>3714</v>
      </c>
      <c r="AK415" s="2278" t="s">
        <v>4638</v>
      </c>
      <c r="AL415" s="2259"/>
      <c r="AM415" s="2259"/>
      <c r="AN415" s="2259"/>
      <c r="AO415" s="2260"/>
      <c r="AP415" s="1908" t="s">
        <v>3699</v>
      </c>
      <c r="BC415" s="214"/>
      <c r="BD415" s="214"/>
      <c r="BE415" s="214"/>
      <c r="BF415" s="214"/>
    </row>
    <row r="416" spans="1:58" ht="45" hidden="1" customHeight="1">
      <c r="A416" s="808"/>
      <c r="B416" s="2280"/>
      <c r="C416" s="2281"/>
      <c r="D416" s="2282"/>
      <c r="E416" s="1909" t="s">
        <v>3682</v>
      </c>
      <c r="F416" s="1909" t="s">
        <v>4458</v>
      </c>
      <c r="G416" s="1909"/>
      <c r="H416" s="2283" t="s">
        <v>4624</v>
      </c>
      <c r="I416" s="2281"/>
      <c r="J416" s="2282"/>
      <c r="K416" s="2283" t="s">
        <v>4639</v>
      </c>
      <c r="L416" s="2282"/>
      <c r="M416" s="1909" t="e">
        <f>VLOOKUP(K416,'Estimate Details'!$R:$BR,20,FALSE)</f>
        <v>#N/A</v>
      </c>
      <c r="N416" s="1909" t="e">
        <f>VLOOKUP(M416,#REF!,2,FALSE)</f>
        <v>#N/A</v>
      </c>
      <c r="O416" s="1909" t="s">
        <v>4640</v>
      </c>
      <c r="P416" s="2284" t="s">
        <v>3687</v>
      </c>
      <c r="Q416" s="2281"/>
      <c r="R416" s="2282"/>
      <c r="S416" s="1909" t="s">
        <v>3688</v>
      </c>
      <c r="T416" s="1909" t="s">
        <v>3689</v>
      </c>
      <c r="U416" s="1909" t="s">
        <v>3690</v>
      </c>
      <c r="V416" s="1909" t="s">
        <v>3708</v>
      </c>
      <c r="W416" s="1909" t="s">
        <v>3688</v>
      </c>
      <c r="X416" s="1909" t="s">
        <v>3777</v>
      </c>
      <c r="Y416" s="1909" t="s">
        <v>3778</v>
      </c>
      <c r="Z416" s="1909"/>
      <c r="AA416" s="1909" t="s">
        <v>3694</v>
      </c>
      <c r="AB416" s="1909" t="s">
        <v>3779</v>
      </c>
      <c r="AC416" s="1909" t="s">
        <v>3696</v>
      </c>
      <c r="AD416" s="2283" t="s">
        <v>3780</v>
      </c>
      <c r="AE416" s="2281"/>
      <c r="AF416" s="2282"/>
      <c r="AG416" s="2283" t="s">
        <v>3696</v>
      </c>
      <c r="AH416" s="2281"/>
      <c r="AI416" s="2282"/>
      <c r="AJ416" s="1909" t="s">
        <v>3714</v>
      </c>
      <c r="AK416" s="2283" t="s">
        <v>3781</v>
      </c>
      <c r="AL416" s="2281"/>
      <c r="AM416" s="2259"/>
      <c r="AN416" s="2281"/>
      <c r="AO416" s="2282"/>
      <c r="AP416" s="1909" t="s">
        <v>3699</v>
      </c>
      <c r="BC416" s="214"/>
      <c r="BD416" s="214"/>
      <c r="BE416" s="214"/>
      <c r="BF416" s="214"/>
    </row>
    <row r="417" spans="1:58" ht="45" hidden="1" customHeight="1">
      <c r="B417" s="2277"/>
      <c r="C417" s="2259"/>
      <c r="D417" s="2260"/>
      <c r="E417" s="1908" t="s">
        <v>3682</v>
      </c>
      <c r="F417" s="1908" t="s">
        <v>4458</v>
      </c>
      <c r="G417" s="1908"/>
      <c r="H417" s="2278" t="s">
        <v>4624</v>
      </c>
      <c r="I417" s="2259"/>
      <c r="J417" s="2260"/>
      <c r="K417" s="2278" t="s">
        <v>4641</v>
      </c>
      <c r="L417" s="2260"/>
      <c r="M417" s="1908" t="e">
        <f>VLOOKUP(K417,'Estimate Details'!$R:$BR,20,FALSE)</f>
        <v>#N/A</v>
      </c>
      <c r="N417" s="1908" t="e">
        <f>VLOOKUP(M417,#REF!,2,FALSE)</f>
        <v>#N/A</v>
      </c>
      <c r="O417" s="1908" t="s">
        <v>4642</v>
      </c>
      <c r="P417" s="2278" t="s">
        <v>3687</v>
      </c>
      <c r="Q417" s="2259"/>
      <c r="R417" s="2260"/>
      <c r="S417" s="1908" t="s">
        <v>3688</v>
      </c>
      <c r="T417" s="1908" t="s">
        <v>3706</v>
      </c>
      <c r="U417" s="1908" t="s">
        <v>3690</v>
      </c>
      <c r="V417" s="1908" t="s">
        <v>3708</v>
      </c>
      <c r="W417" s="1908" t="s">
        <v>3688</v>
      </c>
      <c r="X417" s="1908" t="s">
        <v>3784</v>
      </c>
      <c r="Y417" s="1908" t="s">
        <v>3785</v>
      </c>
      <c r="Z417" s="1908"/>
      <c r="AA417" s="1908" t="s">
        <v>3694</v>
      </c>
      <c r="AB417" s="1908" t="s">
        <v>3786</v>
      </c>
      <c r="AC417" s="1908" t="s">
        <v>3696</v>
      </c>
      <c r="AD417" s="2278" t="s">
        <v>1</v>
      </c>
      <c r="AE417" s="2259"/>
      <c r="AF417" s="2260"/>
      <c r="AG417" s="2278" t="s">
        <v>3696</v>
      </c>
      <c r="AH417" s="2259"/>
      <c r="AI417" s="2260"/>
      <c r="AJ417" s="1908" t="s">
        <v>3714</v>
      </c>
      <c r="AK417" s="2278" t="s">
        <v>3787</v>
      </c>
      <c r="AL417" s="2259"/>
      <c r="AM417" s="2259"/>
      <c r="AN417" s="2259"/>
      <c r="AO417" s="2260"/>
      <c r="AP417" s="1908" t="s">
        <v>3699</v>
      </c>
      <c r="BC417" s="214"/>
      <c r="BD417" s="214"/>
      <c r="BE417" s="214"/>
      <c r="BF417" s="214"/>
    </row>
    <row r="418" spans="1:58" ht="45" hidden="1" customHeight="1">
      <c r="A418" s="808"/>
      <c r="B418" s="2280"/>
      <c r="C418" s="2281"/>
      <c r="D418" s="2282"/>
      <c r="E418" s="1909" t="s">
        <v>3682</v>
      </c>
      <c r="F418" s="1909" t="s">
        <v>4458</v>
      </c>
      <c r="G418" s="1909"/>
      <c r="H418" s="2283" t="s">
        <v>4624</v>
      </c>
      <c r="I418" s="2281"/>
      <c r="J418" s="2282"/>
      <c r="K418" s="2283" t="s">
        <v>4643</v>
      </c>
      <c r="L418" s="2282"/>
      <c r="M418" s="1909" t="e">
        <f>VLOOKUP(K418,'Estimate Details'!$R:$BR,20,FALSE)</f>
        <v>#N/A</v>
      </c>
      <c r="N418" s="1909" t="e">
        <f>VLOOKUP(M418,#REF!,2,FALSE)</f>
        <v>#N/A</v>
      </c>
      <c r="O418" s="1909" t="s">
        <v>4644</v>
      </c>
      <c r="P418" s="2284" t="s">
        <v>3687</v>
      </c>
      <c r="Q418" s="2281"/>
      <c r="R418" s="2282"/>
      <c r="S418" s="1909" t="s">
        <v>3688</v>
      </c>
      <c r="T418" s="1909" t="s">
        <v>3689</v>
      </c>
      <c r="U418" s="1909" t="s">
        <v>3690</v>
      </c>
      <c r="V418" s="1909" t="s">
        <v>3708</v>
      </c>
      <c r="W418" s="1909" t="s">
        <v>3688</v>
      </c>
      <c r="X418" s="1909" t="s">
        <v>3744</v>
      </c>
      <c r="Y418" s="1909" t="s">
        <v>3745</v>
      </c>
      <c r="Z418" s="1909"/>
      <c r="AA418" s="1909" t="s">
        <v>3694</v>
      </c>
      <c r="AB418" s="1909" t="s">
        <v>3746</v>
      </c>
      <c r="AC418" s="1909" t="s">
        <v>3696</v>
      </c>
      <c r="AD418" s="2283" t="s">
        <v>4645</v>
      </c>
      <c r="AE418" s="2281"/>
      <c r="AF418" s="2282"/>
      <c r="AG418" s="2283" t="s">
        <v>3696</v>
      </c>
      <c r="AH418" s="2281"/>
      <c r="AI418" s="2282"/>
      <c r="AJ418" s="1909" t="s">
        <v>3714</v>
      </c>
      <c r="AK418" s="2283" t="s">
        <v>3748</v>
      </c>
      <c r="AL418" s="2281"/>
      <c r="AM418" s="2259"/>
      <c r="AN418" s="2281"/>
      <c r="AO418" s="2282"/>
      <c r="AP418" s="1909" t="s">
        <v>3699</v>
      </c>
      <c r="BC418" s="214"/>
      <c r="BD418" s="214"/>
      <c r="BE418" s="214"/>
      <c r="BF418" s="214"/>
    </row>
    <row r="419" spans="1:58" ht="45" hidden="1" customHeight="1">
      <c r="B419" s="2277"/>
      <c r="C419" s="2259"/>
      <c r="D419" s="2260"/>
      <c r="E419" s="1908" t="s">
        <v>3682</v>
      </c>
      <c r="F419" s="1908" t="s">
        <v>4458</v>
      </c>
      <c r="G419" s="1908"/>
      <c r="H419" s="2278" t="s">
        <v>4624</v>
      </c>
      <c r="I419" s="2259"/>
      <c r="J419" s="2260"/>
      <c r="K419" s="2278" t="s">
        <v>4646</v>
      </c>
      <c r="L419" s="2260"/>
      <c r="M419" s="1908" t="e">
        <f>VLOOKUP(K419,'Estimate Details'!$R:$BR,20,FALSE)</f>
        <v>#N/A</v>
      </c>
      <c r="N419" s="1908" t="e">
        <f>VLOOKUP(M419,#REF!,2,FALSE)</f>
        <v>#N/A</v>
      </c>
      <c r="O419" s="1908" t="s">
        <v>4644</v>
      </c>
      <c r="P419" s="2278" t="s">
        <v>3687</v>
      </c>
      <c r="Q419" s="2259"/>
      <c r="R419" s="2260"/>
      <c r="S419" s="1908" t="s">
        <v>3688</v>
      </c>
      <c r="T419" s="1908" t="s">
        <v>3689</v>
      </c>
      <c r="U419" s="1908" t="s">
        <v>3690</v>
      </c>
      <c r="V419" s="1908" t="s">
        <v>3708</v>
      </c>
      <c r="W419" s="1908" t="s">
        <v>3688</v>
      </c>
      <c r="X419" s="1908" t="s">
        <v>3744</v>
      </c>
      <c r="Y419" s="1908" t="s">
        <v>3745</v>
      </c>
      <c r="Z419" s="1908"/>
      <c r="AA419" s="1908" t="s">
        <v>3694</v>
      </c>
      <c r="AB419" s="1908" t="s">
        <v>3746</v>
      </c>
      <c r="AC419" s="1908" t="s">
        <v>3696</v>
      </c>
      <c r="AD419" s="2278" t="s">
        <v>4645</v>
      </c>
      <c r="AE419" s="2259"/>
      <c r="AF419" s="2260"/>
      <c r="AG419" s="2278" t="s">
        <v>3696</v>
      </c>
      <c r="AH419" s="2259"/>
      <c r="AI419" s="2260"/>
      <c r="AJ419" s="1908" t="s">
        <v>3714</v>
      </c>
      <c r="AK419" s="2278" t="s">
        <v>3748</v>
      </c>
      <c r="AL419" s="2259"/>
      <c r="AM419" s="2259"/>
      <c r="AN419" s="2259"/>
      <c r="AO419" s="2260"/>
      <c r="AP419" s="1908" t="s">
        <v>3699</v>
      </c>
      <c r="BC419" s="214"/>
      <c r="BD419" s="214"/>
      <c r="BE419" s="214"/>
      <c r="BF419" s="214"/>
    </row>
    <row r="420" spans="1:58" ht="45" hidden="1" customHeight="1">
      <c r="A420" s="808"/>
      <c r="B420" s="2280"/>
      <c r="C420" s="2281"/>
      <c r="D420" s="2282"/>
      <c r="E420" s="1909" t="s">
        <v>3682</v>
      </c>
      <c r="F420" s="1909" t="s">
        <v>4458</v>
      </c>
      <c r="G420" s="1909"/>
      <c r="H420" s="2283" t="s">
        <v>4624</v>
      </c>
      <c r="I420" s="2281"/>
      <c r="J420" s="2282"/>
      <c r="K420" s="2283" t="s">
        <v>4647</v>
      </c>
      <c r="L420" s="2282"/>
      <c r="M420" s="1909" t="e">
        <f>VLOOKUP(K420,'Estimate Details'!$R:$BR,20,FALSE)</f>
        <v>#N/A</v>
      </c>
      <c r="N420" s="1909" t="e">
        <f>VLOOKUP(M420,#REF!,2,FALSE)</f>
        <v>#N/A</v>
      </c>
      <c r="O420" s="1909" t="s">
        <v>4648</v>
      </c>
      <c r="P420" s="2284" t="s">
        <v>3687</v>
      </c>
      <c r="Q420" s="2281"/>
      <c r="R420" s="2282"/>
      <c r="S420" s="1909" t="s">
        <v>3688</v>
      </c>
      <c r="T420" s="1909" t="s">
        <v>3706</v>
      </c>
      <c r="U420" s="1909" t="s">
        <v>3690</v>
      </c>
      <c r="V420" s="1909" t="s">
        <v>3691</v>
      </c>
      <c r="W420" s="1909" t="s">
        <v>3688</v>
      </c>
      <c r="X420" s="1909"/>
      <c r="Y420" s="1909"/>
      <c r="Z420" s="1909"/>
      <c r="AA420" s="1909" t="s">
        <v>3694</v>
      </c>
      <c r="AB420" s="1909" t="s">
        <v>4649</v>
      </c>
      <c r="AC420" s="1909" t="s">
        <v>3696</v>
      </c>
      <c r="AD420" s="2283" t="s">
        <v>4650</v>
      </c>
      <c r="AE420" s="2281"/>
      <c r="AF420" s="2282"/>
      <c r="AG420" s="2283" t="s">
        <v>3696</v>
      </c>
      <c r="AH420" s="2281"/>
      <c r="AI420" s="2282"/>
      <c r="AJ420" s="1909" t="s">
        <v>3854</v>
      </c>
      <c r="AK420" s="2283" t="s">
        <v>3793</v>
      </c>
      <c r="AL420" s="2281"/>
      <c r="AM420" s="2259"/>
      <c r="AN420" s="2281"/>
      <c r="AO420" s="2282"/>
      <c r="AP420" s="1909" t="s">
        <v>3699</v>
      </c>
      <c r="BC420" s="214"/>
      <c r="BD420" s="214"/>
      <c r="BE420" s="214"/>
      <c r="BF420" s="214"/>
    </row>
    <row r="421" spans="1:58" ht="45" hidden="1" customHeight="1">
      <c r="B421" s="2277"/>
      <c r="C421" s="2259"/>
      <c r="D421" s="2260"/>
      <c r="E421" s="1908" t="s">
        <v>3682</v>
      </c>
      <c r="F421" s="1908" t="s">
        <v>4458</v>
      </c>
      <c r="G421" s="1908"/>
      <c r="H421" s="2278" t="s">
        <v>4624</v>
      </c>
      <c r="I421" s="2259"/>
      <c r="J421" s="2260"/>
      <c r="K421" s="2278" t="s">
        <v>4651</v>
      </c>
      <c r="L421" s="2260"/>
      <c r="M421" s="1908" t="e">
        <f>VLOOKUP(K421,'Estimate Details'!$R:$BR,20,FALSE)</f>
        <v>#N/A</v>
      </c>
      <c r="N421" s="1908" t="e">
        <f>VLOOKUP(M421,#REF!,2,FALSE)</f>
        <v>#N/A</v>
      </c>
      <c r="O421" s="1908" t="s">
        <v>4652</v>
      </c>
      <c r="P421" s="2278" t="s">
        <v>3687</v>
      </c>
      <c r="Q421" s="2259"/>
      <c r="R421" s="2260"/>
      <c r="S421" s="1908" t="s">
        <v>3688</v>
      </c>
      <c r="T421" s="1908" t="s">
        <v>3706</v>
      </c>
      <c r="U421" s="1908" t="s">
        <v>3690</v>
      </c>
      <c r="V421" s="1908" t="s">
        <v>3691</v>
      </c>
      <c r="W421" s="1908" t="s">
        <v>3688</v>
      </c>
      <c r="X421" s="1908" t="s">
        <v>4653</v>
      </c>
      <c r="Y421" s="1908" t="s">
        <v>4654</v>
      </c>
      <c r="Z421" s="1908"/>
      <c r="AA421" s="1908" t="s">
        <v>3694</v>
      </c>
      <c r="AB421" s="1908" t="s">
        <v>4655</v>
      </c>
      <c r="AC421" s="1908" t="s">
        <v>3696</v>
      </c>
      <c r="AD421" s="2278" t="s">
        <v>4656</v>
      </c>
      <c r="AE421" s="2259"/>
      <c r="AF421" s="2260"/>
      <c r="AG421" s="2278" t="s">
        <v>3696</v>
      </c>
      <c r="AH421" s="2259"/>
      <c r="AI421" s="2260"/>
      <c r="AJ421" s="1908" t="s">
        <v>3884</v>
      </c>
      <c r="AK421" s="2278" t="s">
        <v>4657</v>
      </c>
      <c r="AL421" s="2259"/>
      <c r="AM421" s="2259"/>
      <c r="AN421" s="2259"/>
      <c r="AO421" s="2260"/>
      <c r="AP421" s="1908" t="s">
        <v>3699</v>
      </c>
      <c r="BC421" s="214"/>
      <c r="BD421" s="214"/>
      <c r="BE421" s="214"/>
      <c r="BF421" s="214"/>
    </row>
    <row r="422" spans="1:58" ht="45" hidden="1" customHeight="1">
      <c r="A422" s="808"/>
      <c r="B422" s="2280"/>
      <c r="C422" s="2281"/>
      <c r="D422" s="2282"/>
      <c r="E422" s="1909" t="s">
        <v>3682</v>
      </c>
      <c r="F422" s="1909" t="s">
        <v>4458</v>
      </c>
      <c r="G422" s="1909"/>
      <c r="H422" s="2283" t="s">
        <v>4624</v>
      </c>
      <c r="I422" s="2281"/>
      <c r="J422" s="2282"/>
      <c r="K422" s="2283" t="s">
        <v>4658</v>
      </c>
      <c r="L422" s="2282"/>
      <c r="M422" s="1909" t="e">
        <f>VLOOKUP(K422,'Estimate Details'!$R:$BR,20,FALSE)</f>
        <v>#N/A</v>
      </c>
      <c r="N422" s="1909" t="e">
        <f>VLOOKUP(M422,#REF!,2,FALSE)</f>
        <v>#N/A</v>
      </c>
      <c r="O422" s="1909" t="s">
        <v>4652</v>
      </c>
      <c r="P422" s="2284" t="s">
        <v>3687</v>
      </c>
      <c r="Q422" s="2281"/>
      <c r="R422" s="2282"/>
      <c r="S422" s="1909" t="s">
        <v>3688</v>
      </c>
      <c r="T422" s="1909" t="s">
        <v>3706</v>
      </c>
      <c r="U422" s="1909" t="s">
        <v>3690</v>
      </c>
      <c r="V422" s="1909" t="s">
        <v>3691</v>
      </c>
      <c r="W422" s="1909" t="s">
        <v>3688</v>
      </c>
      <c r="X422" s="1909" t="s">
        <v>4659</v>
      </c>
      <c r="Y422" s="1909" t="s">
        <v>4660</v>
      </c>
      <c r="Z422" s="1909"/>
      <c r="AA422" s="1909" t="s">
        <v>3694</v>
      </c>
      <c r="AB422" s="1909" t="s">
        <v>4661</v>
      </c>
      <c r="AC422" s="1909" t="s">
        <v>3696</v>
      </c>
      <c r="AD422" s="2283" t="s">
        <v>4656</v>
      </c>
      <c r="AE422" s="2281"/>
      <c r="AF422" s="2282"/>
      <c r="AG422" s="2283" t="s">
        <v>3696</v>
      </c>
      <c r="AH422" s="2281"/>
      <c r="AI422" s="2282"/>
      <c r="AJ422" s="1909" t="s">
        <v>3884</v>
      </c>
      <c r="AK422" s="2283" t="s">
        <v>4662</v>
      </c>
      <c r="AL422" s="2281"/>
      <c r="AM422" s="2259"/>
      <c r="AN422" s="2281"/>
      <c r="AO422" s="2282"/>
      <c r="AP422" s="1909" t="s">
        <v>3699</v>
      </c>
      <c r="BC422" s="214"/>
      <c r="BD422" s="214"/>
      <c r="BE422" s="214"/>
      <c r="BF422" s="214"/>
    </row>
    <row r="423" spans="1:58" ht="45" hidden="1" customHeight="1">
      <c r="B423" s="2277"/>
      <c r="C423" s="2259"/>
      <c r="D423" s="2260"/>
      <c r="E423" s="1908" t="s">
        <v>3682</v>
      </c>
      <c r="F423" s="1908" t="s">
        <v>4458</v>
      </c>
      <c r="G423" s="1908"/>
      <c r="H423" s="2278" t="s">
        <v>4624</v>
      </c>
      <c r="I423" s="2259"/>
      <c r="J423" s="2260"/>
      <c r="K423" s="2278" t="s">
        <v>4663</v>
      </c>
      <c r="L423" s="2260"/>
      <c r="M423" s="1908" t="e">
        <f>VLOOKUP(K423,'Estimate Details'!$R:$BR,20,FALSE)</f>
        <v>#N/A</v>
      </c>
      <c r="N423" s="1908" t="e">
        <f>VLOOKUP(M423,#REF!,2,FALSE)</f>
        <v>#N/A</v>
      </c>
      <c r="O423" s="1908" t="s">
        <v>4664</v>
      </c>
      <c r="P423" s="2278" t="s">
        <v>3687</v>
      </c>
      <c r="Q423" s="2259"/>
      <c r="R423" s="2260"/>
      <c r="S423" s="1908" t="s">
        <v>3688</v>
      </c>
      <c r="T423" s="1908" t="s">
        <v>3706</v>
      </c>
      <c r="U423" s="1908" t="s">
        <v>3690</v>
      </c>
      <c r="V423" s="1908" t="s">
        <v>3708</v>
      </c>
      <c r="W423" s="1908" t="s">
        <v>3688</v>
      </c>
      <c r="X423" s="1908" t="s">
        <v>4665</v>
      </c>
      <c r="Y423" s="1908" t="s">
        <v>4666</v>
      </c>
      <c r="Z423" s="1908"/>
      <c r="AA423" s="1908" t="s">
        <v>3694</v>
      </c>
      <c r="AB423" s="1908" t="s">
        <v>4667</v>
      </c>
      <c r="AC423" s="1908" t="s">
        <v>3696</v>
      </c>
      <c r="AD423" s="2278" t="s">
        <v>4668</v>
      </c>
      <c r="AE423" s="2259"/>
      <c r="AF423" s="2260"/>
      <c r="AG423" s="2278" t="s">
        <v>3696</v>
      </c>
      <c r="AH423" s="2259"/>
      <c r="AI423" s="2260"/>
      <c r="AJ423" s="1908" t="s">
        <v>3731</v>
      </c>
      <c r="AK423" s="2278" t="s">
        <v>4669</v>
      </c>
      <c r="AL423" s="2259"/>
      <c r="AM423" s="2259"/>
      <c r="AN423" s="2259"/>
      <c r="AO423" s="2260"/>
      <c r="AP423" s="1908" t="s">
        <v>3699</v>
      </c>
      <c r="BC423" s="214"/>
      <c r="BD423" s="214"/>
      <c r="BE423" s="214"/>
      <c r="BF423" s="214"/>
    </row>
    <row r="424" spans="1:58" ht="45" hidden="1" customHeight="1">
      <c r="A424" s="808"/>
      <c r="B424" s="2280"/>
      <c r="C424" s="2281"/>
      <c r="D424" s="2282"/>
      <c r="E424" s="1909" t="s">
        <v>3682</v>
      </c>
      <c r="F424" s="1909" t="s">
        <v>4458</v>
      </c>
      <c r="G424" s="1909"/>
      <c r="H424" s="2283" t="s">
        <v>4624</v>
      </c>
      <c r="I424" s="2281"/>
      <c r="J424" s="2282"/>
      <c r="K424" s="2283" t="s">
        <v>4670</v>
      </c>
      <c r="L424" s="2282"/>
      <c r="M424" s="1909" t="e">
        <f>VLOOKUP(K424,'Estimate Details'!$R:$BR,20,FALSE)</f>
        <v>#N/A</v>
      </c>
      <c r="N424" s="1909" t="e">
        <f>VLOOKUP(M424,#REF!,2,FALSE)</f>
        <v>#N/A</v>
      </c>
      <c r="O424" s="1909" t="s">
        <v>4671</v>
      </c>
      <c r="P424" s="2284" t="s">
        <v>3687</v>
      </c>
      <c r="Q424" s="2281"/>
      <c r="R424" s="2282"/>
      <c r="S424" s="1909" t="s">
        <v>3688</v>
      </c>
      <c r="T424" s="1909" t="s">
        <v>3706</v>
      </c>
      <c r="U424" s="1909" t="s">
        <v>3690</v>
      </c>
      <c r="V424" s="1909" t="s">
        <v>3708</v>
      </c>
      <c r="W424" s="1909" t="s">
        <v>3688</v>
      </c>
      <c r="X424" s="1909" t="s">
        <v>4672</v>
      </c>
      <c r="Y424" s="1909" t="s">
        <v>4673</v>
      </c>
      <c r="Z424" s="1909"/>
      <c r="AA424" s="1909" t="s">
        <v>3694</v>
      </c>
      <c r="AB424" s="1909" t="s">
        <v>4674</v>
      </c>
      <c r="AC424" s="1909" t="s">
        <v>3696</v>
      </c>
      <c r="AD424" s="2283" t="s">
        <v>4675</v>
      </c>
      <c r="AE424" s="2281"/>
      <c r="AF424" s="2282"/>
      <c r="AG424" s="2283" t="s">
        <v>3696</v>
      </c>
      <c r="AH424" s="2281"/>
      <c r="AI424" s="2282"/>
      <c r="AJ424" s="1909" t="s">
        <v>3731</v>
      </c>
      <c r="AK424" s="2283" t="s">
        <v>4676</v>
      </c>
      <c r="AL424" s="2281"/>
      <c r="AM424" s="2259"/>
      <c r="AN424" s="2281"/>
      <c r="AO424" s="2282"/>
      <c r="AP424" s="1909" t="s">
        <v>3699</v>
      </c>
      <c r="BC424" s="214"/>
      <c r="BD424" s="214"/>
      <c r="BE424" s="214"/>
      <c r="BF424" s="214"/>
    </row>
    <row r="425" spans="1:58" ht="45" hidden="1" customHeight="1">
      <c r="B425" s="2277"/>
      <c r="C425" s="2259"/>
      <c r="D425" s="2260"/>
      <c r="E425" s="1908" t="s">
        <v>3682</v>
      </c>
      <c r="F425" s="1908" t="s">
        <v>4458</v>
      </c>
      <c r="G425" s="1908"/>
      <c r="H425" s="2278" t="s">
        <v>4624</v>
      </c>
      <c r="I425" s="2259"/>
      <c r="J425" s="2260"/>
      <c r="K425" s="2278" t="s">
        <v>4677</v>
      </c>
      <c r="L425" s="2260"/>
      <c r="M425" s="1908" t="e">
        <f>VLOOKUP(K425,'Estimate Details'!$R:$BR,20,FALSE)</f>
        <v>#N/A</v>
      </c>
      <c r="N425" s="1908" t="e">
        <f>VLOOKUP(M425,#REF!,2,FALSE)</f>
        <v>#N/A</v>
      </c>
      <c r="O425" s="1908" t="s">
        <v>3820</v>
      </c>
      <c r="P425" s="2278" t="s">
        <v>3687</v>
      </c>
      <c r="Q425" s="2259"/>
      <c r="R425" s="2260"/>
      <c r="S425" s="1908" t="s">
        <v>3688</v>
      </c>
      <c r="T425" s="1908" t="s">
        <v>3706</v>
      </c>
      <c r="U425" s="1908" t="s">
        <v>3690</v>
      </c>
      <c r="V425" s="1908" t="s">
        <v>3708</v>
      </c>
      <c r="W425" s="1908" t="s">
        <v>3688</v>
      </c>
      <c r="X425" s="1908" t="s">
        <v>3821</v>
      </c>
      <c r="Y425" s="1908" t="s">
        <v>3822</v>
      </c>
      <c r="Z425" s="1908" t="s">
        <v>3762</v>
      </c>
      <c r="AA425" s="1908" t="s">
        <v>3694</v>
      </c>
      <c r="AB425" s="1908" t="s">
        <v>3823</v>
      </c>
      <c r="AC425" s="1908" t="s">
        <v>3696</v>
      </c>
      <c r="AD425" s="2278" t="s">
        <v>1</v>
      </c>
      <c r="AE425" s="2259"/>
      <c r="AF425" s="2260"/>
      <c r="AG425" s="2278" t="s">
        <v>3696</v>
      </c>
      <c r="AH425" s="2259"/>
      <c r="AI425" s="2260"/>
      <c r="AJ425" s="1908" t="s">
        <v>3731</v>
      </c>
      <c r="AK425" s="2278" t="s">
        <v>3824</v>
      </c>
      <c r="AL425" s="2259"/>
      <c r="AM425" s="2259"/>
      <c r="AN425" s="2259"/>
      <c r="AO425" s="2260"/>
      <c r="AP425" s="1908" t="s">
        <v>3699</v>
      </c>
      <c r="BC425" s="214"/>
      <c r="BD425" s="214"/>
      <c r="BE425" s="214"/>
      <c r="BF425" s="214"/>
    </row>
    <row r="426" spans="1:58" ht="45" hidden="1" customHeight="1">
      <c r="A426" s="808"/>
      <c r="B426" s="2280"/>
      <c r="C426" s="2281"/>
      <c r="D426" s="2282"/>
      <c r="E426" s="1909" t="s">
        <v>3682</v>
      </c>
      <c r="F426" s="1909" t="s">
        <v>4458</v>
      </c>
      <c r="G426" s="1909"/>
      <c r="H426" s="2283" t="s">
        <v>4624</v>
      </c>
      <c r="I426" s="2281"/>
      <c r="J426" s="2282"/>
      <c r="K426" s="2283" t="s">
        <v>4678</v>
      </c>
      <c r="L426" s="2282"/>
      <c r="M426" s="1909" t="e">
        <f>VLOOKUP(K426,'Estimate Details'!$R:$BR,20,FALSE)</f>
        <v>#N/A</v>
      </c>
      <c r="N426" s="1909" t="e">
        <f>VLOOKUP(M426,#REF!,2,FALSE)</f>
        <v>#N/A</v>
      </c>
      <c r="O426" s="1909" t="s">
        <v>4679</v>
      </c>
      <c r="P426" s="2284" t="s">
        <v>3687</v>
      </c>
      <c r="Q426" s="2281"/>
      <c r="R426" s="2282"/>
      <c r="S426" s="1909" t="s">
        <v>3688</v>
      </c>
      <c r="T426" s="1909" t="s">
        <v>3689</v>
      </c>
      <c r="U426" s="1909" t="s">
        <v>3690</v>
      </c>
      <c r="V426" s="1909" t="s">
        <v>3708</v>
      </c>
      <c r="W426" s="1909" t="s">
        <v>3688</v>
      </c>
      <c r="X426" s="1909"/>
      <c r="Y426" s="1909"/>
      <c r="Z426" s="1909"/>
      <c r="AA426" s="1909" t="s">
        <v>3694</v>
      </c>
      <c r="AB426" s="1909" t="s">
        <v>4680</v>
      </c>
      <c r="AC426" s="1909" t="s">
        <v>3696</v>
      </c>
      <c r="AD426" s="2283" t="s">
        <v>4681</v>
      </c>
      <c r="AE426" s="2281"/>
      <c r="AF426" s="2282"/>
      <c r="AG426" s="2283" t="s">
        <v>3696</v>
      </c>
      <c r="AH426" s="2281"/>
      <c r="AI426" s="2282"/>
      <c r="AJ426" s="1909" t="s">
        <v>3731</v>
      </c>
      <c r="AK426" s="2283" t="s">
        <v>4682</v>
      </c>
      <c r="AL426" s="2281"/>
      <c r="AM426" s="2259"/>
      <c r="AN426" s="2281"/>
      <c r="AO426" s="2282"/>
      <c r="AP426" s="1909" t="s">
        <v>3699</v>
      </c>
      <c r="BC426" s="214"/>
      <c r="BD426" s="214"/>
      <c r="BE426" s="214"/>
      <c r="BF426" s="214"/>
    </row>
    <row r="427" spans="1:58" ht="45" hidden="1" customHeight="1">
      <c r="B427" s="2277"/>
      <c r="C427" s="2259"/>
      <c r="D427" s="2260"/>
      <c r="E427" s="1908" t="s">
        <v>3682</v>
      </c>
      <c r="F427" s="1908" t="s">
        <v>4458</v>
      </c>
      <c r="G427" s="1908"/>
      <c r="H427" s="2278" t="s">
        <v>4624</v>
      </c>
      <c r="I427" s="2259"/>
      <c r="J427" s="2260"/>
      <c r="K427" s="2278" t="s">
        <v>4683</v>
      </c>
      <c r="L427" s="2260"/>
      <c r="M427" s="1908" t="e">
        <f>VLOOKUP(K427,'Estimate Details'!$R:$BR,20,FALSE)</f>
        <v>#N/A</v>
      </c>
      <c r="N427" s="1908" t="e">
        <f>VLOOKUP(M427,#REF!,2,FALSE)</f>
        <v>#N/A</v>
      </c>
      <c r="O427" s="1908" t="s">
        <v>4679</v>
      </c>
      <c r="P427" s="2278" t="s">
        <v>3687</v>
      </c>
      <c r="Q427" s="2259"/>
      <c r="R427" s="2260"/>
      <c r="S427" s="1908" t="s">
        <v>3688</v>
      </c>
      <c r="T427" s="1908" t="s">
        <v>3689</v>
      </c>
      <c r="U427" s="1908" t="s">
        <v>3690</v>
      </c>
      <c r="V427" s="1908" t="s">
        <v>3708</v>
      </c>
      <c r="W427" s="1908" t="s">
        <v>3688</v>
      </c>
      <c r="X427" s="1908"/>
      <c r="Y427" s="1908"/>
      <c r="Z427" s="1908"/>
      <c r="AA427" s="1908" t="s">
        <v>3694</v>
      </c>
      <c r="AB427" s="1908" t="s">
        <v>4680</v>
      </c>
      <c r="AC427" s="1908" t="s">
        <v>3696</v>
      </c>
      <c r="AD427" s="2278" t="s">
        <v>4681</v>
      </c>
      <c r="AE427" s="2259"/>
      <c r="AF427" s="2260"/>
      <c r="AG427" s="2278" t="s">
        <v>3696</v>
      </c>
      <c r="AH427" s="2259"/>
      <c r="AI427" s="2260"/>
      <c r="AJ427" s="1908" t="s">
        <v>3731</v>
      </c>
      <c r="AK427" s="2278" t="s">
        <v>4682</v>
      </c>
      <c r="AL427" s="2259"/>
      <c r="AM427" s="2259"/>
      <c r="AN427" s="2259"/>
      <c r="AO427" s="2260"/>
      <c r="AP427" s="1908" t="s">
        <v>3699</v>
      </c>
      <c r="BC427" s="214"/>
      <c r="BD427" s="214"/>
      <c r="BE427" s="214"/>
      <c r="BF427" s="214"/>
    </row>
    <row r="428" spans="1:58" ht="45" hidden="1" customHeight="1">
      <c r="A428" s="808"/>
      <c r="B428" s="2280"/>
      <c r="C428" s="2281"/>
      <c r="D428" s="2282"/>
      <c r="E428" s="1909" t="s">
        <v>3682</v>
      </c>
      <c r="F428" s="1909" t="s">
        <v>4458</v>
      </c>
      <c r="G428" s="1909"/>
      <c r="H428" s="2283" t="s">
        <v>4624</v>
      </c>
      <c r="I428" s="2281"/>
      <c r="J428" s="2282"/>
      <c r="K428" s="2283" t="s">
        <v>4684</v>
      </c>
      <c r="L428" s="2282"/>
      <c r="M428" s="1909" t="e">
        <f>VLOOKUP(K428,'Estimate Details'!$R:$BR,20,FALSE)</f>
        <v>#N/A</v>
      </c>
      <c r="N428" s="1909" t="e">
        <f>VLOOKUP(M428,#REF!,2,FALSE)</f>
        <v>#N/A</v>
      </c>
      <c r="O428" s="1909" t="s">
        <v>3809</v>
      </c>
      <c r="P428" s="2284" t="s">
        <v>3687</v>
      </c>
      <c r="Q428" s="2281"/>
      <c r="R428" s="2282"/>
      <c r="S428" s="1909" t="s">
        <v>3688</v>
      </c>
      <c r="T428" s="1909" t="s">
        <v>3689</v>
      </c>
      <c r="U428" s="1909" t="s">
        <v>3690</v>
      </c>
      <c r="V428" s="1909" t="s">
        <v>3810</v>
      </c>
      <c r="W428" s="1909" t="s">
        <v>3688</v>
      </c>
      <c r="X428" s="1909" t="s">
        <v>3811</v>
      </c>
      <c r="Y428" s="1909" t="s">
        <v>3812</v>
      </c>
      <c r="Z428" s="1909"/>
      <c r="AA428" s="1909" t="s">
        <v>3694</v>
      </c>
      <c r="AB428" s="1909" t="s">
        <v>3813</v>
      </c>
      <c r="AC428" s="1909" t="s">
        <v>3696</v>
      </c>
      <c r="AD428" s="2283" t="s">
        <v>3688</v>
      </c>
      <c r="AE428" s="2281"/>
      <c r="AF428" s="2282"/>
      <c r="AG428" s="2283" t="s">
        <v>3696</v>
      </c>
      <c r="AH428" s="2281"/>
      <c r="AI428" s="2282"/>
      <c r="AJ428" s="1909" t="s">
        <v>3814</v>
      </c>
      <c r="AK428" s="2283" t="s">
        <v>3815</v>
      </c>
      <c r="AL428" s="2281"/>
      <c r="AM428" s="2259"/>
      <c r="AN428" s="2281"/>
      <c r="AO428" s="2282"/>
      <c r="AP428" s="1909" t="s">
        <v>3699</v>
      </c>
      <c r="BC428" s="214"/>
      <c r="BD428" s="214"/>
      <c r="BE428" s="214"/>
      <c r="BF428" s="214"/>
    </row>
    <row r="429" spans="1:58" ht="45" hidden="1" customHeight="1">
      <c r="B429" s="2277"/>
      <c r="C429" s="2259"/>
      <c r="D429" s="2260"/>
      <c r="E429" s="1908" t="s">
        <v>3682</v>
      </c>
      <c r="F429" s="1908" t="s">
        <v>4458</v>
      </c>
      <c r="G429" s="1908"/>
      <c r="H429" s="2278" t="s">
        <v>4624</v>
      </c>
      <c r="I429" s="2259"/>
      <c r="J429" s="2260"/>
      <c r="K429" s="2278" t="s">
        <v>4685</v>
      </c>
      <c r="L429" s="2260"/>
      <c r="M429" s="1908" t="e">
        <f>VLOOKUP(K429,'Estimate Details'!$R:$BR,20,FALSE)</f>
        <v>#N/A</v>
      </c>
      <c r="N429" s="1908" t="e">
        <f>VLOOKUP(M429,#REF!,2,FALSE)</f>
        <v>#N/A</v>
      </c>
      <c r="O429" s="1908" t="s">
        <v>3809</v>
      </c>
      <c r="P429" s="2278" t="s">
        <v>3687</v>
      </c>
      <c r="Q429" s="2259"/>
      <c r="R429" s="2260"/>
      <c r="S429" s="1908" t="s">
        <v>3688</v>
      </c>
      <c r="T429" s="1908" t="s">
        <v>3689</v>
      </c>
      <c r="U429" s="1908" t="s">
        <v>3690</v>
      </c>
      <c r="V429" s="1908" t="s">
        <v>3810</v>
      </c>
      <c r="W429" s="1908" t="s">
        <v>3688</v>
      </c>
      <c r="X429" s="1908" t="s">
        <v>3811</v>
      </c>
      <c r="Y429" s="1908" t="s">
        <v>3812</v>
      </c>
      <c r="Z429" s="1908"/>
      <c r="AA429" s="1908" t="s">
        <v>3694</v>
      </c>
      <c r="AB429" s="1908" t="s">
        <v>3813</v>
      </c>
      <c r="AC429" s="1908" t="s">
        <v>3696</v>
      </c>
      <c r="AD429" s="2278" t="s">
        <v>3688</v>
      </c>
      <c r="AE429" s="2259"/>
      <c r="AF429" s="2260"/>
      <c r="AG429" s="2278" t="s">
        <v>3696</v>
      </c>
      <c r="AH429" s="2259"/>
      <c r="AI429" s="2260"/>
      <c r="AJ429" s="1908" t="s">
        <v>3814</v>
      </c>
      <c r="AK429" s="2278" t="s">
        <v>3815</v>
      </c>
      <c r="AL429" s="2259"/>
      <c r="AM429" s="2259"/>
      <c r="AN429" s="2259"/>
      <c r="AO429" s="2260"/>
      <c r="AP429" s="1908" t="s">
        <v>3699</v>
      </c>
      <c r="BC429" s="214"/>
      <c r="BD429" s="214"/>
      <c r="BE429" s="214"/>
      <c r="BF429" s="214"/>
    </row>
    <row r="430" spans="1:58" ht="45" hidden="1" customHeight="1">
      <c r="A430" s="808"/>
      <c r="B430" s="2280"/>
      <c r="C430" s="2281"/>
      <c r="D430" s="2282"/>
      <c r="E430" s="1909" t="s">
        <v>3682</v>
      </c>
      <c r="F430" s="1909" t="s">
        <v>4458</v>
      </c>
      <c r="G430" s="1909"/>
      <c r="H430" s="2283" t="s">
        <v>4624</v>
      </c>
      <c r="I430" s="2281"/>
      <c r="J430" s="2282"/>
      <c r="K430" s="2283" t="s">
        <v>4686</v>
      </c>
      <c r="L430" s="2282"/>
      <c r="M430" s="1909" t="e">
        <f>VLOOKUP(K430,'Estimate Details'!$R:$BR,20,FALSE)</f>
        <v>#N/A</v>
      </c>
      <c r="N430" s="1909" t="e">
        <f>VLOOKUP(M430,#REF!,2,FALSE)</f>
        <v>#N/A</v>
      </c>
      <c r="O430" s="1909" t="s">
        <v>3809</v>
      </c>
      <c r="P430" s="2284" t="s">
        <v>3687</v>
      </c>
      <c r="Q430" s="2281"/>
      <c r="R430" s="2282"/>
      <c r="S430" s="1909" t="s">
        <v>3688</v>
      </c>
      <c r="T430" s="1909" t="s">
        <v>3689</v>
      </c>
      <c r="U430" s="1909" t="s">
        <v>3690</v>
      </c>
      <c r="V430" s="1909" t="s">
        <v>3810</v>
      </c>
      <c r="W430" s="1909" t="s">
        <v>3688</v>
      </c>
      <c r="X430" s="1909" t="s">
        <v>3811</v>
      </c>
      <c r="Y430" s="1909" t="s">
        <v>3812</v>
      </c>
      <c r="Z430" s="1909"/>
      <c r="AA430" s="1909" t="s">
        <v>3694</v>
      </c>
      <c r="AB430" s="1909" t="s">
        <v>3813</v>
      </c>
      <c r="AC430" s="1909" t="s">
        <v>3696</v>
      </c>
      <c r="AD430" s="2283" t="s">
        <v>3688</v>
      </c>
      <c r="AE430" s="2281"/>
      <c r="AF430" s="2282"/>
      <c r="AG430" s="2283" t="s">
        <v>3696</v>
      </c>
      <c r="AH430" s="2281"/>
      <c r="AI430" s="2282"/>
      <c r="AJ430" s="1909" t="s">
        <v>3814</v>
      </c>
      <c r="AK430" s="2283" t="s">
        <v>3815</v>
      </c>
      <c r="AL430" s="2281"/>
      <c r="AM430" s="2259"/>
      <c r="AN430" s="2281"/>
      <c r="AO430" s="2282"/>
      <c r="AP430" s="1909" t="s">
        <v>3699</v>
      </c>
      <c r="BC430" s="214"/>
      <c r="BD430" s="214"/>
      <c r="BE430" s="214"/>
      <c r="BF430" s="214"/>
    </row>
    <row r="431" spans="1:58" ht="45" hidden="1" customHeight="1">
      <c r="B431" s="2277"/>
      <c r="C431" s="2259"/>
      <c r="D431" s="2260"/>
      <c r="E431" s="1908" t="s">
        <v>3682</v>
      </c>
      <c r="F431" s="1908" t="s">
        <v>4458</v>
      </c>
      <c r="G431" s="1908"/>
      <c r="H431" s="2278" t="s">
        <v>4624</v>
      </c>
      <c r="I431" s="2259"/>
      <c r="J431" s="2260"/>
      <c r="K431" s="2278" t="s">
        <v>4687</v>
      </c>
      <c r="L431" s="2260"/>
      <c r="M431" s="1908" t="e">
        <f>VLOOKUP(K431,'Estimate Details'!$R:$BR,20,FALSE)</f>
        <v>#N/A</v>
      </c>
      <c r="N431" s="1908" t="e">
        <f>VLOOKUP(M431,#REF!,2,FALSE)</f>
        <v>#N/A</v>
      </c>
      <c r="O431" s="1908" t="s">
        <v>4688</v>
      </c>
      <c r="P431" s="2278" t="s">
        <v>3687</v>
      </c>
      <c r="Q431" s="2259"/>
      <c r="R431" s="2260"/>
      <c r="S431" s="1908" t="s">
        <v>3688</v>
      </c>
      <c r="T431" s="1908" t="s">
        <v>3689</v>
      </c>
      <c r="U431" s="1908" t="s">
        <v>3690</v>
      </c>
      <c r="V431" s="1908" t="s">
        <v>3691</v>
      </c>
      <c r="W431" s="1908" t="s">
        <v>3688</v>
      </c>
      <c r="X431" s="1908"/>
      <c r="Y431" s="1908"/>
      <c r="Z431" s="1908"/>
      <c r="AA431" s="1908" t="s">
        <v>3694</v>
      </c>
      <c r="AB431" s="1908" t="s">
        <v>3688</v>
      </c>
      <c r="AC431" s="1908" t="s">
        <v>3696</v>
      </c>
      <c r="AD431" s="2278" t="s">
        <v>3796</v>
      </c>
      <c r="AE431" s="2259"/>
      <c r="AF431" s="2260"/>
      <c r="AG431" s="2278" t="s">
        <v>3696</v>
      </c>
      <c r="AH431" s="2259"/>
      <c r="AI431" s="2260"/>
      <c r="AJ431" s="1908" t="s">
        <v>3797</v>
      </c>
      <c r="AK431" s="2278" t="s">
        <v>4689</v>
      </c>
      <c r="AL431" s="2259"/>
      <c r="AM431" s="2259"/>
      <c r="AN431" s="2259"/>
      <c r="AO431" s="2260"/>
      <c r="AP431" s="1908" t="s">
        <v>3699</v>
      </c>
      <c r="BC431" s="214"/>
      <c r="BD431" s="214"/>
      <c r="BE431" s="214"/>
      <c r="BF431" s="214"/>
    </row>
    <row r="432" spans="1:58" ht="45" hidden="1" customHeight="1">
      <c r="A432" s="808"/>
      <c r="B432" s="2280"/>
      <c r="C432" s="2281"/>
      <c r="D432" s="2282"/>
      <c r="E432" s="1909" t="s">
        <v>3682</v>
      </c>
      <c r="F432" s="1909" t="s">
        <v>4690</v>
      </c>
      <c r="G432" s="1909"/>
      <c r="H432" s="2283" t="s">
        <v>4624</v>
      </c>
      <c r="I432" s="2281"/>
      <c r="J432" s="2282"/>
      <c r="K432" s="2283" t="s">
        <v>4691</v>
      </c>
      <c r="L432" s="2282"/>
      <c r="M432" s="1909" t="e">
        <f>VLOOKUP(K432,'Estimate Details'!$R:$BR,20,FALSE)</f>
        <v>#N/A</v>
      </c>
      <c r="N432" s="1909" t="e">
        <f>VLOOKUP(M432,#REF!,2,FALSE)</f>
        <v>#N/A</v>
      </c>
      <c r="O432" s="1909" t="s">
        <v>4598</v>
      </c>
      <c r="P432" s="2284" t="s">
        <v>3687</v>
      </c>
      <c r="Q432" s="2281"/>
      <c r="R432" s="2282"/>
      <c r="S432" s="1909" t="s">
        <v>3688</v>
      </c>
      <c r="T432" s="1909" t="s">
        <v>3689</v>
      </c>
      <c r="U432" s="1909" t="s">
        <v>3690</v>
      </c>
      <c r="V432" s="1909" t="s">
        <v>3708</v>
      </c>
      <c r="W432" s="1909" t="s">
        <v>3688</v>
      </c>
      <c r="X432" s="1909" t="s">
        <v>4692</v>
      </c>
      <c r="Y432" s="1909" t="s">
        <v>3754</v>
      </c>
      <c r="Z432" s="1909"/>
      <c r="AA432" s="1909" t="s">
        <v>3694</v>
      </c>
      <c r="AB432" s="1909" t="s">
        <v>4693</v>
      </c>
      <c r="AC432" s="1909" t="s">
        <v>3696</v>
      </c>
      <c r="AD432" s="2283" t="s">
        <v>4694</v>
      </c>
      <c r="AE432" s="2281"/>
      <c r="AF432" s="2282"/>
      <c r="AG432" s="2283" t="s">
        <v>3696</v>
      </c>
      <c r="AH432" s="2281"/>
      <c r="AI432" s="2282"/>
      <c r="AJ432" s="1909" t="s">
        <v>3714</v>
      </c>
      <c r="AK432" s="2283" t="s">
        <v>4695</v>
      </c>
      <c r="AL432" s="2281"/>
      <c r="AM432" s="2259"/>
      <c r="AN432" s="2281"/>
      <c r="AO432" s="2282"/>
      <c r="AP432" s="1909" t="s">
        <v>3699</v>
      </c>
      <c r="BC432" s="214"/>
      <c r="BD432" s="214"/>
      <c r="BE432" s="214"/>
      <c r="BF432" s="214"/>
    </row>
    <row r="433" spans="1:58" ht="45" hidden="1" customHeight="1">
      <c r="B433" s="2277"/>
      <c r="C433" s="2259"/>
      <c r="D433" s="2260"/>
      <c r="E433" s="1908" t="s">
        <v>3682</v>
      </c>
      <c r="F433" s="1908" t="s">
        <v>4458</v>
      </c>
      <c r="G433" s="1908"/>
      <c r="H433" s="2278" t="s">
        <v>4624</v>
      </c>
      <c r="I433" s="2259"/>
      <c r="J433" s="2260"/>
      <c r="K433" s="2278" t="s">
        <v>4696</v>
      </c>
      <c r="L433" s="2260"/>
      <c r="M433" s="1908" t="e">
        <f>VLOOKUP(K433,'Estimate Details'!$R:$BR,20,FALSE)</f>
        <v>#N/A</v>
      </c>
      <c r="N433" s="1908" t="e">
        <f>VLOOKUP(M433,#REF!,2,FALSE)</f>
        <v>#N/A</v>
      </c>
      <c r="O433" s="1908" t="s">
        <v>4697</v>
      </c>
      <c r="P433" s="2278" t="s">
        <v>3687</v>
      </c>
      <c r="Q433" s="2259"/>
      <c r="R433" s="2260"/>
      <c r="S433" s="1908" t="s">
        <v>3688</v>
      </c>
      <c r="T433" s="1908" t="s">
        <v>3689</v>
      </c>
      <c r="U433" s="1908" t="s">
        <v>3690</v>
      </c>
      <c r="V433" s="1908" t="s">
        <v>3708</v>
      </c>
      <c r="W433" s="1908" t="s">
        <v>3688</v>
      </c>
      <c r="X433" s="1908" t="s">
        <v>3760</v>
      </c>
      <c r="Y433" s="1908" t="s">
        <v>3761</v>
      </c>
      <c r="Z433" s="1908"/>
      <c r="AA433" s="1908" t="s">
        <v>3694</v>
      </c>
      <c r="AB433" s="1908" t="s">
        <v>3688</v>
      </c>
      <c r="AC433" s="1908" t="s">
        <v>3696</v>
      </c>
      <c r="AD433" s="2278" t="s">
        <v>1</v>
      </c>
      <c r="AE433" s="2259"/>
      <c r="AF433" s="2260"/>
      <c r="AG433" s="2278" t="s">
        <v>3696</v>
      </c>
      <c r="AH433" s="2259"/>
      <c r="AI433" s="2260"/>
      <c r="AJ433" s="1908" t="s">
        <v>3714</v>
      </c>
      <c r="AK433" s="2278" t="s">
        <v>3763</v>
      </c>
      <c r="AL433" s="2259"/>
      <c r="AM433" s="2259"/>
      <c r="AN433" s="2259"/>
      <c r="AO433" s="2260"/>
      <c r="AP433" s="1908" t="s">
        <v>3699</v>
      </c>
      <c r="BC433" s="214"/>
      <c r="BD433" s="214"/>
      <c r="BE433" s="214"/>
      <c r="BF433" s="214"/>
    </row>
    <row r="434" spans="1:58" ht="45" hidden="1" customHeight="1">
      <c r="A434" s="808"/>
      <c r="B434" s="2280"/>
      <c r="C434" s="2281"/>
      <c r="D434" s="2282"/>
      <c r="E434" s="1909" t="s">
        <v>3682</v>
      </c>
      <c r="F434" s="1909" t="s">
        <v>4458</v>
      </c>
      <c r="G434" s="1909"/>
      <c r="H434" s="2283" t="s">
        <v>4624</v>
      </c>
      <c r="I434" s="2281"/>
      <c r="J434" s="2282"/>
      <c r="K434" s="2283" t="s">
        <v>4698</v>
      </c>
      <c r="L434" s="2282"/>
      <c r="M434" s="1909" t="e">
        <f>VLOOKUP(K434,'Estimate Details'!$R:$BR,20,FALSE)</f>
        <v>#N/A</v>
      </c>
      <c r="N434" s="1909" t="e">
        <f>VLOOKUP(M434,#REF!,2,FALSE)</f>
        <v>#N/A</v>
      </c>
      <c r="O434" s="1909" t="s">
        <v>3818</v>
      </c>
      <c r="P434" s="2284" t="s">
        <v>3687</v>
      </c>
      <c r="Q434" s="2281"/>
      <c r="R434" s="2282"/>
      <c r="S434" s="1909" t="s">
        <v>3688</v>
      </c>
      <c r="T434" s="1909" t="s">
        <v>3689</v>
      </c>
      <c r="U434" s="1909" t="s">
        <v>3707</v>
      </c>
      <c r="V434" s="1909" t="s">
        <v>3691</v>
      </c>
      <c r="W434" s="1909" t="s">
        <v>3688</v>
      </c>
      <c r="X434" s="1909"/>
      <c r="Y434" s="1909"/>
      <c r="Z434" s="1909"/>
      <c r="AA434" s="1909" t="s">
        <v>3694</v>
      </c>
      <c r="AB434" s="1909" t="s">
        <v>3688</v>
      </c>
      <c r="AC434" s="1909" t="s">
        <v>3696</v>
      </c>
      <c r="AD434" s="2283" t="s">
        <v>3688</v>
      </c>
      <c r="AE434" s="2281"/>
      <c r="AF434" s="2282"/>
      <c r="AG434" s="2283" t="s">
        <v>3696</v>
      </c>
      <c r="AH434" s="2281"/>
      <c r="AI434" s="2282"/>
      <c r="AJ434" s="1909" t="s">
        <v>3814</v>
      </c>
      <c r="AK434" s="2283" t="s">
        <v>3688</v>
      </c>
      <c r="AL434" s="2281"/>
      <c r="AM434" s="2259"/>
      <c r="AN434" s="2281"/>
      <c r="AO434" s="2282"/>
      <c r="AP434" s="1909" t="s">
        <v>3699</v>
      </c>
      <c r="BC434" s="214"/>
      <c r="BD434" s="214"/>
      <c r="BE434" s="214"/>
      <c r="BF434" s="214"/>
    </row>
    <row r="435" spans="1:58" ht="45" hidden="1" customHeight="1">
      <c r="B435" s="2277"/>
      <c r="C435" s="2259"/>
      <c r="D435" s="2260"/>
      <c r="E435" s="1908" t="s">
        <v>3682</v>
      </c>
      <c r="F435" s="1908" t="s">
        <v>4458</v>
      </c>
      <c r="G435" s="1908"/>
      <c r="H435" s="2278" t="s">
        <v>4624</v>
      </c>
      <c r="I435" s="2259"/>
      <c r="J435" s="2260"/>
      <c r="K435" s="2278" t="s">
        <v>4699</v>
      </c>
      <c r="L435" s="2260"/>
      <c r="M435" s="1908" t="e">
        <f>VLOOKUP(K435,'Estimate Details'!$R:$BR,20,FALSE)</f>
        <v>#N/A</v>
      </c>
      <c r="N435" s="1908" t="e">
        <f>VLOOKUP(M435,#REF!,2,FALSE)</f>
        <v>#N/A</v>
      </c>
      <c r="O435" s="1908" t="s">
        <v>4700</v>
      </c>
      <c r="P435" s="2278" t="s">
        <v>3687</v>
      </c>
      <c r="Q435" s="2259"/>
      <c r="R435" s="2260"/>
      <c r="S435" s="1908" t="s">
        <v>3688</v>
      </c>
      <c r="T435" s="1908" t="s">
        <v>3706</v>
      </c>
      <c r="U435" s="1908" t="s">
        <v>3690</v>
      </c>
      <c r="V435" s="1908" t="s">
        <v>3691</v>
      </c>
      <c r="W435" s="1908" t="s">
        <v>3688</v>
      </c>
      <c r="X435" s="1908" t="s">
        <v>4701</v>
      </c>
      <c r="Y435" s="1908" t="s">
        <v>4702</v>
      </c>
      <c r="Z435" s="1908"/>
      <c r="AA435" s="1908" t="s">
        <v>3694</v>
      </c>
      <c r="AB435" s="1908" t="s">
        <v>4703</v>
      </c>
      <c r="AC435" s="1908" t="s">
        <v>3696</v>
      </c>
      <c r="AD435" s="2278" t="s">
        <v>3861</v>
      </c>
      <c r="AE435" s="2259"/>
      <c r="AF435" s="2260"/>
      <c r="AG435" s="2278" t="s">
        <v>3696</v>
      </c>
      <c r="AH435" s="2259"/>
      <c r="AI435" s="2260"/>
      <c r="AJ435" s="1908" t="s">
        <v>4704</v>
      </c>
      <c r="AK435" s="2278" t="s">
        <v>4705</v>
      </c>
      <c r="AL435" s="2259"/>
      <c r="AM435" s="2259"/>
      <c r="AN435" s="2259"/>
      <c r="AO435" s="2260"/>
      <c r="AP435" s="1908" t="s">
        <v>3699</v>
      </c>
      <c r="BC435" s="214"/>
      <c r="BD435" s="214"/>
      <c r="BE435" s="214"/>
      <c r="BF435" s="214"/>
    </row>
    <row r="436" spans="1:58" ht="45" hidden="1" customHeight="1">
      <c r="A436" s="808"/>
      <c r="B436" s="2280"/>
      <c r="C436" s="2281"/>
      <c r="D436" s="2282"/>
      <c r="E436" s="1909" t="s">
        <v>3682</v>
      </c>
      <c r="F436" s="1909" t="s">
        <v>4458</v>
      </c>
      <c r="G436" s="1909"/>
      <c r="H436" s="2283" t="s">
        <v>4624</v>
      </c>
      <c r="I436" s="2281"/>
      <c r="J436" s="2282"/>
      <c r="K436" s="2283" t="s">
        <v>4706</v>
      </c>
      <c r="L436" s="2282"/>
      <c r="M436" s="1909" t="e">
        <f>VLOOKUP(K436,'Estimate Details'!$R:$BR,20,FALSE)</f>
        <v>#N/A</v>
      </c>
      <c r="N436" s="1909" t="e">
        <f>VLOOKUP(M436,#REF!,2,FALSE)</f>
        <v>#N/A</v>
      </c>
      <c r="O436" s="1909" t="s">
        <v>4707</v>
      </c>
      <c r="P436" s="2284" t="s">
        <v>3687</v>
      </c>
      <c r="Q436" s="2281"/>
      <c r="R436" s="2282"/>
      <c r="S436" s="1909" t="s">
        <v>3688</v>
      </c>
      <c r="T436" s="1909" t="s">
        <v>3706</v>
      </c>
      <c r="U436" s="1909" t="s">
        <v>3690</v>
      </c>
      <c r="V436" s="1909" t="s">
        <v>3691</v>
      </c>
      <c r="W436" s="1909" t="s">
        <v>3688</v>
      </c>
      <c r="X436" s="1909" t="s">
        <v>4708</v>
      </c>
      <c r="Y436" s="1909" t="s">
        <v>4709</v>
      </c>
      <c r="Z436" s="1909"/>
      <c r="AA436" s="1909" t="s">
        <v>3694</v>
      </c>
      <c r="AB436" s="1909" t="s">
        <v>4710</v>
      </c>
      <c r="AC436" s="1909" t="s">
        <v>3696</v>
      </c>
      <c r="AD436" s="2283" t="s">
        <v>3861</v>
      </c>
      <c r="AE436" s="2281"/>
      <c r="AF436" s="2282"/>
      <c r="AG436" s="2283" t="s">
        <v>3696</v>
      </c>
      <c r="AH436" s="2281"/>
      <c r="AI436" s="2282"/>
      <c r="AJ436" s="1909" t="s">
        <v>4704</v>
      </c>
      <c r="AK436" s="2283" t="s">
        <v>4711</v>
      </c>
      <c r="AL436" s="2281"/>
      <c r="AM436" s="2259"/>
      <c r="AN436" s="2281"/>
      <c r="AO436" s="2282"/>
      <c r="AP436" s="1909" t="s">
        <v>3699</v>
      </c>
      <c r="BC436" s="214"/>
      <c r="BD436" s="214"/>
      <c r="BE436" s="214"/>
      <c r="BF436" s="214"/>
    </row>
    <row r="437" spans="1:58" ht="45" hidden="1" customHeight="1">
      <c r="B437" s="2277"/>
      <c r="C437" s="2259"/>
      <c r="D437" s="2260"/>
      <c r="E437" s="1908" t="s">
        <v>3682</v>
      </c>
      <c r="F437" s="1908" t="s">
        <v>4458</v>
      </c>
      <c r="G437" s="1908"/>
      <c r="H437" s="2278" t="s">
        <v>4624</v>
      </c>
      <c r="I437" s="2259"/>
      <c r="J437" s="2260"/>
      <c r="K437" s="2278" t="s">
        <v>4712</v>
      </c>
      <c r="L437" s="2260"/>
      <c r="M437" s="1908" t="e">
        <f>VLOOKUP(K437,'Estimate Details'!$R:$BR,20,FALSE)</f>
        <v>#N/A</v>
      </c>
      <c r="N437" s="1908" t="e">
        <f>VLOOKUP(M437,#REF!,2,FALSE)</f>
        <v>#N/A</v>
      </c>
      <c r="O437" s="1908" t="s">
        <v>4713</v>
      </c>
      <c r="P437" s="2278" t="s">
        <v>3687</v>
      </c>
      <c r="Q437" s="2259"/>
      <c r="R437" s="2260"/>
      <c r="S437" s="1908" t="s">
        <v>3688</v>
      </c>
      <c r="T437" s="1908" t="s">
        <v>3706</v>
      </c>
      <c r="U437" s="1908" t="s">
        <v>3690</v>
      </c>
      <c r="V437" s="1908" t="s">
        <v>3691</v>
      </c>
      <c r="W437" s="1908" t="s">
        <v>3688</v>
      </c>
      <c r="X437" s="1908"/>
      <c r="Y437" s="1908"/>
      <c r="Z437" s="1908"/>
      <c r="AA437" s="1908" t="s">
        <v>3694</v>
      </c>
      <c r="AB437" s="1908" t="s">
        <v>4714</v>
      </c>
      <c r="AC437" s="1908" t="s">
        <v>3696</v>
      </c>
      <c r="AD437" s="2278" t="s">
        <v>4715</v>
      </c>
      <c r="AE437" s="2259"/>
      <c r="AF437" s="2260"/>
      <c r="AG437" s="2278" t="s">
        <v>3696</v>
      </c>
      <c r="AH437" s="2259"/>
      <c r="AI437" s="2260"/>
      <c r="AJ437" s="1908" t="s">
        <v>4716</v>
      </c>
      <c r="AK437" s="2278" t="s">
        <v>3793</v>
      </c>
      <c r="AL437" s="2259"/>
      <c r="AM437" s="2259"/>
      <c r="AN437" s="2259"/>
      <c r="AO437" s="2260"/>
      <c r="AP437" s="1908" t="s">
        <v>3699</v>
      </c>
      <c r="BC437" s="214"/>
      <c r="BD437" s="214"/>
      <c r="BE437" s="214"/>
      <c r="BF437" s="214"/>
    </row>
    <row r="438" spans="1:58" ht="45" hidden="1" customHeight="1">
      <c r="A438" s="808"/>
      <c r="B438" s="2280"/>
      <c r="C438" s="2281"/>
      <c r="D438" s="2282"/>
      <c r="E438" s="1909" t="s">
        <v>3682</v>
      </c>
      <c r="F438" s="1909" t="s">
        <v>4458</v>
      </c>
      <c r="G438" s="1909"/>
      <c r="H438" s="2283" t="s">
        <v>4624</v>
      </c>
      <c r="I438" s="2281"/>
      <c r="J438" s="2282"/>
      <c r="K438" s="2283" t="s">
        <v>4717</v>
      </c>
      <c r="L438" s="2282"/>
      <c r="M438" s="1909" t="e">
        <f>VLOOKUP(K438,'Estimate Details'!$R:$BR,20,FALSE)</f>
        <v>#N/A</v>
      </c>
      <c r="N438" s="1909" t="e">
        <f>VLOOKUP(M438,#REF!,2,FALSE)</f>
        <v>#N/A</v>
      </c>
      <c r="O438" s="1909" t="s">
        <v>4718</v>
      </c>
      <c r="P438" s="2284" t="s">
        <v>3687</v>
      </c>
      <c r="Q438" s="2281"/>
      <c r="R438" s="2282"/>
      <c r="S438" s="1909" t="s">
        <v>3688</v>
      </c>
      <c r="T438" s="1909" t="s">
        <v>3689</v>
      </c>
      <c r="U438" s="1909" t="s">
        <v>3690</v>
      </c>
      <c r="V438" s="1909" t="s">
        <v>3691</v>
      </c>
      <c r="W438" s="1909" t="s">
        <v>3688</v>
      </c>
      <c r="X438" s="1909"/>
      <c r="Y438" s="1909"/>
      <c r="Z438" s="1909"/>
      <c r="AA438" s="1909" t="s">
        <v>3694</v>
      </c>
      <c r="AB438" s="1909" t="s">
        <v>4719</v>
      </c>
      <c r="AC438" s="1909" t="s">
        <v>3696</v>
      </c>
      <c r="AD438" s="2283" t="s">
        <v>3688</v>
      </c>
      <c r="AE438" s="2281"/>
      <c r="AF438" s="2282"/>
      <c r="AG438" s="2283" t="s">
        <v>3696</v>
      </c>
      <c r="AH438" s="2281"/>
      <c r="AI438" s="2282"/>
      <c r="AJ438" s="1909" t="s">
        <v>3884</v>
      </c>
      <c r="AK438" s="2283" t="s">
        <v>4720</v>
      </c>
      <c r="AL438" s="2281"/>
      <c r="AM438" s="2259"/>
      <c r="AN438" s="2281"/>
      <c r="AO438" s="2282"/>
      <c r="AP438" s="1909" t="s">
        <v>3699</v>
      </c>
      <c r="BC438" s="214"/>
      <c r="BD438" s="214"/>
      <c r="BE438" s="214"/>
      <c r="BF438" s="214"/>
    </row>
    <row r="439" spans="1:58" ht="45" hidden="1" customHeight="1">
      <c r="B439" s="2277"/>
      <c r="C439" s="2259"/>
      <c r="D439" s="2260"/>
      <c r="E439" s="1908" t="s">
        <v>3682</v>
      </c>
      <c r="F439" s="1908" t="s">
        <v>4458</v>
      </c>
      <c r="G439" s="1908"/>
      <c r="H439" s="2278" t="s">
        <v>4624</v>
      </c>
      <c r="I439" s="2259"/>
      <c r="J439" s="2260"/>
      <c r="K439" s="2278" t="s">
        <v>4721</v>
      </c>
      <c r="L439" s="2260"/>
      <c r="M439" s="1908" t="e">
        <f>VLOOKUP(K439,'Estimate Details'!$R:$BR,20,FALSE)</f>
        <v>#N/A</v>
      </c>
      <c r="N439" s="1908" t="e">
        <f>VLOOKUP(M439,#REF!,2,FALSE)</f>
        <v>#N/A</v>
      </c>
      <c r="O439" s="1908" t="s">
        <v>3686</v>
      </c>
      <c r="P439" s="2278" t="s">
        <v>3687</v>
      </c>
      <c r="Q439" s="2259"/>
      <c r="R439" s="2260"/>
      <c r="S439" s="1908" t="s">
        <v>3688</v>
      </c>
      <c r="T439" s="1908" t="s">
        <v>3689</v>
      </c>
      <c r="U439" s="1908" t="s">
        <v>3690</v>
      </c>
      <c r="V439" s="1908" t="s">
        <v>3691</v>
      </c>
      <c r="W439" s="1908" t="s">
        <v>3688</v>
      </c>
      <c r="X439" s="1908" t="s">
        <v>3692</v>
      </c>
      <c r="Y439" s="1908" t="s">
        <v>3693</v>
      </c>
      <c r="Z439" s="1908"/>
      <c r="AA439" s="1908" t="s">
        <v>3694</v>
      </c>
      <c r="AB439" s="1908" t="s">
        <v>3695</v>
      </c>
      <c r="AC439" s="1908" t="s">
        <v>3696</v>
      </c>
      <c r="AD439" s="2278" t="s">
        <v>3688</v>
      </c>
      <c r="AE439" s="2259"/>
      <c r="AF439" s="2260"/>
      <c r="AG439" s="2278" t="s">
        <v>3696</v>
      </c>
      <c r="AH439" s="2259"/>
      <c r="AI439" s="2260"/>
      <c r="AJ439" s="1908" t="s">
        <v>3697</v>
      </c>
      <c r="AK439" s="2278" t="s">
        <v>3698</v>
      </c>
      <c r="AL439" s="2259"/>
      <c r="AM439" s="2259"/>
      <c r="AN439" s="2259"/>
      <c r="AO439" s="2260"/>
      <c r="AP439" s="1908" t="s">
        <v>3699</v>
      </c>
      <c r="BC439" s="214"/>
      <c r="BD439" s="214"/>
      <c r="BE439" s="214"/>
      <c r="BF439" s="214"/>
    </row>
    <row r="440" spans="1:58" ht="45" hidden="1" customHeight="1">
      <c r="A440" s="808"/>
      <c r="B440" s="2280"/>
      <c r="C440" s="2281"/>
      <c r="D440" s="2282"/>
      <c r="E440" s="1909" t="s">
        <v>3682</v>
      </c>
      <c r="F440" s="1909" t="s">
        <v>4458</v>
      </c>
      <c r="G440" s="1909"/>
      <c r="H440" s="2283" t="s">
        <v>4624</v>
      </c>
      <c r="I440" s="2281"/>
      <c r="J440" s="2282"/>
      <c r="K440" s="2283" t="s">
        <v>4722</v>
      </c>
      <c r="L440" s="2282"/>
      <c r="M440" s="1909" t="e">
        <f>VLOOKUP(K440,'Estimate Details'!$R:$BR,20,FALSE)</f>
        <v>#N/A</v>
      </c>
      <c r="N440" s="1909" t="e">
        <f>VLOOKUP(M440,#REF!,2,FALSE)</f>
        <v>#N/A</v>
      </c>
      <c r="O440" s="1909" t="s">
        <v>3686</v>
      </c>
      <c r="P440" s="2284" t="s">
        <v>3687</v>
      </c>
      <c r="Q440" s="2281"/>
      <c r="R440" s="2282"/>
      <c r="S440" s="1909" t="s">
        <v>3688</v>
      </c>
      <c r="T440" s="1909" t="s">
        <v>3689</v>
      </c>
      <c r="U440" s="1909" t="s">
        <v>3690</v>
      </c>
      <c r="V440" s="1909" t="s">
        <v>3691</v>
      </c>
      <c r="W440" s="1909" t="s">
        <v>3688</v>
      </c>
      <c r="X440" s="1909" t="s">
        <v>3692</v>
      </c>
      <c r="Y440" s="1909" t="s">
        <v>3693</v>
      </c>
      <c r="Z440" s="1909"/>
      <c r="AA440" s="1909" t="s">
        <v>3694</v>
      </c>
      <c r="AB440" s="1909" t="s">
        <v>3695</v>
      </c>
      <c r="AC440" s="1909" t="s">
        <v>3696</v>
      </c>
      <c r="AD440" s="2283" t="s">
        <v>3688</v>
      </c>
      <c r="AE440" s="2281"/>
      <c r="AF440" s="2282"/>
      <c r="AG440" s="2283" t="s">
        <v>3696</v>
      </c>
      <c r="AH440" s="2281"/>
      <c r="AI440" s="2282"/>
      <c r="AJ440" s="1909" t="s">
        <v>3697</v>
      </c>
      <c r="AK440" s="2283" t="s">
        <v>3698</v>
      </c>
      <c r="AL440" s="2281"/>
      <c r="AM440" s="2259"/>
      <c r="AN440" s="2281"/>
      <c r="AO440" s="2282"/>
      <c r="AP440" s="1909" t="s">
        <v>3699</v>
      </c>
      <c r="BC440" s="214"/>
      <c r="BD440" s="214"/>
      <c r="BE440" s="214"/>
      <c r="BF440" s="214"/>
    </row>
    <row r="441" spans="1:58" ht="45" hidden="1" customHeight="1">
      <c r="B441" s="2277"/>
      <c r="C441" s="2259"/>
      <c r="D441" s="2260"/>
      <c r="E441" s="1908" t="s">
        <v>3682</v>
      </c>
      <c r="F441" s="1908" t="s">
        <v>4458</v>
      </c>
      <c r="G441" s="1908"/>
      <c r="H441" s="2278" t="s">
        <v>4624</v>
      </c>
      <c r="I441" s="2259"/>
      <c r="J441" s="2260"/>
      <c r="K441" s="2278" t="s">
        <v>4723</v>
      </c>
      <c r="L441" s="2260"/>
      <c r="M441" s="1908" t="e">
        <f>VLOOKUP(K441,'Estimate Details'!$R:$BR,20,FALSE)</f>
        <v>#N/A</v>
      </c>
      <c r="N441" s="1908" t="e">
        <f>VLOOKUP(M441,#REF!,2,FALSE)</f>
        <v>#N/A</v>
      </c>
      <c r="O441" s="1908" t="s">
        <v>3686</v>
      </c>
      <c r="P441" s="2278" t="s">
        <v>3687</v>
      </c>
      <c r="Q441" s="2259"/>
      <c r="R441" s="2260"/>
      <c r="S441" s="1908" t="s">
        <v>3688</v>
      </c>
      <c r="T441" s="1908" t="s">
        <v>3689</v>
      </c>
      <c r="U441" s="1908" t="s">
        <v>3690</v>
      </c>
      <c r="V441" s="1908" t="s">
        <v>3691</v>
      </c>
      <c r="W441" s="1908" t="s">
        <v>3688</v>
      </c>
      <c r="X441" s="1908" t="s">
        <v>3692</v>
      </c>
      <c r="Y441" s="1908" t="s">
        <v>3693</v>
      </c>
      <c r="Z441" s="1908"/>
      <c r="AA441" s="1908" t="s">
        <v>3694</v>
      </c>
      <c r="AB441" s="1908" t="s">
        <v>3695</v>
      </c>
      <c r="AC441" s="1908" t="s">
        <v>3696</v>
      </c>
      <c r="AD441" s="2278" t="s">
        <v>3688</v>
      </c>
      <c r="AE441" s="2259"/>
      <c r="AF441" s="2260"/>
      <c r="AG441" s="2278" t="s">
        <v>3696</v>
      </c>
      <c r="AH441" s="2259"/>
      <c r="AI441" s="2260"/>
      <c r="AJ441" s="1908" t="s">
        <v>3697</v>
      </c>
      <c r="AK441" s="2278" t="s">
        <v>3698</v>
      </c>
      <c r="AL441" s="2259"/>
      <c r="AM441" s="2259"/>
      <c r="AN441" s="2259"/>
      <c r="AO441" s="2260"/>
      <c r="AP441" s="1908" t="s">
        <v>3699</v>
      </c>
      <c r="BC441" s="214"/>
      <c r="BD441" s="214"/>
      <c r="BE441" s="214"/>
      <c r="BF441" s="214"/>
    </row>
    <row r="442" spans="1:58" ht="45" hidden="1" customHeight="1">
      <c r="A442" s="808"/>
      <c r="B442" s="2280"/>
      <c r="C442" s="2281"/>
      <c r="D442" s="2282"/>
      <c r="E442" s="1909" t="s">
        <v>3682</v>
      </c>
      <c r="F442" s="1909" t="s">
        <v>4458</v>
      </c>
      <c r="G442" s="1909"/>
      <c r="H442" s="2283" t="s">
        <v>4624</v>
      </c>
      <c r="I442" s="2281"/>
      <c r="J442" s="2282"/>
      <c r="K442" s="2283" t="s">
        <v>4724</v>
      </c>
      <c r="L442" s="2282"/>
      <c r="M442" s="1909" t="e">
        <f>VLOOKUP(K442,'Estimate Details'!$R:$BR,20,FALSE)</f>
        <v>#N/A</v>
      </c>
      <c r="N442" s="1909" t="e">
        <f>VLOOKUP(M442,#REF!,2,FALSE)</f>
        <v>#N/A</v>
      </c>
      <c r="O442" s="1909" t="s">
        <v>3686</v>
      </c>
      <c r="P442" s="2284" t="s">
        <v>3687</v>
      </c>
      <c r="Q442" s="2281"/>
      <c r="R442" s="2282"/>
      <c r="S442" s="1909" t="s">
        <v>3688</v>
      </c>
      <c r="T442" s="1909" t="s">
        <v>3689</v>
      </c>
      <c r="U442" s="1909" t="s">
        <v>3690</v>
      </c>
      <c r="V442" s="1909" t="s">
        <v>3691</v>
      </c>
      <c r="W442" s="1909" t="s">
        <v>3688</v>
      </c>
      <c r="X442" s="1909" t="s">
        <v>3692</v>
      </c>
      <c r="Y442" s="1909" t="s">
        <v>3693</v>
      </c>
      <c r="Z442" s="1909"/>
      <c r="AA442" s="1909" t="s">
        <v>3694</v>
      </c>
      <c r="AB442" s="1909" t="s">
        <v>3695</v>
      </c>
      <c r="AC442" s="1909" t="s">
        <v>3696</v>
      </c>
      <c r="AD442" s="2283" t="s">
        <v>3688</v>
      </c>
      <c r="AE442" s="2281"/>
      <c r="AF442" s="2282"/>
      <c r="AG442" s="2283" t="s">
        <v>3696</v>
      </c>
      <c r="AH442" s="2281"/>
      <c r="AI442" s="2282"/>
      <c r="AJ442" s="1909" t="s">
        <v>3697</v>
      </c>
      <c r="AK442" s="2283" t="s">
        <v>3698</v>
      </c>
      <c r="AL442" s="2281"/>
      <c r="AM442" s="2259"/>
      <c r="AN442" s="2281"/>
      <c r="AO442" s="2282"/>
      <c r="AP442" s="1909" t="s">
        <v>3699</v>
      </c>
      <c r="BC442" s="214"/>
      <c r="BD442" s="214"/>
      <c r="BE442" s="214"/>
      <c r="BF442" s="214"/>
    </row>
    <row r="443" spans="1:58" ht="45" hidden="1" customHeight="1">
      <c r="B443" s="2277"/>
      <c r="C443" s="2259"/>
      <c r="D443" s="2260"/>
      <c r="E443" s="1908" t="s">
        <v>3682</v>
      </c>
      <c r="F443" s="1908" t="s">
        <v>4458</v>
      </c>
      <c r="G443" s="1908"/>
      <c r="H443" s="2278" t="s">
        <v>4624</v>
      </c>
      <c r="I443" s="2259"/>
      <c r="J443" s="2260"/>
      <c r="K443" s="2278" t="s">
        <v>4725</v>
      </c>
      <c r="L443" s="2260"/>
      <c r="M443" s="1908" t="e">
        <f>VLOOKUP(K443,'Estimate Details'!$R:$BR,20,FALSE)</f>
        <v>#N/A</v>
      </c>
      <c r="N443" s="1908" t="e">
        <f>VLOOKUP(M443,#REF!,2,FALSE)</f>
        <v>#N/A</v>
      </c>
      <c r="O443" s="1908" t="s">
        <v>3686</v>
      </c>
      <c r="P443" s="2278" t="s">
        <v>3687</v>
      </c>
      <c r="Q443" s="2259"/>
      <c r="R443" s="2260"/>
      <c r="S443" s="1908" t="s">
        <v>3688</v>
      </c>
      <c r="T443" s="1908" t="s">
        <v>3689</v>
      </c>
      <c r="U443" s="1908" t="s">
        <v>3690</v>
      </c>
      <c r="V443" s="1908" t="s">
        <v>3691</v>
      </c>
      <c r="W443" s="1908" t="s">
        <v>3688</v>
      </c>
      <c r="X443" s="1908" t="s">
        <v>3692</v>
      </c>
      <c r="Y443" s="1908" t="s">
        <v>3693</v>
      </c>
      <c r="Z443" s="1908"/>
      <c r="AA443" s="1908" t="s">
        <v>3694</v>
      </c>
      <c r="AB443" s="1908" t="s">
        <v>3695</v>
      </c>
      <c r="AC443" s="1908" t="s">
        <v>3696</v>
      </c>
      <c r="AD443" s="2278" t="s">
        <v>3688</v>
      </c>
      <c r="AE443" s="2259"/>
      <c r="AF443" s="2260"/>
      <c r="AG443" s="2278" t="s">
        <v>3696</v>
      </c>
      <c r="AH443" s="2259"/>
      <c r="AI443" s="2260"/>
      <c r="AJ443" s="1908" t="s">
        <v>3697</v>
      </c>
      <c r="AK443" s="2278" t="s">
        <v>3698</v>
      </c>
      <c r="AL443" s="2259"/>
      <c r="AM443" s="2259"/>
      <c r="AN443" s="2259"/>
      <c r="AO443" s="2260"/>
      <c r="AP443" s="1908" t="s">
        <v>3699</v>
      </c>
      <c r="BC443" s="214"/>
      <c r="BD443" s="214"/>
      <c r="BE443" s="214"/>
      <c r="BF443" s="214"/>
    </row>
    <row r="444" spans="1:58" ht="45" hidden="1" customHeight="1">
      <c r="A444" s="808"/>
      <c r="B444" s="2280"/>
      <c r="C444" s="2281"/>
      <c r="D444" s="2282"/>
      <c r="E444" s="1909" t="s">
        <v>3682</v>
      </c>
      <c r="F444" s="1909" t="s">
        <v>4458</v>
      </c>
      <c r="G444" s="1909"/>
      <c r="H444" s="2283" t="s">
        <v>4624</v>
      </c>
      <c r="I444" s="2281"/>
      <c r="J444" s="2282"/>
      <c r="K444" s="2283" t="s">
        <v>4726</v>
      </c>
      <c r="L444" s="2282"/>
      <c r="M444" s="1909" t="e">
        <f>VLOOKUP(K444,'Estimate Details'!$R:$BR,20,FALSE)</f>
        <v>#N/A</v>
      </c>
      <c r="N444" s="1909" t="e">
        <f>VLOOKUP(M444,#REF!,2,FALSE)</f>
        <v>#N/A</v>
      </c>
      <c r="O444" s="1909" t="s">
        <v>3857</v>
      </c>
      <c r="P444" s="2284" t="s">
        <v>3687</v>
      </c>
      <c r="Q444" s="2281"/>
      <c r="R444" s="2282"/>
      <c r="S444" s="1909" t="s">
        <v>3688</v>
      </c>
      <c r="T444" s="1909" t="s">
        <v>3689</v>
      </c>
      <c r="U444" s="1909" t="s">
        <v>3690</v>
      </c>
      <c r="V444" s="1909" t="s">
        <v>3708</v>
      </c>
      <c r="W444" s="1909" t="s">
        <v>3688</v>
      </c>
      <c r="X444" s="1909" t="s">
        <v>4727</v>
      </c>
      <c r="Y444" s="1909" t="s">
        <v>4728</v>
      </c>
      <c r="Z444" s="1909"/>
      <c r="AA444" s="1909" t="s">
        <v>3694</v>
      </c>
      <c r="AB444" s="1909" t="s">
        <v>4729</v>
      </c>
      <c r="AC444" s="1909" t="s">
        <v>3696</v>
      </c>
      <c r="AD444" s="2283" t="s">
        <v>3876</v>
      </c>
      <c r="AE444" s="2281"/>
      <c r="AF444" s="2282"/>
      <c r="AG444" s="2283" t="s">
        <v>3696</v>
      </c>
      <c r="AH444" s="2281"/>
      <c r="AI444" s="2282"/>
      <c r="AJ444" s="1909" t="s">
        <v>3731</v>
      </c>
      <c r="AK444" s="2283" t="s">
        <v>4730</v>
      </c>
      <c r="AL444" s="2281"/>
      <c r="AM444" s="2259"/>
      <c r="AN444" s="2281"/>
      <c r="AO444" s="2282"/>
      <c r="AP444" s="1909" t="s">
        <v>3699</v>
      </c>
      <c r="BC444" s="214"/>
      <c r="BD444" s="214"/>
      <c r="BE444" s="214"/>
      <c r="BF444" s="214"/>
    </row>
    <row r="445" spans="1:58" ht="45" hidden="1" customHeight="1">
      <c r="B445" s="2277"/>
      <c r="C445" s="2259"/>
      <c r="D445" s="2260"/>
      <c r="E445" s="1908" t="s">
        <v>3682</v>
      </c>
      <c r="F445" s="1908" t="s">
        <v>4458</v>
      </c>
      <c r="G445" s="1908"/>
      <c r="H445" s="2278" t="s">
        <v>4624</v>
      </c>
      <c r="I445" s="2259"/>
      <c r="J445" s="2260"/>
      <c r="K445" s="2278" t="s">
        <v>4731</v>
      </c>
      <c r="L445" s="2260"/>
      <c r="M445" s="1908" t="e">
        <f>VLOOKUP(K445,'Estimate Details'!$R:$BR,20,FALSE)</f>
        <v>#N/A</v>
      </c>
      <c r="N445" s="1908" t="e">
        <f>VLOOKUP(M445,#REF!,2,FALSE)</f>
        <v>#N/A</v>
      </c>
      <c r="O445" s="1908" t="s">
        <v>3851</v>
      </c>
      <c r="P445" s="2278" t="s">
        <v>3687</v>
      </c>
      <c r="Q445" s="2259"/>
      <c r="R445" s="2260"/>
      <c r="S445" s="1908" t="s">
        <v>3688</v>
      </c>
      <c r="T445" s="1908" t="s">
        <v>3706</v>
      </c>
      <c r="U445" s="1908" t="s">
        <v>3690</v>
      </c>
      <c r="V445" s="1908" t="s">
        <v>3691</v>
      </c>
      <c r="W445" s="1908" t="s">
        <v>3688</v>
      </c>
      <c r="X445" s="1908"/>
      <c r="Y445" s="1908"/>
      <c r="Z445" s="1908"/>
      <c r="AA445" s="1908" t="s">
        <v>3694</v>
      </c>
      <c r="AB445" s="1908" t="s">
        <v>4732</v>
      </c>
      <c r="AC445" s="1908" t="s">
        <v>3696</v>
      </c>
      <c r="AD445" s="2278" t="s">
        <v>3853</v>
      </c>
      <c r="AE445" s="2259"/>
      <c r="AF445" s="2260"/>
      <c r="AG445" s="2278" t="s">
        <v>3696</v>
      </c>
      <c r="AH445" s="2259"/>
      <c r="AI445" s="2260"/>
      <c r="AJ445" s="1908" t="s">
        <v>3854</v>
      </c>
      <c r="AK445" s="2278" t="s">
        <v>4733</v>
      </c>
      <c r="AL445" s="2259"/>
      <c r="AM445" s="2259"/>
      <c r="AN445" s="2259"/>
      <c r="AO445" s="2260"/>
      <c r="AP445" s="1908" t="s">
        <v>3699</v>
      </c>
      <c r="BC445" s="214"/>
      <c r="BD445" s="214"/>
      <c r="BE445" s="214"/>
      <c r="BF445" s="214"/>
    </row>
    <row r="446" spans="1:58" ht="45" hidden="1" customHeight="1">
      <c r="A446" s="808"/>
      <c r="B446" s="2280"/>
      <c r="C446" s="2281"/>
      <c r="D446" s="2282"/>
      <c r="E446" s="1909" t="s">
        <v>3682</v>
      </c>
      <c r="F446" s="1909" t="s">
        <v>4458</v>
      </c>
      <c r="G446" s="1909"/>
      <c r="H446" s="2283" t="s">
        <v>4624</v>
      </c>
      <c r="I446" s="2281"/>
      <c r="J446" s="2282"/>
      <c r="K446" s="2283" t="s">
        <v>4734</v>
      </c>
      <c r="L446" s="2282"/>
      <c r="M446" s="1909" t="e">
        <f>VLOOKUP(K446,'Estimate Details'!$R:$BR,20,FALSE)</f>
        <v>#N/A</v>
      </c>
      <c r="N446" s="1909" t="e">
        <f>VLOOKUP(M446,#REF!,2,FALSE)</f>
        <v>#N/A</v>
      </c>
      <c r="O446" s="1909" t="s">
        <v>3864</v>
      </c>
      <c r="P446" s="2284" t="s">
        <v>3687</v>
      </c>
      <c r="Q446" s="2281"/>
      <c r="R446" s="2282"/>
      <c r="S446" s="1909" t="s">
        <v>3688</v>
      </c>
      <c r="T446" s="1909" t="s">
        <v>3706</v>
      </c>
      <c r="U446" s="1909" t="s">
        <v>3690</v>
      </c>
      <c r="V446" s="1909" t="s">
        <v>3691</v>
      </c>
      <c r="W446" s="1909" t="s">
        <v>3688</v>
      </c>
      <c r="X446" s="1909"/>
      <c r="Y446" s="1909"/>
      <c r="Z446" s="1909"/>
      <c r="AA446" s="1909" t="s">
        <v>3694</v>
      </c>
      <c r="AB446" s="1909" t="s">
        <v>3688</v>
      </c>
      <c r="AC446" s="1909" t="s">
        <v>3696</v>
      </c>
      <c r="AD446" s="2283" t="s">
        <v>3865</v>
      </c>
      <c r="AE446" s="2281"/>
      <c r="AF446" s="2282"/>
      <c r="AG446" s="2283" t="s">
        <v>3696</v>
      </c>
      <c r="AH446" s="2281"/>
      <c r="AI446" s="2282"/>
      <c r="AJ446" s="1909" t="s">
        <v>3770</v>
      </c>
      <c r="AK446" s="2283" t="s">
        <v>3866</v>
      </c>
      <c r="AL446" s="2281"/>
      <c r="AM446" s="2259"/>
      <c r="AN446" s="2281"/>
      <c r="AO446" s="2282"/>
      <c r="AP446" s="1909" t="s">
        <v>3699</v>
      </c>
      <c r="BC446" s="214"/>
      <c r="BD446" s="214"/>
      <c r="BE446" s="214"/>
      <c r="BF446" s="214"/>
    </row>
    <row r="447" spans="1:58" ht="45" hidden="1" customHeight="1">
      <c r="B447" s="2277"/>
      <c r="C447" s="2259"/>
      <c r="D447" s="2260"/>
      <c r="E447" s="1908" t="s">
        <v>3682</v>
      </c>
      <c r="F447" s="1908" t="s">
        <v>4458</v>
      </c>
      <c r="G447" s="1908"/>
      <c r="H447" s="2278" t="s">
        <v>4735</v>
      </c>
      <c r="I447" s="2259"/>
      <c r="J447" s="2260"/>
      <c r="K447" s="2278" t="s">
        <v>4736</v>
      </c>
      <c r="L447" s="2260"/>
      <c r="M447" s="1908" t="e">
        <f>VLOOKUP(K447,'Estimate Details'!$R:$BR,20,FALSE)</f>
        <v>#N/A</v>
      </c>
      <c r="N447" s="1908" t="e">
        <f>VLOOKUP(M447,#REF!,2,FALSE)</f>
        <v>#N/A</v>
      </c>
      <c r="O447" s="1908" t="s">
        <v>3880</v>
      </c>
      <c r="P447" s="2278" t="s">
        <v>3687</v>
      </c>
      <c r="Q447" s="2259"/>
      <c r="R447" s="2260"/>
      <c r="S447" s="1908" t="s">
        <v>3688</v>
      </c>
      <c r="T447" s="1908" t="s">
        <v>3689</v>
      </c>
      <c r="U447" s="1908" t="s">
        <v>3690</v>
      </c>
      <c r="V447" s="1908" t="s">
        <v>3691</v>
      </c>
      <c r="W447" s="1908" t="s">
        <v>3688</v>
      </c>
      <c r="X447" s="1908"/>
      <c r="Y447" s="1908"/>
      <c r="Z447" s="1908"/>
      <c r="AA447" s="1908" t="s">
        <v>3694</v>
      </c>
      <c r="AB447" s="1908" t="s">
        <v>3881</v>
      </c>
      <c r="AC447" s="1908" t="s">
        <v>3696</v>
      </c>
      <c r="AD447" s="2278" t="s">
        <v>3882</v>
      </c>
      <c r="AE447" s="2259"/>
      <c r="AF447" s="2260"/>
      <c r="AG447" s="2278" t="s">
        <v>3696</v>
      </c>
      <c r="AH447" s="2259"/>
      <c r="AI447" s="2260"/>
      <c r="AJ447" s="1908" t="s">
        <v>3884</v>
      </c>
      <c r="AK447" s="2278" t="s">
        <v>3885</v>
      </c>
      <c r="AL447" s="2259"/>
      <c r="AM447" s="2259"/>
      <c r="AN447" s="2259"/>
      <c r="AO447" s="2260"/>
      <c r="AP447" s="1908" t="s">
        <v>3699</v>
      </c>
      <c r="BC447" s="214"/>
      <c r="BD447" s="214"/>
      <c r="BE447" s="214"/>
      <c r="BF447" s="214"/>
    </row>
    <row r="448" spans="1:58" ht="45" hidden="1" customHeight="1">
      <c r="A448" s="808"/>
      <c r="B448" s="2280"/>
      <c r="C448" s="2281"/>
      <c r="D448" s="2282"/>
      <c r="E448" s="1909" t="s">
        <v>3682</v>
      </c>
      <c r="F448" s="1909" t="s">
        <v>4458</v>
      </c>
      <c r="G448" s="1909"/>
      <c r="H448" s="2283" t="s">
        <v>4735</v>
      </c>
      <c r="I448" s="2281"/>
      <c r="J448" s="2282"/>
      <c r="K448" s="2283" t="s">
        <v>4737</v>
      </c>
      <c r="L448" s="2282"/>
      <c r="M448" s="1909" t="e">
        <f>VLOOKUP(K448,'Estimate Details'!$R:$BR,20,FALSE)</f>
        <v>#N/A</v>
      </c>
      <c r="N448" s="1909" t="e">
        <f>VLOOKUP(M448,#REF!,2,FALSE)</f>
        <v>#N/A</v>
      </c>
      <c r="O448" s="1909" t="s">
        <v>3887</v>
      </c>
      <c r="P448" s="2284" t="s">
        <v>3687</v>
      </c>
      <c r="Q448" s="2281"/>
      <c r="R448" s="2282"/>
      <c r="S448" s="1909" t="s">
        <v>3688</v>
      </c>
      <c r="T448" s="1909" t="s">
        <v>3706</v>
      </c>
      <c r="U448" s="1909" t="s">
        <v>3690</v>
      </c>
      <c r="V448" s="1909" t="s">
        <v>3691</v>
      </c>
      <c r="W448" s="1909" t="s">
        <v>3688</v>
      </c>
      <c r="X448" s="1909" t="s">
        <v>3888</v>
      </c>
      <c r="Y448" s="1909" t="s">
        <v>3889</v>
      </c>
      <c r="Z448" s="1909"/>
      <c r="AA448" s="1909" t="s">
        <v>3694</v>
      </c>
      <c r="AB448" s="1909" t="s">
        <v>3890</v>
      </c>
      <c r="AC448" s="1909" t="s">
        <v>3696</v>
      </c>
      <c r="AD448" s="2283" t="s">
        <v>3891</v>
      </c>
      <c r="AE448" s="2281"/>
      <c r="AF448" s="2282"/>
      <c r="AG448" s="2283" t="s">
        <v>3696</v>
      </c>
      <c r="AH448" s="2281"/>
      <c r="AI448" s="2282"/>
      <c r="AJ448" s="1909" t="s">
        <v>3884</v>
      </c>
      <c r="AK448" s="2283" t="s">
        <v>3892</v>
      </c>
      <c r="AL448" s="2281"/>
      <c r="AM448" s="2259"/>
      <c r="AN448" s="2281"/>
      <c r="AO448" s="2282"/>
      <c r="AP448" s="1909" t="s">
        <v>3699</v>
      </c>
      <c r="BC448" s="214"/>
      <c r="BD448" s="214"/>
      <c r="BE448" s="214"/>
      <c r="BF448" s="214"/>
    </row>
    <row r="449" spans="1:58" ht="45" hidden="1" customHeight="1">
      <c r="B449" s="2277"/>
      <c r="C449" s="2259"/>
      <c r="D449" s="2260"/>
      <c r="E449" s="1908" t="s">
        <v>3682</v>
      </c>
      <c r="F449" s="1908" t="s">
        <v>4458</v>
      </c>
      <c r="G449" s="1908"/>
      <c r="H449" s="2278" t="s">
        <v>4735</v>
      </c>
      <c r="I449" s="2259"/>
      <c r="J449" s="2260"/>
      <c r="K449" s="2278" t="s">
        <v>4738</v>
      </c>
      <c r="L449" s="2260"/>
      <c r="M449" s="1908" t="e">
        <f>VLOOKUP(K449,'Estimate Details'!$R:$BR,20,FALSE)</f>
        <v>#N/A</v>
      </c>
      <c r="N449" s="1908" t="e">
        <f>VLOOKUP(M449,#REF!,2,FALSE)</f>
        <v>#N/A</v>
      </c>
      <c r="O449" s="1908" t="s">
        <v>3894</v>
      </c>
      <c r="P449" s="2278" t="s">
        <v>3687</v>
      </c>
      <c r="Q449" s="2259"/>
      <c r="R449" s="2260"/>
      <c r="S449" s="1908" t="s">
        <v>3688</v>
      </c>
      <c r="T449" s="1908" t="s">
        <v>3689</v>
      </c>
      <c r="U449" s="1908" t="s">
        <v>3690</v>
      </c>
      <c r="V449" s="1908" t="s">
        <v>3691</v>
      </c>
      <c r="W449" s="1908" t="s">
        <v>3688</v>
      </c>
      <c r="X449" s="1908" t="s">
        <v>3895</v>
      </c>
      <c r="Y449" s="1908" t="s">
        <v>3896</v>
      </c>
      <c r="Z449" s="1908"/>
      <c r="AA449" s="1908" t="s">
        <v>3694</v>
      </c>
      <c r="AB449" s="1908" t="s">
        <v>3897</v>
      </c>
      <c r="AC449" s="1908" t="s">
        <v>3696</v>
      </c>
      <c r="AD449" s="2278" t="s">
        <v>1</v>
      </c>
      <c r="AE449" s="2259"/>
      <c r="AF449" s="2260"/>
      <c r="AG449" s="2278" t="s">
        <v>3696</v>
      </c>
      <c r="AH449" s="2259"/>
      <c r="AI449" s="2260"/>
      <c r="AJ449" s="1908" t="s">
        <v>3884</v>
      </c>
      <c r="AK449" s="2278" t="s">
        <v>3898</v>
      </c>
      <c r="AL449" s="2259"/>
      <c r="AM449" s="2259"/>
      <c r="AN449" s="2259"/>
      <c r="AO449" s="2260"/>
      <c r="AP449" s="1908" t="s">
        <v>3699</v>
      </c>
      <c r="BC449" s="214"/>
      <c r="BD449" s="214"/>
      <c r="BE449" s="214"/>
      <c r="BF449" s="214"/>
    </row>
    <row r="450" spans="1:58" ht="45" hidden="1" customHeight="1">
      <c r="A450" s="808"/>
      <c r="B450" s="2280"/>
      <c r="C450" s="2281"/>
      <c r="D450" s="2282"/>
      <c r="E450" s="1909" t="s">
        <v>3682</v>
      </c>
      <c r="F450" s="1909" t="s">
        <v>4458</v>
      </c>
      <c r="G450" s="1909"/>
      <c r="H450" s="2283" t="s">
        <v>4735</v>
      </c>
      <c r="I450" s="2281"/>
      <c r="J450" s="2282"/>
      <c r="K450" s="2283" t="s">
        <v>4739</v>
      </c>
      <c r="L450" s="2282"/>
      <c r="M450" s="1909" t="e">
        <f>VLOOKUP(K450,'Estimate Details'!$R:$BR,20,FALSE)</f>
        <v>#N/A</v>
      </c>
      <c r="N450" s="1909" t="e">
        <f>VLOOKUP(M450,#REF!,2,FALSE)</f>
        <v>#N/A</v>
      </c>
      <c r="O450" s="1909" t="s">
        <v>3894</v>
      </c>
      <c r="P450" s="2284" t="s">
        <v>3687</v>
      </c>
      <c r="Q450" s="2281"/>
      <c r="R450" s="2282"/>
      <c r="S450" s="1909" t="s">
        <v>3688</v>
      </c>
      <c r="T450" s="1909" t="s">
        <v>3689</v>
      </c>
      <c r="U450" s="1909" t="s">
        <v>3690</v>
      </c>
      <c r="V450" s="1909" t="s">
        <v>3691</v>
      </c>
      <c r="W450" s="1909" t="s">
        <v>3688</v>
      </c>
      <c r="X450" s="1909" t="s">
        <v>3895</v>
      </c>
      <c r="Y450" s="1909" t="s">
        <v>3896</v>
      </c>
      <c r="Z450" s="1909"/>
      <c r="AA450" s="1909" t="s">
        <v>3694</v>
      </c>
      <c r="AB450" s="1909" t="s">
        <v>3897</v>
      </c>
      <c r="AC450" s="1909" t="s">
        <v>3696</v>
      </c>
      <c r="AD450" s="2283" t="s">
        <v>1</v>
      </c>
      <c r="AE450" s="2281"/>
      <c r="AF450" s="2282"/>
      <c r="AG450" s="2283" t="s">
        <v>3696</v>
      </c>
      <c r="AH450" s="2281"/>
      <c r="AI450" s="2282"/>
      <c r="AJ450" s="1909" t="s">
        <v>3884</v>
      </c>
      <c r="AK450" s="2283" t="s">
        <v>3898</v>
      </c>
      <c r="AL450" s="2281"/>
      <c r="AM450" s="2259"/>
      <c r="AN450" s="2281"/>
      <c r="AO450" s="2282"/>
      <c r="AP450" s="1909" t="s">
        <v>3699</v>
      </c>
      <c r="BC450" s="214"/>
      <c r="BD450" s="214"/>
      <c r="BE450" s="214"/>
      <c r="BF450" s="214"/>
    </row>
    <row r="451" spans="1:58" ht="45" hidden="1" customHeight="1">
      <c r="B451" s="2277"/>
      <c r="C451" s="2259"/>
      <c r="D451" s="2260"/>
      <c r="E451" s="1908" t="s">
        <v>3682</v>
      </c>
      <c r="F451" s="1908" t="s">
        <v>4458</v>
      </c>
      <c r="G451" s="1908"/>
      <c r="H451" s="2278" t="s">
        <v>4735</v>
      </c>
      <c r="I451" s="2259"/>
      <c r="J451" s="2260"/>
      <c r="K451" s="2278" t="s">
        <v>4740</v>
      </c>
      <c r="L451" s="2260"/>
      <c r="M451" s="1908" t="e">
        <f>VLOOKUP(K451,'Estimate Details'!$R:$BR,20,FALSE)</f>
        <v>#N/A</v>
      </c>
      <c r="N451" s="1908" t="e">
        <f>VLOOKUP(M451,#REF!,2,FALSE)</f>
        <v>#N/A</v>
      </c>
      <c r="O451" s="1908" t="s">
        <v>3900</v>
      </c>
      <c r="P451" s="2278" t="s">
        <v>3687</v>
      </c>
      <c r="Q451" s="2259"/>
      <c r="R451" s="2260"/>
      <c r="S451" s="1908" t="s">
        <v>3688</v>
      </c>
      <c r="T451" s="1908" t="s">
        <v>3689</v>
      </c>
      <c r="U451" s="1908" t="s">
        <v>3690</v>
      </c>
      <c r="V451" s="1908" t="s">
        <v>3691</v>
      </c>
      <c r="W451" s="1908" t="s">
        <v>3688</v>
      </c>
      <c r="X451" s="1908" t="s">
        <v>3901</v>
      </c>
      <c r="Y451" s="1908" t="s">
        <v>3902</v>
      </c>
      <c r="Z451" s="1908"/>
      <c r="AA451" s="1908" t="s">
        <v>3694</v>
      </c>
      <c r="AB451" s="1908" t="s">
        <v>3903</v>
      </c>
      <c r="AC451" s="1908" t="s">
        <v>3696</v>
      </c>
      <c r="AD451" s="2278" t="s">
        <v>1</v>
      </c>
      <c r="AE451" s="2259"/>
      <c r="AF451" s="2260"/>
      <c r="AG451" s="2278" t="s">
        <v>3696</v>
      </c>
      <c r="AH451" s="2259"/>
      <c r="AI451" s="2260"/>
      <c r="AJ451" s="1908" t="s">
        <v>3884</v>
      </c>
      <c r="AK451" s="2278" t="s">
        <v>3904</v>
      </c>
      <c r="AL451" s="2259"/>
      <c r="AM451" s="2259"/>
      <c r="AN451" s="2259"/>
      <c r="AO451" s="2260"/>
      <c r="AP451" s="1908" t="s">
        <v>3699</v>
      </c>
      <c r="BC451" s="214"/>
      <c r="BD451" s="214"/>
      <c r="BE451" s="214"/>
      <c r="BF451" s="214"/>
    </row>
    <row r="452" spans="1:58" ht="45" hidden="1" customHeight="1">
      <c r="A452" s="808"/>
      <c r="B452" s="2280"/>
      <c r="C452" s="2281"/>
      <c r="D452" s="2282"/>
      <c r="E452" s="1909" t="s">
        <v>3682</v>
      </c>
      <c r="F452" s="1909" t="s">
        <v>4458</v>
      </c>
      <c r="G452" s="1909"/>
      <c r="H452" s="2283" t="s">
        <v>4735</v>
      </c>
      <c r="I452" s="2281"/>
      <c r="J452" s="2282"/>
      <c r="K452" s="2283" t="s">
        <v>4741</v>
      </c>
      <c r="L452" s="2282"/>
      <c r="M452" s="1909" t="e">
        <f>VLOOKUP(K452,'Estimate Details'!$R:$BR,20,FALSE)</f>
        <v>#N/A</v>
      </c>
      <c r="N452" s="1909" t="e">
        <f>VLOOKUP(M452,#REF!,2,FALSE)</f>
        <v>#N/A</v>
      </c>
      <c r="O452" s="1909" t="s">
        <v>3927</v>
      </c>
      <c r="P452" s="2284" t="s">
        <v>3687</v>
      </c>
      <c r="Q452" s="2281"/>
      <c r="R452" s="2282"/>
      <c r="S452" s="1909" t="s">
        <v>3688</v>
      </c>
      <c r="T452" s="1909" t="s">
        <v>3689</v>
      </c>
      <c r="U452" s="1909" t="s">
        <v>3690</v>
      </c>
      <c r="V452" s="1909" t="s">
        <v>3691</v>
      </c>
      <c r="W452" s="1909" t="s">
        <v>3688</v>
      </c>
      <c r="X452" s="1909"/>
      <c r="Y452" s="1909"/>
      <c r="Z452" s="1909"/>
      <c r="AA452" s="1909" t="s">
        <v>3694</v>
      </c>
      <c r="AB452" s="1909" t="s">
        <v>4742</v>
      </c>
      <c r="AC452" s="1909" t="s">
        <v>3696</v>
      </c>
      <c r="AD452" s="2283" t="s">
        <v>3929</v>
      </c>
      <c r="AE452" s="2281"/>
      <c r="AF452" s="2282"/>
      <c r="AG452" s="2283" t="s">
        <v>4743</v>
      </c>
      <c r="AH452" s="2281"/>
      <c r="AI452" s="2282"/>
      <c r="AJ452" s="1909" t="s">
        <v>3931</v>
      </c>
      <c r="AK452" s="2283" t="s">
        <v>3932</v>
      </c>
      <c r="AL452" s="2281"/>
      <c r="AM452" s="2259"/>
      <c r="AN452" s="2281"/>
      <c r="AO452" s="2282"/>
      <c r="AP452" s="1909" t="s">
        <v>3699</v>
      </c>
      <c r="BC452" s="214"/>
      <c r="BD452" s="214"/>
      <c r="BE452" s="214"/>
      <c r="BF452" s="214"/>
    </row>
    <row r="453" spans="1:58" ht="45" hidden="1" customHeight="1">
      <c r="B453" s="2277"/>
      <c r="C453" s="2259"/>
      <c r="D453" s="2260"/>
      <c r="E453" s="1908" t="s">
        <v>3682</v>
      </c>
      <c r="F453" s="1908" t="s">
        <v>4458</v>
      </c>
      <c r="G453" s="1908"/>
      <c r="H453" s="2278" t="s">
        <v>4735</v>
      </c>
      <c r="I453" s="2259"/>
      <c r="J453" s="2260"/>
      <c r="K453" s="2278" t="s">
        <v>4744</v>
      </c>
      <c r="L453" s="2260"/>
      <c r="M453" s="1908" t="e">
        <f>VLOOKUP(K453,'Estimate Details'!$R:$BR,20,FALSE)</f>
        <v>#N/A</v>
      </c>
      <c r="N453" s="1908" t="e">
        <f>VLOOKUP(M453,#REF!,2,FALSE)</f>
        <v>#N/A</v>
      </c>
      <c r="O453" s="1908" t="s">
        <v>4745</v>
      </c>
      <c r="P453" s="2278" t="s">
        <v>3687</v>
      </c>
      <c r="Q453" s="2259"/>
      <c r="R453" s="2260"/>
      <c r="S453" s="1908" t="s">
        <v>3688</v>
      </c>
      <c r="T453" s="1908" t="s">
        <v>3689</v>
      </c>
      <c r="U453" s="1908" t="s">
        <v>3690</v>
      </c>
      <c r="V453" s="1908" t="s">
        <v>3691</v>
      </c>
      <c r="W453" s="1908" t="s">
        <v>3688</v>
      </c>
      <c r="X453" s="1908" t="s">
        <v>4746</v>
      </c>
      <c r="Y453" s="1908"/>
      <c r="Z453" s="1908"/>
      <c r="AA453" s="1908" t="s">
        <v>3694</v>
      </c>
      <c r="AB453" s="1908" t="s">
        <v>4747</v>
      </c>
      <c r="AC453" s="1908" t="s">
        <v>3696</v>
      </c>
      <c r="AD453" s="2278" t="s">
        <v>3688</v>
      </c>
      <c r="AE453" s="2259"/>
      <c r="AF453" s="2260"/>
      <c r="AG453" s="2278" t="s">
        <v>3696</v>
      </c>
      <c r="AH453" s="2259"/>
      <c r="AI453" s="2260"/>
      <c r="AJ453" s="1908" t="s">
        <v>3923</v>
      </c>
      <c r="AK453" s="2278"/>
      <c r="AL453" s="2259"/>
      <c r="AM453" s="2259"/>
      <c r="AN453" s="2259"/>
      <c r="AO453" s="2260"/>
      <c r="AP453" s="1908" t="s">
        <v>3699</v>
      </c>
      <c r="BC453" s="214"/>
      <c r="BD453" s="214"/>
      <c r="BE453" s="214"/>
      <c r="BF453" s="214"/>
    </row>
    <row r="454" spans="1:58" ht="45" hidden="1" customHeight="1">
      <c r="A454" s="808"/>
      <c r="B454" s="2280"/>
      <c r="C454" s="2281"/>
      <c r="D454" s="2282"/>
      <c r="E454" s="1909" t="s">
        <v>3682</v>
      </c>
      <c r="F454" s="1909" t="s">
        <v>4458</v>
      </c>
      <c r="G454" s="1909"/>
      <c r="H454" s="2283" t="s">
        <v>4735</v>
      </c>
      <c r="I454" s="2281"/>
      <c r="J454" s="2282"/>
      <c r="K454" s="2283" t="s">
        <v>4748</v>
      </c>
      <c r="L454" s="2282"/>
      <c r="M454" s="1909" t="e">
        <f>VLOOKUP(K454,'Estimate Details'!$R:$BR,20,FALSE)</f>
        <v>#N/A</v>
      </c>
      <c r="N454" s="1909" t="e">
        <f>VLOOKUP(M454,#REF!,2,FALSE)</f>
        <v>#N/A</v>
      </c>
      <c r="O454" s="1909" t="s">
        <v>4749</v>
      </c>
      <c r="P454" s="2284" t="s">
        <v>3687</v>
      </c>
      <c r="Q454" s="2281"/>
      <c r="R454" s="2282"/>
      <c r="S454" s="1909" t="s">
        <v>3688</v>
      </c>
      <c r="T454" s="1909" t="s">
        <v>3689</v>
      </c>
      <c r="U454" s="1909" t="s">
        <v>3690</v>
      </c>
      <c r="V454" s="1909" t="s">
        <v>3691</v>
      </c>
      <c r="W454" s="1909" t="s">
        <v>3688</v>
      </c>
      <c r="X454" s="1909"/>
      <c r="Y454" s="1909"/>
      <c r="Z454" s="1909"/>
      <c r="AA454" s="1909" t="s">
        <v>3694</v>
      </c>
      <c r="AB454" s="1909" t="s">
        <v>4750</v>
      </c>
      <c r="AC454" s="1909" t="s">
        <v>3696</v>
      </c>
      <c r="AD454" s="2283" t="s">
        <v>4751</v>
      </c>
      <c r="AE454" s="2281"/>
      <c r="AF454" s="2282"/>
      <c r="AG454" s="2283" t="s">
        <v>3696</v>
      </c>
      <c r="AH454" s="2281"/>
      <c r="AI454" s="2282"/>
      <c r="AJ454" s="1909" t="s">
        <v>3884</v>
      </c>
      <c r="AK454" s="2283" t="s">
        <v>4752</v>
      </c>
      <c r="AL454" s="2281"/>
      <c r="AM454" s="2259"/>
      <c r="AN454" s="2281"/>
      <c r="AO454" s="2282"/>
      <c r="AP454" s="1909" t="s">
        <v>3699</v>
      </c>
      <c r="BC454" s="214"/>
      <c r="BD454" s="214"/>
      <c r="BE454" s="214"/>
      <c r="BF454" s="214"/>
    </row>
    <row r="455" spans="1:58" ht="45" hidden="1" customHeight="1">
      <c r="B455" s="2277"/>
      <c r="C455" s="2259"/>
      <c r="D455" s="2260"/>
      <c r="E455" s="1908" t="s">
        <v>3682</v>
      </c>
      <c r="F455" s="1908" t="s">
        <v>4458</v>
      </c>
      <c r="G455" s="1908"/>
      <c r="H455" s="2278" t="s">
        <v>4735</v>
      </c>
      <c r="I455" s="2259"/>
      <c r="J455" s="2260"/>
      <c r="K455" s="2278" t="s">
        <v>4753</v>
      </c>
      <c r="L455" s="2260"/>
      <c r="M455" s="1908" t="e">
        <f>VLOOKUP(K455,'Estimate Details'!$R:$BR,20,FALSE)</f>
        <v>#N/A</v>
      </c>
      <c r="N455" s="1908" t="e">
        <f>VLOOKUP(M455,#REF!,2,FALSE)</f>
        <v>#N/A</v>
      </c>
      <c r="O455" s="1908" t="s">
        <v>4754</v>
      </c>
      <c r="P455" s="2278" t="s">
        <v>3687</v>
      </c>
      <c r="Q455" s="2259"/>
      <c r="R455" s="2260"/>
      <c r="S455" s="1908" t="s">
        <v>3688</v>
      </c>
      <c r="T455" s="1908" t="s">
        <v>3689</v>
      </c>
      <c r="U455" s="1908" t="s">
        <v>3690</v>
      </c>
      <c r="V455" s="1908" t="s">
        <v>3691</v>
      </c>
      <c r="W455" s="1908" t="s">
        <v>3688</v>
      </c>
      <c r="X455" s="1908" t="s">
        <v>4755</v>
      </c>
      <c r="Y455" s="1908"/>
      <c r="Z455" s="1908"/>
      <c r="AA455" s="1908" t="s">
        <v>3694</v>
      </c>
      <c r="AB455" s="1908" t="s">
        <v>4756</v>
      </c>
      <c r="AC455" s="1908" t="s">
        <v>3696</v>
      </c>
      <c r="AD455" s="2278" t="s">
        <v>4757</v>
      </c>
      <c r="AE455" s="2259"/>
      <c r="AF455" s="2260"/>
      <c r="AG455" s="2278" t="s">
        <v>3696</v>
      </c>
      <c r="AH455" s="2259"/>
      <c r="AI455" s="2260"/>
      <c r="AJ455" s="1908" t="s">
        <v>3884</v>
      </c>
      <c r="AK455" s="2278" t="s">
        <v>4758</v>
      </c>
      <c r="AL455" s="2259"/>
      <c r="AM455" s="2259"/>
      <c r="AN455" s="2259"/>
      <c r="AO455" s="2260"/>
      <c r="AP455" s="1908" t="s">
        <v>3699</v>
      </c>
      <c r="BC455" s="214"/>
      <c r="BD455" s="214"/>
      <c r="BE455" s="214"/>
      <c r="BF455" s="214"/>
    </row>
    <row r="456" spans="1:58" ht="45" hidden="1" customHeight="1">
      <c r="A456" s="808"/>
      <c r="B456" s="2280"/>
      <c r="C456" s="2281"/>
      <c r="D456" s="2282"/>
      <c r="E456" s="1909" t="s">
        <v>3682</v>
      </c>
      <c r="F456" s="1909" t="s">
        <v>4458</v>
      </c>
      <c r="G456" s="1909"/>
      <c r="H456" s="2283" t="s">
        <v>4735</v>
      </c>
      <c r="I456" s="2281"/>
      <c r="J456" s="2282"/>
      <c r="K456" s="2283" t="s">
        <v>4759</v>
      </c>
      <c r="L456" s="2282"/>
      <c r="M456" s="1909" t="e">
        <f>VLOOKUP(K456,'Estimate Details'!$R:$BR,20,FALSE)</f>
        <v>#N/A</v>
      </c>
      <c r="N456" s="1909" t="e">
        <f>VLOOKUP(M456,#REF!,2,FALSE)</f>
        <v>#N/A</v>
      </c>
      <c r="O456" s="1909" t="s">
        <v>4760</v>
      </c>
      <c r="P456" s="2284" t="s">
        <v>3687</v>
      </c>
      <c r="Q456" s="2281"/>
      <c r="R456" s="2282"/>
      <c r="S456" s="1909" t="s">
        <v>3688</v>
      </c>
      <c r="T456" s="1909" t="s">
        <v>3689</v>
      </c>
      <c r="U456" s="1909" t="s">
        <v>3690</v>
      </c>
      <c r="V456" s="1909" t="s">
        <v>3691</v>
      </c>
      <c r="W456" s="1909" t="s">
        <v>3688</v>
      </c>
      <c r="X456" s="1909" t="s">
        <v>4761</v>
      </c>
      <c r="Y456" s="1909" t="s">
        <v>4762</v>
      </c>
      <c r="Z456" s="1909"/>
      <c r="AA456" s="1909" t="s">
        <v>3694</v>
      </c>
      <c r="AB456" s="1909" t="s">
        <v>4763</v>
      </c>
      <c r="AC456" s="1909" t="s">
        <v>3696</v>
      </c>
      <c r="AD456" s="2283" t="s">
        <v>4764</v>
      </c>
      <c r="AE456" s="2281"/>
      <c r="AF456" s="2282"/>
      <c r="AG456" s="2283" t="s">
        <v>3696</v>
      </c>
      <c r="AH456" s="2281"/>
      <c r="AI456" s="2282"/>
      <c r="AJ456" s="1909" t="s">
        <v>3884</v>
      </c>
      <c r="AK456" s="2283" t="s">
        <v>4765</v>
      </c>
      <c r="AL456" s="2281"/>
      <c r="AM456" s="2259"/>
      <c r="AN456" s="2281"/>
      <c r="AO456" s="2282"/>
      <c r="AP456" s="1909" t="s">
        <v>3699</v>
      </c>
      <c r="BC456" s="214"/>
      <c r="BD456" s="214"/>
      <c r="BE456" s="214"/>
      <c r="BF456" s="214"/>
    </row>
    <row r="457" spans="1:58" ht="45" hidden="1" customHeight="1">
      <c r="B457" s="2277"/>
      <c r="C457" s="2259"/>
      <c r="D457" s="2260"/>
      <c r="E457" s="1908" t="s">
        <v>3682</v>
      </c>
      <c r="F457" s="1908" t="s">
        <v>4458</v>
      </c>
      <c r="G457" s="1908"/>
      <c r="H457" s="2278" t="s">
        <v>4735</v>
      </c>
      <c r="I457" s="2259"/>
      <c r="J457" s="2260"/>
      <c r="K457" s="2278" t="s">
        <v>4766</v>
      </c>
      <c r="L457" s="2260"/>
      <c r="M457" s="1908" t="e">
        <f>VLOOKUP(K457,'Estimate Details'!$R:$BR,20,FALSE)</f>
        <v>#N/A</v>
      </c>
      <c r="N457" s="1908" t="e">
        <f>VLOOKUP(M457,#REF!,2,FALSE)</f>
        <v>#N/A</v>
      </c>
      <c r="O457" s="1908" t="s">
        <v>4767</v>
      </c>
      <c r="P457" s="2278" t="s">
        <v>3687</v>
      </c>
      <c r="Q457" s="2259"/>
      <c r="R457" s="2260"/>
      <c r="S457" s="1908" t="s">
        <v>3688</v>
      </c>
      <c r="T457" s="1908" t="s">
        <v>3689</v>
      </c>
      <c r="U457" s="1908" t="s">
        <v>3707</v>
      </c>
      <c r="V457" s="1908" t="s">
        <v>3691</v>
      </c>
      <c r="W457" s="1908" t="s">
        <v>3688</v>
      </c>
      <c r="X457" s="1908" t="s">
        <v>4768</v>
      </c>
      <c r="Y457" s="1908"/>
      <c r="Z457" s="1908"/>
      <c r="AA457" s="1908" t="s">
        <v>3694</v>
      </c>
      <c r="AB457" s="1908" t="s">
        <v>4769</v>
      </c>
      <c r="AC457" s="1908" t="s">
        <v>3696</v>
      </c>
      <c r="AD457" s="2278" t="s">
        <v>4770</v>
      </c>
      <c r="AE457" s="2259"/>
      <c r="AF457" s="2260"/>
      <c r="AG457" s="2278" t="s">
        <v>3696</v>
      </c>
      <c r="AH457" s="2259"/>
      <c r="AI457" s="2260"/>
      <c r="AJ457" s="1908" t="s">
        <v>3884</v>
      </c>
      <c r="AK457" s="2278" t="s">
        <v>4771</v>
      </c>
      <c r="AL457" s="2259"/>
      <c r="AM457" s="2259"/>
      <c r="AN457" s="2259"/>
      <c r="AO457" s="2260"/>
      <c r="AP457" s="1908">
        <v>2014</v>
      </c>
      <c r="BC457" s="214"/>
      <c r="BD457" s="214"/>
      <c r="BE457" s="214"/>
      <c r="BF457" s="214"/>
    </row>
    <row r="458" spans="1:58" ht="45" hidden="1" customHeight="1">
      <c r="A458" s="808"/>
      <c r="B458" s="2280"/>
      <c r="C458" s="2281"/>
      <c r="D458" s="2282"/>
      <c r="E458" s="1909" t="s">
        <v>3682</v>
      </c>
      <c r="F458" s="1909" t="s">
        <v>4458</v>
      </c>
      <c r="G458" s="1909"/>
      <c r="H458" s="2283" t="s">
        <v>4735</v>
      </c>
      <c r="I458" s="2281"/>
      <c r="J458" s="2282"/>
      <c r="K458" s="2283" t="s">
        <v>4772</v>
      </c>
      <c r="L458" s="2282"/>
      <c r="M458" s="1909" t="e">
        <f>VLOOKUP(K458,'Estimate Details'!$R:$BR,20,FALSE)</f>
        <v>#N/A</v>
      </c>
      <c r="N458" s="1909" t="e">
        <f>VLOOKUP(M458,#REF!,2,FALSE)</f>
        <v>#N/A</v>
      </c>
      <c r="O458" s="1909" t="s">
        <v>3934</v>
      </c>
      <c r="P458" s="2284" t="s">
        <v>3687</v>
      </c>
      <c r="Q458" s="2281"/>
      <c r="R458" s="2282"/>
      <c r="S458" s="1909" t="s">
        <v>3688</v>
      </c>
      <c r="T458" s="1909" t="s">
        <v>3689</v>
      </c>
      <c r="U458" s="1909" t="s">
        <v>3690</v>
      </c>
      <c r="V458" s="1909" t="s">
        <v>3691</v>
      </c>
      <c r="W458" s="1909" t="s">
        <v>3688</v>
      </c>
      <c r="X458" s="1909"/>
      <c r="Y458" s="1909"/>
      <c r="Z458" s="1909"/>
      <c r="AA458" s="1909" t="s">
        <v>3694</v>
      </c>
      <c r="AB458" s="1909" t="s">
        <v>4773</v>
      </c>
      <c r="AC458" s="1909" t="s">
        <v>3696</v>
      </c>
      <c r="AD458" s="2283" t="s">
        <v>4774</v>
      </c>
      <c r="AE458" s="2281"/>
      <c r="AF458" s="2282"/>
      <c r="AG458" s="2283" t="s">
        <v>4629</v>
      </c>
      <c r="AH458" s="2281"/>
      <c r="AI458" s="2282"/>
      <c r="AJ458" s="1909" t="s">
        <v>3931</v>
      </c>
      <c r="AK458" s="2283" t="s">
        <v>3937</v>
      </c>
      <c r="AL458" s="2281"/>
      <c r="AM458" s="2259"/>
      <c r="AN458" s="2281"/>
      <c r="AO458" s="2282"/>
      <c r="AP458" s="1909" t="s">
        <v>3699</v>
      </c>
      <c r="BC458" s="214"/>
      <c r="BD458" s="214"/>
      <c r="BE458" s="214"/>
      <c r="BF458" s="214"/>
    </row>
    <row r="459" spans="1:58" ht="45" hidden="1" customHeight="1">
      <c r="B459" s="2277"/>
      <c r="C459" s="2259"/>
      <c r="D459" s="2260"/>
      <c r="E459" s="1908" t="s">
        <v>3682</v>
      </c>
      <c r="F459" s="1908" t="s">
        <v>4458</v>
      </c>
      <c r="G459" s="1908"/>
      <c r="H459" s="2278" t="s">
        <v>4735</v>
      </c>
      <c r="I459" s="2259"/>
      <c r="J459" s="2260"/>
      <c r="K459" s="2278" t="s">
        <v>4775</v>
      </c>
      <c r="L459" s="2260"/>
      <c r="M459" s="1908" t="e">
        <f>VLOOKUP(K459,'Estimate Details'!$R:$BR,20,FALSE)</f>
        <v>#N/A</v>
      </c>
      <c r="N459" s="1908" t="e">
        <f>VLOOKUP(M459,#REF!,2,FALSE)</f>
        <v>#N/A</v>
      </c>
      <c r="O459" s="1908" t="s">
        <v>3939</v>
      </c>
      <c r="P459" s="2278" t="s">
        <v>3687</v>
      </c>
      <c r="Q459" s="2259"/>
      <c r="R459" s="2260"/>
      <c r="S459" s="1908" t="s">
        <v>3688</v>
      </c>
      <c r="T459" s="1908" t="s">
        <v>3689</v>
      </c>
      <c r="U459" s="1908" t="s">
        <v>3690</v>
      </c>
      <c r="V459" s="1908" t="s">
        <v>3691</v>
      </c>
      <c r="W459" s="1908" t="s">
        <v>3688</v>
      </c>
      <c r="X459" s="1908"/>
      <c r="Y459" s="1908"/>
      <c r="Z459" s="1908"/>
      <c r="AA459" s="1908" t="s">
        <v>3694</v>
      </c>
      <c r="AB459" s="1908" t="s">
        <v>3940</v>
      </c>
      <c r="AC459" s="1908" t="s">
        <v>3696</v>
      </c>
      <c r="AD459" s="2278" t="s">
        <v>3688</v>
      </c>
      <c r="AE459" s="2259"/>
      <c r="AF459" s="2260"/>
      <c r="AG459" s="2278" t="s">
        <v>3696</v>
      </c>
      <c r="AH459" s="2259"/>
      <c r="AI459" s="2260"/>
      <c r="AJ459" s="1908" t="s">
        <v>3931</v>
      </c>
      <c r="AK459" s="2278" t="s">
        <v>3688</v>
      </c>
      <c r="AL459" s="2259"/>
      <c r="AM459" s="2259"/>
      <c r="AN459" s="2259"/>
      <c r="AO459" s="2260"/>
      <c r="AP459" s="1908" t="s">
        <v>3699</v>
      </c>
      <c r="BC459" s="214"/>
      <c r="BD459" s="214"/>
      <c r="BE459" s="214"/>
      <c r="BF459" s="214"/>
    </row>
    <row r="460" spans="1:58" ht="45" hidden="1" customHeight="1">
      <c r="A460" s="808"/>
      <c r="B460" s="2280"/>
      <c r="C460" s="2281"/>
      <c r="D460" s="2282"/>
      <c r="E460" s="1909" t="s">
        <v>3682</v>
      </c>
      <c r="F460" s="1909" t="s">
        <v>4458</v>
      </c>
      <c r="G460" s="1909"/>
      <c r="H460" s="2283" t="s">
        <v>4735</v>
      </c>
      <c r="I460" s="2281"/>
      <c r="J460" s="2282"/>
      <c r="K460" s="2283" t="s">
        <v>4776</v>
      </c>
      <c r="L460" s="2282"/>
      <c r="M460" s="1909" t="e">
        <f>VLOOKUP(K460,'Estimate Details'!$R:$BR,20,FALSE)</f>
        <v>#N/A</v>
      </c>
      <c r="N460" s="1909" t="e">
        <f>VLOOKUP(M460,#REF!,2,FALSE)</f>
        <v>#N/A</v>
      </c>
      <c r="O460" s="1909" t="s">
        <v>3939</v>
      </c>
      <c r="P460" s="2284" t="s">
        <v>3687</v>
      </c>
      <c r="Q460" s="2281"/>
      <c r="R460" s="2282"/>
      <c r="S460" s="1909" t="s">
        <v>3688</v>
      </c>
      <c r="T460" s="1909" t="s">
        <v>3689</v>
      </c>
      <c r="U460" s="1909" t="s">
        <v>3690</v>
      </c>
      <c r="V460" s="1909" t="s">
        <v>3691</v>
      </c>
      <c r="W460" s="1909" t="s">
        <v>3688</v>
      </c>
      <c r="X460" s="1909"/>
      <c r="Y460" s="1909"/>
      <c r="Z460" s="1909"/>
      <c r="AA460" s="1909" t="s">
        <v>3694</v>
      </c>
      <c r="AB460" s="1909" t="s">
        <v>3940</v>
      </c>
      <c r="AC460" s="1909" t="s">
        <v>3696</v>
      </c>
      <c r="AD460" s="2283" t="s">
        <v>3688</v>
      </c>
      <c r="AE460" s="2281"/>
      <c r="AF460" s="2282"/>
      <c r="AG460" s="2283" t="s">
        <v>3696</v>
      </c>
      <c r="AH460" s="2281"/>
      <c r="AI460" s="2282"/>
      <c r="AJ460" s="1909" t="s">
        <v>3931</v>
      </c>
      <c r="AK460" s="2283" t="s">
        <v>3688</v>
      </c>
      <c r="AL460" s="2281"/>
      <c r="AM460" s="2259"/>
      <c r="AN460" s="2281"/>
      <c r="AO460" s="2282"/>
      <c r="AP460" s="1909" t="s">
        <v>3699</v>
      </c>
      <c r="BC460" s="214"/>
      <c r="BD460" s="214"/>
      <c r="BE460" s="214"/>
      <c r="BF460" s="214"/>
    </row>
    <row r="461" spans="1:58" ht="45" hidden="1" customHeight="1">
      <c r="B461" s="2277"/>
      <c r="C461" s="2259"/>
      <c r="D461" s="2260"/>
      <c r="E461" s="1908" t="s">
        <v>3682</v>
      </c>
      <c r="F461" s="1908" t="s">
        <v>4458</v>
      </c>
      <c r="G461" s="1908"/>
      <c r="H461" s="2278" t="s">
        <v>4735</v>
      </c>
      <c r="I461" s="2259"/>
      <c r="J461" s="2260"/>
      <c r="K461" s="2278" t="s">
        <v>4777</v>
      </c>
      <c r="L461" s="2260"/>
      <c r="M461" s="1908" t="e">
        <f>VLOOKUP(K461,'Estimate Details'!$R:$BR,20,FALSE)</f>
        <v>#N/A</v>
      </c>
      <c r="N461" s="1908" t="e">
        <f>VLOOKUP(M461,#REF!,2,FALSE)</f>
        <v>#N/A</v>
      </c>
      <c r="O461" s="1908" t="s">
        <v>3939</v>
      </c>
      <c r="P461" s="2278" t="s">
        <v>3687</v>
      </c>
      <c r="Q461" s="2259"/>
      <c r="R461" s="2260"/>
      <c r="S461" s="1908" t="s">
        <v>3688</v>
      </c>
      <c r="T461" s="1908" t="s">
        <v>3689</v>
      </c>
      <c r="U461" s="1908" t="s">
        <v>3690</v>
      </c>
      <c r="V461" s="1908" t="s">
        <v>3691</v>
      </c>
      <c r="W461" s="1908" t="s">
        <v>3688</v>
      </c>
      <c r="X461" s="1908"/>
      <c r="Y461" s="1908"/>
      <c r="Z461" s="1908"/>
      <c r="AA461" s="1908" t="s">
        <v>3694</v>
      </c>
      <c r="AB461" s="1908" t="s">
        <v>3940</v>
      </c>
      <c r="AC461" s="1908" t="s">
        <v>3696</v>
      </c>
      <c r="AD461" s="2278" t="s">
        <v>3688</v>
      </c>
      <c r="AE461" s="2259"/>
      <c r="AF461" s="2260"/>
      <c r="AG461" s="2278" t="s">
        <v>3696</v>
      </c>
      <c r="AH461" s="2259"/>
      <c r="AI461" s="2260"/>
      <c r="AJ461" s="1908" t="s">
        <v>3931</v>
      </c>
      <c r="AK461" s="2278" t="s">
        <v>3688</v>
      </c>
      <c r="AL461" s="2259"/>
      <c r="AM461" s="2259"/>
      <c r="AN461" s="2259"/>
      <c r="AO461" s="2260"/>
      <c r="AP461" s="1908" t="s">
        <v>3699</v>
      </c>
      <c r="BC461" s="214"/>
      <c r="BD461" s="214"/>
      <c r="BE461" s="214"/>
      <c r="BF461" s="214"/>
    </row>
    <row r="462" spans="1:58" ht="45" hidden="1" customHeight="1">
      <c r="A462" s="808"/>
      <c r="B462" s="2280"/>
      <c r="C462" s="2281"/>
      <c r="D462" s="2282"/>
      <c r="E462" s="1909" t="s">
        <v>3682</v>
      </c>
      <c r="F462" s="1909" t="s">
        <v>4458</v>
      </c>
      <c r="G462" s="1909"/>
      <c r="H462" s="2283" t="s">
        <v>4735</v>
      </c>
      <c r="I462" s="2281"/>
      <c r="J462" s="2282"/>
      <c r="K462" s="2283" t="s">
        <v>4778</v>
      </c>
      <c r="L462" s="2282"/>
      <c r="M462" s="1909" t="e">
        <f>VLOOKUP(K462,'Estimate Details'!$R:$BR,20,FALSE)</f>
        <v>#N/A</v>
      </c>
      <c r="N462" s="1909" t="e">
        <f>VLOOKUP(M462,#REF!,2,FALSE)</f>
        <v>#N/A</v>
      </c>
      <c r="O462" s="1909" t="s">
        <v>3939</v>
      </c>
      <c r="P462" s="2284" t="s">
        <v>3687</v>
      </c>
      <c r="Q462" s="2281"/>
      <c r="R462" s="2282"/>
      <c r="S462" s="1909" t="s">
        <v>3688</v>
      </c>
      <c r="T462" s="1909" t="s">
        <v>3689</v>
      </c>
      <c r="U462" s="1909" t="s">
        <v>3690</v>
      </c>
      <c r="V462" s="1909" t="s">
        <v>3691</v>
      </c>
      <c r="W462" s="1909" t="s">
        <v>3688</v>
      </c>
      <c r="X462" s="1909"/>
      <c r="Y462" s="1909"/>
      <c r="Z462" s="1909"/>
      <c r="AA462" s="1909" t="s">
        <v>3694</v>
      </c>
      <c r="AB462" s="1909" t="s">
        <v>3940</v>
      </c>
      <c r="AC462" s="1909" t="s">
        <v>3696</v>
      </c>
      <c r="AD462" s="2283" t="s">
        <v>3688</v>
      </c>
      <c r="AE462" s="2281"/>
      <c r="AF462" s="2282"/>
      <c r="AG462" s="2283" t="s">
        <v>3696</v>
      </c>
      <c r="AH462" s="2281"/>
      <c r="AI462" s="2282"/>
      <c r="AJ462" s="1909" t="s">
        <v>3931</v>
      </c>
      <c r="AK462" s="2283" t="s">
        <v>3688</v>
      </c>
      <c r="AL462" s="2281"/>
      <c r="AM462" s="2259"/>
      <c r="AN462" s="2281"/>
      <c r="AO462" s="2282"/>
      <c r="AP462" s="1909" t="s">
        <v>3699</v>
      </c>
      <c r="BC462" s="214"/>
      <c r="BD462" s="214"/>
      <c r="BE462" s="214"/>
      <c r="BF462" s="214"/>
    </row>
    <row r="463" spans="1:58" ht="45" hidden="1" customHeight="1">
      <c r="B463" s="2277"/>
      <c r="C463" s="2259"/>
      <c r="D463" s="2260"/>
      <c r="E463" s="1908" t="s">
        <v>3682</v>
      </c>
      <c r="F463" s="1908" t="s">
        <v>4458</v>
      </c>
      <c r="G463" s="1908"/>
      <c r="H463" s="2278" t="s">
        <v>4735</v>
      </c>
      <c r="I463" s="2259"/>
      <c r="J463" s="2260"/>
      <c r="K463" s="2278" t="s">
        <v>4779</v>
      </c>
      <c r="L463" s="2260"/>
      <c r="M463" s="1908" t="e">
        <f>VLOOKUP(K463,'Estimate Details'!$R:$BR,20,FALSE)</f>
        <v>#N/A</v>
      </c>
      <c r="N463" s="1908" t="e">
        <f>VLOOKUP(M463,#REF!,2,FALSE)</f>
        <v>#N/A</v>
      </c>
      <c r="O463" s="1908" t="s">
        <v>3945</v>
      </c>
      <c r="P463" s="2278" t="s">
        <v>3687</v>
      </c>
      <c r="Q463" s="2259"/>
      <c r="R463" s="2260"/>
      <c r="S463" s="1908" t="s">
        <v>3688</v>
      </c>
      <c r="T463" s="1908" t="s">
        <v>3689</v>
      </c>
      <c r="U463" s="1908" t="s">
        <v>3690</v>
      </c>
      <c r="V463" s="1908" t="s">
        <v>3691</v>
      </c>
      <c r="W463" s="1908" t="s">
        <v>3688</v>
      </c>
      <c r="X463" s="1908"/>
      <c r="Y463" s="1908"/>
      <c r="Z463" s="1908"/>
      <c r="AA463" s="1908" t="s">
        <v>3694</v>
      </c>
      <c r="AB463" s="1908" t="s">
        <v>3946</v>
      </c>
      <c r="AC463" s="1908" t="s">
        <v>3696</v>
      </c>
      <c r="AD463" s="2278" t="s">
        <v>3688</v>
      </c>
      <c r="AE463" s="2259"/>
      <c r="AF463" s="2260"/>
      <c r="AG463" s="2278" t="s">
        <v>3696</v>
      </c>
      <c r="AH463" s="2259"/>
      <c r="AI463" s="2260"/>
      <c r="AJ463" s="1908" t="s">
        <v>3931</v>
      </c>
      <c r="AK463" s="2278" t="s">
        <v>3688</v>
      </c>
      <c r="AL463" s="2259"/>
      <c r="AM463" s="2259"/>
      <c r="AN463" s="2259"/>
      <c r="AO463" s="2260"/>
      <c r="AP463" s="1908" t="s">
        <v>3699</v>
      </c>
      <c r="BC463" s="214"/>
      <c r="BD463" s="214"/>
      <c r="BE463" s="214"/>
      <c r="BF463" s="214"/>
    </row>
    <row r="464" spans="1:58" ht="45" hidden="1" customHeight="1">
      <c r="A464" s="808"/>
      <c r="B464" s="2280"/>
      <c r="C464" s="2281"/>
      <c r="D464" s="2282"/>
      <c r="E464" s="1909" t="s">
        <v>3682</v>
      </c>
      <c r="F464" s="1909" t="s">
        <v>4458</v>
      </c>
      <c r="G464" s="1909"/>
      <c r="H464" s="2283" t="s">
        <v>4735</v>
      </c>
      <c r="I464" s="2281"/>
      <c r="J464" s="2282"/>
      <c r="K464" s="2283" t="s">
        <v>4780</v>
      </c>
      <c r="L464" s="2282"/>
      <c r="M464" s="1909" t="e">
        <f>VLOOKUP(K464,'Estimate Details'!$R:$BR,20,FALSE)</f>
        <v>#N/A</v>
      </c>
      <c r="N464" s="1909" t="e">
        <f>VLOOKUP(M464,#REF!,2,FALSE)</f>
        <v>#N/A</v>
      </c>
      <c r="O464" s="1909" t="s">
        <v>3945</v>
      </c>
      <c r="P464" s="2284" t="s">
        <v>3687</v>
      </c>
      <c r="Q464" s="2281"/>
      <c r="R464" s="2282"/>
      <c r="S464" s="1909" t="s">
        <v>3688</v>
      </c>
      <c r="T464" s="1909" t="s">
        <v>3689</v>
      </c>
      <c r="U464" s="1909" t="s">
        <v>3690</v>
      </c>
      <c r="V464" s="1909" t="s">
        <v>3691</v>
      </c>
      <c r="W464" s="1909" t="s">
        <v>3688</v>
      </c>
      <c r="X464" s="1909"/>
      <c r="Y464" s="1909"/>
      <c r="Z464" s="1909"/>
      <c r="AA464" s="1909" t="s">
        <v>3694</v>
      </c>
      <c r="AB464" s="1909" t="s">
        <v>3946</v>
      </c>
      <c r="AC464" s="1909" t="s">
        <v>3696</v>
      </c>
      <c r="AD464" s="2283" t="s">
        <v>3688</v>
      </c>
      <c r="AE464" s="2281"/>
      <c r="AF464" s="2282"/>
      <c r="AG464" s="2283" t="s">
        <v>3696</v>
      </c>
      <c r="AH464" s="2281"/>
      <c r="AI464" s="2282"/>
      <c r="AJ464" s="1909" t="s">
        <v>3931</v>
      </c>
      <c r="AK464" s="2283" t="s">
        <v>3688</v>
      </c>
      <c r="AL464" s="2281"/>
      <c r="AM464" s="2259"/>
      <c r="AN464" s="2281"/>
      <c r="AO464" s="2282"/>
      <c r="AP464" s="1909" t="s">
        <v>3699</v>
      </c>
      <c r="BC464" s="214"/>
      <c r="BD464" s="214"/>
      <c r="BE464" s="214"/>
      <c r="BF464" s="214"/>
    </row>
    <row r="465" spans="1:58" ht="50.25" hidden="1" customHeight="1">
      <c r="B465" s="2277"/>
      <c r="C465" s="2259"/>
      <c r="D465" s="2260"/>
      <c r="E465" s="1908" t="s">
        <v>3682</v>
      </c>
      <c r="F465" s="1908" t="s">
        <v>4458</v>
      </c>
      <c r="G465" s="1908"/>
      <c r="H465" s="2278" t="s">
        <v>4735</v>
      </c>
      <c r="I465" s="2259"/>
      <c r="J465" s="2260"/>
      <c r="K465" s="2278" t="s">
        <v>4781</v>
      </c>
      <c r="L465" s="2260"/>
      <c r="M465" s="1908" t="e">
        <f>VLOOKUP(K465,'Estimate Details'!$R:$BR,20,FALSE)</f>
        <v>#N/A</v>
      </c>
      <c r="N465" s="1908" t="e">
        <f>VLOOKUP(M465,#REF!,2,FALSE)</f>
        <v>#N/A</v>
      </c>
      <c r="O465" s="1908" t="s">
        <v>4782</v>
      </c>
      <c r="P465" s="2278" t="s">
        <v>3687</v>
      </c>
      <c r="Q465" s="2259"/>
      <c r="R465" s="2260"/>
      <c r="S465" s="1908" t="s">
        <v>3688</v>
      </c>
      <c r="T465" s="1908" t="s">
        <v>3706</v>
      </c>
      <c r="U465" s="1908" t="s">
        <v>3690</v>
      </c>
      <c r="V465" s="1908" t="s">
        <v>3708</v>
      </c>
      <c r="W465" s="1908" t="s">
        <v>3688</v>
      </c>
      <c r="X465" s="1908"/>
      <c r="Y465" s="1908"/>
      <c r="Z465" s="1908"/>
      <c r="AA465" s="1908" t="s">
        <v>3694</v>
      </c>
      <c r="AB465" s="1908" t="s">
        <v>4783</v>
      </c>
      <c r="AC465" s="1908" t="s">
        <v>3696</v>
      </c>
      <c r="AD465" s="2278" t="s">
        <v>4784</v>
      </c>
      <c r="AE465" s="2259"/>
      <c r="AF465" s="2260"/>
      <c r="AG465" s="2278" t="s">
        <v>3696</v>
      </c>
      <c r="AH465" s="2259"/>
      <c r="AI465" s="2260"/>
      <c r="AJ465" s="1908" t="s">
        <v>4785</v>
      </c>
      <c r="AK465" s="2278" t="s">
        <v>4786</v>
      </c>
      <c r="AL465" s="2259"/>
      <c r="AM465" s="2259"/>
      <c r="AN465" s="2259"/>
      <c r="AO465" s="2260"/>
      <c r="AP465" s="1908" t="s">
        <v>3699</v>
      </c>
      <c r="BC465" s="214"/>
      <c r="BD465" s="214"/>
      <c r="BE465" s="214"/>
      <c r="BF465" s="214"/>
    </row>
    <row r="466" spans="1:58" ht="45" hidden="1" customHeight="1">
      <c r="A466" s="808"/>
      <c r="B466" s="2280"/>
      <c r="C466" s="2281"/>
      <c r="D466" s="2282"/>
      <c r="E466" s="1909" t="s">
        <v>3682</v>
      </c>
      <c r="F466" s="1909" t="s">
        <v>3688</v>
      </c>
      <c r="G466" s="1909"/>
      <c r="H466" s="2283" t="s">
        <v>4735</v>
      </c>
      <c r="I466" s="2281"/>
      <c r="J466" s="2282"/>
      <c r="K466" s="2283" t="s">
        <v>4787</v>
      </c>
      <c r="L466" s="2282"/>
      <c r="M466" s="1909" t="e">
        <f>VLOOKUP(K466,'Estimate Details'!$R:$BR,20,FALSE)</f>
        <v>#N/A</v>
      </c>
      <c r="N466" s="1909" t="e">
        <f>VLOOKUP(M466,#REF!,2,FALSE)</f>
        <v>#N/A</v>
      </c>
      <c r="O466" s="1909" t="s">
        <v>4760</v>
      </c>
      <c r="P466" s="2284" t="s">
        <v>3687</v>
      </c>
      <c r="Q466" s="2281"/>
      <c r="R466" s="2282"/>
      <c r="S466" s="1909" t="s">
        <v>3688</v>
      </c>
      <c r="T466" s="1909" t="s">
        <v>3706</v>
      </c>
      <c r="U466" s="1909" t="s">
        <v>3690</v>
      </c>
      <c r="V466" s="1909" t="s">
        <v>3691</v>
      </c>
      <c r="W466" s="1909" t="s">
        <v>3688</v>
      </c>
      <c r="X466" s="1909"/>
      <c r="Y466" s="1909"/>
      <c r="Z466" s="1909"/>
      <c r="AA466" s="1909" t="s">
        <v>3694</v>
      </c>
      <c r="AB466" s="1909" t="s">
        <v>4788</v>
      </c>
      <c r="AC466" s="1909" t="s">
        <v>3696</v>
      </c>
      <c r="AD466" s="2283" t="s">
        <v>4789</v>
      </c>
      <c r="AE466" s="2281"/>
      <c r="AF466" s="2282"/>
      <c r="AG466" s="2283" t="s">
        <v>3696</v>
      </c>
      <c r="AH466" s="2281"/>
      <c r="AI466" s="2282"/>
      <c r="AJ466" s="1909" t="s">
        <v>3884</v>
      </c>
      <c r="AK466" s="2283" t="s">
        <v>4790</v>
      </c>
      <c r="AL466" s="2281"/>
      <c r="AM466" s="2259"/>
      <c r="AN466" s="2281"/>
      <c r="AO466" s="2282"/>
      <c r="AP466" s="1909" t="s">
        <v>3699</v>
      </c>
      <c r="BC466" s="214"/>
      <c r="BD466" s="214"/>
      <c r="BE466" s="214"/>
      <c r="BF466" s="214"/>
    </row>
    <row r="467" spans="1:58" ht="45" hidden="1" customHeight="1">
      <c r="B467" s="2277"/>
      <c r="C467" s="2259"/>
      <c r="D467" s="2260"/>
      <c r="E467" s="1908" t="s">
        <v>3682</v>
      </c>
      <c r="F467" s="1908" t="s">
        <v>4458</v>
      </c>
      <c r="G467" s="1908"/>
      <c r="H467" s="2278" t="s">
        <v>4735</v>
      </c>
      <c r="I467" s="2259"/>
      <c r="J467" s="2260"/>
      <c r="K467" s="2278" t="s">
        <v>4791</v>
      </c>
      <c r="L467" s="2260"/>
      <c r="M467" s="1908" t="e">
        <f>VLOOKUP(K467,'Estimate Details'!$R:$BR,20,FALSE)</f>
        <v>#N/A</v>
      </c>
      <c r="N467" s="1908" t="e">
        <f>VLOOKUP(M467,#REF!,2,FALSE)</f>
        <v>#N/A</v>
      </c>
      <c r="O467" s="1908" t="s">
        <v>3927</v>
      </c>
      <c r="P467" s="2278" t="s">
        <v>3687</v>
      </c>
      <c r="Q467" s="2259"/>
      <c r="R467" s="2260"/>
      <c r="S467" s="1908" t="s">
        <v>3688</v>
      </c>
      <c r="T467" s="1908" t="s">
        <v>3689</v>
      </c>
      <c r="U467" s="1908" t="s">
        <v>3690</v>
      </c>
      <c r="V467" s="1908" t="s">
        <v>3691</v>
      </c>
      <c r="W467" s="1908" t="s">
        <v>3688</v>
      </c>
      <c r="X467" s="1908"/>
      <c r="Y467" s="1908"/>
      <c r="Z467" s="1908"/>
      <c r="AA467" s="1908" t="s">
        <v>3694</v>
      </c>
      <c r="AB467" s="1908" t="s">
        <v>4742</v>
      </c>
      <c r="AC467" s="1908" t="s">
        <v>3696</v>
      </c>
      <c r="AD467" s="2278" t="s">
        <v>3929</v>
      </c>
      <c r="AE467" s="2259"/>
      <c r="AF467" s="2260"/>
      <c r="AG467" s="2285" t="s">
        <v>4743</v>
      </c>
      <c r="AH467" s="2259"/>
      <c r="AI467" s="2260"/>
      <c r="AJ467" s="1908" t="s">
        <v>3931</v>
      </c>
      <c r="AK467" s="2278" t="s">
        <v>3932</v>
      </c>
      <c r="AL467" s="2259"/>
      <c r="AM467" s="2259"/>
      <c r="AN467" s="2259"/>
      <c r="AO467" s="2260"/>
      <c r="AP467" s="1908" t="s">
        <v>3699</v>
      </c>
      <c r="BC467" s="214"/>
      <c r="BD467" s="214"/>
      <c r="BE467" s="214"/>
      <c r="BF467" s="214"/>
    </row>
    <row r="468" spans="1:58" ht="45" hidden="1" customHeight="1">
      <c r="A468" s="808"/>
      <c r="B468" s="2280"/>
      <c r="C468" s="2281"/>
      <c r="D468" s="2282"/>
      <c r="E468" s="1909" t="s">
        <v>3682</v>
      </c>
      <c r="F468" s="1909" t="s">
        <v>4458</v>
      </c>
      <c r="G468" s="1909"/>
      <c r="H468" s="2283" t="s">
        <v>4735</v>
      </c>
      <c r="I468" s="2281"/>
      <c r="J468" s="2282"/>
      <c r="K468" s="2283" t="s">
        <v>4792</v>
      </c>
      <c r="L468" s="2282"/>
      <c r="M468" s="1909" t="e">
        <f>VLOOKUP(K468,'Estimate Details'!$R:$BR,20,FALSE)</f>
        <v>#N/A</v>
      </c>
      <c r="N468" s="1909" t="e">
        <f>VLOOKUP(M468,#REF!,2,FALSE)</f>
        <v>#N/A</v>
      </c>
      <c r="O468" s="1909" t="s">
        <v>3955</v>
      </c>
      <c r="P468" s="2284" t="s">
        <v>3687</v>
      </c>
      <c r="Q468" s="2281"/>
      <c r="R468" s="2282"/>
      <c r="S468" s="1909" t="s">
        <v>3688</v>
      </c>
      <c r="T468" s="1909" t="s">
        <v>3689</v>
      </c>
      <c r="U468" s="1909" t="s">
        <v>3690</v>
      </c>
      <c r="V468" s="1909" t="s">
        <v>3691</v>
      </c>
      <c r="W468" s="1909" t="s">
        <v>3688</v>
      </c>
      <c r="X468" s="1909" t="s">
        <v>3956</v>
      </c>
      <c r="Y468" s="1909"/>
      <c r="Z468" s="1909"/>
      <c r="AA468" s="1909" t="s">
        <v>3957</v>
      </c>
      <c r="AB468" s="1909" t="s">
        <v>3958</v>
      </c>
      <c r="AC468" s="1909" t="s">
        <v>3696</v>
      </c>
      <c r="AD468" s="2283" t="s">
        <v>3959</v>
      </c>
      <c r="AE468" s="2281"/>
      <c r="AF468" s="2282"/>
      <c r="AG468" s="2283" t="s">
        <v>3696</v>
      </c>
      <c r="AH468" s="2281"/>
      <c r="AI468" s="2282"/>
      <c r="AJ468" s="1909" t="s">
        <v>3960</v>
      </c>
      <c r="AK468" s="2283" t="s">
        <v>3688</v>
      </c>
      <c r="AL468" s="2281"/>
      <c r="AM468" s="2259"/>
      <c r="AN468" s="2281"/>
      <c r="AO468" s="2282"/>
      <c r="AP468" s="1909" t="s">
        <v>3699</v>
      </c>
      <c r="BC468" s="214"/>
      <c r="BD468" s="214"/>
      <c r="BE468" s="214"/>
      <c r="BF468" s="214"/>
    </row>
    <row r="469" spans="1:58" ht="45" hidden="1" customHeight="1">
      <c r="B469" s="2277"/>
      <c r="C469" s="2259"/>
      <c r="D469" s="2260"/>
      <c r="E469" s="1908" t="s">
        <v>3682</v>
      </c>
      <c r="F469" s="1908" t="s">
        <v>4458</v>
      </c>
      <c r="G469" s="1908"/>
      <c r="H469" s="2278" t="s">
        <v>4735</v>
      </c>
      <c r="I469" s="2259"/>
      <c r="J469" s="2260"/>
      <c r="K469" s="2278" t="s">
        <v>4793</v>
      </c>
      <c r="L469" s="2260"/>
      <c r="M469" s="1908" t="e">
        <f>VLOOKUP(K469,'Estimate Details'!$R:$BR,20,FALSE)</f>
        <v>#N/A</v>
      </c>
      <c r="N469" s="1908" t="e">
        <f>VLOOKUP(M469,#REF!,2,FALSE)</f>
        <v>#N/A</v>
      </c>
      <c r="O469" s="1908" t="s">
        <v>3955</v>
      </c>
      <c r="P469" s="2278" t="s">
        <v>3687</v>
      </c>
      <c r="Q469" s="2259"/>
      <c r="R469" s="2260"/>
      <c r="S469" s="1908" t="s">
        <v>3688</v>
      </c>
      <c r="T469" s="1908" t="s">
        <v>3689</v>
      </c>
      <c r="U469" s="1908" t="s">
        <v>3690</v>
      </c>
      <c r="V469" s="1908" t="s">
        <v>3691</v>
      </c>
      <c r="W469" s="1908" t="s">
        <v>3688</v>
      </c>
      <c r="X469" s="1908" t="s">
        <v>3956</v>
      </c>
      <c r="Y469" s="1908"/>
      <c r="Z469" s="1908"/>
      <c r="AA469" s="1908" t="s">
        <v>3957</v>
      </c>
      <c r="AB469" s="1908" t="s">
        <v>3958</v>
      </c>
      <c r="AC469" s="1908" t="s">
        <v>3696</v>
      </c>
      <c r="AD469" s="2278" t="s">
        <v>3959</v>
      </c>
      <c r="AE469" s="2259"/>
      <c r="AF469" s="2260"/>
      <c r="AG469" s="2278" t="s">
        <v>3696</v>
      </c>
      <c r="AH469" s="2259"/>
      <c r="AI469" s="2260"/>
      <c r="AJ469" s="1908" t="s">
        <v>3960</v>
      </c>
      <c r="AK469" s="2278" t="s">
        <v>3688</v>
      </c>
      <c r="AL469" s="2259"/>
      <c r="AM469" s="2259"/>
      <c r="AN469" s="2259"/>
      <c r="AO469" s="2260"/>
      <c r="AP469" s="1908" t="s">
        <v>3699</v>
      </c>
      <c r="BC469" s="214"/>
      <c r="BD469" s="214"/>
      <c r="BE469" s="214"/>
      <c r="BF469" s="214"/>
    </row>
    <row r="470" spans="1:58" ht="45" hidden="1" customHeight="1">
      <c r="A470" s="808"/>
      <c r="B470" s="2280"/>
      <c r="C470" s="2281"/>
      <c r="D470" s="2282"/>
      <c r="E470" s="1909" t="s">
        <v>3682</v>
      </c>
      <c r="F470" s="1909" t="s">
        <v>4458</v>
      </c>
      <c r="G470" s="1909"/>
      <c r="H470" s="2283" t="s">
        <v>4735</v>
      </c>
      <c r="I470" s="2281"/>
      <c r="J470" s="2282"/>
      <c r="K470" s="2283" t="s">
        <v>4794</v>
      </c>
      <c r="L470" s="2282"/>
      <c r="M470" s="1909" t="e">
        <f>VLOOKUP(K470,'Estimate Details'!$R:$BR,20,FALSE)</f>
        <v>#N/A</v>
      </c>
      <c r="N470" s="1909" t="e">
        <f>VLOOKUP(M470,#REF!,2,FALSE)</f>
        <v>#N/A</v>
      </c>
      <c r="O470" s="1909" t="s">
        <v>3963</v>
      </c>
      <c r="P470" s="2284" t="s">
        <v>3687</v>
      </c>
      <c r="Q470" s="2281"/>
      <c r="R470" s="2282"/>
      <c r="S470" s="1909" t="s">
        <v>3688</v>
      </c>
      <c r="T470" s="1909" t="s">
        <v>3689</v>
      </c>
      <c r="U470" s="1909" t="s">
        <v>3690</v>
      </c>
      <c r="V470" s="1909" t="s">
        <v>3691</v>
      </c>
      <c r="W470" s="1909" t="s">
        <v>3688</v>
      </c>
      <c r="X470" s="1909" t="s">
        <v>3956</v>
      </c>
      <c r="Y470" s="1909"/>
      <c r="Z470" s="1909"/>
      <c r="AA470" s="1909" t="s">
        <v>3957</v>
      </c>
      <c r="AB470" s="1909" t="s">
        <v>3958</v>
      </c>
      <c r="AC470" s="1909" t="s">
        <v>3696</v>
      </c>
      <c r="AD470" s="2283" t="s">
        <v>3964</v>
      </c>
      <c r="AE470" s="2281"/>
      <c r="AF470" s="2282"/>
      <c r="AG470" s="2283" t="s">
        <v>3696</v>
      </c>
      <c r="AH470" s="2281"/>
      <c r="AI470" s="2282"/>
      <c r="AJ470" s="1909" t="s">
        <v>3960</v>
      </c>
      <c r="AK470" s="2283" t="s">
        <v>3688</v>
      </c>
      <c r="AL470" s="2281"/>
      <c r="AM470" s="2259"/>
      <c r="AN470" s="2281"/>
      <c r="AO470" s="2282"/>
      <c r="AP470" s="1909" t="s">
        <v>3699</v>
      </c>
      <c r="BC470" s="214"/>
      <c r="BD470" s="214"/>
      <c r="BE470" s="214"/>
      <c r="BF470" s="214"/>
    </row>
    <row r="471" spans="1:58" ht="45" hidden="1" customHeight="1">
      <c r="B471" s="2277"/>
      <c r="C471" s="2259"/>
      <c r="D471" s="2260"/>
      <c r="E471" s="1908" t="s">
        <v>3682</v>
      </c>
      <c r="F471" s="1908" t="s">
        <v>4458</v>
      </c>
      <c r="G471" s="1908"/>
      <c r="H471" s="2278" t="s">
        <v>4735</v>
      </c>
      <c r="I471" s="2259"/>
      <c r="J471" s="2260"/>
      <c r="K471" s="2278" t="s">
        <v>4795</v>
      </c>
      <c r="L471" s="2260"/>
      <c r="M471" s="1908" t="e">
        <f>VLOOKUP(K471,'Estimate Details'!$R:$BR,20,FALSE)</f>
        <v>#N/A</v>
      </c>
      <c r="N471" s="1908" t="e">
        <f>VLOOKUP(M471,#REF!,2,FALSE)</f>
        <v>#N/A</v>
      </c>
      <c r="O471" s="1908" t="s">
        <v>3963</v>
      </c>
      <c r="P471" s="2278" t="s">
        <v>3687</v>
      </c>
      <c r="Q471" s="2259"/>
      <c r="R471" s="2260"/>
      <c r="S471" s="1908" t="s">
        <v>3688</v>
      </c>
      <c r="T471" s="1908" t="s">
        <v>3689</v>
      </c>
      <c r="U471" s="1908" t="s">
        <v>3690</v>
      </c>
      <c r="V471" s="1908" t="s">
        <v>3691</v>
      </c>
      <c r="W471" s="1908" t="s">
        <v>3688</v>
      </c>
      <c r="X471" s="1908" t="s">
        <v>3956</v>
      </c>
      <c r="Y471" s="1908"/>
      <c r="Z471" s="1908"/>
      <c r="AA471" s="1908" t="s">
        <v>3957</v>
      </c>
      <c r="AB471" s="1908" t="s">
        <v>3958</v>
      </c>
      <c r="AC471" s="1908" t="s">
        <v>3696</v>
      </c>
      <c r="AD471" s="2278" t="s">
        <v>3964</v>
      </c>
      <c r="AE471" s="2259"/>
      <c r="AF471" s="2260"/>
      <c r="AG471" s="2278" t="s">
        <v>3696</v>
      </c>
      <c r="AH471" s="2259"/>
      <c r="AI471" s="2260"/>
      <c r="AJ471" s="1908" t="s">
        <v>3960</v>
      </c>
      <c r="AK471" s="2278" t="s">
        <v>3688</v>
      </c>
      <c r="AL471" s="2259"/>
      <c r="AM471" s="2259"/>
      <c r="AN471" s="2259"/>
      <c r="AO471" s="2260"/>
      <c r="AP471" s="1908" t="s">
        <v>3699</v>
      </c>
      <c r="BC471" s="214"/>
      <c r="BD471" s="214"/>
      <c r="BE471" s="214"/>
      <c r="BF471" s="214"/>
    </row>
    <row r="472" spans="1:58" ht="45" hidden="1" customHeight="1">
      <c r="A472" s="808"/>
      <c r="B472" s="2280"/>
      <c r="C472" s="2281"/>
      <c r="D472" s="2282"/>
      <c r="E472" s="1909" t="s">
        <v>3682</v>
      </c>
      <c r="F472" s="1909" t="s">
        <v>4458</v>
      </c>
      <c r="G472" s="1909"/>
      <c r="H472" s="2283" t="s">
        <v>4735</v>
      </c>
      <c r="I472" s="2281"/>
      <c r="J472" s="2282"/>
      <c r="K472" s="2283" t="s">
        <v>4796</v>
      </c>
      <c r="L472" s="2282"/>
      <c r="M472" s="1909" t="e">
        <f>VLOOKUP(K472,'Estimate Details'!$R:$BR,20,FALSE)</f>
        <v>#N/A</v>
      </c>
      <c r="N472" s="1909" t="e">
        <f>VLOOKUP(M472,#REF!,2,FALSE)</f>
        <v>#N/A</v>
      </c>
      <c r="O472" s="1909" t="s">
        <v>3963</v>
      </c>
      <c r="P472" s="2284" t="s">
        <v>3687</v>
      </c>
      <c r="Q472" s="2281"/>
      <c r="R472" s="2282"/>
      <c r="S472" s="1909" t="s">
        <v>3688</v>
      </c>
      <c r="T472" s="1909" t="s">
        <v>3689</v>
      </c>
      <c r="U472" s="1909" t="s">
        <v>3690</v>
      </c>
      <c r="V472" s="1909" t="s">
        <v>3691</v>
      </c>
      <c r="W472" s="1909" t="s">
        <v>3688</v>
      </c>
      <c r="X472" s="1909" t="s">
        <v>3956</v>
      </c>
      <c r="Y472" s="1909"/>
      <c r="Z472" s="1909"/>
      <c r="AA472" s="1909" t="s">
        <v>3957</v>
      </c>
      <c r="AB472" s="1909" t="s">
        <v>3958</v>
      </c>
      <c r="AC472" s="1909" t="s">
        <v>3696</v>
      </c>
      <c r="AD472" s="2283" t="s">
        <v>3964</v>
      </c>
      <c r="AE472" s="2281"/>
      <c r="AF472" s="2282"/>
      <c r="AG472" s="2283" t="s">
        <v>3696</v>
      </c>
      <c r="AH472" s="2281"/>
      <c r="AI472" s="2282"/>
      <c r="AJ472" s="1909" t="s">
        <v>3960</v>
      </c>
      <c r="AK472" s="2283" t="s">
        <v>3688</v>
      </c>
      <c r="AL472" s="2281"/>
      <c r="AM472" s="2259"/>
      <c r="AN472" s="2281"/>
      <c r="AO472" s="2282"/>
      <c r="AP472" s="1909" t="s">
        <v>3699</v>
      </c>
      <c r="BC472" s="214"/>
      <c r="BD472" s="214"/>
      <c r="BE472" s="214"/>
      <c r="BF472" s="214"/>
    </row>
    <row r="473" spans="1:58" ht="45" hidden="1" customHeight="1">
      <c r="B473" s="2277"/>
      <c r="C473" s="2259"/>
      <c r="D473" s="2260"/>
      <c r="E473" s="1908" t="s">
        <v>3682</v>
      </c>
      <c r="F473" s="1908" t="s">
        <v>4458</v>
      </c>
      <c r="G473" s="1908"/>
      <c r="H473" s="2278" t="s">
        <v>4735</v>
      </c>
      <c r="I473" s="2259"/>
      <c r="J473" s="2260"/>
      <c r="K473" s="2278" t="s">
        <v>4797</v>
      </c>
      <c r="L473" s="2260"/>
      <c r="M473" s="1908" t="e">
        <f>VLOOKUP(K473,'Estimate Details'!$R:$BR,20,FALSE)</f>
        <v>#N/A</v>
      </c>
      <c r="N473" s="1908" t="e">
        <f>VLOOKUP(M473,#REF!,2,FALSE)</f>
        <v>#N/A</v>
      </c>
      <c r="O473" s="1908" t="s">
        <v>3963</v>
      </c>
      <c r="P473" s="2278" t="s">
        <v>3687</v>
      </c>
      <c r="Q473" s="2259"/>
      <c r="R473" s="2260"/>
      <c r="S473" s="1908" t="s">
        <v>3688</v>
      </c>
      <c r="T473" s="1908" t="s">
        <v>3689</v>
      </c>
      <c r="U473" s="1908" t="s">
        <v>3690</v>
      </c>
      <c r="V473" s="1908" t="s">
        <v>3691</v>
      </c>
      <c r="W473" s="1908" t="s">
        <v>3688</v>
      </c>
      <c r="X473" s="1908" t="s">
        <v>3956</v>
      </c>
      <c r="Y473" s="1908"/>
      <c r="Z473" s="1908"/>
      <c r="AA473" s="1908" t="s">
        <v>3957</v>
      </c>
      <c r="AB473" s="1908" t="s">
        <v>3958</v>
      </c>
      <c r="AC473" s="1908" t="s">
        <v>3696</v>
      </c>
      <c r="AD473" s="2278" t="s">
        <v>3964</v>
      </c>
      <c r="AE473" s="2259"/>
      <c r="AF473" s="2260"/>
      <c r="AG473" s="2278" t="s">
        <v>3696</v>
      </c>
      <c r="AH473" s="2259"/>
      <c r="AI473" s="2260"/>
      <c r="AJ473" s="1908" t="s">
        <v>3960</v>
      </c>
      <c r="AK473" s="2278" t="s">
        <v>3688</v>
      </c>
      <c r="AL473" s="2259"/>
      <c r="AM473" s="2259"/>
      <c r="AN473" s="2259"/>
      <c r="AO473" s="2260"/>
      <c r="AP473" s="1908" t="s">
        <v>3699</v>
      </c>
      <c r="BC473" s="214"/>
      <c r="BD473" s="214"/>
      <c r="BE473" s="214"/>
      <c r="BF473" s="214"/>
    </row>
    <row r="474" spans="1:58" ht="45" hidden="1" customHeight="1">
      <c r="A474" s="808"/>
      <c r="B474" s="2280"/>
      <c r="C474" s="2281"/>
      <c r="D474" s="2282"/>
      <c r="E474" s="1909" t="s">
        <v>3682</v>
      </c>
      <c r="F474" s="1909" t="s">
        <v>4458</v>
      </c>
      <c r="G474" s="1909"/>
      <c r="H474" s="2283" t="s">
        <v>4735</v>
      </c>
      <c r="I474" s="2281"/>
      <c r="J474" s="2282"/>
      <c r="K474" s="2283" t="s">
        <v>4798</v>
      </c>
      <c r="L474" s="2282"/>
      <c r="M474" s="1909" t="e">
        <f>VLOOKUP(K474,'Estimate Details'!$R:$BR,20,FALSE)</f>
        <v>#N/A</v>
      </c>
      <c r="N474" s="1909" t="e">
        <f>VLOOKUP(M474,#REF!,2,FALSE)</f>
        <v>#N/A</v>
      </c>
      <c r="O474" s="1909" t="s">
        <v>3963</v>
      </c>
      <c r="P474" s="2284" t="s">
        <v>3687</v>
      </c>
      <c r="Q474" s="2281"/>
      <c r="R474" s="2282"/>
      <c r="S474" s="1909" t="s">
        <v>3688</v>
      </c>
      <c r="T474" s="1909" t="s">
        <v>3689</v>
      </c>
      <c r="U474" s="1909" t="s">
        <v>3690</v>
      </c>
      <c r="V474" s="1909" t="s">
        <v>3691</v>
      </c>
      <c r="W474" s="1909" t="s">
        <v>3688</v>
      </c>
      <c r="X474" s="1909" t="s">
        <v>3956</v>
      </c>
      <c r="Y474" s="1909"/>
      <c r="Z474" s="1909"/>
      <c r="AA474" s="1909" t="s">
        <v>3957</v>
      </c>
      <c r="AB474" s="1909" t="s">
        <v>3958</v>
      </c>
      <c r="AC474" s="1909" t="s">
        <v>3696</v>
      </c>
      <c r="AD474" s="2283" t="s">
        <v>3964</v>
      </c>
      <c r="AE474" s="2281"/>
      <c r="AF474" s="2282"/>
      <c r="AG474" s="2283" t="s">
        <v>3696</v>
      </c>
      <c r="AH474" s="2281"/>
      <c r="AI474" s="2282"/>
      <c r="AJ474" s="1909" t="s">
        <v>3960</v>
      </c>
      <c r="AK474" s="2283" t="s">
        <v>3688</v>
      </c>
      <c r="AL474" s="2281"/>
      <c r="AM474" s="2259"/>
      <c r="AN474" s="2281"/>
      <c r="AO474" s="2282"/>
      <c r="AP474" s="1909" t="s">
        <v>3699</v>
      </c>
      <c r="BC474" s="214"/>
      <c r="BD474" s="214"/>
      <c r="BE474" s="214"/>
      <c r="BF474" s="214"/>
    </row>
    <row r="475" spans="1:58" ht="45" hidden="1" customHeight="1">
      <c r="B475" s="2277"/>
      <c r="C475" s="2259"/>
      <c r="D475" s="2260"/>
      <c r="E475" s="1908" t="s">
        <v>3682</v>
      </c>
      <c r="F475" s="1908" t="s">
        <v>4458</v>
      </c>
      <c r="G475" s="1908"/>
      <c r="H475" s="2278" t="s">
        <v>4735</v>
      </c>
      <c r="I475" s="2259"/>
      <c r="J475" s="2260"/>
      <c r="K475" s="2278" t="s">
        <v>4799</v>
      </c>
      <c r="L475" s="2260"/>
      <c r="M475" s="1908" t="e">
        <f>VLOOKUP(K475,'Estimate Details'!$R:$BR,20,FALSE)</f>
        <v>#N/A</v>
      </c>
      <c r="N475" s="1908" t="e">
        <f>VLOOKUP(M475,#REF!,2,FALSE)</f>
        <v>#N/A</v>
      </c>
      <c r="O475" s="1908" t="s">
        <v>3963</v>
      </c>
      <c r="P475" s="2278" t="s">
        <v>3687</v>
      </c>
      <c r="Q475" s="2259"/>
      <c r="R475" s="2260"/>
      <c r="S475" s="1908" t="s">
        <v>3688</v>
      </c>
      <c r="T475" s="1908" t="s">
        <v>3689</v>
      </c>
      <c r="U475" s="1908" t="s">
        <v>3690</v>
      </c>
      <c r="V475" s="1908" t="s">
        <v>3691</v>
      </c>
      <c r="W475" s="1908" t="s">
        <v>3688</v>
      </c>
      <c r="X475" s="1908" t="s">
        <v>3956</v>
      </c>
      <c r="Y475" s="1908"/>
      <c r="Z475" s="1908"/>
      <c r="AA475" s="1908" t="s">
        <v>3957</v>
      </c>
      <c r="AB475" s="1908" t="s">
        <v>3958</v>
      </c>
      <c r="AC475" s="1908" t="s">
        <v>3696</v>
      </c>
      <c r="AD475" s="2278" t="s">
        <v>3964</v>
      </c>
      <c r="AE475" s="2259"/>
      <c r="AF475" s="2260"/>
      <c r="AG475" s="2278" t="s">
        <v>3696</v>
      </c>
      <c r="AH475" s="2259"/>
      <c r="AI475" s="2260"/>
      <c r="AJ475" s="1908" t="s">
        <v>3960</v>
      </c>
      <c r="AK475" s="2278" t="s">
        <v>3688</v>
      </c>
      <c r="AL475" s="2259"/>
      <c r="AM475" s="2259"/>
      <c r="AN475" s="2259"/>
      <c r="AO475" s="2260"/>
      <c r="AP475" s="1908" t="s">
        <v>3699</v>
      </c>
      <c r="BC475" s="214"/>
      <c r="BD475" s="214"/>
      <c r="BE475" s="214"/>
      <c r="BF475" s="214"/>
    </row>
    <row r="476" spans="1:58" ht="45" hidden="1" customHeight="1">
      <c r="A476" s="808"/>
      <c r="B476" s="2280"/>
      <c r="C476" s="2281"/>
      <c r="D476" s="2282"/>
      <c r="E476" s="1909" t="s">
        <v>3682</v>
      </c>
      <c r="F476" s="1909" t="s">
        <v>3688</v>
      </c>
      <c r="G476" s="1909"/>
      <c r="H476" s="2283" t="s">
        <v>4735</v>
      </c>
      <c r="I476" s="2281"/>
      <c r="J476" s="2282"/>
      <c r="K476" s="2283" t="s">
        <v>4800</v>
      </c>
      <c r="L476" s="2282"/>
      <c r="M476" s="1909" t="e">
        <f>VLOOKUP(K476,'Estimate Details'!$R:$BR,20,FALSE)</f>
        <v>#N/A</v>
      </c>
      <c r="N476" s="1909" t="e">
        <f>VLOOKUP(M476,#REF!,2,FALSE)</f>
        <v>#N/A</v>
      </c>
      <c r="O476" s="1909" t="s">
        <v>3949</v>
      </c>
      <c r="P476" s="2284" t="s">
        <v>3687</v>
      </c>
      <c r="Q476" s="2281"/>
      <c r="R476" s="2282"/>
      <c r="S476" s="1909" t="s">
        <v>3688</v>
      </c>
      <c r="T476" s="1909" t="s">
        <v>3689</v>
      </c>
      <c r="U476" s="1909" t="s">
        <v>3690</v>
      </c>
      <c r="V476" s="1909" t="s">
        <v>3691</v>
      </c>
      <c r="W476" s="1909" t="s">
        <v>3688</v>
      </c>
      <c r="X476" s="1909"/>
      <c r="Y476" s="1909"/>
      <c r="Z476" s="1909"/>
      <c r="AA476" s="1909" t="s">
        <v>3694</v>
      </c>
      <c r="AB476" s="1909" t="s">
        <v>3950</v>
      </c>
      <c r="AC476" s="1909" t="s">
        <v>3696</v>
      </c>
      <c r="AD476" s="2283" t="s">
        <v>3951</v>
      </c>
      <c r="AE476" s="2281"/>
      <c r="AF476" s="2282"/>
      <c r="AG476" s="2283" t="s">
        <v>3696</v>
      </c>
      <c r="AH476" s="2281"/>
      <c r="AI476" s="2282"/>
      <c r="AJ476" s="1909" t="s">
        <v>3931</v>
      </c>
      <c r="AK476" s="2283" t="s">
        <v>3688</v>
      </c>
      <c r="AL476" s="2281"/>
      <c r="AM476" s="2259"/>
      <c r="AN476" s="2281"/>
      <c r="AO476" s="2282"/>
      <c r="AP476" s="1909" t="s">
        <v>3699</v>
      </c>
      <c r="BC476" s="214"/>
      <c r="BD476" s="214"/>
      <c r="BE476" s="214"/>
      <c r="BF476" s="214"/>
    </row>
    <row r="477" spans="1:58" ht="45" hidden="1" customHeight="1">
      <c r="B477" s="2277"/>
      <c r="C477" s="2259"/>
      <c r="D477" s="2260"/>
      <c r="E477" s="1908" t="s">
        <v>3682</v>
      </c>
      <c r="F477" s="1908" t="s">
        <v>3688</v>
      </c>
      <c r="G477" s="1908"/>
      <c r="H477" s="2278" t="s">
        <v>4735</v>
      </c>
      <c r="I477" s="2259"/>
      <c r="J477" s="2260"/>
      <c r="K477" s="2278" t="s">
        <v>4801</v>
      </c>
      <c r="L477" s="2260"/>
      <c r="M477" s="1908" t="e">
        <f>VLOOKUP(K477,'Estimate Details'!$R:$BR,20,FALSE)</f>
        <v>#N/A</v>
      </c>
      <c r="N477" s="1908" t="e">
        <f>VLOOKUP(M477,#REF!,2,FALSE)</f>
        <v>#N/A</v>
      </c>
      <c r="O477" s="1908" t="s">
        <v>3949</v>
      </c>
      <c r="P477" s="2278" t="s">
        <v>3687</v>
      </c>
      <c r="Q477" s="2259"/>
      <c r="R477" s="2260"/>
      <c r="S477" s="1908" t="s">
        <v>3688</v>
      </c>
      <c r="T477" s="1908" t="s">
        <v>3689</v>
      </c>
      <c r="U477" s="1908" t="s">
        <v>3690</v>
      </c>
      <c r="V477" s="1908" t="s">
        <v>3691</v>
      </c>
      <c r="W477" s="1908" t="s">
        <v>3688</v>
      </c>
      <c r="X477" s="1908"/>
      <c r="Y477" s="1908"/>
      <c r="Z477" s="1908"/>
      <c r="AA477" s="1908" t="s">
        <v>3694</v>
      </c>
      <c r="AB477" s="1908" t="s">
        <v>3950</v>
      </c>
      <c r="AC477" s="1908" t="s">
        <v>3696</v>
      </c>
      <c r="AD477" s="2278" t="s">
        <v>3951</v>
      </c>
      <c r="AE477" s="2259"/>
      <c r="AF477" s="2260"/>
      <c r="AG477" s="2278" t="s">
        <v>3696</v>
      </c>
      <c r="AH477" s="2259"/>
      <c r="AI477" s="2260"/>
      <c r="AJ477" s="1908" t="s">
        <v>3931</v>
      </c>
      <c r="AK477" s="2278" t="s">
        <v>3688</v>
      </c>
      <c r="AL477" s="2259"/>
      <c r="AM477" s="2259"/>
      <c r="AN477" s="2259"/>
      <c r="AO477" s="2260"/>
      <c r="AP477" s="1908" t="s">
        <v>3699</v>
      </c>
      <c r="BC477" s="214"/>
      <c r="BD477" s="214"/>
      <c r="BE477" s="214"/>
      <c r="BF477" s="214"/>
    </row>
    <row r="478" spans="1:58" ht="45" hidden="1" customHeight="1">
      <c r="A478" s="808"/>
      <c r="B478" s="2280"/>
      <c r="C478" s="2281"/>
      <c r="D478" s="2282"/>
      <c r="E478" s="1909" t="s">
        <v>3682</v>
      </c>
      <c r="F478" s="1909" t="s">
        <v>3688</v>
      </c>
      <c r="G478" s="1909"/>
      <c r="H478" s="2283" t="s">
        <v>4735</v>
      </c>
      <c r="I478" s="2281"/>
      <c r="J478" s="2282"/>
      <c r="K478" s="2283" t="s">
        <v>4802</v>
      </c>
      <c r="L478" s="2282"/>
      <c r="M478" s="1909" t="e">
        <f>VLOOKUP(K478,'Estimate Details'!$R:$BR,20,FALSE)</f>
        <v>#N/A</v>
      </c>
      <c r="N478" s="1909" t="e">
        <f>VLOOKUP(M478,#REF!,2,FALSE)</f>
        <v>#N/A</v>
      </c>
      <c r="O478" s="1909" t="s">
        <v>3949</v>
      </c>
      <c r="P478" s="2284" t="s">
        <v>3687</v>
      </c>
      <c r="Q478" s="2281"/>
      <c r="R478" s="2282"/>
      <c r="S478" s="1909" t="s">
        <v>3688</v>
      </c>
      <c r="T478" s="1909" t="s">
        <v>3689</v>
      </c>
      <c r="U478" s="1909" t="s">
        <v>3690</v>
      </c>
      <c r="V478" s="1909" t="s">
        <v>3691</v>
      </c>
      <c r="W478" s="1909" t="s">
        <v>3688</v>
      </c>
      <c r="X478" s="1909"/>
      <c r="Y478" s="1909"/>
      <c r="Z478" s="1909"/>
      <c r="AA478" s="1909" t="s">
        <v>3694</v>
      </c>
      <c r="AB478" s="1909" t="s">
        <v>3950</v>
      </c>
      <c r="AC478" s="1909" t="s">
        <v>3696</v>
      </c>
      <c r="AD478" s="2283" t="s">
        <v>3951</v>
      </c>
      <c r="AE478" s="2281"/>
      <c r="AF478" s="2282"/>
      <c r="AG478" s="2283" t="s">
        <v>3696</v>
      </c>
      <c r="AH478" s="2281"/>
      <c r="AI478" s="2282"/>
      <c r="AJ478" s="1909" t="s">
        <v>3931</v>
      </c>
      <c r="AK478" s="2283" t="s">
        <v>3688</v>
      </c>
      <c r="AL478" s="2281"/>
      <c r="AM478" s="2259"/>
      <c r="AN478" s="2281"/>
      <c r="AO478" s="2282"/>
      <c r="AP478" s="1909" t="s">
        <v>3699</v>
      </c>
      <c r="BC478" s="214"/>
      <c r="BD478" s="214"/>
      <c r="BE478" s="214"/>
      <c r="BF478" s="214"/>
    </row>
    <row r="479" spans="1:58" ht="45" hidden="1" customHeight="1">
      <c r="B479" s="2277"/>
      <c r="C479" s="2259"/>
      <c r="D479" s="2260"/>
      <c r="E479" s="1908" t="s">
        <v>3682</v>
      </c>
      <c r="F479" s="1908" t="s">
        <v>3688</v>
      </c>
      <c r="G479" s="1908"/>
      <c r="H479" s="2278" t="s">
        <v>4735</v>
      </c>
      <c r="I479" s="2259"/>
      <c r="J479" s="2260"/>
      <c r="K479" s="2278" t="s">
        <v>4803</v>
      </c>
      <c r="L479" s="2260"/>
      <c r="M479" s="1908" t="e">
        <f>VLOOKUP(K479,'Estimate Details'!$R:$BR,20,FALSE)</f>
        <v>#N/A</v>
      </c>
      <c r="N479" s="1908" t="e">
        <f>VLOOKUP(M479,#REF!,2,FALSE)</f>
        <v>#N/A</v>
      </c>
      <c r="O479" s="1908" t="s">
        <v>3949</v>
      </c>
      <c r="P479" s="2278" t="s">
        <v>3687</v>
      </c>
      <c r="Q479" s="2259"/>
      <c r="R479" s="2260"/>
      <c r="S479" s="1908" t="s">
        <v>3688</v>
      </c>
      <c r="T479" s="1908" t="s">
        <v>3689</v>
      </c>
      <c r="U479" s="1908" t="s">
        <v>3690</v>
      </c>
      <c r="V479" s="1908" t="s">
        <v>3691</v>
      </c>
      <c r="W479" s="1908" t="s">
        <v>3688</v>
      </c>
      <c r="X479" s="1908"/>
      <c r="Y479" s="1908"/>
      <c r="Z479" s="1908"/>
      <c r="AA479" s="1908" t="s">
        <v>3694</v>
      </c>
      <c r="AB479" s="1908" t="s">
        <v>3950</v>
      </c>
      <c r="AC479" s="1908" t="s">
        <v>3696</v>
      </c>
      <c r="AD479" s="2278" t="s">
        <v>3951</v>
      </c>
      <c r="AE479" s="2259"/>
      <c r="AF479" s="2260"/>
      <c r="AG479" s="2278" t="s">
        <v>3696</v>
      </c>
      <c r="AH479" s="2259"/>
      <c r="AI479" s="2260"/>
      <c r="AJ479" s="1908" t="s">
        <v>3931</v>
      </c>
      <c r="AK479" s="2278" t="s">
        <v>3688</v>
      </c>
      <c r="AL479" s="2259"/>
      <c r="AM479" s="2259"/>
      <c r="AN479" s="2259"/>
      <c r="AO479" s="2260"/>
      <c r="AP479" s="1908" t="s">
        <v>3699</v>
      </c>
      <c r="BC479" s="214"/>
      <c r="BD479" s="214"/>
      <c r="BE479" s="214"/>
      <c r="BF479" s="214"/>
    </row>
    <row r="480" spans="1:58" ht="45" hidden="1" customHeight="1">
      <c r="A480" s="808"/>
      <c r="B480" s="2280"/>
      <c r="C480" s="2281"/>
      <c r="D480" s="2282"/>
      <c r="E480" s="1909" t="s">
        <v>3682</v>
      </c>
      <c r="F480" s="1909" t="s">
        <v>3688</v>
      </c>
      <c r="G480" s="1909"/>
      <c r="H480" s="2283" t="s">
        <v>4735</v>
      </c>
      <c r="I480" s="2281"/>
      <c r="J480" s="2282"/>
      <c r="K480" s="2283" t="s">
        <v>4804</v>
      </c>
      <c r="L480" s="2282"/>
      <c r="M480" s="1909" t="e">
        <f>VLOOKUP(K480,'Estimate Details'!$R:$BR,20,FALSE)</f>
        <v>#N/A</v>
      </c>
      <c r="N480" s="1909" t="e">
        <f>VLOOKUP(M480,#REF!,2,FALSE)</f>
        <v>#N/A</v>
      </c>
      <c r="O480" s="1909" t="s">
        <v>3949</v>
      </c>
      <c r="P480" s="2284" t="s">
        <v>3687</v>
      </c>
      <c r="Q480" s="2281"/>
      <c r="R480" s="2282"/>
      <c r="S480" s="1909" t="s">
        <v>3688</v>
      </c>
      <c r="T480" s="1909" t="s">
        <v>3689</v>
      </c>
      <c r="U480" s="1909" t="s">
        <v>3690</v>
      </c>
      <c r="V480" s="1909" t="s">
        <v>3691</v>
      </c>
      <c r="W480" s="1909" t="s">
        <v>3688</v>
      </c>
      <c r="X480" s="1909"/>
      <c r="Y480" s="1909"/>
      <c r="Z480" s="1909"/>
      <c r="AA480" s="1909" t="s">
        <v>3694</v>
      </c>
      <c r="AB480" s="1909" t="s">
        <v>3950</v>
      </c>
      <c r="AC480" s="1909" t="s">
        <v>3696</v>
      </c>
      <c r="AD480" s="2283" t="s">
        <v>3951</v>
      </c>
      <c r="AE480" s="2281"/>
      <c r="AF480" s="2282"/>
      <c r="AG480" s="2283" t="s">
        <v>3696</v>
      </c>
      <c r="AH480" s="2281"/>
      <c r="AI480" s="2282"/>
      <c r="AJ480" s="1909" t="s">
        <v>3931</v>
      </c>
      <c r="AK480" s="2283" t="s">
        <v>3688</v>
      </c>
      <c r="AL480" s="2281"/>
      <c r="AM480" s="2259"/>
      <c r="AN480" s="2281"/>
      <c r="AO480" s="2282"/>
      <c r="AP480" s="1909" t="s">
        <v>3699</v>
      </c>
      <c r="BC480" s="214"/>
      <c r="BD480" s="214"/>
      <c r="BE480" s="214"/>
      <c r="BF480" s="214"/>
    </row>
    <row r="481" spans="1:58" ht="45" hidden="1" customHeight="1">
      <c r="B481" s="2277"/>
      <c r="C481" s="2259"/>
      <c r="D481" s="2260"/>
      <c r="E481" s="1908" t="s">
        <v>3682</v>
      </c>
      <c r="F481" s="1908" t="s">
        <v>3688</v>
      </c>
      <c r="G481" s="1908"/>
      <c r="H481" s="2278" t="s">
        <v>4735</v>
      </c>
      <c r="I481" s="2259"/>
      <c r="J481" s="2260"/>
      <c r="K481" s="2278" t="s">
        <v>4805</v>
      </c>
      <c r="L481" s="2260"/>
      <c r="M481" s="1908" t="e">
        <f>VLOOKUP(K481,'Estimate Details'!$R:$BR,20,FALSE)</f>
        <v>#N/A</v>
      </c>
      <c r="N481" s="1908" t="e">
        <f>VLOOKUP(M481,#REF!,2,FALSE)</f>
        <v>#N/A</v>
      </c>
      <c r="O481" s="1908" t="s">
        <v>3949</v>
      </c>
      <c r="P481" s="2278" t="s">
        <v>3687</v>
      </c>
      <c r="Q481" s="2259"/>
      <c r="R481" s="2260"/>
      <c r="S481" s="1908" t="s">
        <v>3688</v>
      </c>
      <c r="T481" s="1908" t="s">
        <v>3689</v>
      </c>
      <c r="U481" s="1908" t="s">
        <v>3690</v>
      </c>
      <c r="V481" s="1908" t="s">
        <v>3691</v>
      </c>
      <c r="W481" s="1908" t="s">
        <v>3688</v>
      </c>
      <c r="X481" s="1908"/>
      <c r="Y481" s="1908"/>
      <c r="Z481" s="1908"/>
      <c r="AA481" s="1908" t="s">
        <v>3694</v>
      </c>
      <c r="AB481" s="1908" t="s">
        <v>3950</v>
      </c>
      <c r="AC481" s="1908" t="s">
        <v>3696</v>
      </c>
      <c r="AD481" s="2278" t="s">
        <v>3951</v>
      </c>
      <c r="AE481" s="2259"/>
      <c r="AF481" s="2260"/>
      <c r="AG481" s="2278" t="s">
        <v>3696</v>
      </c>
      <c r="AH481" s="2259"/>
      <c r="AI481" s="2260"/>
      <c r="AJ481" s="1908" t="s">
        <v>3931</v>
      </c>
      <c r="AK481" s="2278" t="s">
        <v>3688</v>
      </c>
      <c r="AL481" s="2259"/>
      <c r="AM481" s="2259"/>
      <c r="AN481" s="2259"/>
      <c r="AO481" s="2260"/>
      <c r="AP481" s="1908" t="s">
        <v>3699</v>
      </c>
      <c r="BC481" s="214"/>
      <c r="BD481" s="214"/>
      <c r="BE481" s="214"/>
      <c r="BF481" s="214"/>
    </row>
    <row r="482" spans="1:58" ht="45" hidden="1" customHeight="1">
      <c r="A482" s="808"/>
      <c r="B482" s="2280"/>
      <c r="C482" s="2281"/>
      <c r="D482" s="2282"/>
      <c r="E482" s="1909" t="s">
        <v>3682</v>
      </c>
      <c r="F482" s="1909" t="s">
        <v>4458</v>
      </c>
      <c r="G482" s="1909"/>
      <c r="H482" s="2283" t="s">
        <v>4806</v>
      </c>
      <c r="I482" s="2281"/>
      <c r="J482" s="2282"/>
      <c r="K482" s="2283" t="s">
        <v>4807</v>
      </c>
      <c r="L482" s="2282"/>
      <c r="M482" s="1909" t="e">
        <f>VLOOKUP(K482,'Estimate Details'!$R:$BR,20,FALSE)</f>
        <v>#N/A</v>
      </c>
      <c r="N482" s="1909" t="e">
        <f>VLOOKUP(M482,#REF!,2,FALSE)</f>
        <v>#N/A</v>
      </c>
      <c r="O482" s="1909" t="s">
        <v>4808</v>
      </c>
      <c r="P482" s="2284" t="s">
        <v>4809</v>
      </c>
      <c r="Q482" s="2281"/>
      <c r="R482" s="2282"/>
      <c r="S482" s="1909" t="s">
        <v>3688</v>
      </c>
      <c r="T482" s="1909" t="s">
        <v>3689</v>
      </c>
      <c r="U482" s="1909" t="s">
        <v>3992</v>
      </c>
      <c r="V482" s="1909" t="s">
        <v>3810</v>
      </c>
      <c r="W482" s="1909" t="s">
        <v>3688</v>
      </c>
      <c r="X482" s="1909" t="s">
        <v>4810</v>
      </c>
      <c r="Y482" s="1909" t="s">
        <v>4811</v>
      </c>
      <c r="Z482" s="1909"/>
      <c r="AA482" s="1909" t="s">
        <v>3957</v>
      </c>
      <c r="AB482" s="1909" t="s">
        <v>4812</v>
      </c>
      <c r="AC482" s="1909" t="s">
        <v>4813</v>
      </c>
      <c r="AD482" s="2283" t="s">
        <v>4814</v>
      </c>
      <c r="AE482" s="2281"/>
      <c r="AF482" s="2282"/>
      <c r="AG482" s="2283" t="s">
        <v>4463</v>
      </c>
      <c r="AH482" s="2281"/>
      <c r="AI482" s="2282"/>
      <c r="AJ482" s="1909" t="s">
        <v>3996</v>
      </c>
      <c r="AK482" s="2283" t="s">
        <v>4815</v>
      </c>
      <c r="AL482" s="2281"/>
      <c r="AM482" s="2259"/>
      <c r="AN482" s="2281"/>
      <c r="AO482" s="2282"/>
      <c r="AP482" s="1909" t="s">
        <v>3699</v>
      </c>
      <c r="BC482" s="214"/>
      <c r="BD482" s="214"/>
      <c r="BE482" s="214"/>
      <c r="BF482" s="214"/>
    </row>
    <row r="483" spans="1:58" ht="45" hidden="1" customHeight="1">
      <c r="B483" s="2277"/>
      <c r="C483" s="2259"/>
      <c r="D483" s="2260"/>
      <c r="E483" s="1908" t="s">
        <v>3682</v>
      </c>
      <c r="F483" s="1908" t="s">
        <v>4458</v>
      </c>
      <c r="G483" s="1908"/>
      <c r="H483" s="2278" t="s">
        <v>4806</v>
      </c>
      <c r="I483" s="2259"/>
      <c r="J483" s="2260"/>
      <c r="K483" s="2278" t="s">
        <v>4816</v>
      </c>
      <c r="L483" s="2260"/>
      <c r="M483" s="1908" t="e">
        <f>VLOOKUP(K483,'Estimate Details'!$R:$BR,20,FALSE)</f>
        <v>#N/A</v>
      </c>
      <c r="N483" s="1908" t="e">
        <f>VLOOKUP(M483,#REF!,2,FALSE)</f>
        <v>#N/A</v>
      </c>
      <c r="O483" s="1908" t="s">
        <v>4817</v>
      </c>
      <c r="P483" s="2278" t="s">
        <v>4809</v>
      </c>
      <c r="Q483" s="2259"/>
      <c r="R483" s="2260"/>
      <c r="S483" s="1908" t="s">
        <v>3688</v>
      </c>
      <c r="T483" s="1908" t="s">
        <v>3689</v>
      </c>
      <c r="U483" s="1908" t="s">
        <v>3992</v>
      </c>
      <c r="V483" s="1908" t="s">
        <v>3810</v>
      </c>
      <c r="W483" s="1908" t="s">
        <v>3688</v>
      </c>
      <c r="X483" s="1908" t="s">
        <v>4818</v>
      </c>
      <c r="Y483" s="1908" t="s">
        <v>4819</v>
      </c>
      <c r="Z483" s="1908"/>
      <c r="AA483" s="1908" t="s">
        <v>3957</v>
      </c>
      <c r="AB483" s="1908" t="s">
        <v>4812</v>
      </c>
      <c r="AC483" s="1908" t="s">
        <v>4820</v>
      </c>
      <c r="AD483" s="2278" t="s">
        <v>4821</v>
      </c>
      <c r="AE483" s="2259"/>
      <c r="AF483" s="2260"/>
      <c r="AG483" s="2278" t="s">
        <v>4463</v>
      </c>
      <c r="AH483" s="2259"/>
      <c r="AI483" s="2260"/>
      <c r="AJ483" s="1908" t="s">
        <v>3996</v>
      </c>
      <c r="AK483" s="2278" t="s">
        <v>4822</v>
      </c>
      <c r="AL483" s="2259"/>
      <c r="AM483" s="2259"/>
      <c r="AN483" s="2259"/>
      <c r="AO483" s="2260"/>
      <c r="AP483" s="1908" t="s">
        <v>3699</v>
      </c>
      <c r="BC483" s="214"/>
      <c r="BD483" s="214"/>
      <c r="BE483" s="214"/>
      <c r="BF483" s="214"/>
    </row>
    <row r="484" spans="1:58" ht="45" hidden="1" customHeight="1">
      <c r="A484" s="808"/>
      <c r="B484" s="2280"/>
      <c r="C484" s="2281"/>
      <c r="D484" s="2282"/>
      <c r="E484" s="1909" t="s">
        <v>3682</v>
      </c>
      <c r="F484" s="1909" t="s">
        <v>4458</v>
      </c>
      <c r="G484" s="1909"/>
      <c r="H484" s="2283" t="s">
        <v>4806</v>
      </c>
      <c r="I484" s="2281"/>
      <c r="J484" s="2282"/>
      <c r="K484" s="2283" t="s">
        <v>4823</v>
      </c>
      <c r="L484" s="2282"/>
      <c r="M484" s="1909" t="e">
        <f>VLOOKUP(K484,'Estimate Details'!$R:$BR,20,FALSE)</f>
        <v>#N/A</v>
      </c>
      <c r="N484" s="1909" t="e">
        <f>VLOOKUP(M484,#REF!,2,FALSE)</f>
        <v>#N/A</v>
      </c>
      <c r="O484" s="1909" t="s">
        <v>4824</v>
      </c>
      <c r="P484" s="2284" t="s">
        <v>4809</v>
      </c>
      <c r="Q484" s="2281"/>
      <c r="R484" s="2282"/>
      <c r="S484" s="1909" t="s">
        <v>3688</v>
      </c>
      <c r="T484" s="1909" t="s">
        <v>3689</v>
      </c>
      <c r="U484" s="1909" t="s">
        <v>3992</v>
      </c>
      <c r="V484" s="1909" t="s">
        <v>3810</v>
      </c>
      <c r="W484" s="1909" t="s">
        <v>3688</v>
      </c>
      <c r="X484" s="1909" t="s">
        <v>4818</v>
      </c>
      <c r="Y484" s="1909" t="s">
        <v>4819</v>
      </c>
      <c r="Z484" s="1909"/>
      <c r="AA484" s="1909" t="s">
        <v>3957</v>
      </c>
      <c r="AB484" s="1909" t="s">
        <v>4812</v>
      </c>
      <c r="AC484" s="1909" t="s">
        <v>4820</v>
      </c>
      <c r="AD484" s="2283" t="s">
        <v>4821</v>
      </c>
      <c r="AE484" s="2281"/>
      <c r="AF484" s="2282"/>
      <c r="AG484" s="2283" t="s">
        <v>4463</v>
      </c>
      <c r="AH484" s="2281"/>
      <c r="AI484" s="2282"/>
      <c r="AJ484" s="1909" t="s">
        <v>3996</v>
      </c>
      <c r="AK484" s="2283" t="s">
        <v>4822</v>
      </c>
      <c r="AL484" s="2281"/>
      <c r="AM484" s="2259"/>
      <c r="AN484" s="2281"/>
      <c r="AO484" s="2282"/>
      <c r="AP484" s="1909" t="s">
        <v>3699</v>
      </c>
      <c r="BC484" s="214"/>
      <c r="BD484" s="214"/>
      <c r="BE484" s="214"/>
      <c r="BF484" s="214"/>
    </row>
    <row r="485" spans="1:58" ht="45" hidden="1" customHeight="1">
      <c r="B485" s="2277"/>
      <c r="C485" s="2259"/>
      <c r="D485" s="2260"/>
      <c r="E485" s="1908" t="s">
        <v>3682</v>
      </c>
      <c r="F485" s="1908" t="s">
        <v>4458</v>
      </c>
      <c r="G485" s="1908"/>
      <c r="H485" s="2278" t="s">
        <v>4806</v>
      </c>
      <c r="I485" s="2259"/>
      <c r="J485" s="2260"/>
      <c r="K485" s="2278" t="s">
        <v>4825</v>
      </c>
      <c r="L485" s="2260"/>
      <c r="M485" s="1908" t="e">
        <f>VLOOKUP(K485,'Estimate Details'!$R:$BR,20,FALSE)</f>
        <v>#N/A</v>
      </c>
      <c r="N485" s="1908" t="e">
        <f>VLOOKUP(M485,#REF!,2,FALSE)</f>
        <v>#N/A</v>
      </c>
      <c r="O485" s="1908" t="s">
        <v>4826</v>
      </c>
      <c r="P485" s="2278" t="s">
        <v>4809</v>
      </c>
      <c r="Q485" s="2259"/>
      <c r="R485" s="2260"/>
      <c r="S485" s="1908" t="s">
        <v>3688</v>
      </c>
      <c r="T485" s="1908" t="s">
        <v>3689</v>
      </c>
      <c r="U485" s="1908" t="s">
        <v>3992</v>
      </c>
      <c r="V485" s="1908" t="s">
        <v>3810</v>
      </c>
      <c r="W485" s="1908" t="s">
        <v>3688</v>
      </c>
      <c r="X485" s="1908" t="s">
        <v>4810</v>
      </c>
      <c r="Y485" s="1908" t="s">
        <v>4811</v>
      </c>
      <c r="Z485" s="1908"/>
      <c r="AA485" s="1908" t="s">
        <v>3957</v>
      </c>
      <c r="AB485" s="1908" t="s">
        <v>4812</v>
      </c>
      <c r="AC485" s="1908" t="s">
        <v>4813</v>
      </c>
      <c r="AD485" s="2278" t="s">
        <v>4814</v>
      </c>
      <c r="AE485" s="2259"/>
      <c r="AF485" s="2260"/>
      <c r="AG485" s="2278" t="s">
        <v>4463</v>
      </c>
      <c r="AH485" s="2259"/>
      <c r="AI485" s="2260"/>
      <c r="AJ485" s="1908" t="s">
        <v>3996</v>
      </c>
      <c r="AK485" s="2278" t="s">
        <v>4815</v>
      </c>
      <c r="AL485" s="2259"/>
      <c r="AM485" s="2259"/>
      <c r="AN485" s="2259"/>
      <c r="AO485" s="2260"/>
      <c r="AP485" s="1908" t="s">
        <v>3699</v>
      </c>
      <c r="BC485" s="214"/>
      <c r="BD485" s="214"/>
      <c r="BE485" s="214"/>
      <c r="BF485" s="214"/>
    </row>
    <row r="486" spans="1:58" ht="45" hidden="1" customHeight="1">
      <c r="A486" s="808"/>
      <c r="B486" s="2280"/>
      <c r="C486" s="2281"/>
      <c r="D486" s="2282"/>
      <c r="E486" s="1909" t="s">
        <v>3682</v>
      </c>
      <c r="F486" s="1909" t="s">
        <v>4458</v>
      </c>
      <c r="G486" s="1909"/>
      <c r="H486" s="2283" t="s">
        <v>4806</v>
      </c>
      <c r="I486" s="2281"/>
      <c r="J486" s="2282"/>
      <c r="K486" s="2283" t="s">
        <v>4827</v>
      </c>
      <c r="L486" s="2282"/>
      <c r="M486" s="1909" t="e">
        <f>VLOOKUP(K486,'Estimate Details'!$R:$BR,20,FALSE)</f>
        <v>#N/A</v>
      </c>
      <c r="N486" s="1909" t="e">
        <f>VLOOKUP(M486,#REF!,2,FALSE)</f>
        <v>#N/A</v>
      </c>
      <c r="O486" s="1909" t="s">
        <v>4828</v>
      </c>
      <c r="P486" s="2284" t="s">
        <v>4809</v>
      </c>
      <c r="Q486" s="2281"/>
      <c r="R486" s="2282"/>
      <c r="S486" s="1909" t="s">
        <v>3688</v>
      </c>
      <c r="T486" s="1909" t="s">
        <v>3689</v>
      </c>
      <c r="U486" s="1909" t="s">
        <v>3992</v>
      </c>
      <c r="V486" s="1909" t="s">
        <v>3810</v>
      </c>
      <c r="W486" s="1909" t="s">
        <v>3688</v>
      </c>
      <c r="X486" s="1909" t="s">
        <v>4818</v>
      </c>
      <c r="Y486" s="1909" t="s">
        <v>4819</v>
      </c>
      <c r="Z486" s="1909"/>
      <c r="AA486" s="1909" t="s">
        <v>3957</v>
      </c>
      <c r="AB486" s="1909" t="s">
        <v>4812</v>
      </c>
      <c r="AC486" s="1909" t="s">
        <v>4820</v>
      </c>
      <c r="AD486" s="2283" t="s">
        <v>4821</v>
      </c>
      <c r="AE486" s="2281"/>
      <c r="AF486" s="2282"/>
      <c r="AG486" s="2283" t="s">
        <v>4463</v>
      </c>
      <c r="AH486" s="2281"/>
      <c r="AI486" s="2282"/>
      <c r="AJ486" s="1909" t="s">
        <v>3996</v>
      </c>
      <c r="AK486" s="2283" t="s">
        <v>4822</v>
      </c>
      <c r="AL486" s="2281"/>
      <c r="AM486" s="2259"/>
      <c r="AN486" s="2281"/>
      <c r="AO486" s="2282"/>
      <c r="AP486" s="1909" t="s">
        <v>3699</v>
      </c>
      <c r="BC486" s="214"/>
      <c r="BD486" s="214"/>
      <c r="BE486" s="214"/>
      <c r="BF486" s="214"/>
    </row>
    <row r="487" spans="1:58" ht="45" hidden="1" customHeight="1">
      <c r="B487" s="2277"/>
      <c r="C487" s="2259"/>
      <c r="D487" s="2260"/>
      <c r="E487" s="1908" t="s">
        <v>3682</v>
      </c>
      <c r="F487" s="1908" t="s">
        <v>4458</v>
      </c>
      <c r="G487" s="1908"/>
      <c r="H487" s="2278" t="s">
        <v>4806</v>
      </c>
      <c r="I487" s="2259"/>
      <c r="J487" s="2260"/>
      <c r="K487" s="2278" t="s">
        <v>4829</v>
      </c>
      <c r="L487" s="2260"/>
      <c r="M487" s="1908" t="e">
        <f>VLOOKUP(K487,'Estimate Details'!$R:$BR,20,FALSE)</f>
        <v>#N/A</v>
      </c>
      <c r="N487" s="1908" t="e">
        <f>VLOOKUP(M487,#REF!,2,FALSE)</f>
        <v>#N/A</v>
      </c>
      <c r="O487" s="1908" t="s">
        <v>4830</v>
      </c>
      <c r="P487" s="2278" t="s">
        <v>4809</v>
      </c>
      <c r="Q487" s="2259"/>
      <c r="R487" s="2260"/>
      <c r="S487" s="1908" t="s">
        <v>3688</v>
      </c>
      <c r="T487" s="1908" t="s">
        <v>3689</v>
      </c>
      <c r="U487" s="1908" t="s">
        <v>3992</v>
      </c>
      <c r="V487" s="1908" t="s">
        <v>3810</v>
      </c>
      <c r="W487" s="1908" t="s">
        <v>3688</v>
      </c>
      <c r="X487" s="1908" t="s">
        <v>4818</v>
      </c>
      <c r="Y487" s="1908" t="s">
        <v>4819</v>
      </c>
      <c r="Z487" s="1908"/>
      <c r="AA487" s="1908" t="s">
        <v>3957</v>
      </c>
      <c r="AB487" s="1908" t="s">
        <v>4812</v>
      </c>
      <c r="AC487" s="1908" t="s">
        <v>4820</v>
      </c>
      <c r="AD487" s="2278" t="s">
        <v>4821</v>
      </c>
      <c r="AE487" s="2259"/>
      <c r="AF487" s="2260"/>
      <c r="AG487" s="2278" t="s">
        <v>4463</v>
      </c>
      <c r="AH487" s="2259"/>
      <c r="AI487" s="2260"/>
      <c r="AJ487" s="1908" t="s">
        <v>3996</v>
      </c>
      <c r="AK487" s="2278" t="s">
        <v>4822</v>
      </c>
      <c r="AL487" s="2259"/>
      <c r="AM487" s="2259"/>
      <c r="AN487" s="2259"/>
      <c r="AO487" s="2260"/>
      <c r="AP487" s="1908" t="s">
        <v>3699</v>
      </c>
      <c r="BC487" s="214"/>
      <c r="BD487" s="214"/>
      <c r="BE487" s="214"/>
      <c r="BF487" s="214"/>
    </row>
    <row r="488" spans="1:58" ht="45" hidden="1" customHeight="1">
      <c r="A488" s="808"/>
      <c r="B488" s="2280"/>
      <c r="C488" s="2281"/>
      <c r="D488" s="2282"/>
      <c r="E488" s="1909" t="s">
        <v>3682</v>
      </c>
      <c r="F488" s="1909" t="s">
        <v>4458</v>
      </c>
      <c r="G488" s="1909"/>
      <c r="H488" s="2283" t="s">
        <v>4806</v>
      </c>
      <c r="I488" s="2281"/>
      <c r="J488" s="2282"/>
      <c r="K488" s="2283" t="s">
        <v>4831</v>
      </c>
      <c r="L488" s="2282"/>
      <c r="M488" s="1909" t="e">
        <f>VLOOKUP(K488,'Estimate Details'!$R:$BR,20,FALSE)</f>
        <v>#N/A</v>
      </c>
      <c r="N488" s="1909" t="e">
        <f>VLOOKUP(M488,#REF!,2,FALSE)</f>
        <v>#N/A</v>
      </c>
      <c r="O488" s="1909" t="s">
        <v>4832</v>
      </c>
      <c r="P488" s="2284" t="s">
        <v>4023</v>
      </c>
      <c r="Q488" s="2281"/>
      <c r="R488" s="2282"/>
      <c r="S488" s="1909" t="s">
        <v>4833</v>
      </c>
      <c r="T488" s="1909" t="s">
        <v>3689</v>
      </c>
      <c r="U488" s="1909" t="s">
        <v>3992</v>
      </c>
      <c r="V488" s="1909" t="s">
        <v>3810</v>
      </c>
      <c r="W488" s="1909" t="s">
        <v>3688</v>
      </c>
      <c r="X488" s="1909"/>
      <c r="Y488" s="1909"/>
      <c r="Z488" s="1909"/>
      <c r="AA488" s="1909" t="s">
        <v>3957</v>
      </c>
      <c r="AB488" s="1909" t="s">
        <v>3688</v>
      </c>
      <c r="AC488" s="1909" t="s">
        <v>3804</v>
      </c>
      <c r="AD488" s="2283" t="s">
        <v>3688</v>
      </c>
      <c r="AE488" s="2281"/>
      <c r="AF488" s="2282"/>
      <c r="AG488" s="2283" t="s">
        <v>3696</v>
      </c>
      <c r="AH488" s="2281"/>
      <c r="AI488" s="2282"/>
      <c r="AJ488" s="1909" t="s">
        <v>3996</v>
      </c>
      <c r="AK488" s="2283" t="s">
        <v>3997</v>
      </c>
      <c r="AL488" s="2281"/>
      <c r="AM488" s="2259"/>
      <c r="AN488" s="2281"/>
      <c r="AO488" s="2282"/>
      <c r="AP488" s="1909" t="s">
        <v>3699</v>
      </c>
      <c r="BC488" s="214"/>
      <c r="BD488" s="214"/>
      <c r="BE488" s="214"/>
      <c r="BF488" s="214"/>
    </row>
    <row r="489" spans="1:58" ht="45" hidden="1" customHeight="1">
      <c r="B489" s="2277"/>
      <c r="C489" s="2259"/>
      <c r="D489" s="2260"/>
      <c r="E489" s="1908" t="s">
        <v>3682</v>
      </c>
      <c r="F489" s="1908" t="s">
        <v>4458</v>
      </c>
      <c r="G489" s="1908"/>
      <c r="H489" s="2278" t="s">
        <v>4806</v>
      </c>
      <c r="I489" s="2259"/>
      <c r="J489" s="2260"/>
      <c r="K489" s="2278" t="s">
        <v>4834</v>
      </c>
      <c r="L489" s="2260"/>
      <c r="M489" s="1908" t="e">
        <f>VLOOKUP(K489,'Estimate Details'!$R:$BR,20,FALSE)</f>
        <v>#N/A</v>
      </c>
      <c r="N489" s="1908" t="e">
        <f>VLOOKUP(M489,#REF!,2,FALSE)</f>
        <v>#N/A</v>
      </c>
      <c r="O489" s="1908" t="s">
        <v>4832</v>
      </c>
      <c r="P489" s="2278" t="s">
        <v>4023</v>
      </c>
      <c r="Q489" s="2259"/>
      <c r="R489" s="2260"/>
      <c r="S489" s="1908" t="s">
        <v>4833</v>
      </c>
      <c r="T489" s="1908" t="s">
        <v>3689</v>
      </c>
      <c r="U489" s="1908" t="s">
        <v>3992</v>
      </c>
      <c r="V489" s="1908" t="s">
        <v>3810</v>
      </c>
      <c r="W489" s="1908" t="s">
        <v>3688</v>
      </c>
      <c r="X489" s="1908"/>
      <c r="Y489" s="1908"/>
      <c r="Z489" s="1908"/>
      <c r="AA489" s="1908" t="s">
        <v>3957</v>
      </c>
      <c r="AB489" s="1908" t="s">
        <v>3688</v>
      </c>
      <c r="AC489" s="1908" t="s">
        <v>3804</v>
      </c>
      <c r="AD489" s="2278" t="s">
        <v>3688</v>
      </c>
      <c r="AE489" s="2259"/>
      <c r="AF489" s="2260"/>
      <c r="AG489" s="2278" t="s">
        <v>3696</v>
      </c>
      <c r="AH489" s="2259"/>
      <c r="AI489" s="2260"/>
      <c r="AJ489" s="1908" t="s">
        <v>3996</v>
      </c>
      <c r="AK489" s="2278" t="s">
        <v>3997</v>
      </c>
      <c r="AL489" s="2259"/>
      <c r="AM489" s="2259"/>
      <c r="AN489" s="2259"/>
      <c r="AO489" s="2260"/>
      <c r="AP489" s="1908" t="s">
        <v>3699</v>
      </c>
      <c r="BC489" s="214"/>
      <c r="BD489" s="214"/>
      <c r="BE489" s="214"/>
      <c r="BF489" s="214"/>
    </row>
    <row r="490" spans="1:58" ht="45" hidden="1" customHeight="1">
      <c r="A490" s="808"/>
      <c r="B490" s="2280"/>
      <c r="C490" s="2281"/>
      <c r="D490" s="2282"/>
      <c r="E490" s="1909" t="s">
        <v>3682</v>
      </c>
      <c r="F490" s="1909" t="s">
        <v>4458</v>
      </c>
      <c r="G490" s="1909"/>
      <c r="H490" s="2283" t="s">
        <v>4806</v>
      </c>
      <c r="I490" s="2281"/>
      <c r="J490" s="2282"/>
      <c r="K490" s="2283" t="s">
        <v>4835</v>
      </c>
      <c r="L490" s="2282"/>
      <c r="M490" s="1909" t="e">
        <f>VLOOKUP(K490,'Estimate Details'!$R:$BR,20,FALSE)</f>
        <v>#N/A</v>
      </c>
      <c r="N490" s="1909" t="e">
        <f>VLOOKUP(M490,#REF!,2,FALSE)</f>
        <v>#N/A</v>
      </c>
      <c r="O490" s="1909" t="s">
        <v>4832</v>
      </c>
      <c r="P490" s="2284" t="s">
        <v>4023</v>
      </c>
      <c r="Q490" s="2281"/>
      <c r="R490" s="2282"/>
      <c r="S490" s="1909" t="s">
        <v>4836</v>
      </c>
      <c r="T490" s="1909" t="s">
        <v>3689</v>
      </c>
      <c r="U490" s="1909" t="s">
        <v>3992</v>
      </c>
      <c r="V490" s="1909" t="s">
        <v>3810</v>
      </c>
      <c r="W490" s="1909" t="s">
        <v>3688</v>
      </c>
      <c r="X490" s="1909"/>
      <c r="Y490" s="1909"/>
      <c r="Z490" s="1909"/>
      <c r="AA490" s="1909" t="s">
        <v>3957</v>
      </c>
      <c r="AB490" s="1909" t="s">
        <v>3688</v>
      </c>
      <c r="AC490" s="1909" t="s">
        <v>3804</v>
      </c>
      <c r="AD490" s="2283" t="s">
        <v>3688</v>
      </c>
      <c r="AE490" s="2281"/>
      <c r="AF490" s="2282"/>
      <c r="AG490" s="2283" t="s">
        <v>3696</v>
      </c>
      <c r="AH490" s="2281"/>
      <c r="AI490" s="2282"/>
      <c r="AJ490" s="1909" t="s">
        <v>3996</v>
      </c>
      <c r="AK490" s="2283" t="s">
        <v>3997</v>
      </c>
      <c r="AL490" s="2281"/>
      <c r="AM490" s="2259"/>
      <c r="AN490" s="2281"/>
      <c r="AO490" s="2282"/>
      <c r="AP490" s="1909" t="s">
        <v>3699</v>
      </c>
      <c r="BC490" s="214"/>
      <c r="BD490" s="214"/>
      <c r="BE490" s="214"/>
      <c r="BF490" s="214"/>
    </row>
    <row r="491" spans="1:58" ht="45" hidden="1" customHeight="1">
      <c r="B491" s="2277"/>
      <c r="C491" s="2259"/>
      <c r="D491" s="2260"/>
      <c r="E491" s="1908" t="s">
        <v>3682</v>
      </c>
      <c r="F491" s="1908" t="s">
        <v>4458</v>
      </c>
      <c r="G491" s="1908"/>
      <c r="H491" s="2278" t="s">
        <v>4806</v>
      </c>
      <c r="I491" s="2259"/>
      <c r="J491" s="2260"/>
      <c r="K491" s="2278" t="s">
        <v>4837</v>
      </c>
      <c r="L491" s="2260"/>
      <c r="M491" s="1908" t="e">
        <f>VLOOKUP(K491,'Estimate Details'!$R:$BR,20,FALSE)</f>
        <v>#N/A</v>
      </c>
      <c r="N491" s="1908" t="e">
        <f>VLOOKUP(M491,#REF!,2,FALSE)</f>
        <v>#N/A</v>
      </c>
      <c r="O491" s="1908" t="s">
        <v>4832</v>
      </c>
      <c r="P491" s="2278" t="s">
        <v>4023</v>
      </c>
      <c r="Q491" s="2259"/>
      <c r="R491" s="2260"/>
      <c r="S491" s="1908" t="s">
        <v>4838</v>
      </c>
      <c r="T491" s="1908" t="s">
        <v>3689</v>
      </c>
      <c r="U491" s="1908" t="s">
        <v>3992</v>
      </c>
      <c r="V491" s="1908" t="s">
        <v>3810</v>
      </c>
      <c r="W491" s="1908" t="s">
        <v>3688</v>
      </c>
      <c r="X491" s="1908"/>
      <c r="Y491" s="1908"/>
      <c r="Z491" s="1908"/>
      <c r="AA491" s="1908" t="s">
        <v>3957</v>
      </c>
      <c r="AB491" s="1908" t="s">
        <v>3688</v>
      </c>
      <c r="AC491" s="1908" t="s">
        <v>3804</v>
      </c>
      <c r="AD491" s="2278" t="s">
        <v>3688</v>
      </c>
      <c r="AE491" s="2259"/>
      <c r="AF491" s="2260"/>
      <c r="AG491" s="2278" t="s">
        <v>3696</v>
      </c>
      <c r="AH491" s="2259"/>
      <c r="AI491" s="2260"/>
      <c r="AJ491" s="1908" t="s">
        <v>3996</v>
      </c>
      <c r="AK491" s="2278" t="s">
        <v>3997</v>
      </c>
      <c r="AL491" s="2259"/>
      <c r="AM491" s="2259"/>
      <c r="AN491" s="2259"/>
      <c r="AO491" s="2260"/>
      <c r="AP491" s="1908" t="s">
        <v>3699</v>
      </c>
      <c r="BC491" s="214"/>
      <c r="BD491" s="214"/>
      <c r="BE491" s="214"/>
      <c r="BF491" s="214"/>
    </row>
    <row r="492" spans="1:58" ht="45" hidden="1" customHeight="1">
      <c r="A492" s="808"/>
      <c r="B492" s="2280"/>
      <c r="C492" s="2281"/>
      <c r="D492" s="2282"/>
      <c r="E492" s="1909" t="s">
        <v>3682</v>
      </c>
      <c r="F492" s="1909" t="s">
        <v>4458</v>
      </c>
      <c r="G492" s="1909"/>
      <c r="H492" s="2283" t="s">
        <v>4806</v>
      </c>
      <c r="I492" s="2281"/>
      <c r="J492" s="2282"/>
      <c r="K492" s="2283" t="s">
        <v>4839</v>
      </c>
      <c r="L492" s="2282"/>
      <c r="M492" s="1909" t="e">
        <f>VLOOKUP(K492,'Estimate Details'!$R:$BR,20,FALSE)</f>
        <v>#N/A</v>
      </c>
      <c r="N492" s="1909" t="e">
        <f>VLOOKUP(M492,#REF!,2,FALSE)</f>
        <v>#N/A</v>
      </c>
      <c r="O492" s="1909" t="s">
        <v>4832</v>
      </c>
      <c r="P492" s="2284" t="s">
        <v>4023</v>
      </c>
      <c r="Q492" s="2281"/>
      <c r="R492" s="2282"/>
      <c r="S492" s="1909" t="s">
        <v>4840</v>
      </c>
      <c r="T492" s="1909" t="s">
        <v>3689</v>
      </c>
      <c r="U492" s="1909" t="s">
        <v>3992</v>
      </c>
      <c r="V492" s="1909" t="s">
        <v>3810</v>
      </c>
      <c r="W492" s="1909" t="s">
        <v>3688</v>
      </c>
      <c r="X492" s="1909"/>
      <c r="Y492" s="1909"/>
      <c r="Z492" s="1909"/>
      <c r="AA492" s="1909" t="s">
        <v>3957</v>
      </c>
      <c r="AB492" s="1909" t="s">
        <v>3688</v>
      </c>
      <c r="AC492" s="1909" t="s">
        <v>3804</v>
      </c>
      <c r="AD492" s="2283" t="s">
        <v>3688</v>
      </c>
      <c r="AE492" s="2281"/>
      <c r="AF492" s="2282"/>
      <c r="AG492" s="2283" t="s">
        <v>3696</v>
      </c>
      <c r="AH492" s="2281"/>
      <c r="AI492" s="2282"/>
      <c r="AJ492" s="1909" t="s">
        <v>3996</v>
      </c>
      <c r="AK492" s="2283" t="s">
        <v>3997</v>
      </c>
      <c r="AL492" s="2281"/>
      <c r="AM492" s="2259"/>
      <c r="AN492" s="2281"/>
      <c r="AO492" s="2282"/>
      <c r="AP492" s="1909" t="s">
        <v>3699</v>
      </c>
      <c r="BC492" s="214"/>
      <c r="BD492" s="214"/>
      <c r="BE492" s="214"/>
      <c r="BF492" s="214"/>
    </row>
    <row r="493" spans="1:58" ht="45" hidden="1" customHeight="1">
      <c r="B493" s="2277"/>
      <c r="C493" s="2259"/>
      <c r="D493" s="2260"/>
      <c r="E493" s="1908" t="s">
        <v>3682</v>
      </c>
      <c r="F493" s="1908" t="s">
        <v>4458</v>
      </c>
      <c r="G493" s="1908"/>
      <c r="H493" s="2278" t="s">
        <v>4806</v>
      </c>
      <c r="I493" s="2259"/>
      <c r="J493" s="2260"/>
      <c r="K493" s="2278" t="s">
        <v>4841</v>
      </c>
      <c r="L493" s="2260"/>
      <c r="M493" s="1908" t="e">
        <f>VLOOKUP(K493,'Estimate Details'!$R:$BR,20,FALSE)</f>
        <v>#N/A</v>
      </c>
      <c r="N493" s="1908" t="e">
        <f>VLOOKUP(M493,#REF!,2,FALSE)</f>
        <v>#N/A</v>
      </c>
      <c r="O493" s="1908" t="s">
        <v>4832</v>
      </c>
      <c r="P493" s="2278" t="s">
        <v>4023</v>
      </c>
      <c r="Q493" s="2259"/>
      <c r="R493" s="2260"/>
      <c r="S493" s="1908" t="s">
        <v>4840</v>
      </c>
      <c r="T493" s="1908" t="s">
        <v>3689</v>
      </c>
      <c r="U493" s="1908" t="s">
        <v>3992</v>
      </c>
      <c r="V493" s="1908" t="s">
        <v>3810</v>
      </c>
      <c r="W493" s="1908" t="s">
        <v>3688</v>
      </c>
      <c r="X493" s="1908"/>
      <c r="Y493" s="1908"/>
      <c r="Z493" s="1908"/>
      <c r="AA493" s="1908" t="s">
        <v>3957</v>
      </c>
      <c r="AB493" s="1908" t="s">
        <v>3688</v>
      </c>
      <c r="AC493" s="1908" t="s">
        <v>3804</v>
      </c>
      <c r="AD493" s="2278" t="s">
        <v>3688</v>
      </c>
      <c r="AE493" s="2259"/>
      <c r="AF493" s="2260"/>
      <c r="AG493" s="2278" t="s">
        <v>3696</v>
      </c>
      <c r="AH493" s="2259"/>
      <c r="AI493" s="2260"/>
      <c r="AJ493" s="1908" t="s">
        <v>3996</v>
      </c>
      <c r="AK493" s="2278" t="s">
        <v>3997</v>
      </c>
      <c r="AL493" s="2259"/>
      <c r="AM493" s="2259"/>
      <c r="AN493" s="2259"/>
      <c r="AO493" s="2260"/>
      <c r="AP493" s="1908" t="s">
        <v>3699</v>
      </c>
      <c r="BC493" s="214"/>
      <c r="BD493" s="214"/>
      <c r="BE493" s="214"/>
      <c r="BF493" s="214"/>
    </row>
    <row r="494" spans="1:58" ht="45" hidden="1" customHeight="1">
      <c r="A494" s="808"/>
      <c r="B494" s="2280"/>
      <c r="C494" s="2281"/>
      <c r="D494" s="2282"/>
      <c r="E494" s="1909" t="s">
        <v>3682</v>
      </c>
      <c r="F494" s="1909" t="s">
        <v>4458</v>
      </c>
      <c r="G494" s="1909"/>
      <c r="H494" s="2283" t="s">
        <v>4806</v>
      </c>
      <c r="I494" s="2281"/>
      <c r="J494" s="2282"/>
      <c r="K494" s="2283" t="s">
        <v>4842</v>
      </c>
      <c r="L494" s="2282"/>
      <c r="M494" s="1909" t="e">
        <f>VLOOKUP(K494,'Estimate Details'!$R:$BR,20,FALSE)</f>
        <v>#N/A</v>
      </c>
      <c r="N494" s="1909" t="e">
        <f>VLOOKUP(M494,#REF!,2,FALSE)</f>
        <v>#N/A</v>
      </c>
      <c r="O494" s="1909" t="s">
        <v>4832</v>
      </c>
      <c r="P494" s="2284" t="s">
        <v>4023</v>
      </c>
      <c r="Q494" s="2281"/>
      <c r="R494" s="2282"/>
      <c r="S494" s="1909" t="s">
        <v>4843</v>
      </c>
      <c r="T494" s="1909" t="s">
        <v>3689</v>
      </c>
      <c r="U494" s="1909" t="s">
        <v>3992</v>
      </c>
      <c r="V494" s="1909" t="s">
        <v>3810</v>
      </c>
      <c r="W494" s="1909" t="s">
        <v>3688</v>
      </c>
      <c r="X494" s="1909"/>
      <c r="Y494" s="1909"/>
      <c r="Z494" s="1909"/>
      <c r="AA494" s="1909" t="s">
        <v>3957</v>
      </c>
      <c r="AB494" s="1909" t="s">
        <v>3688</v>
      </c>
      <c r="AC494" s="1909" t="s">
        <v>3804</v>
      </c>
      <c r="AD494" s="2283" t="s">
        <v>3688</v>
      </c>
      <c r="AE494" s="2281"/>
      <c r="AF494" s="2282"/>
      <c r="AG494" s="2283" t="s">
        <v>3696</v>
      </c>
      <c r="AH494" s="2281"/>
      <c r="AI494" s="2282"/>
      <c r="AJ494" s="1909" t="s">
        <v>3996</v>
      </c>
      <c r="AK494" s="2283" t="s">
        <v>3997</v>
      </c>
      <c r="AL494" s="2281"/>
      <c r="AM494" s="2259"/>
      <c r="AN494" s="2281"/>
      <c r="AO494" s="2282"/>
      <c r="AP494" s="1909" t="s">
        <v>3699</v>
      </c>
      <c r="BC494" s="214"/>
      <c r="BD494" s="214"/>
      <c r="BE494" s="214"/>
      <c r="BF494" s="214"/>
    </row>
    <row r="495" spans="1:58" ht="45" hidden="1" customHeight="1">
      <c r="B495" s="2277"/>
      <c r="C495" s="2259"/>
      <c r="D495" s="2260"/>
      <c r="E495" s="1908" t="s">
        <v>3682</v>
      </c>
      <c r="F495" s="1908" t="s">
        <v>4458</v>
      </c>
      <c r="G495" s="1908"/>
      <c r="H495" s="2278" t="s">
        <v>4806</v>
      </c>
      <c r="I495" s="2259"/>
      <c r="J495" s="2260"/>
      <c r="K495" s="2278" t="s">
        <v>4844</v>
      </c>
      <c r="L495" s="2260"/>
      <c r="M495" s="1908" t="e">
        <f>VLOOKUP(K495,'Estimate Details'!$R:$BR,20,FALSE)</f>
        <v>#N/A</v>
      </c>
      <c r="N495" s="1908" t="e">
        <f>VLOOKUP(M495,#REF!,2,FALSE)</f>
        <v>#N/A</v>
      </c>
      <c r="O495" s="1908" t="s">
        <v>4832</v>
      </c>
      <c r="P495" s="2278" t="s">
        <v>4023</v>
      </c>
      <c r="Q495" s="2259"/>
      <c r="R495" s="2260"/>
      <c r="S495" s="1908" t="s">
        <v>4845</v>
      </c>
      <c r="T495" s="1908" t="s">
        <v>3689</v>
      </c>
      <c r="U495" s="1908" t="s">
        <v>3992</v>
      </c>
      <c r="V495" s="1908" t="s">
        <v>3810</v>
      </c>
      <c r="W495" s="1908" t="s">
        <v>3688</v>
      </c>
      <c r="X495" s="1908"/>
      <c r="Y495" s="1908"/>
      <c r="Z495" s="1908"/>
      <c r="AA495" s="1908" t="s">
        <v>3957</v>
      </c>
      <c r="AB495" s="1908" t="s">
        <v>3688</v>
      </c>
      <c r="AC495" s="1908" t="s">
        <v>3804</v>
      </c>
      <c r="AD495" s="2278" t="s">
        <v>3688</v>
      </c>
      <c r="AE495" s="2259"/>
      <c r="AF495" s="2260"/>
      <c r="AG495" s="2278" t="s">
        <v>3696</v>
      </c>
      <c r="AH495" s="2259"/>
      <c r="AI495" s="2260"/>
      <c r="AJ495" s="1908" t="s">
        <v>3996</v>
      </c>
      <c r="AK495" s="2278" t="s">
        <v>3997</v>
      </c>
      <c r="AL495" s="2259"/>
      <c r="AM495" s="2259"/>
      <c r="AN495" s="2259"/>
      <c r="AO495" s="2260"/>
      <c r="AP495" s="1908" t="s">
        <v>3699</v>
      </c>
      <c r="BC495" s="214"/>
      <c r="BD495" s="214"/>
      <c r="BE495" s="214"/>
      <c r="BF495" s="214"/>
    </row>
    <row r="496" spans="1:58" ht="45" hidden="1" customHeight="1">
      <c r="A496" s="808"/>
      <c r="B496" s="2280"/>
      <c r="C496" s="2281"/>
      <c r="D496" s="2282"/>
      <c r="E496" s="1909" t="s">
        <v>3682</v>
      </c>
      <c r="F496" s="1909" t="s">
        <v>4458</v>
      </c>
      <c r="G496" s="1909"/>
      <c r="H496" s="2283" t="s">
        <v>4806</v>
      </c>
      <c r="I496" s="2281"/>
      <c r="J496" s="2282"/>
      <c r="K496" s="2283" t="s">
        <v>4846</v>
      </c>
      <c r="L496" s="2282"/>
      <c r="M496" s="1909" t="e">
        <f>VLOOKUP(K496,'Estimate Details'!$R:$BR,20,FALSE)</f>
        <v>#N/A</v>
      </c>
      <c r="N496" s="1909" t="e">
        <f>VLOOKUP(M496,#REF!,2,FALSE)</f>
        <v>#N/A</v>
      </c>
      <c r="O496" s="1909" t="s">
        <v>4847</v>
      </c>
      <c r="P496" s="2284" t="s">
        <v>4055</v>
      </c>
      <c r="Q496" s="2281"/>
      <c r="R496" s="2282"/>
      <c r="S496" s="1909" t="s">
        <v>3688</v>
      </c>
      <c r="T496" s="1909" t="s">
        <v>3689</v>
      </c>
      <c r="U496" s="1909" t="s">
        <v>3992</v>
      </c>
      <c r="V496" s="1909" t="s">
        <v>3810</v>
      </c>
      <c r="W496" s="1909" t="s">
        <v>3688</v>
      </c>
      <c r="X496" s="1909" t="s">
        <v>4848</v>
      </c>
      <c r="Y496" s="1909" t="s">
        <v>4849</v>
      </c>
      <c r="Z496" s="1909"/>
      <c r="AA496" s="1909" t="s">
        <v>3957</v>
      </c>
      <c r="AB496" s="1909" t="s">
        <v>4812</v>
      </c>
      <c r="AC496" s="1909" t="s">
        <v>4850</v>
      </c>
      <c r="AD496" s="2283" t="s">
        <v>3688</v>
      </c>
      <c r="AE496" s="2281"/>
      <c r="AF496" s="2282"/>
      <c r="AG496" s="2283" t="s">
        <v>4463</v>
      </c>
      <c r="AH496" s="2281"/>
      <c r="AI496" s="2282"/>
      <c r="AJ496" s="1909" t="s">
        <v>3996</v>
      </c>
      <c r="AK496" s="2283" t="s">
        <v>4851</v>
      </c>
      <c r="AL496" s="2281"/>
      <c r="AM496" s="2259"/>
      <c r="AN496" s="2281"/>
      <c r="AO496" s="2282"/>
      <c r="AP496" s="1909" t="s">
        <v>3699</v>
      </c>
      <c r="BC496" s="214"/>
      <c r="BD496" s="214"/>
      <c r="BE496" s="214"/>
      <c r="BF496" s="214"/>
    </row>
    <row r="497" spans="1:58" ht="45" hidden="1" customHeight="1">
      <c r="B497" s="2277"/>
      <c r="C497" s="2259"/>
      <c r="D497" s="2260"/>
      <c r="E497" s="1908" t="s">
        <v>3682</v>
      </c>
      <c r="F497" s="1908" t="s">
        <v>4458</v>
      </c>
      <c r="G497" s="1908"/>
      <c r="H497" s="2278" t="s">
        <v>4806</v>
      </c>
      <c r="I497" s="2259"/>
      <c r="J497" s="2260"/>
      <c r="K497" s="2278" t="s">
        <v>4852</v>
      </c>
      <c r="L497" s="2260"/>
      <c r="M497" s="1908" t="e">
        <f>VLOOKUP(K497,'Estimate Details'!$R:$BR,20,FALSE)</f>
        <v>#N/A</v>
      </c>
      <c r="N497" s="1908" t="e">
        <f>VLOOKUP(M497,#REF!,2,FALSE)</f>
        <v>#N/A</v>
      </c>
      <c r="O497" s="1908" t="s">
        <v>4853</v>
      </c>
      <c r="P497" s="2278" t="s">
        <v>4055</v>
      </c>
      <c r="Q497" s="2259"/>
      <c r="R497" s="2260"/>
      <c r="S497" s="1908" t="s">
        <v>3688</v>
      </c>
      <c r="T497" s="1908" t="s">
        <v>3689</v>
      </c>
      <c r="U497" s="1908" t="s">
        <v>3992</v>
      </c>
      <c r="V497" s="1908" t="s">
        <v>3810</v>
      </c>
      <c r="W497" s="1908" t="s">
        <v>3688</v>
      </c>
      <c r="X497" s="1908" t="s">
        <v>4854</v>
      </c>
      <c r="Y497" s="1908" t="s">
        <v>4855</v>
      </c>
      <c r="Z497" s="1908"/>
      <c r="AA497" s="1908" t="s">
        <v>3957</v>
      </c>
      <c r="AB497" s="1908" t="s">
        <v>4812</v>
      </c>
      <c r="AC497" s="1908" t="s">
        <v>4856</v>
      </c>
      <c r="AD497" s="2278" t="s">
        <v>1</v>
      </c>
      <c r="AE497" s="2259"/>
      <c r="AF497" s="2260"/>
      <c r="AG497" s="2278" t="s">
        <v>4463</v>
      </c>
      <c r="AH497" s="2259"/>
      <c r="AI497" s="2260"/>
      <c r="AJ497" s="1908" t="s">
        <v>3996</v>
      </c>
      <c r="AK497" s="2278" t="s">
        <v>4857</v>
      </c>
      <c r="AL497" s="2259"/>
      <c r="AM497" s="2259"/>
      <c r="AN497" s="2259"/>
      <c r="AO497" s="2260"/>
      <c r="AP497" s="1908" t="s">
        <v>3699</v>
      </c>
      <c r="BC497" s="214"/>
      <c r="BD497" s="214"/>
      <c r="BE497" s="214"/>
      <c r="BF497" s="214"/>
    </row>
    <row r="498" spans="1:58" ht="45" hidden="1" customHeight="1">
      <c r="A498" s="808"/>
      <c r="B498" s="2280"/>
      <c r="C498" s="2281"/>
      <c r="D498" s="2282"/>
      <c r="E498" s="1909" t="s">
        <v>3682</v>
      </c>
      <c r="F498" s="1909" t="s">
        <v>4458</v>
      </c>
      <c r="G498" s="1909"/>
      <c r="H498" s="2283" t="s">
        <v>4806</v>
      </c>
      <c r="I498" s="2281"/>
      <c r="J498" s="2282"/>
      <c r="K498" s="2283" t="s">
        <v>4858</v>
      </c>
      <c r="L498" s="2282"/>
      <c r="M498" s="1909" t="e">
        <f>VLOOKUP(K498,'Estimate Details'!$R:$BR,20,FALSE)</f>
        <v>#N/A</v>
      </c>
      <c r="N498" s="1909" t="e">
        <f>VLOOKUP(M498,#REF!,2,FALSE)</f>
        <v>#N/A</v>
      </c>
      <c r="O498" s="1909" t="s">
        <v>4859</v>
      </c>
      <c r="P498" s="2284" t="s">
        <v>4055</v>
      </c>
      <c r="Q498" s="2281"/>
      <c r="R498" s="2282"/>
      <c r="S498" s="1909" t="s">
        <v>3688</v>
      </c>
      <c r="T498" s="1909" t="s">
        <v>3689</v>
      </c>
      <c r="U498" s="1909" t="s">
        <v>3992</v>
      </c>
      <c r="V498" s="1909" t="s">
        <v>3810</v>
      </c>
      <c r="W498" s="1909" t="s">
        <v>3688</v>
      </c>
      <c r="X498" s="1909" t="s">
        <v>4848</v>
      </c>
      <c r="Y498" s="1909" t="s">
        <v>4849</v>
      </c>
      <c r="Z498" s="1909"/>
      <c r="AA498" s="1909" t="s">
        <v>3957</v>
      </c>
      <c r="AB498" s="1909" t="s">
        <v>4812</v>
      </c>
      <c r="AC498" s="1909" t="s">
        <v>4850</v>
      </c>
      <c r="AD498" s="2283" t="s">
        <v>3688</v>
      </c>
      <c r="AE498" s="2281"/>
      <c r="AF498" s="2282"/>
      <c r="AG498" s="2283" t="s">
        <v>4463</v>
      </c>
      <c r="AH498" s="2281"/>
      <c r="AI498" s="2282"/>
      <c r="AJ498" s="1909" t="s">
        <v>3996</v>
      </c>
      <c r="AK498" s="2283" t="s">
        <v>4851</v>
      </c>
      <c r="AL498" s="2281"/>
      <c r="AM498" s="2259"/>
      <c r="AN498" s="2281"/>
      <c r="AO498" s="2282"/>
      <c r="AP498" s="1909" t="s">
        <v>3699</v>
      </c>
      <c r="BC498" s="214"/>
      <c r="BD498" s="214"/>
      <c r="BE498" s="214"/>
      <c r="BF498" s="214"/>
    </row>
    <row r="499" spans="1:58" ht="45" hidden="1" customHeight="1">
      <c r="B499" s="2277"/>
      <c r="C499" s="2259"/>
      <c r="D499" s="2260"/>
      <c r="E499" s="1908" t="s">
        <v>3682</v>
      </c>
      <c r="F499" s="1908" t="s">
        <v>4458</v>
      </c>
      <c r="G499" s="1908"/>
      <c r="H499" s="2278" t="s">
        <v>4806</v>
      </c>
      <c r="I499" s="2259"/>
      <c r="J499" s="2260"/>
      <c r="K499" s="2278" t="s">
        <v>4860</v>
      </c>
      <c r="L499" s="2260"/>
      <c r="M499" s="1908" t="e">
        <f>VLOOKUP(K499,'Estimate Details'!$R:$BR,20,FALSE)</f>
        <v>#N/A</v>
      </c>
      <c r="N499" s="1908" t="e">
        <f>VLOOKUP(M499,#REF!,2,FALSE)</f>
        <v>#N/A</v>
      </c>
      <c r="O499" s="1908" t="s">
        <v>4861</v>
      </c>
      <c r="P499" s="2278" t="s">
        <v>4055</v>
      </c>
      <c r="Q499" s="2259"/>
      <c r="R499" s="2260"/>
      <c r="S499" s="1908" t="s">
        <v>3688</v>
      </c>
      <c r="T499" s="1908" t="s">
        <v>3689</v>
      </c>
      <c r="U499" s="1908" t="s">
        <v>3992</v>
      </c>
      <c r="V499" s="1908" t="s">
        <v>3810</v>
      </c>
      <c r="W499" s="1908" t="s">
        <v>3688</v>
      </c>
      <c r="X499" s="1908" t="s">
        <v>4854</v>
      </c>
      <c r="Y499" s="1908" t="s">
        <v>4855</v>
      </c>
      <c r="Z499" s="1908"/>
      <c r="AA499" s="1908" t="s">
        <v>3957</v>
      </c>
      <c r="AB499" s="1908" t="s">
        <v>4812</v>
      </c>
      <c r="AC499" s="1908" t="s">
        <v>4856</v>
      </c>
      <c r="AD499" s="2278" t="s">
        <v>3688</v>
      </c>
      <c r="AE499" s="2259"/>
      <c r="AF499" s="2260"/>
      <c r="AG499" s="2278" t="s">
        <v>4463</v>
      </c>
      <c r="AH499" s="2259"/>
      <c r="AI499" s="2260"/>
      <c r="AJ499" s="1908" t="s">
        <v>3996</v>
      </c>
      <c r="AK499" s="2278" t="s">
        <v>4857</v>
      </c>
      <c r="AL499" s="2259"/>
      <c r="AM499" s="2259"/>
      <c r="AN499" s="2259"/>
      <c r="AO499" s="2260"/>
      <c r="AP499" s="1908" t="s">
        <v>3699</v>
      </c>
      <c r="BC499" s="214"/>
      <c r="BD499" s="214"/>
      <c r="BE499" s="214"/>
      <c r="BF499" s="214"/>
    </row>
    <row r="500" spans="1:58" ht="45" hidden="1" customHeight="1">
      <c r="A500" s="808"/>
      <c r="B500" s="2280"/>
      <c r="C500" s="2281"/>
      <c r="D500" s="2282"/>
      <c r="E500" s="1909" t="s">
        <v>3682</v>
      </c>
      <c r="F500" s="1909" t="s">
        <v>4862</v>
      </c>
      <c r="G500" s="1909"/>
      <c r="H500" s="2283" t="s">
        <v>4863</v>
      </c>
      <c r="I500" s="2281"/>
      <c r="J500" s="2282"/>
      <c r="K500" s="2283" t="s">
        <v>4864</v>
      </c>
      <c r="L500" s="2282"/>
      <c r="M500" s="1909" t="e">
        <f>VLOOKUP(K500,'Estimate Details'!$R:$BR,20,FALSE)</f>
        <v>#N/A</v>
      </c>
      <c r="N500" s="1909" t="e">
        <f>VLOOKUP(M500,#REF!,2,FALSE)</f>
        <v>#N/A</v>
      </c>
      <c r="O500" s="1909" t="s">
        <v>4865</v>
      </c>
      <c r="P500" s="2284" t="s">
        <v>4055</v>
      </c>
      <c r="Q500" s="2281"/>
      <c r="R500" s="2282"/>
      <c r="S500" s="1909" t="s">
        <v>3688</v>
      </c>
      <c r="T500" s="1909" t="s">
        <v>3689</v>
      </c>
      <c r="U500" s="1909" t="s">
        <v>3707</v>
      </c>
      <c r="V500" s="1909" t="s">
        <v>4147</v>
      </c>
      <c r="W500" s="1909" t="s">
        <v>3688</v>
      </c>
      <c r="X500" s="1909" t="s">
        <v>4866</v>
      </c>
      <c r="Y500" s="1909"/>
      <c r="Z500" s="1909"/>
      <c r="AA500" s="1909" t="s">
        <v>3694</v>
      </c>
      <c r="AB500" s="1909" t="s">
        <v>4867</v>
      </c>
      <c r="AC500" s="1909" t="s">
        <v>3696</v>
      </c>
      <c r="AD500" s="2283" t="s">
        <v>4868</v>
      </c>
      <c r="AE500" s="2281"/>
      <c r="AF500" s="2282"/>
      <c r="AG500" s="2283" t="s">
        <v>3696</v>
      </c>
      <c r="AH500" s="2281"/>
      <c r="AI500" s="2282"/>
      <c r="AJ500" s="1909" t="s">
        <v>4869</v>
      </c>
      <c r="AK500" s="2283" t="s">
        <v>4870</v>
      </c>
      <c r="AL500" s="2281"/>
      <c r="AM500" s="2259"/>
      <c r="AN500" s="2281"/>
      <c r="AO500" s="2282"/>
      <c r="AP500" s="1909" t="s">
        <v>3699</v>
      </c>
      <c r="BC500" s="214"/>
      <c r="BD500" s="214"/>
      <c r="BE500" s="214"/>
      <c r="BF500" s="214"/>
    </row>
    <row r="501" spans="1:58" ht="45" hidden="1" customHeight="1">
      <c r="B501" s="2277"/>
      <c r="C501" s="2259"/>
      <c r="D501" s="2260"/>
      <c r="E501" s="1908" t="s">
        <v>3682</v>
      </c>
      <c r="F501" s="1908" t="s">
        <v>4458</v>
      </c>
      <c r="G501" s="1908"/>
      <c r="H501" s="2278" t="s">
        <v>4871</v>
      </c>
      <c r="I501" s="2259"/>
      <c r="J501" s="2260"/>
      <c r="K501" s="2278" t="s">
        <v>4872</v>
      </c>
      <c r="L501" s="2260"/>
      <c r="M501" s="1908" t="e">
        <f>VLOOKUP(K501,'Estimate Details'!$R:$BR,20,FALSE)</f>
        <v>#N/A</v>
      </c>
      <c r="N501" s="1908" t="e">
        <f>VLOOKUP(M501,#REF!,2,FALSE)</f>
        <v>#N/A</v>
      </c>
      <c r="O501" s="1908" t="s">
        <v>4873</v>
      </c>
      <c r="P501" s="2278" t="s">
        <v>4130</v>
      </c>
      <c r="Q501" s="2259"/>
      <c r="R501" s="2260"/>
      <c r="S501" s="1908" t="s">
        <v>3688</v>
      </c>
      <c r="T501" s="1908" t="s">
        <v>3689</v>
      </c>
      <c r="U501" s="1908" t="s">
        <v>3690</v>
      </c>
      <c r="V501" s="1908" t="s">
        <v>3691</v>
      </c>
      <c r="W501" s="1908" t="s">
        <v>3688</v>
      </c>
      <c r="X501" s="1908"/>
      <c r="Y501" s="1908"/>
      <c r="Z501" s="1908"/>
      <c r="AA501" s="1908" t="s">
        <v>3957</v>
      </c>
      <c r="AB501" s="1908" t="s">
        <v>3688</v>
      </c>
      <c r="AC501" s="1908" t="s">
        <v>3804</v>
      </c>
      <c r="AD501" s="2278" t="s">
        <v>3688</v>
      </c>
      <c r="AE501" s="2259"/>
      <c r="AF501" s="2260"/>
      <c r="AG501" s="2278" t="s">
        <v>4463</v>
      </c>
      <c r="AH501" s="2259"/>
      <c r="AI501" s="2260"/>
      <c r="AJ501" s="1908" t="s">
        <v>4425</v>
      </c>
      <c r="AK501" s="2278" t="s">
        <v>4874</v>
      </c>
      <c r="AL501" s="2259"/>
      <c r="AM501" s="2259"/>
      <c r="AN501" s="2259"/>
      <c r="AO501" s="2260"/>
      <c r="AP501" s="1908" t="s">
        <v>3699</v>
      </c>
      <c r="BC501" s="214"/>
      <c r="BD501" s="214"/>
      <c r="BE501" s="214"/>
      <c r="BF501" s="214"/>
    </row>
    <row r="502" spans="1:58" ht="45" hidden="1" customHeight="1">
      <c r="A502" s="808"/>
      <c r="B502" s="2280"/>
      <c r="C502" s="2281"/>
      <c r="D502" s="2282"/>
      <c r="E502" s="1909" t="s">
        <v>3682</v>
      </c>
      <c r="F502" s="1909" t="s">
        <v>4458</v>
      </c>
      <c r="G502" s="1909"/>
      <c r="H502" s="2283" t="s">
        <v>4871</v>
      </c>
      <c r="I502" s="2281"/>
      <c r="J502" s="2282"/>
      <c r="K502" s="2283" t="s">
        <v>4875</v>
      </c>
      <c r="L502" s="2282"/>
      <c r="M502" s="1909" t="e">
        <f>VLOOKUP(K502,'Estimate Details'!$R:$BR,20,FALSE)</f>
        <v>#N/A</v>
      </c>
      <c r="N502" s="1909" t="e">
        <f>VLOOKUP(M502,#REF!,2,FALSE)</f>
        <v>#N/A</v>
      </c>
      <c r="O502" s="1909" t="s">
        <v>4873</v>
      </c>
      <c r="P502" s="2284" t="s">
        <v>4130</v>
      </c>
      <c r="Q502" s="2281"/>
      <c r="R502" s="2282"/>
      <c r="S502" s="1909" t="s">
        <v>3688</v>
      </c>
      <c r="T502" s="1909" t="s">
        <v>3689</v>
      </c>
      <c r="U502" s="1909" t="s">
        <v>3690</v>
      </c>
      <c r="V502" s="1909" t="s">
        <v>3691</v>
      </c>
      <c r="W502" s="1909" t="s">
        <v>3688</v>
      </c>
      <c r="X502" s="1909"/>
      <c r="Y502" s="1909"/>
      <c r="Z502" s="1909"/>
      <c r="AA502" s="1909" t="s">
        <v>3978</v>
      </c>
      <c r="AB502" s="1909" t="s">
        <v>3688</v>
      </c>
      <c r="AC502" s="1909" t="s">
        <v>3804</v>
      </c>
      <c r="AD502" s="2283" t="s">
        <v>3688</v>
      </c>
      <c r="AE502" s="2281"/>
      <c r="AF502" s="2282"/>
      <c r="AG502" s="2283" t="s">
        <v>4463</v>
      </c>
      <c r="AH502" s="2281"/>
      <c r="AI502" s="2282"/>
      <c r="AJ502" s="1909" t="s">
        <v>4425</v>
      </c>
      <c r="AK502" s="2288" t="s">
        <v>4874</v>
      </c>
      <c r="AL502" s="2289"/>
      <c r="AM502" s="2290"/>
      <c r="AN502" s="2289"/>
      <c r="AO502" s="2291"/>
      <c r="AP502" s="1909" t="s">
        <v>3699</v>
      </c>
      <c r="BC502" s="214"/>
      <c r="BD502" s="214"/>
      <c r="BE502" s="214"/>
      <c r="BF502" s="214"/>
    </row>
    <row r="503" spans="1:58" ht="45" hidden="1" customHeight="1">
      <c r="B503" s="2277"/>
      <c r="C503" s="2259"/>
      <c r="D503" s="2260"/>
      <c r="E503" s="1908" t="s">
        <v>3682</v>
      </c>
      <c r="F503" s="1908" t="s">
        <v>4458</v>
      </c>
      <c r="G503" s="1908"/>
      <c r="H503" s="2278" t="s">
        <v>1514</v>
      </c>
      <c r="I503" s="2259"/>
      <c r="J503" s="2260"/>
      <c r="K503" s="2278" t="s">
        <v>4876</v>
      </c>
      <c r="L503" s="2260"/>
      <c r="M503" s="1908" t="e">
        <f>VLOOKUP(K503,'Estimate Details'!$R:$BR,20,FALSE)</f>
        <v>#N/A</v>
      </c>
      <c r="N503" s="1908" t="e">
        <f>VLOOKUP(M503,#REF!,2,FALSE)</f>
        <v>#N/A</v>
      </c>
      <c r="O503" s="1908" t="s">
        <v>4877</v>
      </c>
      <c r="P503" s="2278" t="s">
        <v>4130</v>
      </c>
      <c r="Q503" s="2259"/>
      <c r="R503" s="2260"/>
      <c r="S503" s="1908" t="s">
        <v>3688</v>
      </c>
      <c r="T503" s="1908" t="s">
        <v>3689</v>
      </c>
      <c r="U503" s="1908" t="s">
        <v>3690</v>
      </c>
      <c r="V503" s="1908" t="s">
        <v>4147</v>
      </c>
      <c r="W503" s="1908" t="s">
        <v>3688</v>
      </c>
      <c r="X503" s="1908" t="s">
        <v>4148</v>
      </c>
      <c r="Y503" s="1908"/>
      <c r="Z503" s="1908"/>
      <c r="AA503" s="1908" t="s">
        <v>3694</v>
      </c>
      <c r="AB503" s="1908" t="s">
        <v>4149</v>
      </c>
      <c r="AC503" s="1908" t="s">
        <v>4150</v>
      </c>
      <c r="AD503" s="2278" t="s">
        <v>4151</v>
      </c>
      <c r="AE503" s="2259"/>
      <c r="AF503" s="2260"/>
      <c r="AG503" s="2278" t="s">
        <v>4878</v>
      </c>
      <c r="AH503" s="2259"/>
      <c r="AI503" s="2260"/>
      <c r="AJ503" s="1908" t="s">
        <v>4153</v>
      </c>
      <c r="AK503" s="2278" t="s">
        <v>4154</v>
      </c>
      <c r="AL503" s="2259"/>
      <c r="AM503" s="2259"/>
      <c r="AN503" s="2259"/>
      <c r="AO503" s="2260"/>
      <c r="AP503" s="1908" t="s">
        <v>3699</v>
      </c>
      <c r="BC503" s="214"/>
      <c r="BD503" s="214"/>
      <c r="BE503" s="214"/>
      <c r="BF503" s="214"/>
    </row>
    <row r="504" spans="1:58" ht="45" hidden="1" customHeight="1">
      <c r="A504" s="808"/>
      <c r="B504" s="2280"/>
      <c r="C504" s="2281"/>
      <c r="D504" s="2282"/>
      <c r="E504" s="1909" t="s">
        <v>3682</v>
      </c>
      <c r="F504" s="1911" t="s">
        <v>3688</v>
      </c>
      <c r="G504" s="1911"/>
      <c r="H504" s="2286" t="s">
        <v>1514</v>
      </c>
      <c r="I504" s="2281"/>
      <c r="J504" s="2282"/>
      <c r="K504" s="2286" t="s">
        <v>4879</v>
      </c>
      <c r="L504" s="2282"/>
      <c r="M504" s="1911" t="e">
        <f>VLOOKUP(K504,'Estimate Details'!$R:$BR,20,FALSE)</f>
        <v>#N/A</v>
      </c>
      <c r="N504" s="1911" t="e">
        <f>VLOOKUP(M504,#REF!,2,FALSE)</f>
        <v>#N/A</v>
      </c>
      <c r="O504" s="1911" t="s">
        <v>4156</v>
      </c>
      <c r="P504" s="2287" t="s">
        <v>3688</v>
      </c>
      <c r="Q504" s="2281"/>
      <c r="R504" s="2282"/>
      <c r="S504" s="1911" t="s">
        <v>4880</v>
      </c>
      <c r="T504" s="1911" t="s">
        <v>3689</v>
      </c>
      <c r="U504" s="1911" t="s">
        <v>3688</v>
      </c>
      <c r="V504" s="1911" t="s">
        <v>3688</v>
      </c>
      <c r="W504" s="1911" t="s">
        <v>3688</v>
      </c>
      <c r="X504" s="1911"/>
      <c r="Y504" s="1911"/>
      <c r="Z504" s="1911"/>
      <c r="AA504" s="1911" t="s">
        <v>3694</v>
      </c>
      <c r="AB504" s="1911" t="s">
        <v>3688</v>
      </c>
      <c r="AC504" s="1911" t="s">
        <v>4105</v>
      </c>
      <c r="AD504" s="2286" t="s">
        <v>3688</v>
      </c>
      <c r="AE504" s="2281"/>
      <c r="AF504" s="2282"/>
      <c r="AG504" s="2286" t="s">
        <v>3696</v>
      </c>
      <c r="AH504" s="2281"/>
      <c r="AI504" s="2282"/>
      <c r="AJ504" s="1911" t="s">
        <v>4158</v>
      </c>
      <c r="AK504" s="2286" t="s">
        <v>3688</v>
      </c>
      <c r="AL504" s="2281"/>
      <c r="AM504" s="2259"/>
      <c r="AN504" s="2281"/>
      <c r="AO504" s="2282"/>
      <c r="AP504" s="1911" t="s">
        <v>3688</v>
      </c>
      <c r="BC504" s="214"/>
      <c r="BD504" s="214"/>
      <c r="BE504" s="214"/>
      <c r="BF504" s="214"/>
    </row>
    <row r="505" spans="1:58" ht="45" hidden="1" customHeight="1">
      <c r="B505" s="2277"/>
      <c r="C505" s="2259"/>
      <c r="D505" s="2260"/>
      <c r="E505" s="1908" t="s">
        <v>3682</v>
      </c>
      <c r="F505" s="1908" t="s">
        <v>4458</v>
      </c>
      <c r="G505" s="1908"/>
      <c r="H505" s="2278" t="s">
        <v>1514</v>
      </c>
      <c r="I505" s="2259"/>
      <c r="J505" s="2260"/>
      <c r="K505" s="2278" t="s">
        <v>1525</v>
      </c>
      <c r="L505" s="2260"/>
      <c r="M505" s="1908">
        <f>VLOOKUP(K505,'Estimate Details'!$R:$BR,20,FALSE)</f>
        <v>1929.6716666666666</v>
      </c>
      <c r="N505" s="1908" t="e">
        <f>VLOOKUP(M505,#REF!,2,FALSE)</f>
        <v>#REF!</v>
      </c>
      <c r="O505" s="1908" t="s">
        <v>4881</v>
      </c>
      <c r="P505" s="2278" t="s">
        <v>4180</v>
      </c>
      <c r="Q505" s="2259"/>
      <c r="R505" s="2260"/>
      <c r="S505" s="1908" t="s">
        <v>3688</v>
      </c>
      <c r="T505" s="1908" t="s">
        <v>3689</v>
      </c>
      <c r="U505" s="1908" t="s">
        <v>3690</v>
      </c>
      <c r="V505" s="1908" t="s">
        <v>4147</v>
      </c>
      <c r="W505" s="1908" t="s">
        <v>3688</v>
      </c>
      <c r="X505" s="1908" t="s">
        <v>4186</v>
      </c>
      <c r="Y505" s="1908"/>
      <c r="Z505" s="1908"/>
      <c r="AA505" s="1908" t="s">
        <v>3957</v>
      </c>
      <c r="AB505" s="1908" t="s">
        <v>4187</v>
      </c>
      <c r="AC505" s="1908" t="s">
        <v>3696</v>
      </c>
      <c r="AD505" s="2278" t="s">
        <v>4188</v>
      </c>
      <c r="AE505" s="2259"/>
      <c r="AF505" s="2260"/>
      <c r="AG505" s="2278" t="s">
        <v>4878</v>
      </c>
      <c r="AH505" s="2259"/>
      <c r="AI505" s="2260"/>
      <c r="AJ505" s="1908" t="s">
        <v>4153</v>
      </c>
      <c r="AK505" s="2278" t="s">
        <v>4189</v>
      </c>
      <c r="AL505" s="2259"/>
      <c r="AM505" s="2259"/>
      <c r="AN505" s="2259"/>
      <c r="AO505" s="2260"/>
      <c r="AP505" s="1908" t="s">
        <v>3699</v>
      </c>
      <c r="BC505" s="214"/>
      <c r="BD505" s="214"/>
      <c r="BE505" s="214"/>
      <c r="BF505" s="214"/>
    </row>
    <row r="506" spans="1:58" ht="45" hidden="1" customHeight="1">
      <c r="A506" s="808"/>
      <c r="B506" s="2280"/>
      <c r="C506" s="2281"/>
      <c r="D506" s="2282"/>
      <c r="E506" s="1909" t="s">
        <v>3682</v>
      </c>
      <c r="F506" s="1909" t="s">
        <v>4458</v>
      </c>
      <c r="G506" s="1909"/>
      <c r="H506" s="2283" t="s">
        <v>1514</v>
      </c>
      <c r="I506" s="2281"/>
      <c r="J506" s="2282"/>
      <c r="K506" s="2283" t="s">
        <v>1518</v>
      </c>
      <c r="L506" s="2282"/>
      <c r="M506" s="1909">
        <f>VLOOKUP(K506,'Estimate Details'!$R:$BR,20,FALSE)</f>
        <v>6641.96</v>
      </c>
      <c r="N506" s="1909" t="e">
        <f>VLOOKUP(M506,#REF!,2,FALSE)</f>
        <v>#REF!</v>
      </c>
      <c r="O506" s="1909" t="s">
        <v>4882</v>
      </c>
      <c r="P506" s="2284" t="s">
        <v>4180</v>
      </c>
      <c r="Q506" s="2281"/>
      <c r="R506" s="2282"/>
      <c r="S506" s="1909" t="s">
        <v>3688</v>
      </c>
      <c r="T506" s="1909" t="s">
        <v>3689</v>
      </c>
      <c r="U506" s="1909" t="s">
        <v>3690</v>
      </c>
      <c r="V506" s="1909" t="s">
        <v>4147</v>
      </c>
      <c r="W506" s="1909" t="s">
        <v>3688</v>
      </c>
      <c r="X506" s="1909" t="s">
        <v>4181</v>
      </c>
      <c r="Y506" s="1909"/>
      <c r="Z506" s="1909"/>
      <c r="AA506" s="1909" t="s">
        <v>3694</v>
      </c>
      <c r="AB506" s="1909" t="s">
        <v>4182</v>
      </c>
      <c r="AC506" s="1909" t="s">
        <v>3696</v>
      </c>
      <c r="AD506" s="2283" t="s">
        <v>4183</v>
      </c>
      <c r="AE506" s="2281"/>
      <c r="AF506" s="2282"/>
      <c r="AG506" s="2283" t="s">
        <v>4878</v>
      </c>
      <c r="AH506" s="2281"/>
      <c r="AI506" s="2282"/>
      <c r="AJ506" s="1909" t="s">
        <v>4153</v>
      </c>
      <c r="AK506" s="2283" t="s">
        <v>4184</v>
      </c>
      <c r="AL506" s="2281"/>
      <c r="AM506" s="2259"/>
      <c r="AN506" s="2281"/>
      <c r="AO506" s="2282"/>
      <c r="AP506" s="1909" t="s">
        <v>3699</v>
      </c>
      <c r="BC506" s="214"/>
      <c r="BD506" s="214"/>
      <c r="BE506" s="214"/>
      <c r="BF506" s="214"/>
    </row>
    <row r="507" spans="1:58" ht="45" customHeight="1">
      <c r="B507" s="2277"/>
      <c r="C507" s="2259"/>
      <c r="D507" s="2260"/>
      <c r="E507" s="1908" t="s">
        <v>3682</v>
      </c>
      <c r="F507" s="1908" t="s">
        <v>4458</v>
      </c>
      <c r="G507" s="1908"/>
      <c r="H507" s="2278" t="s">
        <v>4883</v>
      </c>
      <c r="I507" s="2259"/>
      <c r="J507" s="2260"/>
      <c r="K507" s="2278" t="s">
        <v>4884</v>
      </c>
      <c r="L507" s="2260"/>
      <c r="M507" s="1908" t="e">
        <f>VLOOKUP(K507,'Estimate Details'!$R:$BR,20,FALSE)</f>
        <v>#N/A</v>
      </c>
      <c r="N507" s="1908" t="e">
        <f>VLOOKUP(M507,#REF!,2,FALSE)</f>
        <v>#N/A</v>
      </c>
      <c r="O507" s="1908" t="s">
        <v>4885</v>
      </c>
      <c r="P507" s="2278" t="s">
        <v>4886</v>
      </c>
      <c r="Q507" s="2259"/>
      <c r="R507" s="2260"/>
      <c r="S507" s="1908" t="s">
        <v>3688</v>
      </c>
      <c r="T507" s="1908" t="s">
        <v>3689</v>
      </c>
      <c r="U507" s="1908" t="s">
        <v>3707</v>
      </c>
      <c r="V507" s="1908" t="s">
        <v>4147</v>
      </c>
      <c r="W507" s="1908" t="s">
        <v>3688</v>
      </c>
      <c r="X507" s="1908" t="s">
        <v>4887</v>
      </c>
      <c r="Y507" s="1908"/>
      <c r="Z507" s="1908"/>
      <c r="AA507" s="1908" t="s">
        <v>3694</v>
      </c>
      <c r="AB507" s="1908" t="s">
        <v>3688</v>
      </c>
      <c r="AC507" s="1908" t="s">
        <v>3804</v>
      </c>
      <c r="AD507" s="2278" t="s">
        <v>3688</v>
      </c>
      <c r="AE507" s="2259"/>
      <c r="AF507" s="2260"/>
      <c r="AG507" s="2278" t="s">
        <v>3696</v>
      </c>
      <c r="AH507" s="2259"/>
      <c r="AI507" s="2260"/>
      <c r="AJ507" s="1908" t="s">
        <v>4888</v>
      </c>
      <c r="AK507" s="2278" t="s">
        <v>3688</v>
      </c>
      <c r="AL507" s="2259"/>
      <c r="AM507" s="2259"/>
      <c r="AN507" s="2259"/>
      <c r="AO507" s="2260"/>
      <c r="AP507" s="1908" t="s">
        <v>3699</v>
      </c>
      <c r="BC507" s="214"/>
      <c r="BD507" s="214"/>
      <c r="BE507" s="214"/>
      <c r="BF507" s="214"/>
    </row>
    <row r="508" spans="1:58" ht="45" customHeight="1">
      <c r="A508" s="808"/>
      <c r="B508" s="2280"/>
      <c r="C508" s="2281"/>
      <c r="D508" s="2282"/>
      <c r="E508" s="1909" t="s">
        <v>3682</v>
      </c>
      <c r="F508" s="1909" t="s">
        <v>4458</v>
      </c>
      <c r="G508" s="1909"/>
      <c r="H508" s="2283" t="s">
        <v>4883</v>
      </c>
      <c r="I508" s="2281"/>
      <c r="J508" s="2282"/>
      <c r="K508" s="2283" t="s">
        <v>4889</v>
      </c>
      <c r="L508" s="2282"/>
      <c r="M508" s="1909" t="e">
        <f>VLOOKUP(K508,'Estimate Details'!$R:$BR,20,FALSE)</f>
        <v>#N/A</v>
      </c>
      <c r="N508" s="1909" t="e">
        <f>VLOOKUP(M508,#REF!,2,FALSE)</f>
        <v>#N/A</v>
      </c>
      <c r="O508" s="1909" t="s">
        <v>4890</v>
      </c>
      <c r="P508" s="2284" t="s">
        <v>4886</v>
      </c>
      <c r="Q508" s="2281"/>
      <c r="R508" s="2282"/>
      <c r="S508" s="1909" t="s">
        <v>3688</v>
      </c>
      <c r="T508" s="1909" t="s">
        <v>3689</v>
      </c>
      <c r="U508" s="1909" t="s">
        <v>3707</v>
      </c>
      <c r="V508" s="1909" t="s">
        <v>4147</v>
      </c>
      <c r="W508" s="1909" t="s">
        <v>3688</v>
      </c>
      <c r="X508" s="1909"/>
      <c r="Y508" s="1909"/>
      <c r="Z508" s="1909"/>
      <c r="AA508" s="1909" t="s">
        <v>3694</v>
      </c>
      <c r="AB508" s="1909" t="s">
        <v>4891</v>
      </c>
      <c r="AC508" s="1909" t="s">
        <v>3696</v>
      </c>
      <c r="AD508" s="2283" t="s">
        <v>3688</v>
      </c>
      <c r="AE508" s="2281"/>
      <c r="AF508" s="2282"/>
      <c r="AG508" s="2283" t="s">
        <v>3696</v>
      </c>
      <c r="AH508" s="2281"/>
      <c r="AI508" s="2282"/>
      <c r="AJ508" s="1909" t="s">
        <v>4888</v>
      </c>
      <c r="AK508" s="2283" t="s">
        <v>3688</v>
      </c>
      <c r="AL508" s="2281"/>
      <c r="AM508" s="2259"/>
      <c r="AN508" s="2281"/>
      <c r="AO508" s="2282"/>
      <c r="AP508" s="1909" t="s">
        <v>3699</v>
      </c>
      <c r="BC508" s="214"/>
      <c r="BD508" s="214"/>
      <c r="BE508" s="214"/>
      <c r="BF508" s="214"/>
    </row>
    <row r="509" spans="1:58" ht="45" customHeight="1">
      <c r="B509" s="2277"/>
      <c r="C509" s="2259"/>
      <c r="D509" s="2260"/>
      <c r="E509" s="1908" t="s">
        <v>3682</v>
      </c>
      <c r="F509" s="1908" t="s">
        <v>4458</v>
      </c>
      <c r="G509" s="1908"/>
      <c r="H509" s="2278" t="s">
        <v>4883</v>
      </c>
      <c r="I509" s="2259"/>
      <c r="J509" s="2260"/>
      <c r="K509" s="2278" t="s">
        <v>4892</v>
      </c>
      <c r="L509" s="2260"/>
      <c r="M509" s="1908" t="e">
        <f>VLOOKUP(K509,'Estimate Details'!$R:$BR,20,FALSE)</f>
        <v>#N/A</v>
      </c>
      <c r="N509" s="1908" t="e">
        <f>VLOOKUP(M509,#REF!,2,FALSE)</f>
        <v>#N/A</v>
      </c>
      <c r="O509" s="1908" t="s">
        <v>4893</v>
      </c>
      <c r="P509" s="2278" t="s">
        <v>4886</v>
      </c>
      <c r="Q509" s="2259"/>
      <c r="R509" s="2260"/>
      <c r="S509" s="1908" t="s">
        <v>3688</v>
      </c>
      <c r="T509" s="1908" t="s">
        <v>3689</v>
      </c>
      <c r="U509" s="1908" t="s">
        <v>3707</v>
      </c>
      <c r="V509" s="1908" t="s">
        <v>4147</v>
      </c>
      <c r="W509" s="1908" t="s">
        <v>3688</v>
      </c>
      <c r="X509" s="1908" t="s">
        <v>4894</v>
      </c>
      <c r="Y509" s="1908"/>
      <c r="Z509" s="1908"/>
      <c r="AA509" s="1908" t="s">
        <v>3694</v>
      </c>
      <c r="AB509" s="1908" t="s">
        <v>1</v>
      </c>
      <c r="AC509" s="1908" t="s">
        <v>3804</v>
      </c>
      <c r="AD509" s="2278" t="s">
        <v>3688</v>
      </c>
      <c r="AE509" s="2259"/>
      <c r="AF509" s="2260"/>
      <c r="AG509" s="2278" t="s">
        <v>3696</v>
      </c>
      <c r="AH509" s="2259"/>
      <c r="AI509" s="2260"/>
      <c r="AJ509" s="1908" t="s">
        <v>4888</v>
      </c>
      <c r="AK509" s="2278" t="s">
        <v>3688</v>
      </c>
      <c r="AL509" s="2259"/>
      <c r="AM509" s="2259"/>
      <c r="AN509" s="2259"/>
      <c r="AO509" s="2260"/>
      <c r="AP509" s="1908" t="s">
        <v>3699</v>
      </c>
      <c r="BC509" s="214"/>
      <c r="BD509" s="214"/>
      <c r="BE509" s="214"/>
      <c r="BF509" s="214"/>
    </row>
    <row r="510" spans="1:58" ht="51.75" hidden="1" customHeight="1">
      <c r="A510" s="808"/>
      <c r="B510" s="2280"/>
      <c r="C510" s="2281"/>
      <c r="D510" s="2282"/>
      <c r="E510" s="1909" t="s">
        <v>3682</v>
      </c>
      <c r="F510" s="1909" t="s">
        <v>4458</v>
      </c>
      <c r="G510" s="1909"/>
      <c r="H510" s="2283" t="s">
        <v>4895</v>
      </c>
      <c r="I510" s="2281"/>
      <c r="J510" s="2282"/>
      <c r="K510" s="2283" t="s">
        <v>4896</v>
      </c>
      <c r="L510" s="2282"/>
      <c r="M510" s="1909" t="e">
        <f>VLOOKUP(K510,'Estimate Details'!$R:$BR,20,FALSE)</f>
        <v>#N/A</v>
      </c>
      <c r="N510" s="1909" t="e">
        <f>VLOOKUP(M510,#REF!,2,FALSE)</f>
        <v>#N/A</v>
      </c>
      <c r="O510" s="1909" t="s">
        <v>4897</v>
      </c>
      <c r="P510" s="2284" t="s">
        <v>3687</v>
      </c>
      <c r="Q510" s="2281"/>
      <c r="R510" s="2282"/>
      <c r="S510" s="1909" t="s">
        <v>3688</v>
      </c>
      <c r="T510" s="1909" t="s">
        <v>3706</v>
      </c>
      <c r="U510" s="1909" t="s">
        <v>3690</v>
      </c>
      <c r="V510" s="1909" t="s">
        <v>3691</v>
      </c>
      <c r="W510" s="1909" t="s">
        <v>3688</v>
      </c>
      <c r="X510" s="1909"/>
      <c r="Y510" s="1909"/>
      <c r="Z510" s="1909"/>
      <c r="AA510" s="1909" t="s">
        <v>3694</v>
      </c>
      <c r="AB510" s="1909" t="s">
        <v>4898</v>
      </c>
      <c r="AC510" s="1909" t="s">
        <v>3696</v>
      </c>
      <c r="AD510" s="2283" t="s">
        <v>4899</v>
      </c>
      <c r="AE510" s="2281"/>
      <c r="AF510" s="2282"/>
      <c r="AG510" s="2283" t="s">
        <v>3696</v>
      </c>
      <c r="AH510" s="2281"/>
      <c r="AI510" s="2282"/>
      <c r="AJ510" s="1909" t="s">
        <v>3884</v>
      </c>
      <c r="AK510" s="2283" t="s">
        <v>4900</v>
      </c>
      <c r="AL510" s="2281"/>
      <c r="AM510" s="2259"/>
      <c r="AN510" s="2281"/>
      <c r="AO510" s="2282"/>
      <c r="AP510" s="1909" t="s">
        <v>3699</v>
      </c>
      <c r="BC510" s="214"/>
      <c r="BD510" s="214"/>
      <c r="BE510" s="214"/>
      <c r="BF510" s="214"/>
    </row>
    <row r="511" spans="1:58" ht="45" hidden="1" customHeight="1">
      <c r="B511" s="2277"/>
      <c r="C511" s="2259"/>
      <c r="D511" s="2260"/>
      <c r="E511" s="1908" t="s">
        <v>3682</v>
      </c>
      <c r="F511" s="1908" t="s">
        <v>4458</v>
      </c>
      <c r="G511" s="1908"/>
      <c r="H511" s="2278" t="s">
        <v>4901</v>
      </c>
      <c r="I511" s="2259"/>
      <c r="J511" s="2260"/>
      <c r="K511" s="2278" t="s">
        <v>4902</v>
      </c>
      <c r="L511" s="2260"/>
      <c r="M511" s="1908" t="e">
        <f>VLOOKUP(K511,'Estimate Details'!$R:$BR,20,FALSE)</f>
        <v>#N/A</v>
      </c>
      <c r="N511" s="1908" t="e">
        <f>VLOOKUP(M511,#REF!,2,FALSE)</f>
        <v>#N/A</v>
      </c>
      <c r="O511" s="1908" t="s">
        <v>4129</v>
      </c>
      <c r="P511" s="2278" t="s">
        <v>4130</v>
      </c>
      <c r="Q511" s="2259"/>
      <c r="R511" s="2260"/>
      <c r="S511" s="1908" t="s">
        <v>3688</v>
      </c>
      <c r="T511" s="1908" t="s">
        <v>3689</v>
      </c>
      <c r="U511" s="1908" t="s">
        <v>3707</v>
      </c>
      <c r="V511" s="1908" t="s">
        <v>4131</v>
      </c>
      <c r="W511" s="1908" t="s">
        <v>3688</v>
      </c>
      <c r="X511" s="1908"/>
      <c r="Y511" s="1908"/>
      <c r="Z511" s="1908"/>
      <c r="AA511" s="1908" t="s">
        <v>3694</v>
      </c>
      <c r="AB511" s="1908" t="s">
        <v>3688</v>
      </c>
      <c r="AC511" s="1908" t="s">
        <v>3804</v>
      </c>
      <c r="AD511" s="2278" t="s">
        <v>3688</v>
      </c>
      <c r="AE511" s="2259"/>
      <c r="AF511" s="2260"/>
      <c r="AG511" s="2278" t="s">
        <v>4903</v>
      </c>
      <c r="AH511" s="2259"/>
      <c r="AI511" s="2260"/>
      <c r="AJ511" s="1908" t="s">
        <v>4133</v>
      </c>
      <c r="AK511" s="2278" t="s">
        <v>3688</v>
      </c>
      <c r="AL511" s="2259"/>
      <c r="AM511" s="2259"/>
      <c r="AN511" s="2259"/>
      <c r="AO511" s="2260"/>
      <c r="AP511" s="1908" t="s">
        <v>3699</v>
      </c>
      <c r="BC511" s="214"/>
      <c r="BD511" s="214"/>
      <c r="BE511" s="214"/>
      <c r="BF511" s="214"/>
    </row>
    <row r="512" spans="1:58" ht="45" hidden="1" customHeight="1">
      <c r="A512" s="808"/>
      <c r="B512" s="2280"/>
      <c r="C512" s="2281"/>
      <c r="D512" s="2282"/>
      <c r="E512" s="1909" t="s">
        <v>3682</v>
      </c>
      <c r="F512" s="1909" t="s">
        <v>4458</v>
      </c>
      <c r="G512" s="1909"/>
      <c r="H512" s="2283" t="s">
        <v>4904</v>
      </c>
      <c r="I512" s="2281"/>
      <c r="J512" s="2282"/>
      <c r="K512" s="2283" t="s">
        <v>4905</v>
      </c>
      <c r="L512" s="2282"/>
      <c r="M512" s="1909" t="e">
        <f>VLOOKUP(K512,'Estimate Details'!$R:$BR,20,FALSE)</f>
        <v>#N/A</v>
      </c>
      <c r="N512" s="1909" t="e">
        <f>VLOOKUP(M512,#REF!,2,FALSE)</f>
        <v>#N/A</v>
      </c>
      <c r="O512" s="1909" t="s">
        <v>4906</v>
      </c>
      <c r="P512" s="2284" t="s">
        <v>4907</v>
      </c>
      <c r="Q512" s="2281"/>
      <c r="R512" s="2282"/>
      <c r="S512" s="1909" t="s">
        <v>3688</v>
      </c>
      <c r="T512" s="1909" t="s">
        <v>3689</v>
      </c>
      <c r="U512" s="1909" t="s">
        <v>3707</v>
      </c>
      <c r="V512" s="1909" t="s">
        <v>4176</v>
      </c>
      <c r="W512" s="1909" t="s">
        <v>3688</v>
      </c>
      <c r="X512" s="1909"/>
      <c r="Y512" s="1909"/>
      <c r="Z512" s="1909"/>
      <c r="AA512" s="1909" t="s">
        <v>3694</v>
      </c>
      <c r="AB512" s="1909" t="s">
        <v>3688</v>
      </c>
      <c r="AC512" s="1909" t="s">
        <v>4908</v>
      </c>
      <c r="AD512" s="2283" t="s">
        <v>4909</v>
      </c>
      <c r="AE512" s="2281"/>
      <c r="AF512" s="2282"/>
      <c r="AG512" s="2283" t="s">
        <v>3696</v>
      </c>
      <c r="AH512" s="2281"/>
      <c r="AI512" s="2282"/>
      <c r="AJ512" s="1909" t="s">
        <v>4910</v>
      </c>
      <c r="AK512" s="2283" t="s">
        <v>3688</v>
      </c>
      <c r="AL512" s="2281"/>
      <c r="AM512" s="2259"/>
      <c r="AN512" s="2281"/>
      <c r="AO512" s="2282"/>
      <c r="AP512" s="1909" t="s">
        <v>3716</v>
      </c>
      <c r="BC512" s="214"/>
      <c r="BD512" s="214"/>
      <c r="BE512" s="214"/>
      <c r="BF512" s="214"/>
    </row>
    <row r="513" spans="1:58" ht="45" hidden="1" customHeight="1">
      <c r="B513" s="2277"/>
      <c r="C513" s="2259"/>
      <c r="D513" s="2260"/>
      <c r="E513" s="1908" t="s">
        <v>3682</v>
      </c>
      <c r="F513" s="1908" t="s">
        <v>4458</v>
      </c>
      <c r="G513" s="1908"/>
      <c r="H513" s="2278" t="s">
        <v>4904</v>
      </c>
      <c r="I513" s="2259"/>
      <c r="J513" s="2260"/>
      <c r="K513" s="2278" t="s">
        <v>4911</v>
      </c>
      <c r="L513" s="2260"/>
      <c r="M513" s="1908" t="e">
        <f>VLOOKUP(K513,'Estimate Details'!$R:$BR,20,FALSE)</f>
        <v>#N/A</v>
      </c>
      <c r="N513" s="1908" t="e">
        <f>VLOOKUP(M513,#REF!,2,FALSE)</f>
        <v>#N/A</v>
      </c>
      <c r="O513" s="1908" t="s">
        <v>4906</v>
      </c>
      <c r="P513" s="2278" t="s">
        <v>4907</v>
      </c>
      <c r="Q513" s="2259"/>
      <c r="R513" s="2260"/>
      <c r="S513" s="1908" t="s">
        <v>3688</v>
      </c>
      <c r="T513" s="1908" t="s">
        <v>3689</v>
      </c>
      <c r="U513" s="1908" t="s">
        <v>3707</v>
      </c>
      <c r="V513" s="1908" t="s">
        <v>4176</v>
      </c>
      <c r="W513" s="1908" t="s">
        <v>3688</v>
      </c>
      <c r="X513" s="1908"/>
      <c r="Y513" s="1908"/>
      <c r="Z513" s="1908"/>
      <c r="AA513" s="1908" t="s">
        <v>3694</v>
      </c>
      <c r="AB513" s="1908" t="s">
        <v>3688</v>
      </c>
      <c r="AC513" s="1908" t="s">
        <v>4908</v>
      </c>
      <c r="AD513" s="2278" t="s">
        <v>4909</v>
      </c>
      <c r="AE513" s="2259"/>
      <c r="AF513" s="2260"/>
      <c r="AG513" s="2278" t="s">
        <v>3696</v>
      </c>
      <c r="AH513" s="2259"/>
      <c r="AI513" s="2260"/>
      <c r="AJ513" s="1908" t="s">
        <v>4910</v>
      </c>
      <c r="AK513" s="2278" t="s">
        <v>3688</v>
      </c>
      <c r="AL513" s="2259"/>
      <c r="AM513" s="2259"/>
      <c r="AN513" s="2259"/>
      <c r="AO513" s="2260"/>
      <c r="AP513" s="1908" t="s">
        <v>3716</v>
      </c>
      <c r="BC513" s="214"/>
      <c r="BD513" s="214"/>
      <c r="BE513" s="214"/>
      <c r="BF513" s="214"/>
    </row>
    <row r="514" spans="1:58" ht="45" hidden="1" customHeight="1">
      <c r="A514" s="808"/>
      <c r="B514" s="2280"/>
      <c r="C514" s="2281"/>
      <c r="D514" s="2282"/>
      <c r="E514" s="1909" t="s">
        <v>3682</v>
      </c>
      <c r="F514" s="1909" t="s">
        <v>4458</v>
      </c>
      <c r="G514" s="1909"/>
      <c r="H514" s="2283" t="s">
        <v>4904</v>
      </c>
      <c r="I514" s="2281"/>
      <c r="J514" s="2282"/>
      <c r="K514" s="2283" t="s">
        <v>4912</v>
      </c>
      <c r="L514" s="2282"/>
      <c r="M514" s="1909" t="e">
        <f>VLOOKUP(K514,'Estimate Details'!$R:$BR,20,FALSE)</f>
        <v>#N/A</v>
      </c>
      <c r="N514" s="1909" t="e">
        <f>VLOOKUP(M514,#REF!,2,FALSE)</f>
        <v>#N/A</v>
      </c>
      <c r="O514" s="1909" t="s">
        <v>4913</v>
      </c>
      <c r="P514" s="2284" t="s">
        <v>4907</v>
      </c>
      <c r="Q514" s="2281"/>
      <c r="R514" s="2282"/>
      <c r="S514" s="1909" t="s">
        <v>3688</v>
      </c>
      <c r="T514" s="1909" t="s">
        <v>3689</v>
      </c>
      <c r="U514" s="1909" t="s">
        <v>3707</v>
      </c>
      <c r="V514" s="1909" t="s">
        <v>4176</v>
      </c>
      <c r="W514" s="1909" t="s">
        <v>3688</v>
      </c>
      <c r="X514" s="1909"/>
      <c r="Y514" s="1909"/>
      <c r="Z514" s="1909"/>
      <c r="AA514" s="1909" t="s">
        <v>3694</v>
      </c>
      <c r="AB514" s="1909" t="s">
        <v>3688</v>
      </c>
      <c r="AC514" s="1909" t="s">
        <v>4914</v>
      </c>
      <c r="AD514" s="2283" t="s">
        <v>4915</v>
      </c>
      <c r="AE514" s="2281"/>
      <c r="AF514" s="2282"/>
      <c r="AG514" s="2283" t="s">
        <v>3696</v>
      </c>
      <c r="AH514" s="2281"/>
      <c r="AI514" s="2282"/>
      <c r="AJ514" s="1909" t="s">
        <v>4910</v>
      </c>
      <c r="AK514" s="2283" t="s">
        <v>3688</v>
      </c>
      <c r="AL514" s="2281"/>
      <c r="AM514" s="2259"/>
      <c r="AN514" s="2281"/>
      <c r="AO514" s="2282"/>
      <c r="AP514" s="1909" t="s">
        <v>3716</v>
      </c>
      <c r="BC514" s="214"/>
      <c r="BD514" s="214"/>
      <c r="BE514" s="214"/>
      <c r="BF514" s="214"/>
    </row>
    <row r="515" spans="1:58" ht="45" hidden="1" customHeight="1">
      <c r="B515" s="2277"/>
      <c r="C515" s="2259"/>
      <c r="D515" s="2260"/>
      <c r="E515" s="1908" t="s">
        <v>3682</v>
      </c>
      <c r="F515" s="1908" t="s">
        <v>4458</v>
      </c>
      <c r="G515" s="1908"/>
      <c r="H515" s="2278" t="s">
        <v>4904</v>
      </c>
      <c r="I515" s="2259"/>
      <c r="J515" s="2260"/>
      <c r="K515" s="2278" t="s">
        <v>4916</v>
      </c>
      <c r="L515" s="2260"/>
      <c r="M515" s="1908" t="e">
        <f>VLOOKUP(K515,'Estimate Details'!$R:$BR,20,FALSE)</f>
        <v>#N/A</v>
      </c>
      <c r="N515" s="1908" t="e">
        <f>VLOOKUP(M515,#REF!,2,FALSE)</f>
        <v>#N/A</v>
      </c>
      <c r="O515" s="1908" t="s">
        <v>4917</v>
      </c>
      <c r="P515" s="2278" t="s">
        <v>4907</v>
      </c>
      <c r="Q515" s="2259"/>
      <c r="R515" s="2260"/>
      <c r="S515" s="1908" t="s">
        <v>3688</v>
      </c>
      <c r="T515" s="1908" t="s">
        <v>3689</v>
      </c>
      <c r="U515" s="1908" t="s">
        <v>3707</v>
      </c>
      <c r="V515" s="1908" t="s">
        <v>4176</v>
      </c>
      <c r="W515" s="1908" t="s">
        <v>3688</v>
      </c>
      <c r="X515" s="1908"/>
      <c r="Y515" s="1908"/>
      <c r="Z515" s="1908"/>
      <c r="AA515" s="1908" t="s">
        <v>3694</v>
      </c>
      <c r="AB515" s="1908" t="s">
        <v>3688</v>
      </c>
      <c r="AC515" s="1908" t="s">
        <v>4918</v>
      </c>
      <c r="AD515" s="2278" t="s">
        <v>3688</v>
      </c>
      <c r="AE515" s="2259"/>
      <c r="AF515" s="2260"/>
      <c r="AG515" s="2278" t="s">
        <v>3696</v>
      </c>
      <c r="AH515" s="2259"/>
      <c r="AI515" s="2260"/>
      <c r="AJ515" s="1908" t="s">
        <v>4910</v>
      </c>
      <c r="AK515" s="2278" t="s">
        <v>3688</v>
      </c>
      <c r="AL515" s="2259"/>
      <c r="AM515" s="2259"/>
      <c r="AN515" s="2259"/>
      <c r="AO515" s="2260"/>
      <c r="AP515" s="1908" t="s">
        <v>3716</v>
      </c>
      <c r="BC515" s="214"/>
      <c r="BD515" s="214"/>
      <c r="BE515" s="214"/>
      <c r="BF515" s="214"/>
    </row>
    <row r="516" spans="1:58" ht="45" hidden="1" customHeight="1">
      <c r="A516" s="808"/>
      <c r="B516" s="2280"/>
      <c r="C516" s="2281"/>
      <c r="D516" s="2282"/>
      <c r="E516" s="1909" t="s">
        <v>3682</v>
      </c>
      <c r="F516" s="1909" t="s">
        <v>4458</v>
      </c>
      <c r="G516" s="1909"/>
      <c r="H516" s="2283" t="s">
        <v>4904</v>
      </c>
      <c r="I516" s="2281"/>
      <c r="J516" s="2282"/>
      <c r="K516" s="2283" t="s">
        <v>4919</v>
      </c>
      <c r="L516" s="2282"/>
      <c r="M516" s="1909" t="e">
        <f>VLOOKUP(K516,'Estimate Details'!$R:$BR,20,FALSE)</f>
        <v>#N/A</v>
      </c>
      <c r="N516" s="1909" t="e">
        <f>VLOOKUP(M516,#REF!,2,FALSE)</f>
        <v>#N/A</v>
      </c>
      <c r="O516" s="1909" t="s">
        <v>4917</v>
      </c>
      <c r="P516" s="2284" t="s">
        <v>4907</v>
      </c>
      <c r="Q516" s="2281"/>
      <c r="R516" s="2282"/>
      <c r="S516" s="1909" t="s">
        <v>3688</v>
      </c>
      <c r="T516" s="1909" t="s">
        <v>3689</v>
      </c>
      <c r="U516" s="1909" t="s">
        <v>3707</v>
      </c>
      <c r="V516" s="1909" t="s">
        <v>4176</v>
      </c>
      <c r="W516" s="1909" t="s">
        <v>3688</v>
      </c>
      <c r="X516" s="1909"/>
      <c r="Y516" s="1909"/>
      <c r="Z516" s="1909"/>
      <c r="AA516" s="1909" t="s">
        <v>3694</v>
      </c>
      <c r="AB516" s="1909" t="s">
        <v>3688</v>
      </c>
      <c r="AC516" s="1909" t="s">
        <v>4918</v>
      </c>
      <c r="AD516" s="2283" t="s">
        <v>3688</v>
      </c>
      <c r="AE516" s="2281"/>
      <c r="AF516" s="2282"/>
      <c r="AG516" s="2283" t="s">
        <v>3696</v>
      </c>
      <c r="AH516" s="2281"/>
      <c r="AI516" s="2282"/>
      <c r="AJ516" s="1909" t="s">
        <v>4910</v>
      </c>
      <c r="AK516" s="2283" t="s">
        <v>3688</v>
      </c>
      <c r="AL516" s="2281"/>
      <c r="AM516" s="2259"/>
      <c r="AN516" s="2281"/>
      <c r="AO516" s="2282"/>
      <c r="AP516" s="1909" t="s">
        <v>3716</v>
      </c>
      <c r="BC516" s="214"/>
      <c r="BD516" s="214"/>
      <c r="BE516" s="214"/>
      <c r="BF516" s="214"/>
    </row>
    <row r="517" spans="1:58" ht="45" hidden="1" customHeight="1">
      <c r="B517" s="2277"/>
      <c r="C517" s="2259"/>
      <c r="D517" s="2260"/>
      <c r="E517" s="1908" t="s">
        <v>3682</v>
      </c>
      <c r="F517" s="1908" t="s">
        <v>4458</v>
      </c>
      <c r="G517" s="1908"/>
      <c r="H517" s="2278" t="s">
        <v>4904</v>
      </c>
      <c r="I517" s="2259"/>
      <c r="J517" s="2260"/>
      <c r="K517" s="2278" t="s">
        <v>4920</v>
      </c>
      <c r="L517" s="2260"/>
      <c r="M517" s="1908" t="e">
        <f>VLOOKUP(K517,'Estimate Details'!$R:$BR,20,FALSE)</f>
        <v>#N/A</v>
      </c>
      <c r="N517" s="1908" t="e">
        <f>VLOOKUP(M517,#REF!,2,FALSE)</f>
        <v>#N/A</v>
      </c>
      <c r="O517" s="1908" t="s">
        <v>4917</v>
      </c>
      <c r="P517" s="2278" t="s">
        <v>4907</v>
      </c>
      <c r="Q517" s="2259"/>
      <c r="R517" s="2260"/>
      <c r="S517" s="1908" t="s">
        <v>3688</v>
      </c>
      <c r="T517" s="1908" t="s">
        <v>3689</v>
      </c>
      <c r="U517" s="1908" t="s">
        <v>3707</v>
      </c>
      <c r="V517" s="1908" t="s">
        <v>4176</v>
      </c>
      <c r="W517" s="1908" t="s">
        <v>3688</v>
      </c>
      <c r="X517" s="1908"/>
      <c r="Y517" s="1908"/>
      <c r="Z517" s="1908"/>
      <c r="AA517" s="1908" t="s">
        <v>3694</v>
      </c>
      <c r="AB517" s="1908" t="s">
        <v>3688</v>
      </c>
      <c r="AC517" s="1908" t="s">
        <v>4918</v>
      </c>
      <c r="AD517" s="2278" t="s">
        <v>3688</v>
      </c>
      <c r="AE517" s="2259"/>
      <c r="AF517" s="2260"/>
      <c r="AG517" s="2278" t="s">
        <v>3696</v>
      </c>
      <c r="AH517" s="2259"/>
      <c r="AI517" s="2260"/>
      <c r="AJ517" s="1908" t="s">
        <v>4910</v>
      </c>
      <c r="AK517" s="2278" t="s">
        <v>3688</v>
      </c>
      <c r="AL517" s="2259"/>
      <c r="AM517" s="2259"/>
      <c r="AN517" s="2259"/>
      <c r="AO517" s="2260"/>
      <c r="AP517" s="1908" t="s">
        <v>3716</v>
      </c>
      <c r="BC517" s="214"/>
      <c r="BD517" s="214"/>
      <c r="BE517" s="214"/>
      <c r="BF517" s="214"/>
    </row>
    <row r="518" spans="1:58" ht="45" hidden="1" customHeight="1">
      <c r="A518" s="808"/>
      <c r="B518" s="2280"/>
      <c r="C518" s="2281"/>
      <c r="D518" s="2282"/>
      <c r="E518" s="1909" t="s">
        <v>3682</v>
      </c>
      <c r="F518" s="1909" t="s">
        <v>4458</v>
      </c>
      <c r="G518" s="1909"/>
      <c r="H518" s="2283" t="s">
        <v>4904</v>
      </c>
      <c r="I518" s="2281"/>
      <c r="J518" s="2282"/>
      <c r="K518" s="2283" t="s">
        <v>4921</v>
      </c>
      <c r="L518" s="2282"/>
      <c r="M518" s="1909" t="e">
        <f>VLOOKUP(K518,'Estimate Details'!$R:$BR,20,FALSE)</f>
        <v>#N/A</v>
      </c>
      <c r="N518" s="1909" t="e">
        <f>VLOOKUP(M518,#REF!,2,FALSE)</f>
        <v>#N/A</v>
      </c>
      <c r="O518" s="1909" t="s">
        <v>4922</v>
      </c>
      <c r="P518" s="2284" t="s">
        <v>4907</v>
      </c>
      <c r="Q518" s="2281"/>
      <c r="R518" s="2282"/>
      <c r="S518" s="1909" t="s">
        <v>3688</v>
      </c>
      <c r="T518" s="1909" t="s">
        <v>3689</v>
      </c>
      <c r="U518" s="1909" t="s">
        <v>3707</v>
      </c>
      <c r="V518" s="1909" t="s">
        <v>4176</v>
      </c>
      <c r="W518" s="1909" t="s">
        <v>3688</v>
      </c>
      <c r="X518" s="1909"/>
      <c r="Y518" s="1909"/>
      <c r="Z518" s="1909"/>
      <c r="AA518" s="1909" t="s">
        <v>3694</v>
      </c>
      <c r="AB518" s="1909" t="s">
        <v>3688</v>
      </c>
      <c r="AC518" s="1909" t="s">
        <v>4923</v>
      </c>
      <c r="AD518" s="2283" t="s">
        <v>4924</v>
      </c>
      <c r="AE518" s="2281"/>
      <c r="AF518" s="2282"/>
      <c r="AG518" s="2283" t="s">
        <v>3696</v>
      </c>
      <c r="AH518" s="2281"/>
      <c r="AI518" s="2282"/>
      <c r="AJ518" s="1909" t="s">
        <v>4910</v>
      </c>
      <c r="AK518" s="2283" t="s">
        <v>3688</v>
      </c>
      <c r="AL518" s="2281"/>
      <c r="AM518" s="2259"/>
      <c r="AN518" s="2281"/>
      <c r="AO518" s="2282"/>
      <c r="AP518" s="1909" t="s">
        <v>3716</v>
      </c>
      <c r="BC518" s="214"/>
      <c r="BD518" s="214"/>
      <c r="BE518" s="214"/>
      <c r="BF518" s="214"/>
    </row>
    <row r="519" spans="1:58" ht="45" hidden="1" customHeight="1">
      <c r="B519" s="2277"/>
      <c r="C519" s="2259"/>
      <c r="D519" s="2260"/>
      <c r="E519" s="1908" t="s">
        <v>3682</v>
      </c>
      <c r="F519" s="1908" t="s">
        <v>4458</v>
      </c>
      <c r="G519" s="1908"/>
      <c r="H519" s="2278" t="s">
        <v>4904</v>
      </c>
      <c r="I519" s="2259"/>
      <c r="J519" s="2260"/>
      <c r="K519" s="2278" t="s">
        <v>4925</v>
      </c>
      <c r="L519" s="2260"/>
      <c r="M519" s="1908" t="e">
        <f>VLOOKUP(K519,'Estimate Details'!$R:$BR,20,FALSE)</f>
        <v>#N/A</v>
      </c>
      <c r="N519" s="1908" t="e">
        <f>VLOOKUP(M519,#REF!,2,FALSE)</f>
        <v>#N/A</v>
      </c>
      <c r="O519" s="1908" t="s">
        <v>4926</v>
      </c>
      <c r="P519" s="2278" t="s">
        <v>4907</v>
      </c>
      <c r="Q519" s="2259"/>
      <c r="R519" s="2260"/>
      <c r="S519" s="1908" t="s">
        <v>3688</v>
      </c>
      <c r="T519" s="1908" t="s">
        <v>3689</v>
      </c>
      <c r="U519" s="1908" t="s">
        <v>3707</v>
      </c>
      <c r="V519" s="1908" t="s">
        <v>4176</v>
      </c>
      <c r="W519" s="1908" t="s">
        <v>3688</v>
      </c>
      <c r="X519" s="1908"/>
      <c r="Y519" s="1908"/>
      <c r="Z519" s="1908"/>
      <c r="AA519" s="1908" t="s">
        <v>3694</v>
      </c>
      <c r="AB519" s="1908" t="s">
        <v>3688</v>
      </c>
      <c r="AC519" s="1908" t="s">
        <v>4927</v>
      </c>
      <c r="AD519" s="2278" t="s">
        <v>3688</v>
      </c>
      <c r="AE519" s="2259"/>
      <c r="AF519" s="2260"/>
      <c r="AG519" s="2278" t="s">
        <v>3696</v>
      </c>
      <c r="AH519" s="2259"/>
      <c r="AI519" s="2260"/>
      <c r="AJ519" s="1908" t="s">
        <v>4910</v>
      </c>
      <c r="AK519" s="2278" t="s">
        <v>3688</v>
      </c>
      <c r="AL519" s="2259"/>
      <c r="AM519" s="2259"/>
      <c r="AN519" s="2259"/>
      <c r="AO519" s="2260"/>
      <c r="AP519" s="1908" t="s">
        <v>3716</v>
      </c>
      <c r="BC519" s="214"/>
      <c r="BD519" s="214"/>
      <c r="BE519" s="214"/>
      <c r="BF519" s="214"/>
    </row>
    <row r="520" spans="1:58" ht="45" hidden="1" customHeight="1">
      <c r="A520" s="808"/>
      <c r="B520" s="2280"/>
      <c r="C520" s="2281"/>
      <c r="D520" s="2282"/>
      <c r="E520" s="1909" t="s">
        <v>3682</v>
      </c>
      <c r="F520" s="1909" t="s">
        <v>4458</v>
      </c>
      <c r="G520" s="1909"/>
      <c r="H520" s="2283" t="s">
        <v>4904</v>
      </c>
      <c r="I520" s="2281"/>
      <c r="J520" s="2282"/>
      <c r="K520" s="2283" t="s">
        <v>4928</v>
      </c>
      <c r="L520" s="2282"/>
      <c r="M520" s="1909" t="e">
        <f>VLOOKUP(K520,'Estimate Details'!$R:$BR,20,FALSE)</f>
        <v>#N/A</v>
      </c>
      <c r="N520" s="1909" t="e">
        <f>VLOOKUP(M520,#REF!,2,FALSE)</f>
        <v>#N/A</v>
      </c>
      <c r="O520" s="1909" t="s">
        <v>4809</v>
      </c>
      <c r="P520" s="2284" t="s">
        <v>4907</v>
      </c>
      <c r="Q520" s="2281"/>
      <c r="R520" s="2282"/>
      <c r="S520" s="1909" t="s">
        <v>3688</v>
      </c>
      <c r="T520" s="1909" t="s">
        <v>3689</v>
      </c>
      <c r="U520" s="1909" t="s">
        <v>3707</v>
      </c>
      <c r="V520" s="1909" t="s">
        <v>4176</v>
      </c>
      <c r="W520" s="1909" t="s">
        <v>3688</v>
      </c>
      <c r="X520" s="1909"/>
      <c r="Y520" s="1909"/>
      <c r="Z520" s="1909"/>
      <c r="AA520" s="1909" t="s">
        <v>3694</v>
      </c>
      <c r="AB520" s="1909" t="s">
        <v>3688</v>
      </c>
      <c r="AC520" s="1909" t="s">
        <v>4929</v>
      </c>
      <c r="AD520" s="2283" t="s">
        <v>3688</v>
      </c>
      <c r="AE520" s="2281"/>
      <c r="AF520" s="2282"/>
      <c r="AG520" s="2283" t="s">
        <v>3696</v>
      </c>
      <c r="AH520" s="2281"/>
      <c r="AI520" s="2282"/>
      <c r="AJ520" s="1909" t="s">
        <v>4910</v>
      </c>
      <c r="AK520" s="2283" t="s">
        <v>3688</v>
      </c>
      <c r="AL520" s="2281"/>
      <c r="AM520" s="2259"/>
      <c r="AN520" s="2281"/>
      <c r="AO520" s="2282"/>
      <c r="AP520" s="1909" t="s">
        <v>3716</v>
      </c>
      <c r="BC520" s="214"/>
      <c r="BD520" s="214"/>
      <c r="BE520" s="214"/>
      <c r="BF520" s="214"/>
    </row>
    <row r="521" spans="1:58" ht="45" hidden="1" customHeight="1">
      <c r="B521" s="2277"/>
      <c r="C521" s="2259"/>
      <c r="D521" s="2260"/>
      <c r="E521" s="1908" t="s">
        <v>3682</v>
      </c>
      <c r="F521" s="1908" t="s">
        <v>4458</v>
      </c>
      <c r="G521" s="1908"/>
      <c r="H521" s="2278" t="s">
        <v>4904</v>
      </c>
      <c r="I521" s="2259"/>
      <c r="J521" s="2260"/>
      <c r="K521" s="2278" t="s">
        <v>4930</v>
      </c>
      <c r="L521" s="2260"/>
      <c r="M521" s="1908" t="e">
        <f>VLOOKUP(K521,'Estimate Details'!$R:$BR,20,FALSE)</f>
        <v>#N/A</v>
      </c>
      <c r="N521" s="1908" t="e">
        <f>VLOOKUP(M521,#REF!,2,FALSE)</f>
        <v>#N/A</v>
      </c>
      <c r="O521" s="1908" t="s">
        <v>4931</v>
      </c>
      <c r="P521" s="2278" t="s">
        <v>4907</v>
      </c>
      <c r="Q521" s="2259"/>
      <c r="R521" s="2260"/>
      <c r="S521" s="1908" t="s">
        <v>3688</v>
      </c>
      <c r="T521" s="1908" t="s">
        <v>3689</v>
      </c>
      <c r="U521" s="1908" t="s">
        <v>3707</v>
      </c>
      <c r="V521" s="1908" t="s">
        <v>4176</v>
      </c>
      <c r="W521" s="1908" t="s">
        <v>3688</v>
      </c>
      <c r="X521" s="1908"/>
      <c r="Y521" s="1908"/>
      <c r="Z521" s="1908"/>
      <c r="AA521" s="1908" t="s">
        <v>3694</v>
      </c>
      <c r="AB521" s="1908" t="s">
        <v>3688</v>
      </c>
      <c r="AC521" s="1908" t="s">
        <v>4932</v>
      </c>
      <c r="AD521" s="2278" t="s">
        <v>3688</v>
      </c>
      <c r="AE521" s="2259"/>
      <c r="AF521" s="2260"/>
      <c r="AG521" s="2278" t="s">
        <v>3696</v>
      </c>
      <c r="AH521" s="2259"/>
      <c r="AI521" s="2260"/>
      <c r="AJ521" s="1908" t="s">
        <v>4910</v>
      </c>
      <c r="AK521" s="2278" t="s">
        <v>3688</v>
      </c>
      <c r="AL521" s="2259"/>
      <c r="AM521" s="2259"/>
      <c r="AN521" s="2259"/>
      <c r="AO521" s="2260"/>
      <c r="AP521" s="1908" t="s">
        <v>3716</v>
      </c>
      <c r="BC521" s="214"/>
      <c r="BD521" s="214"/>
      <c r="BE521" s="214"/>
      <c r="BF521" s="214"/>
    </row>
    <row r="522" spans="1:58" ht="45" hidden="1" customHeight="1">
      <c r="A522" s="808"/>
      <c r="B522" s="2280"/>
      <c r="C522" s="2281"/>
      <c r="D522" s="2282"/>
      <c r="E522" s="1909" t="s">
        <v>3682</v>
      </c>
      <c r="F522" s="1909" t="s">
        <v>4458</v>
      </c>
      <c r="G522" s="1909"/>
      <c r="H522" s="2283" t="s">
        <v>4904</v>
      </c>
      <c r="I522" s="2281"/>
      <c r="J522" s="2282"/>
      <c r="K522" s="2283" t="s">
        <v>4933</v>
      </c>
      <c r="L522" s="2282"/>
      <c r="M522" s="1909" t="e">
        <f>VLOOKUP(K522,'Estimate Details'!$R:$BR,20,FALSE)</f>
        <v>#N/A</v>
      </c>
      <c r="N522" s="1909" t="e">
        <f>VLOOKUP(M522,#REF!,2,FALSE)</f>
        <v>#N/A</v>
      </c>
      <c r="O522" s="1909" t="s">
        <v>4934</v>
      </c>
      <c r="P522" s="2284" t="s">
        <v>4907</v>
      </c>
      <c r="Q522" s="2281"/>
      <c r="R522" s="2282"/>
      <c r="S522" s="1909" t="s">
        <v>3688</v>
      </c>
      <c r="T522" s="1909" t="s">
        <v>3689</v>
      </c>
      <c r="U522" s="1909" t="s">
        <v>3707</v>
      </c>
      <c r="V522" s="1909" t="s">
        <v>4176</v>
      </c>
      <c r="W522" s="1909" t="s">
        <v>3688</v>
      </c>
      <c r="X522" s="1909"/>
      <c r="Y522" s="1909"/>
      <c r="Z522" s="1909"/>
      <c r="AA522" s="1909" t="s">
        <v>3694</v>
      </c>
      <c r="AB522" s="1909" t="s">
        <v>3688</v>
      </c>
      <c r="AC522" s="1909" t="s">
        <v>4935</v>
      </c>
      <c r="AD522" s="2283" t="s">
        <v>3688</v>
      </c>
      <c r="AE522" s="2281"/>
      <c r="AF522" s="2282"/>
      <c r="AG522" s="2283" t="s">
        <v>3696</v>
      </c>
      <c r="AH522" s="2281"/>
      <c r="AI522" s="2282"/>
      <c r="AJ522" s="1909" t="s">
        <v>4910</v>
      </c>
      <c r="AK522" s="2283" t="s">
        <v>3688</v>
      </c>
      <c r="AL522" s="2281"/>
      <c r="AM522" s="2259"/>
      <c r="AN522" s="2281"/>
      <c r="AO522" s="2282"/>
      <c r="AP522" s="1909" t="s">
        <v>3716</v>
      </c>
      <c r="BC522" s="214"/>
      <c r="BD522" s="214"/>
      <c r="BE522" s="214"/>
      <c r="BF522" s="214"/>
    </row>
    <row r="523" spans="1:58" ht="45" hidden="1" customHeight="1">
      <c r="B523" s="2277"/>
      <c r="C523" s="2259"/>
      <c r="D523" s="2260"/>
      <c r="E523" s="1908" t="s">
        <v>3682</v>
      </c>
      <c r="F523" s="1908" t="s">
        <v>4458</v>
      </c>
      <c r="G523" s="1908"/>
      <c r="H523" s="2278" t="s">
        <v>4904</v>
      </c>
      <c r="I523" s="2259"/>
      <c r="J523" s="2260"/>
      <c r="K523" s="2278" t="s">
        <v>4936</v>
      </c>
      <c r="L523" s="2260"/>
      <c r="M523" s="1908" t="e">
        <f>VLOOKUP(K523,'Estimate Details'!$R:$BR,20,FALSE)</f>
        <v>#N/A</v>
      </c>
      <c r="N523" s="1908" t="e">
        <f>VLOOKUP(M523,#REF!,2,FALSE)</f>
        <v>#N/A</v>
      </c>
      <c r="O523" s="1908" t="s">
        <v>4934</v>
      </c>
      <c r="P523" s="2278" t="s">
        <v>4907</v>
      </c>
      <c r="Q523" s="2259"/>
      <c r="R523" s="2260"/>
      <c r="S523" s="1908" t="s">
        <v>3688</v>
      </c>
      <c r="T523" s="1908" t="s">
        <v>3689</v>
      </c>
      <c r="U523" s="1908" t="s">
        <v>3707</v>
      </c>
      <c r="V523" s="1908" t="s">
        <v>4176</v>
      </c>
      <c r="W523" s="1908" t="s">
        <v>3688</v>
      </c>
      <c r="X523" s="1908"/>
      <c r="Y523" s="1908"/>
      <c r="Z523" s="1908"/>
      <c r="AA523" s="1908" t="s">
        <v>3694</v>
      </c>
      <c r="AB523" s="1908" t="s">
        <v>3688</v>
      </c>
      <c r="AC523" s="1908" t="s">
        <v>4918</v>
      </c>
      <c r="AD523" s="2278" t="s">
        <v>3688</v>
      </c>
      <c r="AE523" s="2259"/>
      <c r="AF523" s="2260"/>
      <c r="AG523" s="2278" t="s">
        <v>3696</v>
      </c>
      <c r="AH523" s="2259"/>
      <c r="AI523" s="2260"/>
      <c r="AJ523" s="1908" t="s">
        <v>4910</v>
      </c>
      <c r="AK523" s="2278" t="s">
        <v>3688</v>
      </c>
      <c r="AL523" s="2259"/>
      <c r="AM523" s="2259"/>
      <c r="AN523" s="2259"/>
      <c r="AO523" s="2260"/>
      <c r="AP523" s="1908" t="s">
        <v>3716</v>
      </c>
      <c r="BC523" s="214"/>
      <c r="BD523" s="214"/>
      <c r="BE523" s="214"/>
      <c r="BF523" s="214"/>
    </row>
    <row r="524" spans="1:58" ht="45" hidden="1" customHeight="1">
      <c r="A524" s="808"/>
      <c r="B524" s="2280"/>
      <c r="C524" s="2281"/>
      <c r="D524" s="2282"/>
      <c r="E524" s="1909" t="s">
        <v>3682</v>
      </c>
      <c r="F524" s="1909" t="s">
        <v>4458</v>
      </c>
      <c r="G524" s="1909"/>
      <c r="H524" s="2283" t="s">
        <v>4904</v>
      </c>
      <c r="I524" s="2281"/>
      <c r="J524" s="2282"/>
      <c r="K524" s="2283" t="s">
        <v>4937</v>
      </c>
      <c r="L524" s="2282"/>
      <c r="M524" s="1909" t="e">
        <f>VLOOKUP(K524,'Estimate Details'!$R:$BR,20,FALSE)</f>
        <v>#N/A</v>
      </c>
      <c r="N524" s="1909" t="e">
        <f>VLOOKUP(M524,#REF!,2,FALSE)</f>
        <v>#N/A</v>
      </c>
      <c r="O524" s="1909" t="s">
        <v>4938</v>
      </c>
      <c r="P524" s="2284" t="s">
        <v>4907</v>
      </c>
      <c r="Q524" s="2281"/>
      <c r="R524" s="2282"/>
      <c r="S524" s="1909" t="s">
        <v>3688</v>
      </c>
      <c r="T524" s="1909" t="s">
        <v>3689</v>
      </c>
      <c r="U524" s="1909" t="s">
        <v>3707</v>
      </c>
      <c r="V524" s="1909" t="s">
        <v>4176</v>
      </c>
      <c r="W524" s="1909" t="s">
        <v>3688</v>
      </c>
      <c r="X524" s="1909"/>
      <c r="Y524" s="1909"/>
      <c r="Z524" s="1909"/>
      <c r="AA524" s="1909" t="s">
        <v>3694</v>
      </c>
      <c r="AB524" s="1909" t="s">
        <v>3688</v>
      </c>
      <c r="AC524" s="1909" t="s">
        <v>4939</v>
      </c>
      <c r="AD524" s="2283" t="s">
        <v>4940</v>
      </c>
      <c r="AE524" s="2281"/>
      <c r="AF524" s="2282"/>
      <c r="AG524" s="2283" t="s">
        <v>3696</v>
      </c>
      <c r="AH524" s="2281"/>
      <c r="AI524" s="2282"/>
      <c r="AJ524" s="1909" t="s">
        <v>4910</v>
      </c>
      <c r="AK524" s="2283" t="s">
        <v>3688</v>
      </c>
      <c r="AL524" s="2281"/>
      <c r="AM524" s="2259"/>
      <c r="AN524" s="2281"/>
      <c r="AO524" s="2282"/>
      <c r="AP524" s="1909" t="s">
        <v>3716</v>
      </c>
      <c r="BC524" s="214"/>
      <c r="BD524" s="214"/>
      <c r="BE524" s="214"/>
      <c r="BF524" s="214"/>
    </row>
    <row r="525" spans="1:58" ht="45" hidden="1" customHeight="1">
      <c r="B525" s="2277"/>
      <c r="C525" s="2259"/>
      <c r="D525" s="2260"/>
      <c r="E525" s="1908" t="s">
        <v>3682</v>
      </c>
      <c r="F525" s="1908" t="s">
        <v>4458</v>
      </c>
      <c r="G525" s="1908"/>
      <c r="H525" s="2278" t="s">
        <v>4904</v>
      </c>
      <c r="I525" s="2259"/>
      <c r="J525" s="2260"/>
      <c r="K525" s="2278" t="s">
        <v>4941</v>
      </c>
      <c r="L525" s="2260"/>
      <c r="M525" s="1908" t="e">
        <f>VLOOKUP(K525,'Estimate Details'!$R:$BR,20,FALSE)</f>
        <v>#N/A</v>
      </c>
      <c r="N525" s="1908" t="e">
        <f>VLOOKUP(M525,#REF!,2,FALSE)</f>
        <v>#N/A</v>
      </c>
      <c r="O525" s="1908" t="s">
        <v>4942</v>
      </c>
      <c r="P525" s="2278" t="s">
        <v>4907</v>
      </c>
      <c r="Q525" s="2259"/>
      <c r="R525" s="2260"/>
      <c r="S525" s="1908" t="s">
        <v>3688</v>
      </c>
      <c r="T525" s="1908" t="s">
        <v>3689</v>
      </c>
      <c r="U525" s="1908" t="s">
        <v>3707</v>
      </c>
      <c r="V525" s="1908" t="s">
        <v>4176</v>
      </c>
      <c r="W525" s="1908" t="s">
        <v>3688</v>
      </c>
      <c r="X525" s="1908"/>
      <c r="Y525" s="1908"/>
      <c r="Z525" s="1908"/>
      <c r="AA525" s="1908" t="s">
        <v>3694</v>
      </c>
      <c r="AB525" s="1908" t="s">
        <v>3688</v>
      </c>
      <c r="AC525" s="1908" t="s">
        <v>4932</v>
      </c>
      <c r="AD525" s="2278" t="s">
        <v>3688</v>
      </c>
      <c r="AE525" s="2259"/>
      <c r="AF525" s="2260"/>
      <c r="AG525" s="2278" t="s">
        <v>3696</v>
      </c>
      <c r="AH525" s="2259"/>
      <c r="AI525" s="2260"/>
      <c r="AJ525" s="1908" t="s">
        <v>4910</v>
      </c>
      <c r="AK525" s="2278" t="s">
        <v>3688</v>
      </c>
      <c r="AL525" s="2259"/>
      <c r="AM525" s="2259"/>
      <c r="AN525" s="2259"/>
      <c r="AO525" s="2260"/>
      <c r="AP525" s="1908" t="s">
        <v>3716</v>
      </c>
      <c r="BC525" s="214"/>
      <c r="BD525" s="214"/>
      <c r="BE525" s="214"/>
      <c r="BF525" s="214"/>
    </row>
    <row r="526" spans="1:58" ht="45" hidden="1" customHeight="1">
      <c r="A526" s="808"/>
      <c r="B526" s="2280"/>
      <c r="C526" s="2281"/>
      <c r="D526" s="2282"/>
      <c r="E526" s="1909" t="s">
        <v>3682</v>
      </c>
      <c r="F526" s="1909" t="s">
        <v>4458</v>
      </c>
      <c r="G526" s="1909"/>
      <c r="H526" s="2283" t="s">
        <v>4904</v>
      </c>
      <c r="I526" s="2281"/>
      <c r="J526" s="2282"/>
      <c r="K526" s="2283" t="s">
        <v>4943</v>
      </c>
      <c r="L526" s="2282"/>
      <c r="M526" s="1909" t="e">
        <f>VLOOKUP(K526,'Estimate Details'!$R:$BR,20,FALSE)</f>
        <v>#N/A</v>
      </c>
      <c r="N526" s="1909" t="e">
        <f>VLOOKUP(M526,#REF!,2,FALSE)</f>
        <v>#N/A</v>
      </c>
      <c r="O526" s="1909" t="s">
        <v>4944</v>
      </c>
      <c r="P526" s="2284" t="s">
        <v>4907</v>
      </c>
      <c r="Q526" s="2281"/>
      <c r="R526" s="2282"/>
      <c r="S526" s="1909" t="s">
        <v>3688</v>
      </c>
      <c r="T526" s="1909" t="s">
        <v>3689</v>
      </c>
      <c r="U526" s="1909" t="s">
        <v>3707</v>
      </c>
      <c r="V526" s="1909" t="s">
        <v>4176</v>
      </c>
      <c r="W526" s="1909" t="s">
        <v>3688</v>
      </c>
      <c r="X526" s="1909"/>
      <c r="Y526" s="1909"/>
      <c r="Z526" s="1909"/>
      <c r="AA526" s="1909" t="s">
        <v>3694</v>
      </c>
      <c r="AB526" s="1909" t="s">
        <v>3688</v>
      </c>
      <c r="AC526" s="1909" t="s">
        <v>4945</v>
      </c>
      <c r="AD526" s="2283" t="s">
        <v>3688</v>
      </c>
      <c r="AE526" s="2281"/>
      <c r="AF526" s="2282"/>
      <c r="AG526" s="2283" t="s">
        <v>3696</v>
      </c>
      <c r="AH526" s="2281"/>
      <c r="AI526" s="2282"/>
      <c r="AJ526" s="1909" t="s">
        <v>4910</v>
      </c>
      <c r="AK526" s="2283" t="s">
        <v>3688</v>
      </c>
      <c r="AL526" s="2281"/>
      <c r="AM526" s="2259"/>
      <c r="AN526" s="2281"/>
      <c r="AO526" s="2282"/>
      <c r="AP526" s="1909" t="s">
        <v>3716</v>
      </c>
      <c r="BC526" s="214"/>
      <c r="BD526" s="214"/>
      <c r="BE526" s="214"/>
      <c r="BF526" s="214"/>
    </row>
    <row r="527" spans="1:58" ht="45" hidden="1" customHeight="1">
      <c r="B527" s="2277"/>
      <c r="C527" s="2259"/>
      <c r="D527" s="2260"/>
      <c r="E527" s="1908" t="s">
        <v>3682</v>
      </c>
      <c r="F527" s="1908" t="s">
        <v>4458</v>
      </c>
      <c r="G527" s="1908"/>
      <c r="H527" s="2278" t="s">
        <v>4904</v>
      </c>
      <c r="I527" s="2259"/>
      <c r="J527" s="2260"/>
      <c r="K527" s="2278" t="s">
        <v>4946</v>
      </c>
      <c r="L527" s="2260"/>
      <c r="M527" s="1908" t="e">
        <f>VLOOKUP(K527,'Estimate Details'!$R:$BR,20,FALSE)</f>
        <v>#N/A</v>
      </c>
      <c r="N527" s="1908" t="e">
        <f>VLOOKUP(M527,#REF!,2,FALSE)</f>
        <v>#N/A</v>
      </c>
      <c r="O527" s="1908" t="s">
        <v>4947</v>
      </c>
      <c r="P527" s="2278" t="s">
        <v>4907</v>
      </c>
      <c r="Q527" s="2259"/>
      <c r="R527" s="2260"/>
      <c r="S527" s="1908" t="s">
        <v>3688</v>
      </c>
      <c r="T527" s="1908" t="s">
        <v>3689</v>
      </c>
      <c r="U527" s="1908" t="s">
        <v>3707</v>
      </c>
      <c r="V527" s="1908" t="s">
        <v>4176</v>
      </c>
      <c r="W527" s="1908" t="s">
        <v>3688</v>
      </c>
      <c r="X527" s="1908"/>
      <c r="Y527" s="1908"/>
      <c r="Z527" s="1908"/>
      <c r="AA527" s="1908" t="s">
        <v>3694</v>
      </c>
      <c r="AB527" s="1908" t="s">
        <v>3688</v>
      </c>
      <c r="AC527" s="1908" t="s">
        <v>4948</v>
      </c>
      <c r="AD527" s="2278" t="s">
        <v>3688</v>
      </c>
      <c r="AE527" s="2259"/>
      <c r="AF527" s="2260"/>
      <c r="AG527" s="2278" t="s">
        <v>3696</v>
      </c>
      <c r="AH527" s="2259"/>
      <c r="AI527" s="2260"/>
      <c r="AJ527" s="1908" t="s">
        <v>4910</v>
      </c>
      <c r="AK527" s="2278" t="s">
        <v>3688</v>
      </c>
      <c r="AL527" s="2259"/>
      <c r="AM527" s="2259"/>
      <c r="AN527" s="2259"/>
      <c r="AO527" s="2260"/>
      <c r="AP527" s="1908" t="s">
        <v>3716</v>
      </c>
      <c r="BC527" s="214"/>
      <c r="BD527" s="214"/>
      <c r="BE527" s="214"/>
      <c r="BF527" s="214"/>
    </row>
    <row r="528" spans="1:58" ht="45" hidden="1" customHeight="1">
      <c r="A528" s="808"/>
      <c r="B528" s="2280"/>
      <c r="C528" s="2281"/>
      <c r="D528" s="2282"/>
      <c r="E528" s="1909" t="s">
        <v>3682</v>
      </c>
      <c r="F528" s="1909" t="s">
        <v>4458</v>
      </c>
      <c r="G528" s="1909"/>
      <c r="H528" s="2283" t="s">
        <v>4904</v>
      </c>
      <c r="I528" s="2281"/>
      <c r="J528" s="2282"/>
      <c r="K528" s="2283" t="s">
        <v>4949</v>
      </c>
      <c r="L528" s="2282"/>
      <c r="M528" s="1909" t="e">
        <f>VLOOKUP(K528,'Estimate Details'!$R:$BR,20,FALSE)</f>
        <v>#N/A</v>
      </c>
      <c r="N528" s="1909" t="e">
        <f>VLOOKUP(M528,#REF!,2,FALSE)</f>
        <v>#N/A</v>
      </c>
      <c r="O528" s="1909" t="s">
        <v>4950</v>
      </c>
      <c r="P528" s="2284" t="s">
        <v>4907</v>
      </c>
      <c r="Q528" s="2281"/>
      <c r="R528" s="2282"/>
      <c r="S528" s="1909" t="s">
        <v>3688</v>
      </c>
      <c r="T528" s="1909" t="s">
        <v>3689</v>
      </c>
      <c r="U528" s="1909" t="s">
        <v>3707</v>
      </c>
      <c r="V528" s="1909" t="s">
        <v>4176</v>
      </c>
      <c r="W528" s="1909" t="s">
        <v>3688</v>
      </c>
      <c r="X528" s="1909"/>
      <c r="Y528" s="1909"/>
      <c r="Z528" s="1909"/>
      <c r="AA528" s="1909" t="s">
        <v>3694</v>
      </c>
      <c r="AB528" s="1909" t="s">
        <v>3688</v>
      </c>
      <c r="AC528" s="1909" t="s">
        <v>4951</v>
      </c>
      <c r="AD528" s="2283" t="s">
        <v>3688</v>
      </c>
      <c r="AE528" s="2281"/>
      <c r="AF528" s="2282"/>
      <c r="AG528" s="2283" t="s">
        <v>3696</v>
      </c>
      <c r="AH528" s="2281"/>
      <c r="AI528" s="2282"/>
      <c r="AJ528" s="1909" t="s">
        <v>4910</v>
      </c>
      <c r="AK528" s="2283" t="s">
        <v>3688</v>
      </c>
      <c r="AL528" s="2281"/>
      <c r="AM528" s="2259"/>
      <c r="AN528" s="2281"/>
      <c r="AO528" s="2282"/>
      <c r="AP528" s="1909" t="s">
        <v>3716</v>
      </c>
      <c r="BC528" s="214"/>
      <c r="BD528" s="214"/>
      <c r="BE528" s="214"/>
      <c r="BF528" s="214"/>
    </row>
    <row r="529" spans="1:58" ht="45" hidden="1" customHeight="1">
      <c r="B529" s="2277"/>
      <c r="C529" s="2259"/>
      <c r="D529" s="2260"/>
      <c r="E529" s="1908" t="s">
        <v>3682</v>
      </c>
      <c r="F529" s="1908" t="s">
        <v>4458</v>
      </c>
      <c r="G529" s="1908"/>
      <c r="H529" s="2278" t="s">
        <v>4904</v>
      </c>
      <c r="I529" s="2259"/>
      <c r="J529" s="2260"/>
      <c r="K529" s="2278" t="s">
        <v>4952</v>
      </c>
      <c r="L529" s="2260"/>
      <c r="M529" s="1908" t="e">
        <f>VLOOKUP(K529,'Estimate Details'!$R:$BR,20,FALSE)</f>
        <v>#N/A</v>
      </c>
      <c r="N529" s="1908" t="e">
        <f>VLOOKUP(M529,#REF!,2,FALSE)</f>
        <v>#N/A</v>
      </c>
      <c r="O529" s="1908" t="s">
        <v>4953</v>
      </c>
      <c r="P529" s="2278" t="s">
        <v>4907</v>
      </c>
      <c r="Q529" s="2259"/>
      <c r="R529" s="2260"/>
      <c r="S529" s="1908" t="s">
        <v>3688</v>
      </c>
      <c r="T529" s="1908" t="s">
        <v>3689</v>
      </c>
      <c r="U529" s="1908" t="s">
        <v>3707</v>
      </c>
      <c r="V529" s="1908" t="s">
        <v>4176</v>
      </c>
      <c r="W529" s="1908" t="s">
        <v>3688</v>
      </c>
      <c r="X529" s="1908"/>
      <c r="Y529" s="1908"/>
      <c r="Z529" s="1908"/>
      <c r="AA529" s="1908" t="s">
        <v>3694</v>
      </c>
      <c r="AB529" s="1908" t="s">
        <v>3688</v>
      </c>
      <c r="AC529" s="1908" t="s">
        <v>4954</v>
      </c>
      <c r="AD529" s="2278" t="s">
        <v>4955</v>
      </c>
      <c r="AE529" s="2259"/>
      <c r="AF529" s="2260"/>
      <c r="AG529" s="2278" t="s">
        <v>3696</v>
      </c>
      <c r="AH529" s="2259"/>
      <c r="AI529" s="2260"/>
      <c r="AJ529" s="1908" t="s">
        <v>4910</v>
      </c>
      <c r="AK529" s="2278" t="s">
        <v>3688</v>
      </c>
      <c r="AL529" s="2259"/>
      <c r="AM529" s="2259"/>
      <c r="AN529" s="2259"/>
      <c r="AO529" s="2260"/>
      <c r="AP529" s="1908" t="s">
        <v>3716</v>
      </c>
      <c r="BC529" s="214"/>
      <c r="BD529" s="214"/>
      <c r="BE529" s="214"/>
      <c r="BF529" s="214"/>
    </row>
    <row r="530" spans="1:58" ht="45" hidden="1" customHeight="1">
      <c r="A530" s="808"/>
      <c r="B530" s="2280"/>
      <c r="C530" s="2281"/>
      <c r="D530" s="2282"/>
      <c r="E530" s="1909" t="s">
        <v>3682</v>
      </c>
      <c r="F530" s="1909" t="s">
        <v>4458</v>
      </c>
      <c r="G530" s="1909"/>
      <c r="H530" s="2283" t="s">
        <v>4904</v>
      </c>
      <c r="I530" s="2281"/>
      <c r="J530" s="2282"/>
      <c r="K530" s="2283" t="s">
        <v>4956</v>
      </c>
      <c r="L530" s="2282"/>
      <c r="M530" s="1909" t="e">
        <f>VLOOKUP(K530,'Estimate Details'!$R:$BR,20,FALSE)</f>
        <v>#N/A</v>
      </c>
      <c r="N530" s="1909" t="e">
        <f>VLOOKUP(M530,#REF!,2,FALSE)</f>
        <v>#N/A</v>
      </c>
      <c r="O530" s="1909" t="s">
        <v>4953</v>
      </c>
      <c r="P530" s="2284" t="s">
        <v>4907</v>
      </c>
      <c r="Q530" s="2281"/>
      <c r="R530" s="2282"/>
      <c r="S530" s="1909" t="s">
        <v>3688</v>
      </c>
      <c r="T530" s="1909" t="s">
        <v>3689</v>
      </c>
      <c r="U530" s="1909" t="s">
        <v>3707</v>
      </c>
      <c r="V530" s="1909" t="s">
        <v>4176</v>
      </c>
      <c r="W530" s="1909" t="s">
        <v>3688</v>
      </c>
      <c r="X530" s="1909"/>
      <c r="Y530" s="1909"/>
      <c r="Z530" s="1909"/>
      <c r="AA530" s="1909" t="s">
        <v>3694</v>
      </c>
      <c r="AB530" s="1909" t="s">
        <v>3688</v>
      </c>
      <c r="AC530" s="1909" t="s">
        <v>4954</v>
      </c>
      <c r="AD530" s="2283" t="s">
        <v>4955</v>
      </c>
      <c r="AE530" s="2281"/>
      <c r="AF530" s="2282"/>
      <c r="AG530" s="2283" t="s">
        <v>3696</v>
      </c>
      <c r="AH530" s="2281"/>
      <c r="AI530" s="2282"/>
      <c r="AJ530" s="1909" t="s">
        <v>4910</v>
      </c>
      <c r="AK530" s="2283" t="s">
        <v>3688</v>
      </c>
      <c r="AL530" s="2281"/>
      <c r="AM530" s="2259"/>
      <c r="AN530" s="2281"/>
      <c r="AO530" s="2282"/>
      <c r="AP530" s="1909" t="s">
        <v>3716</v>
      </c>
      <c r="BC530" s="214"/>
      <c r="BD530" s="214"/>
      <c r="BE530" s="214"/>
      <c r="BF530" s="214"/>
    </row>
    <row r="531" spans="1:58" ht="45" hidden="1" customHeight="1">
      <c r="B531" s="2277"/>
      <c r="C531" s="2259"/>
      <c r="D531" s="2260"/>
      <c r="E531" s="1908" t="s">
        <v>3682</v>
      </c>
      <c r="F531" s="1908" t="s">
        <v>4458</v>
      </c>
      <c r="G531" s="1908"/>
      <c r="H531" s="2278" t="s">
        <v>4904</v>
      </c>
      <c r="I531" s="2259"/>
      <c r="J531" s="2260"/>
      <c r="K531" s="2278" t="s">
        <v>4957</v>
      </c>
      <c r="L531" s="2260"/>
      <c r="M531" s="1908" t="e">
        <f>VLOOKUP(K531,'Estimate Details'!$R:$BR,20,FALSE)</f>
        <v>#N/A</v>
      </c>
      <c r="N531" s="1908" t="e">
        <f>VLOOKUP(M531,#REF!,2,FALSE)</f>
        <v>#N/A</v>
      </c>
      <c r="O531" s="1908" t="s">
        <v>4958</v>
      </c>
      <c r="P531" s="2278" t="s">
        <v>4907</v>
      </c>
      <c r="Q531" s="2259"/>
      <c r="R531" s="2260"/>
      <c r="S531" s="1908" t="s">
        <v>3688</v>
      </c>
      <c r="T531" s="1908" t="s">
        <v>3689</v>
      </c>
      <c r="U531" s="1908" t="s">
        <v>3707</v>
      </c>
      <c r="V531" s="1908" t="s">
        <v>4176</v>
      </c>
      <c r="W531" s="1908" t="s">
        <v>3688</v>
      </c>
      <c r="X531" s="1908"/>
      <c r="Y531" s="1908"/>
      <c r="Z531" s="1908"/>
      <c r="AA531" s="1908" t="s">
        <v>3694</v>
      </c>
      <c r="AB531" s="1908" t="s">
        <v>3688</v>
      </c>
      <c r="AC531" s="1908" t="s">
        <v>4932</v>
      </c>
      <c r="AD531" s="2278" t="s">
        <v>3688</v>
      </c>
      <c r="AE531" s="2259"/>
      <c r="AF531" s="2260"/>
      <c r="AG531" s="2278" t="s">
        <v>3696</v>
      </c>
      <c r="AH531" s="2259"/>
      <c r="AI531" s="2260"/>
      <c r="AJ531" s="1908" t="s">
        <v>4910</v>
      </c>
      <c r="AK531" s="2278" t="s">
        <v>3688</v>
      </c>
      <c r="AL531" s="2259"/>
      <c r="AM531" s="2259"/>
      <c r="AN531" s="2259"/>
      <c r="AO531" s="2260"/>
      <c r="AP531" s="1908" t="s">
        <v>3716</v>
      </c>
      <c r="BC531" s="214"/>
      <c r="BD531" s="214"/>
      <c r="BE531" s="214"/>
      <c r="BF531" s="214"/>
    </row>
    <row r="532" spans="1:58" ht="45" hidden="1" customHeight="1">
      <c r="A532" s="808"/>
      <c r="B532" s="2280"/>
      <c r="C532" s="2281"/>
      <c r="D532" s="2282"/>
      <c r="E532" s="1909" t="s">
        <v>3682</v>
      </c>
      <c r="F532" s="1909" t="s">
        <v>4458</v>
      </c>
      <c r="G532" s="1909"/>
      <c r="H532" s="2283" t="s">
        <v>4904</v>
      </c>
      <c r="I532" s="2281"/>
      <c r="J532" s="2282"/>
      <c r="K532" s="2283" t="s">
        <v>4959</v>
      </c>
      <c r="L532" s="2282"/>
      <c r="M532" s="1909" t="e">
        <f>VLOOKUP(K532,'Estimate Details'!$R:$BR,20,FALSE)</f>
        <v>#N/A</v>
      </c>
      <c r="N532" s="1909" t="e">
        <f>VLOOKUP(M532,#REF!,2,FALSE)</f>
        <v>#N/A</v>
      </c>
      <c r="O532" s="1909" t="s">
        <v>4960</v>
      </c>
      <c r="P532" s="2284" t="s">
        <v>4907</v>
      </c>
      <c r="Q532" s="2281"/>
      <c r="R532" s="2282"/>
      <c r="S532" s="1909" t="s">
        <v>3688</v>
      </c>
      <c r="T532" s="1909" t="s">
        <v>3689</v>
      </c>
      <c r="U532" s="1909" t="s">
        <v>3707</v>
      </c>
      <c r="V532" s="1909" t="s">
        <v>4176</v>
      </c>
      <c r="W532" s="1909" t="s">
        <v>3688</v>
      </c>
      <c r="X532" s="1909"/>
      <c r="Y532" s="1909"/>
      <c r="Z532" s="1909"/>
      <c r="AA532" s="1909" t="s">
        <v>3694</v>
      </c>
      <c r="AB532" s="1909" t="s">
        <v>3688</v>
      </c>
      <c r="AC532" s="1909" t="s">
        <v>4961</v>
      </c>
      <c r="AD532" s="2283" t="s">
        <v>3688</v>
      </c>
      <c r="AE532" s="2281"/>
      <c r="AF532" s="2282"/>
      <c r="AG532" s="2283" t="s">
        <v>3696</v>
      </c>
      <c r="AH532" s="2281"/>
      <c r="AI532" s="2282"/>
      <c r="AJ532" s="1909" t="s">
        <v>4910</v>
      </c>
      <c r="AK532" s="2283" t="s">
        <v>3688</v>
      </c>
      <c r="AL532" s="2281"/>
      <c r="AM532" s="2259"/>
      <c r="AN532" s="2281"/>
      <c r="AO532" s="2282"/>
      <c r="AP532" s="1909" t="s">
        <v>3716</v>
      </c>
      <c r="BC532" s="214"/>
      <c r="BD532" s="214"/>
      <c r="BE532" s="214"/>
      <c r="BF532" s="214"/>
    </row>
    <row r="533" spans="1:58" ht="45" hidden="1" customHeight="1">
      <c r="B533" s="2277"/>
      <c r="C533" s="2259"/>
      <c r="D533" s="2260"/>
      <c r="E533" s="1908" t="s">
        <v>3682</v>
      </c>
      <c r="F533" s="1908" t="s">
        <v>4458</v>
      </c>
      <c r="G533" s="1908"/>
      <c r="H533" s="2278" t="s">
        <v>4904</v>
      </c>
      <c r="I533" s="2259"/>
      <c r="J533" s="2260"/>
      <c r="K533" s="2278" t="s">
        <v>4962</v>
      </c>
      <c r="L533" s="2260"/>
      <c r="M533" s="1908" t="e">
        <f>VLOOKUP(K533,'Estimate Details'!$R:$BR,20,FALSE)</f>
        <v>#N/A</v>
      </c>
      <c r="N533" s="1908" t="e">
        <f>VLOOKUP(M533,#REF!,2,FALSE)</f>
        <v>#N/A</v>
      </c>
      <c r="O533" s="1908" t="s">
        <v>4963</v>
      </c>
      <c r="P533" s="2278" t="s">
        <v>4907</v>
      </c>
      <c r="Q533" s="2259"/>
      <c r="R533" s="2260"/>
      <c r="S533" s="1908" t="s">
        <v>3688</v>
      </c>
      <c r="T533" s="1908" t="s">
        <v>3689</v>
      </c>
      <c r="U533" s="1908" t="s">
        <v>3707</v>
      </c>
      <c r="V533" s="1908" t="s">
        <v>4176</v>
      </c>
      <c r="W533" s="1908" t="s">
        <v>3688</v>
      </c>
      <c r="X533" s="1908"/>
      <c r="Y533" s="1908"/>
      <c r="Z533" s="1908"/>
      <c r="AA533" s="1908" t="s">
        <v>3694</v>
      </c>
      <c r="AB533" s="1908" t="s">
        <v>3688</v>
      </c>
      <c r="AC533" s="1908" t="s">
        <v>4932</v>
      </c>
      <c r="AD533" s="2278" t="s">
        <v>3688</v>
      </c>
      <c r="AE533" s="2259"/>
      <c r="AF533" s="2260"/>
      <c r="AG533" s="2278" t="s">
        <v>3696</v>
      </c>
      <c r="AH533" s="2259"/>
      <c r="AI533" s="2260"/>
      <c r="AJ533" s="1908" t="s">
        <v>4910</v>
      </c>
      <c r="AK533" s="2278" t="s">
        <v>3688</v>
      </c>
      <c r="AL533" s="2259"/>
      <c r="AM533" s="2259"/>
      <c r="AN533" s="2259"/>
      <c r="AO533" s="2260"/>
      <c r="AP533" s="1908" t="s">
        <v>3716</v>
      </c>
      <c r="BC533" s="214"/>
      <c r="BD533" s="214"/>
      <c r="BE533" s="214"/>
      <c r="BF533" s="214"/>
    </row>
    <row r="534" spans="1:58" ht="45" hidden="1" customHeight="1">
      <c r="A534" s="808"/>
      <c r="B534" s="2280"/>
      <c r="C534" s="2281"/>
      <c r="D534" s="2282"/>
      <c r="E534" s="1909" t="s">
        <v>3682</v>
      </c>
      <c r="F534" s="1909" t="s">
        <v>4458</v>
      </c>
      <c r="G534" s="1909"/>
      <c r="H534" s="2283" t="s">
        <v>4904</v>
      </c>
      <c r="I534" s="2281"/>
      <c r="J534" s="2282"/>
      <c r="K534" s="2283" t="s">
        <v>4964</v>
      </c>
      <c r="L534" s="2282"/>
      <c r="M534" s="1909" t="e">
        <f>VLOOKUP(K534,'Estimate Details'!$R:$BR,20,FALSE)</f>
        <v>#N/A</v>
      </c>
      <c r="N534" s="1909" t="e">
        <f>VLOOKUP(M534,#REF!,2,FALSE)</f>
        <v>#N/A</v>
      </c>
      <c r="O534" s="1909" t="s">
        <v>4965</v>
      </c>
      <c r="P534" s="2284" t="s">
        <v>4907</v>
      </c>
      <c r="Q534" s="2281"/>
      <c r="R534" s="2282"/>
      <c r="S534" s="1909" t="s">
        <v>3688</v>
      </c>
      <c r="T534" s="1909" t="s">
        <v>3689</v>
      </c>
      <c r="U534" s="1909" t="s">
        <v>3707</v>
      </c>
      <c r="V534" s="1909" t="s">
        <v>4176</v>
      </c>
      <c r="W534" s="1909" t="s">
        <v>3688</v>
      </c>
      <c r="X534" s="1909"/>
      <c r="Y534" s="1909"/>
      <c r="Z534" s="1909"/>
      <c r="AA534" s="1909" t="s">
        <v>3694</v>
      </c>
      <c r="AB534" s="1909" t="s">
        <v>3688</v>
      </c>
      <c r="AC534" s="1909" t="s">
        <v>4918</v>
      </c>
      <c r="AD534" s="2283" t="s">
        <v>4966</v>
      </c>
      <c r="AE534" s="2281"/>
      <c r="AF534" s="2282"/>
      <c r="AG534" s="2283" t="s">
        <v>3696</v>
      </c>
      <c r="AH534" s="2281"/>
      <c r="AI534" s="2282"/>
      <c r="AJ534" s="1909" t="s">
        <v>4910</v>
      </c>
      <c r="AK534" s="2283" t="s">
        <v>3688</v>
      </c>
      <c r="AL534" s="2281"/>
      <c r="AM534" s="2259"/>
      <c r="AN534" s="2281"/>
      <c r="AO534" s="2282"/>
      <c r="AP534" s="1909" t="s">
        <v>3716</v>
      </c>
      <c r="BC534" s="214"/>
      <c r="BD534" s="214"/>
      <c r="BE534" s="214"/>
      <c r="BF534" s="214"/>
    </row>
    <row r="535" spans="1:58" ht="45" hidden="1" customHeight="1">
      <c r="B535" s="2277"/>
      <c r="C535" s="2259"/>
      <c r="D535" s="2260"/>
      <c r="E535" s="1908" t="s">
        <v>3682</v>
      </c>
      <c r="F535" s="1908" t="s">
        <v>4458</v>
      </c>
      <c r="G535" s="1908"/>
      <c r="H535" s="2278" t="s">
        <v>4904</v>
      </c>
      <c r="I535" s="2259"/>
      <c r="J535" s="2260"/>
      <c r="K535" s="2278" t="s">
        <v>4967</v>
      </c>
      <c r="L535" s="2260"/>
      <c r="M535" s="1908" t="e">
        <f>VLOOKUP(K535,'Estimate Details'!$R:$BR,20,FALSE)</f>
        <v>#N/A</v>
      </c>
      <c r="N535" s="1908" t="e">
        <f>VLOOKUP(M535,#REF!,2,FALSE)</f>
        <v>#N/A</v>
      </c>
      <c r="O535" s="1908" t="s">
        <v>4968</v>
      </c>
      <c r="P535" s="2278" t="s">
        <v>4907</v>
      </c>
      <c r="Q535" s="2259"/>
      <c r="R535" s="2260"/>
      <c r="S535" s="1908" t="s">
        <v>3688</v>
      </c>
      <c r="T535" s="1908" t="s">
        <v>3689</v>
      </c>
      <c r="U535" s="1908" t="s">
        <v>3707</v>
      </c>
      <c r="V535" s="1908" t="s">
        <v>4176</v>
      </c>
      <c r="W535" s="1908" t="s">
        <v>3688</v>
      </c>
      <c r="X535" s="1908"/>
      <c r="Y535" s="1908"/>
      <c r="Z535" s="1908"/>
      <c r="AA535" s="1908" t="s">
        <v>3694</v>
      </c>
      <c r="AB535" s="1908" t="s">
        <v>3688</v>
      </c>
      <c r="AC535" s="1908" t="s">
        <v>4969</v>
      </c>
      <c r="AD535" s="2278" t="s">
        <v>4970</v>
      </c>
      <c r="AE535" s="2259"/>
      <c r="AF535" s="2260"/>
      <c r="AG535" s="2278" t="s">
        <v>3696</v>
      </c>
      <c r="AH535" s="2259"/>
      <c r="AI535" s="2260"/>
      <c r="AJ535" s="1908" t="s">
        <v>4910</v>
      </c>
      <c r="AK535" s="2278" t="s">
        <v>3688</v>
      </c>
      <c r="AL535" s="2259"/>
      <c r="AM535" s="2259"/>
      <c r="AN535" s="2259"/>
      <c r="AO535" s="2260"/>
      <c r="AP535" s="1908" t="s">
        <v>3716</v>
      </c>
      <c r="BC535" s="214"/>
      <c r="BD535" s="214"/>
      <c r="BE535" s="214"/>
      <c r="BF535" s="214"/>
    </row>
    <row r="536" spans="1:58" ht="45" hidden="1" customHeight="1">
      <c r="A536" s="808"/>
      <c r="B536" s="2280"/>
      <c r="C536" s="2281"/>
      <c r="D536" s="2282"/>
      <c r="E536" s="1909" t="s">
        <v>3682</v>
      </c>
      <c r="F536" s="1909" t="s">
        <v>4458</v>
      </c>
      <c r="G536" s="1909"/>
      <c r="H536" s="2283" t="s">
        <v>4904</v>
      </c>
      <c r="I536" s="2281"/>
      <c r="J536" s="2282"/>
      <c r="K536" s="2283" t="s">
        <v>4971</v>
      </c>
      <c r="L536" s="2282"/>
      <c r="M536" s="1909" t="e">
        <f>VLOOKUP(K536,'Estimate Details'!$R:$BR,20,FALSE)</f>
        <v>#N/A</v>
      </c>
      <c r="N536" s="1909" t="e">
        <f>VLOOKUP(M536,#REF!,2,FALSE)</f>
        <v>#N/A</v>
      </c>
      <c r="O536" s="1909" t="s">
        <v>4972</v>
      </c>
      <c r="P536" s="2284" t="s">
        <v>4907</v>
      </c>
      <c r="Q536" s="2281"/>
      <c r="R536" s="2282"/>
      <c r="S536" s="1909" t="s">
        <v>3688</v>
      </c>
      <c r="T536" s="1909" t="s">
        <v>3689</v>
      </c>
      <c r="U536" s="1909" t="s">
        <v>3707</v>
      </c>
      <c r="V536" s="1909" t="s">
        <v>4176</v>
      </c>
      <c r="W536" s="1909" t="s">
        <v>3688</v>
      </c>
      <c r="X536" s="1909"/>
      <c r="Y536" s="1909"/>
      <c r="Z536" s="1909"/>
      <c r="AA536" s="1909" t="s">
        <v>3694</v>
      </c>
      <c r="AB536" s="1909" t="s">
        <v>3688</v>
      </c>
      <c r="AC536" s="1909" t="s">
        <v>4973</v>
      </c>
      <c r="AD536" s="2283" t="s">
        <v>3688</v>
      </c>
      <c r="AE536" s="2281"/>
      <c r="AF536" s="2282"/>
      <c r="AG536" s="2283" t="s">
        <v>3696</v>
      </c>
      <c r="AH536" s="2281"/>
      <c r="AI536" s="2282"/>
      <c r="AJ536" s="1909" t="s">
        <v>4910</v>
      </c>
      <c r="AK536" s="2283" t="s">
        <v>3688</v>
      </c>
      <c r="AL536" s="2281"/>
      <c r="AM536" s="2259"/>
      <c r="AN536" s="2281"/>
      <c r="AO536" s="2282"/>
      <c r="AP536" s="1909" t="s">
        <v>3716</v>
      </c>
      <c r="BC536" s="214"/>
      <c r="BD536" s="214"/>
      <c r="BE536" s="214"/>
      <c r="BF536" s="214"/>
    </row>
    <row r="537" spans="1:58" ht="45" hidden="1" customHeight="1">
      <c r="B537" s="2277"/>
      <c r="C537" s="2259"/>
      <c r="D537" s="2260"/>
      <c r="E537" s="1908" t="s">
        <v>3682</v>
      </c>
      <c r="F537" s="1908" t="s">
        <v>4458</v>
      </c>
      <c r="G537" s="1908"/>
      <c r="H537" s="2278" t="s">
        <v>4904</v>
      </c>
      <c r="I537" s="2259"/>
      <c r="J537" s="2260"/>
      <c r="K537" s="2278" t="s">
        <v>4974</v>
      </c>
      <c r="L537" s="2260"/>
      <c r="M537" s="1908" t="e">
        <f>VLOOKUP(K537,'Estimate Details'!$R:$BR,20,FALSE)</f>
        <v>#N/A</v>
      </c>
      <c r="N537" s="1908" t="e">
        <f>VLOOKUP(M537,#REF!,2,FALSE)</f>
        <v>#N/A</v>
      </c>
      <c r="O537" s="1908" t="s">
        <v>4975</v>
      </c>
      <c r="P537" s="2278" t="s">
        <v>4907</v>
      </c>
      <c r="Q537" s="2259"/>
      <c r="R537" s="2260"/>
      <c r="S537" s="1908" t="s">
        <v>3688</v>
      </c>
      <c r="T537" s="1908" t="s">
        <v>3689</v>
      </c>
      <c r="U537" s="1908" t="s">
        <v>3707</v>
      </c>
      <c r="V537" s="1908" t="s">
        <v>4176</v>
      </c>
      <c r="W537" s="1908" t="s">
        <v>3688</v>
      </c>
      <c r="X537" s="1908"/>
      <c r="Y537" s="1908"/>
      <c r="Z537" s="1908"/>
      <c r="AA537" s="1908" t="s">
        <v>3694</v>
      </c>
      <c r="AB537" s="1908" t="s">
        <v>3688</v>
      </c>
      <c r="AC537" s="1908" t="s">
        <v>4976</v>
      </c>
      <c r="AD537" s="2278" t="s">
        <v>4977</v>
      </c>
      <c r="AE537" s="2259"/>
      <c r="AF537" s="2260"/>
      <c r="AG537" s="2278" t="s">
        <v>3696</v>
      </c>
      <c r="AH537" s="2259"/>
      <c r="AI537" s="2260"/>
      <c r="AJ537" s="1908" t="s">
        <v>4910</v>
      </c>
      <c r="AK537" s="2278" t="s">
        <v>3688</v>
      </c>
      <c r="AL537" s="2259"/>
      <c r="AM537" s="2259"/>
      <c r="AN537" s="2259"/>
      <c r="AO537" s="2260"/>
      <c r="AP537" s="1908" t="s">
        <v>3716</v>
      </c>
      <c r="BC537" s="214"/>
      <c r="BD537" s="214"/>
      <c r="BE537" s="214"/>
      <c r="BF537" s="214"/>
    </row>
    <row r="538" spans="1:58" ht="45" hidden="1" customHeight="1">
      <c r="A538" s="808"/>
      <c r="B538" s="2280"/>
      <c r="C538" s="2281"/>
      <c r="D538" s="2282"/>
      <c r="E538" s="1909" t="s">
        <v>3682</v>
      </c>
      <c r="F538" s="1909" t="s">
        <v>4458</v>
      </c>
      <c r="G538" s="1909"/>
      <c r="H538" s="2283" t="s">
        <v>4904</v>
      </c>
      <c r="I538" s="2281"/>
      <c r="J538" s="2282"/>
      <c r="K538" s="2283" t="s">
        <v>4978</v>
      </c>
      <c r="L538" s="2282"/>
      <c r="M538" s="1909" t="e">
        <f>VLOOKUP(K538,'Estimate Details'!$R:$BR,20,FALSE)</f>
        <v>#N/A</v>
      </c>
      <c r="N538" s="1909" t="e">
        <f>VLOOKUP(M538,#REF!,2,FALSE)</f>
        <v>#N/A</v>
      </c>
      <c r="O538" s="1909" t="s">
        <v>4979</v>
      </c>
      <c r="P538" s="2284" t="s">
        <v>4907</v>
      </c>
      <c r="Q538" s="2281"/>
      <c r="R538" s="2282"/>
      <c r="S538" s="1909" t="s">
        <v>3688</v>
      </c>
      <c r="T538" s="1909" t="s">
        <v>3689</v>
      </c>
      <c r="U538" s="1909" t="s">
        <v>3707</v>
      </c>
      <c r="V538" s="1909" t="s">
        <v>4176</v>
      </c>
      <c r="W538" s="1909" t="s">
        <v>3688</v>
      </c>
      <c r="X538" s="1909"/>
      <c r="Y538" s="1909"/>
      <c r="Z538" s="1909"/>
      <c r="AA538" s="1909" t="s">
        <v>3694</v>
      </c>
      <c r="AB538" s="1909" t="s">
        <v>3688</v>
      </c>
      <c r="AC538" s="1909" t="s">
        <v>4980</v>
      </c>
      <c r="AD538" s="2283" t="s">
        <v>4981</v>
      </c>
      <c r="AE538" s="2281"/>
      <c r="AF538" s="2282"/>
      <c r="AG538" s="2283" t="s">
        <v>3696</v>
      </c>
      <c r="AH538" s="2281"/>
      <c r="AI538" s="2282"/>
      <c r="AJ538" s="1909" t="s">
        <v>4910</v>
      </c>
      <c r="AK538" s="2283" t="s">
        <v>3688</v>
      </c>
      <c r="AL538" s="2281"/>
      <c r="AM538" s="2259"/>
      <c r="AN538" s="2281"/>
      <c r="AO538" s="2282"/>
      <c r="AP538" s="1909" t="s">
        <v>3716</v>
      </c>
      <c r="BC538" s="214"/>
      <c r="BD538" s="214"/>
      <c r="BE538" s="214"/>
      <c r="BF538" s="214"/>
    </row>
    <row r="539" spans="1:58" ht="45" hidden="1" customHeight="1">
      <c r="B539" s="2277"/>
      <c r="C539" s="2259"/>
      <c r="D539" s="2260"/>
      <c r="E539" s="1908" t="s">
        <v>3682</v>
      </c>
      <c r="F539" s="1908" t="s">
        <v>4458</v>
      </c>
      <c r="G539" s="1908"/>
      <c r="H539" s="2278" t="s">
        <v>4982</v>
      </c>
      <c r="I539" s="2259"/>
      <c r="J539" s="2260"/>
      <c r="K539" s="2278" t="s">
        <v>4983</v>
      </c>
      <c r="L539" s="2260"/>
      <c r="M539" s="1908" t="e">
        <f>VLOOKUP(K539,'Estimate Details'!$R:$BR,20,FALSE)</f>
        <v>#N/A</v>
      </c>
      <c r="N539" s="1908" t="e">
        <f>VLOOKUP(M539,#REF!,2,FALSE)</f>
        <v>#N/A</v>
      </c>
      <c r="O539" s="1908" t="s">
        <v>4135</v>
      </c>
      <c r="P539" s="2278" t="s">
        <v>3687</v>
      </c>
      <c r="Q539" s="2259"/>
      <c r="R539" s="2260"/>
      <c r="S539" s="1908" t="s">
        <v>3688</v>
      </c>
      <c r="T539" s="1908" t="s">
        <v>3706</v>
      </c>
      <c r="U539" s="1908" t="s">
        <v>3690</v>
      </c>
      <c r="V539" s="1908" t="s">
        <v>3691</v>
      </c>
      <c r="W539" s="1908" t="s">
        <v>3688</v>
      </c>
      <c r="X539" s="1908" t="s">
        <v>4984</v>
      </c>
      <c r="Y539" s="1908" t="s">
        <v>3693</v>
      </c>
      <c r="Z539" s="1908"/>
      <c r="AA539" s="1908" t="s">
        <v>3694</v>
      </c>
      <c r="AB539" s="1908" t="s">
        <v>1</v>
      </c>
      <c r="AC539" s="1908" t="s">
        <v>3696</v>
      </c>
      <c r="AD539" s="2278" t="s">
        <v>4985</v>
      </c>
      <c r="AE539" s="2259"/>
      <c r="AF539" s="2260"/>
      <c r="AG539" s="2278" t="s">
        <v>3696</v>
      </c>
      <c r="AH539" s="2259"/>
      <c r="AI539" s="2260"/>
      <c r="AJ539" s="1908" t="s">
        <v>3884</v>
      </c>
      <c r="AK539" s="2278" t="s">
        <v>4986</v>
      </c>
      <c r="AL539" s="2259"/>
      <c r="AM539" s="2259"/>
      <c r="AN539" s="2259"/>
      <c r="AO539" s="2260"/>
      <c r="AP539" s="1908" t="s">
        <v>3699</v>
      </c>
      <c r="BC539" s="214"/>
      <c r="BD539" s="214"/>
      <c r="BE539" s="214"/>
      <c r="BF539" s="214"/>
    </row>
    <row r="540" spans="1:58" ht="45" hidden="1" customHeight="1">
      <c r="A540" s="808"/>
      <c r="B540" s="2280"/>
      <c r="C540" s="2281"/>
      <c r="D540" s="2282"/>
      <c r="E540" s="1909" t="s">
        <v>3682</v>
      </c>
      <c r="F540" s="1909" t="s">
        <v>4458</v>
      </c>
      <c r="G540" s="1909"/>
      <c r="H540" s="2283" t="s">
        <v>4982</v>
      </c>
      <c r="I540" s="2281"/>
      <c r="J540" s="2282"/>
      <c r="K540" s="2283" t="s">
        <v>4987</v>
      </c>
      <c r="L540" s="2282"/>
      <c r="M540" s="1909" t="e">
        <f>VLOOKUP(K540,'Estimate Details'!$R:$BR,20,FALSE)</f>
        <v>#N/A</v>
      </c>
      <c r="N540" s="1909" t="e">
        <f>VLOOKUP(M540,#REF!,2,FALSE)</f>
        <v>#N/A</v>
      </c>
      <c r="O540" s="1909" t="s">
        <v>4139</v>
      </c>
      <c r="P540" s="2284" t="s">
        <v>3687</v>
      </c>
      <c r="Q540" s="2281"/>
      <c r="R540" s="2282"/>
      <c r="S540" s="1909" t="s">
        <v>3688</v>
      </c>
      <c r="T540" s="1909" t="s">
        <v>3706</v>
      </c>
      <c r="U540" s="1909" t="s">
        <v>3690</v>
      </c>
      <c r="V540" s="1909" t="s">
        <v>3691</v>
      </c>
      <c r="W540" s="1909" t="s">
        <v>3688</v>
      </c>
      <c r="X540" s="1909" t="s">
        <v>4988</v>
      </c>
      <c r="Y540" s="1909" t="s">
        <v>4989</v>
      </c>
      <c r="Z540" s="1909"/>
      <c r="AA540" s="1909" t="s">
        <v>3694</v>
      </c>
      <c r="AB540" s="1909" t="s">
        <v>4990</v>
      </c>
      <c r="AC540" s="1909" t="s">
        <v>3696</v>
      </c>
      <c r="AD540" s="2283" t="s">
        <v>4991</v>
      </c>
      <c r="AE540" s="2281"/>
      <c r="AF540" s="2282"/>
      <c r="AG540" s="2283" t="s">
        <v>3696</v>
      </c>
      <c r="AH540" s="2281"/>
      <c r="AI540" s="2282"/>
      <c r="AJ540" s="1909" t="s">
        <v>3884</v>
      </c>
      <c r="AK540" s="2283" t="s">
        <v>4992</v>
      </c>
      <c r="AL540" s="2281"/>
      <c r="AM540" s="2259"/>
      <c r="AN540" s="2281"/>
      <c r="AO540" s="2282"/>
      <c r="AP540" s="1909" t="s">
        <v>3699</v>
      </c>
      <c r="BC540" s="214"/>
      <c r="BD540" s="214"/>
      <c r="BE540" s="214"/>
      <c r="BF540" s="214"/>
    </row>
    <row r="541" spans="1:58" ht="45" hidden="1" customHeight="1">
      <c r="B541" s="2277"/>
      <c r="C541" s="2259"/>
      <c r="D541" s="2260"/>
      <c r="E541" s="1908" t="s">
        <v>3682</v>
      </c>
      <c r="F541" s="1908" t="s">
        <v>4458</v>
      </c>
      <c r="G541" s="1908"/>
      <c r="H541" s="2278" t="s">
        <v>4982</v>
      </c>
      <c r="I541" s="2259"/>
      <c r="J541" s="2260"/>
      <c r="K541" s="2278" t="s">
        <v>4993</v>
      </c>
      <c r="L541" s="2260"/>
      <c r="M541" s="1908" t="e">
        <f>VLOOKUP(K541,'Estimate Details'!$R:$BR,20,FALSE)</f>
        <v>#N/A</v>
      </c>
      <c r="N541" s="1908" t="e">
        <f>VLOOKUP(M541,#REF!,2,FALSE)</f>
        <v>#N/A</v>
      </c>
      <c r="O541" s="1908" t="s">
        <v>4994</v>
      </c>
      <c r="P541" s="2278" t="s">
        <v>3687</v>
      </c>
      <c r="Q541" s="2259"/>
      <c r="R541" s="2260"/>
      <c r="S541" s="1908" t="s">
        <v>3688</v>
      </c>
      <c r="T541" s="1908" t="s">
        <v>3706</v>
      </c>
      <c r="U541" s="1908" t="s">
        <v>3690</v>
      </c>
      <c r="V541" s="1908" t="s">
        <v>3691</v>
      </c>
      <c r="W541" s="1908" t="s">
        <v>3688</v>
      </c>
      <c r="X541" s="1908" t="s">
        <v>4995</v>
      </c>
      <c r="Y541" s="1908" t="s">
        <v>4996</v>
      </c>
      <c r="Z541" s="1908"/>
      <c r="AA541" s="1908" t="s">
        <v>3694</v>
      </c>
      <c r="AB541" s="1908" t="s">
        <v>3688</v>
      </c>
      <c r="AC541" s="1908" t="s">
        <v>3696</v>
      </c>
      <c r="AD541" s="2278" t="s">
        <v>4997</v>
      </c>
      <c r="AE541" s="2259"/>
      <c r="AF541" s="2260"/>
      <c r="AG541" s="2278" t="s">
        <v>3696</v>
      </c>
      <c r="AH541" s="2259"/>
      <c r="AI541" s="2260"/>
      <c r="AJ541" s="1908" t="s">
        <v>3884</v>
      </c>
      <c r="AK541" s="2278" t="s">
        <v>4998</v>
      </c>
      <c r="AL541" s="2259"/>
      <c r="AM541" s="2259"/>
      <c r="AN541" s="2259"/>
      <c r="AO541" s="2260"/>
      <c r="AP541" s="1908" t="s">
        <v>3699</v>
      </c>
      <c r="BC541" s="214"/>
      <c r="BD541" s="214"/>
      <c r="BE541" s="214"/>
      <c r="BF541" s="214"/>
    </row>
    <row r="542" spans="1:58" ht="45" hidden="1" customHeight="1">
      <c r="A542" s="808"/>
      <c r="B542" s="2280"/>
      <c r="C542" s="2281"/>
      <c r="D542" s="2282"/>
      <c r="E542" s="1909" t="s">
        <v>3682</v>
      </c>
      <c r="F542" s="1909" t="s">
        <v>4458</v>
      </c>
      <c r="G542" s="1909"/>
      <c r="H542" s="2283" t="s">
        <v>4982</v>
      </c>
      <c r="I542" s="2281"/>
      <c r="J542" s="2282"/>
      <c r="K542" s="2283" t="s">
        <v>4999</v>
      </c>
      <c r="L542" s="2282"/>
      <c r="M542" s="1909" t="e">
        <f>VLOOKUP(K542,'Estimate Details'!$R:$BR,20,FALSE)</f>
        <v>#N/A</v>
      </c>
      <c r="N542" s="1909" t="e">
        <f>VLOOKUP(M542,#REF!,2,FALSE)</f>
        <v>#N/A</v>
      </c>
      <c r="O542" s="1909" t="s">
        <v>4146</v>
      </c>
      <c r="P542" s="2284" t="s">
        <v>4130</v>
      </c>
      <c r="Q542" s="2281"/>
      <c r="R542" s="2282"/>
      <c r="S542" s="1909" t="s">
        <v>3688</v>
      </c>
      <c r="T542" s="1909" t="s">
        <v>3689</v>
      </c>
      <c r="U542" s="1909" t="s">
        <v>3690</v>
      </c>
      <c r="V542" s="1909" t="s">
        <v>4147</v>
      </c>
      <c r="W542" s="1909" t="s">
        <v>3688</v>
      </c>
      <c r="X542" s="1909" t="s">
        <v>4148</v>
      </c>
      <c r="Y542" s="1909"/>
      <c r="Z542" s="1909"/>
      <c r="AA542" s="1909" t="s">
        <v>3694</v>
      </c>
      <c r="AB542" s="1909" t="s">
        <v>4149</v>
      </c>
      <c r="AC542" s="1909" t="s">
        <v>4150</v>
      </c>
      <c r="AD542" s="2283" t="s">
        <v>4151</v>
      </c>
      <c r="AE542" s="2281"/>
      <c r="AF542" s="2282"/>
      <c r="AG542" s="2283" t="s">
        <v>4878</v>
      </c>
      <c r="AH542" s="2281"/>
      <c r="AI542" s="2282"/>
      <c r="AJ542" s="1909" t="s">
        <v>4153</v>
      </c>
      <c r="AK542" s="2283" t="s">
        <v>4154</v>
      </c>
      <c r="AL542" s="2281"/>
      <c r="AM542" s="2259"/>
      <c r="AN542" s="2281"/>
      <c r="AO542" s="2282"/>
      <c r="AP542" s="1909" t="s">
        <v>3699</v>
      </c>
      <c r="BC542" s="214"/>
      <c r="BD542" s="214"/>
      <c r="BE542" s="214"/>
      <c r="BF542" s="214"/>
    </row>
    <row r="543" spans="1:58" ht="45" hidden="1" customHeight="1">
      <c r="B543" s="2277"/>
      <c r="C543" s="2259"/>
      <c r="D543" s="2260"/>
      <c r="E543" s="1908" t="s">
        <v>3682</v>
      </c>
      <c r="F543" s="1910" t="s">
        <v>3688</v>
      </c>
      <c r="G543" s="1910"/>
      <c r="H543" s="2285" t="s">
        <v>4982</v>
      </c>
      <c r="I543" s="2259"/>
      <c r="J543" s="2260"/>
      <c r="K543" s="2285" t="s">
        <v>5000</v>
      </c>
      <c r="L543" s="2260"/>
      <c r="M543" s="1910" t="e">
        <f>VLOOKUP(K543,'Estimate Details'!$R:$BR,20,FALSE)</f>
        <v>#N/A</v>
      </c>
      <c r="N543" s="1910" t="e">
        <f>VLOOKUP(M543,#REF!,2,FALSE)</f>
        <v>#N/A</v>
      </c>
      <c r="O543" s="1910" t="s">
        <v>4156</v>
      </c>
      <c r="P543" s="2285" t="s">
        <v>3688</v>
      </c>
      <c r="Q543" s="2259"/>
      <c r="R543" s="2260"/>
      <c r="S543" s="1910" t="s">
        <v>5001</v>
      </c>
      <c r="T543" s="1910" t="s">
        <v>3689</v>
      </c>
      <c r="U543" s="1910" t="s">
        <v>3688</v>
      </c>
      <c r="V543" s="1910" t="s">
        <v>3688</v>
      </c>
      <c r="W543" s="1910" t="s">
        <v>3688</v>
      </c>
      <c r="X543" s="1910"/>
      <c r="Y543" s="1910"/>
      <c r="Z543" s="1910"/>
      <c r="AA543" s="1910" t="s">
        <v>3694</v>
      </c>
      <c r="AB543" s="1910" t="s">
        <v>3688</v>
      </c>
      <c r="AC543" s="1910" t="s">
        <v>4105</v>
      </c>
      <c r="AD543" s="2285" t="s">
        <v>3688</v>
      </c>
      <c r="AE543" s="2259"/>
      <c r="AF543" s="2260"/>
      <c r="AG543" s="2285" t="s">
        <v>3696</v>
      </c>
      <c r="AH543" s="2259"/>
      <c r="AI543" s="2260"/>
      <c r="AJ543" s="1910" t="s">
        <v>4158</v>
      </c>
      <c r="AK543" s="2285" t="s">
        <v>3688</v>
      </c>
      <c r="AL543" s="2259"/>
      <c r="AM543" s="2259"/>
      <c r="AN543" s="2259"/>
      <c r="AO543" s="2260"/>
      <c r="AP543" s="1910" t="s">
        <v>3688</v>
      </c>
      <c r="BC543" s="214"/>
      <c r="BD543" s="214"/>
      <c r="BE543" s="214"/>
      <c r="BF543" s="214"/>
    </row>
    <row r="544" spans="1:58" ht="45" hidden="1" customHeight="1">
      <c r="A544" s="808"/>
      <c r="B544" s="2280"/>
      <c r="C544" s="2281"/>
      <c r="D544" s="2282"/>
      <c r="E544" s="1909" t="s">
        <v>3682</v>
      </c>
      <c r="F544" s="1909" t="s">
        <v>4458</v>
      </c>
      <c r="G544" s="1909"/>
      <c r="H544" s="2283" t="s">
        <v>4982</v>
      </c>
      <c r="I544" s="2281"/>
      <c r="J544" s="2282"/>
      <c r="K544" s="2283" t="s">
        <v>5002</v>
      </c>
      <c r="L544" s="2282"/>
      <c r="M544" s="1909" t="e">
        <f>VLOOKUP(K544,'Estimate Details'!$R:$BR,20,FALSE)</f>
        <v>#N/A</v>
      </c>
      <c r="N544" s="1909" t="e">
        <f>VLOOKUP(M544,#REF!,2,FALSE)</f>
        <v>#N/A</v>
      </c>
      <c r="O544" s="1909" t="s">
        <v>5003</v>
      </c>
      <c r="P544" s="2284" t="s">
        <v>4130</v>
      </c>
      <c r="Q544" s="2281"/>
      <c r="R544" s="2282"/>
      <c r="S544" s="1909" t="s">
        <v>3688</v>
      </c>
      <c r="T544" s="1909" t="s">
        <v>3689</v>
      </c>
      <c r="U544" s="1909" t="s">
        <v>3707</v>
      </c>
      <c r="V544" s="1909" t="s">
        <v>4147</v>
      </c>
      <c r="W544" s="1909" t="s">
        <v>3688</v>
      </c>
      <c r="X544" s="1909"/>
      <c r="Y544" s="1909"/>
      <c r="Z544" s="1909"/>
      <c r="AA544" s="1909" t="s">
        <v>3694</v>
      </c>
      <c r="AB544" s="1909" t="s">
        <v>4161</v>
      </c>
      <c r="AC544" s="1909" t="s">
        <v>4150</v>
      </c>
      <c r="AD544" s="2283" t="s">
        <v>4162</v>
      </c>
      <c r="AE544" s="2281"/>
      <c r="AF544" s="2282"/>
      <c r="AG544" s="2283" t="s">
        <v>3696</v>
      </c>
      <c r="AH544" s="2281"/>
      <c r="AI544" s="2282"/>
      <c r="AJ544" s="1909" t="s">
        <v>4163</v>
      </c>
      <c r="AK544" s="2283" t="s">
        <v>4164</v>
      </c>
      <c r="AL544" s="2281"/>
      <c r="AM544" s="2259"/>
      <c r="AN544" s="2281"/>
      <c r="AO544" s="2282"/>
      <c r="AP544" s="1909" t="s">
        <v>3699</v>
      </c>
      <c r="BC544" s="214"/>
      <c r="BD544" s="214"/>
      <c r="BE544" s="214"/>
      <c r="BF544" s="214"/>
    </row>
    <row r="545" spans="1:58" ht="45" hidden="1" customHeight="1">
      <c r="B545" s="2277"/>
      <c r="C545" s="2259"/>
      <c r="D545" s="2260"/>
      <c r="E545" s="1908" t="s">
        <v>3682</v>
      </c>
      <c r="F545" s="1910" t="s">
        <v>3688</v>
      </c>
      <c r="G545" s="1910"/>
      <c r="H545" s="2285" t="s">
        <v>4982</v>
      </c>
      <c r="I545" s="2259"/>
      <c r="J545" s="2260"/>
      <c r="K545" s="2285" t="s">
        <v>5004</v>
      </c>
      <c r="L545" s="2260"/>
      <c r="M545" s="1910" t="e">
        <f>VLOOKUP(K545,'Estimate Details'!$R:$BR,20,FALSE)</f>
        <v>#N/A</v>
      </c>
      <c r="N545" s="1910" t="e">
        <f>VLOOKUP(M545,#REF!,2,FALSE)</f>
        <v>#N/A</v>
      </c>
      <c r="O545" s="1910" t="s">
        <v>4166</v>
      </c>
      <c r="P545" s="2285" t="s">
        <v>3688</v>
      </c>
      <c r="Q545" s="2259"/>
      <c r="R545" s="2260"/>
      <c r="S545" s="1910" t="s">
        <v>5005</v>
      </c>
      <c r="T545" s="1910" t="s">
        <v>3689</v>
      </c>
      <c r="U545" s="1910" t="s">
        <v>3688</v>
      </c>
      <c r="V545" s="1910" t="s">
        <v>3688</v>
      </c>
      <c r="W545" s="1910" t="s">
        <v>3688</v>
      </c>
      <c r="X545" s="1910"/>
      <c r="Y545" s="1910"/>
      <c r="Z545" s="1910"/>
      <c r="AA545" s="1910" t="s">
        <v>3694</v>
      </c>
      <c r="AB545" s="1910" t="s">
        <v>3688</v>
      </c>
      <c r="AC545" s="1910" t="s">
        <v>4105</v>
      </c>
      <c r="AD545" s="2285" t="s">
        <v>3688</v>
      </c>
      <c r="AE545" s="2259"/>
      <c r="AF545" s="2260"/>
      <c r="AG545" s="2285" t="s">
        <v>3696</v>
      </c>
      <c r="AH545" s="2259"/>
      <c r="AI545" s="2260"/>
      <c r="AJ545" s="1910" t="s">
        <v>4168</v>
      </c>
      <c r="AK545" s="2285" t="s">
        <v>3688</v>
      </c>
      <c r="AL545" s="2259"/>
      <c r="AM545" s="2259"/>
      <c r="AN545" s="2259"/>
      <c r="AO545" s="2260"/>
      <c r="AP545" s="1910" t="s">
        <v>3688</v>
      </c>
      <c r="BC545" s="214"/>
      <c r="BD545" s="214"/>
      <c r="BE545" s="214"/>
      <c r="BF545" s="214"/>
    </row>
    <row r="546" spans="1:58" ht="45" hidden="1" customHeight="1">
      <c r="A546" s="808"/>
      <c r="B546" s="2280"/>
      <c r="C546" s="2281"/>
      <c r="D546" s="2282"/>
      <c r="E546" s="1909" t="s">
        <v>3682</v>
      </c>
      <c r="F546" s="1909" t="s">
        <v>4458</v>
      </c>
      <c r="G546" s="1909"/>
      <c r="H546" s="2283" t="s">
        <v>4982</v>
      </c>
      <c r="I546" s="2281"/>
      <c r="J546" s="2282"/>
      <c r="K546" s="2283" t="s">
        <v>5006</v>
      </c>
      <c r="L546" s="2282"/>
      <c r="M546" s="1909" t="e">
        <f>VLOOKUP(K546,'Estimate Details'!$R:$BR,20,FALSE)</f>
        <v>#N/A</v>
      </c>
      <c r="N546" s="1909" t="e">
        <f>VLOOKUP(M546,#REF!,2,FALSE)</f>
        <v>#N/A</v>
      </c>
      <c r="O546" s="1909" t="s">
        <v>5007</v>
      </c>
      <c r="P546" s="2284" t="s">
        <v>4130</v>
      </c>
      <c r="Q546" s="2281"/>
      <c r="R546" s="2282"/>
      <c r="S546" s="1909" t="s">
        <v>3688</v>
      </c>
      <c r="T546" s="1909" t="s">
        <v>3689</v>
      </c>
      <c r="U546" s="1909" t="s">
        <v>3707</v>
      </c>
      <c r="V546" s="1909" t="s">
        <v>4147</v>
      </c>
      <c r="W546" s="1909" t="s">
        <v>3688</v>
      </c>
      <c r="X546" s="1909"/>
      <c r="Y546" s="1909"/>
      <c r="Z546" s="1909"/>
      <c r="AA546" s="1909" t="s">
        <v>3694</v>
      </c>
      <c r="AB546" s="1909" t="s">
        <v>4161</v>
      </c>
      <c r="AC546" s="1909" t="s">
        <v>4150</v>
      </c>
      <c r="AD546" s="2283" t="s">
        <v>4162</v>
      </c>
      <c r="AE546" s="2281"/>
      <c r="AF546" s="2282"/>
      <c r="AG546" s="2283" t="s">
        <v>3696</v>
      </c>
      <c r="AH546" s="2281"/>
      <c r="AI546" s="2282"/>
      <c r="AJ546" s="1909" t="s">
        <v>4163</v>
      </c>
      <c r="AK546" s="2283" t="s">
        <v>4164</v>
      </c>
      <c r="AL546" s="2281"/>
      <c r="AM546" s="2259"/>
      <c r="AN546" s="2281"/>
      <c r="AO546" s="2282"/>
      <c r="AP546" s="1909" t="s">
        <v>3699</v>
      </c>
      <c r="BC546" s="214"/>
      <c r="BD546" s="214"/>
      <c r="BE546" s="214"/>
      <c r="BF546" s="214"/>
    </row>
    <row r="547" spans="1:58" ht="45" hidden="1" customHeight="1">
      <c r="B547" s="2277"/>
      <c r="C547" s="2259"/>
      <c r="D547" s="2260"/>
      <c r="E547" s="1908" t="s">
        <v>3682</v>
      </c>
      <c r="F547" s="1910" t="s">
        <v>3688</v>
      </c>
      <c r="G547" s="1910"/>
      <c r="H547" s="2285" t="s">
        <v>4982</v>
      </c>
      <c r="I547" s="2259"/>
      <c r="J547" s="2260"/>
      <c r="K547" s="2285" t="s">
        <v>5008</v>
      </c>
      <c r="L547" s="2260"/>
      <c r="M547" s="1910" t="e">
        <f>VLOOKUP(K547,'Estimate Details'!$R:$BR,20,FALSE)</f>
        <v>#N/A</v>
      </c>
      <c r="N547" s="1910" t="e">
        <f>VLOOKUP(M547,#REF!,2,FALSE)</f>
        <v>#N/A</v>
      </c>
      <c r="O547" s="1910" t="s">
        <v>4166</v>
      </c>
      <c r="P547" s="2285" t="s">
        <v>3688</v>
      </c>
      <c r="Q547" s="2259"/>
      <c r="R547" s="2260"/>
      <c r="S547" s="1910" t="s">
        <v>5009</v>
      </c>
      <c r="T547" s="1910" t="s">
        <v>3689</v>
      </c>
      <c r="U547" s="1910" t="s">
        <v>3688</v>
      </c>
      <c r="V547" s="1910" t="s">
        <v>3688</v>
      </c>
      <c r="W547" s="1910" t="s">
        <v>3688</v>
      </c>
      <c r="X547" s="1910"/>
      <c r="Y547" s="1910"/>
      <c r="Z547" s="1910"/>
      <c r="AA547" s="1910" t="s">
        <v>3694</v>
      </c>
      <c r="AB547" s="1910" t="s">
        <v>3688</v>
      </c>
      <c r="AC547" s="1910" t="s">
        <v>4105</v>
      </c>
      <c r="AD547" s="2285" t="s">
        <v>3688</v>
      </c>
      <c r="AE547" s="2259"/>
      <c r="AF547" s="2260"/>
      <c r="AG547" s="2285" t="s">
        <v>3696</v>
      </c>
      <c r="AH547" s="2259"/>
      <c r="AI547" s="2260"/>
      <c r="AJ547" s="1910" t="s">
        <v>4168</v>
      </c>
      <c r="AK547" s="2285" t="s">
        <v>3688</v>
      </c>
      <c r="AL547" s="2259"/>
      <c r="AM547" s="2259"/>
      <c r="AN547" s="2259"/>
      <c r="AO547" s="2260"/>
      <c r="AP547" s="1910" t="s">
        <v>3688</v>
      </c>
      <c r="BC547" s="214"/>
      <c r="BD547" s="214"/>
      <c r="BE547" s="214"/>
      <c r="BF547" s="214"/>
    </row>
    <row r="548" spans="1:58" ht="45" hidden="1" customHeight="1">
      <c r="A548" s="808"/>
      <c r="B548" s="2280"/>
      <c r="C548" s="2281"/>
      <c r="D548" s="2282"/>
      <c r="E548" s="1909" t="s">
        <v>3682</v>
      </c>
      <c r="F548" s="1909" t="s">
        <v>4458</v>
      </c>
      <c r="G548" s="1909"/>
      <c r="H548" s="2283" t="s">
        <v>4982</v>
      </c>
      <c r="I548" s="2281"/>
      <c r="J548" s="2282"/>
      <c r="K548" s="2283" t="s">
        <v>5010</v>
      </c>
      <c r="L548" s="2282"/>
      <c r="M548" s="1909" t="e">
        <f>VLOOKUP(K548,'Estimate Details'!$R:$BR,20,FALSE)</f>
        <v>#N/A</v>
      </c>
      <c r="N548" s="1909" t="e">
        <f>VLOOKUP(M548,#REF!,2,FALSE)</f>
        <v>#N/A</v>
      </c>
      <c r="O548" s="1909" t="s">
        <v>4174</v>
      </c>
      <c r="P548" s="2284" t="s">
        <v>4175</v>
      </c>
      <c r="Q548" s="2281"/>
      <c r="R548" s="2282"/>
      <c r="S548" s="1909" t="s">
        <v>3688</v>
      </c>
      <c r="T548" s="1909" t="s">
        <v>3689</v>
      </c>
      <c r="U548" s="1909" t="s">
        <v>3707</v>
      </c>
      <c r="V548" s="1909" t="s">
        <v>4176</v>
      </c>
      <c r="W548" s="1909" t="s">
        <v>3688</v>
      </c>
      <c r="X548" s="1909"/>
      <c r="Y548" s="1909"/>
      <c r="Z548" s="1909"/>
      <c r="AA548" s="1909" t="s">
        <v>3694</v>
      </c>
      <c r="AB548" s="1909" t="s">
        <v>3688</v>
      </c>
      <c r="AC548" s="1909" t="s">
        <v>3804</v>
      </c>
      <c r="AD548" s="2283" t="s">
        <v>4177</v>
      </c>
      <c r="AE548" s="2281"/>
      <c r="AF548" s="2282"/>
      <c r="AG548" s="2283" t="s">
        <v>3696</v>
      </c>
      <c r="AH548" s="2281"/>
      <c r="AI548" s="2282"/>
      <c r="AJ548" s="1909" t="s">
        <v>3814</v>
      </c>
      <c r="AK548" s="2283" t="s">
        <v>4178</v>
      </c>
      <c r="AL548" s="2281"/>
      <c r="AM548" s="2259"/>
      <c r="AN548" s="2281"/>
      <c r="AO548" s="2282"/>
      <c r="AP548" s="1909" t="s">
        <v>3699</v>
      </c>
      <c r="BC548" s="214"/>
      <c r="BD548" s="214"/>
      <c r="BE548" s="214"/>
      <c r="BF548" s="214"/>
    </row>
    <row r="549" spans="1:58" ht="45" hidden="1" customHeight="1">
      <c r="B549" s="2277"/>
      <c r="C549" s="2259"/>
      <c r="D549" s="2260"/>
      <c r="E549" s="1908" t="s">
        <v>3682</v>
      </c>
      <c r="F549" s="1908" t="s">
        <v>4458</v>
      </c>
      <c r="G549" s="1908"/>
      <c r="H549" s="2278" t="s">
        <v>4982</v>
      </c>
      <c r="I549" s="2259"/>
      <c r="J549" s="2260"/>
      <c r="K549" s="2278" t="s">
        <v>1654</v>
      </c>
      <c r="L549" s="2260"/>
      <c r="M549" s="1908">
        <f>VLOOKUP(K549,'Estimate Details'!$R:$BR,20,FALSE)</f>
        <v>6641.96</v>
      </c>
      <c r="N549" s="1908" t="e">
        <f>VLOOKUP(M549,#REF!,2,FALSE)</f>
        <v>#REF!</v>
      </c>
      <c r="O549" s="1908" t="s">
        <v>4179</v>
      </c>
      <c r="P549" s="2278" t="s">
        <v>4180</v>
      </c>
      <c r="Q549" s="2259"/>
      <c r="R549" s="2260"/>
      <c r="S549" s="1908" t="s">
        <v>3688</v>
      </c>
      <c r="T549" s="1908" t="s">
        <v>3689</v>
      </c>
      <c r="U549" s="1908" t="s">
        <v>3690</v>
      </c>
      <c r="V549" s="1908" t="s">
        <v>4147</v>
      </c>
      <c r="W549" s="1908" t="s">
        <v>3688</v>
      </c>
      <c r="X549" s="1908" t="s">
        <v>4181</v>
      </c>
      <c r="Y549" s="1908"/>
      <c r="Z549" s="1908"/>
      <c r="AA549" s="1908" t="s">
        <v>3694</v>
      </c>
      <c r="AB549" s="1908" t="s">
        <v>4182</v>
      </c>
      <c r="AC549" s="1908" t="s">
        <v>3696</v>
      </c>
      <c r="AD549" s="2278" t="s">
        <v>4183</v>
      </c>
      <c r="AE549" s="2259"/>
      <c r="AF549" s="2260"/>
      <c r="AG549" s="2278" t="s">
        <v>4878</v>
      </c>
      <c r="AH549" s="2259"/>
      <c r="AI549" s="2260"/>
      <c r="AJ549" s="1908" t="s">
        <v>4153</v>
      </c>
      <c r="AK549" s="2278" t="s">
        <v>4184</v>
      </c>
      <c r="AL549" s="2259"/>
      <c r="AM549" s="2259"/>
      <c r="AN549" s="2259"/>
      <c r="AO549" s="2260"/>
      <c r="AP549" s="1908" t="s">
        <v>3699</v>
      </c>
      <c r="BC549" s="214"/>
      <c r="BD549" s="214"/>
      <c r="BE549" s="214"/>
      <c r="BF549" s="214"/>
    </row>
    <row r="550" spans="1:58" ht="45" hidden="1" customHeight="1">
      <c r="A550" s="808"/>
      <c r="B550" s="2280"/>
      <c r="C550" s="2281"/>
      <c r="D550" s="2282"/>
      <c r="E550" s="1909" t="s">
        <v>3682</v>
      </c>
      <c r="F550" s="1909" t="s">
        <v>4458</v>
      </c>
      <c r="G550" s="1909"/>
      <c r="H550" s="2283" t="s">
        <v>4982</v>
      </c>
      <c r="I550" s="2281"/>
      <c r="J550" s="2282"/>
      <c r="K550" s="2283" t="s">
        <v>1662</v>
      </c>
      <c r="L550" s="2282"/>
      <c r="M550" s="1909">
        <f>VLOOKUP(K550,'Estimate Details'!$R:$BR,20,FALSE)</f>
        <v>1929.6716666666666</v>
      </c>
      <c r="N550" s="1909" t="e">
        <f>VLOOKUP(M550,#REF!,2,FALSE)</f>
        <v>#REF!</v>
      </c>
      <c r="O550" s="1909" t="s">
        <v>4185</v>
      </c>
      <c r="P550" s="2284" t="s">
        <v>4180</v>
      </c>
      <c r="Q550" s="2281"/>
      <c r="R550" s="2282"/>
      <c r="S550" s="1909" t="s">
        <v>3688</v>
      </c>
      <c r="T550" s="1909" t="s">
        <v>3689</v>
      </c>
      <c r="U550" s="1909" t="s">
        <v>3690</v>
      </c>
      <c r="V550" s="1909" t="s">
        <v>4147</v>
      </c>
      <c r="W550" s="1909" t="s">
        <v>3688</v>
      </c>
      <c r="X550" s="1909" t="s">
        <v>4186</v>
      </c>
      <c r="Y550" s="1909"/>
      <c r="Z550" s="1909"/>
      <c r="AA550" s="1909" t="s">
        <v>3957</v>
      </c>
      <c r="AB550" s="1909" t="s">
        <v>4187</v>
      </c>
      <c r="AC550" s="1909" t="s">
        <v>3696</v>
      </c>
      <c r="AD550" s="2283" t="s">
        <v>4188</v>
      </c>
      <c r="AE550" s="2281"/>
      <c r="AF550" s="2282"/>
      <c r="AG550" s="2283" t="s">
        <v>4878</v>
      </c>
      <c r="AH550" s="2281"/>
      <c r="AI550" s="2282"/>
      <c r="AJ550" s="1909" t="s">
        <v>4153</v>
      </c>
      <c r="AK550" s="2283" t="s">
        <v>4189</v>
      </c>
      <c r="AL550" s="2281"/>
      <c r="AM550" s="2259"/>
      <c r="AN550" s="2281"/>
      <c r="AO550" s="2282"/>
      <c r="AP550" s="1909" t="s">
        <v>3699</v>
      </c>
      <c r="BC550" s="214"/>
      <c r="BD550" s="214"/>
      <c r="BE550" s="214"/>
      <c r="BF550" s="214"/>
    </row>
    <row r="551" spans="1:58" ht="45" hidden="1" customHeight="1">
      <c r="B551" s="2277"/>
      <c r="C551" s="2259"/>
      <c r="D551" s="2260"/>
      <c r="E551" s="1908" t="s">
        <v>3682</v>
      </c>
      <c r="F551" s="1908" t="s">
        <v>4458</v>
      </c>
      <c r="G551" s="1908"/>
      <c r="H551" s="2278" t="s">
        <v>4982</v>
      </c>
      <c r="I551" s="2259"/>
      <c r="J551" s="2260"/>
      <c r="K551" s="2278" t="s">
        <v>1659</v>
      </c>
      <c r="L551" s="2260"/>
      <c r="M551" s="1908">
        <f>VLOOKUP(K551,'Estimate Details'!$R:$BR,20,FALSE)</f>
        <v>3320.9800000000005</v>
      </c>
      <c r="N551" s="1908" t="e">
        <f>VLOOKUP(M551,#REF!,2,FALSE)</f>
        <v>#REF!</v>
      </c>
      <c r="O551" s="1908" t="s">
        <v>5011</v>
      </c>
      <c r="P551" s="2278" t="s">
        <v>4180</v>
      </c>
      <c r="Q551" s="2259"/>
      <c r="R551" s="2260"/>
      <c r="S551" s="1908" t="s">
        <v>3688</v>
      </c>
      <c r="T551" s="1908" t="s">
        <v>3689</v>
      </c>
      <c r="U551" s="1908" t="s">
        <v>3707</v>
      </c>
      <c r="V551" s="1908" t="s">
        <v>4147</v>
      </c>
      <c r="W551" s="1908" t="s">
        <v>3688</v>
      </c>
      <c r="X551" s="1908"/>
      <c r="Y551" s="1908"/>
      <c r="Z551" s="1908"/>
      <c r="AA551" s="1908" t="s">
        <v>3957</v>
      </c>
      <c r="AB551" s="1908" t="s">
        <v>4191</v>
      </c>
      <c r="AC551" s="1908" t="s">
        <v>3696</v>
      </c>
      <c r="AD551" s="2278" t="s">
        <v>4192</v>
      </c>
      <c r="AE551" s="2259"/>
      <c r="AF551" s="2260"/>
      <c r="AG551" s="2278" t="s">
        <v>3696</v>
      </c>
      <c r="AH551" s="2259"/>
      <c r="AI551" s="2260"/>
      <c r="AJ551" s="1908" t="s">
        <v>4163</v>
      </c>
      <c r="AK551" s="2278" t="s">
        <v>4193</v>
      </c>
      <c r="AL551" s="2259"/>
      <c r="AM551" s="2259"/>
      <c r="AN551" s="2259"/>
      <c r="AO551" s="2260"/>
      <c r="AP551" s="1908" t="s">
        <v>3699</v>
      </c>
      <c r="BC551" s="214"/>
      <c r="BD551" s="214"/>
      <c r="BE551" s="214"/>
      <c r="BF551" s="214"/>
    </row>
    <row r="552" spans="1:58" ht="45" hidden="1" customHeight="1">
      <c r="A552" s="808"/>
      <c r="B552" s="2280"/>
      <c r="C552" s="2281"/>
      <c r="D552" s="2282"/>
      <c r="E552" s="1909" t="s">
        <v>3682</v>
      </c>
      <c r="F552" s="1909" t="s">
        <v>4458</v>
      </c>
      <c r="G552" s="1909"/>
      <c r="H552" s="2283" t="s">
        <v>5012</v>
      </c>
      <c r="I552" s="2281"/>
      <c r="J552" s="2282"/>
      <c r="K552" s="2283" t="s">
        <v>5013</v>
      </c>
      <c r="L552" s="2282"/>
      <c r="M552" s="1909" t="e">
        <f>VLOOKUP(K552,'Estimate Details'!$R:$BR,20,FALSE)</f>
        <v>#N/A</v>
      </c>
      <c r="N552" s="1909" t="e">
        <f>VLOOKUP(M552,#REF!,2,FALSE)</f>
        <v>#N/A</v>
      </c>
      <c r="O552" s="1909" t="s">
        <v>5014</v>
      </c>
      <c r="P552" s="2284" t="s">
        <v>4130</v>
      </c>
      <c r="Q552" s="2281"/>
      <c r="R552" s="2282"/>
      <c r="S552" s="1909" t="s">
        <v>3688</v>
      </c>
      <c r="T552" s="1909" t="s">
        <v>3689</v>
      </c>
      <c r="U552" s="1909" t="s">
        <v>3707</v>
      </c>
      <c r="V552" s="1909" t="s">
        <v>4147</v>
      </c>
      <c r="W552" s="1909" t="s">
        <v>3688</v>
      </c>
      <c r="X552" s="1909"/>
      <c r="Y552" s="1909"/>
      <c r="Z552" s="1909"/>
      <c r="AA552" s="1909" t="s">
        <v>3694</v>
      </c>
      <c r="AB552" s="1909" t="s">
        <v>4161</v>
      </c>
      <c r="AC552" s="1909" t="s">
        <v>4150</v>
      </c>
      <c r="AD552" s="2283" t="s">
        <v>4162</v>
      </c>
      <c r="AE552" s="2281"/>
      <c r="AF552" s="2282"/>
      <c r="AG552" s="2283" t="s">
        <v>3696</v>
      </c>
      <c r="AH552" s="2281"/>
      <c r="AI552" s="2282"/>
      <c r="AJ552" s="1909" t="s">
        <v>4163</v>
      </c>
      <c r="AK552" s="2283" t="s">
        <v>4164</v>
      </c>
      <c r="AL552" s="2281"/>
      <c r="AM552" s="2259"/>
      <c r="AN552" s="2281"/>
      <c r="AO552" s="2282"/>
      <c r="AP552" s="1909" t="s">
        <v>3699</v>
      </c>
      <c r="BC552" s="214"/>
      <c r="BD552" s="214"/>
      <c r="BE552" s="214"/>
      <c r="BF552" s="214"/>
    </row>
    <row r="553" spans="1:58" ht="45" hidden="1" customHeight="1">
      <c r="B553" s="2277"/>
      <c r="C553" s="2259"/>
      <c r="D553" s="2260"/>
      <c r="E553" s="1908" t="s">
        <v>3682</v>
      </c>
      <c r="F553" s="1910" t="s">
        <v>3688</v>
      </c>
      <c r="G553" s="1910"/>
      <c r="H553" s="2285" t="s">
        <v>5012</v>
      </c>
      <c r="I553" s="2259"/>
      <c r="J553" s="2260"/>
      <c r="K553" s="2285" t="s">
        <v>5015</v>
      </c>
      <c r="L553" s="2260"/>
      <c r="M553" s="1910" t="e">
        <f>VLOOKUP(K553,'Estimate Details'!$R:$BR,20,FALSE)</f>
        <v>#N/A</v>
      </c>
      <c r="N553" s="1910" t="e">
        <f>VLOOKUP(M553,#REF!,2,FALSE)</f>
        <v>#N/A</v>
      </c>
      <c r="O553" s="1910" t="s">
        <v>4166</v>
      </c>
      <c r="P553" s="2285" t="s">
        <v>3688</v>
      </c>
      <c r="Q553" s="2259"/>
      <c r="R553" s="2260"/>
      <c r="S553" s="1910" t="s">
        <v>5016</v>
      </c>
      <c r="T553" s="1910" t="s">
        <v>3689</v>
      </c>
      <c r="U553" s="1910" t="s">
        <v>3688</v>
      </c>
      <c r="V553" s="1910" t="s">
        <v>3688</v>
      </c>
      <c r="W553" s="1910" t="s">
        <v>3688</v>
      </c>
      <c r="X553" s="1910"/>
      <c r="Y553" s="1910"/>
      <c r="Z553" s="1910"/>
      <c r="AA553" s="1910" t="s">
        <v>3694</v>
      </c>
      <c r="AB553" s="1910" t="s">
        <v>3688</v>
      </c>
      <c r="AC553" s="1910" t="s">
        <v>4105</v>
      </c>
      <c r="AD553" s="2285" t="s">
        <v>3688</v>
      </c>
      <c r="AE553" s="2259"/>
      <c r="AF553" s="2260"/>
      <c r="AG553" s="2285" t="s">
        <v>3696</v>
      </c>
      <c r="AH553" s="2259"/>
      <c r="AI553" s="2260"/>
      <c r="AJ553" s="1910" t="s">
        <v>4168</v>
      </c>
      <c r="AK553" s="2285" t="s">
        <v>3688</v>
      </c>
      <c r="AL553" s="2259"/>
      <c r="AM553" s="2259"/>
      <c r="AN553" s="2259"/>
      <c r="AO553" s="2260"/>
      <c r="AP553" s="1910" t="s">
        <v>3688</v>
      </c>
      <c r="BC553" s="214"/>
      <c r="BD553" s="214"/>
      <c r="BE553" s="214"/>
      <c r="BF553" s="214"/>
    </row>
    <row r="554" spans="1:58" ht="45" hidden="1" customHeight="1">
      <c r="A554" s="808"/>
      <c r="B554" s="2280"/>
      <c r="C554" s="2281"/>
      <c r="D554" s="2282"/>
      <c r="E554" s="1909" t="s">
        <v>3682</v>
      </c>
      <c r="F554" s="1909" t="s">
        <v>4458</v>
      </c>
      <c r="G554" s="1909"/>
      <c r="H554" s="2283" t="s">
        <v>5012</v>
      </c>
      <c r="I554" s="2281"/>
      <c r="J554" s="2282"/>
      <c r="K554" s="2283" t="s">
        <v>5017</v>
      </c>
      <c r="L554" s="2282"/>
      <c r="M554" s="1909" t="e">
        <f>VLOOKUP(K554,'Estimate Details'!$R:$BR,20,FALSE)</f>
        <v>#N/A</v>
      </c>
      <c r="N554" s="1909" t="e">
        <f>VLOOKUP(M554,#REF!,2,FALSE)</f>
        <v>#N/A</v>
      </c>
      <c r="O554" s="1909" t="s">
        <v>5018</v>
      </c>
      <c r="P554" s="2284" t="s">
        <v>4130</v>
      </c>
      <c r="Q554" s="2281"/>
      <c r="R554" s="2282"/>
      <c r="S554" s="1909" t="s">
        <v>3688</v>
      </c>
      <c r="T554" s="1909" t="s">
        <v>3689</v>
      </c>
      <c r="U554" s="1909" t="s">
        <v>3707</v>
      </c>
      <c r="V554" s="1909" t="s">
        <v>4147</v>
      </c>
      <c r="W554" s="1909" t="s">
        <v>3688</v>
      </c>
      <c r="X554" s="1909"/>
      <c r="Y554" s="1909"/>
      <c r="Z554" s="1909"/>
      <c r="AA554" s="1909" t="s">
        <v>3694</v>
      </c>
      <c r="AB554" s="1909" t="s">
        <v>4161</v>
      </c>
      <c r="AC554" s="1909" t="s">
        <v>4150</v>
      </c>
      <c r="AD554" s="2283" t="s">
        <v>4162</v>
      </c>
      <c r="AE554" s="2281"/>
      <c r="AF554" s="2282"/>
      <c r="AG554" s="2283" t="s">
        <v>3696</v>
      </c>
      <c r="AH554" s="2281"/>
      <c r="AI554" s="2282"/>
      <c r="AJ554" s="1909" t="s">
        <v>4163</v>
      </c>
      <c r="AK554" s="2283" t="s">
        <v>4164</v>
      </c>
      <c r="AL554" s="2281"/>
      <c r="AM554" s="2259"/>
      <c r="AN554" s="2281"/>
      <c r="AO554" s="2282"/>
      <c r="AP554" s="1909" t="s">
        <v>3699</v>
      </c>
      <c r="BC554" s="214"/>
      <c r="BD554" s="214"/>
      <c r="BE554" s="214"/>
      <c r="BF554" s="214"/>
    </row>
    <row r="555" spans="1:58" ht="45" hidden="1" customHeight="1">
      <c r="B555" s="2277"/>
      <c r="C555" s="2259"/>
      <c r="D555" s="2260"/>
      <c r="E555" s="1908" t="s">
        <v>3682</v>
      </c>
      <c r="F555" s="1910" t="s">
        <v>3688</v>
      </c>
      <c r="G555" s="1910"/>
      <c r="H555" s="2285" t="s">
        <v>5012</v>
      </c>
      <c r="I555" s="2259"/>
      <c r="J555" s="2260"/>
      <c r="K555" s="2285" t="s">
        <v>5019</v>
      </c>
      <c r="L555" s="2260"/>
      <c r="M555" s="1910" t="e">
        <f>VLOOKUP(K555,'Estimate Details'!$R:$BR,20,FALSE)</f>
        <v>#N/A</v>
      </c>
      <c r="N555" s="1910" t="e">
        <f>VLOOKUP(M555,#REF!,2,FALSE)</f>
        <v>#N/A</v>
      </c>
      <c r="O555" s="1910" t="s">
        <v>4166</v>
      </c>
      <c r="P555" s="2285" t="s">
        <v>3688</v>
      </c>
      <c r="Q555" s="2259"/>
      <c r="R555" s="2260"/>
      <c r="S555" s="1910" t="s">
        <v>5020</v>
      </c>
      <c r="T555" s="1910" t="s">
        <v>3689</v>
      </c>
      <c r="U555" s="1910" t="s">
        <v>3688</v>
      </c>
      <c r="V555" s="1910" t="s">
        <v>3688</v>
      </c>
      <c r="W555" s="1910" t="s">
        <v>3688</v>
      </c>
      <c r="X555" s="1910"/>
      <c r="Y555" s="1910"/>
      <c r="Z555" s="1910"/>
      <c r="AA555" s="1910" t="s">
        <v>3694</v>
      </c>
      <c r="AB555" s="1910" t="s">
        <v>3688</v>
      </c>
      <c r="AC555" s="1910" t="s">
        <v>4105</v>
      </c>
      <c r="AD555" s="2285" t="s">
        <v>3688</v>
      </c>
      <c r="AE555" s="2259"/>
      <c r="AF555" s="2260"/>
      <c r="AG555" s="2285" t="s">
        <v>3696</v>
      </c>
      <c r="AH555" s="2259"/>
      <c r="AI555" s="2260"/>
      <c r="AJ555" s="1910" t="s">
        <v>4168</v>
      </c>
      <c r="AK555" s="2285" t="s">
        <v>3688</v>
      </c>
      <c r="AL555" s="2259"/>
      <c r="AM555" s="2259"/>
      <c r="AN555" s="2259"/>
      <c r="AO555" s="2260"/>
      <c r="AP555" s="1910" t="s">
        <v>3688</v>
      </c>
      <c r="BC555" s="214"/>
      <c r="BD555" s="214"/>
      <c r="BE555" s="214"/>
      <c r="BF555" s="214"/>
    </row>
    <row r="556" spans="1:58" ht="45" hidden="1" customHeight="1">
      <c r="A556" s="808"/>
      <c r="B556" s="2280"/>
      <c r="C556" s="2281"/>
      <c r="D556" s="2282"/>
      <c r="E556" s="1909" t="s">
        <v>3682</v>
      </c>
      <c r="F556" s="1909" t="s">
        <v>4458</v>
      </c>
      <c r="G556" s="1909"/>
      <c r="H556" s="2283" t="s">
        <v>5012</v>
      </c>
      <c r="I556" s="2281"/>
      <c r="J556" s="2282"/>
      <c r="K556" s="2283" t="s">
        <v>5021</v>
      </c>
      <c r="L556" s="2282"/>
      <c r="M556" s="1909" t="e">
        <f>VLOOKUP(K556,'Estimate Details'!$R:$BR,20,FALSE)</f>
        <v>#N/A</v>
      </c>
      <c r="N556" s="1909" t="e">
        <f>VLOOKUP(M556,#REF!,2,FALSE)</f>
        <v>#N/A</v>
      </c>
      <c r="O556" s="1909" t="s">
        <v>4195</v>
      </c>
      <c r="P556" s="2284" t="s">
        <v>4130</v>
      </c>
      <c r="Q556" s="2281"/>
      <c r="R556" s="2282"/>
      <c r="S556" s="1909" t="s">
        <v>3688</v>
      </c>
      <c r="T556" s="1909" t="s">
        <v>3689</v>
      </c>
      <c r="U556" s="1909" t="s">
        <v>3707</v>
      </c>
      <c r="V556" s="1909" t="s">
        <v>4147</v>
      </c>
      <c r="W556" s="1909" t="s">
        <v>3688</v>
      </c>
      <c r="X556" s="1909"/>
      <c r="Y556" s="1909"/>
      <c r="Z556" s="1909"/>
      <c r="AA556" s="1909" t="s">
        <v>3694</v>
      </c>
      <c r="AB556" s="1909" t="s">
        <v>3688</v>
      </c>
      <c r="AC556" s="1909" t="s">
        <v>4150</v>
      </c>
      <c r="AD556" s="2283" t="s">
        <v>1</v>
      </c>
      <c r="AE556" s="2281"/>
      <c r="AF556" s="2282"/>
      <c r="AG556" s="2283" t="s">
        <v>3696</v>
      </c>
      <c r="AH556" s="2281"/>
      <c r="AI556" s="2282"/>
      <c r="AJ556" s="1909" t="s">
        <v>5022</v>
      </c>
      <c r="AK556" s="2283" t="s">
        <v>3688</v>
      </c>
      <c r="AL556" s="2281"/>
      <c r="AM556" s="2259"/>
      <c r="AN556" s="2281"/>
      <c r="AO556" s="2282"/>
      <c r="AP556" s="1909" t="s">
        <v>3716</v>
      </c>
      <c r="BC556" s="214"/>
      <c r="BD556" s="214"/>
      <c r="BE556" s="214"/>
      <c r="BF556" s="214"/>
    </row>
    <row r="557" spans="1:58" ht="45" hidden="1" customHeight="1">
      <c r="B557" s="2277"/>
      <c r="C557" s="2259"/>
      <c r="D557" s="2260"/>
      <c r="E557" s="1908" t="s">
        <v>3682</v>
      </c>
      <c r="F557" s="1910" t="s">
        <v>3688</v>
      </c>
      <c r="G557" s="1910"/>
      <c r="H557" s="2285" t="s">
        <v>5012</v>
      </c>
      <c r="I557" s="2259"/>
      <c r="J557" s="2260"/>
      <c r="K557" s="2285" t="s">
        <v>5023</v>
      </c>
      <c r="L557" s="2260"/>
      <c r="M557" s="1910" t="e">
        <f>VLOOKUP(K557,'Estimate Details'!$R:$BR,20,FALSE)</f>
        <v>#N/A</v>
      </c>
      <c r="N557" s="1910" t="e">
        <f>VLOOKUP(M557,#REF!,2,FALSE)</f>
        <v>#N/A</v>
      </c>
      <c r="O557" s="1910" t="s">
        <v>4166</v>
      </c>
      <c r="P557" s="2285" t="s">
        <v>3688</v>
      </c>
      <c r="Q557" s="2259"/>
      <c r="R557" s="2260"/>
      <c r="S557" s="1910" t="s">
        <v>5024</v>
      </c>
      <c r="T557" s="1910" t="s">
        <v>3689</v>
      </c>
      <c r="U557" s="1910" t="s">
        <v>3688</v>
      </c>
      <c r="V557" s="1910" t="s">
        <v>3688</v>
      </c>
      <c r="W557" s="1910" t="s">
        <v>3688</v>
      </c>
      <c r="X557" s="1910"/>
      <c r="Y557" s="1910"/>
      <c r="Z557" s="1910"/>
      <c r="AA557" s="1910" t="s">
        <v>3694</v>
      </c>
      <c r="AB557" s="1910" t="s">
        <v>3688</v>
      </c>
      <c r="AC557" s="1910" t="s">
        <v>4105</v>
      </c>
      <c r="AD557" s="2285" t="s">
        <v>3688</v>
      </c>
      <c r="AE557" s="2259"/>
      <c r="AF557" s="2260"/>
      <c r="AG557" s="2285" t="s">
        <v>3696</v>
      </c>
      <c r="AH557" s="2259"/>
      <c r="AI557" s="2260"/>
      <c r="AJ557" s="1910" t="s">
        <v>5025</v>
      </c>
      <c r="AK557" s="2285" t="s">
        <v>3688</v>
      </c>
      <c r="AL557" s="2259"/>
      <c r="AM557" s="2259"/>
      <c r="AN557" s="2259"/>
      <c r="AO557" s="2260"/>
      <c r="AP557" s="1910" t="s">
        <v>3688</v>
      </c>
      <c r="BC557" s="214"/>
      <c r="BD557" s="214"/>
      <c r="BE557" s="214"/>
      <c r="BF557" s="214"/>
    </row>
    <row r="558" spans="1:58" ht="45" hidden="1" customHeight="1">
      <c r="A558" s="808"/>
      <c r="B558" s="2280"/>
      <c r="C558" s="2281"/>
      <c r="D558" s="2282"/>
      <c r="E558" s="1909" t="s">
        <v>3682</v>
      </c>
      <c r="F558" s="1909" t="s">
        <v>4458</v>
      </c>
      <c r="G558" s="1909"/>
      <c r="H558" s="2283" t="s">
        <v>5012</v>
      </c>
      <c r="I558" s="2281"/>
      <c r="J558" s="2282"/>
      <c r="K558" s="2283" t="s">
        <v>5026</v>
      </c>
      <c r="L558" s="2282"/>
      <c r="M558" s="1909" t="e">
        <f>VLOOKUP(K558,'Estimate Details'!$R:$BR,20,FALSE)</f>
        <v>#N/A</v>
      </c>
      <c r="N558" s="1909" t="e">
        <f>VLOOKUP(M558,#REF!,2,FALSE)</f>
        <v>#N/A</v>
      </c>
      <c r="O558" s="1909" t="s">
        <v>4199</v>
      </c>
      <c r="P558" s="2284" t="s">
        <v>4130</v>
      </c>
      <c r="Q558" s="2281"/>
      <c r="R558" s="2282"/>
      <c r="S558" s="1909" t="s">
        <v>3688</v>
      </c>
      <c r="T558" s="1909" t="s">
        <v>3689</v>
      </c>
      <c r="U558" s="1909" t="s">
        <v>3707</v>
      </c>
      <c r="V558" s="1909" t="s">
        <v>4147</v>
      </c>
      <c r="W558" s="1909" t="s">
        <v>3688</v>
      </c>
      <c r="X558" s="1909"/>
      <c r="Y558" s="1909"/>
      <c r="Z558" s="1909"/>
      <c r="AA558" s="1909" t="s">
        <v>3694</v>
      </c>
      <c r="AB558" s="1909" t="s">
        <v>3688</v>
      </c>
      <c r="AC558" s="1909" t="s">
        <v>4150</v>
      </c>
      <c r="AD558" s="2283" t="s">
        <v>1</v>
      </c>
      <c r="AE558" s="2281"/>
      <c r="AF558" s="2282"/>
      <c r="AG558" s="2283" t="s">
        <v>3696</v>
      </c>
      <c r="AH558" s="2281"/>
      <c r="AI558" s="2282"/>
      <c r="AJ558" s="1909" t="s">
        <v>5022</v>
      </c>
      <c r="AK558" s="2283" t="s">
        <v>3688</v>
      </c>
      <c r="AL558" s="2281"/>
      <c r="AM558" s="2259"/>
      <c r="AN558" s="2281"/>
      <c r="AO558" s="2282"/>
      <c r="AP558" s="1909" t="s">
        <v>3716</v>
      </c>
      <c r="BC558" s="214"/>
      <c r="BD558" s="214"/>
      <c r="BE558" s="214"/>
      <c r="BF558" s="214"/>
    </row>
    <row r="559" spans="1:58" ht="45" hidden="1" customHeight="1">
      <c r="B559" s="2277"/>
      <c r="C559" s="2259"/>
      <c r="D559" s="2260"/>
      <c r="E559" s="1908" t="s">
        <v>3682</v>
      </c>
      <c r="F559" s="1910" t="s">
        <v>3688</v>
      </c>
      <c r="G559" s="1910"/>
      <c r="H559" s="2285" t="s">
        <v>5012</v>
      </c>
      <c r="I559" s="2259"/>
      <c r="J559" s="2260"/>
      <c r="K559" s="2285" t="s">
        <v>5027</v>
      </c>
      <c r="L559" s="2260"/>
      <c r="M559" s="1910" t="e">
        <f>VLOOKUP(K559,'Estimate Details'!$R:$BR,20,FALSE)</f>
        <v>#N/A</v>
      </c>
      <c r="N559" s="1910" t="e">
        <f>VLOOKUP(M559,#REF!,2,FALSE)</f>
        <v>#N/A</v>
      </c>
      <c r="O559" s="1910" t="s">
        <v>4166</v>
      </c>
      <c r="P559" s="2285" t="s">
        <v>3688</v>
      </c>
      <c r="Q559" s="2259"/>
      <c r="R559" s="2260"/>
      <c r="S559" s="1910" t="s">
        <v>5028</v>
      </c>
      <c r="T559" s="1910" t="s">
        <v>3689</v>
      </c>
      <c r="U559" s="1910" t="s">
        <v>3688</v>
      </c>
      <c r="V559" s="1910" t="s">
        <v>3688</v>
      </c>
      <c r="W559" s="1910" t="s">
        <v>3688</v>
      </c>
      <c r="X559" s="1910"/>
      <c r="Y559" s="1910"/>
      <c r="Z559" s="1910"/>
      <c r="AA559" s="1910" t="s">
        <v>3694</v>
      </c>
      <c r="AB559" s="1910" t="s">
        <v>3688</v>
      </c>
      <c r="AC559" s="1910" t="s">
        <v>4105</v>
      </c>
      <c r="AD559" s="2285" t="s">
        <v>3688</v>
      </c>
      <c r="AE559" s="2259"/>
      <c r="AF559" s="2260"/>
      <c r="AG559" s="2285" t="s">
        <v>3696</v>
      </c>
      <c r="AH559" s="2259"/>
      <c r="AI559" s="2260"/>
      <c r="AJ559" s="1910" t="s">
        <v>5025</v>
      </c>
      <c r="AK559" s="2285" t="s">
        <v>3688</v>
      </c>
      <c r="AL559" s="2259"/>
      <c r="AM559" s="2259"/>
      <c r="AN559" s="2259"/>
      <c r="AO559" s="2260"/>
      <c r="AP559" s="1910" t="s">
        <v>3688</v>
      </c>
      <c r="BC559" s="214"/>
      <c r="BD559" s="214"/>
      <c r="BE559" s="214"/>
      <c r="BF559" s="214"/>
    </row>
    <row r="560" spans="1:58" ht="45" hidden="1" customHeight="1">
      <c r="A560" s="808"/>
      <c r="B560" s="2280"/>
      <c r="C560" s="2281"/>
      <c r="D560" s="2282"/>
      <c r="E560" s="1909" t="s">
        <v>3682</v>
      </c>
      <c r="F560" s="1909" t="s">
        <v>4458</v>
      </c>
      <c r="G560" s="1909"/>
      <c r="H560" s="2283" t="s">
        <v>5012</v>
      </c>
      <c r="I560" s="2281"/>
      <c r="J560" s="2282"/>
      <c r="K560" s="2283" t="s">
        <v>5029</v>
      </c>
      <c r="L560" s="2282"/>
      <c r="M560" s="1909" t="e">
        <f>VLOOKUP(K560,'Estimate Details'!$R:$BR,20,FALSE)</f>
        <v>#N/A</v>
      </c>
      <c r="N560" s="1909" t="e">
        <f>VLOOKUP(M560,#REF!,2,FALSE)</f>
        <v>#N/A</v>
      </c>
      <c r="O560" s="1909" t="s">
        <v>5030</v>
      </c>
      <c r="P560" s="2284" t="s">
        <v>4130</v>
      </c>
      <c r="Q560" s="2281"/>
      <c r="R560" s="2282"/>
      <c r="S560" s="1909" t="s">
        <v>3688</v>
      </c>
      <c r="T560" s="1909" t="s">
        <v>3689</v>
      </c>
      <c r="U560" s="1909" t="s">
        <v>3707</v>
      </c>
      <c r="V560" s="1909" t="s">
        <v>4147</v>
      </c>
      <c r="W560" s="1909" t="s">
        <v>3688</v>
      </c>
      <c r="X560" s="1909"/>
      <c r="Y560" s="1909"/>
      <c r="Z560" s="1909"/>
      <c r="AA560" s="1909" t="s">
        <v>3694</v>
      </c>
      <c r="AB560" s="1909" t="s">
        <v>3688</v>
      </c>
      <c r="AC560" s="1909" t="s">
        <v>4150</v>
      </c>
      <c r="AD560" s="2283" t="s">
        <v>1</v>
      </c>
      <c r="AE560" s="2281"/>
      <c r="AF560" s="2282"/>
      <c r="AG560" s="2283" t="s">
        <v>3696</v>
      </c>
      <c r="AH560" s="2281"/>
      <c r="AI560" s="2282"/>
      <c r="AJ560" s="1909" t="s">
        <v>5022</v>
      </c>
      <c r="AK560" s="2283" t="s">
        <v>3688</v>
      </c>
      <c r="AL560" s="2281"/>
      <c r="AM560" s="2259"/>
      <c r="AN560" s="2281"/>
      <c r="AO560" s="2282"/>
      <c r="AP560" s="1909" t="s">
        <v>3716</v>
      </c>
      <c r="BC560" s="214"/>
      <c r="BD560" s="214"/>
      <c r="BE560" s="214"/>
      <c r="BF560" s="214"/>
    </row>
    <row r="561" spans="1:58" ht="45" hidden="1" customHeight="1">
      <c r="B561" s="2277"/>
      <c r="C561" s="2259"/>
      <c r="D561" s="2260"/>
      <c r="E561" s="1908" t="s">
        <v>3682</v>
      </c>
      <c r="F561" s="1910" t="s">
        <v>3688</v>
      </c>
      <c r="G561" s="1910"/>
      <c r="H561" s="2285" t="s">
        <v>5012</v>
      </c>
      <c r="I561" s="2259"/>
      <c r="J561" s="2260"/>
      <c r="K561" s="2285" t="s">
        <v>5031</v>
      </c>
      <c r="L561" s="2260"/>
      <c r="M561" s="1910" t="e">
        <f>VLOOKUP(K561,'Estimate Details'!$R:$BR,20,FALSE)</f>
        <v>#N/A</v>
      </c>
      <c r="N561" s="1910" t="e">
        <f>VLOOKUP(M561,#REF!,2,FALSE)</f>
        <v>#N/A</v>
      </c>
      <c r="O561" s="1910" t="s">
        <v>4166</v>
      </c>
      <c r="P561" s="2285" t="s">
        <v>3688</v>
      </c>
      <c r="Q561" s="2259"/>
      <c r="R561" s="2260"/>
      <c r="S561" s="1910" t="s">
        <v>5032</v>
      </c>
      <c r="T561" s="1910" t="s">
        <v>3689</v>
      </c>
      <c r="U561" s="1910" t="s">
        <v>3688</v>
      </c>
      <c r="V561" s="1910" t="s">
        <v>3688</v>
      </c>
      <c r="W561" s="1910" t="s">
        <v>3688</v>
      </c>
      <c r="X561" s="1910"/>
      <c r="Y561" s="1910"/>
      <c r="Z561" s="1910"/>
      <c r="AA561" s="1910" t="s">
        <v>3694</v>
      </c>
      <c r="AB561" s="1910" t="s">
        <v>3688</v>
      </c>
      <c r="AC561" s="1910" t="s">
        <v>4105</v>
      </c>
      <c r="AD561" s="2285" t="s">
        <v>3688</v>
      </c>
      <c r="AE561" s="2259"/>
      <c r="AF561" s="2260"/>
      <c r="AG561" s="2285" t="s">
        <v>3696</v>
      </c>
      <c r="AH561" s="2259"/>
      <c r="AI561" s="2260"/>
      <c r="AJ561" s="1910" t="s">
        <v>5025</v>
      </c>
      <c r="AK561" s="2285" t="s">
        <v>3688</v>
      </c>
      <c r="AL561" s="2259"/>
      <c r="AM561" s="2259"/>
      <c r="AN561" s="2259"/>
      <c r="AO561" s="2260"/>
      <c r="AP561" s="1910" t="s">
        <v>3688</v>
      </c>
      <c r="BC561" s="214"/>
      <c r="BD561" s="214"/>
      <c r="BE561" s="214"/>
      <c r="BF561" s="214"/>
    </row>
    <row r="562" spans="1:58" ht="45" hidden="1" customHeight="1">
      <c r="A562" s="808"/>
      <c r="B562" s="2280"/>
      <c r="C562" s="2281"/>
      <c r="D562" s="2282"/>
      <c r="E562" s="1909" t="s">
        <v>3682</v>
      </c>
      <c r="F562" s="1909" t="s">
        <v>4458</v>
      </c>
      <c r="G562" s="1909"/>
      <c r="H562" s="2283" t="s">
        <v>5012</v>
      </c>
      <c r="I562" s="2281"/>
      <c r="J562" s="2282"/>
      <c r="K562" s="2283" t="s">
        <v>5033</v>
      </c>
      <c r="L562" s="2282"/>
      <c r="M562" s="1909" t="e">
        <f>VLOOKUP(K562,'Estimate Details'!$R:$BR,20,FALSE)</f>
        <v>#N/A</v>
      </c>
      <c r="N562" s="1909" t="e">
        <f>VLOOKUP(M562,#REF!,2,FALSE)</f>
        <v>#N/A</v>
      </c>
      <c r="O562" s="1909" t="s">
        <v>5034</v>
      </c>
      <c r="P562" s="2284" t="s">
        <v>4130</v>
      </c>
      <c r="Q562" s="2281"/>
      <c r="R562" s="2282"/>
      <c r="S562" s="1909" t="s">
        <v>3688</v>
      </c>
      <c r="T562" s="1909" t="s">
        <v>3689</v>
      </c>
      <c r="U562" s="1909" t="s">
        <v>3707</v>
      </c>
      <c r="V562" s="1909" t="s">
        <v>4147</v>
      </c>
      <c r="W562" s="1909" t="s">
        <v>3688</v>
      </c>
      <c r="X562" s="1909"/>
      <c r="Y562" s="1909"/>
      <c r="Z562" s="1909"/>
      <c r="AA562" s="1909" t="s">
        <v>3694</v>
      </c>
      <c r="AB562" s="1909" t="s">
        <v>3688</v>
      </c>
      <c r="AC562" s="1909" t="s">
        <v>4150</v>
      </c>
      <c r="AD562" s="2283" t="s">
        <v>1</v>
      </c>
      <c r="AE562" s="2281"/>
      <c r="AF562" s="2282"/>
      <c r="AG562" s="2283" t="s">
        <v>3696</v>
      </c>
      <c r="AH562" s="2281"/>
      <c r="AI562" s="2282"/>
      <c r="AJ562" s="1909" t="s">
        <v>5022</v>
      </c>
      <c r="AK562" s="2283" t="s">
        <v>3688</v>
      </c>
      <c r="AL562" s="2281"/>
      <c r="AM562" s="2259"/>
      <c r="AN562" s="2281"/>
      <c r="AO562" s="2282"/>
      <c r="AP562" s="1909" t="s">
        <v>3716</v>
      </c>
      <c r="BC562" s="214"/>
      <c r="BD562" s="214"/>
      <c r="BE562" s="214"/>
      <c r="BF562" s="214"/>
    </row>
    <row r="563" spans="1:58" ht="45" hidden="1" customHeight="1">
      <c r="B563" s="2277"/>
      <c r="C563" s="2259"/>
      <c r="D563" s="2260"/>
      <c r="E563" s="1908" t="s">
        <v>3682</v>
      </c>
      <c r="F563" s="1910" t="s">
        <v>3688</v>
      </c>
      <c r="G563" s="1910"/>
      <c r="H563" s="2285" t="s">
        <v>5012</v>
      </c>
      <c r="I563" s="2259"/>
      <c r="J563" s="2260"/>
      <c r="K563" s="2285" t="s">
        <v>5035</v>
      </c>
      <c r="L563" s="2260"/>
      <c r="M563" s="1910" t="e">
        <f>VLOOKUP(K563,'Estimate Details'!$R:$BR,20,FALSE)</f>
        <v>#N/A</v>
      </c>
      <c r="N563" s="1910" t="e">
        <f>VLOOKUP(M563,#REF!,2,FALSE)</f>
        <v>#N/A</v>
      </c>
      <c r="O563" s="1910" t="s">
        <v>4166</v>
      </c>
      <c r="P563" s="2285" t="s">
        <v>3688</v>
      </c>
      <c r="Q563" s="2259"/>
      <c r="R563" s="2260"/>
      <c r="S563" s="1910" t="s">
        <v>5036</v>
      </c>
      <c r="T563" s="1910" t="s">
        <v>3689</v>
      </c>
      <c r="U563" s="1910" t="s">
        <v>3688</v>
      </c>
      <c r="V563" s="1910" t="s">
        <v>3688</v>
      </c>
      <c r="W563" s="1910" t="s">
        <v>3688</v>
      </c>
      <c r="X563" s="1910"/>
      <c r="Y563" s="1910"/>
      <c r="Z563" s="1910"/>
      <c r="AA563" s="1910" t="s">
        <v>3694</v>
      </c>
      <c r="AB563" s="1910" t="s">
        <v>3688</v>
      </c>
      <c r="AC563" s="1910" t="s">
        <v>4105</v>
      </c>
      <c r="AD563" s="2285" t="s">
        <v>3688</v>
      </c>
      <c r="AE563" s="2259"/>
      <c r="AF563" s="2260"/>
      <c r="AG563" s="2285" t="s">
        <v>3696</v>
      </c>
      <c r="AH563" s="2259"/>
      <c r="AI563" s="2260"/>
      <c r="AJ563" s="1910" t="s">
        <v>5025</v>
      </c>
      <c r="AK563" s="2285" t="s">
        <v>3688</v>
      </c>
      <c r="AL563" s="2259"/>
      <c r="AM563" s="2259"/>
      <c r="AN563" s="2259"/>
      <c r="AO563" s="2260"/>
      <c r="AP563" s="1910" t="s">
        <v>3688</v>
      </c>
      <c r="BC563" s="214"/>
      <c r="BD563" s="214"/>
      <c r="BE563" s="214"/>
      <c r="BF563" s="214"/>
    </row>
    <row r="564" spans="1:58" ht="45" hidden="1" customHeight="1">
      <c r="A564" s="808"/>
      <c r="B564" s="2280"/>
      <c r="C564" s="2281"/>
      <c r="D564" s="2282"/>
      <c r="E564" s="1909" t="s">
        <v>3682</v>
      </c>
      <c r="F564" s="1909" t="s">
        <v>4458</v>
      </c>
      <c r="G564" s="1909"/>
      <c r="H564" s="2283" t="s">
        <v>5012</v>
      </c>
      <c r="I564" s="2281"/>
      <c r="J564" s="2282"/>
      <c r="K564" s="2283" t="s">
        <v>5037</v>
      </c>
      <c r="L564" s="2282"/>
      <c r="M564" s="1909" t="e">
        <f>VLOOKUP(K564,'Estimate Details'!$R:$BR,20,FALSE)</f>
        <v>#N/A</v>
      </c>
      <c r="N564" s="1909" t="e">
        <f>VLOOKUP(M564,#REF!,2,FALSE)</f>
        <v>#N/A</v>
      </c>
      <c r="O564" s="1909" t="s">
        <v>4211</v>
      </c>
      <c r="P564" s="2284" t="s">
        <v>4130</v>
      </c>
      <c r="Q564" s="2281"/>
      <c r="R564" s="2282"/>
      <c r="S564" s="1909" t="s">
        <v>3688</v>
      </c>
      <c r="T564" s="1909" t="s">
        <v>3689</v>
      </c>
      <c r="U564" s="1909" t="s">
        <v>3690</v>
      </c>
      <c r="V564" s="1909" t="s">
        <v>4147</v>
      </c>
      <c r="W564" s="1909" t="s">
        <v>3688</v>
      </c>
      <c r="X564" s="1909" t="s">
        <v>4148</v>
      </c>
      <c r="Y564" s="1909"/>
      <c r="Z564" s="1909"/>
      <c r="AA564" s="1909" t="s">
        <v>3694</v>
      </c>
      <c r="AB564" s="1909" t="s">
        <v>4149</v>
      </c>
      <c r="AC564" s="1909" t="s">
        <v>4150</v>
      </c>
      <c r="AD564" s="2283" t="s">
        <v>4151</v>
      </c>
      <c r="AE564" s="2281"/>
      <c r="AF564" s="2282"/>
      <c r="AG564" s="2283" t="s">
        <v>4878</v>
      </c>
      <c r="AH564" s="2281"/>
      <c r="AI564" s="2282"/>
      <c r="AJ564" s="1909" t="s">
        <v>4153</v>
      </c>
      <c r="AK564" s="2283" t="s">
        <v>4154</v>
      </c>
      <c r="AL564" s="2281"/>
      <c r="AM564" s="2259"/>
      <c r="AN564" s="2281"/>
      <c r="AO564" s="2282"/>
      <c r="AP564" s="1909" t="s">
        <v>3699</v>
      </c>
      <c r="BC564" s="214"/>
      <c r="BD564" s="214"/>
      <c r="BE564" s="214"/>
      <c r="BF564" s="214"/>
    </row>
    <row r="565" spans="1:58" ht="45" hidden="1" customHeight="1">
      <c r="B565" s="2277"/>
      <c r="C565" s="2259"/>
      <c r="D565" s="2260"/>
      <c r="E565" s="1908" t="s">
        <v>3682</v>
      </c>
      <c r="F565" s="1910" t="s">
        <v>3688</v>
      </c>
      <c r="G565" s="1910"/>
      <c r="H565" s="2285" t="s">
        <v>5012</v>
      </c>
      <c r="I565" s="2259"/>
      <c r="J565" s="2260"/>
      <c r="K565" s="2285" t="s">
        <v>5038</v>
      </c>
      <c r="L565" s="2260"/>
      <c r="M565" s="1910" t="e">
        <f>VLOOKUP(K565,'Estimate Details'!$R:$BR,20,FALSE)</f>
        <v>#N/A</v>
      </c>
      <c r="N565" s="1910" t="e">
        <f>VLOOKUP(M565,#REF!,2,FALSE)</f>
        <v>#N/A</v>
      </c>
      <c r="O565" s="1910" t="s">
        <v>4156</v>
      </c>
      <c r="P565" s="2285" t="s">
        <v>3688</v>
      </c>
      <c r="Q565" s="2259"/>
      <c r="R565" s="2260"/>
      <c r="S565" s="1910" t="s">
        <v>5039</v>
      </c>
      <c r="T565" s="1910" t="s">
        <v>3689</v>
      </c>
      <c r="U565" s="1910" t="s">
        <v>3688</v>
      </c>
      <c r="V565" s="1910" t="s">
        <v>3688</v>
      </c>
      <c r="W565" s="1910" t="s">
        <v>3688</v>
      </c>
      <c r="X565" s="1910"/>
      <c r="Y565" s="1910"/>
      <c r="Z565" s="1910"/>
      <c r="AA565" s="1910" t="s">
        <v>3694</v>
      </c>
      <c r="AB565" s="1910" t="s">
        <v>3688</v>
      </c>
      <c r="AC565" s="1910" t="s">
        <v>4105</v>
      </c>
      <c r="AD565" s="2285" t="s">
        <v>3688</v>
      </c>
      <c r="AE565" s="2259"/>
      <c r="AF565" s="2260"/>
      <c r="AG565" s="2285" t="s">
        <v>3696</v>
      </c>
      <c r="AH565" s="2259"/>
      <c r="AI565" s="2260"/>
      <c r="AJ565" s="1910" t="s">
        <v>4158</v>
      </c>
      <c r="AK565" s="2285" t="s">
        <v>3688</v>
      </c>
      <c r="AL565" s="2259"/>
      <c r="AM565" s="2259"/>
      <c r="AN565" s="2259"/>
      <c r="AO565" s="2260"/>
      <c r="AP565" s="1910" t="s">
        <v>3688</v>
      </c>
      <c r="BC565" s="214"/>
      <c r="BD565" s="214"/>
      <c r="BE565" s="214"/>
      <c r="BF565" s="214"/>
    </row>
    <row r="566" spans="1:58" ht="45" hidden="1" customHeight="1">
      <c r="A566" s="808"/>
      <c r="B566" s="2280"/>
      <c r="C566" s="2281"/>
      <c r="D566" s="2282"/>
      <c r="E566" s="1909" t="s">
        <v>3682</v>
      </c>
      <c r="F566" s="1909" t="s">
        <v>4458</v>
      </c>
      <c r="G566" s="1909"/>
      <c r="H566" s="2283" t="s">
        <v>5012</v>
      </c>
      <c r="I566" s="2281"/>
      <c r="J566" s="2282"/>
      <c r="K566" s="2283" t="s">
        <v>1737</v>
      </c>
      <c r="L566" s="2282"/>
      <c r="M566" s="1909">
        <f>VLOOKUP(K566,'Estimate Details'!$R:$BR,20,FALSE)</f>
        <v>3320.9800000000005</v>
      </c>
      <c r="N566" s="1909" t="e">
        <f>VLOOKUP(M566,#REF!,2,FALSE)</f>
        <v>#REF!</v>
      </c>
      <c r="O566" s="1909" t="s">
        <v>5040</v>
      </c>
      <c r="P566" s="2284" t="s">
        <v>4180</v>
      </c>
      <c r="Q566" s="2281"/>
      <c r="R566" s="2282"/>
      <c r="S566" s="1909" t="s">
        <v>3688</v>
      </c>
      <c r="T566" s="1909" t="s">
        <v>3689</v>
      </c>
      <c r="U566" s="1909" t="s">
        <v>3707</v>
      </c>
      <c r="V566" s="1909" t="s">
        <v>4147</v>
      </c>
      <c r="W566" s="1909" t="s">
        <v>3688</v>
      </c>
      <c r="X566" s="1909"/>
      <c r="Y566" s="1909"/>
      <c r="Z566" s="1909"/>
      <c r="AA566" s="1909" t="s">
        <v>3957</v>
      </c>
      <c r="AB566" s="1909" t="s">
        <v>4216</v>
      </c>
      <c r="AC566" s="1909" t="s">
        <v>3696</v>
      </c>
      <c r="AD566" s="2283" t="s">
        <v>4192</v>
      </c>
      <c r="AE566" s="2281"/>
      <c r="AF566" s="2282"/>
      <c r="AG566" s="2283" t="s">
        <v>3696</v>
      </c>
      <c r="AH566" s="2281"/>
      <c r="AI566" s="2282"/>
      <c r="AJ566" s="1909" t="s">
        <v>4163</v>
      </c>
      <c r="AK566" s="2283" t="s">
        <v>4193</v>
      </c>
      <c r="AL566" s="2281"/>
      <c r="AM566" s="2259"/>
      <c r="AN566" s="2281"/>
      <c r="AO566" s="2282"/>
      <c r="AP566" s="1909" t="s">
        <v>3699</v>
      </c>
      <c r="BC566" s="214"/>
      <c r="BD566" s="214"/>
      <c r="BE566" s="214"/>
      <c r="BF566" s="214"/>
    </row>
    <row r="567" spans="1:58" ht="45" hidden="1" customHeight="1">
      <c r="B567" s="2277"/>
      <c r="C567" s="2259"/>
      <c r="D567" s="2260"/>
      <c r="E567" s="1908" t="s">
        <v>3682</v>
      </c>
      <c r="F567" s="1908" t="s">
        <v>4458</v>
      </c>
      <c r="G567" s="1908"/>
      <c r="H567" s="2278" t="s">
        <v>5012</v>
      </c>
      <c r="I567" s="2259"/>
      <c r="J567" s="2260"/>
      <c r="K567" s="2278" t="s">
        <v>1740</v>
      </c>
      <c r="L567" s="2260"/>
      <c r="M567" s="1908">
        <f>VLOOKUP(K567,'Estimate Details'!$R:$BR,20,FALSE)</f>
        <v>3320.9800000000005</v>
      </c>
      <c r="N567" s="1908" t="e">
        <f>VLOOKUP(M567,#REF!,2,FALSE)</f>
        <v>#REF!</v>
      </c>
      <c r="O567" s="1908" t="s">
        <v>5041</v>
      </c>
      <c r="P567" s="2278" t="s">
        <v>4180</v>
      </c>
      <c r="Q567" s="2259"/>
      <c r="R567" s="2260"/>
      <c r="S567" s="1908" t="s">
        <v>3688</v>
      </c>
      <c r="T567" s="1908" t="s">
        <v>3689</v>
      </c>
      <c r="U567" s="1908" t="s">
        <v>3707</v>
      </c>
      <c r="V567" s="1908" t="s">
        <v>4147</v>
      </c>
      <c r="W567" s="1908" t="s">
        <v>3688</v>
      </c>
      <c r="X567" s="1908"/>
      <c r="Y567" s="1908"/>
      <c r="Z567" s="1908"/>
      <c r="AA567" s="1908" t="s">
        <v>3957</v>
      </c>
      <c r="AB567" s="1908" t="s">
        <v>3688</v>
      </c>
      <c r="AC567" s="1908" t="s">
        <v>3696</v>
      </c>
      <c r="AD567" s="2278" t="s">
        <v>1</v>
      </c>
      <c r="AE567" s="2259"/>
      <c r="AF567" s="2260"/>
      <c r="AG567" s="2278" t="s">
        <v>3696</v>
      </c>
      <c r="AH567" s="2259"/>
      <c r="AI567" s="2260"/>
      <c r="AJ567" s="1908" t="s">
        <v>5022</v>
      </c>
      <c r="AK567" s="2278" t="s">
        <v>3688</v>
      </c>
      <c r="AL567" s="2259"/>
      <c r="AM567" s="2259"/>
      <c r="AN567" s="2259"/>
      <c r="AO567" s="2260"/>
      <c r="AP567" s="1908" t="s">
        <v>3716</v>
      </c>
      <c r="BC567" s="214"/>
      <c r="BD567" s="214"/>
      <c r="BE567" s="214"/>
      <c r="BF567" s="214"/>
    </row>
    <row r="568" spans="1:58" ht="45" hidden="1" customHeight="1">
      <c r="A568" s="808"/>
      <c r="B568" s="2280"/>
      <c r="C568" s="2281"/>
      <c r="D568" s="2282"/>
      <c r="E568" s="1909" t="s">
        <v>3682</v>
      </c>
      <c r="F568" s="1909" t="s">
        <v>4458</v>
      </c>
      <c r="G568" s="1909"/>
      <c r="H568" s="2283" t="s">
        <v>5012</v>
      </c>
      <c r="I568" s="2281"/>
      <c r="J568" s="2282"/>
      <c r="K568" s="2283" t="s">
        <v>1743</v>
      </c>
      <c r="L568" s="2282"/>
      <c r="M568" s="1909">
        <f>VLOOKUP(K568,'Estimate Details'!$R:$BR,20,FALSE)</f>
        <v>3320.9800000000005</v>
      </c>
      <c r="N568" s="1909" t="e">
        <f>VLOOKUP(M568,#REF!,2,FALSE)</f>
        <v>#REF!</v>
      </c>
      <c r="O568" s="1909" t="s">
        <v>5042</v>
      </c>
      <c r="P568" s="2284" t="s">
        <v>4180</v>
      </c>
      <c r="Q568" s="2281"/>
      <c r="R568" s="2282"/>
      <c r="S568" s="1909" t="s">
        <v>3688</v>
      </c>
      <c r="T568" s="1909" t="s">
        <v>3689</v>
      </c>
      <c r="U568" s="1909" t="s">
        <v>3707</v>
      </c>
      <c r="V568" s="1909" t="s">
        <v>4147</v>
      </c>
      <c r="W568" s="1909" t="s">
        <v>3688</v>
      </c>
      <c r="X568" s="1909"/>
      <c r="Y568" s="1909"/>
      <c r="Z568" s="1909"/>
      <c r="AA568" s="1909" t="s">
        <v>3957</v>
      </c>
      <c r="AB568" s="1909" t="s">
        <v>3688</v>
      </c>
      <c r="AC568" s="1909" t="s">
        <v>3696</v>
      </c>
      <c r="AD568" s="2283" t="s">
        <v>1</v>
      </c>
      <c r="AE568" s="2281"/>
      <c r="AF568" s="2282"/>
      <c r="AG568" s="2283" t="s">
        <v>3696</v>
      </c>
      <c r="AH568" s="2281"/>
      <c r="AI568" s="2282"/>
      <c r="AJ568" s="1909" t="s">
        <v>5022</v>
      </c>
      <c r="AK568" s="2283" t="s">
        <v>3688</v>
      </c>
      <c r="AL568" s="2281"/>
      <c r="AM568" s="2259"/>
      <c r="AN568" s="2281"/>
      <c r="AO568" s="2282"/>
      <c r="AP568" s="1909" t="s">
        <v>3716</v>
      </c>
      <c r="BC568" s="214"/>
      <c r="BD568" s="214"/>
      <c r="BE568" s="214"/>
      <c r="BF568" s="214"/>
    </row>
    <row r="569" spans="1:58" ht="45" hidden="1" customHeight="1">
      <c r="B569" s="2277"/>
      <c r="C569" s="2259"/>
      <c r="D569" s="2260"/>
      <c r="E569" s="1908" t="s">
        <v>3682</v>
      </c>
      <c r="F569" s="1908" t="s">
        <v>4458</v>
      </c>
      <c r="G569" s="1908"/>
      <c r="H569" s="2278" t="s">
        <v>5012</v>
      </c>
      <c r="I569" s="2259"/>
      <c r="J569" s="2260"/>
      <c r="K569" s="2278" t="s">
        <v>1732</v>
      </c>
      <c r="L569" s="2260"/>
      <c r="M569" s="1908">
        <f>VLOOKUP(K569,'Estimate Details'!$R:$BR,20,FALSE)</f>
        <v>1929.6716666666666</v>
      </c>
      <c r="N569" s="1908" t="e">
        <f>VLOOKUP(M569,#REF!,2,FALSE)</f>
        <v>#REF!</v>
      </c>
      <c r="O569" s="1908" t="s">
        <v>4217</v>
      </c>
      <c r="P569" s="2278" t="s">
        <v>4180</v>
      </c>
      <c r="Q569" s="2259"/>
      <c r="R569" s="2260"/>
      <c r="S569" s="1908" t="s">
        <v>3688</v>
      </c>
      <c r="T569" s="1908" t="s">
        <v>3689</v>
      </c>
      <c r="U569" s="1908" t="s">
        <v>3690</v>
      </c>
      <c r="V569" s="1908" t="s">
        <v>4147</v>
      </c>
      <c r="W569" s="1908" t="s">
        <v>3688</v>
      </c>
      <c r="X569" s="1908" t="s">
        <v>4218</v>
      </c>
      <c r="Y569" s="1908"/>
      <c r="Z569" s="1908"/>
      <c r="AA569" s="1908" t="s">
        <v>3957</v>
      </c>
      <c r="AB569" s="1908" t="s">
        <v>4219</v>
      </c>
      <c r="AC569" s="1908" t="s">
        <v>3696</v>
      </c>
      <c r="AD569" s="2278" t="s">
        <v>4220</v>
      </c>
      <c r="AE569" s="2259"/>
      <c r="AF569" s="2260"/>
      <c r="AG569" s="2278" t="s">
        <v>4878</v>
      </c>
      <c r="AH569" s="2259"/>
      <c r="AI569" s="2260"/>
      <c r="AJ569" s="1908" t="s">
        <v>4153</v>
      </c>
      <c r="AK569" s="2278" t="s">
        <v>4221</v>
      </c>
      <c r="AL569" s="2259"/>
      <c r="AM569" s="2259"/>
      <c r="AN569" s="2259"/>
      <c r="AO569" s="2260"/>
      <c r="AP569" s="1908" t="s">
        <v>3699</v>
      </c>
      <c r="BC569" s="214"/>
      <c r="BD569" s="214"/>
      <c r="BE569" s="214"/>
      <c r="BF569" s="214"/>
    </row>
    <row r="570" spans="1:58" ht="45" hidden="1" customHeight="1">
      <c r="A570" s="808"/>
      <c r="B570" s="2280"/>
      <c r="C570" s="2281"/>
      <c r="D570" s="2282"/>
      <c r="E570" s="1909" t="s">
        <v>3682</v>
      </c>
      <c r="F570" s="1909" t="s">
        <v>4458</v>
      </c>
      <c r="G570" s="1909"/>
      <c r="H570" s="2283" t="s">
        <v>5012</v>
      </c>
      <c r="I570" s="2281"/>
      <c r="J570" s="2282"/>
      <c r="K570" s="2283" t="s">
        <v>1695</v>
      </c>
      <c r="L570" s="2282"/>
      <c r="M570" s="1909">
        <f>VLOOKUP(K570,'Estimate Details'!$R:$BR,20,FALSE)</f>
        <v>6641.96</v>
      </c>
      <c r="N570" s="1909" t="e">
        <f>VLOOKUP(M570,#REF!,2,FALSE)</f>
        <v>#REF!</v>
      </c>
      <c r="O570" s="1909" t="s">
        <v>4222</v>
      </c>
      <c r="P570" s="2284" t="s">
        <v>4180</v>
      </c>
      <c r="Q570" s="2281"/>
      <c r="R570" s="2282"/>
      <c r="S570" s="1909" t="s">
        <v>3688</v>
      </c>
      <c r="T570" s="1909" t="s">
        <v>3689</v>
      </c>
      <c r="U570" s="1909" t="s">
        <v>3690</v>
      </c>
      <c r="V570" s="1909" t="s">
        <v>4147</v>
      </c>
      <c r="W570" s="1909" t="s">
        <v>3688</v>
      </c>
      <c r="X570" s="1909" t="s">
        <v>4181</v>
      </c>
      <c r="Y570" s="1909"/>
      <c r="Z570" s="1909"/>
      <c r="AA570" s="1909" t="s">
        <v>3694</v>
      </c>
      <c r="AB570" s="1909" t="s">
        <v>4182</v>
      </c>
      <c r="AC570" s="1909" t="s">
        <v>3696</v>
      </c>
      <c r="AD570" s="2283" t="s">
        <v>4183</v>
      </c>
      <c r="AE570" s="2281"/>
      <c r="AF570" s="2282"/>
      <c r="AG570" s="2283" t="s">
        <v>4878</v>
      </c>
      <c r="AH570" s="2281"/>
      <c r="AI570" s="2282"/>
      <c r="AJ570" s="1909" t="s">
        <v>4153</v>
      </c>
      <c r="AK570" s="2283" t="s">
        <v>4184</v>
      </c>
      <c r="AL570" s="2281"/>
      <c r="AM570" s="2259"/>
      <c r="AN570" s="2281"/>
      <c r="AO570" s="2282"/>
      <c r="AP570" s="1909" t="s">
        <v>3699</v>
      </c>
      <c r="BC570" s="214"/>
      <c r="BD570" s="214"/>
      <c r="BE570" s="214"/>
      <c r="BF570" s="214"/>
    </row>
    <row r="571" spans="1:58" ht="45" hidden="1" customHeight="1">
      <c r="B571" s="2277"/>
      <c r="C571" s="2259"/>
      <c r="D571" s="2260"/>
      <c r="E571" s="1908" t="s">
        <v>3682</v>
      </c>
      <c r="F571" s="1908" t="s">
        <v>4458</v>
      </c>
      <c r="G571" s="1908"/>
      <c r="H571" s="2278" t="s">
        <v>5043</v>
      </c>
      <c r="I571" s="2259"/>
      <c r="J571" s="2260"/>
      <c r="K571" s="2278" t="s">
        <v>5044</v>
      </c>
      <c r="L571" s="2260"/>
      <c r="M571" s="1908" t="e">
        <f>VLOOKUP(K571,'Estimate Details'!$R:$BR,20,FALSE)</f>
        <v>#N/A</v>
      </c>
      <c r="N571" s="1908" t="e">
        <f>VLOOKUP(M571,#REF!,2,FALSE)</f>
        <v>#N/A</v>
      </c>
      <c r="O571" s="1908" t="s">
        <v>5045</v>
      </c>
      <c r="P571" s="2278" t="s">
        <v>4175</v>
      </c>
      <c r="Q571" s="2259"/>
      <c r="R571" s="2260"/>
      <c r="S571" s="1908" t="s">
        <v>3688</v>
      </c>
      <c r="T571" s="1908" t="s">
        <v>3689</v>
      </c>
      <c r="U571" s="1908" t="s">
        <v>3707</v>
      </c>
      <c r="V571" s="1908" t="s">
        <v>4176</v>
      </c>
      <c r="W571" s="1908" t="s">
        <v>3688</v>
      </c>
      <c r="X571" s="1908" t="s">
        <v>5046</v>
      </c>
      <c r="Y571" s="1908" t="s">
        <v>5047</v>
      </c>
      <c r="Z571" s="1908"/>
      <c r="AA571" s="1908" t="s">
        <v>3694</v>
      </c>
      <c r="AB571" s="1908" t="s">
        <v>5048</v>
      </c>
      <c r="AC571" s="1908" t="s">
        <v>5049</v>
      </c>
      <c r="AD571" s="2278" t="s">
        <v>5050</v>
      </c>
      <c r="AE571" s="2259"/>
      <c r="AF571" s="2260"/>
      <c r="AG571" s="2278" t="s">
        <v>3696</v>
      </c>
      <c r="AH571" s="2259"/>
      <c r="AI571" s="2260"/>
      <c r="AJ571" s="1908" t="s">
        <v>3814</v>
      </c>
      <c r="AK571" s="2278" t="s">
        <v>5051</v>
      </c>
      <c r="AL571" s="2259"/>
      <c r="AM571" s="2259"/>
      <c r="AN571" s="2259"/>
      <c r="AO571" s="2260"/>
      <c r="AP571" s="1908" t="s">
        <v>3699</v>
      </c>
      <c r="BC571" s="214"/>
      <c r="BD571" s="214"/>
      <c r="BE571" s="214"/>
      <c r="BF571" s="214"/>
    </row>
    <row r="572" spans="1:58" ht="45" hidden="1" customHeight="1">
      <c r="A572" s="808"/>
      <c r="B572" s="2280"/>
      <c r="C572" s="2281"/>
      <c r="D572" s="2282"/>
      <c r="E572" s="1909" t="s">
        <v>3682</v>
      </c>
      <c r="F572" s="1909" t="s">
        <v>4458</v>
      </c>
      <c r="G572" s="1909"/>
      <c r="H572" s="2283" t="s">
        <v>5043</v>
      </c>
      <c r="I572" s="2281"/>
      <c r="J572" s="2282"/>
      <c r="K572" s="2283" t="s">
        <v>1774</v>
      </c>
      <c r="L572" s="2282"/>
      <c r="M572" s="1909">
        <f>VLOOKUP(K572,'Estimate Details'!$R:$BR,20,FALSE)</f>
        <v>0</v>
      </c>
      <c r="N572" s="1909" t="e">
        <f>VLOOKUP(M572,#REF!,2,FALSE)</f>
        <v>#REF!</v>
      </c>
      <c r="O572" s="1909" t="s">
        <v>5052</v>
      </c>
      <c r="P572" s="2284" t="s">
        <v>4175</v>
      </c>
      <c r="Q572" s="2281"/>
      <c r="R572" s="2282"/>
      <c r="S572" s="1909" t="s">
        <v>3688</v>
      </c>
      <c r="T572" s="1909" t="s">
        <v>3689</v>
      </c>
      <c r="U572" s="1909" t="s">
        <v>3707</v>
      </c>
      <c r="V572" s="1909" t="s">
        <v>4176</v>
      </c>
      <c r="W572" s="1909" t="s">
        <v>3688</v>
      </c>
      <c r="X572" s="1909"/>
      <c r="Y572" s="1909" t="s">
        <v>5053</v>
      </c>
      <c r="Z572" s="1909"/>
      <c r="AA572" s="1909" t="s">
        <v>3694</v>
      </c>
      <c r="AB572" s="1909" t="s">
        <v>5054</v>
      </c>
      <c r="AC572" s="1909" t="s">
        <v>5055</v>
      </c>
      <c r="AD572" s="2283" t="s">
        <v>5056</v>
      </c>
      <c r="AE572" s="2281"/>
      <c r="AF572" s="2282"/>
      <c r="AG572" s="2283" t="s">
        <v>3696</v>
      </c>
      <c r="AH572" s="2281"/>
      <c r="AI572" s="2282"/>
      <c r="AJ572" s="1909" t="s">
        <v>3814</v>
      </c>
      <c r="AK572" s="2283" t="s">
        <v>5057</v>
      </c>
      <c r="AL572" s="2281"/>
      <c r="AM572" s="2259"/>
      <c r="AN572" s="2281"/>
      <c r="AO572" s="2282"/>
      <c r="AP572" s="1909" t="s">
        <v>3699</v>
      </c>
      <c r="BC572" s="214"/>
      <c r="BD572" s="214"/>
      <c r="BE572" s="214"/>
      <c r="BF572" s="214"/>
    </row>
    <row r="573" spans="1:58" ht="45" hidden="1" customHeight="1">
      <c r="B573" s="2277"/>
      <c r="C573" s="2259"/>
      <c r="D573" s="2260"/>
      <c r="E573" s="1908" t="s">
        <v>3682</v>
      </c>
      <c r="F573" s="1908" t="s">
        <v>4458</v>
      </c>
      <c r="G573" s="1908"/>
      <c r="H573" s="2278" t="s">
        <v>5043</v>
      </c>
      <c r="I573" s="2259"/>
      <c r="J573" s="2260"/>
      <c r="K573" s="2278" t="s">
        <v>5058</v>
      </c>
      <c r="L573" s="2260"/>
      <c r="M573" s="1908" t="e">
        <f>VLOOKUP(K573,'Estimate Details'!$R:$BR,20,FALSE)</f>
        <v>#N/A</v>
      </c>
      <c r="N573" s="1908" t="e">
        <f>VLOOKUP(M573,#REF!,2,FALSE)</f>
        <v>#N/A</v>
      </c>
      <c r="O573" s="1908" t="s">
        <v>5059</v>
      </c>
      <c r="P573" s="2278" t="s">
        <v>4175</v>
      </c>
      <c r="Q573" s="2259"/>
      <c r="R573" s="2260"/>
      <c r="S573" s="1908" t="s">
        <v>3688</v>
      </c>
      <c r="T573" s="1908" t="s">
        <v>3689</v>
      </c>
      <c r="U573" s="1908" t="s">
        <v>3707</v>
      </c>
      <c r="V573" s="1908" t="s">
        <v>4176</v>
      </c>
      <c r="W573" s="1908" t="s">
        <v>3688</v>
      </c>
      <c r="X573" s="1908" t="s">
        <v>5060</v>
      </c>
      <c r="Y573" s="1908" t="s">
        <v>5061</v>
      </c>
      <c r="Z573" s="1908"/>
      <c r="AA573" s="1908" t="s">
        <v>3694</v>
      </c>
      <c r="AB573" s="1908" t="s">
        <v>5062</v>
      </c>
      <c r="AC573" s="1908" t="s">
        <v>3804</v>
      </c>
      <c r="AD573" s="2278" t="s">
        <v>3688</v>
      </c>
      <c r="AE573" s="2259"/>
      <c r="AF573" s="2260"/>
      <c r="AG573" s="2278" t="s">
        <v>3696</v>
      </c>
      <c r="AH573" s="2259"/>
      <c r="AI573" s="2260"/>
      <c r="AJ573" s="1908" t="s">
        <v>3814</v>
      </c>
      <c r="AK573" s="2278" t="s">
        <v>5063</v>
      </c>
      <c r="AL573" s="2259"/>
      <c r="AM573" s="2259"/>
      <c r="AN573" s="2259"/>
      <c r="AO573" s="2260"/>
      <c r="AP573" s="1908" t="s">
        <v>3699</v>
      </c>
      <c r="BC573" s="214"/>
      <c r="BD573" s="214"/>
      <c r="BE573" s="214"/>
      <c r="BF573" s="214"/>
    </row>
    <row r="574" spans="1:58" ht="45" hidden="1" customHeight="1">
      <c r="A574" s="808"/>
      <c r="B574" s="2280"/>
      <c r="C574" s="2281"/>
      <c r="D574" s="2282"/>
      <c r="E574" s="1909" t="s">
        <v>3682</v>
      </c>
      <c r="F574" s="1909" t="s">
        <v>4458</v>
      </c>
      <c r="G574" s="1909"/>
      <c r="H574" s="2283" t="s">
        <v>5043</v>
      </c>
      <c r="I574" s="2281"/>
      <c r="J574" s="2282"/>
      <c r="K574" s="2283" t="s">
        <v>5064</v>
      </c>
      <c r="L574" s="2282"/>
      <c r="M574" s="1909" t="e">
        <f>VLOOKUP(K574,'Estimate Details'!$R:$BR,20,FALSE)</f>
        <v>#N/A</v>
      </c>
      <c r="N574" s="1909" t="e">
        <f>VLOOKUP(M574,#REF!,2,FALSE)</f>
        <v>#N/A</v>
      </c>
      <c r="O574" s="1909" t="s">
        <v>5065</v>
      </c>
      <c r="P574" s="2284" t="s">
        <v>4175</v>
      </c>
      <c r="Q574" s="2281"/>
      <c r="R574" s="2282"/>
      <c r="S574" s="1909" t="s">
        <v>3688</v>
      </c>
      <c r="T574" s="1909" t="s">
        <v>3689</v>
      </c>
      <c r="U574" s="1909" t="s">
        <v>3707</v>
      </c>
      <c r="V574" s="1909" t="s">
        <v>4176</v>
      </c>
      <c r="W574" s="1909" t="s">
        <v>3688</v>
      </c>
      <c r="X574" s="1909" t="s">
        <v>5066</v>
      </c>
      <c r="Y574" s="1909"/>
      <c r="Z574" s="1909"/>
      <c r="AA574" s="1909" t="s">
        <v>3694</v>
      </c>
      <c r="AB574" s="1909" t="s">
        <v>5067</v>
      </c>
      <c r="AC574" s="1909" t="s">
        <v>5068</v>
      </c>
      <c r="AD574" s="2283" t="s">
        <v>5069</v>
      </c>
      <c r="AE574" s="2281"/>
      <c r="AF574" s="2282"/>
      <c r="AG574" s="2283" t="s">
        <v>3696</v>
      </c>
      <c r="AH574" s="2281"/>
      <c r="AI574" s="2282"/>
      <c r="AJ574" s="1909" t="s">
        <v>3814</v>
      </c>
      <c r="AK574" s="2283" t="s">
        <v>5070</v>
      </c>
      <c r="AL574" s="2281"/>
      <c r="AM574" s="2259"/>
      <c r="AN574" s="2281"/>
      <c r="AO574" s="2282"/>
      <c r="AP574" s="1909" t="s">
        <v>3699</v>
      </c>
      <c r="BC574" s="214"/>
      <c r="BD574" s="214"/>
      <c r="BE574" s="214"/>
      <c r="BF574" s="214"/>
    </row>
    <row r="575" spans="1:58" ht="45" hidden="1" customHeight="1">
      <c r="B575" s="2277"/>
      <c r="C575" s="2259"/>
      <c r="D575" s="2260"/>
      <c r="E575" s="1908" t="s">
        <v>3682</v>
      </c>
      <c r="F575" s="1910" t="s">
        <v>3688</v>
      </c>
      <c r="G575" s="1910"/>
      <c r="H575" s="2285" t="s">
        <v>5043</v>
      </c>
      <c r="I575" s="2259"/>
      <c r="J575" s="2260"/>
      <c r="K575" s="2285" t="s">
        <v>1777</v>
      </c>
      <c r="L575" s="2260"/>
      <c r="M575" s="1910">
        <f>VLOOKUP(K575,'Estimate Details'!$R:$BR,20,FALSE)</f>
        <v>0</v>
      </c>
      <c r="N575" s="1910" t="e">
        <f>VLOOKUP(M575,#REF!,2,FALSE)</f>
        <v>#REF!</v>
      </c>
      <c r="O575" s="1910" t="s">
        <v>5071</v>
      </c>
      <c r="P575" s="2285" t="s">
        <v>3688</v>
      </c>
      <c r="Q575" s="2259"/>
      <c r="R575" s="2260"/>
      <c r="S575" s="1910" t="s">
        <v>5072</v>
      </c>
      <c r="T575" s="1910" t="s">
        <v>3689</v>
      </c>
      <c r="U575" s="1910" t="s">
        <v>3688</v>
      </c>
      <c r="V575" s="1910" t="s">
        <v>3688</v>
      </c>
      <c r="W575" s="1910" t="s">
        <v>3688</v>
      </c>
      <c r="X575" s="1910"/>
      <c r="Y575" s="1910"/>
      <c r="Z575" s="1910"/>
      <c r="AA575" s="1910" t="s">
        <v>3694</v>
      </c>
      <c r="AB575" s="1910" t="s">
        <v>3688</v>
      </c>
      <c r="AC575" s="1910" t="s">
        <v>5073</v>
      </c>
      <c r="AD575" s="2285" t="s">
        <v>3688</v>
      </c>
      <c r="AE575" s="2259"/>
      <c r="AF575" s="2260"/>
      <c r="AG575" s="2285" t="s">
        <v>3696</v>
      </c>
      <c r="AH575" s="2259"/>
      <c r="AI575" s="2260"/>
      <c r="AJ575" s="1910" t="s">
        <v>4305</v>
      </c>
      <c r="AK575" s="2285" t="s">
        <v>3688</v>
      </c>
      <c r="AL575" s="2259"/>
      <c r="AM575" s="2259"/>
      <c r="AN575" s="2259"/>
      <c r="AO575" s="2260"/>
      <c r="AP575" s="1910" t="s">
        <v>3688</v>
      </c>
      <c r="BC575" s="214"/>
      <c r="BD575" s="214"/>
      <c r="BE575" s="214"/>
      <c r="BF575" s="214"/>
    </row>
    <row r="576" spans="1:58" ht="45" hidden="1" customHeight="1">
      <c r="A576" s="808"/>
      <c r="B576" s="2280"/>
      <c r="C576" s="2281"/>
      <c r="D576" s="2282"/>
      <c r="E576" s="1909" t="s">
        <v>3682</v>
      </c>
      <c r="F576" s="1911" t="s">
        <v>3688</v>
      </c>
      <c r="G576" s="1911"/>
      <c r="H576" s="2286" t="s">
        <v>5043</v>
      </c>
      <c r="I576" s="2281"/>
      <c r="J576" s="2282"/>
      <c r="K576" s="2286" t="s">
        <v>5074</v>
      </c>
      <c r="L576" s="2282"/>
      <c r="M576" s="1911" t="e">
        <f>VLOOKUP(K576,'Estimate Details'!$R:$BR,20,FALSE)</f>
        <v>#N/A</v>
      </c>
      <c r="N576" s="1911" t="e">
        <f>VLOOKUP(M576,#REF!,2,FALSE)</f>
        <v>#N/A</v>
      </c>
      <c r="O576" s="1911" t="s">
        <v>5075</v>
      </c>
      <c r="P576" s="2287" t="s">
        <v>3688</v>
      </c>
      <c r="Q576" s="2281"/>
      <c r="R576" s="2282"/>
      <c r="S576" s="1911" t="s">
        <v>5072</v>
      </c>
      <c r="T576" s="1911" t="s">
        <v>3689</v>
      </c>
      <c r="U576" s="1911" t="s">
        <v>3688</v>
      </c>
      <c r="V576" s="1911" t="s">
        <v>3688</v>
      </c>
      <c r="W576" s="1911" t="s">
        <v>3688</v>
      </c>
      <c r="X576" s="1911"/>
      <c r="Y576" s="1911"/>
      <c r="Z576" s="1911"/>
      <c r="AA576" s="1911" t="s">
        <v>3694</v>
      </c>
      <c r="AB576" s="1911" t="s">
        <v>3688</v>
      </c>
      <c r="AC576" s="1911" t="s">
        <v>5076</v>
      </c>
      <c r="AD576" s="2286" t="s">
        <v>3688</v>
      </c>
      <c r="AE576" s="2281"/>
      <c r="AF576" s="2282"/>
      <c r="AG576" s="2286" t="s">
        <v>3696</v>
      </c>
      <c r="AH576" s="2281"/>
      <c r="AI576" s="2282"/>
      <c r="AJ576" s="1911" t="s">
        <v>4305</v>
      </c>
      <c r="AK576" s="2286" t="s">
        <v>3688</v>
      </c>
      <c r="AL576" s="2281"/>
      <c r="AM576" s="2259"/>
      <c r="AN576" s="2281"/>
      <c r="AO576" s="2282"/>
      <c r="AP576" s="1911" t="s">
        <v>3688</v>
      </c>
      <c r="BC576" s="214"/>
      <c r="BD576" s="214"/>
      <c r="BE576" s="214"/>
      <c r="BF576" s="214"/>
    </row>
    <row r="577" spans="1:58" ht="45" hidden="1" customHeight="1">
      <c r="B577" s="2277"/>
      <c r="C577" s="2259"/>
      <c r="D577" s="2260"/>
      <c r="E577" s="1908" t="s">
        <v>3682</v>
      </c>
      <c r="F577" s="1908" t="s">
        <v>4458</v>
      </c>
      <c r="G577" s="1908"/>
      <c r="H577" s="2278" t="s">
        <v>5043</v>
      </c>
      <c r="I577" s="2259"/>
      <c r="J577" s="2260"/>
      <c r="K577" s="2278" t="s">
        <v>5077</v>
      </c>
      <c r="L577" s="2260"/>
      <c r="M577" s="1908" t="e">
        <f>VLOOKUP(K577,'Estimate Details'!$R:$BR,20,FALSE)</f>
        <v>#N/A</v>
      </c>
      <c r="N577" s="1908" t="e">
        <f>VLOOKUP(M577,#REF!,2,FALSE)</f>
        <v>#N/A</v>
      </c>
      <c r="O577" s="1908" t="s">
        <v>5078</v>
      </c>
      <c r="P577" s="2278" t="s">
        <v>4175</v>
      </c>
      <c r="Q577" s="2259"/>
      <c r="R577" s="2260"/>
      <c r="S577" s="1908" t="s">
        <v>3688</v>
      </c>
      <c r="T577" s="1908" t="s">
        <v>3689</v>
      </c>
      <c r="U577" s="1908" t="s">
        <v>3707</v>
      </c>
      <c r="V577" s="1908" t="s">
        <v>4176</v>
      </c>
      <c r="W577" s="1908" t="s">
        <v>3688</v>
      </c>
      <c r="X577" s="1908"/>
      <c r="Y577" s="1908"/>
      <c r="Z577" s="1908"/>
      <c r="AA577" s="1908" t="s">
        <v>3694</v>
      </c>
      <c r="AB577" s="1908" t="s">
        <v>3688</v>
      </c>
      <c r="AC577" s="1908" t="s">
        <v>3804</v>
      </c>
      <c r="AD577" s="2278" t="s">
        <v>3688</v>
      </c>
      <c r="AE577" s="2259"/>
      <c r="AF577" s="2260"/>
      <c r="AG577" s="2278" t="s">
        <v>3696</v>
      </c>
      <c r="AH577" s="2259"/>
      <c r="AI577" s="2260"/>
      <c r="AJ577" s="1908" t="s">
        <v>3814</v>
      </c>
      <c r="AK577" s="2278" t="s">
        <v>4254</v>
      </c>
      <c r="AL577" s="2259"/>
      <c r="AM577" s="2259"/>
      <c r="AN577" s="2259"/>
      <c r="AO577" s="2260"/>
      <c r="AP577" s="1908" t="s">
        <v>3716</v>
      </c>
      <c r="BC577" s="214"/>
      <c r="BD577" s="214"/>
      <c r="BE577" s="214"/>
      <c r="BF577" s="214"/>
    </row>
    <row r="578" spans="1:58" ht="45" hidden="1" customHeight="1">
      <c r="A578" s="808"/>
      <c r="B578" s="2280"/>
      <c r="C578" s="2281"/>
      <c r="D578" s="2282"/>
      <c r="E578" s="1909" t="s">
        <v>3682</v>
      </c>
      <c r="F578" s="1909" t="s">
        <v>4458</v>
      </c>
      <c r="G578" s="1909"/>
      <c r="H578" s="2283" t="s">
        <v>5043</v>
      </c>
      <c r="I578" s="2281"/>
      <c r="J578" s="2282"/>
      <c r="K578" s="2283" t="s">
        <v>5079</v>
      </c>
      <c r="L578" s="2282"/>
      <c r="M578" s="1909" t="e">
        <f>VLOOKUP(K578,'Estimate Details'!$R:$BR,20,FALSE)</f>
        <v>#N/A</v>
      </c>
      <c r="N578" s="1909" t="e">
        <f>VLOOKUP(M578,#REF!,2,FALSE)</f>
        <v>#N/A</v>
      </c>
      <c r="O578" s="1909" t="s">
        <v>5080</v>
      </c>
      <c r="P578" s="2284" t="s">
        <v>4175</v>
      </c>
      <c r="Q578" s="2281"/>
      <c r="R578" s="2282"/>
      <c r="S578" s="1909" t="s">
        <v>3688</v>
      </c>
      <c r="T578" s="1909" t="s">
        <v>3689</v>
      </c>
      <c r="U578" s="1909" t="s">
        <v>3707</v>
      </c>
      <c r="V578" s="1909" t="s">
        <v>4176</v>
      </c>
      <c r="W578" s="1909" t="s">
        <v>3688</v>
      </c>
      <c r="X578" s="1909" t="s">
        <v>5081</v>
      </c>
      <c r="Y578" s="1909" t="s">
        <v>5082</v>
      </c>
      <c r="Z578" s="1909"/>
      <c r="AA578" s="1909" t="s">
        <v>3694</v>
      </c>
      <c r="AB578" s="1909" t="s">
        <v>5083</v>
      </c>
      <c r="AC578" s="1909" t="s">
        <v>5084</v>
      </c>
      <c r="AD578" s="2283" t="s">
        <v>5085</v>
      </c>
      <c r="AE578" s="2281"/>
      <c r="AF578" s="2282"/>
      <c r="AG578" s="2283" t="s">
        <v>3696</v>
      </c>
      <c r="AH578" s="2281"/>
      <c r="AI578" s="2282"/>
      <c r="AJ578" s="1909" t="s">
        <v>3814</v>
      </c>
      <c r="AK578" s="2283" t="s">
        <v>5086</v>
      </c>
      <c r="AL578" s="2281"/>
      <c r="AM578" s="2259"/>
      <c r="AN578" s="2281"/>
      <c r="AO578" s="2282"/>
      <c r="AP578" s="1909" t="s">
        <v>3699</v>
      </c>
      <c r="BC578" s="214"/>
      <c r="BD578" s="214"/>
      <c r="BE578" s="214"/>
      <c r="BF578" s="214"/>
    </row>
    <row r="579" spans="1:58" ht="45" hidden="1" customHeight="1">
      <c r="B579" s="2277"/>
      <c r="C579" s="2259"/>
      <c r="D579" s="2260"/>
      <c r="E579" s="1908" t="s">
        <v>3682</v>
      </c>
      <c r="F579" s="1908" t="s">
        <v>4458</v>
      </c>
      <c r="G579" s="1908"/>
      <c r="H579" s="2278" t="s">
        <v>5043</v>
      </c>
      <c r="I579" s="2259"/>
      <c r="J579" s="2260"/>
      <c r="K579" s="2278" t="s">
        <v>5087</v>
      </c>
      <c r="L579" s="2260"/>
      <c r="M579" s="1908" t="e">
        <f>VLOOKUP(K579,'Estimate Details'!$R:$BR,20,FALSE)</f>
        <v>#N/A</v>
      </c>
      <c r="N579" s="1908" t="e">
        <f>VLOOKUP(M579,#REF!,2,FALSE)</f>
        <v>#N/A</v>
      </c>
      <c r="O579" s="1908" t="s">
        <v>5088</v>
      </c>
      <c r="P579" s="2278" t="s">
        <v>4175</v>
      </c>
      <c r="Q579" s="2259"/>
      <c r="R579" s="2260"/>
      <c r="S579" s="1908" t="s">
        <v>3688</v>
      </c>
      <c r="T579" s="1908" t="s">
        <v>3689</v>
      </c>
      <c r="U579" s="1908" t="s">
        <v>3707</v>
      </c>
      <c r="V579" s="1908" t="s">
        <v>4176</v>
      </c>
      <c r="W579" s="1908" t="s">
        <v>3688</v>
      </c>
      <c r="X579" s="1908" t="s">
        <v>5089</v>
      </c>
      <c r="Y579" s="1908" t="s">
        <v>5090</v>
      </c>
      <c r="Z579" s="1908"/>
      <c r="AA579" s="1908" t="s">
        <v>3694</v>
      </c>
      <c r="AB579" s="1908" t="s">
        <v>5091</v>
      </c>
      <c r="AC579" s="1908" t="s">
        <v>4249</v>
      </c>
      <c r="AD579" s="2278" t="s">
        <v>5092</v>
      </c>
      <c r="AE579" s="2259"/>
      <c r="AF579" s="2260"/>
      <c r="AG579" s="2278" t="s">
        <v>3696</v>
      </c>
      <c r="AH579" s="2259"/>
      <c r="AI579" s="2260"/>
      <c r="AJ579" s="1908" t="s">
        <v>3814</v>
      </c>
      <c r="AK579" s="2278" t="s">
        <v>5093</v>
      </c>
      <c r="AL579" s="2259"/>
      <c r="AM579" s="2259"/>
      <c r="AN579" s="2259"/>
      <c r="AO579" s="2260"/>
      <c r="AP579" s="1908" t="s">
        <v>3699</v>
      </c>
      <c r="BC579" s="214"/>
      <c r="BD579" s="214"/>
      <c r="BE579" s="214"/>
      <c r="BF579" s="214"/>
    </row>
    <row r="580" spans="1:58" ht="45" hidden="1" customHeight="1">
      <c r="A580" s="808"/>
      <c r="B580" s="2280"/>
      <c r="C580" s="2281"/>
      <c r="D580" s="2282"/>
      <c r="E580" s="1909" t="s">
        <v>3682</v>
      </c>
      <c r="F580" s="1909" t="s">
        <v>4458</v>
      </c>
      <c r="G580" s="1909"/>
      <c r="H580" s="2283" t="s">
        <v>5043</v>
      </c>
      <c r="I580" s="2281"/>
      <c r="J580" s="2282"/>
      <c r="K580" s="2283" t="s">
        <v>5094</v>
      </c>
      <c r="L580" s="2282"/>
      <c r="M580" s="1909" t="e">
        <f>VLOOKUP(K580,'Estimate Details'!$R:$BR,20,FALSE)</f>
        <v>#N/A</v>
      </c>
      <c r="N580" s="1909" t="e">
        <f>VLOOKUP(M580,#REF!,2,FALSE)</f>
        <v>#N/A</v>
      </c>
      <c r="O580" s="1909" t="s">
        <v>5095</v>
      </c>
      <c r="P580" s="2284" t="s">
        <v>4175</v>
      </c>
      <c r="Q580" s="2281"/>
      <c r="R580" s="2282"/>
      <c r="S580" s="1909" t="s">
        <v>3688</v>
      </c>
      <c r="T580" s="1909" t="s">
        <v>3689</v>
      </c>
      <c r="U580" s="1909" t="s">
        <v>3707</v>
      </c>
      <c r="V580" s="1909" t="s">
        <v>4176</v>
      </c>
      <c r="W580" s="1909" t="s">
        <v>3688</v>
      </c>
      <c r="X580" s="1909" t="s">
        <v>5096</v>
      </c>
      <c r="Y580" s="1909"/>
      <c r="Z580" s="1909"/>
      <c r="AA580" s="1909" t="s">
        <v>3694</v>
      </c>
      <c r="AB580" s="1909" t="s">
        <v>5097</v>
      </c>
      <c r="AC580" s="1909" t="s">
        <v>4954</v>
      </c>
      <c r="AD580" s="2283" t="s">
        <v>5098</v>
      </c>
      <c r="AE580" s="2281"/>
      <c r="AF580" s="2282"/>
      <c r="AG580" s="2283" t="s">
        <v>3696</v>
      </c>
      <c r="AH580" s="2281"/>
      <c r="AI580" s="2282"/>
      <c r="AJ580" s="1909" t="s">
        <v>3814</v>
      </c>
      <c r="AK580" s="2283" t="s">
        <v>5099</v>
      </c>
      <c r="AL580" s="2281"/>
      <c r="AM580" s="2259"/>
      <c r="AN580" s="2281"/>
      <c r="AO580" s="2282"/>
      <c r="AP580" s="1909" t="s">
        <v>3699</v>
      </c>
      <c r="BC580" s="214"/>
      <c r="BD580" s="214"/>
      <c r="BE580" s="214"/>
      <c r="BF580" s="214"/>
    </row>
    <row r="581" spans="1:58" ht="45" hidden="1" customHeight="1">
      <c r="B581" s="2277"/>
      <c r="C581" s="2259"/>
      <c r="D581" s="2260"/>
      <c r="E581" s="1908" t="s">
        <v>3682</v>
      </c>
      <c r="F581" s="1908" t="s">
        <v>4458</v>
      </c>
      <c r="G581" s="1908"/>
      <c r="H581" s="2278" t="s">
        <v>5043</v>
      </c>
      <c r="I581" s="2259"/>
      <c r="J581" s="2260"/>
      <c r="K581" s="2278" t="s">
        <v>5100</v>
      </c>
      <c r="L581" s="2260"/>
      <c r="M581" s="1908" t="e">
        <f>VLOOKUP(K581,'Estimate Details'!$R:$BR,20,FALSE)</f>
        <v>#N/A</v>
      </c>
      <c r="N581" s="1908" t="e">
        <f>VLOOKUP(M581,#REF!,2,FALSE)</f>
        <v>#N/A</v>
      </c>
      <c r="O581" s="1908" t="s">
        <v>5101</v>
      </c>
      <c r="P581" s="2278" t="s">
        <v>4175</v>
      </c>
      <c r="Q581" s="2259"/>
      <c r="R581" s="2260"/>
      <c r="S581" s="1908" t="s">
        <v>3688</v>
      </c>
      <c r="T581" s="1908" t="s">
        <v>3689</v>
      </c>
      <c r="U581" s="1908" t="s">
        <v>3707</v>
      </c>
      <c r="V581" s="1908" t="s">
        <v>4176</v>
      </c>
      <c r="W581" s="1908" t="s">
        <v>3688</v>
      </c>
      <c r="X581" s="1908" t="s">
        <v>5102</v>
      </c>
      <c r="Y581" s="1908"/>
      <c r="Z581" s="1908"/>
      <c r="AA581" s="1908" t="s">
        <v>3694</v>
      </c>
      <c r="AB581" s="1908" t="s">
        <v>5103</v>
      </c>
      <c r="AC581" s="1908" t="s">
        <v>4954</v>
      </c>
      <c r="AD581" s="2278" t="s">
        <v>5098</v>
      </c>
      <c r="AE581" s="2259"/>
      <c r="AF581" s="2260"/>
      <c r="AG581" s="2278" t="s">
        <v>3696</v>
      </c>
      <c r="AH581" s="2259"/>
      <c r="AI581" s="2260"/>
      <c r="AJ581" s="1908" t="s">
        <v>3814</v>
      </c>
      <c r="AK581" s="2278" t="s">
        <v>5104</v>
      </c>
      <c r="AL581" s="2259"/>
      <c r="AM581" s="2259"/>
      <c r="AN581" s="2259"/>
      <c r="AO581" s="2260"/>
      <c r="AP581" s="1908" t="s">
        <v>3699</v>
      </c>
      <c r="BC581" s="214"/>
      <c r="BD581" s="214"/>
      <c r="BE581" s="214"/>
      <c r="BF581" s="214"/>
    </row>
    <row r="582" spans="1:58" ht="45" hidden="1" customHeight="1">
      <c r="A582" s="808"/>
      <c r="B582" s="2280"/>
      <c r="C582" s="2281"/>
      <c r="D582" s="2282"/>
      <c r="E582" s="1909" t="s">
        <v>3682</v>
      </c>
      <c r="F582" s="1909" t="s">
        <v>4458</v>
      </c>
      <c r="G582" s="1909"/>
      <c r="H582" s="2283" t="s">
        <v>5043</v>
      </c>
      <c r="I582" s="2281"/>
      <c r="J582" s="2282"/>
      <c r="K582" s="2283" t="s">
        <v>5105</v>
      </c>
      <c r="L582" s="2282"/>
      <c r="M582" s="1909" t="e">
        <f>VLOOKUP(K582,'Estimate Details'!$R:$BR,20,FALSE)</f>
        <v>#N/A</v>
      </c>
      <c r="N582" s="1909" t="e">
        <f>VLOOKUP(M582,#REF!,2,FALSE)</f>
        <v>#N/A</v>
      </c>
      <c r="O582" s="1909" t="s">
        <v>5106</v>
      </c>
      <c r="P582" s="2284" t="s">
        <v>4175</v>
      </c>
      <c r="Q582" s="2281"/>
      <c r="R582" s="2282"/>
      <c r="S582" s="1909" t="s">
        <v>3688</v>
      </c>
      <c r="T582" s="1909" t="s">
        <v>3689</v>
      </c>
      <c r="U582" s="1909" t="s">
        <v>3707</v>
      </c>
      <c r="V582" s="1909" t="s">
        <v>4176</v>
      </c>
      <c r="W582" s="1909" t="s">
        <v>3688</v>
      </c>
      <c r="X582" s="1909"/>
      <c r="Y582" s="1909"/>
      <c r="Z582" s="1909"/>
      <c r="AA582" s="1909" t="s">
        <v>3694</v>
      </c>
      <c r="AB582" s="1909" t="s">
        <v>3688</v>
      </c>
      <c r="AC582" s="1909" t="s">
        <v>3804</v>
      </c>
      <c r="AD582" s="2283" t="s">
        <v>3688</v>
      </c>
      <c r="AE582" s="2281"/>
      <c r="AF582" s="2282"/>
      <c r="AG582" s="2283" t="s">
        <v>3696</v>
      </c>
      <c r="AH582" s="2281"/>
      <c r="AI582" s="2282"/>
      <c r="AJ582" s="1909" t="s">
        <v>3814</v>
      </c>
      <c r="AK582" s="2283" t="s">
        <v>4254</v>
      </c>
      <c r="AL582" s="2281"/>
      <c r="AM582" s="2259"/>
      <c r="AN582" s="2281"/>
      <c r="AO582" s="2282"/>
      <c r="AP582" s="1909" t="s">
        <v>3716</v>
      </c>
      <c r="BC582" s="214"/>
      <c r="BD582" s="214"/>
      <c r="BE582" s="214"/>
      <c r="BF582" s="214"/>
    </row>
    <row r="583" spans="1:58" ht="45" hidden="1" customHeight="1">
      <c r="B583" s="2277"/>
      <c r="C583" s="2259"/>
      <c r="D583" s="2260"/>
      <c r="E583" s="1908" t="s">
        <v>3682</v>
      </c>
      <c r="F583" s="1908" t="s">
        <v>4458</v>
      </c>
      <c r="G583" s="1908"/>
      <c r="H583" s="2278" t="s">
        <v>5043</v>
      </c>
      <c r="I583" s="2259"/>
      <c r="J583" s="2260"/>
      <c r="K583" s="2278" t="s">
        <v>5107</v>
      </c>
      <c r="L583" s="2260"/>
      <c r="M583" s="1908" t="e">
        <f>VLOOKUP(K583,'Estimate Details'!$R:$BR,20,FALSE)</f>
        <v>#N/A</v>
      </c>
      <c r="N583" s="1908" t="e">
        <f>VLOOKUP(M583,#REF!,2,FALSE)</f>
        <v>#N/A</v>
      </c>
      <c r="O583" s="1908" t="s">
        <v>5108</v>
      </c>
      <c r="P583" s="2278" t="s">
        <v>4175</v>
      </c>
      <c r="Q583" s="2259"/>
      <c r="R583" s="2260"/>
      <c r="S583" s="1908" t="s">
        <v>3688</v>
      </c>
      <c r="T583" s="1908" t="s">
        <v>3689</v>
      </c>
      <c r="U583" s="1908" t="s">
        <v>3707</v>
      </c>
      <c r="V583" s="1908" t="s">
        <v>4176</v>
      </c>
      <c r="W583" s="1908" t="s">
        <v>3688</v>
      </c>
      <c r="X583" s="1908" t="s">
        <v>5109</v>
      </c>
      <c r="Y583" s="1908"/>
      <c r="Z583" s="1908"/>
      <c r="AA583" s="1908" t="s">
        <v>3694</v>
      </c>
      <c r="AB583" s="1908" t="s">
        <v>5110</v>
      </c>
      <c r="AC583" s="1908" t="s">
        <v>4343</v>
      </c>
      <c r="AD583" s="2278" t="s">
        <v>5111</v>
      </c>
      <c r="AE583" s="2259"/>
      <c r="AF583" s="2260"/>
      <c r="AG583" s="2278" t="s">
        <v>3696</v>
      </c>
      <c r="AH583" s="2259"/>
      <c r="AI583" s="2260"/>
      <c r="AJ583" s="1908" t="s">
        <v>3814</v>
      </c>
      <c r="AK583" s="2278" t="s">
        <v>5112</v>
      </c>
      <c r="AL583" s="2259"/>
      <c r="AM583" s="2259"/>
      <c r="AN583" s="2259"/>
      <c r="AO583" s="2260"/>
      <c r="AP583" s="1908" t="s">
        <v>3699</v>
      </c>
      <c r="BC583" s="214"/>
      <c r="BD583" s="214"/>
      <c r="BE583" s="214"/>
      <c r="BF583" s="214"/>
    </row>
    <row r="584" spans="1:58" ht="45" hidden="1" customHeight="1">
      <c r="A584" s="808"/>
      <c r="B584" s="2280"/>
      <c r="C584" s="2281"/>
      <c r="D584" s="2282"/>
      <c r="E584" s="1909" t="s">
        <v>3682</v>
      </c>
      <c r="F584" s="1909" t="s">
        <v>4458</v>
      </c>
      <c r="G584" s="1909"/>
      <c r="H584" s="2283" t="s">
        <v>5043</v>
      </c>
      <c r="I584" s="2281"/>
      <c r="J584" s="2282"/>
      <c r="K584" s="2283" t="s">
        <v>5113</v>
      </c>
      <c r="L584" s="2282"/>
      <c r="M584" s="1909" t="e">
        <f>VLOOKUP(K584,'Estimate Details'!$R:$BR,20,FALSE)</f>
        <v>#N/A</v>
      </c>
      <c r="N584" s="1909" t="e">
        <f>VLOOKUP(M584,#REF!,2,FALSE)</f>
        <v>#N/A</v>
      </c>
      <c r="O584" s="1909" t="s">
        <v>4224</v>
      </c>
      <c r="P584" s="2284" t="s">
        <v>4175</v>
      </c>
      <c r="Q584" s="2281"/>
      <c r="R584" s="2282"/>
      <c r="S584" s="1909" t="s">
        <v>3688</v>
      </c>
      <c r="T584" s="1909" t="s">
        <v>3689</v>
      </c>
      <c r="U584" s="1909" t="s">
        <v>3707</v>
      </c>
      <c r="V584" s="1909" t="s">
        <v>4176</v>
      </c>
      <c r="W584" s="1909" t="s">
        <v>3688</v>
      </c>
      <c r="X584" s="1909" t="s">
        <v>4225</v>
      </c>
      <c r="Y584" s="1909" t="s">
        <v>4226</v>
      </c>
      <c r="Z584" s="1909"/>
      <c r="AA584" s="1909" t="s">
        <v>3694</v>
      </c>
      <c r="AB584" s="1909" t="s">
        <v>4227</v>
      </c>
      <c r="AC584" s="1909" t="s">
        <v>3804</v>
      </c>
      <c r="AD584" s="2283" t="s">
        <v>4228</v>
      </c>
      <c r="AE584" s="2281"/>
      <c r="AF584" s="2282"/>
      <c r="AG584" s="2283" t="s">
        <v>3696</v>
      </c>
      <c r="AH584" s="2281"/>
      <c r="AI584" s="2282"/>
      <c r="AJ584" s="1909" t="s">
        <v>3814</v>
      </c>
      <c r="AK584" s="2283" t="s">
        <v>4229</v>
      </c>
      <c r="AL584" s="2281"/>
      <c r="AM584" s="2259"/>
      <c r="AN584" s="2281"/>
      <c r="AO584" s="2282"/>
      <c r="AP584" s="1909" t="s">
        <v>3699</v>
      </c>
      <c r="BC584" s="214"/>
      <c r="BD584" s="214"/>
      <c r="BE584" s="214"/>
      <c r="BF584" s="214"/>
    </row>
    <row r="585" spans="1:58" ht="45" hidden="1" customHeight="1">
      <c r="B585" s="2277"/>
      <c r="C585" s="2259"/>
      <c r="D585" s="2260"/>
      <c r="E585" s="1908" t="s">
        <v>3682</v>
      </c>
      <c r="F585" s="1908" t="s">
        <v>4458</v>
      </c>
      <c r="G585" s="1908"/>
      <c r="H585" s="2278" t="s">
        <v>5043</v>
      </c>
      <c r="I585" s="2259"/>
      <c r="J585" s="2260"/>
      <c r="K585" s="2278" t="s">
        <v>5114</v>
      </c>
      <c r="L585" s="2260"/>
      <c r="M585" s="1908" t="e">
        <f>VLOOKUP(K585,'Estimate Details'!$R:$BR,20,FALSE)</f>
        <v>#N/A</v>
      </c>
      <c r="N585" s="1908" t="e">
        <f>VLOOKUP(M585,#REF!,2,FALSE)</f>
        <v>#N/A</v>
      </c>
      <c r="O585" s="1908" t="s">
        <v>4224</v>
      </c>
      <c r="P585" s="2278" t="s">
        <v>4175</v>
      </c>
      <c r="Q585" s="2259"/>
      <c r="R585" s="2260"/>
      <c r="S585" s="1908" t="s">
        <v>3688</v>
      </c>
      <c r="T585" s="1908" t="s">
        <v>3689</v>
      </c>
      <c r="U585" s="1908" t="s">
        <v>3707</v>
      </c>
      <c r="V585" s="1908" t="s">
        <v>4176</v>
      </c>
      <c r="W585" s="1908" t="s">
        <v>3688</v>
      </c>
      <c r="X585" s="1908" t="s">
        <v>4225</v>
      </c>
      <c r="Y585" s="1908" t="s">
        <v>4226</v>
      </c>
      <c r="Z585" s="1908"/>
      <c r="AA585" s="1908" t="s">
        <v>3694</v>
      </c>
      <c r="AB585" s="1908" t="s">
        <v>4227</v>
      </c>
      <c r="AC585" s="1908" t="s">
        <v>3804</v>
      </c>
      <c r="AD585" s="2278" t="s">
        <v>4228</v>
      </c>
      <c r="AE585" s="2259"/>
      <c r="AF585" s="2260"/>
      <c r="AG585" s="2278" t="s">
        <v>3696</v>
      </c>
      <c r="AH585" s="2259"/>
      <c r="AI585" s="2260"/>
      <c r="AJ585" s="1908" t="s">
        <v>3814</v>
      </c>
      <c r="AK585" s="2278" t="s">
        <v>4229</v>
      </c>
      <c r="AL585" s="2259"/>
      <c r="AM585" s="2259"/>
      <c r="AN585" s="2259"/>
      <c r="AO585" s="2260"/>
      <c r="AP585" s="1908" t="s">
        <v>3699</v>
      </c>
      <c r="BC585" s="214"/>
      <c r="BD585" s="214"/>
      <c r="BE585" s="214"/>
      <c r="BF585" s="214"/>
    </row>
    <row r="586" spans="1:58" ht="45" hidden="1" customHeight="1">
      <c r="A586" s="808"/>
      <c r="B586" s="2280"/>
      <c r="C586" s="2281"/>
      <c r="D586" s="2282"/>
      <c r="E586" s="1909" t="s">
        <v>3682</v>
      </c>
      <c r="F586" s="1909" t="s">
        <v>4458</v>
      </c>
      <c r="G586" s="1909"/>
      <c r="H586" s="2283" t="s">
        <v>5043</v>
      </c>
      <c r="I586" s="2281"/>
      <c r="J586" s="2282"/>
      <c r="K586" s="2283" t="s">
        <v>5115</v>
      </c>
      <c r="L586" s="2282"/>
      <c r="M586" s="1909" t="e">
        <f>VLOOKUP(K586,'Estimate Details'!$R:$BR,20,FALSE)</f>
        <v>#N/A</v>
      </c>
      <c r="N586" s="1909" t="e">
        <f>VLOOKUP(M586,#REF!,2,FALSE)</f>
        <v>#N/A</v>
      </c>
      <c r="O586" s="1909" t="s">
        <v>4231</v>
      </c>
      <c r="P586" s="2284" t="s">
        <v>4175</v>
      </c>
      <c r="Q586" s="2281"/>
      <c r="R586" s="2282"/>
      <c r="S586" s="1909" t="s">
        <v>3688</v>
      </c>
      <c r="T586" s="1909" t="s">
        <v>3689</v>
      </c>
      <c r="U586" s="1909" t="s">
        <v>3707</v>
      </c>
      <c r="V586" s="1909" t="s">
        <v>4176</v>
      </c>
      <c r="W586" s="1909" t="s">
        <v>3688</v>
      </c>
      <c r="X586" s="1909" t="s">
        <v>4232</v>
      </c>
      <c r="Y586" s="1909" t="s">
        <v>4233</v>
      </c>
      <c r="Z586" s="1909"/>
      <c r="AA586" s="1909" t="s">
        <v>3694</v>
      </c>
      <c r="AB586" s="1909" t="s">
        <v>4234</v>
      </c>
      <c r="AC586" s="1909" t="s">
        <v>4235</v>
      </c>
      <c r="AD586" s="2283" t="s">
        <v>4236</v>
      </c>
      <c r="AE586" s="2281"/>
      <c r="AF586" s="2282"/>
      <c r="AG586" s="2283" t="s">
        <v>3696</v>
      </c>
      <c r="AH586" s="2281"/>
      <c r="AI586" s="2282"/>
      <c r="AJ586" s="1909" t="s">
        <v>3814</v>
      </c>
      <c r="AK586" s="2283" t="s">
        <v>4237</v>
      </c>
      <c r="AL586" s="2281"/>
      <c r="AM586" s="2259"/>
      <c r="AN586" s="2281"/>
      <c r="AO586" s="2282"/>
      <c r="AP586" s="1909" t="s">
        <v>3699</v>
      </c>
      <c r="BC586" s="214"/>
      <c r="BD586" s="214"/>
      <c r="BE586" s="214"/>
      <c r="BF586" s="214"/>
    </row>
    <row r="587" spans="1:58" ht="45" hidden="1" customHeight="1">
      <c r="B587" s="2277"/>
      <c r="C587" s="2259"/>
      <c r="D587" s="2260"/>
      <c r="E587" s="1908" t="s">
        <v>3682</v>
      </c>
      <c r="F587" s="1908" t="s">
        <v>4458</v>
      </c>
      <c r="G587" s="1908"/>
      <c r="H587" s="2278" t="s">
        <v>5043</v>
      </c>
      <c r="I587" s="2259"/>
      <c r="J587" s="2260"/>
      <c r="K587" s="2278" t="s">
        <v>5116</v>
      </c>
      <c r="L587" s="2260"/>
      <c r="M587" s="1908" t="e">
        <f>VLOOKUP(K587,'Estimate Details'!$R:$BR,20,FALSE)</f>
        <v>#N/A</v>
      </c>
      <c r="N587" s="1908" t="e">
        <f>VLOOKUP(M587,#REF!,2,FALSE)</f>
        <v>#N/A</v>
      </c>
      <c r="O587" s="1908" t="s">
        <v>4238</v>
      </c>
      <c r="P587" s="2278" t="s">
        <v>4175</v>
      </c>
      <c r="Q587" s="2259"/>
      <c r="R587" s="2260"/>
      <c r="S587" s="1908" t="s">
        <v>3688</v>
      </c>
      <c r="T587" s="1908" t="s">
        <v>3689</v>
      </c>
      <c r="U587" s="1908" t="s">
        <v>3707</v>
      </c>
      <c r="V587" s="1908" t="s">
        <v>4176</v>
      </c>
      <c r="W587" s="1908" t="s">
        <v>3688</v>
      </c>
      <c r="X587" s="1908"/>
      <c r="Y587" s="1908" t="s">
        <v>4239</v>
      </c>
      <c r="Z587" s="1908"/>
      <c r="AA587" s="1908" t="s">
        <v>3694</v>
      </c>
      <c r="AB587" s="1908" t="s">
        <v>4240</v>
      </c>
      <c r="AC587" s="1908" t="s">
        <v>4241</v>
      </c>
      <c r="AD587" s="2278" t="s">
        <v>4242</v>
      </c>
      <c r="AE587" s="2259"/>
      <c r="AF587" s="2260"/>
      <c r="AG587" s="2278" t="s">
        <v>3696</v>
      </c>
      <c r="AH587" s="2259"/>
      <c r="AI587" s="2260"/>
      <c r="AJ587" s="1908" t="s">
        <v>3814</v>
      </c>
      <c r="AK587" s="2278" t="s">
        <v>4243</v>
      </c>
      <c r="AL587" s="2259"/>
      <c r="AM587" s="2259"/>
      <c r="AN587" s="2259"/>
      <c r="AO587" s="2260"/>
      <c r="AP587" s="1908" t="s">
        <v>3716</v>
      </c>
      <c r="BC587" s="214"/>
      <c r="BD587" s="214"/>
      <c r="BE587" s="214"/>
      <c r="BF587" s="214"/>
    </row>
    <row r="588" spans="1:58" ht="45" hidden="1" customHeight="1">
      <c r="A588" s="808"/>
      <c r="B588" s="2280"/>
      <c r="C588" s="2281"/>
      <c r="D588" s="2282"/>
      <c r="E588" s="1909" t="s">
        <v>3682</v>
      </c>
      <c r="F588" s="1909" t="s">
        <v>4458</v>
      </c>
      <c r="G588" s="1909"/>
      <c r="H588" s="2283" t="s">
        <v>5043</v>
      </c>
      <c r="I588" s="2281"/>
      <c r="J588" s="2282"/>
      <c r="K588" s="2283" t="s">
        <v>5117</v>
      </c>
      <c r="L588" s="2282"/>
      <c r="M588" s="1909" t="e">
        <f>VLOOKUP(K588,'Estimate Details'!$R:$BR,20,FALSE)</f>
        <v>#N/A</v>
      </c>
      <c r="N588" s="1909" t="e">
        <f>VLOOKUP(M588,#REF!,2,FALSE)</f>
        <v>#N/A</v>
      </c>
      <c r="O588" s="1909" t="s">
        <v>4245</v>
      </c>
      <c r="P588" s="2284" t="s">
        <v>4175</v>
      </c>
      <c r="Q588" s="2281"/>
      <c r="R588" s="2282"/>
      <c r="S588" s="1909" t="s">
        <v>3688</v>
      </c>
      <c r="T588" s="1909" t="s">
        <v>3689</v>
      </c>
      <c r="U588" s="1909" t="s">
        <v>3707</v>
      </c>
      <c r="V588" s="1909" t="s">
        <v>4176</v>
      </c>
      <c r="W588" s="1909" t="s">
        <v>3688</v>
      </c>
      <c r="X588" s="1909" t="s">
        <v>4246</v>
      </c>
      <c r="Y588" s="1909" t="s">
        <v>4247</v>
      </c>
      <c r="Z588" s="1909"/>
      <c r="AA588" s="1909" t="s">
        <v>3694</v>
      </c>
      <c r="AB588" s="1909" t="s">
        <v>4248</v>
      </c>
      <c r="AC588" s="1909" t="s">
        <v>4249</v>
      </c>
      <c r="AD588" s="2283" t="s">
        <v>4250</v>
      </c>
      <c r="AE588" s="2281"/>
      <c r="AF588" s="2282"/>
      <c r="AG588" s="2283" t="s">
        <v>3696</v>
      </c>
      <c r="AH588" s="2281"/>
      <c r="AI588" s="2282"/>
      <c r="AJ588" s="1909" t="s">
        <v>3814</v>
      </c>
      <c r="AK588" s="2283" t="s">
        <v>4251</v>
      </c>
      <c r="AL588" s="2281"/>
      <c r="AM588" s="2259"/>
      <c r="AN588" s="2281"/>
      <c r="AO588" s="2282"/>
      <c r="AP588" s="1909" t="s">
        <v>3699</v>
      </c>
      <c r="BC588" s="214"/>
      <c r="BD588" s="214"/>
      <c r="BE588" s="214"/>
      <c r="BF588" s="214"/>
    </row>
    <row r="589" spans="1:58" ht="45" hidden="1" customHeight="1">
      <c r="B589" s="2277"/>
      <c r="C589" s="2259"/>
      <c r="D589" s="2260"/>
      <c r="E589" s="1908" t="s">
        <v>3682</v>
      </c>
      <c r="F589" s="1908" t="s">
        <v>4458</v>
      </c>
      <c r="G589" s="1908"/>
      <c r="H589" s="2278" t="s">
        <v>5043</v>
      </c>
      <c r="I589" s="2259"/>
      <c r="J589" s="2260"/>
      <c r="K589" s="2278" t="s">
        <v>5118</v>
      </c>
      <c r="L589" s="2260"/>
      <c r="M589" s="1908" t="e">
        <f>VLOOKUP(K589,'Estimate Details'!$R:$BR,20,FALSE)</f>
        <v>#N/A</v>
      </c>
      <c r="N589" s="1908" t="e">
        <f>VLOOKUP(M589,#REF!,2,FALSE)</f>
        <v>#N/A</v>
      </c>
      <c r="O589" s="1908" t="s">
        <v>4256</v>
      </c>
      <c r="P589" s="2278" t="s">
        <v>4175</v>
      </c>
      <c r="Q589" s="2259"/>
      <c r="R589" s="2260"/>
      <c r="S589" s="1908" t="s">
        <v>3688</v>
      </c>
      <c r="T589" s="1908" t="s">
        <v>3689</v>
      </c>
      <c r="U589" s="1908" t="s">
        <v>3707</v>
      </c>
      <c r="V589" s="1908" t="s">
        <v>4176</v>
      </c>
      <c r="W589" s="1908" t="s">
        <v>3688</v>
      </c>
      <c r="X589" s="1908" t="s">
        <v>4257</v>
      </c>
      <c r="Y589" s="1908" t="s">
        <v>4258</v>
      </c>
      <c r="Z589" s="1908"/>
      <c r="AA589" s="1908" t="s">
        <v>3694</v>
      </c>
      <c r="AB589" s="1908" t="s">
        <v>3688</v>
      </c>
      <c r="AC589" s="1908" t="s">
        <v>4259</v>
      </c>
      <c r="AD589" s="2278" t="s">
        <v>4260</v>
      </c>
      <c r="AE589" s="2259"/>
      <c r="AF589" s="2260"/>
      <c r="AG589" s="2278" t="s">
        <v>3696</v>
      </c>
      <c r="AH589" s="2259"/>
      <c r="AI589" s="2260"/>
      <c r="AJ589" s="1908" t="s">
        <v>3814</v>
      </c>
      <c r="AK589" s="2278" t="s">
        <v>4261</v>
      </c>
      <c r="AL589" s="2259"/>
      <c r="AM589" s="2259"/>
      <c r="AN589" s="2259"/>
      <c r="AO589" s="2260"/>
      <c r="AP589" s="1908" t="s">
        <v>3699</v>
      </c>
      <c r="BC589" s="214"/>
      <c r="BD589" s="214"/>
      <c r="BE589" s="214"/>
      <c r="BF589" s="214"/>
    </row>
    <row r="590" spans="1:58" ht="45" hidden="1" customHeight="1">
      <c r="A590" s="808"/>
      <c r="B590" s="2280"/>
      <c r="C590" s="2281"/>
      <c r="D590" s="2282"/>
      <c r="E590" s="1909" t="s">
        <v>3682</v>
      </c>
      <c r="F590" s="1909" t="s">
        <v>4458</v>
      </c>
      <c r="G590" s="1909"/>
      <c r="H590" s="2283" t="s">
        <v>5043</v>
      </c>
      <c r="I590" s="2281"/>
      <c r="J590" s="2282"/>
      <c r="K590" s="2283" t="s">
        <v>5119</v>
      </c>
      <c r="L590" s="2282"/>
      <c r="M590" s="1909" t="e">
        <f>VLOOKUP(K590,'Estimate Details'!$R:$BR,20,FALSE)</f>
        <v>#N/A</v>
      </c>
      <c r="N590" s="1909" t="e">
        <f>VLOOKUP(M590,#REF!,2,FALSE)</f>
        <v>#N/A</v>
      </c>
      <c r="O590" s="1909" t="s">
        <v>4256</v>
      </c>
      <c r="P590" s="2284" t="s">
        <v>4175</v>
      </c>
      <c r="Q590" s="2281"/>
      <c r="R590" s="2282"/>
      <c r="S590" s="1909" t="s">
        <v>3688</v>
      </c>
      <c r="T590" s="1909" t="s">
        <v>3689</v>
      </c>
      <c r="U590" s="1909" t="s">
        <v>3707</v>
      </c>
      <c r="V590" s="1909" t="s">
        <v>4176</v>
      </c>
      <c r="W590" s="1909" t="s">
        <v>3688</v>
      </c>
      <c r="X590" s="1909" t="s">
        <v>4257</v>
      </c>
      <c r="Y590" s="1909" t="s">
        <v>4258</v>
      </c>
      <c r="Z590" s="1909"/>
      <c r="AA590" s="1909" t="s">
        <v>3694</v>
      </c>
      <c r="AB590" s="1909" t="s">
        <v>3688</v>
      </c>
      <c r="AC590" s="1909" t="s">
        <v>4259</v>
      </c>
      <c r="AD590" s="2283" t="s">
        <v>4260</v>
      </c>
      <c r="AE590" s="2281"/>
      <c r="AF590" s="2282"/>
      <c r="AG590" s="2283" t="s">
        <v>3696</v>
      </c>
      <c r="AH590" s="2281"/>
      <c r="AI590" s="2282"/>
      <c r="AJ590" s="1909" t="s">
        <v>3814</v>
      </c>
      <c r="AK590" s="2283" t="s">
        <v>4261</v>
      </c>
      <c r="AL590" s="2281"/>
      <c r="AM590" s="2259"/>
      <c r="AN590" s="2281"/>
      <c r="AO590" s="2282"/>
      <c r="AP590" s="1909" t="s">
        <v>3699</v>
      </c>
      <c r="BC590" s="214"/>
      <c r="BD590" s="214"/>
      <c r="BE590" s="214"/>
      <c r="BF590" s="214"/>
    </row>
    <row r="591" spans="1:58" ht="45" hidden="1" customHeight="1">
      <c r="B591" s="2277"/>
      <c r="C591" s="2259"/>
      <c r="D591" s="2260"/>
      <c r="E591" s="1908" t="s">
        <v>3682</v>
      </c>
      <c r="F591" s="1908" t="s">
        <v>4458</v>
      </c>
      <c r="G591" s="1908"/>
      <c r="H591" s="2278" t="s">
        <v>5043</v>
      </c>
      <c r="I591" s="2259"/>
      <c r="J591" s="2260"/>
      <c r="K591" s="2278" t="s">
        <v>5120</v>
      </c>
      <c r="L591" s="2260"/>
      <c r="M591" s="1908" t="e">
        <f>VLOOKUP(K591,'Estimate Details'!$R:$BR,20,FALSE)</f>
        <v>#N/A</v>
      </c>
      <c r="N591" s="1908" t="e">
        <f>VLOOKUP(M591,#REF!,2,FALSE)</f>
        <v>#N/A</v>
      </c>
      <c r="O591" s="1908" t="s">
        <v>4263</v>
      </c>
      <c r="P591" s="2278" t="s">
        <v>4175</v>
      </c>
      <c r="Q591" s="2259"/>
      <c r="R591" s="2260"/>
      <c r="S591" s="1908" t="s">
        <v>3688</v>
      </c>
      <c r="T591" s="1908" t="s">
        <v>3689</v>
      </c>
      <c r="U591" s="1908" t="s">
        <v>3707</v>
      </c>
      <c r="V591" s="1908" t="s">
        <v>4176</v>
      </c>
      <c r="W591" s="1908" t="s">
        <v>3688</v>
      </c>
      <c r="X591" s="1908"/>
      <c r="Y591" s="1908" t="s">
        <v>4264</v>
      </c>
      <c r="Z591" s="1908"/>
      <c r="AA591" s="1908" t="s">
        <v>3694</v>
      </c>
      <c r="AB591" s="1908" t="s">
        <v>4265</v>
      </c>
      <c r="AC591" s="1908" t="s">
        <v>4266</v>
      </c>
      <c r="AD591" s="2278" t="s">
        <v>3688</v>
      </c>
      <c r="AE591" s="2259"/>
      <c r="AF591" s="2260"/>
      <c r="AG591" s="2278" t="s">
        <v>3696</v>
      </c>
      <c r="AH591" s="2259"/>
      <c r="AI591" s="2260"/>
      <c r="AJ591" s="1908" t="s">
        <v>3814</v>
      </c>
      <c r="AK591" s="2278" t="s">
        <v>4267</v>
      </c>
      <c r="AL591" s="2259"/>
      <c r="AM591" s="2259"/>
      <c r="AN591" s="2259"/>
      <c r="AO591" s="2260"/>
      <c r="AP591" s="1908" t="s">
        <v>3699</v>
      </c>
      <c r="BC591" s="214"/>
      <c r="BD591" s="214"/>
      <c r="BE591" s="214"/>
      <c r="BF591" s="214"/>
    </row>
    <row r="592" spans="1:58" ht="45" hidden="1" customHeight="1">
      <c r="A592" s="808"/>
      <c r="B592" s="2280"/>
      <c r="C592" s="2281"/>
      <c r="D592" s="2282"/>
      <c r="E592" s="1909" t="s">
        <v>3682</v>
      </c>
      <c r="F592" s="1909" t="s">
        <v>4458</v>
      </c>
      <c r="G592" s="1909"/>
      <c r="H592" s="2283" t="s">
        <v>5043</v>
      </c>
      <c r="I592" s="2281"/>
      <c r="J592" s="2282"/>
      <c r="K592" s="2283" t="s">
        <v>5121</v>
      </c>
      <c r="L592" s="2282"/>
      <c r="M592" s="1909" t="e">
        <f>VLOOKUP(K592,'Estimate Details'!$R:$BR,20,FALSE)</f>
        <v>#N/A</v>
      </c>
      <c r="N592" s="1909" t="e">
        <f>VLOOKUP(M592,#REF!,2,FALSE)</f>
        <v>#N/A</v>
      </c>
      <c r="O592" s="1909" t="s">
        <v>4269</v>
      </c>
      <c r="P592" s="2284" t="s">
        <v>4175</v>
      </c>
      <c r="Q592" s="2281"/>
      <c r="R592" s="2282"/>
      <c r="S592" s="1909" t="s">
        <v>3688</v>
      </c>
      <c r="T592" s="1909" t="s">
        <v>3689</v>
      </c>
      <c r="U592" s="1909" t="s">
        <v>3707</v>
      </c>
      <c r="V592" s="1909" t="s">
        <v>4176</v>
      </c>
      <c r="W592" s="1909" t="s">
        <v>3688</v>
      </c>
      <c r="X592" s="1909"/>
      <c r="Y592" s="1909"/>
      <c r="Z592" s="1909"/>
      <c r="AA592" s="1909" t="s">
        <v>3694</v>
      </c>
      <c r="AB592" s="1909" t="s">
        <v>3688</v>
      </c>
      <c r="AC592" s="1909" t="s">
        <v>3804</v>
      </c>
      <c r="AD592" s="2283" t="s">
        <v>3688</v>
      </c>
      <c r="AE592" s="2281"/>
      <c r="AF592" s="2282"/>
      <c r="AG592" s="2283" t="s">
        <v>3696</v>
      </c>
      <c r="AH592" s="2281"/>
      <c r="AI592" s="2282"/>
      <c r="AJ592" s="1909" t="s">
        <v>3814</v>
      </c>
      <c r="AK592" s="2283" t="s">
        <v>4270</v>
      </c>
      <c r="AL592" s="2281"/>
      <c r="AM592" s="2259"/>
      <c r="AN592" s="2281"/>
      <c r="AO592" s="2282"/>
      <c r="AP592" s="1909" t="s">
        <v>3699</v>
      </c>
      <c r="BC592" s="214"/>
      <c r="BD592" s="214"/>
      <c r="BE592" s="214"/>
      <c r="BF592" s="214"/>
    </row>
    <row r="593" spans="1:58" ht="45" hidden="1" customHeight="1">
      <c r="B593" s="2277"/>
      <c r="C593" s="2259"/>
      <c r="D593" s="2260"/>
      <c r="E593" s="1908" t="s">
        <v>3682</v>
      </c>
      <c r="F593" s="1908" t="s">
        <v>4458</v>
      </c>
      <c r="G593" s="1908"/>
      <c r="H593" s="2278" t="s">
        <v>5043</v>
      </c>
      <c r="I593" s="2259"/>
      <c r="J593" s="2260"/>
      <c r="K593" s="2278" t="s">
        <v>5122</v>
      </c>
      <c r="L593" s="2260"/>
      <c r="M593" s="1908" t="e">
        <f>VLOOKUP(K593,'Estimate Details'!$R:$BR,20,FALSE)</f>
        <v>#N/A</v>
      </c>
      <c r="N593" s="1908" t="e">
        <f>VLOOKUP(M593,#REF!,2,FALSE)</f>
        <v>#N/A</v>
      </c>
      <c r="O593" s="1908" t="s">
        <v>4272</v>
      </c>
      <c r="P593" s="2278" t="s">
        <v>4175</v>
      </c>
      <c r="Q593" s="2259"/>
      <c r="R593" s="2260"/>
      <c r="S593" s="1908" t="s">
        <v>3688</v>
      </c>
      <c r="T593" s="1908" t="s">
        <v>3689</v>
      </c>
      <c r="U593" s="1908" t="s">
        <v>3707</v>
      </c>
      <c r="V593" s="1908" t="s">
        <v>4176</v>
      </c>
      <c r="W593" s="1908" t="s">
        <v>3688</v>
      </c>
      <c r="X593" s="1908"/>
      <c r="Y593" s="1908"/>
      <c r="Z593" s="1908"/>
      <c r="AA593" s="1908" t="s">
        <v>3694</v>
      </c>
      <c r="AB593" s="1908" t="s">
        <v>3688</v>
      </c>
      <c r="AC593" s="1908" t="s">
        <v>4273</v>
      </c>
      <c r="AD593" s="2278" t="s">
        <v>4274</v>
      </c>
      <c r="AE593" s="2259"/>
      <c r="AF593" s="2260"/>
      <c r="AG593" s="2278" t="s">
        <v>3696</v>
      </c>
      <c r="AH593" s="2259"/>
      <c r="AI593" s="2260"/>
      <c r="AJ593" s="1908" t="s">
        <v>3814</v>
      </c>
      <c r="AK593" s="2278" t="s">
        <v>4254</v>
      </c>
      <c r="AL593" s="2259"/>
      <c r="AM593" s="2259"/>
      <c r="AN593" s="2259"/>
      <c r="AO593" s="2260"/>
      <c r="AP593" s="1908" t="s">
        <v>3699</v>
      </c>
      <c r="BC593" s="214"/>
      <c r="BD593" s="214"/>
      <c r="BE593" s="214"/>
      <c r="BF593" s="214"/>
    </row>
    <row r="594" spans="1:58" ht="45" hidden="1" customHeight="1">
      <c r="A594" s="808"/>
      <c r="B594" s="2280"/>
      <c r="C594" s="2281"/>
      <c r="D594" s="2282"/>
      <c r="E594" s="1909" t="s">
        <v>3682</v>
      </c>
      <c r="F594" s="1909" t="s">
        <v>4458</v>
      </c>
      <c r="G594" s="1909"/>
      <c r="H594" s="2283" t="s">
        <v>5043</v>
      </c>
      <c r="I594" s="2281"/>
      <c r="J594" s="2282"/>
      <c r="K594" s="2283" t="s">
        <v>5123</v>
      </c>
      <c r="L594" s="2282"/>
      <c r="M594" s="1909" t="e">
        <f>VLOOKUP(K594,'Estimate Details'!$R:$BR,20,FALSE)</f>
        <v>#N/A</v>
      </c>
      <c r="N594" s="1909" t="e">
        <f>VLOOKUP(M594,#REF!,2,FALSE)</f>
        <v>#N/A</v>
      </c>
      <c r="O594" s="1909" t="s">
        <v>4276</v>
      </c>
      <c r="P594" s="2284" t="s">
        <v>4175</v>
      </c>
      <c r="Q594" s="2281"/>
      <c r="R594" s="2282"/>
      <c r="S594" s="1909" t="s">
        <v>3688</v>
      </c>
      <c r="T594" s="1909" t="s">
        <v>3689</v>
      </c>
      <c r="U594" s="1909" t="s">
        <v>3707</v>
      </c>
      <c r="V594" s="1909" t="s">
        <v>4176</v>
      </c>
      <c r="W594" s="1909" t="s">
        <v>3688</v>
      </c>
      <c r="X594" s="1909"/>
      <c r="Y594" s="1909"/>
      <c r="Z594" s="1909"/>
      <c r="AA594" s="1909" t="s">
        <v>3694</v>
      </c>
      <c r="AB594" s="1909" t="s">
        <v>3688</v>
      </c>
      <c r="AC594" s="1909" t="s">
        <v>4277</v>
      </c>
      <c r="AD594" s="2283" t="s">
        <v>4278</v>
      </c>
      <c r="AE594" s="2281"/>
      <c r="AF594" s="2282"/>
      <c r="AG594" s="2283" t="s">
        <v>3696</v>
      </c>
      <c r="AH594" s="2281"/>
      <c r="AI594" s="2282"/>
      <c r="AJ594" s="1909" t="s">
        <v>3814</v>
      </c>
      <c r="AK594" s="2283" t="s">
        <v>4279</v>
      </c>
      <c r="AL594" s="2281"/>
      <c r="AM594" s="2259"/>
      <c r="AN594" s="2281"/>
      <c r="AO594" s="2282"/>
      <c r="AP594" s="1909" t="s">
        <v>3699</v>
      </c>
      <c r="BC594" s="214"/>
      <c r="BD594" s="214"/>
      <c r="BE594" s="214"/>
      <c r="BF594" s="214"/>
    </row>
    <row r="595" spans="1:58" ht="45" hidden="1" customHeight="1">
      <c r="B595" s="2277"/>
      <c r="C595" s="2259"/>
      <c r="D595" s="2260"/>
      <c r="E595" s="1908" t="s">
        <v>3682</v>
      </c>
      <c r="F595" s="1908" t="s">
        <v>4458</v>
      </c>
      <c r="G595" s="1908"/>
      <c r="H595" s="2278" t="s">
        <v>5043</v>
      </c>
      <c r="I595" s="2259"/>
      <c r="J595" s="2260"/>
      <c r="K595" s="2278" t="s">
        <v>5124</v>
      </c>
      <c r="L595" s="2260"/>
      <c r="M595" s="1908" t="e">
        <f>VLOOKUP(K595,'Estimate Details'!$R:$BR,20,FALSE)</f>
        <v>#N/A</v>
      </c>
      <c r="N595" s="1908" t="e">
        <f>VLOOKUP(M595,#REF!,2,FALSE)</f>
        <v>#N/A</v>
      </c>
      <c r="O595" s="1908" t="s">
        <v>5125</v>
      </c>
      <c r="P595" s="2278" t="s">
        <v>4175</v>
      </c>
      <c r="Q595" s="2259"/>
      <c r="R595" s="2260"/>
      <c r="S595" s="1908" t="s">
        <v>3688</v>
      </c>
      <c r="T595" s="1908" t="s">
        <v>3689</v>
      </c>
      <c r="U595" s="1908" t="s">
        <v>3707</v>
      </c>
      <c r="V595" s="1908" t="s">
        <v>4176</v>
      </c>
      <c r="W595" s="1908" t="s">
        <v>3688</v>
      </c>
      <c r="X595" s="1908"/>
      <c r="Y595" s="1908"/>
      <c r="Z595" s="1908"/>
      <c r="AA595" s="1908" t="s">
        <v>3694</v>
      </c>
      <c r="AB595" s="1908" t="s">
        <v>3688</v>
      </c>
      <c r="AC595" s="1908" t="s">
        <v>3804</v>
      </c>
      <c r="AD595" s="2278" t="s">
        <v>3688</v>
      </c>
      <c r="AE595" s="2259"/>
      <c r="AF595" s="2260"/>
      <c r="AG595" s="2278" t="s">
        <v>3696</v>
      </c>
      <c r="AH595" s="2259"/>
      <c r="AI595" s="2260"/>
      <c r="AJ595" s="1908" t="s">
        <v>3814</v>
      </c>
      <c r="AK595" s="2278" t="s">
        <v>4254</v>
      </c>
      <c r="AL595" s="2259"/>
      <c r="AM595" s="2259"/>
      <c r="AN595" s="2259"/>
      <c r="AO595" s="2260"/>
      <c r="AP595" s="1908" t="s">
        <v>3716</v>
      </c>
      <c r="BC595" s="214"/>
      <c r="BD595" s="214"/>
      <c r="BE595" s="214"/>
      <c r="BF595" s="214"/>
    </row>
    <row r="596" spans="1:58" ht="45" hidden="1" customHeight="1">
      <c r="A596" s="808"/>
      <c r="B596" s="2280"/>
      <c r="C596" s="2281"/>
      <c r="D596" s="2282"/>
      <c r="E596" s="1909" t="s">
        <v>3682</v>
      </c>
      <c r="F596" s="1909" t="s">
        <v>4458</v>
      </c>
      <c r="G596" s="1909"/>
      <c r="H596" s="2283" t="s">
        <v>5043</v>
      </c>
      <c r="I596" s="2281"/>
      <c r="J596" s="2282"/>
      <c r="K596" s="2283" t="s">
        <v>5126</v>
      </c>
      <c r="L596" s="2282"/>
      <c r="M596" s="1909" t="e">
        <f>VLOOKUP(K596,'Estimate Details'!$R:$BR,20,FALSE)</f>
        <v>#N/A</v>
      </c>
      <c r="N596" s="1909" t="e">
        <f>VLOOKUP(M596,#REF!,2,FALSE)</f>
        <v>#N/A</v>
      </c>
      <c r="O596" s="1909" t="s">
        <v>4281</v>
      </c>
      <c r="P596" s="2284" t="s">
        <v>4175</v>
      </c>
      <c r="Q596" s="2281"/>
      <c r="R596" s="2282"/>
      <c r="S596" s="1909" t="s">
        <v>3688</v>
      </c>
      <c r="T596" s="1909" t="s">
        <v>3689</v>
      </c>
      <c r="U596" s="1909" t="s">
        <v>3707</v>
      </c>
      <c r="V596" s="1909" t="s">
        <v>4176</v>
      </c>
      <c r="W596" s="1909" t="s">
        <v>3688</v>
      </c>
      <c r="X596" s="1909"/>
      <c r="Y596" s="1909"/>
      <c r="Z596" s="1909"/>
      <c r="AA596" s="1909" t="s">
        <v>3694</v>
      </c>
      <c r="AB596" s="1909" t="s">
        <v>3688</v>
      </c>
      <c r="AC596" s="1909" t="s">
        <v>3804</v>
      </c>
      <c r="AD596" s="2283" t="s">
        <v>4282</v>
      </c>
      <c r="AE596" s="2281"/>
      <c r="AF596" s="2282"/>
      <c r="AG596" s="2283" t="s">
        <v>3696</v>
      </c>
      <c r="AH596" s="2281"/>
      <c r="AI596" s="2282"/>
      <c r="AJ596" s="1909" t="s">
        <v>3814</v>
      </c>
      <c r="AK596" s="2283" t="s">
        <v>4254</v>
      </c>
      <c r="AL596" s="2281"/>
      <c r="AM596" s="2259"/>
      <c r="AN596" s="2281"/>
      <c r="AO596" s="2282"/>
      <c r="AP596" s="1909" t="s">
        <v>3699</v>
      </c>
      <c r="BC596" s="214"/>
      <c r="BD596" s="214"/>
      <c r="BE596" s="214"/>
      <c r="BF596" s="214"/>
    </row>
    <row r="597" spans="1:58" ht="45" hidden="1" customHeight="1">
      <c r="B597" s="2277"/>
      <c r="C597" s="2259"/>
      <c r="D597" s="2260"/>
      <c r="E597" s="1908" t="s">
        <v>3682</v>
      </c>
      <c r="F597" s="1908" t="s">
        <v>4458</v>
      </c>
      <c r="G597" s="1908"/>
      <c r="H597" s="2278" t="s">
        <v>5043</v>
      </c>
      <c r="I597" s="2259"/>
      <c r="J597" s="2260"/>
      <c r="K597" s="2278" t="s">
        <v>5127</v>
      </c>
      <c r="L597" s="2260"/>
      <c r="M597" s="1908" t="e">
        <f>VLOOKUP(K597,'Estimate Details'!$R:$BR,20,FALSE)</f>
        <v>#N/A</v>
      </c>
      <c r="N597" s="1908" t="e">
        <f>VLOOKUP(M597,#REF!,2,FALSE)</f>
        <v>#N/A</v>
      </c>
      <c r="O597" s="1908" t="s">
        <v>4224</v>
      </c>
      <c r="P597" s="2278" t="s">
        <v>4175</v>
      </c>
      <c r="Q597" s="2259"/>
      <c r="R597" s="2260"/>
      <c r="S597" s="1908" t="s">
        <v>3688</v>
      </c>
      <c r="T597" s="1908" t="s">
        <v>3689</v>
      </c>
      <c r="U597" s="1908" t="s">
        <v>3707</v>
      </c>
      <c r="V597" s="1908" t="s">
        <v>4176</v>
      </c>
      <c r="W597" s="1908" t="s">
        <v>3688</v>
      </c>
      <c r="X597" s="1908" t="s">
        <v>4225</v>
      </c>
      <c r="Y597" s="1908" t="s">
        <v>4226</v>
      </c>
      <c r="Z597" s="1908"/>
      <c r="AA597" s="1908" t="s">
        <v>3694</v>
      </c>
      <c r="AB597" s="1908" t="s">
        <v>4227</v>
      </c>
      <c r="AC597" s="1908" t="s">
        <v>3804</v>
      </c>
      <c r="AD597" s="2278" t="s">
        <v>4228</v>
      </c>
      <c r="AE597" s="2259"/>
      <c r="AF597" s="2260"/>
      <c r="AG597" s="2278" t="s">
        <v>3696</v>
      </c>
      <c r="AH597" s="2259"/>
      <c r="AI597" s="2260"/>
      <c r="AJ597" s="1908" t="s">
        <v>3814</v>
      </c>
      <c r="AK597" s="2278" t="s">
        <v>4229</v>
      </c>
      <c r="AL597" s="2259"/>
      <c r="AM597" s="2259"/>
      <c r="AN597" s="2259"/>
      <c r="AO597" s="2260"/>
      <c r="AP597" s="1908" t="s">
        <v>3699</v>
      </c>
      <c r="BC597" s="214"/>
      <c r="BD597" s="214"/>
      <c r="BE597" s="214"/>
      <c r="BF597" s="214"/>
    </row>
    <row r="598" spans="1:58" ht="45" hidden="1" customHeight="1">
      <c r="A598" s="808"/>
      <c r="B598" s="2280"/>
      <c r="C598" s="2281"/>
      <c r="D598" s="2282"/>
      <c r="E598" s="1909" t="s">
        <v>3682</v>
      </c>
      <c r="F598" s="1909" t="s">
        <v>4458</v>
      </c>
      <c r="G598" s="1909"/>
      <c r="H598" s="2283" t="s">
        <v>5043</v>
      </c>
      <c r="I598" s="2281"/>
      <c r="J598" s="2282"/>
      <c r="K598" s="2283" t="s">
        <v>5128</v>
      </c>
      <c r="L598" s="2282"/>
      <c r="M598" s="1909" t="e">
        <f>VLOOKUP(K598,'Estimate Details'!$R:$BR,20,FALSE)</f>
        <v>#N/A</v>
      </c>
      <c r="N598" s="1909" t="e">
        <f>VLOOKUP(M598,#REF!,2,FALSE)</f>
        <v>#N/A</v>
      </c>
      <c r="O598" s="1909" t="s">
        <v>4224</v>
      </c>
      <c r="P598" s="2284" t="s">
        <v>4175</v>
      </c>
      <c r="Q598" s="2281"/>
      <c r="R598" s="2282"/>
      <c r="S598" s="1909" t="s">
        <v>3688</v>
      </c>
      <c r="T598" s="1909" t="s">
        <v>3689</v>
      </c>
      <c r="U598" s="1909" t="s">
        <v>3707</v>
      </c>
      <c r="V598" s="1909" t="s">
        <v>4176</v>
      </c>
      <c r="W598" s="1909" t="s">
        <v>3688</v>
      </c>
      <c r="X598" s="1909" t="s">
        <v>4225</v>
      </c>
      <c r="Y598" s="1909" t="s">
        <v>4226</v>
      </c>
      <c r="Z598" s="1909"/>
      <c r="AA598" s="1909" t="s">
        <v>3694</v>
      </c>
      <c r="AB598" s="1909" t="s">
        <v>4227</v>
      </c>
      <c r="AC598" s="1909" t="s">
        <v>3804</v>
      </c>
      <c r="AD598" s="2283" t="s">
        <v>4228</v>
      </c>
      <c r="AE598" s="2281"/>
      <c r="AF598" s="2282"/>
      <c r="AG598" s="2283" t="s">
        <v>3696</v>
      </c>
      <c r="AH598" s="2281"/>
      <c r="AI598" s="2282"/>
      <c r="AJ598" s="1909" t="s">
        <v>3814</v>
      </c>
      <c r="AK598" s="2283" t="s">
        <v>4229</v>
      </c>
      <c r="AL598" s="2281"/>
      <c r="AM598" s="2259"/>
      <c r="AN598" s="2281"/>
      <c r="AO598" s="2282"/>
      <c r="AP598" s="1909" t="s">
        <v>3699</v>
      </c>
      <c r="BC598" s="214"/>
      <c r="BD598" s="214"/>
      <c r="BE598" s="214"/>
      <c r="BF598" s="214"/>
    </row>
    <row r="599" spans="1:58" ht="45" hidden="1" customHeight="1">
      <c r="B599" s="2277"/>
      <c r="C599" s="2259"/>
      <c r="D599" s="2260"/>
      <c r="E599" s="1908" t="s">
        <v>3682</v>
      </c>
      <c r="F599" s="1908" t="s">
        <v>4458</v>
      </c>
      <c r="G599" s="1908"/>
      <c r="H599" s="2278" t="s">
        <v>5043</v>
      </c>
      <c r="I599" s="2259"/>
      <c r="J599" s="2260"/>
      <c r="K599" s="2278" t="s">
        <v>5129</v>
      </c>
      <c r="L599" s="2260"/>
      <c r="M599" s="1908" t="e">
        <f>VLOOKUP(K599,'Estimate Details'!$R:$BR,20,FALSE)</f>
        <v>#N/A</v>
      </c>
      <c r="N599" s="1908" t="e">
        <f>VLOOKUP(M599,#REF!,2,FALSE)</f>
        <v>#N/A</v>
      </c>
      <c r="O599" s="1908" t="s">
        <v>4256</v>
      </c>
      <c r="P599" s="2278" t="s">
        <v>4175</v>
      </c>
      <c r="Q599" s="2259"/>
      <c r="R599" s="2260"/>
      <c r="S599" s="1908" t="s">
        <v>3688</v>
      </c>
      <c r="T599" s="1908" t="s">
        <v>3689</v>
      </c>
      <c r="U599" s="1908" t="s">
        <v>3707</v>
      </c>
      <c r="V599" s="1908" t="s">
        <v>4176</v>
      </c>
      <c r="W599" s="1908" t="s">
        <v>3688</v>
      </c>
      <c r="X599" s="1908" t="s">
        <v>4257</v>
      </c>
      <c r="Y599" s="1908" t="s">
        <v>4258</v>
      </c>
      <c r="Z599" s="1908"/>
      <c r="AA599" s="1908" t="s">
        <v>3694</v>
      </c>
      <c r="AB599" s="1908" t="s">
        <v>3688</v>
      </c>
      <c r="AC599" s="1908" t="s">
        <v>4259</v>
      </c>
      <c r="AD599" s="2278" t="s">
        <v>4260</v>
      </c>
      <c r="AE599" s="2259"/>
      <c r="AF599" s="2260"/>
      <c r="AG599" s="2278" t="s">
        <v>3696</v>
      </c>
      <c r="AH599" s="2259"/>
      <c r="AI599" s="2260"/>
      <c r="AJ599" s="1908" t="s">
        <v>3814</v>
      </c>
      <c r="AK599" s="2278" t="s">
        <v>4261</v>
      </c>
      <c r="AL599" s="2259"/>
      <c r="AM599" s="2259"/>
      <c r="AN599" s="2259"/>
      <c r="AO599" s="2260"/>
      <c r="AP599" s="1908" t="s">
        <v>3699</v>
      </c>
      <c r="BC599" s="214"/>
      <c r="BD599" s="214"/>
      <c r="BE599" s="214"/>
      <c r="BF599" s="214"/>
    </row>
    <row r="600" spans="1:58" ht="45" hidden="1" customHeight="1">
      <c r="A600" s="808"/>
      <c r="B600" s="2280"/>
      <c r="C600" s="2281"/>
      <c r="D600" s="2282"/>
      <c r="E600" s="1909" t="s">
        <v>3682</v>
      </c>
      <c r="F600" s="1909" t="s">
        <v>4458</v>
      </c>
      <c r="G600" s="1909"/>
      <c r="H600" s="2283" t="s">
        <v>5043</v>
      </c>
      <c r="I600" s="2281"/>
      <c r="J600" s="2282"/>
      <c r="K600" s="2283" t="s">
        <v>5130</v>
      </c>
      <c r="L600" s="2282"/>
      <c r="M600" s="1909" t="e">
        <f>VLOOKUP(K600,'Estimate Details'!$R:$BR,20,FALSE)</f>
        <v>#N/A</v>
      </c>
      <c r="N600" s="1909" t="e">
        <f>VLOOKUP(M600,#REF!,2,FALSE)</f>
        <v>#N/A</v>
      </c>
      <c r="O600" s="1909" t="s">
        <v>5131</v>
      </c>
      <c r="P600" s="2284" t="s">
        <v>4175</v>
      </c>
      <c r="Q600" s="2281"/>
      <c r="R600" s="2282"/>
      <c r="S600" s="1909" t="s">
        <v>3688</v>
      </c>
      <c r="T600" s="1909" t="s">
        <v>3689</v>
      </c>
      <c r="U600" s="1909" t="s">
        <v>3707</v>
      </c>
      <c r="V600" s="1909" t="s">
        <v>4176</v>
      </c>
      <c r="W600" s="1909" t="s">
        <v>3688</v>
      </c>
      <c r="X600" s="1909"/>
      <c r="Y600" s="1909" t="s">
        <v>5132</v>
      </c>
      <c r="Z600" s="1909"/>
      <c r="AA600" s="1909" t="s">
        <v>3694</v>
      </c>
      <c r="AB600" s="1909" t="s">
        <v>3688</v>
      </c>
      <c r="AC600" s="1909" t="s">
        <v>3804</v>
      </c>
      <c r="AD600" s="2283" t="s">
        <v>3688</v>
      </c>
      <c r="AE600" s="2281"/>
      <c r="AF600" s="2282"/>
      <c r="AG600" s="2283" t="s">
        <v>3696</v>
      </c>
      <c r="AH600" s="2281"/>
      <c r="AI600" s="2282"/>
      <c r="AJ600" s="1909" t="s">
        <v>3814</v>
      </c>
      <c r="AK600" s="2283" t="s">
        <v>5133</v>
      </c>
      <c r="AL600" s="2281"/>
      <c r="AM600" s="2259"/>
      <c r="AN600" s="2281"/>
      <c r="AO600" s="2282"/>
      <c r="AP600" s="1909" t="s">
        <v>3699</v>
      </c>
      <c r="BC600" s="214"/>
      <c r="BD600" s="214"/>
      <c r="BE600" s="214"/>
      <c r="BF600" s="214"/>
    </row>
    <row r="601" spans="1:58" ht="45" hidden="1" customHeight="1">
      <c r="B601" s="2277"/>
      <c r="C601" s="2259"/>
      <c r="D601" s="2260"/>
      <c r="E601" s="1908" t="s">
        <v>3682</v>
      </c>
      <c r="F601" s="1908" t="s">
        <v>4458</v>
      </c>
      <c r="G601" s="1908"/>
      <c r="H601" s="2278" t="s">
        <v>5043</v>
      </c>
      <c r="I601" s="2259"/>
      <c r="J601" s="2260"/>
      <c r="K601" s="2278" t="s">
        <v>5134</v>
      </c>
      <c r="L601" s="2260"/>
      <c r="M601" s="1908" t="e">
        <f>VLOOKUP(K601,'Estimate Details'!$R:$BR,20,FALSE)</f>
        <v>#N/A</v>
      </c>
      <c r="N601" s="1908" t="e">
        <f>VLOOKUP(M601,#REF!,2,FALSE)</f>
        <v>#N/A</v>
      </c>
      <c r="O601" s="1908" t="s">
        <v>4285</v>
      </c>
      <c r="P601" s="2278" t="s">
        <v>4175</v>
      </c>
      <c r="Q601" s="2259"/>
      <c r="R601" s="2260"/>
      <c r="S601" s="1908" t="s">
        <v>3688</v>
      </c>
      <c r="T601" s="1908" t="s">
        <v>3689</v>
      </c>
      <c r="U601" s="1908" t="s">
        <v>3707</v>
      </c>
      <c r="V601" s="1908" t="s">
        <v>4176</v>
      </c>
      <c r="W601" s="1908" t="s">
        <v>3688</v>
      </c>
      <c r="X601" s="1908" t="s">
        <v>4286</v>
      </c>
      <c r="Y601" s="1908" t="s">
        <v>4287</v>
      </c>
      <c r="Z601" s="1908"/>
      <c r="AA601" s="1908" t="s">
        <v>3694</v>
      </c>
      <c r="AB601" s="1908" t="s">
        <v>4288</v>
      </c>
      <c r="AC601" s="1908" t="s">
        <v>4277</v>
      </c>
      <c r="AD601" s="2278" t="s">
        <v>4289</v>
      </c>
      <c r="AE601" s="2259"/>
      <c r="AF601" s="2260"/>
      <c r="AG601" s="2278" t="s">
        <v>3696</v>
      </c>
      <c r="AH601" s="2259"/>
      <c r="AI601" s="2260"/>
      <c r="AJ601" s="1908" t="s">
        <v>3814</v>
      </c>
      <c r="AK601" s="2278" t="s">
        <v>4290</v>
      </c>
      <c r="AL601" s="2259"/>
      <c r="AM601" s="2259"/>
      <c r="AN601" s="2259"/>
      <c r="AO601" s="2260"/>
      <c r="AP601" s="1908" t="s">
        <v>3699</v>
      </c>
      <c r="BC601" s="214"/>
      <c r="BD601" s="214"/>
      <c r="BE601" s="214"/>
      <c r="BF601" s="214"/>
    </row>
    <row r="602" spans="1:58" ht="45" hidden="1" customHeight="1">
      <c r="A602" s="808"/>
      <c r="B602" s="2280"/>
      <c r="C602" s="2281"/>
      <c r="D602" s="2282"/>
      <c r="E602" s="1909" t="s">
        <v>3682</v>
      </c>
      <c r="F602" s="1909" t="s">
        <v>4458</v>
      </c>
      <c r="G602" s="1909"/>
      <c r="H602" s="2283" t="s">
        <v>5043</v>
      </c>
      <c r="I602" s="2281"/>
      <c r="J602" s="2282"/>
      <c r="K602" s="2283" t="s">
        <v>5135</v>
      </c>
      <c r="L602" s="2282"/>
      <c r="M602" s="1909" t="e">
        <f>VLOOKUP(K602,'Estimate Details'!$R:$BR,20,FALSE)</f>
        <v>#N/A</v>
      </c>
      <c r="N602" s="1909" t="e">
        <f>VLOOKUP(M602,#REF!,2,FALSE)</f>
        <v>#N/A</v>
      </c>
      <c r="O602" s="1909" t="s">
        <v>4285</v>
      </c>
      <c r="P602" s="2284" t="s">
        <v>4175</v>
      </c>
      <c r="Q602" s="2281"/>
      <c r="R602" s="2282"/>
      <c r="S602" s="1909" t="s">
        <v>3688</v>
      </c>
      <c r="T602" s="1909" t="s">
        <v>3689</v>
      </c>
      <c r="U602" s="1909" t="s">
        <v>3707</v>
      </c>
      <c r="V602" s="1909" t="s">
        <v>4176</v>
      </c>
      <c r="W602" s="1909" t="s">
        <v>3688</v>
      </c>
      <c r="X602" s="1909" t="s">
        <v>4286</v>
      </c>
      <c r="Y602" s="1909" t="s">
        <v>4287</v>
      </c>
      <c r="Z602" s="1909"/>
      <c r="AA602" s="1909" t="s">
        <v>3694</v>
      </c>
      <c r="AB602" s="1909" t="s">
        <v>4288</v>
      </c>
      <c r="AC602" s="1909" t="s">
        <v>4277</v>
      </c>
      <c r="AD602" s="2283" t="s">
        <v>4289</v>
      </c>
      <c r="AE602" s="2281"/>
      <c r="AF602" s="2282"/>
      <c r="AG602" s="2283" t="s">
        <v>3696</v>
      </c>
      <c r="AH602" s="2281"/>
      <c r="AI602" s="2282"/>
      <c r="AJ602" s="1909" t="s">
        <v>3814</v>
      </c>
      <c r="AK602" s="2283" t="s">
        <v>4290</v>
      </c>
      <c r="AL602" s="2281"/>
      <c r="AM602" s="2259"/>
      <c r="AN602" s="2281"/>
      <c r="AO602" s="2282"/>
      <c r="AP602" s="1909" t="s">
        <v>3699</v>
      </c>
      <c r="BC602" s="214"/>
      <c r="BD602" s="214"/>
      <c r="BE602" s="214"/>
      <c r="BF602" s="214"/>
    </row>
    <row r="603" spans="1:58" ht="45" hidden="1" customHeight="1">
      <c r="B603" s="2277"/>
      <c r="C603" s="2259"/>
      <c r="D603" s="2260"/>
      <c r="E603" s="1908" t="s">
        <v>3682</v>
      </c>
      <c r="F603" s="1908" t="s">
        <v>4458</v>
      </c>
      <c r="G603" s="1908"/>
      <c r="H603" s="2278" t="s">
        <v>5043</v>
      </c>
      <c r="I603" s="2259"/>
      <c r="J603" s="2260"/>
      <c r="K603" s="2278" t="s">
        <v>5136</v>
      </c>
      <c r="L603" s="2260"/>
      <c r="M603" s="1908" t="e">
        <f>VLOOKUP(K603,'Estimate Details'!$R:$BR,20,FALSE)</f>
        <v>#N/A</v>
      </c>
      <c r="N603" s="1908" t="e">
        <f>VLOOKUP(M603,#REF!,2,FALSE)</f>
        <v>#N/A</v>
      </c>
      <c r="O603" s="1908" t="s">
        <v>4285</v>
      </c>
      <c r="P603" s="2278" t="s">
        <v>4175</v>
      </c>
      <c r="Q603" s="2259"/>
      <c r="R603" s="2260"/>
      <c r="S603" s="1908" t="s">
        <v>3688</v>
      </c>
      <c r="T603" s="1908" t="s">
        <v>3689</v>
      </c>
      <c r="U603" s="1908" t="s">
        <v>3707</v>
      </c>
      <c r="V603" s="1908" t="s">
        <v>4176</v>
      </c>
      <c r="W603" s="1908" t="s">
        <v>3688</v>
      </c>
      <c r="X603" s="1908" t="s">
        <v>4286</v>
      </c>
      <c r="Y603" s="1908" t="s">
        <v>4287</v>
      </c>
      <c r="Z603" s="1908"/>
      <c r="AA603" s="1908" t="s">
        <v>3694</v>
      </c>
      <c r="AB603" s="1908" t="s">
        <v>4288</v>
      </c>
      <c r="AC603" s="1908" t="s">
        <v>4277</v>
      </c>
      <c r="AD603" s="2278" t="s">
        <v>4289</v>
      </c>
      <c r="AE603" s="2259"/>
      <c r="AF603" s="2260"/>
      <c r="AG603" s="2278" t="s">
        <v>3696</v>
      </c>
      <c r="AH603" s="2259"/>
      <c r="AI603" s="2260"/>
      <c r="AJ603" s="1908" t="s">
        <v>3814</v>
      </c>
      <c r="AK603" s="2278" t="s">
        <v>4290</v>
      </c>
      <c r="AL603" s="2259"/>
      <c r="AM603" s="2259"/>
      <c r="AN603" s="2259"/>
      <c r="AO603" s="2260"/>
      <c r="AP603" s="1908" t="s">
        <v>3699</v>
      </c>
      <c r="BC603" s="214"/>
      <c r="BD603" s="214"/>
      <c r="BE603" s="214"/>
      <c r="BF603" s="214"/>
    </row>
    <row r="604" spans="1:58" ht="45" hidden="1" customHeight="1">
      <c r="A604" s="808"/>
      <c r="B604" s="2280"/>
      <c r="C604" s="2281"/>
      <c r="D604" s="2282"/>
      <c r="E604" s="1909" t="s">
        <v>3682</v>
      </c>
      <c r="F604" s="1909" t="s">
        <v>4458</v>
      </c>
      <c r="G604" s="1909"/>
      <c r="H604" s="2283" t="s">
        <v>5043</v>
      </c>
      <c r="I604" s="2281"/>
      <c r="J604" s="2282"/>
      <c r="K604" s="2283" t="s">
        <v>5137</v>
      </c>
      <c r="L604" s="2282"/>
      <c r="M604" s="1909" t="e">
        <f>VLOOKUP(K604,'Estimate Details'!$R:$BR,20,FALSE)</f>
        <v>#N/A</v>
      </c>
      <c r="N604" s="1909" t="e">
        <f>VLOOKUP(M604,#REF!,2,FALSE)</f>
        <v>#N/A</v>
      </c>
      <c r="O604" s="1909" t="s">
        <v>4285</v>
      </c>
      <c r="P604" s="2284" t="s">
        <v>4175</v>
      </c>
      <c r="Q604" s="2281"/>
      <c r="R604" s="2282"/>
      <c r="S604" s="1909" t="s">
        <v>3688</v>
      </c>
      <c r="T604" s="1909" t="s">
        <v>3689</v>
      </c>
      <c r="U604" s="1909" t="s">
        <v>3707</v>
      </c>
      <c r="V604" s="1909" t="s">
        <v>4176</v>
      </c>
      <c r="W604" s="1909" t="s">
        <v>3688</v>
      </c>
      <c r="X604" s="1909" t="s">
        <v>4286</v>
      </c>
      <c r="Y604" s="1909" t="s">
        <v>4287</v>
      </c>
      <c r="Z604" s="1909"/>
      <c r="AA604" s="1909" t="s">
        <v>3694</v>
      </c>
      <c r="AB604" s="1909" t="s">
        <v>4288</v>
      </c>
      <c r="AC604" s="1909" t="s">
        <v>4277</v>
      </c>
      <c r="AD604" s="2283" t="s">
        <v>4289</v>
      </c>
      <c r="AE604" s="2281"/>
      <c r="AF604" s="2282"/>
      <c r="AG604" s="2283" t="s">
        <v>3696</v>
      </c>
      <c r="AH604" s="2281"/>
      <c r="AI604" s="2282"/>
      <c r="AJ604" s="1909" t="s">
        <v>3814</v>
      </c>
      <c r="AK604" s="2283" t="s">
        <v>4290</v>
      </c>
      <c r="AL604" s="2281"/>
      <c r="AM604" s="2259"/>
      <c r="AN604" s="2281"/>
      <c r="AO604" s="2282"/>
      <c r="AP604" s="1909" t="s">
        <v>3699</v>
      </c>
      <c r="BC604" s="214"/>
      <c r="BD604" s="214"/>
      <c r="BE604" s="214"/>
      <c r="BF604" s="214"/>
    </row>
    <row r="605" spans="1:58" ht="45" hidden="1" customHeight="1">
      <c r="B605" s="2277"/>
      <c r="C605" s="2259"/>
      <c r="D605" s="2260"/>
      <c r="E605" s="1908" t="s">
        <v>3682</v>
      </c>
      <c r="F605" s="1908" t="s">
        <v>4458</v>
      </c>
      <c r="G605" s="1908"/>
      <c r="H605" s="2278" t="s">
        <v>5043</v>
      </c>
      <c r="I605" s="2259"/>
      <c r="J605" s="2260"/>
      <c r="K605" s="2278" t="s">
        <v>5138</v>
      </c>
      <c r="L605" s="2260"/>
      <c r="M605" s="1908" t="e">
        <f>VLOOKUP(K605,'Estimate Details'!$R:$BR,20,FALSE)</f>
        <v>#N/A</v>
      </c>
      <c r="N605" s="1908" t="e">
        <f>VLOOKUP(M605,#REF!,2,FALSE)</f>
        <v>#N/A</v>
      </c>
      <c r="O605" s="1908" t="s">
        <v>4292</v>
      </c>
      <c r="P605" s="2278" t="s">
        <v>4175</v>
      </c>
      <c r="Q605" s="2259"/>
      <c r="R605" s="2260"/>
      <c r="S605" s="1908" t="s">
        <v>3688</v>
      </c>
      <c r="T605" s="1908" t="s">
        <v>3689</v>
      </c>
      <c r="U605" s="1908" t="s">
        <v>3707</v>
      </c>
      <c r="V605" s="1908" t="s">
        <v>4176</v>
      </c>
      <c r="W605" s="1908" t="s">
        <v>3688</v>
      </c>
      <c r="X605" s="1908"/>
      <c r="Y605" s="1908"/>
      <c r="Z605" s="1908"/>
      <c r="AA605" s="1908" t="s">
        <v>3694</v>
      </c>
      <c r="AB605" s="1908" t="s">
        <v>4293</v>
      </c>
      <c r="AC605" s="1908" t="s">
        <v>4235</v>
      </c>
      <c r="AD605" s="2278" t="s">
        <v>4294</v>
      </c>
      <c r="AE605" s="2259"/>
      <c r="AF605" s="2260"/>
      <c r="AG605" s="2278" t="s">
        <v>3696</v>
      </c>
      <c r="AH605" s="2259"/>
      <c r="AI605" s="2260"/>
      <c r="AJ605" s="1908" t="s">
        <v>3814</v>
      </c>
      <c r="AK605" s="2278" t="s">
        <v>4295</v>
      </c>
      <c r="AL605" s="2259"/>
      <c r="AM605" s="2259"/>
      <c r="AN605" s="2259"/>
      <c r="AO605" s="2260"/>
      <c r="AP605" s="1908" t="s">
        <v>3699</v>
      </c>
      <c r="BC605" s="214"/>
      <c r="BD605" s="214"/>
      <c r="BE605" s="214"/>
      <c r="BF605" s="214"/>
    </row>
    <row r="606" spans="1:58" ht="45" hidden="1" customHeight="1">
      <c r="A606" s="808"/>
      <c r="B606" s="2280"/>
      <c r="C606" s="2281"/>
      <c r="D606" s="2282"/>
      <c r="E606" s="1909" t="s">
        <v>3682</v>
      </c>
      <c r="F606" s="1909" t="s">
        <v>4458</v>
      </c>
      <c r="G606" s="1909"/>
      <c r="H606" s="2283" t="s">
        <v>5043</v>
      </c>
      <c r="I606" s="2281"/>
      <c r="J606" s="2282"/>
      <c r="K606" s="2283" t="s">
        <v>5139</v>
      </c>
      <c r="L606" s="2282"/>
      <c r="M606" s="1909" t="e">
        <f>VLOOKUP(K606,'Estimate Details'!$R:$BR,20,FALSE)</f>
        <v>#N/A</v>
      </c>
      <c r="N606" s="1909" t="e">
        <f>VLOOKUP(M606,#REF!,2,FALSE)</f>
        <v>#N/A</v>
      </c>
      <c r="O606" s="1909" t="s">
        <v>4253</v>
      </c>
      <c r="P606" s="2284" t="s">
        <v>4175</v>
      </c>
      <c r="Q606" s="2281"/>
      <c r="R606" s="2282"/>
      <c r="S606" s="1909" t="s">
        <v>3688</v>
      </c>
      <c r="T606" s="1909" t="s">
        <v>3689</v>
      </c>
      <c r="U606" s="1909" t="s">
        <v>3707</v>
      </c>
      <c r="V606" s="1909" t="s">
        <v>4176</v>
      </c>
      <c r="W606" s="1909" t="s">
        <v>3688</v>
      </c>
      <c r="X606" s="1909"/>
      <c r="Y606" s="1909"/>
      <c r="Z606" s="1909"/>
      <c r="AA606" s="1909" t="s">
        <v>3694</v>
      </c>
      <c r="AB606" s="1909" t="s">
        <v>3688</v>
      </c>
      <c r="AC606" s="1909" t="s">
        <v>3804</v>
      </c>
      <c r="AD606" s="2283" t="s">
        <v>3688</v>
      </c>
      <c r="AE606" s="2281"/>
      <c r="AF606" s="2282"/>
      <c r="AG606" s="2283" t="s">
        <v>3696</v>
      </c>
      <c r="AH606" s="2281"/>
      <c r="AI606" s="2282"/>
      <c r="AJ606" s="1909" t="s">
        <v>3814</v>
      </c>
      <c r="AK606" s="2283" t="s">
        <v>4254</v>
      </c>
      <c r="AL606" s="2281"/>
      <c r="AM606" s="2259"/>
      <c r="AN606" s="2281"/>
      <c r="AO606" s="2282"/>
      <c r="AP606" s="1909" t="s">
        <v>3716</v>
      </c>
      <c r="BC606" s="214"/>
      <c r="BD606" s="214"/>
      <c r="BE606" s="214"/>
      <c r="BF606" s="214"/>
    </row>
    <row r="607" spans="1:58" ht="45" hidden="1" customHeight="1">
      <c r="B607" s="2277"/>
      <c r="C607" s="2259"/>
      <c r="D607" s="2260"/>
      <c r="E607" s="1908" t="s">
        <v>3682</v>
      </c>
      <c r="F607" s="1908" t="s">
        <v>4458</v>
      </c>
      <c r="G607" s="1908"/>
      <c r="H607" s="2278" t="s">
        <v>5043</v>
      </c>
      <c r="I607" s="2259"/>
      <c r="J607" s="2260"/>
      <c r="K607" s="2278" t="s">
        <v>5140</v>
      </c>
      <c r="L607" s="2260"/>
      <c r="M607" s="1908" t="e">
        <f>VLOOKUP(K607,'Estimate Details'!$R:$BR,20,FALSE)</f>
        <v>#N/A</v>
      </c>
      <c r="N607" s="1908" t="e">
        <f>VLOOKUP(M607,#REF!,2,FALSE)</f>
        <v>#N/A</v>
      </c>
      <c r="O607" s="1908" t="s">
        <v>4297</v>
      </c>
      <c r="P607" s="2278" t="s">
        <v>4175</v>
      </c>
      <c r="Q607" s="2259"/>
      <c r="R607" s="2260"/>
      <c r="S607" s="1908" t="s">
        <v>3688</v>
      </c>
      <c r="T607" s="1908" t="s">
        <v>3689</v>
      </c>
      <c r="U607" s="1908" t="s">
        <v>3707</v>
      </c>
      <c r="V607" s="1908" t="s">
        <v>4176</v>
      </c>
      <c r="W607" s="1908" t="s">
        <v>3688</v>
      </c>
      <c r="X607" s="1908" t="s">
        <v>4298</v>
      </c>
      <c r="Y607" s="1908"/>
      <c r="Z607" s="1908"/>
      <c r="AA607" s="1908" t="s">
        <v>3694</v>
      </c>
      <c r="AB607" s="1908" t="s">
        <v>4299</v>
      </c>
      <c r="AC607" s="1908" t="s">
        <v>4266</v>
      </c>
      <c r="AD607" s="2278" t="s">
        <v>4300</v>
      </c>
      <c r="AE607" s="2259"/>
      <c r="AF607" s="2260"/>
      <c r="AG607" s="2278" t="s">
        <v>3696</v>
      </c>
      <c r="AH607" s="2259"/>
      <c r="AI607" s="2260"/>
      <c r="AJ607" s="1908" t="s">
        <v>3814</v>
      </c>
      <c r="AK607" s="2278" t="s">
        <v>4301</v>
      </c>
      <c r="AL607" s="2259"/>
      <c r="AM607" s="2259"/>
      <c r="AN607" s="2259"/>
      <c r="AO607" s="2260"/>
      <c r="AP607" s="1908" t="s">
        <v>3716</v>
      </c>
      <c r="BC607" s="214"/>
      <c r="BD607" s="214"/>
      <c r="BE607" s="214"/>
      <c r="BF607" s="214"/>
    </row>
    <row r="608" spans="1:58" ht="45" hidden="1" customHeight="1">
      <c r="A608" s="808"/>
      <c r="B608" s="2280"/>
      <c r="C608" s="2281"/>
      <c r="D608" s="2282"/>
      <c r="E608" s="1909" t="s">
        <v>3682</v>
      </c>
      <c r="F608" s="1911" t="s">
        <v>3688</v>
      </c>
      <c r="G608" s="1911"/>
      <c r="H608" s="2286" t="s">
        <v>5043</v>
      </c>
      <c r="I608" s="2281"/>
      <c r="J608" s="2282"/>
      <c r="K608" s="2286" t="s">
        <v>5141</v>
      </c>
      <c r="L608" s="2282"/>
      <c r="M608" s="1911" t="e">
        <f>VLOOKUP(K608,'Estimate Details'!$R:$BR,20,FALSE)</f>
        <v>#N/A</v>
      </c>
      <c r="N608" s="1911" t="e">
        <f>VLOOKUP(M608,#REF!,2,FALSE)</f>
        <v>#N/A</v>
      </c>
      <c r="O608" s="1911" t="s">
        <v>4297</v>
      </c>
      <c r="P608" s="2287" t="s">
        <v>3688</v>
      </c>
      <c r="Q608" s="2281"/>
      <c r="R608" s="2282"/>
      <c r="S608" s="1911" t="s">
        <v>5142</v>
      </c>
      <c r="T608" s="1911" t="s">
        <v>3689</v>
      </c>
      <c r="U608" s="1911" t="s">
        <v>3688</v>
      </c>
      <c r="V608" s="1911" t="s">
        <v>3688</v>
      </c>
      <c r="W608" s="1911" t="s">
        <v>3688</v>
      </c>
      <c r="X608" s="1911"/>
      <c r="Y608" s="1911"/>
      <c r="Z608" s="1911"/>
      <c r="AA608" s="1911" t="s">
        <v>3694</v>
      </c>
      <c r="AB608" s="1911" t="s">
        <v>3688</v>
      </c>
      <c r="AC608" s="1911" t="s">
        <v>4304</v>
      </c>
      <c r="AD608" s="2286" t="s">
        <v>3688</v>
      </c>
      <c r="AE608" s="2281"/>
      <c r="AF608" s="2282"/>
      <c r="AG608" s="2286" t="s">
        <v>3696</v>
      </c>
      <c r="AH608" s="2281"/>
      <c r="AI608" s="2282"/>
      <c r="AJ608" s="1911" t="s">
        <v>4305</v>
      </c>
      <c r="AK608" s="2286" t="s">
        <v>3688</v>
      </c>
      <c r="AL608" s="2281"/>
      <c r="AM608" s="2259"/>
      <c r="AN608" s="2281"/>
      <c r="AO608" s="2282"/>
      <c r="AP608" s="1911" t="s">
        <v>3688</v>
      </c>
      <c r="BC608" s="214"/>
      <c r="BD608" s="214"/>
      <c r="BE608" s="214"/>
      <c r="BF608" s="214"/>
    </row>
    <row r="609" spans="1:58" ht="45" hidden="1" customHeight="1">
      <c r="B609" s="2277"/>
      <c r="C609" s="2259"/>
      <c r="D609" s="2260"/>
      <c r="E609" s="1908" t="s">
        <v>3682</v>
      </c>
      <c r="F609" s="1908" t="s">
        <v>4458</v>
      </c>
      <c r="G609" s="1908"/>
      <c r="H609" s="2278" t="s">
        <v>5043</v>
      </c>
      <c r="I609" s="2259"/>
      <c r="J609" s="2260"/>
      <c r="K609" s="2278" t="s">
        <v>5143</v>
      </c>
      <c r="L609" s="2260"/>
      <c r="M609" s="1908" t="e">
        <f>VLOOKUP(K609,'Estimate Details'!$R:$BR,20,FALSE)</f>
        <v>#N/A</v>
      </c>
      <c r="N609" s="1908" t="e">
        <f>VLOOKUP(M609,#REF!,2,FALSE)</f>
        <v>#N/A</v>
      </c>
      <c r="O609" s="1908" t="s">
        <v>4297</v>
      </c>
      <c r="P609" s="2278" t="s">
        <v>4175</v>
      </c>
      <c r="Q609" s="2259"/>
      <c r="R609" s="2260"/>
      <c r="S609" s="1908" t="s">
        <v>3688</v>
      </c>
      <c r="T609" s="1908" t="s">
        <v>3689</v>
      </c>
      <c r="U609" s="1908" t="s">
        <v>3707</v>
      </c>
      <c r="V609" s="1908" t="s">
        <v>4176</v>
      </c>
      <c r="W609" s="1908" t="s">
        <v>3688</v>
      </c>
      <c r="X609" s="1908" t="s">
        <v>4298</v>
      </c>
      <c r="Y609" s="1908"/>
      <c r="Z609" s="1908"/>
      <c r="AA609" s="1908" t="s">
        <v>3694</v>
      </c>
      <c r="AB609" s="1908" t="s">
        <v>4299</v>
      </c>
      <c r="AC609" s="1908" t="s">
        <v>4266</v>
      </c>
      <c r="AD609" s="2278" t="s">
        <v>4300</v>
      </c>
      <c r="AE609" s="2259"/>
      <c r="AF609" s="2260"/>
      <c r="AG609" s="2278" t="s">
        <v>3696</v>
      </c>
      <c r="AH609" s="2259"/>
      <c r="AI609" s="2260"/>
      <c r="AJ609" s="1908" t="s">
        <v>3814</v>
      </c>
      <c r="AK609" s="2278" t="s">
        <v>4301</v>
      </c>
      <c r="AL609" s="2259"/>
      <c r="AM609" s="2259"/>
      <c r="AN609" s="2259"/>
      <c r="AO609" s="2260"/>
      <c r="AP609" s="1908" t="s">
        <v>3716</v>
      </c>
      <c r="BC609" s="214"/>
      <c r="BD609" s="214"/>
      <c r="BE609" s="214"/>
      <c r="BF609" s="214"/>
    </row>
    <row r="610" spans="1:58" ht="45" hidden="1" customHeight="1">
      <c r="A610" s="808"/>
      <c r="B610" s="2280"/>
      <c r="C610" s="2281"/>
      <c r="D610" s="2282"/>
      <c r="E610" s="1909" t="s">
        <v>3682</v>
      </c>
      <c r="F610" s="1911" t="s">
        <v>3688</v>
      </c>
      <c r="G610" s="1911"/>
      <c r="H610" s="2286" t="s">
        <v>5043</v>
      </c>
      <c r="I610" s="2281"/>
      <c r="J610" s="2282"/>
      <c r="K610" s="2286" t="s">
        <v>5144</v>
      </c>
      <c r="L610" s="2282"/>
      <c r="M610" s="1911" t="e">
        <f>VLOOKUP(K610,'Estimate Details'!$R:$BR,20,FALSE)</f>
        <v>#N/A</v>
      </c>
      <c r="N610" s="1911" t="e">
        <f>VLOOKUP(M610,#REF!,2,FALSE)</f>
        <v>#N/A</v>
      </c>
      <c r="O610" s="1911" t="s">
        <v>4297</v>
      </c>
      <c r="P610" s="2287" t="s">
        <v>3688</v>
      </c>
      <c r="Q610" s="2281"/>
      <c r="R610" s="2282"/>
      <c r="S610" s="1911" t="s">
        <v>5145</v>
      </c>
      <c r="T610" s="1911" t="s">
        <v>3689</v>
      </c>
      <c r="U610" s="1911" t="s">
        <v>3688</v>
      </c>
      <c r="V610" s="1911" t="s">
        <v>3688</v>
      </c>
      <c r="W610" s="1911" t="s">
        <v>3688</v>
      </c>
      <c r="X610" s="1911"/>
      <c r="Y610" s="1911"/>
      <c r="Z610" s="1911"/>
      <c r="AA610" s="1911" t="s">
        <v>3694</v>
      </c>
      <c r="AB610" s="1911" t="s">
        <v>3688</v>
      </c>
      <c r="AC610" s="1911" t="s">
        <v>4304</v>
      </c>
      <c r="AD610" s="2286" t="s">
        <v>3688</v>
      </c>
      <c r="AE610" s="2281"/>
      <c r="AF610" s="2282"/>
      <c r="AG610" s="2286" t="s">
        <v>3696</v>
      </c>
      <c r="AH610" s="2281"/>
      <c r="AI610" s="2282"/>
      <c r="AJ610" s="1911" t="s">
        <v>4305</v>
      </c>
      <c r="AK610" s="2286" t="s">
        <v>3688</v>
      </c>
      <c r="AL610" s="2281"/>
      <c r="AM610" s="2259"/>
      <c r="AN610" s="2281"/>
      <c r="AO610" s="2282"/>
      <c r="AP610" s="1911" t="s">
        <v>3688</v>
      </c>
      <c r="BC610" s="214"/>
      <c r="BD610" s="214"/>
      <c r="BE610" s="214"/>
      <c r="BF610" s="214"/>
    </row>
    <row r="611" spans="1:58" ht="45" hidden="1" customHeight="1">
      <c r="B611" s="2277"/>
      <c r="C611" s="2259"/>
      <c r="D611" s="2260"/>
      <c r="E611" s="1908" t="s">
        <v>3682</v>
      </c>
      <c r="F611" s="1908" t="s">
        <v>4458</v>
      </c>
      <c r="G611" s="1908"/>
      <c r="H611" s="2278" t="s">
        <v>5043</v>
      </c>
      <c r="I611" s="2259"/>
      <c r="J611" s="2260"/>
      <c r="K611" s="2278" t="s">
        <v>5146</v>
      </c>
      <c r="L611" s="2260"/>
      <c r="M611" s="1908" t="e">
        <f>VLOOKUP(K611,'Estimate Details'!$R:$BR,20,FALSE)</f>
        <v>#N/A</v>
      </c>
      <c r="N611" s="1908" t="e">
        <f>VLOOKUP(M611,#REF!,2,FALSE)</f>
        <v>#N/A</v>
      </c>
      <c r="O611" s="1908" t="s">
        <v>4297</v>
      </c>
      <c r="P611" s="2278" t="s">
        <v>4175</v>
      </c>
      <c r="Q611" s="2259"/>
      <c r="R611" s="2260"/>
      <c r="S611" s="1908" t="s">
        <v>3688</v>
      </c>
      <c r="T611" s="1908" t="s">
        <v>3689</v>
      </c>
      <c r="U611" s="1908" t="s">
        <v>3707</v>
      </c>
      <c r="V611" s="1908" t="s">
        <v>4176</v>
      </c>
      <c r="W611" s="1908" t="s">
        <v>3688</v>
      </c>
      <c r="X611" s="1908" t="s">
        <v>4298</v>
      </c>
      <c r="Y611" s="1908"/>
      <c r="Z611" s="1908"/>
      <c r="AA611" s="1908" t="s">
        <v>3694</v>
      </c>
      <c r="AB611" s="1908" t="s">
        <v>4299</v>
      </c>
      <c r="AC611" s="1908" t="s">
        <v>4266</v>
      </c>
      <c r="AD611" s="2278" t="s">
        <v>4300</v>
      </c>
      <c r="AE611" s="2259"/>
      <c r="AF611" s="2260"/>
      <c r="AG611" s="2278" t="s">
        <v>3696</v>
      </c>
      <c r="AH611" s="2259"/>
      <c r="AI611" s="2260"/>
      <c r="AJ611" s="1908" t="s">
        <v>3814</v>
      </c>
      <c r="AK611" s="2278" t="s">
        <v>4301</v>
      </c>
      <c r="AL611" s="2259"/>
      <c r="AM611" s="2259"/>
      <c r="AN611" s="2259"/>
      <c r="AO611" s="2260"/>
      <c r="AP611" s="1908" t="s">
        <v>3716</v>
      </c>
      <c r="BC611" s="214"/>
      <c r="BD611" s="214"/>
      <c r="BE611" s="214"/>
      <c r="BF611" s="214"/>
    </row>
    <row r="612" spans="1:58" ht="45" hidden="1" customHeight="1">
      <c r="A612" s="808"/>
      <c r="B612" s="2280"/>
      <c r="C612" s="2281"/>
      <c r="D612" s="2282"/>
      <c r="E612" s="1909" t="s">
        <v>3682</v>
      </c>
      <c r="F612" s="1911" t="s">
        <v>3688</v>
      </c>
      <c r="G612" s="1911"/>
      <c r="H612" s="2286" t="s">
        <v>5043</v>
      </c>
      <c r="I612" s="2281"/>
      <c r="J612" s="2282"/>
      <c r="K612" s="2286" t="s">
        <v>5147</v>
      </c>
      <c r="L612" s="2282"/>
      <c r="M612" s="1911" t="e">
        <f>VLOOKUP(K612,'Estimate Details'!$R:$BR,20,FALSE)</f>
        <v>#N/A</v>
      </c>
      <c r="N612" s="1911" t="e">
        <f>VLOOKUP(M612,#REF!,2,FALSE)</f>
        <v>#N/A</v>
      </c>
      <c r="O612" s="1911" t="s">
        <v>4297</v>
      </c>
      <c r="P612" s="2287" t="s">
        <v>3688</v>
      </c>
      <c r="Q612" s="2281"/>
      <c r="R612" s="2282"/>
      <c r="S612" s="1911" t="s">
        <v>5148</v>
      </c>
      <c r="T612" s="1911" t="s">
        <v>3689</v>
      </c>
      <c r="U612" s="1911" t="s">
        <v>3688</v>
      </c>
      <c r="V612" s="1911" t="s">
        <v>3688</v>
      </c>
      <c r="W612" s="1911" t="s">
        <v>3688</v>
      </c>
      <c r="X612" s="1911"/>
      <c r="Y612" s="1911"/>
      <c r="Z612" s="1911"/>
      <c r="AA612" s="1911" t="s">
        <v>3694</v>
      </c>
      <c r="AB612" s="1911" t="s">
        <v>3688</v>
      </c>
      <c r="AC612" s="1911" t="s">
        <v>4304</v>
      </c>
      <c r="AD612" s="2286" t="s">
        <v>3688</v>
      </c>
      <c r="AE612" s="2281"/>
      <c r="AF612" s="2282"/>
      <c r="AG612" s="2286" t="s">
        <v>3696</v>
      </c>
      <c r="AH612" s="2281"/>
      <c r="AI612" s="2282"/>
      <c r="AJ612" s="1911" t="s">
        <v>4305</v>
      </c>
      <c r="AK612" s="2286" t="s">
        <v>3688</v>
      </c>
      <c r="AL612" s="2281"/>
      <c r="AM612" s="2259"/>
      <c r="AN612" s="2281"/>
      <c r="AO612" s="2282"/>
      <c r="AP612" s="1911" t="s">
        <v>3688</v>
      </c>
      <c r="BC612" s="214"/>
      <c r="BD612" s="214"/>
      <c r="BE612" s="214"/>
      <c r="BF612" s="214"/>
    </row>
    <row r="613" spans="1:58" ht="45" hidden="1" customHeight="1">
      <c r="B613" s="2277"/>
      <c r="C613" s="2259"/>
      <c r="D613" s="2260"/>
      <c r="E613" s="1908" t="s">
        <v>3682</v>
      </c>
      <c r="F613" s="1908" t="s">
        <v>4458</v>
      </c>
      <c r="G613" s="1908"/>
      <c r="H613" s="2278" t="s">
        <v>5043</v>
      </c>
      <c r="I613" s="2259"/>
      <c r="J613" s="2260"/>
      <c r="K613" s="2278" t="s">
        <v>5149</v>
      </c>
      <c r="L613" s="2260"/>
      <c r="M613" s="1908" t="e">
        <f>VLOOKUP(K613,'Estimate Details'!$R:$BR,20,FALSE)</f>
        <v>#N/A</v>
      </c>
      <c r="N613" s="1908" t="e">
        <f>VLOOKUP(M613,#REF!,2,FALSE)</f>
        <v>#N/A</v>
      </c>
      <c r="O613" s="1908" t="s">
        <v>4297</v>
      </c>
      <c r="P613" s="2278" t="s">
        <v>4175</v>
      </c>
      <c r="Q613" s="2259"/>
      <c r="R613" s="2260"/>
      <c r="S613" s="1908" t="s">
        <v>3688</v>
      </c>
      <c r="T613" s="1908" t="s">
        <v>3689</v>
      </c>
      <c r="U613" s="1908" t="s">
        <v>3707</v>
      </c>
      <c r="V613" s="1908" t="s">
        <v>4176</v>
      </c>
      <c r="W613" s="1908" t="s">
        <v>3688</v>
      </c>
      <c r="X613" s="1908" t="s">
        <v>4298</v>
      </c>
      <c r="Y613" s="1908"/>
      <c r="Z613" s="1908"/>
      <c r="AA613" s="1908" t="s">
        <v>3694</v>
      </c>
      <c r="AB613" s="1908" t="s">
        <v>4299</v>
      </c>
      <c r="AC613" s="1908" t="s">
        <v>4266</v>
      </c>
      <c r="AD613" s="2278" t="s">
        <v>4300</v>
      </c>
      <c r="AE613" s="2259"/>
      <c r="AF613" s="2260"/>
      <c r="AG613" s="2278" t="s">
        <v>3696</v>
      </c>
      <c r="AH613" s="2259"/>
      <c r="AI613" s="2260"/>
      <c r="AJ613" s="1908" t="s">
        <v>3814</v>
      </c>
      <c r="AK613" s="2278" t="s">
        <v>4301</v>
      </c>
      <c r="AL613" s="2259"/>
      <c r="AM613" s="2259"/>
      <c r="AN613" s="2259"/>
      <c r="AO613" s="2260"/>
      <c r="AP613" s="1908" t="s">
        <v>3716</v>
      </c>
      <c r="BC613" s="214"/>
      <c r="BD613" s="214"/>
      <c r="BE613" s="214"/>
      <c r="BF613" s="214"/>
    </row>
    <row r="614" spans="1:58" ht="45" hidden="1" customHeight="1">
      <c r="A614" s="808"/>
      <c r="B614" s="2280"/>
      <c r="C614" s="2281"/>
      <c r="D614" s="2282"/>
      <c r="E614" s="1909" t="s">
        <v>3682</v>
      </c>
      <c r="F614" s="1911" t="s">
        <v>3688</v>
      </c>
      <c r="G614" s="1911"/>
      <c r="H614" s="2286" t="s">
        <v>5043</v>
      </c>
      <c r="I614" s="2281"/>
      <c r="J614" s="2282"/>
      <c r="K614" s="2286" t="s">
        <v>5150</v>
      </c>
      <c r="L614" s="2282"/>
      <c r="M614" s="1911" t="e">
        <f>VLOOKUP(K614,'Estimate Details'!$R:$BR,20,FALSE)</f>
        <v>#N/A</v>
      </c>
      <c r="N614" s="1911" t="e">
        <f>VLOOKUP(M614,#REF!,2,FALSE)</f>
        <v>#N/A</v>
      </c>
      <c r="O614" s="1911" t="s">
        <v>4297</v>
      </c>
      <c r="P614" s="2287" t="s">
        <v>3688</v>
      </c>
      <c r="Q614" s="2281"/>
      <c r="R614" s="2282"/>
      <c r="S614" s="1911" t="s">
        <v>5151</v>
      </c>
      <c r="T614" s="1911" t="s">
        <v>3689</v>
      </c>
      <c r="U614" s="1911" t="s">
        <v>3688</v>
      </c>
      <c r="V614" s="1911" t="s">
        <v>3688</v>
      </c>
      <c r="W614" s="1911" t="s">
        <v>3688</v>
      </c>
      <c r="X614" s="1911"/>
      <c r="Y614" s="1911"/>
      <c r="Z614" s="1911"/>
      <c r="AA614" s="1911" t="s">
        <v>3694</v>
      </c>
      <c r="AB614" s="1911" t="s">
        <v>3688</v>
      </c>
      <c r="AC614" s="1911" t="s">
        <v>4304</v>
      </c>
      <c r="AD614" s="2286" t="s">
        <v>3688</v>
      </c>
      <c r="AE614" s="2281"/>
      <c r="AF614" s="2282"/>
      <c r="AG614" s="2286" t="s">
        <v>3696</v>
      </c>
      <c r="AH614" s="2281"/>
      <c r="AI614" s="2282"/>
      <c r="AJ614" s="1911" t="s">
        <v>4305</v>
      </c>
      <c r="AK614" s="2286" t="s">
        <v>3688</v>
      </c>
      <c r="AL614" s="2281"/>
      <c r="AM614" s="2259"/>
      <c r="AN614" s="2281"/>
      <c r="AO614" s="2282"/>
      <c r="AP614" s="1911" t="s">
        <v>3688</v>
      </c>
      <c r="BC614" s="214"/>
      <c r="BD614" s="214"/>
      <c r="BE614" s="214"/>
      <c r="BF614" s="214"/>
    </row>
    <row r="615" spans="1:58" ht="45" hidden="1" customHeight="1">
      <c r="B615" s="2277"/>
      <c r="C615" s="2259"/>
      <c r="D615" s="2260"/>
      <c r="E615" s="1908" t="s">
        <v>3682</v>
      </c>
      <c r="F615" s="1908" t="s">
        <v>4458</v>
      </c>
      <c r="G615" s="1908"/>
      <c r="H615" s="2278" t="s">
        <v>5043</v>
      </c>
      <c r="I615" s="2259"/>
      <c r="J615" s="2260"/>
      <c r="K615" s="2278" t="s">
        <v>5152</v>
      </c>
      <c r="L615" s="2260"/>
      <c r="M615" s="1908" t="e">
        <f>VLOOKUP(K615,'Estimate Details'!$R:$BR,20,FALSE)</f>
        <v>#N/A</v>
      </c>
      <c r="N615" s="1908" t="e">
        <f>VLOOKUP(M615,#REF!,2,FALSE)</f>
        <v>#N/A</v>
      </c>
      <c r="O615" s="1908" t="s">
        <v>4310</v>
      </c>
      <c r="P615" s="2278" t="s">
        <v>4175</v>
      </c>
      <c r="Q615" s="2259"/>
      <c r="R615" s="2260"/>
      <c r="S615" s="1908" t="s">
        <v>3688</v>
      </c>
      <c r="T615" s="1908" t="s">
        <v>3689</v>
      </c>
      <c r="U615" s="1908" t="s">
        <v>3707</v>
      </c>
      <c r="V615" s="1908" t="s">
        <v>4176</v>
      </c>
      <c r="W615" s="1908" t="s">
        <v>3688</v>
      </c>
      <c r="X615" s="1908"/>
      <c r="Y615" s="1908"/>
      <c r="Z615" s="1908"/>
      <c r="AA615" s="1908" t="s">
        <v>3694</v>
      </c>
      <c r="AB615" s="1908" t="s">
        <v>3688</v>
      </c>
      <c r="AC615" s="1908" t="s">
        <v>3804</v>
      </c>
      <c r="AD615" s="2278" t="s">
        <v>3688</v>
      </c>
      <c r="AE615" s="2259"/>
      <c r="AF615" s="2260"/>
      <c r="AG615" s="2278" t="s">
        <v>3696</v>
      </c>
      <c r="AH615" s="2259"/>
      <c r="AI615" s="2260"/>
      <c r="AJ615" s="1908" t="s">
        <v>3814</v>
      </c>
      <c r="AK615" s="2278" t="s">
        <v>4254</v>
      </c>
      <c r="AL615" s="2259"/>
      <c r="AM615" s="2259"/>
      <c r="AN615" s="2259"/>
      <c r="AO615" s="2260"/>
      <c r="AP615" s="1908" t="s">
        <v>3716</v>
      </c>
      <c r="BC615" s="214"/>
      <c r="BD615" s="214"/>
      <c r="BE615" s="214"/>
      <c r="BF615" s="214"/>
    </row>
    <row r="616" spans="1:58" ht="45" hidden="1" customHeight="1">
      <c r="A616" s="808"/>
      <c r="B616" s="2280"/>
      <c r="C616" s="2281"/>
      <c r="D616" s="2282"/>
      <c r="E616" s="1909" t="s">
        <v>3682</v>
      </c>
      <c r="F616" s="1909" t="s">
        <v>4458</v>
      </c>
      <c r="G616" s="1909"/>
      <c r="H616" s="2283" t="s">
        <v>5043</v>
      </c>
      <c r="I616" s="2281"/>
      <c r="J616" s="2282"/>
      <c r="K616" s="2283" t="s">
        <v>5153</v>
      </c>
      <c r="L616" s="2282"/>
      <c r="M616" s="1909" t="e">
        <f>VLOOKUP(K616,'Estimate Details'!$R:$BR,20,FALSE)</f>
        <v>#N/A</v>
      </c>
      <c r="N616" s="1909" t="e">
        <f>VLOOKUP(M616,#REF!,2,FALSE)</f>
        <v>#N/A</v>
      </c>
      <c r="O616" s="1909" t="s">
        <v>4312</v>
      </c>
      <c r="P616" s="2284" t="s">
        <v>4175</v>
      </c>
      <c r="Q616" s="2281"/>
      <c r="R616" s="2282"/>
      <c r="S616" s="1909" t="s">
        <v>3688</v>
      </c>
      <c r="T616" s="1909" t="s">
        <v>3689</v>
      </c>
      <c r="U616" s="1909" t="s">
        <v>3707</v>
      </c>
      <c r="V616" s="1909" t="s">
        <v>4176</v>
      </c>
      <c r="W616" s="1909" t="s">
        <v>3688</v>
      </c>
      <c r="X616" s="1909"/>
      <c r="Y616" s="1909"/>
      <c r="Z616" s="1909"/>
      <c r="AA616" s="1909" t="s">
        <v>3694</v>
      </c>
      <c r="AB616" s="1909" t="s">
        <v>3688</v>
      </c>
      <c r="AC616" s="1909" t="s">
        <v>3804</v>
      </c>
      <c r="AD616" s="2283" t="s">
        <v>3688</v>
      </c>
      <c r="AE616" s="2281"/>
      <c r="AF616" s="2282"/>
      <c r="AG616" s="2283" t="s">
        <v>3696</v>
      </c>
      <c r="AH616" s="2281"/>
      <c r="AI616" s="2282"/>
      <c r="AJ616" s="1909" t="s">
        <v>3814</v>
      </c>
      <c r="AK616" s="2283" t="s">
        <v>4254</v>
      </c>
      <c r="AL616" s="2281"/>
      <c r="AM616" s="2259"/>
      <c r="AN616" s="2281"/>
      <c r="AO616" s="2282"/>
      <c r="AP616" s="1909" t="s">
        <v>3716</v>
      </c>
      <c r="BC616" s="214"/>
      <c r="BD616" s="214"/>
      <c r="BE616" s="214"/>
      <c r="BF616" s="214"/>
    </row>
    <row r="617" spans="1:58" ht="45" hidden="1" customHeight="1">
      <c r="B617" s="2277"/>
      <c r="C617" s="2259"/>
      <c r="D617" s="2260"/>
      <c r="E617" s="1908" t="s">
        <v>3682</v>
      </c>
      <c r="F617" s="1908" t="s">
        <v>4458</v>
      </c>
      <c r="G617" s="1908"/>
      <c r="H617" s="2278" t="s">
        <v>5043</v>
      </c>
      <c r="I617" s="2259"/>
      <c r="J617" s="2260"/>
      <c r="K617" s="2278" t="s">
        <v>5154</v>
      </c>
      <c r="L617" s="2260"/>
      <c r="M617" s="1908" t="e">
        <f>VLOOKUP(K617,'Estimate Details'!$R:$BR,20,FALSE)</f>
        <v>#N/A</v>
      </c>
      <c r="N617" s="1908" t="e">
        <f>VLOOKUP(M617,#REF!,2,FALSE)</f>
        <v>#N/A</v>
      </c>
      <c r="O617" s="1908" t="s">
        <v>5125</v>
      </c>
      <c r="P617" s="2278" t="s">
        <v>4175</v>
      </c>
      <c r="Q617" s="2259"/>
      <c r="R617" s="2260"/>
      <c r="S617" s="1908" t="s">
        <v>3688</v>
      </c>
      <c r="T617" s="1908" t="s">
        <v>3689</v>
      </c>
      <c r="U617" s="1908" t="s">
        <v>3707</v>
      </c>
      <c r="V617" s="1908" t="s">
        <v>4176</v>
      </c>
      <c r="W617" s="1908" t="s">
        <v>3688</v>
      </c>
      <c r="X617" s="1908"/>
      <c r="Y617" s="1908"/>
      <c r="Z617" s="1908"/>
      <c r="AA617" s="1908" t="s">
        <v>3694</v>
      </c>
      <c r="AB617" s="1908" t="s">
        <v>3688</v>
      </c>
      <c r="AC617" s="1908" t="s">
        <v>3804</v>
      </c>
      <c r="AD617" s="2278" t="s">
        <v>3688</v>
      </c>
      <c r="AE617" s="2259"/>
      <c r="AF617" s="2260"/>
      <c r="AG617" s="2278" t="s">
        <v>3696</v>
      </c>
      <c r="AH617" s="2259"/>
      <c r="AI617" s="2260"/>
      <c r="AJ617" s="1908" t="s">
        <v>3814</v>
      </c>
      <c r="AK617" s="2278" t="s">
        <v>5155</v>
      </c>
      <c r="AL617" s="2259"/>
      <c r="AM617" s="2259"/>
      <c r="AN617" s="2259"/>
      <c r="AO617" s="2260"/>
      <c r="AP617" s="1908" t="s">
        <v>3716</v>
      </c>
      <c r="BC617" s="214"/>
      <c r="BD617" s="214"/>
      <c r="BE617" s="214"/>
      <c r="BF617" s="214"/>
    </row>
    <row r="618" spans="1:58" ht="45" hidden="1" customHeight="1">
      <c r="A618" s="808"/>
      <c r="B618" s="2280"/>
      <c r="C618" s="2281"/>
      <c r="D618" s="2282"/>
      <c r="E618" s="1909" t="s">
        <v>3682</v>
      </c>
      <c r="F618" s="1909" t="s">
        <v>4458</v>
      </c>
      <c r="G618" s="1909"/>
      <c r="H618" s="2283" t="s">
        <v>5043</v>
      </c>
      <c r="I618" s="2281"/>
      <c r="J618" s="2282"/>
      <c r="K618" s="2283" t="s">
        <v>5156</v>
      </c>
      <c r="L618" s="2282"/>
      <c r="M618" s="1909" t="e">
        <f>VLOOKUP(K618,'Estimate Details'!$R:$BR,20,FALSE)</f>
        <v>#N/A</v>
      </c>
      <c r="N618" s="1909" t="e">
        <f>VLOOKUP(M618,#REF!,2,FALSE)</f>
        <v>#N/A</v>
      </c>
      <c r="O618" s="1909" t="s">
        <v>4314</v>
      </c>
      <c r="P618" s="2284" t="s">
        <v>4175</v>
      </c>
      <c r="Q618" s="2281"/>
      <c r="R618" s="2282"/>
      <c r="S618" s="1909" t="s">
        <v>3688</v>
      </c>
      <c r="T618" s="1909" t="s">
        <v>3689</v>
      </c>
      <c r="U618" s="1909" t="s">
        <v>3707</v>
      </c>
      <c r="V618" s="1909" t="s">
        <v>4176</v>
      </c>
      <c r="W618" s="1909" t="s">
        <v>3688</v>
      </c>
      <c r="X618" s="1909" t="s">
        <v>4315</v>
      </c>
      <c r="Y618" s="1909" t="s">
        <v>4316</v>
      </c>
      <c r="Z618" s="1909"/>
      <c r="AA618" s="1909" t="s">
        <v>3694</v>
      </c>
      <c r="AB618" s="1909" t="s">
        <v>4317</v>
      </c>
      <c r="AC618" s="1909" t="s">
        <v>3804</v>
      </c>
      <c r="AD618" s="2283" t="s">
        <v>4318</v>
      </c>
      <c r="AE618" s="2281"/>
      <c r="AF618" s="2282"/>
      <c r="AG618" s="2283" t="s">
        <v>3696</v>
      </c>
      <c r="AH618" s="2281"/>
      <c r="AI618" s="2282"/>
      <c r="AJ618" s="1909" t="s">
        <v>3814</v>
      </c>
      <c r="AK618" s="2283" t="s">
        <v>4319</v>
      </c>
      <c r="AL618" s="2281"/>
      <c r="AM618" s="2259"/>
      <c r="AN618" s="2281"/>
      <c r="AO618" s="2282"/>
      <c r="AP618" s="1909" t="s">
        <v>3716</v>
      </c>
      <c r="BC618" s="214"/>
      <c r="BD618" s="214"/>
      <c r="BE618" s="214"/>
      <c r="BF618" s="214"/>
    </row>
    <row r="619" spans="1:58" ht="45" hidden="1" customHeight="1">
      <c r="B619" s="2277"/>
      <c r="C619" s="2259"/>
      <c r="D619" s="2260"/>
      <c r="E619" s="1908" t="s">
        <v>3682</v>
      </c>
      <c r="F619" s="1908" t="s">
        <v>4458</v>
      </c>
      <c r="G619" s="1908"/>
      <c r="H619" s="2278" t="s">
        <v>5043</v>
      </c>
      <c r="I619" s="2259"/>
      <c r="J619" s="2260"/>
      <c r="K619" s="2278" t="s">
        <v>1780</v>
      </c>
      <c r="L619" s="2260"/>
      <c r="M619" s="1908">
        <f>VLOOKUP(K619,'Estimate Details'!$R:$BR,20,FALSE)</f>
        <v>0</v>
      </c>
      <c r="N619" s="1908" t="e">
        <f>VLOOKUP(M619,#REF!,2,FALSE)</f>
        <v>#REF!</v>
      </c>
      <c r="O619" s="1908" t="s">
        <v>5157</v>
      </c>
      <c r="P619" s="2278" t="s">
        <v>4175</v>
      </c>
      <c r="Q619" s="2259"/>
      <c r="R619" s="2260"/>
      <c r="S619" s="1908" t="s">
        <v>3688</v>
      </c>
      <c r="T619" s="1908" t="s">
        <v>3689</v>
      </c>
      <c r="U619" s="1908" t="s">
        <v>3707</v>
      </c>
      <c r="V619" s="1908" t="s">
        <v>4176</v>
      </c>
      <c r="W619" s="1908" t="s">
        <v>3688</v>
      </c>
      <c r="X619" s="1908"/>
      <c r="Y619" s="1908"/>
      <c r="Z619" s="1908"/>
      <c r="AA619" s="1908" t="s">
        <v>3694</v>
      </c>
      <c r="AB619" s="1908" t="s">
        <v>3688</v>
      </c>
      <c r="AC619" s="1908" t="s">
        <v>3804</v>
      </c>
      <c r="AD619" s="2278" t="s">
        <v>5158</v>
      </c>
      <c r="AE619" s="2259"/>
      <c r="AF619" s="2260"/>
      <c r="AG619" s="2278" t="s">
        <v>3696</v>
      </c>
      <c r="AH619" s="2259"/>
      <c r="AI619" s="2260"/>
      <c r="AJ619" s="1908" t="s">
        <v>3814</v>
      </c>
      <c r="AK619" s="2278" t="s">
        <v>4254</v>
      </c>
      <c r="AL619" s="2259"/>
      <c r="AM619" s="2259"/>
      <c r="AN619" s="2259"/>
      <c r="AO619" s="2260"/>
      <c r="AP619" s="1908" t="s">
        <v>3716</v>
      </c>
      <c r="BC619" s="214"/>
      <c r="BD619" s="214"/>
      <c r="BE619" s="214"/>
      <c r="BF619" s="214"/>
    </row>
    <row r="620" spans="1:58" ht="45" hidden="1" customHeight="1">
      <c r="A620" s="808"/>
      <c r="B620" s="2280"/>
      <c r="C620" s="2281"/>
      <c r="D620" s="2282"/>
      <c r="E620" s="1909" t="s">
        <v>3682</v>
      </c>
      <c r="F620" s="1909" t="s">
        <v>4458</v>
      </c>
      <c r="G620" s="1909"/>
      <c r="H620" s="2283" t="s">
        <v>5043</v>
      </c>
      <c r="I620" s="2281"/>
      <c r="J620" s="2282"/>
      <c r="K620" s="2283" t="s">
        <v>1783</v>
      </c>
      <c r="L620" s="2282"/>
      <c r="M620" s="1909">
        <f>VLOOKUP(K620,'Estimate Details'!$R:$BR,20,FALSE)</f>
        <v>0</v>
      </c>
      <c r="N620" s="1909" t="e">
        <f>VLOOKUP(M620,#REF!,2,FALSE)</f>
        <v>#REF!</v>
      </c>
      <c r="O620" s="1909" t="s">
        <v>4321</v>
      </c>
      <c r="P620" s="2284" t="s">
        <v>4175</v>
      </c>
      <c r="Q620" s="2281"/>
      <c r="R620" s="2282"/>
      <c r="S620" s="1909" t="s">
        <v>3688</v>
      </c>
      <c r="T620" s="1909" t="s">
        <v>3689</v>
      </c>
      <c r="U620" s="1909" t="s">
        <v>3707</v>
      </c>
      <c r="V620" s="1909" t="s">
        <v>4176</v>
      </c>
      <c r="W620" s="1909" t="s">
        <v>3688</v>
      </c>
      <c r="X620" s="1909"/>
      <c r="Y620" s="1909"/>
      <c r="Z620" s="1909"/>
      <c r="AA620" s="1909" t="s">
        <v>3694</v>
      </c>
      <c r="AB620" s="1909" t="s">
        <v>3688</v>
      </c>
      <c r="AC620" s="1909" t="s">
        <v>3804</v>
      </c>
      <c r="AD620" s="2283" t="s">
        <v>3688</v>
      </c>
      <c r="AE620" s="2281"/>
      <c r="AF620" s="2282"/>
      <c r="AG620" s="2283" t="s">
        <v>3696</v>
      </c>
      <c r="AH620" s="2281"/>
      <c r="AI620" s="2282"/>
      <c r="AJ620" s="1909" t="s">
        <v>3814</v>
      </c>
      <c r="AK620" s="2283" t="s">
        <v>4322</v>
      </c>
      <c r="AL620" s="2281"/>
      <c r="AM620" s="2259"/>
      <c r="AN620" s="2281"/>
      <c r="AO620" s="2282"/>
      <c r="AP620" s="1909" t="s">
        <v>3716</v>
      </c>
      <c r="BC620" s="214"/>
      <c r="BD620" s="214"/>
      <c r="BE620" s="214"/>
      <c r="BF620" s="214"/>
    </row>
    <row r="621" spans="1:58" ht="45" hidden="1" customHeight="1">
      <c r="B621" s="2277"/>
      <c r="C621" s="2259"/>
      <c r="D621" s="2260"/>
      <c r="E621" s="1908" t="s">
        <v>3682</v>
      </c>
      <c r="F621" s="1908" t="s">
        <v>4458</v>
      </c>
      <c r="G621" s="1908"/>
      <c r="H621" s="2278" t="s">
        <v>5043</v>
      </c>
      <c r="I621" s="2259"/>
      <c r="J621" s="2260"/>
      <c r="K621" s="2278" t="s">
        <v>1785</v>
      </c>
      <c r="L621" s="2260"/>
      <c r="M621" s="1908">
        <f>VLOOKUP(K621,'Estimate Details'!$R:$BR,20,FALSE)</f>
        <v>0</v>
      </c>
      <c r="N621" s="1908" t="e">
        <f>VLOOKUP(M621,#REF!,2,FALSE)</f>
        <v>#REF!</v>
      </c>
      <c r="O621" s="1908" t="s">
        <v>4321</v>
      </c>
      <c r="P621" s="2278" t="s">
        <v>4175</v>
      </c>
      <c r="Q621" s="2259"/>
      <c r="R621" s="2260"/>
      <c r="S621" s="1908" t="s">
        <v>3688</v>
      </c>
      <c r="T621" s="1908" t="s">
        <v>3689</v>
      </c>
      <c r="U621" s="1908" t="s">
        <v>3707</v>
      </c>
      <c r="V621" s="1908" t="s">
        <v>4176</v>
      </c>
      <c r="W621" s="1908" t="s">
        <v>3688</v>
      </c>
      <c r="X621" s="1908"/>
      <c r="Y621" s="1908"/>
      <c r="Z621" s="1908"/>
      <c r="AA621" s="1908" t="s">
        <v>3694</v>
      </c>
      <c r="AB621" s="1908" t="s">
        <v>3688</v>
      </c>
      <c r="AC621" s="1908" t="s">
        <v>3804</v>
      </c>
      <c r="AD621" s="2278" t="s">
        <v>3688</v>
      </c>
      <c r="AE621" s="2259"/>
      <c r="AF621" s="2260"/>
      <c r="AG621" s="2278" t="s">
        <v>3696</v>
      </c>
      <c r="AH621" s="2259"/>
      <c r="AI621" s="2260"/>
      <c r="AJ621" s="1908" t="s">
        <v>3814</v>
      </c>
      <c r="AK621" s="2278" t="s">
        <v>4322</v>
      </c>
      <c r="AL621" s="2259"/>
      <c r="AM621" s="2259"/>
      <c r="AN621" s="2259"/>
      <c r="AO621" s="2260"/>
      <c r="AP621" s="1908" t="s">
        <v>3716</v>
      </c>
      <c r="BC621" s="214"/>
      <c r="BD621" s="214"/>
      <c r="BE621" s="214"/>
      <c r="BF621" s="214"/>
    </row>
    <row r="622" spans="1:58" ht="45" hidden="1" customHeight="1">
      <c r="A622" s="808"/>
      <c r="B622" s="2280"/>
      <c r="C622" s="2281"/>
      <c r="D622" s="2282"/>
      <c r="E622" s="1909" t="s">
        <v>3682</v>
      </c>
      <c r="F622" s="1909" t="s">
        <v>4458</v>
      </c>
      <c r="G622" s="1909"/>
      <c r="H622" s="2283" t="s">
        <v>5043</v>
      </c>
      <c r="I622" s="2281"/>
      <c r="J622" s="2282"/>
      <c r="K622" s="2283" t="s">
        <v>5159</v>
      </c>
      <c r="L622" s="2282"/>
      <c r="M622" s="1909" t="e">
        <f>VLOOKUP(K622,'Estimate Details'!$R:$BR,20,FALSE)</f>
        <v>#N/A</v>
      </c>
      <c r="N622" s="1909" t="e">
        <f>VLOOKUP(M622,#REF!,2,FALSE)</f>
        <v>#N/A</v>
      </c>
      <c r="O622" s="1909" t="s">
        <v>4325</v>
      </c>
      <c r="P622" s="2284" t="s">
        <v>4175</v>
      </c>
      <c r="Q622" s="2281"/>
      <c r="R622" s="2282"/>
      <c r="S622" s="1909" t="s">
        <v>3688</v>
      </c>
      <c r="T622" s="1909" t="s">
        <v>3689</v>
      </c>
      <c r="U622" s="1909" t="s">
        <v>3707</v>
      </c>
      <c r="V622" s="1909" t="s">
        <v>4176</v>
      </c>
      <c r="W622" s="1909" t="s">
        <v>3688</v>
      </c>
      <c r="X622" s="1909"/>
      <c r="Y622" s="1909"/>
      <c r="Z622" s="1909"/>
      <c r="AA622" s="1909" t="s">
        <v>3694</v>
      </c>
      <c r="AB622" s="1909" t="s">
        <v>3688</v>
      </c>
      <c r="AC622" s="1909" t="s">
        <v>3804</v>
      </c>
      <c r="AD622" s="2283" t="s">
        <v>3688</v>
      </c>
      <c r="AE622" s="2281"/>
      <c r="AF622" s="2282"/>
      <c r="AG622" s="2283" t="s">
        <v>3696</v>
      </c>
      <c r="AH622" s="2281"/>
      <c r="AI622" s="2282"/>
      <c r="AJ622" s="1909" t="s">
        <v>3814</v>
      </c>
      <c r="AK622" s="2283" t="s">
        <v>4254</v>
      </c>
      <c r="AL622" s="2281"/>
      <c r="AM622" s="2259"/>
      <c r="AN622" s="2281"/>
      <c r="AO622" s="2282"/>
      <c r="AP622" s="1909" t="s">
        <v>3716</v>
      </c>
      <c r="BC622" s="214"/>
      <c r="BD622" s="214"/>
      <c r="BE622" s="214"/>
      <c r="BF622" s="214"/>
    </row>
    <row r="623" spans="1:58" ht="45" hidden="1" customHeight="1">
      <c r="B623" s="2277"/>
      <c r="C623" s="2259"/>
      <c r="D623" s="2260"/>
      <c r="E623" s="1908" t="s">
        <v>3682</v>
      </c>
      <c r="F623" s="1908" t="s">
        <v>4458</v>
      </c>
      <c r="G623" s="1908"/>
      <c r="H623" s="2278" t="s">
        <v>5160</v>
      </c>
      <c r="I623" s="2259"/>
      <c r="J623" s="2260"/>
      <c r="K623" s="2278" t="s">
        <v>5161</v>
      </c>
      <c r="L623" s="2260"/>
      <c r="M623" s="1908" t="e">
        <f>VLOOKUP(K623,'Estimate Details'!$R:$BR,20,FALSE)</f>
        <v>#N/A</v>
      </c>
      <c r="N623" s="1908" t="e">
        <f>VLOOKUP(M623,#REF!,2,FALSE)</f>
        <v>#N/A</v>
      </c>
      <c r="O623" s="1908" t="s">
        <v>5162</v>
      </c>
      <c r="P623" s="2278" t="s">
        <v>4130</v>
      </c>
      <c r="Q623" s="2259"/>
      <c r="R623" s="2260"/>
      <c r="S623" s="1908" t="s">
        <v>3688</v>
      </c>
      <c r="T623" s="1908" t="s">
        <v>3689</v>
      </c>
      <c r="U623" s="1908" t="s">
        <v>3707</v>
      </c>
      <c r="V623" s="1908" t="s">
        <v>4147</v>
      </c>
      <c r="W623" s="1908" t="s">
        <v>3688</v>
      </c>
      <c r="X623" s="1908"/>
      <c r="Y623" s="1908"/>
      <c r="Z623" s="1908"/>
      <c r="AA623" s="1908" t="s">
        <v>3694</v>
      </c>
      <c r="AB623" s="1908" t="s">
        <v>3688</v>
      </c>
      <c r="AC623" s="1908" t="s">
        <v>4150</v>
      </c>
      <c r="AD623" s="2278" t="s">
        <v>1</v>
      </c>
      <c r="AE623" s="2259"/>
      <c r="AF623" s="2260"/>
      <c r="AG623" s="2278" t="s">
        <v>3696</v>
      </c>
      <c r="AH623" s="2259"/>
      <c r="AI623" s="2260"/>
      <c r="AJ623" s="1908" t="s">
        <v>5022</v>
      </c>
      <c r="AK623" s="2278" t="s">
        <v>3688</v>
      </c>
      <c r="AL623" s="2259"/>
      <c r="AM623" s="2259"/>
      <c r="AN623" s="2259"/>
      <c r="AO623" s="2260"/>
      <c r="AP623" s="1908" t="s">
        <v>3716</v>
      </c>
      <c r="BC623" s="214"/>
      <c r="BD623" s="214"/>
      <c r="BE623" s="214"/>
      <c r="BF623" s="214"/>
    </row>
    <row r="624" spans="1:58" ht="45" hidden="1" customHeight="1">
      <c r="A624" s="808"/>
      <c r="B624" s="2280"/>
      <c r="C624" s="2281"/>
      <c r="D624" s="2282"/>
      <c r="E624" s="1909" t="s">
        <v>3682</v>
      </c>
      <c r="F624" s="1911" t="s">
        <v>3688</v>
      </c>
      <c r="G624" s="1911"/>
      <c r="H624" s="2286" t="s">
        <v>5160</v>
      </c>
      <c r="I624" s="2281"/>
      <c r="J624" s="2282"/>
      <c r="K624" s="2286" t="s">
        <v>5163</v>
      </c>
      <c r="L624" s="2282"/>
      <c r="M624" s="1911" t="e">
        <f>VLOOKUP(K624,'Estimate Details'!$R:$BR,20,FALSE)</f>
        <v>#N/A</v>
      </c>
      <c r="N624" s="1911" t="e">
        <f>VLOOKUP(M624,#REF!,2,FALSE)</f>
        <v>#N/A</v>
      </c>
      <c r="O624" s="1911" t="s">
        <v>4166</v>
      </c>
      <c r="P624" s="2287" t="s">
        <v>3688</v>
      </c>
      <c r="Q624" s="2281"/>
      <c r="R624" s="2282"/>
      <c r="S624" s="1911" t="s">
        <v>5164</v>
      </c>
      <c r="T624" s="1911" t="s">
        <v>3689</v>
      </c>
      <c r="U624" s="1911" t="s">
        <v>3688</v>
      </c>
      <c r="V624" s="1911" t="s">
        <v>3688</v>
      </c>
      <c r="W624" s="1911" t="s">
        <v>3688</v>
      </c>
      <c r="X624" s="1911"/>
      <c r="Y624" s="1911"/>
      <c r="Z624" s="1911"/>
      <c r="AA624" s="1911" t="s">
        <v>3694</v>
      </c>
      <c r="AB624" s="1911" t="s">
        <v>3688</v>
      </c>
      <c r="AC624" s="1911" t="s">
        <v>4105</v>
      </c>
      <c r="AD624" s="2286" t="s">
        <v>3688</v>
      </c>
      <c r="AE624" s="2281"/>
      <c r="AF624" s="2282"/>
      <c r="AG624" s="2286" t="s">
        <v>3696</v>
      </c>
      <c r="AH624" s="2281"/>
      <c r="AI624" s="2282"/>
      <c r="AJ624" s="1911" t="s">
        <v>5025</v>
      </c>
      <c r="AK624" s="2286" t="s">
        <v>3688</v>
      </c>
      <c r="AL624" s="2281"/>
      <c r="AM624" s="2259"/>
      <c r="AN624" s="2281"/>
      <c r="AO624" s="2282"/>
      <c r="AP624" s="1911" t="s">
        <v>3688</v>
      </c>
      <c r="BC624" s="214"/>
      <c r="BD624" s="214"/>
      <c r="BE624" s="214"/>
      <c r="BF624" s="214"/>
    </row>
    <row r="625" spans="1:58" ht="45" hidden="1" customHeight="1">
      <c r="B625" s="2277"/>
      <c r="C625" s="2259"/>
      <c r="D625" s="2260"/>
      <c r="E625" s="1908" t="s">
        <v>3682</v>
      </c>
      <c r="F625" s="1908" t="s">
        <v>4458</v>
      </c>
      <c r="G625" s="1908"/>
      <c r="H625" s="2278" t="s">
        <v>5160</v>
      </c>
      <c r="I625" s="2259"/>
      <c r="J625" s="2260"/>
      <c r="K625" s="2278" t="s">
        <v>5165</v>
      </c>
      <c r="L625" s="2260"/>
      <c r="M625" s="1908" t="e">
        <f>VLOOKUP(K625,'Estimate Details'!$R:$BR,20,FALSE)</f>
        <v>#N/A</v>
      </c>
      <c r="N625" s="1908" t="e">
        <f>VLOOKUP(M625,#REF!,2,FALSE)</f>
        <v>#N/A</v>
      </c>
      <c r="O625" s="1908" t="s">
        <v>5166</v>
      </c>
      <c r="P625" s="2278" t="s">
        <v>4130</v>
      </c>
      <c r="Q625" s="2259"/>
      <c r="R625" s="2260"/>
      <c r="S625" s="1908" t="s">
        <v>3688</v>
      </c>
      <c r="T625" s="1908" t="s">
        <v>3689</v>
      </c>
      <c r="U625" s="1908" t="s">
        <v>3707</v>
      </c>
      <c r="V625" s="1908" t="s">
        <v>4147</v>
      </c>
      <c r="W625" s="1908" t="s">
        <v>3688</v>
      </c>
      <c r="X625" s="1908"/>
      <c r="Y625" s="1908"/>
      <c r="Z625" s="1908"/>
      <c r="AA625" s="1908" t="s">
        <v>3694</v>
      </c>
      <c r="AB625" s="1908" t="s">
        <v>3688</v>
      </c>
      <c r="AC625" s="1908" t="s">
        <v>4150</v>
      </c>
      <c r="AD625" s="2278" t="s">
        <v>1</v>
      </c>
      <c r="AE625" s="2259"/>
      <c r="AF625" s="2260"/>
      <c r="AG625" s="2278" t="s">
        <v>3696</v>
      </c>
      <c r="AH625" s="2259"/>
      <c r="AI625" s="2260"/>
      <c r="AJ625" s="1908" t="s">
        <v>5022</v>
      </c>
      <c r="AK625" s="2278" t="s">
        <v>3688</v>
      </c>
      <c r="AL625" s="2259"/>
      <c r="AM625" s="2259"/>
      <c r="AN625" s="2259"/>
      <c r="AO625" s="2260"/>
      <c r="AP625" s="1908" t="s">
        <v>3716</v>
      </c>
      <c r="BC625" s="214"/>
      <c r="BD625" s="214"/>
      <c r="BE625" s="214"/>
      <c r="BF625" s="214"/>
    </row>
    <row r="626" spans="1:58" ht="45" hidden="1" customHeight="1">
      <c r="A626" s="808"/>
      <c r="B626" s="2280"/>
      <c r="C626" s="2281"/>
      <c r="D626" s="2282"/>
      <c r="E626" s="1909" t="s">
        <v>3682</v>
      </c>
      <c r="F626" s="1911" t="s">
        <v>3688</v>
      </c>
      <c r="G626" s="1911"/>
      <c r="H626" s="2286" t="s">
        <v>5160</v>
      </c>
      <c r="I626" s="2281"/>
      <c r="J626" s="2282"/>
      <c r="K626" s="2286" t="s">
        <v>5167</v>
      </c>
      <c r="L626" s="2282"/>
      <c r="M626" s="1911" t="e">
        <f>VLOOKUP(K626,'Estimate Details'!$R:$BR,20,FALSE)</f>
        <v>#N/A</v>
      </c>
      <c r="N626" s="1911" t="e">
        <f>VLOOKUP(M626,#REF!,2,FALSE)</f>
        <v>#N/A</v>
      </c>
      <c r="O626" s="1911" t="s">
        <v>4166</v>
      </c>
      <c r="P626" s="2287" t="s">
        <v>3688</v>
      </c>
      <c r="Q626" s="2281"/>
      <c r="R626" s="2282"/>
      <c r="S626" s="1911" t="s">
        <v>5168</v>
      </c>
      <c r="T626" s="1911" t="s">
        <v>3689</v>
      </c>
      <c r="U626" s="1911" t="s">
        <v>3688</v>
      </c>
      <c r="V626" s="1911" t="s">
        <v>3688</v>
      </c>
      <c r="W626" s="1911" t="s">
        <v>3688</v>
      </c>
      <c r="X626" s="1911"/>
      <c r="Y626" s="1911"/>
      <c r="Z626" s="1911"/>
      <c r="AA626" s="1911" t="s">
        <v>3694</v>
      </c>
      <c r="AB626" s="1911" t="s">
        <v>3688</v>
      </c>
      <c r="AC626" s="1911" t="s">
        <v>4105</v>
      </c>
      <c r="AD626" s="2286" t="s">
        <v>3688</v>
      </c>
      <c r="AE626" s="2281"/>
      <c r="AF626" s="2282"/>
      <c r="AG626" s="2286" t="s">
        <v>3696</v>
      </c>
      <c r="AH626" s="2281"/>
      <c r="AI626" s="2282"/>
      <c r="AJ626" s="1911" t="s">
        <v>5025</v>
      </c>
      <c r="AK626" s="2286" t="s">
        <v>3688</v>
      </c>
      <c r="AL626" s="2281"/>
      <c r="AM626" s="2259"/>
      <c r="AN626" s="2281"/>
      <c r="AO626" s="2282"/>
      <c r="AP626" s="1911" t="s">
        <v>3688</v>
      </c>
      <c r="BC626" s="214"/>
      <c r="BD626" s="214"/>
      <c r="BE626" s="214"/>
      <c r="BF626" s="214"/>
    </row>
    <row r="627" spans="1:58" ht="45" hidden="1" customHeight="1">
      <c r="B627" s="2277"/>
      <c r="C627" s="2259"/>
      <c r="D627" s="2260"/>
      <c r="E627" s="1908" t="s">
        <v>3682</v>
      </c>
      <c r="F627" s="1908" t="s">
        <v>4458</v>
      </c>
      <c r="G627" s="1908"/>
      <c r="H627" s="2278" t="s">
        <v>5160</v>
      </c>
      <c r="I627" s="2259"/>
      <c r="J627" s="2260"/>
      <c r="K627" s="2278" t="s">
        <v>5169</v>
      </c>
      <c r="L627" s="2260"/>
      <c r="M627" s="1908" t="e">
        <f>VLOOKUP(K627,'Estimate Details'!$R:$BR,20,FALSE)</f>
        <v>#N/A</v>
      </c>
      <c r="N627" s="1908" t="e">
        <f>VLOOKUP(M627,#REF!,2,FALSE)</f>
        <v>#N/A</v>
      </c>
      <c r="O627" s="1908" t="s">
        <v>5170</v>
      </c>
      <c r="P627" s="2278" t="s">
        <v>4180</v>
      </c>
      <c r="Q627" s="2259"/>
      <c r="R627" s="2260"/>
      <c r="S627" s="1908" t="s">
        <v>3688</v>
      </c>
      <c r="T627" s="1908" t="s">
        <v>3689</v>
      </c>
      <c r="U627" s="1908" t="s">
        <v>3707</v>
      </c>
      <c r="V627" s="1908" t="s">
        <v>4147</v>
      </c>
      <c r="W627" s="1908" t="s">
        <v>3688</v>
      </c>
      <c r="X627" s="1908"/>
      <c r="Y627" s="1908"/>
      <c r="Z627" s="1908"/>
      <c r="AA627" s="1908" t="s">
        <v>3957</v>
      </c>
      <c r="AB627" s="1908" t="s">
        <v>3688</v>
      </c>
      <c r="AC627" s="1908" t="s">
        <v>3696</v>
      </c>
      <c r="AD627" s="2278" t="s">
        <v>1</v>
      </c>
      <c r="AE627" s="2259"/>
      <c r="AF627" s="2260"/>
      <c r="AG627" s="2278" t="s">
        <v>3696</v>
      </c>
      <c r="AH627" s="2259"/>
      <c r="AI627" s="2260"/>
      <c r="AJ627" s="1908" t="s">
        <v>5022</v>
      </c>
      <c r="AK627" s="2278" t="s">
        <v>3688</v>
      </c>
      <c r="AL627" s="2259"/>
      <c r="AM627" s="2259"/>
      <c r="AN627" s="2259"/>
      <c r="AO627" s="2260"/>
      <c r="AP627" s="1908" t="s">
        <v>3716</v>
      </c>
      <c r="BC627" s="214"/>
      <c r="BD627" s="214"/>
      <c r="BE627" s="214"/>
      <c r="BF627" s="214"/>
    </row>
    <row r="628" spans="1:58" ht="45" hidden="1" customHeight="1">
      <c r="A628" s="808"/>
      <c r="B628" s="2280"/>
      <c r="C628" s="2281"/>
      <c r="D628" s="2282"/>
      <c r="E628" s="1909" t="s">
        <v>3682</v>
      </c>
      <c r="F628" s="1909" t="s">
        <v>4458</v>
      </c>
      <c r="G628" s="1909"/>
      <c r="H628" s="2283" t="s">
        <v>5160</v>
      </c>
      <c r="I628" s="2281"/>
      <c r="J628" s="2282"/>
      <c r="K628" s="2283" t="s">
        <v>5171</v>
      </c>
      <c r="L628" s="2282"/>
      <c r="M628" s="1909" t="e">
        <f>VLOOKUP(K628,'Estimate Details'!$R:$BR,20,FALSE)</f>
        <v>#N/A</v>
      </c>
      <c r="N628" s="1909" t="e">
        <f>VLOOKUP(M628,#REF!,2,FALSE)</f>
        <v>#N/A</v>
      </c>
      <c r="O628" s="1909" t="s">
        <v>5172</v>
      </c>
      <c r="P628" s="2284" t="s">
        <v>4352</v>
      </c>
      <c r="Q628" s="2281"/>
      <c r="R628" s="2282"/>
      <c r="S628" s="1909" t="s">
        <v>3688</v>
      </c>
      <c r="T628" s="1909" t="s">
        <v>3689</v>
      </c>
      <c r="U628" s="1909" t="s">
        <v>3690</v>
      </c>
      <c r="V628" s="1909" t="s">
        <v>5173</v>
      </c>
      <c r="W628" s="1909" t="s">
        <v>3688</v>
      </c>
      <c r="X628" s="1909"/>
      <c r="Y628" s="1909"/>
      <c r="Z628" s="1909"/>
      <c r="AA628" s="1909" t="s">
        <v>3694</v>
      </c>
      <c r="AB628" s="1909" t="s">
        <v>3688</v>
      </c>
      <c r="AC628" s="1909" t="s">
        <v>5174</v>
      </c>
      <c r="AD628" s="2283" t="s">
        <v>3688</v>
      </c>
      <c r="AE628" s="2281"/>
      <c r="AF628" s="2282"/>
      <c r="AG628" s="2283" t="s">
        <v>5175</v>
      </c>
      <c r="AH628" s="2281"/>
      <c r="AI628" s="2282"/>
      <c r="AJ628" s="1909" t="s">
        <v>5176</v>
      </c>
      <c r="AK628" s="2283" t="s">
        <v>3688</v>
      </c>
      <c r="AL628" s="2281"/>
      <c r="AM628" s="2259"/>
      <c r="AN628" s="2281"/>
      <c r="AO628" s="2282"/>
      <c r="AP628" s="1909" t="s">
        <v>3699</v>
      </c>
      <c r="BC628" s="214"/>
      <c r="BD628" s="214"/>
      <c r="BE628" s="214"/>
      <c r="BF628" s="214"/>
    </row>
    <row r="629" spans="1:58" ht="45" hidden="1" customHeight="1">
      <c r="B629" s="2277"/>
      <c r="C629" s="2259"/>
      <c r="D629" s="2260"/>
      <c r="E629" s="1908" t="s">
        <v>3682</v>
      </c>
      <c r="F629" s="1908" t="s">
        <v>4458</v>
      </c>
      <c r="G629" s="1908"/>
      <c r="H629" s="2278" t="s">
        <v>5177</v>
      </c>
      <c r="I629" s="2259"/>
      <c r="J629" s="2260"/>
      <c r="K629" s="2278" t="s">
        <v>5178</v>
      </c>
      <c r="L629" s="2260"/>
      <c r="M629" s="1908" t="e">
        <f>VLOOKUP(K629,'Estimate Details'!$R:$BR,20,FALSE)</f>
        <v>#N/A</v>
      </c>
      <c r="N629" s="1908" t="e">
        <f>VLOOKUP(M629,#REF!,2,FALSE)</f>
        <v>#N/A</v>
      </c>
      <c r="O629" s="1908" t="s">
        <v>5179</v>
      </c>
      <c r="P629" s="2278" t="s">
        <v>4130</v>
      </c>
      <c r="Q629" s="2259"/>
      <c r="R629" s="2260"/>
      <c r="S629" s="1908" t="s">
        <v>3688</v>
      </c>
      <c r="T629" s="1908" t="s">
        <v>3689</v>
      </c>
      <c r="U629" s="1908" t="s">
        <v>3707</v>
      </c>
      <c r="V629" s="1908" t="s">
        <v>4147</v>
      </c>
      <c r="W629" s="1908" t="s">
        <v>3688</v>
      </c>
      <c r="X629" s="1908"/>
      <c r="Y629" s="1908"/>
      <c r="Z629" s="1908"/>
      <c r="AA629" s="1908" t="s">
        <v>3694</v>
      </c>
      <c r="AB629" s="1908" t="s">
        <v>4161</v>
      </c>
      <c r="AC629" s="1908" t="s">
        <v>4150</v>
      </c>
      <c r="AD629" s="2278" t="s">
        <v>4162</v>
      </c>
      <c r="AE629" s="2259"/>
      <c r="AF629" s="2260"/>
      <c r="AG629" s="2278" t="s">
        <v>3696</v>
      </c>
      <c r="AH629" s="2259"/>
      <c r="AI629" s="2260"/>
      <c r="AJ629" s="1908" t="s">
        <v>4163</v>
      </c>
      <c r="AK629" s="2278" t="s">
        <v>4164</v>
      </c>
      <c r="AL629" s="2259"/>
      <c r="AM629" s="2259"/>
      <c r="AN629" s="2259"/>
      <c r="AO629" s="2260"/>
      <c r="AP629" s="1908" t="s">
        <v>3699</v>
      </c>
      <c r="BC629" s="214"/>
      <c r="BD629" s="214"/>
      <c r="BE629" s="214"/>
      <c r="BF629" s="214"/>
    </row>
    <row r="630" spans="1:58" ht="45" hidden="1" customHeight="1">
      <c r="A630" s="808"/>
      <c r="B630" s="2280"/>
      <c r="C630" s="2281"/>
      <c r="D630" s="2282"/>
      <c r="E630" s="1909" t="s">
        <v>3682</v>
      </c>
      <c r="F630" s="1911" t="s">
        <v>3688</v>
      </c>
      <c r="G630" s="1911"/>
      <c r="H630" s="2286" t="s">
        <v>5177</v>
      </c>
      <c r="I630" s="2281"/>
      <c r="J630" s="2282"/>
      <c r="K630" s="2286" t="s">
        <v>5180</v>
      </c>
      <c r="L630" s="2282"/>
      <c r="M630" s="1911" t="e">
        <f>VLOOKUP(K630,'Estimate Details'!$R:$BR,20,FALSE)</f>
        <v>#N/A</v>
      </c>
      <c r="N630" s="1911" t="e">
        <f>VLOOKUP(M630,#REF!,2,FALSE)</f>
        <v>#N/A</v>
      </c>
      <c r="O630" s="1911" t="s">
        <v>4166</v>
      </c>
      <c r="P630" s="2287" t="s">
        <v>3688</v>
      </c>
      <c r="Q630" s="2281"/>
      <c r="R630" s="2282"/>
      <c r="S630" s="1911" t="s">
        <v>5181</v>
      </c>
      <c r="T630" s="1911" t="s">
        <v>3689</v>
      </c>
      <c r="U630" s="1911" t="s">
        <v>3688</v>
      </c>
      <c r="V630" s="1911" t="s">
        <v>3688</v>
      </c>
      <c r="W630" s="1911" t="s">
        <v>3688</v>
      </c>
      <c r="X630" s="1911"/>
      <c r="Y630" s="1911"/>
      <c r="Z630" s="1911"/>
      <c r="AA630" s="1911" t="s">
        <v>3694</v>
      </c>
      <c r="AB630" s="1911" t="s">
        <v>3688</v>
      </c>
      <c r="AC630" s="1911" t="s">
        <v>4105</v>
      </c>
      <c r="AD630" s="2286" t="s">
        <v>3688</v>
      </c>
      <c r="AE630" s="2281"/>
      <c r="AF630" s="2282"/>
      <c r="AG630" s="2286" t="s">
        <v>3696</v>
      </c>
      <c r="AH630" s="2281"/>
      <c r="AI630" s="2282"/>
      <c r="AJ630" s="1911" t="s">
        <v>4168</v>
      </c>
      <c r="AK630" s="2286" t="s">
        <v>3688</v>
      </c>
      <c r="AL630" s="2281"/>
      <c r="AM630" s="2259"/>
      <c r="AN630" s="2281"/>
      <c r="AO630" s="2282"/>
      <c r="AP630" s="1911" t="s">
        <v>3688</v>
      </c>
      <c r="BC630" s="214"/>
      <c r="BD630" s="214"/>
      <c r="BE630" s="214"/>
      <c r="BF630" s="214"/>
    </row>
    <row r="631" spans="1:58" ht="45" hidden="1" customHeight="1">
      <c r="B631" s="2277"/>
      <c r="C631" s="2259"/>
      <c r="D631" s="2260"/>
      <c r="E631" s="1908" t="s">
        <v>3682</v>
      </c>
      <c r="F631" s="1908" t="s">
        <v>4458</v>
      </c>
      <c r="G631" s="1908"/>
      <c r="H631" s="2278" t="s">
        <v>5177</v>
      </c>
      <c r="I631" s="2259"/>
      <c r="J631" s="2260"/>
      <c r="K631" s="2278" t="s">
        <v>5182</v>
      </c>
      <c r="L631" s="2260"/>
      <c r="M631" s="1908" t="e">
        <f>VLOOKUP(K631,'Estimate Details'!$R:$BR,20,FALSE)</f>
        <v>#N/A</v>
      </c>
      <c r="N631" s="1908" t="e">
        <f>VLOOKUP(M631,#REF!,2,FALSE)</f>
        <v>#N/A</v>
      </c>
      <c r="O631" s="1908" t="s">
        <v>5183</v>
      </c>
      <c r="P631" s="2278" t="s">
        <v>4130</v>
      </c>
      <c r="Q631" s="2259"/>
      <c r="R631" s="2260"/>
      <c r="S631" s="1908" t="s">
        <v>3688</v>
      </c>
      <c r="T631" s="1908" t="s">
        <v>3689</v>
      </c>
      <c r="U631" s="1908" t="s">
        <v>3707</v>
      </c>
      <c r="V631" s="1908" t="s">
        <v>4147</v>
      </c>
      <c r="W631" s="1908" t="s">
        <v>3688</v>
      </c>
      <c r="X631" s="1908"/>
      <c r="Y631" s="1908"/>
      <c r="Z631" s="1908"/>
      <c r="AA631" s="1908" t="s">
        <v>3694</v>
      </c>
      <c r="AB631" s="1908" t="s">
        <v>4161</v>
      </c>
      <c r="AC631" s="1908" t="s">
        <v>4150</v>
      </c>
      <c r="AD631" s="2278" t="s">
        <v>4162</v>
      </c>
      <c r="AE631" s="2259"/>
      <c r="AF631" s="2260"/>
      <c r="AG631" s="2278" t="s">
        <v>3696</v>
      </c>
      <c r="AH631" s="2259"/>
      <c r="AI631" s="2260"/>
      <c r="AJ631" s="1908" t="s">
        <v>4163</v>
      </c>
      <c r="AK631" s="2278" t="s">
        <v>4164</v>
      </c>
      <c r="AL631" s="2259"/>
      <c r="AM631" s="2259"/>
      <c r="AN631" s="2259"/>
      <c r="AO631" s="2260"/>
      <c r="AP631" s="1908" t="s">
        <v>3699</v>
      </c>
      <c r="BC631" s="214"/>
      <c r="BD631" s="214"/>
      <c r="BE631" s="214"/>
      <c r="BF631" s="214"/>
    </row>
    <row r="632" spans="1:58" ht="45" hidden="1" customHeight="1">
      <c r="A632" s="808"/>
      <c r="B632" s="2280"/>
      <c r="C632" s="2281"/>
      <c r="D632" s="2282"/>
      <c r="E632" s="1909" t="s">
        <v>3682</v>
      </c>
      <c r="F632" s="1911" t="s">
        <v>3688</v>
      </c>
      <c r="G632" s="1911"/>
      <c r="H632" s="2286" t="s">
        <v>5177</v>
      </c>
      <c r="I632" s="2281"/>
      <c r="J632" s="2282"/>
      <c r="K632" s="2286" t="s">
        <v>5184</v>
      </c>
      <c r="L632" s="2282"/>
      <c r="M632" s="1911" t="e">
        <f>VLOOKUP(K632,'Estimate Details'!$R:$BR,20,FALSE)</f>
        <v>#N/A</v>
      </c>
      <c r="N632" s="1911" t="e">
        <f>VLOOKUP(M632,#REF!,2,FALSE)</f>
        <v>#N/A</v>
      </c>
      <c r="O632" s="1911" t="s">
        <v>4166</v>
      </c>
      <c r="P632" s="2287" t="s">
        <v>3688</v>
      </c>
      <c r="Q632" s="2281"/>
      <c r="R632" s="2282"/>
      <c r="S632" s="1911" t="s">
        <v>5185</v>
      </c>
      <c r="T632" s="1911" t="s">
        <v>3689</v>
      </c>
      <c r="U632" s="1911" t="s">
        <v>3688</v>
      </c>
      <c r="V632" s="1911" t="s">
        <v>3688</v>
      </c>
      <c r="W632" s="1911" t="s">
        <v>3688</v>
      </c>
      <c r="X632" s="1911"/>
      <c r="Y632" s="1911"/>
      <c r="Z632" s="1911"/>
      <c r="AA632" s="1911" t="s">
        <v>3694</v>
      </c>
      <c r="AB632" s="1911" t="s">
        <v>3688</v>
      </c>
      <c r="AC632" s="1911" t="s">
        <v>4105</v>
      </c>
      <c r="AD632" s="2286" t="s">
        <v>3688</v>
      </c>
      <c r="AE632" s="2281"/>
      <c r="AF632" s="2282"/>
      <c r="AG632" s="2286" t="s">
        <v>3696</v>
      </c>
      <c r="AH632" s="2281"/>
      <c r="AI632" s="2282"/>
      <c r="AJ632" s="1911" t="s">
        <v>4168</v>
      </c>
      <c r="AK632" s="2286" t="s">
        <v>3688</v>
      </c>
      <c r="AL632" s="2281"/>
      <c r="AM632" s="2259"/>
      <c r="AN632" s="2281"/>
      <c r="AO632" s="2282"/>
      <c r="AP632" s="1911" t="s">
        <v>3688</v>
      </c>
      <c r="BC632" s="214"/>
      <c r="BD632" s="214"/>
      <c r="BE632" s="214"/>
      <c r="BF632" s="214"/>
    </row>
    <row r="633" spans="1:58" ht="45" hidden="1" customHeight="1">
      <c r="B633" s="2277"/>
      <c r="C633" s="2259"/>
      <c r="D633" s="2260"/>
      <c r="E633" s="1908" t="s">
        <v>3682</v>
      </c>
      <c r="F633" s="1908" t="s">
        <v>4458</v>
      </c>
      <c r="G633" s="1908"/>
      <c r="H633" s="2278" t="s">
        <v>5177</v>
      </c>
      <c r="I633" s="2259"/>
      <c r="J633" s="2260"/>
      <c r="K633" s="2278" t="s">
        <v>1899</v>
      </c>
      <c r="L633" s="2260"/>
      <c r="M633" s="1908">
        <f>VLOOKUP(K633,'Estimate Details'!$R:$BR,20,FALSE)</f>
        <v>0</v>
      </c>
      <c r="N633" s="1908" t="e">
        <f>VLOOKUP(M633,#REF!,2,FALSE)</f>
        <v>#REF!</v>
      </c>
      <c r="O633" s="1908" t="s">
        <v>4335</v>
      </c>
      <c r="P633" s="2278" t="s">
        <v>4175</v>
      </c>
      <c r="Q633" s="2259"/>
      <c r="R633" s="2260"/>
      <c r="S633" s="1908" t="s">
        <v>3688</v>
      </c>
      <c r="T633" s="1908" t="s">
        <v>3689</v>
      </c>
      <c r="U633" s="1908" t="s">
        <v>3707</v>
      </c>
      <c r="V633" s="1908" t="s">
        <v>4176</v>
      </c>
      <c r="W633" s="1908" t="s">
        <v>3688</v>
      </c>
      <c r="X633" s="1908"/>
      <c r="Y633" s="1908" t="s">
        <v>4336</v>
      </c>
      <c r="Z633" s="1908"/>
      <c r="AA633" s="1908" t="s">
        <v>3694</v>
      </c>
      <c r="AB633" s="1908" t="s">
        <v>4337</v>
      </c>
      <c r="AC633" s="1908" t="s">
        <v>3804</v>
      </c>
      <c r="AD633" s="2278" t="s">
        <v>3688</v>
      </c>
      <c r="AE633" s="2259"/>
      <c r="AF633" s="2260"/>
      <c r="AG633" s="2278" t="s">
        <v>3696</v>
      </c>
      <c r="AH633" s="2259"/>
      <c r="AI633" s="2260"/>
      <c r="AJ633" s="1908" t="s">
        <v>3814</v>
      </c>
      <c r="AK633" s="2278" t="s">
        <v>4338</v>
      </c>
      <c r="AL633" s="2259"/>
      <c r="AM633" s="2259"/>
      <c r="AN633" s="2259"/>
      <c r="AO633" s="2260"/>
      <c r="AP633" s="1908" t="s">
        <v>3699</v>
      </c>
      <c r="BC633" s="214"/>
      <c r="BD633" s="214"/>
      <c r="BE633" s="214"/>
      <c r="BF633" s="214"/>
    </row>
    <row r="634" spans="1:58" ht="45" hidden="1" customHeight="1">
      <c r="A634" s="808"/>
      <c r="B634" s="2280"/>
      <c r="C634" s="2281"/>
      <c r="D634" s="2282"/>
      <c r="E634" s="1909" t="s">
        <v>3682</v>
      </c>
      <c r="F634" s="1909" t="s">
        <v>4458</v>
      </c>
      <c r="G634" s="1909"/>
      <c r="H634" s="2283" t="s">
        <v>5177</v>
      </c>
      <c r="I634" s="2281"/>
      <c r="J634" s="2282"/>
      <c r="K634" s="2283" t="s">
        <v>5186</v>
      </c>
      <c r="L634" s="2282"/>
      <c r="M634" s="1909" t="e">
        <f>VLOOKUP(K634,'Estimate Details'!$R:$BR,20,FALSE)</f>
        <v>#N/A</v>
      </c>
      <c r="N634" s="1909" t="e">
        <f>VLOOKUP(M634,#REF!,2,FALSE)</f>
        <v>#N/A</v>
      </c>
      <c r="O634" s="1909" t="s">
        <v>4340</v>
      </c>
      <c r="P634" s="2284" t="s">
        <v>4175</v>
      </c>
      <c r="Q634" s="2281"/>
      <c r="R634" s="2282"/>
      <c r="S634" s="1909" t="s">
        <v>3688</v>
      </c>
      <c r="T634" s="1909" t="s">
        <v>3689</v>
      </c>
      <c r="U634" s="1909" t="s">
        <v>3707</v>
      </c>
      <c r="V634" s="1909" t="s">
        <v>4176</v>
      </c>
      <c r="W634" s="1909" t="s">
        <v>3688</v>
      </c>
      <c r="X634" s="1909"/>
      <c r="Y634" s="1909" t="s">
        <v>4341</v>
      </c>
      <c r="Z634" s="1909"/>
      <c r="AA634" s="1909" t="s">
        <v>3694</v>
      </c>
      <c r="AB634" s="1909" t="s">
        <v>4342</v>
      </c>
      <c r="AC634" s="1909" t="s">
        <v>4343</v>
      </c>
      <c r="AD634" s="2283" t="s">
        <v>4344</v>
      </c>
      <c r="AE634" s="2281"/>
      <c r="AF634" s="2282"/>
      <c r="AG634" s="2283" t="s">
        <v>3696</v>
      </c>
      <c r="AH634" s="2281"/>
      <c r="AI634" s="2282"/>
      <c r="AJ634" s="1909" t="s">
        <v>3814</v>
      </c>
      <c r="AK634" s="2283" t="s">
        <v>4345</v>
      </c>
      <c r="AL634" s="2281"/>
      <c r="AM634" s="2259"/>
      <c r="AN634" s="2281"/>
      <c r="AO634" s="2282"/>
      <c r="AP634" s="1909" t="s">
        <v>3699</v>
      </c>
      <c r="BC634" s="214"/>
      <c r="BD634" s="214"/>
      <c r="BE634" s="214"/>
      <c r="BF634" s="214"/>
    </row>
    <row r="635" spans="1:58" ht="45" hidden="1" customHeight="1">
      <c r="B635" s="2277"/>
      <c r="C635" s="2259"/>
      <c r="D635" s="2260"/>
      <c r="E635" s="1908" t="s">
        <v>3682</v>
      </c>
      <c r="F635" s="1908" t="s">
        <v>4458</v>
      </c>
      <c r="G635" s="1908"/>
      <c r="H635" s="2278" t="s">
        <v>5177</v>
      </c>
      <c r="I635" s="2259"/>
      <c r="J635" s="2260"/>
      <c r="K635" s="2278" t="s">
        <v>5187</v>
      </c>
      <c r="L635" s="2260"/>
      <c r="M635" s="1908" t="e">
        <f>VLOOKUP(K635,'Estimate Details'!$R:$BR,20,FALSE)</f>
        <v>#N/A</v>
      </c>
      <c r="N635" s="1908" t="e">
        <f>VLOOKUP(M635,#REF!,2,FALSE)</f>
        <v>#N/A</v>
      </c>
      <c r="O635" s="1908" t="s">
        <v>4347</v>
      </c>
      <c r="P635" s="2278" t="s">
        <v>4175</v>
      </c>
      <c r="Q635" s="2259"/>
      <c r="R635" s="2260"/>
      <c r="S635" s="1908" t="s">
        <v>3688</v>
      </c>
      <c r="T635" s="1908" t="s">
        <v>3689</v>
      </c>
      <c r="U635" s="1908" t="s">
        <v>3707</v>
      </c>
      <c r="V635" s="1908" t="s">
        <v>4176</v>
      </c>
      <c r="W635" s="1908" t="s">
        <v>3688</v>
      </c>
      <c r="X635" s="1908"/>
      <c r="Y635" s="1908"/>
      <c r="Z635" s="1908"/>
      <c r="AA635" s="1908" t="s">
        <v>3694</v>
      </c>
      <c r="AB635" s="1908" t="s">
        <v>4348</v>
      </c>
      <c r="AC635" s="1908" t="s">
        <v>3804</v>
      </c>
      <c r="AD635" s="2278" t="s">
        <v>3688</v>
      </c>
      <c r="AE635" s="2259"/>
      <c r="AF635" s="2260"/>
      <c r="AG635" s="2278" t="s">
        <v>3696</v>
      </c>
      <c r="AH635" s="2259"/>
      <c r="AI635" s="2260"/>
      <c r="AJ635" s="1908" t="s">
        <v>3814</v>
      </c>
      <c r="AK635" s="2278" t="s">
        <v>4254</v>
      </c>
      <c r="AL635" s="2259"/>
      <c r="AM635" s="2259"/>
      <c r="AN635" s="2259"/>
      <c r="AO635" s="2260"/>
      <c r="AP635" s="1908" t="s">
        <v>3716</v>
      </c>
      <c r="BC635" s="214"/>
      <c r="BD635" s="214"/>
      <c r="BE635" s="214"/>
      <c r="BF635" s="214"/>
    </row>
    <row r="636" spans="1:58" ht="45" hidden="1" customHeight="1">
      <c r="A636" s="808"/>
      <c r="B636" s="2280"/>
      <c r="C636" s="2281"/>
      <c r="D636" s="2282"/>
      <c r="E636" s="1909" t="s">
        <v>3682</v>
      </c>
      <c r="F636" s="1909" t="s">
        <v>4458</v>
      </c>
      <c r="G636" s="1909"/>
      <c r="H636" s="2283" t="s">
        <v>5177</v>
      </c>
      <c r="I636" s="2281"/>
      <c r="J636" s="2282"/>
      <c r="K636" s="2283" t="s">
        <v>5188</v>
      </c>
      <c r="L636" s="2282"/>
      <c r="M636" s="1909" t="e">
        <f>VLOOKUP(K636,'Estimate Details'!$R:$BR,20,FALSE)</f>
        <v>#N/A</v>
      </c>
      <c r="N636" s="1909" t="e">
        <f>VLOOKUP(M636,#REF!,2,FALSE)</f>
        <v>#N/A</v>
      </c>
      <c r="O636" s="1909" t="s">
        <v>4350</v>
      </c>
      <c r="P636" s="2284" t="s">
        <v>4180</v>
      </c>
      <c r="Q636" s="2281"/>
      <c r="R636" s="2282"/>
      <c r="S636" s="1909" t="s">
        <v>3688</v>
      </c>
      <c r="T636" s="1909" t="s">
        <v>3689</v>
      </c>
      <c r="U636" s="1909" t="s">
        <v>3707</v>
      </c>
      <c r="V636" s="1909" t="s">
        <v>4147</v>
      </c>
      <c r="W636" s="1909" t="s">
        <v>3688</v>
      </c>
      <c r="X636" s="1909"/>
      <c r="Y636" s="1909"/>
      <c r="Z636" s="1909"/>
      <c r="AA636" s="1909" t="s">
        <v>3957</v>
      </c>
      <c r="AB636" s="1909" t="s">
        <v>4216</v>
      </c>
      <c r="AC636" s="1909" t="s">
        <v>3696</v>
      </c>
      <c r="AD636" s="2283" t="s">
        <v>4192</v>
      </c>
      <c r="AE636" s="2281"/>
      <c r="AF636" s="2282"/>
      <c r="AG636" s="2283" t="s">
        <v>3696</v>
      </c>
      <c r="AH636" s="2281"/>
      <c r="AI636" s="2282"/>
      <c r="AJ636" s="1909" t="s">
        <v>4163</v>
      </c>
      <c r="AK636" s="2283" t="s">
        <v>4193</v>
      </c>
      <c r="AL636" s="2281"/>
      <c r="AM636" s="2259"/>
      <c r="AN636" s="2281"/>
      <c r="AO636" s="2282"/>
      <c r="AP636" s="1909" t="s">
        <v>3699</v>
      </c>
      <c r="BC636" s="214"/>
      <c r="BD636" s="214"/>
      <c r="BE636" s="214"/>
      <c r="BF636" s="214"/>
    </row>
    <row r="637" spans="1:58" ht="45" hidden="1" customHeight="1">
      <c r="B637" s="2277"/>
      <c r="C637" s="2259"/>
      <c r="D637" s="2260"/>
      <c r="E637" s="1908" t="s">
        <v>3682</v>
      </c>
      <c r="F637" s="1908" t="s">
        <v>4458</v>
      </c>
      <c r="G637" s="1908"/>
      <c r="H637" s="2278" t="s">
        <v>5177</v>
      </c>
      <c r="I637" s="2259"/>
      <c r="J637" s="2260"/>
      <c r="K637" s="2278" t="s">
        <v>1896</v>
      </c>
      <c r="L637" s="2260"/>
      <c r="M637" s="1908">
        <f>VLOOKUP(K637,'Estimate Details'!$R:$BR,20,FALSE)</f>
        <v>8954.42</v>
      </c>
      <c r="N637" s="1908" t="e">
        <f>VLOOKUP(M637,#REF!,2,FALSE)</f>
        <v>#REF!</v>
      </c>
      <c r="O637" s="1908" t="s">
        <v>4351</v>
      </c>
      <c r="P637" s="2278" t="s">
        <v>4352</v>
      </c>
      <c r="Q637" s="2259"/>
      <c r="R637" s="2260"/>
      <c r="S637" s="1908" t="s">
        <v>3688</v>
      </c>
      <c r="T637" s="1908" t="s">
        <v>3689</v>
      </c>
      <c r="U637" s="1908" t="s">
        <v>3707</v>
      </c>
      <c r="V637" s="1908" t="s">
        <v>4353</v>
      </c>
      <c r="W637" s="1908" t="s">
        <v>3688</v>
      </c>
      <c r="X637" s="1908"/>
      <c r="Y637" s="1908"/>
      <c r="Z637" s="1908"/>
      <c r="AA637" s="1908" t="s">
        <v>4354</v>
      </c>
      <c r="AB637" s="1908" t="s">
        <v>3688</v>
      </c>
      <c r="AC637" s="1908" t="s">
        <v>3696</v>
      </c>
      <c r="AD637" s="2278" t="s">
        <v>3688</v>
      </c>
      <c r="AE637" s="2259"/>
      <c r="AF637" s="2260"/>
      <c r="AG637" s="2278" t="s">
        <v>4629</v>
      </c>
      <c r="AH637" s="2259"/>
      <c r="AI637" s="2260"/>
      <c r="AJ637" s="1908" t="s">
        <v>4355</v>
      </c>
      <c r="AK637" s="2278" t="s">
        <v>3688</v>
      </c>
      <c r="AL637" s="2259"/>
      <c r="AM637" s="2259"/>
      <c r="AN637" s="2259"/>
      <c r="AO637" s="2260"/>
      <c r="AP637" s="1908" t="s">
        <v>3699</v>
      </c>
      <c r="BC637" s="214"/>
      <c r="BD637" s="214"/>
      <c r="BE637" s="214"/>
      <c r="BF637" s="214"/>
    </row>
    <row r="638" spans="1:58" ht="45" hidden="1" customHeight="1">
      <c r="A638" s="808"/>
      <c r="B638" s="2280"/>
      <c r="C638" s="2281"/>
      <c r="D638" s="2282"/>
      <c r="E638" s="1909" t="s">
        <v>3682</v>
      </c>
      <c r="F638" s="1909" t="s">
        <v>4458</v>
      </c>
      <c r="G638" s="1909"/>
      <c r="H638" s="2283" t="s">
        <v>1925</v>
      </c>
      <c r="I638" s="2281"/>
      <c r="J638" s="2282"/>
      <c r="K638" s="2283" t="s">
        <v>1940</v>
      </c>
      <c r="L638" s="2282"/>
      <c r="M638" s="1909">
        <f>VLOOKUP(K638,'Estimate Details'!$R:$BR,20,FALSE)</f>
        <v>3850.166666666667</v>
      </c>
      <c r="N638" s="1909" t="e">
        <f>VLOOKUP(M638,#REF!,2,FALSE)</f>
        <v>#REF!</v>
      </c>
      <c r="O638" s="1909" t="s">
        <v>4365</v>
      </c>
      <c r="P638" s="2284" t="s">
        <v>4362</v>
      </c>
      <c r="Q638" s="2281"/>
      <c r="R638" s="2282"/>
      <c r="S638" s="1909" t="s">
        <v>3688</v>
      </c>
      <c r="T638" s="1909" t="s">
        <v>3689</v>
      </c>
      <c r="U638" s="1909" t="s">
        <v>3707</v>
      </c>
      <c r="V638" s="1909" t="s">
        <v>4363</v>
      </c>
      <c r="W638" s="1909" t="s">
        <v>3688</v>
      </c>
      <c r="X638" s="1909"/>
      <c r="Y638" s="1909"/>
      <c r="Z638" s="1909"/>
      <c r="AA638" s="1909" t="s">
        <v>3694</v>
      </c>
      <c r="AB638" s="1909" t="s">
        <v>3688</v>
      </c>
      <c r="AC638" s="1909" t="s">
        <v>3804</v>
      </c>
      <c r="AD638" s="2283" t="s">
        <v>3688</v>
      </c>
      <c r="AE638" s="2281"/>
      <c r="AF638" s="2282"/>
      <c r="AG638" s="2283" t="s">
        <v>3696</v>
      </c>
      <c r="AH638" s="2281"/>
      <c r="AI638" s="2282"/>
      <c r="AJ638" s="1909" t="s">
        <v>4364</v>
      </c>
      <c r="AK638" s="2283" t="s">
        <v>3688</v>
      </c>
      <c r="AL638" s="2281"/>
      <c r="AM638" s="2259"/>
      <c r="AN638" s="2281"/>
      <c r="AO638" s="2282"/>
      <c r="AP638" s="1909" t="s">
        <v>3699</v>
      </c>
      <c r="BC638" s="214"/>
      <c r="BD638" s="214"/>
      <c r="BE638" s="214"/>
      <c r="BF638" s="214"/>
    </row>
    <row r="639" spans="1:58" ht="45" hidden="1" customHeight="1">
      <c r="B639" s="2277"/>
      <c r="C639" s="2259"/>
      <c r="D639" s="2260"/>
      <c r="E639" s="1908" t="s">
        <v>3682</v>
      </c>
      <c r="F639" s="1908" t="s">
        <v>4458</v>
      </c>
      <c r="G639" s="1908"/>
      <c r="H639" s="2278" t="s">
        <v>1925</v>
      </c>
      <c r="I639" s="2259"/>
      <c r="J639" s="2260"/>
      <c r="K639" s="2278" t="s">
        <v>5189</v>
      </c>
      <c r="L639" s="2260"/>
      <c r="M639" s="1908" t="e">
        <f>VLOOKUP(K639,'Estimate Details'!$R:$BR,20,FALSE)</f>
        <v>#N/A</v>
      </c>
      <c r="N639" s="1908" t="e">
        <f>VLOOKUP(M639,#REF!,2,FALSE)</f>
        <v>#N/A</v>
      </c>
      <c r="O639" s="1908" t="s">
        <v>5190</v>
      </c>
      <c r="P639" s="2278" t="s">
        <v>4130</v>
      </c>
      <c r="Q639" s="2259"/>
      <c r="R639" s="2260"/>
      <c r="S639" s="1908" t="s">
        <v>3688</v>
      </c>
      <c r="T639" s="1908" t="s">
        <v>3689</v>
      </c>
      <c r="U639" s="1908" t="s">
        <v>3707</v>
      </c>
      <c r="V639" s="1908" t="s">
        <v>4363</v>
      </c>
      <c r="W639" s="1908" t="s">
        <v>3688</v>
      </c>
      <c r="X639" s="1908"/>
      <c r="Y639" s="1908"/>
      <c r="Z639" s="1908"/>
      <c r="AA639" s="1908" t="s">
        <v>3694</v>
      </c>
      <c r="AB639" s="1908" t="s">
        <v>1</v>
      </c>
      <c r="AC639" s="1908" t="s">
        <v>3804</v>
      </c>
      <c r="AD639" s="2278" t="s">
        <v>3688</v>
      </c>
      <c r="AE639" s="2259"/>
      <c r="AF639" s="2260"/>
      <c r="AG639" s="2278" t="s">
        <v>3696</v>
      </c>
      <c r="AH639" s="2259"/>
      <c r="AI639" s="2260"/>
      <c r="AJ639" s="1908" t="s">
        <v>4364</v>
      </c>
      <c r="AK639" s="2278" t="s">
        <v>3688</v>
      </c>
      <c r="AL639" s="2259"/>
      <c r="AM639" s="2259"/>
      <c r="AN639" s="2259"/>
      <c r="AO639" s="2260"/>
      <c r="AP639" s="1908" t="s">
        <v>3716</v>
      </c>
      <c r="BC639" s="214"/>
      <c r="BD639" s="214"/>
      <c r="BE639" s="214"/>
      <c r="BF639" s="214"/>
    </row>
    <row r="640" spans="1:58" ht="45" hidden="1" customHeight="1">
      <c r="A640" s="808"/>
      <c r="B640" s="2280"/>
      <c r="C640" s="2281"/>
      <c r="D640" s="2282"/>
      <c r="E640" s="1909" t="s">
        <v>3682</v>
      </c>
      <c r="F640" s="1909" t="s">
        <v>4458</v>
      </c>
      <c r="G640" s="1909"/>
      <c r="H640" s="2283" t="s">
        <v>1925</v>
      </c>
      <c r="I640" s="2281"/>
      <c r="J640" s="2282"/>
      <c r="K640" s="2283" t="s">
        <v>5191</v>
      </c>
      <c r="L640" s="2282"/>
      <c r="M640" s="1909" t="e">
        <f>VLOOKUP(K640,'Estimate Details'!$R:$BR,20,FALSE)</f>
        <v>#N/A</v>
      </c>
      <c r="N640" s="1909" t="e">
        <f>VLOOKUP(M640,#REF!,2,FALSE)</f>
        <v>#N/A</v>
      </c>
      <c r="O640" s="1909" t="s">
        <v>5190</v>
      </c>
      <c r="P640" s="2284" t="s">
        <v>4130</v>
      </c>
      <c r="Q640" s="2281"/>
      <c r="R640" s="2282"/>
      <c r="S640" s="1909" t="s">
        <v>3688</v>
      </c>
      <c r="T640" s="1909" t="s">
        <v>3689</v>
      </c>
      <c r="U640" s="1909" t="s">
        <v>3707</v>
      </c>
      <c r="V640" s="1909" t="s">
        <v>4363</v>
      </c>
      <c r="W640" s="1909" t="s">
        <v>3688</v>
      </c>
      <c r="X640" s="1909"/>
      <c r="Y640" s="1909"/>
      <c r="Z640" s="1909"/>
      <c r="AA640" s="1909" t="s">
        <v>3694</v>
      </c>
      <c r="AB640" s="1909" t="s">
        <v>1</v>
      </c>
      <c r="AC640" s="1909" t="s">
        <v>3804</v>
      </c>
      <c r="AD640" s="2283" t="s">
        <v>3688</v>
      </c>
      <c r="AE640" s="2281"/>
      <c r="AF640" s="2282"/>
      <c r="AG640" s="2283" t="s">
        <v>3696</v>
      </c>
      <c r="AH640" s="2281"/>
      <c r="AI640" s="2282"/>
      <c r="AJ640" s="1909" t="s">
        <v>4364</v>
      </c>
      <c r="AK640" s="2283" t="s">
        <v>3688</v>
      </c>
      <c r="AL640" s="2281"/>
      <c r="AM640" s="2259"/>
      <c r="AN640" s="2281"/>
      <c r="AO640" s="2282"/>
      <c r="AP640" s="1909" t="s">
        <v>3716</v>
      </c>
      <c r="BC640" s="214"/>
      <c r="BD640" s="214"/>
      <c r="BE640" s="214"/>
      <c r="BF640" s="214"/>
    </row>
    <row r="641" spans="1:58" ht="45" hidden="1" customHeight="1">
      <c r="B641" s="2277"/>
      <c r="C641" s="2259"/>
      <c r="D641" s="2260"/>
      <c r="E641" s="1908" t="s">
        <v>3682</v>
      </c>
      <c r="F641" s="1908" t="s">
        <v>4458</v>
      </c>
      <c r="G641" s="1908"/>
      <c r="H641" s="2278" t="s">
        <v>1925</v>
      </c>
      <c r="I641" s="2259"/>
      <c r="J641" s="2260"/>
      <c r="K641" s="2278" t="s">
        <v>5192</v>
      </c>
      <c r="L641" s="2260"/>
      <c r="M641" s="1908" t="e">
        <f>VLOOKUP(K641,'Estimate Details'!$R:$BR,20,FALSE)</f>
        <v>#N/A</v>
      </c>
      <c r="N641" s="1908" t="e">
        <f>VLOOKUP(M641,#REF!,2,FALSE)</f>
        <v>#N/A</v>
      </c>
      <c r="O641" s="1908" t="s">
        <v>5190</v>
      </c>
      <c r="P641" s="2278" t="s">
        <v>4130</v>
      </c>
      <c r="Q641" s="2259"/>
      <c r="R641" s="2260"/>
      <c r="S641" s="1908" t="s">
        <v>3688</v>
      </c>
      <c r="T641" s="1908" t="s">
        <v>3689</v>
      </c>
      <c r="U641" s="1908" t="s">
        <v>3707</v>
      </c>
      <c r="V641" s="1908" t="s">
        <v>4363</v>
      </c>
      <c r="W641" s="1908" t="s">
        <v>3688</v>
      </c>
      <c r="X641" s="1908"/>
      <c r="Y641" s="1908"/>
      <c r="Z641" s="1908"/>
      <c r="AA641" s="1908" t="s">
        <v>3694</v>
      </c>
      <c r="AB641" s="1908" t="s">
        <v>1</v>
      </c>
      <c r="AC641" s="1908" t="s">
        <v>3804</v>
      </c>
      <c r="AD641" s="2278" t="s">
        <v>3688</v>
      </c>
      <c r="AE641" s="2259"/>
      <c r="AF641" s="2260"/>
      <c r="AG641" s="2278" t="s">
        <v>3696</v>
      </c>
      <c r="AH641" s="2259"/>
      <c r="AI641" s="2260"/>
      <c r="AJ641" s="1908" t="s">
        <v>4364</v>
      </c>
      <c r="AK641" s="2278" t="s">
        <v>3688</v>
      </c>
      <c r="AL641" s="2259"/>
      <c r="AM641" s="2259"/>
      <c r="AN641" s="2259"/>
      <c r="AO641" s="2260"/>
      <c r="AP641" s="1908" t="s">
        <v>3716</v>
      </c>
      <c r="BC641" s="214"/>
      <c r="BD641" s="214"/>
      <c r="BE641" s="214"/>
      <c r="BF641" s="214"/>
    </row>
    <row r="642" spans="1:58" ht="45" hidden="1" customHeight="1">
      <c r="A642" s="808"/>
      <c r="B642" s="2280"/>
      <c r="C642" s="2281"/>
      <c r="D642" s="2282"/>
      <c r="E642" s="1909" t="s">
        <v>3682</v>
      </c>
      <c r="F642" s="1909" t="s">
        <v>4458</v>
      </c>
      <c r="G642" s="1909"/>
      <c r="H642" s="2283" t="s">
        <v>1925</v>
      </c>
      <c r="I642" s="2281"/>
      <c r="J642" s="2282"/>
      <c r="K642" s="2283" t="s">
        <v>5193</v>
      </c>
      <c r="L642" s="2282"/>
      <c r="M642" s="1909" t="e">
        <f>VLOOKUP(K642,'Estimate Details'!$R:$BR,20,FALSE)</f>
        <v>#N/A</v>
      </c>
      <c r="N642" s="1909" t="e">
        <f>VLOOKUP(M642,#REF!,2,FALSE)</f>
        <v>#N/A</v>
      </c>
      <c r="O642" s="1909" t="s">
        <v>5190</v>
      </c>
      <c r="P642" s="2284" t="s">
        <v>4130</v>
      </c>
      <c r="Q642" s="2281"/>
      <c r="R642" s="2282"/>
      <c r="S642" s="1909" t="s">
        <v>3688</v>
      </c>
      <c r="T642" s="1909" t="s">
        <v>3689</v>
      </c>
      <c r="U642" s="1909" t="s">
        <v>3707</v>
      </c>
      <c r="V642" s="1909" t="s">
        <v>4363</v>
      </c>
      <c r="W642" s="1909" t="s">
        <v>3688</v>
      </c>
      <c r="X642" s="1909"/>
      <c r="Y642" s="1909"/>
      <c r="Z642" s="1909"/>
      <c r="AA642" s="1909" t="s">
        <v>3694</v>
      </c>
      <c r="AB642" s="1909" t="s">
        <v>1</v>
      </c>
      <c r="AC642" s="1909" t="s">
        <v>3804</v>
      </c>
      <c r="AD642" s="2283" t="s">
        <v>3688</v>
      </c>
      <c r="AE642" s="2281"/>
      <c r="AF642" s="2282"/>
      <c r="AG642" s="2283" t="s">
        <v>3696</v>
      </c>
      <c r="AH642" s="2281"/>
      <c r="AI642" s="2282"/>
      <c r="AJ642" s="1909" t="s">
        <v>4364</v>
      </c>
      <c r="AK642" s="2283" t="s">
        <v>3688</v>
      </c>
      <c r="AL642" s="2281"/>
      <c r="AM642" s="2259"/>
      <c r="AN642" s="2281"/>
      <c r="AO642" s="2282"/>
      <c r="AP642" s="1909" t="s">
        <v>3716</v>
      </c>
      <c r="BC642" s="214"/>
      <c r="BD642" s="214"/>
      <c r="BE642" s="214"/>
      <c r="BF642" s="214"/>
    </row>
    <row r="643" spans="1:58" ht="45" hidden="1" customHeight="1">
      <c r="B643" s="2277"/>
      <c r="C643" s="2259"/>
      <c r="D643" s="2260"/>
      <c r="E643" s="1908" t="s">
        <v>3682</v>
      </c>
      <c r="F643" s="1908" t="s">
        <v>4458</v>
      </c>
      <c r="G643" s="1908"/>
      <c r="H643" s="2278" t="s">
        <v>1925</v>
      </c>
      <c r="I643" s="2259"/>
      <c r="J643" s="2260"/>
      <c r="K643" s="2278" t="s">
        <v>5194</v>
      </c>
      <c r="L643" s="2260"/>
      <c r="M643" s="1908" t="e">
        <f>VLOOKUP(K643,'Estimate Details'!$R:$BR,20,FALSE)</f>
        <v>#N/A</v>
      </c>
      <c r="N643" s="1908" t="e">
        <f>VLOOKUP(M643,#REF!,2,FALSE)</f>
        <v>#N/A</v>
      </c>
      <c r="O643" s="1908" t="s">
        <v>5190</v>
      </c>
      <c r="P643" s="2278" t="s">
        <v>4130</v>
      </c>
      <c r="Q643" s="2259"/>
      <c r="R643" s="2260"/>
      <c r="S643" s="1908" t="s">
        <v>3688</v>
      </c>
      <c r="T643" s="1908" t="s">
        <v>3689</v>
      </c>
      <c r="U643" s="1908" t="s">
        <v>3707</v>
      </c>
      <c r="V643" s="1908" t="s">
        <v>4363</v>
      </c>
      <c r="W643" s="1908" t="s">
        <v>3688</v>
      </c>
      <c r="X643" s="1908"/>
      <c r="Y643" s="1908"/>
      <c r="Z643" s="1908"/>
      <c r="AA643" s="1908" t="s">
        <v>3694</v>
      </c>
      <c r="AB643" s="1908" t="s">
        <v>3688</v>
      </c>
      <c r="AC643" s="1908" t="s">
        <v>3804</v>
      </c>
      <c r="AD643" s="2278" t="s">
        <v>3688</v>
      </c>
      <c r="AE643" s="2259"/>
      <c r="AF643" s="2260"/>
      <c r="AG643" s="2278" t="s">
        <v>3696</v>
      </c>
      <c r="AH643" s="2259"/>
      <c r="AI643" s="2260"/>
      <c r="AJ643" s="1908" t="s">
        <v>4364</v>
      </c>
      <c r="AK643" s="2278" t="s">
        <v>3688</v>
      </c>
      <c r="AL643" s="2259"/>
      <c r="AM643" s="2259"/>
      <c r="AN643" s="2259"/>
      <c r="AO643" s="2260"/>
      <c r="AP643" s="1908" t="s">
        <v>3716</v>
      </c>
      <c r="BC643" s="214"/>
      <c r="BD643" s="214"/>
      <c r="BE643" s="214"/>
      <c r="BF643" s="214"/>
    </row>
    <row r="644" spans="1:58" ht="45" hidden="1" customHeight="1">
      <c r="A644" s="808"/>
      <c r="B644" s="2280"/>
      <c r="C644" s="2281"/>
      <c r="D644" s="2282"/>
      <c r="E644" s="1909" t="s">
        <v>3682</v>
      </c>
      <c r="F644" s="1909" t="s">
        <v>4458</v>
      </c>
      <c r="G644" s="1909"/>
      <c r="H644" s="2283" t="s">
        <v>1925</v>
      </c>
      <c r="I644" s="2281"/>
      <c r="J644" s="2282"/>
      <c r="K644" s="2283" t="s">
        <v>5195</v>
      </c>
      <c r="L644" s="2282"/>
      <c r="M644" s="1909" t="e">
        <f>VLOOKUP(K644,'Estimate Details'!$R:$BR,20,FALSE)</f>
        <v>#N/A</v>
      </c>
      <c r="N644" s="1909" t="e">
        <f>VLOOKUP(M644,#REF!,2,FALSE)</f>
        <v>#N/A</v>
      </c>
      <c r="O644" s="1909" t="s">
        <v>5190</v>
      </c>
      <c r="P644" s="2284" t="s">
        <v>4130</v>
      </c>
      <c r="Q644" s="2281"/>
      <c r="R644" s="2282"/>
      <c r="S644" s="1909" t="s">
        <v>3688</v>
      </c>
      <c r="T644" s="1909" t="s">
        <v>3689</v>
      </c>
      <c r="U644" s="1909" t="s">
        <v>3707</v>
      </c>
      <c r="V644" s="1909" t="s">
        <v>4363</v>
      </c>
      <c r="W644" s="1909" t="s">
        <v>3688</v>
      </c>
      <c r="X644" s="1909"/>
      <c r="Y644" s="1909"/>
      <c r="Z644" s="1909"/>
      <c r="AA644" s="1909" t="s">
        <v>3694</v>
      </c>
      <c r="AB644" s="1909" t="s">
        <v>3688</v>
      </c>
      <c r="AC644" s="1909" t="s">
        <v>3804</v>
      </c>
      <c r="AD644" s="2283" t="s">
        <v>3688</v>
      </c>
      <c r="AE644" s="2281"/>
      <c r="AF644" s="2282"/>
      <c r="AG644" s="2283" t="s">
        <v>3696</v>
      </c>
      <c r="AH644" s="2281"/>
      <c r="AI644" s="2282"/>
      <c r="AJ644" s="1909" t="s">
        <v>4364</v>
      </c>
      <c r="AK644" s="2283" t="s">
        <v>3688</v>
      </c>
      <c r="AL644" s="2281"/>
      <c r="AM644" s="2259"/>
      <c r="AN644" s="2281"/>
      <c r="AO644" s="2282"/>
      <c r="AP644" s="1909" t="s">
        <v>3716</v>
      </c>
      <c r="BC644" s="214"/>
      <c r="BD644" s="214"/>
      <c r="BE644" s="214"/>
      <c r="BF644" s="214"/>
    </row>
    <row r="645" spans="1:58" ht="45" hidden="1" customHeight="1">
      <c r="B645" s="2277"/>
      <c r="C645" s="2259"/>
      <c r="D645" s="2260"/>
      <c r="E645" s="1908" t="s">
        <v>3682</v>
      </c>
      <c r="F645" s="1908" t="s">
        <v>4458</v>
      </c>
      <c r="G645" s="1908"/>
      <c r="H645" s="2278" t="s">
        <v>1925</v>
      </c>
      <c r="I645" s="2259"/>
      <c r="J645" s="2260"/>
      <c r="K645" s="2278" t="s">
        <v>5196</v>
      </c>
      <c r="L645" s="2260"/>
      <c r="M645" s="1908" t="e">
        <f>VLOOKUP(K645,'Estimate Details'!$R:$BR,20,FALSE)</f>
        <v>#N/A</v>
      </c>
      <c r="N645" s="1908" t="e">
        <f>VLOOKUP(M645,#REF!,2,FALSE)</f>
        <v>#N/A</v>
      </c>
      <c r="O645" s="1908" t="s">
        <v>5190</v>
      </c>
      <c r="P645" s="2278" t="s">
        <v>4130</v>
      </c>
      <c r="Q645" s="2259"/>
      <c r="R645" s="2260"/>
      <c r="S645" s="1908" t="s">
        <v>3688</v>
      </c>
      <c r="T645" s="1908" t="s">
        <v>3689</v>
      </c>
      <c r="U645" s="1908" t="s">
        <v>3707</v>
      </c>
      <c r="V645" s="1908" t="s">
        <v>4363</v>
      </c>
      <c r="W645" s="1908" t="s">
        <v>3688</v>
      </c>
      <c r="X645" s="1908"/>
      <c r="Y645" s="1908"/>
      <c r="Z645" s="1908"/>
      <c r="AA645" s="1908" t="s">
        <v>3694</v>
      </c>
      <c r="AB645" s="1908" t="s">
        <v>3688</v>
      </c>
      <c r="AC645" s="1908" t="s">
        <v>3804</v>
      </c>
      <c r="AD645" s="2278" t="s">
        <v>3688</v>
      </c>
      <c r="AE645" s="2259"/>
      <c r="AF645" s="2260"/>
      <c r="AG645" s="2278" t="s">
        <v>3696</v>
      </c>
      <c r="AH645" s="2259"/>
      <c r="AI645" s="2260"/>
      <c r="AJ645" s="1908" t="s">
        <v>4364</v>
      </c>
      <c r="AK645" s="2278" t="s">
        <v>3688</v>
      </c>
      <c r="AL645" s="2259"/>
      <c r="AM645" s="2259"/>
      <c r="AN645" s="2259"/>
      <c r="AO645" s="2260"/>
      <c r="AP645" s="1908" t="s">
        <v>3716</v>
      </c>
      <c r="BC645" s="214"/>
      <c r="BD645" s="214"/>
      <c r="BE645" s="214"/>
      <c r="BF645" s="214"/>
    </row>
    <row r="646" spans="1:58" ht="45" hidden="1" customHeight="1">
      <c r="A646" s="808"/>
      <c r="B646" s="2280"/>
      <c r="C646" s="2281"/>
      <c r="D646" s="2282"/>
      <c r="E646" s="1909" t="s">
        <v>3682</v>
      </c>
      <c r="F646" s="1909" t="s">
        <v>4458</v>
      </c>
      <c r="G646" s="1909"/>
      <c r="H646" s="2283" t="s">
        <v>1925</v>
      </c>
      <c r="I646" s="2281"/>
      <c r="J646" s="2282"/>
      <c r="K646" s="2283" t="s">
        <v>5197</v>
      </c>
      <c r="L646" s="2282"/>
      <c r="M646" s="1909" t="e">
        <f>VLOOKUP(K646,'Estimate Details'!$R:$BR,20,FALSE)</f>
        <v>#N/A</v>
      </c>
      <c r="N646" s="1909" t="e">
        <f>VLOOKUP(M646,#REF!,2,FALSE)</f>
        <v>#N/A</v>
      </c>
      <c r="O646" s="1909" t="s">
        <v>5190</v>
      </c>
      <c r="P646" s="2284" t="s">
        <v>4130</v>
      </c>
      <c r="Q646" s="2281"/>
      <c r="R646" s="2282"/>
      <c r="S646" s="1909" t="s">
        <v>3688</v>
      </c>
      <c r="T646" s="1909" t="s">
        <v>3689</v>
      </c>
      <c r="U646" s="1909" t="s">
        <v>3707</v>
      </c>
      <c r="V646" s="1909" t="s">
        <v>4363</v>
      </c>
      <c r="W646" s="1909" t="s">
        <v>3688</v>
      </c>
      <c r="X646" s="1909"/>
      <c r="Y646" s="1909"/>
      <c r="Z646" s="1909"/>
      <c r="AA646" s="1909" t="s">
        <v>3694</v>
      </c>
      <c r="AB646" s="1909" t="s">
        <v>3688</v>
      </c>
      <c r="AC646" s="1909" t="s">
        <v>3804</v>
      </c>
      <c r="AD646" s="2283" t="s">
        <v>3688</v>
      </c>
      <c r="AE646" s="2281"/>
      <c r="AF646" s="2282"/>
      <c r="AG646" s="2283" t="s">
        <v>3696</v>
      </c>
      <c r="AH646" s="2281"/>
      <c r="AI646" s="2282"/>
      <c r="AJ646" s="1909" t="s">
        <v>4364</v>
      </c>
      <c r="AK646" s="2283" t="s">
        <v>3688</v>
      </c>
      <c r="AL646" s="2281"/>
      <c r="AM646" s="2259"/>
      <c r="AN646" s="2281"/>
      <c r="AO646" s="2282"/>
      <c r="AP646" s="1909" t="s">
        <v>3716</v>
      </c>
      <c r="BC646" s="214"/>
      <c r="BD646" s="214"/>
      <c r="BE646" s="214"/>
      <c r="BF646" s="214"/>
    </row>
    <row r="647" spans="1:58" ht="45" hidden="1" customHeight="1">
      <c r="B647" s="2277"/>
      <c r="C647" s="2259"/>
      <c r="D647" s="2260"/>
      <c r="E647" s="1908" t="s">
        <v>3682</v>
      </c>
      <c r="F647" s="1908" t="s">
        <v>4458</v>
      </c>
      <c r="G647" s="1908"/>
      <c r="H647" s="2278" t="s">
        <v>1925</v>
      </c>
      <c r="I647" s="2259"/>
      <c r="J647" s="2260"/>
      <c r="K647" s="2278" t="s">
        <v>1930</v>
      </c>
      <c r="L647" s="2260"/>
      <c r="M647" s="1908">
        <f>VLOOKUP(K647,'Estimate Details'!$R:$BR,20,FALSE)</f>
        <v>14541.242399999999</v>
      </c>
      <c r="N647" s="1908" t="e">
        <f>VLOOKUP(M647,#REF!,2,FALSE)</f>
        <v>#REF!</v>
      </c>
      <c r="O647" s="1908" t="s">
        <v>4378</v>
      </c>
      <c r="P647" s="2278" t="s">
        <v>4180</v>
      </c>
      <c r="Q647" s="2259"/>
      <c r="R647" s="2260"/>
      <c r="S647" s="1908" t="s">
        <v>3688</v>
      </c>
      <c r="T647" s="1908" t="s">
        <v>3689</v>
      </c>
      <c r="U647" s="1908" t="s">
        <v>3707</v>
      </c>
      <c r="V647" s="1908" t="s">
        <v>4363</v>
      </c>
      <c r="W647" s="1908" t="s">
        <v>3688</v>
      </c>
      <c r="X647" s="1908" t="s">
        <v>5198</v>
      </c>
      <c r="Y647" s="1908"/>
      <c r="Z647" s="1908"/>
      <c r="AA647" s="1908" t="s">
        <v>3957</v>
      </c>
      <c r="AB647" s="1908" t="s">
        <v>5199</v>
      </c>
      <c r="AC647" s="1908" t="s">
        <v>3696</v>
      </c>
      <c r="AD647" s="2278" t="s">
        <v>3688</v>
      </c>
      <c r="AE647" s="2259"/>
      <c r="AF647" s="2260"/>
      <c r="AG647" s="2278" t="s">
        <v>3696</v>
      </c>
      <c r="AH647" s="2259"/>
      <c r="AI647" s="2260"/>
      <c r="AJ647" s="1908" t="s">
        <v>4364</v>
      </c>
      <c r="AK647" s="2278" t="s">
        <v>3688</v>
      </c>
      <c r="AL647" s="2259"/>
      <c r="AM647" s="2259"/>
      <c r="AN647" s="2259"/>
      <c r="AO647" s="2260"/>
      <c r="AP647" s="1908" t="s">
        <v>3699</v>
      </c>
      <c r="BC647" s="214"/>
      <c r="BD647" s="214"/>
      <c r="BE647" s="214"/>
      <c r="BF647" s="214"/>
    </row>
    <row r="648" spans="1:58" ht="45" hidden="1" customHeight="1">
      <c r="A648" s="808"/>
      <c r="B648" s="2280"/>
      <c r="C648" s="2281"/>
      <c r="D648" s="2282"/>
      <c r="E648" s="1909" t="s">
        <v>3682</v>
      </c>
      <c r="F648" s="1909" t="s">
        <v>4458</v>
      </c>
      <c r="G648" s="1909"/>
      <c r="H648" s="2283" t="s">
        <v>1925</v>
      </c>
      <c r="I648" s="2281"/>
      <c r="J648" s="2282"/>
      <c r="K648" s="2283" t="s">
        <v>1932</v>
      </c>
      <c r="L648" s="2282"/>
      <c r="M648" s="1909">
        <f>VLOOKUP(K648,'Estimate Details'!$R:$BR,20,FALSE)</f>
        <v>14541.242399999999</v>
      </c>
      <c r="N648" s="1909" t="e">
        <f>VLOOKUP(M648,#REF!,2,FALSE)</f>
        <v>#REF!</v>
      </c>
      <c r="O648" s="1909" t="s">
        <v>4378</v>
      </c>
      <c r="P648" s="2284" t="s">
        <v>4180</v>
      </c>
      <c r="Q648" s="2281"/>
      <c r="R648" s="2282"/>
      <c r="S648" s="1909" t="s">
        <v>3688</v>
      </c>
      <c r="T648" s="1909" t="s">
        <v>3689</v>
      </c>
      <c r="U648" s="1909" t="s">
        <v>3707</v>
      </c>
      <c r="V648" s="1909" t="s">
        <v>4363</v>
      </c>
      <c r="W648" s="1909" t="s">
        <v>3688</v>
      </c>
      <c r="X648" s="1909" t="s">
        <v>5198</v>
      </c>
      <c r="Y648" s="1909"/>
      <c r="Z648" s="1909"/>
      <c r="AA648" s="1909" t="s">
        <v>3957</v>
      </c>
      <c r="AB648" s="1909" t="s">
        <v>5199</v>
      </c>
      <c r="AC648" s="1909" t="s">
        <v>3696</v>
      </c>
      <c r="AD648" s="2283" t="s">
        <v>3688</v>
      </c>
      <c r="AE648" s="2281"/>
      <c r="AF648" s="2282"/>
      <c r="AG648" s="2283" t="s">
        <v>3696</v>
      </c>
      <c r="AH648" s="2281"/>
      <c r="AI648" s="2282"/>
      <c r="AJ648" s="1909" t="s">
        <v>4364</v>
      </c>
      <c r="AK648" s="2283" t="s">
        <v>3688</v>
      </c>
      <c r="AL648" s="2281"/>
      <c r="AM648" s="2259"/>
      <c r="AN648" s="2281"/>
      <c r="AO648" s="2282"/>
      <c r="AP648" s="1909" t="s">
        <v>3699</v>
      </c>
      <c r="BC648" s="214"/>
      <c r="BD648" s="214"/>
      <c r="BE648" s="214"/>
      <c r="BF648" s="214"/>
    </row>
    <row r="649" spans="1:58" ht="45" hidden="1" customHeight="1">
      <c r="B649" s="2277"/>
      <c r="C649" s="2259"/>
      <c r="D649" s="2260"/>
      <c r="E649" s="1908" t="s">
        <v>3682</v>
      </c>
      <c r="F649" s="1908" t="s">
        <v>4458</v>
      </c>
      <c r="G649" s="1908"/>
      <c r="H649" s="2278" t="s">
        <v>1925</v>
      </c>
      <c r="I649" s="2259"/>
      <c r="J649" s="2260"/>
      <c r="K649" s="2278" t="s">
        <v>1934</v>
      </c>
      <c r="L649" s="2260"/>
      <c r="M649" s="1908">
        <f>VLOOKUP(K649,'Estimate Details'!$R:$BR,20,FALSE)</f>
        <v>14541.242399999999</v>
      </c>
      <c r="N649" s="1908" t="e">
        <f>VLOOKUP(M649,#REF!,2,FALSE)</f>
        <v>#REF!</v>
      </c>
      <c r="O649" s="1908" t="s">
        <v>4378</v>
      </c>
      <c r="P649" s="2278" t="s">
        <v>4180</v>
      </c>
      <c r="Q649" s="2259"/>
      <c r="R649" s="2260"/>
      <c r="S649" s="1908" t="s">
        <v>3688</v>
      </c>
      <c r="T649" s="1908" t="s">
        <v>3689</v>
      </c>
      <c r="U649" s="1908" t="s">
        <v>3707</v>
      </c>
      <c r="V649" s="1908" t="s">
        <v>4363</v>
      </c>
      <c r="W649" s="1908" t="s">
        <v>3688</v>
      </c>
      <c r="X649" s="1908" t="s">
        <v>5198</v>
      </c>
      <c r="Y649" s="1908"/>
      <c r="Z649" s="1908"/>
      <c r="AA649" s="1908" t="s">
        <v>3957</v>
      </c>
      <c r="AB649" s="1908" t="s">
        <v>5199</v>
      </c>
      <c r="AC649" s="1908" t="s">
        <v>3696</v>
      </c>
      <c r="AD649" s="2278" t="s">
        <v>3688</v>
      </c>
      <c r="AE649" s="2259"/>
      <c r="AF649" s="2260"/>
      <c r="AG649" s="2278" t="s">
        <v>3696</v>
      </c>
      <c r="AH649" s="2259"/>
      <c r="AI649" s="2260"/>
      <c r="AJ649" s="1908" t="s">
        <v>4364</v>
      </c>
      <c r="AK649" s="2278" t="s">
        <v>3688</v>
      </c>
      <c r="AL649" s="2259"/>
      <c r="AM649" s="2259"/>
      <c r="AN649" s="2259"/>
      <c r="AO649" s="2260"/>
      <c r="AP649" s="1908" t="s">
        <v>3716</v>
      </c>
      <c r="BC649" s="214"/>
      <c r="BD649" s="214"/>
      <c r="BE649" s="214"/>
      <c r="BF649" s="214"/>
    </row>
    <row r="650" spans="1:58" ht="45" hidden="1" customHeight="1">
      <c r="A650" s="808"/>
      <c r="B650" s="2280"/>
      <c r="C650" s="2281"/>
      <c r="D650" s="2282"/>
      <c r="E650" s="1909" t="s">
        <v>3682</v>
      </c>
      <c r="F650" s="1909" t="s">
        <v>4458</v>
      </c>
      <c r="G650" s="1909"/>
      <c r="H650" s="2283" t="s">
        <v>1925</v>
      </c>
      <c r="I650" s="2281"/>
      <c r="J650" s="2282"/>
      <c r="K650" s="2283" t="s">
        <v>1936</v>
      </c>
      <c r="L650" s="2282"/>
      <c r="M650" s="1909">
        <f>VLOOKUP(K650,'Estimate Details'!$R:$BR,20,FALSE)</f>
        <v>14541.242399999999</v>
      </c>
      <c r="N650" s="1909" t="e">
        <f>VLOOKUP(M650,#REF!,2,FALSE)</f>
        <v>#REF!</v>
      </c>
      <c r="O650" s="1909" t="s">
        <v>4378</v>
      </c>
      <c r="P650" s="2284" t="s">
        <v>4180</v>
      </c>
      <c r="Q650" s="2281"/>
      <c r="R650" s="2282"/>
      <c r="S650" s="1909" t="s">
        <v>3688</v>
      </c>
      <c r="T650" s="1909" t="s">
        <v>3689</v>
      </c>
      <c r="U650" s="1909" t="s">
        <v>3707</v>
      </c>
      <c r="V650" s="1909" t="s">
        <v>4363</v>
      </c>
      <c r="W650" s="1909" t="s">
        <v>3688</v>
      </c>
      <c r="X650" s="1909" t="s">
        <v>5198</v>
      </c>
      <c r="Y650" s="1909"/>
      <c r="Z650" s="1909"/>
      <c r="AA650" s="1909" t="s">
        <v>3957</v>
      </c>
      <c r="AB650" s="1909" t="s">
        <v>5199</v>
      </c>
      <c r="AC650" s="1909" t="s">
        <v>3696</v>
      </c>
      <c r="AD650" s="2283" t="s">
        <v>3688</v>
      </c>
      <c r="AE650" s="2281"/>
      <c r="AF650" s="2282"/>
      <c r="AG650" s="2283" t="s">
        <v>3696</v>
      </c>
      <c r="AH650" s="2281"/>
      <c r="AI650" s="2282"/>
      <c r="AJ650" s="1909" t="s">
        <v>4364</v>
      </c>
      <c r="AK650" s="2283" t="s">
        <v>3688</v>
      </c>
      <c r="AL650" s="2281"/>
      <c r="AM650" s="2259"/>
      <c r="AN650" s="2281"/>
      <c r="AO650" s="2282"/>
      <c r="AP650" s="1909" t="s">
        <v>3716</v>
      </c>
      <c r="BC650" s="214"/>
      <c r="BD650" s="214"/>
      <c r="BE650" s="214"/>
      <c r="BF650" s="214"/>
    </row>
    <row r="651" spans="1:58" ht="45" hidden="1" customHeight="1">
      <c r="B651" s="2277"/>
      <c r="C651" s="2259"/>
      <c r="D651" s="2260"/>
      <c r="E651" s="1908" t="s">
        <v>3682</v>
      </c>
      <c r="F651" s="1908" t="s">
        <v>4458</v>
      </c>
      <c r="G651" s="1908"/>
      <c r="H651" s="2278" t="s">
        <v>5200</v>
      </c>
      <c r="I651" s="2259"/>
      <c r="J651" s="2260"/>
      <c r="K651" s="2278" t="s">
        <v>5201</v>
      </c>
      <c r="L651" s="2260"/>
      <c r="M651" s="1908" t="e">
        <f>VLOOKUP(K651,'Estimate Details'!$R:$BR,20,FALSE)</f>
        <v>#N/A</v>
      </c>
      <c r="N651" s="1908" t="e">
        <f>VLOOKUP(M651,#REF!,2,FALSE)</f>
        <v>#N/A</v>
      </c>
      <c r="O651" s="1908" t="s">
        <v>3974</v>
      </c>
      <c r="P651" s="2278" t="s">
        <v>3974</v>
      </c>
      <c r="Q651" s="2259"/>
      <c r="R651" s="2260"/>
      <c r="S651" s="1908" t="s">
        <v>3688</v>
      </c>
      <c r="T651" s="1908" t="s">
        <v>3689</v>
      </c>
      <c r="U651" s="1908" t="s">
        <v>3690</v>
      </c>
      <c r="V651" s="1908" t="s">
        <v>3975</v>
      </c>
      <c r="W651" s="1908" t="s">
        <v>3688</v>
      </c>
      <c r="X651" s="1908"/>
      <c r="Y651" s="1908"/>
      <c r="Z651" s="1908"/>
      <c r="AA651" s="1908" t="s">
        <v>3957</v>
      </c>
      <c r="AB651" s="1908" t="s">
        <v>1</v>
      </c>
      <c r="AC651" s="1908" t="s">
        <v>4397</v>
      </c>
      <c r="AD651" s="2278" t="s">
        <v>3688</v>
      </c>
      <c r="AE651" s="2259"/>
      <c r="AF651" s="2260"/>
      <c r="AG651" s="2278" t="s">
        <v>3696</v>
      </c>
      <c r="AH651" s="2259"/>
      <c r="AI651" s="2260"/>
      <c r="AJ651" s="1908" t="s">
        <v>3982</v>
      </c>
      <c r="AK651" s="2278" t="s">
        <v>3688</v>
      </c>
      <c r="AL651" s="2259"/>
      <c r="AM651" s="2259"/>
      <c r="AN651" s="2259"/>
      <c r="AO651" s="2260"/>
      <c r="AP651" s="1908" t="s">
        <v>3699</v>
      </c>
      <c r="BC651" s="214"/>
      <c r="BD651" s="214"/>
      <c r="BE651" s="214"/>
      <c r="BF651" s="214"/>
    </row>
    <row r="652" spans="1:58" ht="45" hidden="1" customHeight="1">
      <c r="A652" s="808"/>
      <c r="B652" s="2280"/>
      <c r="C652" s="2281"/>
      <c r="D652" s="2282"/>
      <c r="E652" s="1909" t="s">
        <v>3682</v>
      </c>
      <c r="F652" s="1909" t="s">
        <v>4458</v>
      </c>
      <c r="G652" s="1909"/>
      <c r="H652" s="2283" t="s">
        <v>5200</v>
      </c>
      <c r="I652" s="2281"/>
      <c r="J652" s="2282"/>
      <c r="K652" s="2283" t="s">
        <v>5202</v>
      </c>
      <c r="L652" s="2282"/>
      <c r="M652" s="1909" t="e">
        <f>VLOOKUP(K652,'Estimate Details'!$R:$BR,20,FALSE)</f>
        <v>#N/A</v>
      </c>
      <c r="N652" s="1909" t="e">
        <f>VLOOKUP(M652,#REF!,2,FALSE)</f>
        <v>#N/A</v>
      </c>
      <c r="O652" s="1909" t="s">
        <v>3974</v>
      </c>
      <c r="P652" s="2284" t="s">
        <v>3974</v>
      </c>
      <c r="Q652" s="2281"/>
      <c r="R652" s="2282"/>
      <c r="S652" s="1909" t="s">
        <v>3688</v>
      </c>
      <c r="T652" s="1909" t="s">
        <v>3689</v>
      </c>
      <c r="U652" s="1909" t="s">
        <v>3690</v>
      </c>
      <c r="V652" s="1909" t="s">
        <v>3975</v>
      </c>
      <c r="W652" s="1909" t="s">
        <v>3688</v>
      </c>
      <c r="X652" s="1909"/>
      <c r="Y652" s="1909"/>
      <c r="Z652" s="1909"/>
      <c r="AA652" s="1909" t="s">
        <v>3957</v>
      </c>
      <c r="AB652" s="1909" t="s">
        <v>1</v>
      </c>
      <c r="AC652" s="1909" t="s">
        <v>4397</v>
      </c>
      <c r="AD652" s="2283" t="s">
        <v>3688</v>
      </c>
      <c r="AE652" s="2281"/>
      <c r="AF652" s="2282"/>
      <c r="AG652" s="2283" t="s">
        <v>3696</v>
      </c>
      <c r="AH652" s="2281"/>
      <c r="AI652" s="2282"/>
      <c r="AJ652" s="1909" t="s">
        <v>3982</v>
      </c>
      <c r="AK652" s="2283" t="s">
        <v>3688</v>
      </c>
      <c r="AL652" s="2281"/>
      <c r="AM652" s="2259"/>
      <c r="AN652" s="2281"/>
      <c r="AO652" s="2282"/>
      <c r="AP652" s="1909" t="s">
        <v>3699</v>
      </c>
      <c r="BC652" s="214"/>
      <c r="BD652" s="214"/>
      <c r="BE652" s="214"/>
      <c r="BF652" s="214"/>
    </row>
    <row r="653" spans="1:58" ht="45" hidden="1" customHeight="1">
      <c r="B653" s="2277"/>
      <c r="C653" s="2259"/>
      <c r="D653" s="2260"/>
      <c r="E653" s="1908" t="s">
        <v>3682</v>
      </c>
      <c r="F653" s="1908" t="s">
        <v>4458</v>
      </c>
      <c r="G653" s="1908"/>
      <c r="H653" s="2278" t="s">
        <v>5200</v>
      </c>
      <c r="I653" s="2259"/>
      <c r="J653" s="2260"/>
      <c r="K653" s="2278" t="s">
        <v>5203</v>
      </c>
      <c r="L653" s="2260"/>
      <c r="M653" s="1908" t="e">
        <f>VLOOKUP(K653,'Estimate Details'!$R:$BR,20,FALSE)</f>
        <v>#N/A</v>
      </c>
      <c r="N653" s="1908" t="e">
        <f>VLOOKUP(M653,#REF!,2,FALSE)</f>
        <v>#N/A</v>
      </c>
      <c r="O653" s="1908" t="s">
        <v>3974</v>
      </c>
      <c r="P653" s="2278" t="s">
        <v>3974</v>
      </c>
      <c r="Q653" s="2259"/>
      <c r="R653" s="2260"/>
      <c r="S653" s="1908" t="s">
        <v>3688</v>
      </c>
      <c r="T653" s="1908" t="s">
        <v>3689</v>
      </c>
      <c r="U653" s="1908" t="s">
        <v>3690</v>
      </c>
      <c r="V653" s="1908" t="s">
        <v>3975</v>
      </c>
      <c r="W653" s="1908" t="s">
        <v>3688</v>
      </c>
      <c r="X653" s="1908"/>
      <c r="Y653" s="1908"/>
      <c r="Z653" s="1908"/>
      <c r="AA653" s="1908" t="s">
        <v>3957</v>
      </c>
      <c r="AB653" s="1908" t="s">
        <v>1</v>
      </c>
      <c r="AC653" s="1908" t="s">
        <v>4397</v>
      </c>
      <c r="AD653" s="2278" t="s">
        <v>3688</v>
      </c>
      <c r="AE653" s="2259"/>
      <c r="AF653" s="2260"/>
      <c r="AG653" s="2278" t="s">
        <v>3696</v>
      </c>
      <c r="AH653" s="2259"/>
      <c r="AI653" s="2260"/>
      <c r="AJ653" s="1908" t="s">
        <v>3982</v>
      </c>
      <c r="AK653" s="2278" t="s">
        <v>3688</v>
      </c>
      <c r="AL653" s="2259"/>
      <c r="AM653" s="2259"/>
      <c r="AN653" s="2259"/>
      <c r="AO653" s="2260"/>
      <c r="AP653" s="1908" t="s">
        <v>3699</v>
      </c>
      <c r="BC653" s="214"/>
      <c r="BD653" s="214"/>
      <c r="BE653" s="214"/>
      <c r="BF653" s="214"/>
    </row>
    <row r="654" spans="1:58" ht="45" hidden="1" customHeight="1">
      <c r="A654" s="808"/>
      <c r="B654" s="2280"/>
      <c r="C654" s="2281"/>
      <c r="D654" s="2282"/>
      <c r="E654" s="1909" t="s">
        <v>3682</v>
      </c>
      <c r="F654" s="1909" t="s">
        <v>4458</v>
      </c>
      <c r="G654" s="1909"/>
      <c r="H654" s="2283" t="s">
        <v>5200</v>
      </c>
      <c r="I654" s="2281"/>
      <c r="J654" s="2282"/>
      <c r="K654" s="2283" t="s">
        <v>5204</v>
      </c>
      <c r="L654" s="2282"/>
      <c r="M654" s="1909" t="e">
        <f>VLOOKUP(K654,'Estimate Details'!$R:$BR,20,FALSE)</f>
        <v>#N/A</v>
      </c>
      <c r="N654" s="1909" t="e">
        <f>VLOOKUP(M654,#REF!,2,FALSE)</f>
        <v>#N/A</v>
      </c>
      <c r="O654" s="1909" t="s">
        <v>3974</v>
      </c>
      <c r="P654" s="2284" t="s">
        <v>3974</v>
      </c>
      <c r="Q654" s="2281"/>
      <c r="R654" s="2282"/>
      <c r="S654" s="1909" t="s">
        <v>3688</v>
      </c>
      <c r="T654" s="1909" t="s">
        <v>3689</v>
      </c>
      <c r="U654" s="1909" t="s">
        <v>3690</v>
      </c>
      <c r="V654" s="1909" t="s">
        <v>3975</v>
      </c>
      <c r="W654" s="1909" t="s">
        <v>3688</v>
      </c>
      <c r="X654" s="1909"/>
      <c r="Y654" s="1909"/>
      <c r="Z654" s="1909"/>
      <c r="AA654" s="1909" t="s">
        <v>3957</v>
      </c>
      <c r="AB654" s="1909" t="s">
        <v>1</v>
      </c>
      <c r="AC654" s="1909" t="s">
        <v>4397</v>
      </c>
      <c r="AD654" s="2283" t="s">
        <v>3688</v>
      </c>
      <c r="AE654" s="2281"/>
      <c r="AF654" s="2282"/>
      <c r="AG654" s="2283" t="s">
        <v>3696</v>
      </c>
      <c r="AH654" s="2281"/>
      <c r="AI654" s="2282"/>
      <c r="AJ654" s="1909" t="s">
        <v>3982</v>
      </c>
      <c r="AK654" s="2283" t="s">
        <v>3688</v>
      </c>
      <c r="AL654" s="2281"/>
      <c r="AM654" s="2259"/>
      <c r="AN654" s="2281"/>
      <c r="AO654" s="2282"/>
      <c r="AP654" s="1909" t="s">
        <v>3699</v>
      </c>
      <c r="BC654" s="214"/>
      <c r="BD654" s="214"/>
      <c r="BE654" s="214"/>
      <c r="BF654" s="214"/>
    </row>
    <row r="655" spans="1:58" ht="45" hidden="1" customHeight="1">
      <c r="B655" s="2277"/>
      <c r="C655" s="2259"/>
      <c r="D655" s="2260"/>
      <c r="E655" s="1908" t="s">
        <v>3682</v>
      </c>
      <c r="F655" s="1908" t="s">
        <v>4458</v>
      </c>
      <c r="G655" s="1908"/>
      <c r="H655" s="2278" t="s">
        <v>5200</v>
      </c>
      <c r="I655" s="2259"/>
      <c r="J655" s="2260"/>
      <c r="K655" s="2278" t="s">
        <v>5205</v>
      </c>
      <c r="L655" s="2260"/>
      <c r="M655" s="1908" t="e">
        <f>VLOOKUP(K655,'Estimate Details'!$R:$BR,20,FALSE)</f>
        <v>#N/A</v>
      </c>
      <c r="N655" s="1908" t="e">
        <f>VLOOKUP(M655,#REF!,2,FALSE)</f>
        <v>#N/A</v>
      </c>
      <c r="O655" s="1908" t="s">
        <v>3974</v>
      </c>
      <c r="P655" s="2278" t="s">
        <v>3974</v>
      </c>
      <c r="Q655" s="2259"/>
      <c r="R655" s="2260"/>
      <c r="S655" s="1908" t="s">
        <v>3688</v>
      </c>
      <c r="T655" s="1908" t="s">
        <v>3689</v>
      </c>
      <c r="U655" s="1908" t="s">
        <v>3690</v>
      </c>
      <c r="V655" s="1908" t="s">
        <v>3975</v>
      </c>
      <c r="W655" s="1908" t="s">
        <v>3688</v>
      </c>
      <c r="X655" s="1908"/>
      <c r="Y655" s="1908"/>
      <c r="Z655" s="1908"/>
      <c r="AA655" s="1908" t="s">
        <v>3957</v>
      </c>
      <c r="AB655" s="1908" t="s">
        <v>1</v>
      </c>
      <c r="AC655" s="1908" t="s">
        <v>4397</v>
      </c>
      <c r="AD655" s="2278" t="s">
        <v>3688</v>
      </c>
      <c r="AE655" s="2259"/>
      <c r="AF655" s="2260"/>
      <c r="AG655" s="2278" t="s">
        <v>3696</v>
      </c>
      <c r="AH655" s="2259"/>
      <c r="AI655" s="2260"/>
      <c r="AJ655" s="1908" t="s">
        <v>3982</v>
      </c>
      <c r="AK655" s="2278" t="s">
        <v>3688</v>
      </c>
      <c r="AL655" s="2259"/>
      <c r="AM655" s="2259"/>
      <c r="AN655" s="2259"/>
      <c r="AO655" s="2260"/>
      <c r="AP655" s="1908" t="s">
        <v>3716</v>
      </c>
      <c r="BC655" s="214"/>
      <c r="BD655" s="214"/>
      <c r="BE655" s="214"/>
      <c r="BF655" s="214"/>
    </row>
    <row r="656" spans="1:58" ht="45" hidden="1" customHeight="1">
      <c r="A656" s="808"/>
      <c r="B656" s="2280"/>
      <c r="C656" s="2281"/>
      <c r="D656" s="2282"/>
      <c r="E656" s="1909" t="s">
        <v>3682</v>
      </c>
      <c r="F656" s="1909" t="s">
        <v>4458</v>
      </c>
      <c r="G656" s="1909"/>
      <c r="H656" s="2283" t="s">
        <v>5200</v>
      </c>
      <c r="I656" s="2281"/>
      <c r="J656" s="2282"/>
      <c r="K656" s="2283" t="s">
        <v>5206</v>
      </c>
      <c r="L656" s="2282"/>
      <c r="M656" s="1909" t="e">
        <f>VLOOKUP(K656,'Estimate Details'!$R:$BR,20,FALSE)</f>
        <v>#N/A</v>
      </c>
      <c r="N656" s="1909" t="e">
        <f>VLOOKUP(M656,#REF!,2,FALSE)</f>
        <v>#N/A</v>
      </c>
      <c r="O656" s="1909" t="s">
        <v>3974</v>
      </c>
      <c r="P656" s="2284" t="s">
        <v>3974</v>
      </c>
      <c r="Q656" s="2281"/>
      <c r="R656" s="2282"/>
      <c r="S656" s="1909" t="s">
        <v>3688</v>
      </c>
      <c r="T656" s="1909" t="s">
        <v>3689</v>
      </c>
      <c r="U656" s="1909" t="s">
        <v>3690</v>
      </c>
      <c r="V656" s="1909" t="s">
        <v>3975</v>
      </c>
      <c r="W656" s="1909" t="s">
        <v>3688</v>
      </c>
      <c r="X656" s="1909"/>
      <c r="Y656" s="1909"/>
      <c r="Z656" s="1909"/>
      <c r="AA656" s="1909" t="s">
        <v>3957</v>
      </c>
      <c r="AB656" s="1909" t="s">
        <v>1</v>
      </c>
      <c r="AC656" s="1909" t="s">
        <v>4397</v>
      </c>
      <c r="AD656" s="2283" t="s">
        <v>3688</v>
      </c>
      <c r="AE656" s="2281"/>
      <c r="AF656" s="2282"/>
      <c r="AG656" s="2283" t="s">
        <v>3696</v>
      </c>
      <c r="AH656" s="2281"/>
      <c r="AI656" s="2282"/>
      <c r="AJ656" s="1909" t="s">
        <v>3982</v>
      </c>
      <c r="AK656" s="2283" t="s">
        <v>3688</v>
      </c>
      <c r="AL656" s="2281"/>
      <c r="AM656" s="2259"/>
      <c r="AN656" s="2281"/>
      <c r="AO656" s="2282"/>
      <c r="AP656" s="1909" t="s">
        <v>3716</v>
      </c>
      <c r="BC656" s="214"/>
      <c r="BD656" s="214"/>
      <c r="BE656" s="214"/>
      <c r="BF656" s="214"/>
    </row>
    <row r="657" spans="1:58" ht="45" hidden="1" customHeight="1">
      <c r="B657" s="2277"/>
      <c r="C657" s="2259"/>
      <c r="D657" s="2260"/>
      <c r="E657" s="1908" t="s">
        <v>3682</v>
      </c>
      <c r="F657" s="1908" t="s">
        <v>4458</v>
      </c>
      <c r="G657" s="1908"/>
      <c r="H657" s="2278" t="s">
        <v>5207</v>
      </c>
      <c r="I657" s="2259"/>
      <c r="J657" s="2260"/>
      <c r="K657" s="2278" t="s">
        <v>5208</v>
      </c>
      <c r="L657" s="2260"/>
      <c r="M657" s="1908" t="e">
        <f>VLOOKUP(K657,'Estimate Details'!$R:$BR,20,FALSE)</f>
        <v>#N/A</v>
      </c>
      <c r="N657" s="1908" t="e">
        <f>VLOOKUP(M657,#REF!,2,FALSE)</f>
        <v>#N/A</v>
      </c>
      <c r="O657" s="1908" t="s">
        <v>4405</v>
      </c>
      <c r="P657" s="2278" t="s">
        <v>4130</v>
      </c>
      <c r="Q657" s="2259"/>
      <c r="R657" s="2260"/>
      <c r="S657" s="1908" t="s">
        <v>3688</v>
      </c>
      <c r="T657" s="1908" t="s">
        <v>3689</v>
      </c>
      <c r="U657" s="1908" t="s">
        <v>3707</v>
      </c>
      <c r="V657" s="1908" t="s">
        <v>4147</v>
      </c>
      <c r="W657" s="1908" t="s">
        <v>3688</v>
      </c>
      <c r="X657" s="1908"/>
      <c r="Y657" s="1908"/>
      <c r="Z657" s="1908"/>
      <c r="AA657" s="1908" t="s">
        <v>3694</v>
      </c>
      <c r="AB657" s="1908" t="s">
        <v>3688</v>
      </c>
      <c r="AC657" s="1908" t="s">
        <v>5209</v>
      </c>
      <c r="AD657" s="2278" t="s">
        <v>3688</v>
      </c>
      <c r="AE657" s="2259"/>
      <c r="AF657" s="2260"/>
      <c r="AG657" s="2278" t="s">
        <v>5210</v>
      </c>
      <c r="AH657" s="2259"/>
      <c r="AI657" s="2260"/>
      <c r="AJ657" s="1908" t="s">
        <v>4355</v>
      </c>
      <c r="AK657" s="2278" t="s">
        <v>3688</v>
      </c>
      <c r="AL657" s="2259"/>
      <c r="AM657" s="2259"/>
      <c r="AN657" s="2259"/>
      <c r="AO657" s="2260"/>
      <c r="AP657" s="1908" t="s">
        <v>3699</v>
      </c>
      <c r="BC657" s="214"/>
      <c r="BD657" s="214"/>
      <c r="BE657" s="214"/>
      <c r="BF657" s="214"/>
    </row>
    <row r="658" spans="1:58" ht="45" hidden="1" customHeight="1">
      <c r="A658" s="808"/>
      <c r="B658" s="2280"/>
      <c r="C658" s="2281"/>
      <c r="D658" s="2282"/>
      <c r="E658" s="1909" t="s">
        <v>3682</v>
      </c>
      <c r="F658" s="1911" t="s">
        <v>3688</v>
      </c>
      <c r="G658" s="1911"/>
      <c r="H658" s="2286" t="s">
        <v>5207</v>
      </c>
      <c r="I658" s="2281"/>
      <c r="J658" s="2282"/>
      <c r="K658" s="2286" t="s">
        <v>5211</v>
      </c>
      <c r="L658" s="2282"/>
      <c r="M658" s="1911" t="e">
        <f>VLOOKUP(K658,'Estimate Details'!$R:$BR,20,FALSE)</f>
        <v>#N/A</v>
      </c>
      <c r="N658" s="1911" t="e">
        <f>VLOOKUP(M658,#REF!,2,FALSE)</f>
        <v>#N/A</v>
      </c>
      <c r="O658" s="1911" t="s">
        <v>5212</v>
      </c>
      <c r="P658" s="2287" t="s">
        <v>3688</v>
      </c>
      <c r="Q658" s="2281"/>
      <c r="R658" s="2282"/>
      <c r="S658" s="1911" t="s">
        <v>5213</v>
      </c>
      <c r="T658" s="1911" t="s">
        <v>3689</v>
      </c>
      <c r="U658" s="1911" t="s">
        <v>3688</v>
      </c>
      <c r="V658" s="1911" t="s">
        <v>3688</v>
      </c>
      <c r="W658" s="1911" t="s">
        <v>3688</v>
      </c>
      <c r="X658" s="1911"/>
      <c r="Y658" s="1911"/>
      <c r="Z658" s="1911"/>
      <c r="AA658" s="1911" t="s">
        <v>3694</v>
      </c>
      <c r="AB658" s="1911" t="s">
        <v>3688</v>
      </c>
      <c r="AC658" s="1911" t="s">
        <v>5214</v>
      </c>
      <c r="AD658" s="2286" t="s">
        <v>3688</v>
      </c>
      <c r="AE658" s="2281"/>
      <c r="AF658" s="2282"/>
      <c r="AG658" s="2286" t="s">
        <v>3696</v>
      </c>
      <c r="AH658" s="2281"/>
      <c r="AI658" s="2282"/>
      <c r="AJ658" s="1911" t="s">
        <v>5215</v>
      </c>
      <c r="AK658" s="2286" t="s">
        <v>3688</v>
      </c>
      <c r="AL658" s="2281"/>
      <c r="AM658" s="2259"/>
      <c r="AN658" s="2281"/>
      <c r="AO658" s="2282"/>
      <c r="AP658" s="1911" t="s">
        <v>3688</v>
      </c>
      <c r="BC658" s="214"/>
      <c r="BD658" s="214"/>
      <c r="BE658" s="214"/>
      <c r="BF658" s="214"/>
    </row>
    <row r="659" spans="1:58" ht="45" hidden="1" customHeight="1">
      <c r="B659" s="2277"/>
      <c r="C659" s="2259"/>
      <c r="D659" s="2260"/>
      <c r="E659" s="1908" t="s">
        <v>3682</v>
      </c>
      <c r="F659" s="1908" t="s">
        <v>4458</v>
      </c>
      <c r="G659" s="1908"/>
      <c r="H659" s="2278" t="s">
        <v>5207</v>
      </c>
      <c r="I659" s="2259"/>
      <c r="J659" s="2260"/>
      <c r="K659" s="2278" t="s">
        <v>5216</v>
      </c>
      <c r="L659" s="2260"/>
      <c r="M659" s="1908" t="e">
        <f>VLOOKUP(K659,'Estimate Details'!$R:$BR,20,FALSE)</f>
        <v>#N/A</v>
      </c>
      <c r="N659" s="1908" t="e">
        <f>VLOOKUP(M659,#REF!,2,FALSE)</f>
        <v>#N/A</v>
      </c>
      <c r="O659" s="1908" t="s">
        <v>4405</v>
      </c>
      <c r="P659" s="2278" t="s">
        <v>4130</v>
      </c>
      <c r="Q659" s="2259"/>
      <c r="R659" s="2260"/>
      <c r="S659" s="1908" t="s">
        <v>3688</v>
      </c>
      <c r="T659" s="1908" t="s">
        <v>3689</v>
      </c>
      <c r="U659" s="1908" t="s">
        <v>3707</v>
      </c>
      <c r="V659" s="1908" t="s">
        <v>4147</v>
      </c>
      <c r="W659" s="1908" t="s">
        <v>3688</v>
      </c>
      <c r="X659" s="1908"/>
      <c r="Y659" s="1908"/>
      <c r="Z659" s="1908"/>
      <c r="AA659" s="1908" t="s">
        <v>3694</v>
      </c>
      <c r="AB659" s="1908" t="s">
        <v>3688</v>
      </c>
      <c r="AC659" s="1908" t="s">
        <v>5209</v>
      </c>
      <c r="AD659" s="2278" t="s">
        <v>3688</v>
      </c>
      <c r="AE659" s="2259"/>
      <c r="AF659" s="2260"/>
      <c r="AG659" s="2278" t="s">
        <v>5210</v>
      </c>
      <c r="AH659" s="2259"/>
      <c r="AI659" s="2260"/>
      <c r="AJ659" s="1908" t="s">
        <v>4355</v>
      </c>
      <c r="AK659" s="2278" t="s">
        <v>3688</v>
      </c>
      <c r="AL659" s="2259"/>
      <c r="AM659" s="2259"/>
      <c r="AN659" s="2259"/>
      <c r="AO659" s="2260"/>
      <c r="AP659" s="1908" t="s">
        <v>3699</v>
      </c>
      <c r="BC659" s="214"/>
      <c r="BD659" s="214"/>
      <c r="BE659" s="214"/>
      <c r="BF659" s="214"/>
    </row>
    <row r="660" spans="1:58" ht="45" hidden="1" customHeight="1">
      <c r="A660" s="808"/>
      <c r="B660" s="2280"/>
      <c r="C660" s="2281"/>
      <c r="D660" s="2282"/>
      <c r="E660" s="1909" t="s">
        <v>3682</v>
      </c>
      <c r="F660" s="1911" t="s">
        <v>3688</v>
      </c>
      <c r="G660" s="1911"/>
      <c r="H660" s="2286" t="s">
        <v>5207</v>
      </c>
      <c r="I660" s="2281"/>
      <c r="J660" s="2282"/>
      <c r="K660" s="2286" t="s">
        <v>5217</v>
      </c>
      <c r="L660" s="2282"/>
      <c r="M660" s="1911" t="e">
        <f>VLOOKUP(K660,'Estimate Details'!$R:$BR,20,FALSE)</f>
        <v>#N/A</v>
      </c>
      <c r="N660" s="1911" t="e">
        <f>VLOOKUP(M660,#REF!,2,FALSE)</f>
        <v>#N/A</v>
      </c>
      <c r="O660" s="1911" t="s">
        <v>5212</v>
      </c>
      <c r="P660" s="2287" t="s">
        <v>3688</v>
      </c>
      <c r="Q660" s="2281"/>
      <c r="R660" s="2282"/>
      <c r="S660" s="1911" t="s">
        <v>5218</v>
      </c>
      <c r="T660" s="1911" t="s">
        <v>3689</v>
      </c>
      <c r="U660" s="1911" t="s">
        <v>3688</v>
      </c>
      <c r="V660" s="1911" t="s">
        <v>3688</v>
      </c>
      <c r="W660" s="1911" t="s">
        <v>3688</v>
      </c>
      <c r="X660" s="1911"/>
      <c r="Y660" s="1911"/>
      <c r="Z660" s="1911"/>
      <c r="AA660" s="1911" t="s">
        <v>3694</v>
      </c>
      <c r="AB660" s="1911" t="s">
        <v>3688</v>
      </c>
      <c r="AC660" s="1911" t="s">
        <v>5214</v>
      </c>
      <c r="AD660" s="2286" t="s">
        <v>3688</v>
      </c>
      <c r="AE660" s="2281"/>
      <c r="AF660" s="2282"/>
      <c r="AG660" s="2286" t="s">
        <v>3696</v>
      </c>
      <c r="AH660" s="2281"/>
      <c r="AI660" s="2282"/>
      <c r="AJ660" s="1911" t="s">
        <v>5215</v>
      </c>
      <c r="AK660" s="2286" t="s">
        <v>3688</v>
      </c>
      <c r="AL660" s="2281"/>
      <c r="AM660" s="2259"/>
      <c r="AN660" s="2281"/>
      <c r="AO660" s="2282"/>
      <c r="AP660" s="1911" t="s">
        <v>3688</v>
      </c>
      <c r="BC660" s="214"/>
      <c r="BD660" s="214"/>
      <c r="BE660" s="214"/>
      <c r="BF660" s="214"/>
    </row>
    <row r="661" spans="1:58" ht="45" hidden="1" customHeight="1">
      <c r="B661" s="2277"/>
      <c r="C661" s="2259"/>
      <c r="D661" s="2260"/>
      <c r="E661" s="1908" t="s">
        <v>3682</v>
      </c>
      <c r="F661" s="1908" t="s">
        <v>4458</v>
      </c>
      <c r="G661" s="1908"/>
      <c r="H661" s="2278" t="s">
        <v>5207</v>
      </c>
      <c r="I661" s="2259"/>
      <c r="J661" s="2260"/>
      <c r="K661" s="2278" t="s">
        <v>5219</v>
      </c>
      <c r="L661" s="2260"/>
      <c r="M661" s="1908" t="e">
        <f>VLOOKUP(K661,'Estimate Details'!$R:$BR,20,FALSE)</f>
        <v>#N/A</v>
      </c>
      <c r="N661" s="1908" t="e">
        <f>VLOOKUP(M661,#REF!,2,FALSE)</f>
        <v>#N/A</v>
      </c>
      <c r="O661" s="1908" t="s">
        <v>4408</v>
      </c>
      <c r="P661" s="2278" t="s">
        <v>4130</v>
      </c>
      <c r="Q661" s="2259"/>
      <c r="R661" s="2260"/>
      <c r="S661" s="1908" t="s">
        <v>3688</v>
      </c>
      <c r="T661" s="1908" t="s">
        <v>3689</v>
      </c>
      <c r="U661" s="1908" t="s">
        <v>3707</v>
      </c>
      <c r="V661" s="1908" t="s">
        <v>4353</v>
      </c>
      <c r="W661" s="1908" t="s">
        <v>3688</v>
      </c>
      <c r="X661" s="1908"/>
      <c r="Y661" s="1908"/>
      <c r="Z661" s="1908"/>
      <c r="AA661" s="1908" t="s">
        <v>3694</v>
      </c>
      <c r="AB661" s="1908" t="s">
        <v>3688</v>
      </c>
      <c r="AC661" s="1908" t="s">
        <v>3804</v>
      </c>
      <c r="AD661" s="2278" t="s">
        <v>3688</v>
      </c>
      <c r="AE661" s="2259"/>
      <c r="AF661" s="2260"/>
      <c r="AG661" s="2278" t="s">
        <v>5210</v>
      </c>
      <c r="AH661" s="2259"/>
      <c r="AI661" s="2260"/>
      <c r="AJ661" s="1908" t="s">
        <v>4355</v>
      </c>
      <c r="AK661" s="2278" t="s">
        <v>3688</v>
      </c>
      <c r="AL661" s="2259"/>
      <c r="AM661" s="2259"/>
      <c r="AN661" s="2259"/>
      <c r="AO661" s="2260"/>
      <c r="AP661" s="1908" t="s">
        <v>3699</v>
      </c>
      <c r="BC661" s="214"/>
      <c r="BD661" s="214"/>
      <c r="BE661" s="214"/>
      <c r="BF661" s="214"/>
    </row>
    <row r="662" spans="1:58" ht="45" hidden="1" customHeight="1">
      <c r="A662" s="808"/>
      <c r="B662" s="2280"/>
      <c r="C662" s="2281"/>
      <c r="D662" s="2282"/>
      <c r="E662" s="1909" t="s">
        <v>3682</v>
      </c>
      <c r="F662" s="1909" t="s">
        <v>4458</v>
      </c>
      <c r="G662" s="1909"/>
      <c r="H662" s="2283" t="s">
        <v>5207</v>
      </c>
      <c r="I662" s="2281"/>
      <c r="J662" s="2282"/>
      <c r="K662" s="2283" t="s">
        <v>5220</v>
      </c>
      <c r="L662" s="2282"/>
      <c r="M662" s="1909" t="e">
        <f>VLOOKUP(K662,'Estimate Details'!$R:$BR,20,FALSE)</f>
        <v>#N/A</v>
      </c>
      <c r="N662" s="1909" t="e">
        <f>VLOOKUP(M662,#REF!,2,FALSE)</f>
        <v>#N/A</v>
      </c>
      <c r="O662" s="1909" t="s">
        <v>4410</v>
      </c>
      <c r="P662" s="2284" t="s">
        <v>4130</v>
      </c>
      <c r="Q662" s="2281"/>
      <c r="R662" s="2282"/>
      <c r="S662" s="1909" t="s">
        <v>3688</v>
      </c>
      <c r="T662" s="1909" t="s">
        <v>3689</v>
      </c>
      <c r="U662" s="1909" t="s">
        <v>3707</v>
      </c>
      <c r="V662" s="1909" t="s">
        <v>4353</v>
      </c>
      <c r="W662" s="1909" t="s">
        <v>3688</v>
      </c>
      <c r="X662" s="1909"/>
      <c r="Y662" s="1909"/>
      <c r="Z662" s="1909"/>
      <c r="AA662" s="1909" t="s">
        <v>3978</v>
      </c>
      <c r="AB662" s="1909" t="s">
        <v>3688</v>
      </c>
      <c r="AC662" s="1909" t="s">
        <v>3804</v>
      </c>
      <c r="AD662" s="2283" t="s">
        <v>3688</v>
      </c>
      <c r="AE662" s="2281"/>
      <c r="AF662" s="2282"/>
      <c r="AG662" s="2283" t="s">
        <v>5210</v>
      </c>
      <c r="AH662" s="2281"/>
      <c r="AI662" s="2282"/>
      <c r="AJ662" s="1909" t="s">
        <v>4355</v>
      </c>
      <c r="AK662" s="2283" t="s">
        <v>3688</v>
      </c>
      <c r="AL662" s="2281"/>
      <c r="AM662" s="2259"/>
      <c r="AN662" s="2281"/>
      <c r="AO662" s="2282"/>
      <c r="AP662" s="1909" t="s">
        <v>3699</v>
      </c>
      <c r="BC662" s="214"/>
      <c r="BD662" s="214"/>
      <c r="BE662" s="214"/>
      <c r="BF662" s="214"/>
    </row>
    <row r="663" spans="1:58" ht="45" hidden="1" customHeight="1">
      <c r="B663" s="2277"/>
      <c r="C663" s="2259"/>
      <c r="D663" s="2260"/>
      <c r="E663" s="1908" t="s">
        <v>3682</v>
      </c>
      <c r="F663" s="1908" t="s">
        <v>4458</v>
      </c>
      <c r="G663" s="1908"/>
      <c r="H663" s="2278" t="s">
        <v>5207</v>
      </c>
      <c r="I663" s="2259"/>
      <c r="J663" s="2260"/>
      <c r="K663" s="2278" t="s">
        <v>5221</v>
      </c>
      <c r="L663" s="2260"/>
      <c r="M663" s="1908" t="e">
        <f>VLOOKUP(K663,'Estimate Details'!$R:$BR,20,FALSE)</f>
        <v>#N/A</v>
      </c>
      <c r="N663" s="1908" t="e">
        <f>VLOOKUP(M663,#REF!,2,FALSE)</f>
        <v>#N/A</v>
      </c>
      <c r="O663" s="1908" t="s">
        <v>4412</v>
      </c>
      <c r="P663" s="2278" t="s">
        <v>4130</v>
      </c>
      <c r="Q663" s="2259"/>
      <c r="R663" s="2260"/>
      <c r="S663" s="1908" t="s">
        <v>3688</v>
      </c>
      <c r="T663" s="1908" t="s">
        <v>3689</v>
      </c>
      <c r="U663" s="1908" t="s">
        <v>3707</v>
      </c>
      <c r="V663" s="1908" t="s">
        <v>4353</v>
      </c>
      <c r="W663" s="1908" t="s">
        <v>3688</v>
      </c>
      <c r="X663" s="1908"/>
      <c r="Y663" s="1908"/>
      <c r="Z663" s="1908"/>
      <c r="AA663" s="1908" t="s">
        <v>3978</v>
      </c>
      <c r="AB663" s="1908" t="s">
        <v>3688</v>
      </c>
      <c r="AC663" s="1908" t="s">
        <v>3804</v>
      </c>
      <c r="AD663" s="2278" t="s">
        <v>3688</v>
      </c>
      <c r="AE663" s="2259"/>
      <c r="AF663" s="2260"/>
      <c r="AG663" s="2278" t="s">
        <v>5210</v>
      </c>
      <c r="AH663" s="2259"/>
      <c r="AI663" s="2260"/>
      <c r="AJ663" s="1908" t="s">
        <v>4355</v>
      </c>
      <c r="AK663" s="2278" t="s">
        <v>3688</v>
      </c>
      <c r="AL663" s="2259"/>
      <c r="AM663" s="2259"/>
      <c r="AN663" s="2259"/>
      <c r="AO663" s="2260"/>
      <c r="AP663" s="1908" t="s">
        <v>3699</v>
      </c>
      <c r="BC663" s="214"/>
      <c r="BD663" s="214"/>
      <c r="BE663" s="214"/>
      <c r="BF663" s="214"/>
    </row>
    <row r="664" spans="1:58" ht="45" hidden="1" customHeight="1">
      <c r="A664" s="808"/>
      <c r="B664" s="2280"/>
      <c r="C664" s="2281"/>
      <c r="D664" s="2282"/>
      <c r="E664" s="1909" t="s">
        <v>3682</v>
      </c>
      <c r="F664" s="1909" t="s">
        <v>4458</v>
      </c>
      <c r="G664" s="1909"/>
      <c r="H664" s="2283" t="s">
        <v>5207</v>
      </c>
      <c r="I664" s="2281"/>
      <c r="J664" s="2282"/>
      <c r="K664" s="2283" t="s">
        <v>5222</v>
      </c>
      <c r="L664" s="2282"/>
      <c r="M664" s="1909" t="e">
        <f>VLOOKUP(K664,'Estimate Details'!$R:$BR,20,FALSE)</f>
        <v>#N/A</v>
      </c>
      <c r="N664" s="1909" t="e">
        <f>VLOOKUP(M664,#REF!,2,FALSE)</f>
        <v>#N/A</v>
      </c>
      <c r="O664" s="1909" t="s">
        <v>5223</v>
      </c>
      <c r="P664" s="2284" t="s">
        <v>4130</v>
      </c>
      <c r="Q664" s="2281"/>
      <c r="R664" s="2282"/>
      <c r="S664" s="1909" t="s">
        <v>3688</v>
      </c>
      <c r="T664" s="1909" t="s">
        <v>3689</v>
      </c>
      <c r="U664" s="1909" t="s">
        <v>3707</v>
      </c>
      <c r="V664" s="1909" t="s">
        <v>4147</v>
      </c>
      <c r="W664" s="1909" t="s">
        <v>3688</v>
      </c>
      <c r="X664" s="1909"/>
      <c r="Y664" s="1909"/>
      <c r="Z664" s="1909"/>
      <c r="AA664" s="1909" t="s">
        <v>3694</v>
      </c>
      <c r="AB664" s="1909" t="s">
        <v>5224</v>
      </c>
      <c r="AC664" s="1909" t="s">
        <v>5225</v>
      </c>
      <c r="AD664" s="2283" t="s">
        <v>3688</v>
      </c>
      <c r="AE664" s="2281"/>
      <c r="AF664" s="2282"/>
      <c r="AG664" s="2283" t="s">
        <v>5210</v>
      </c>
      <c r="AH664" s="2281"/>
      <c r="AI664" s="2282"/>
      <c r="AJ664" s="1909" t="s">
        <v>5226</v>
      </c>
      <c r="AK664" s="2283" t="s">
        <v>3688</v>
      </c>
      <c r="AL664" s="2281"/>
      <c r="AM664" s="2259"/>
      <c r="AN664" s="2281"/>
      <c r="AO664" s="2282"/>
      <c r="AP664" s="1909" t="s">
        <v>3699</v>
      </c>
      <c r="BC664" s="214"/>
      <c r="BD664" s="214"/>
      <c r="BE664" s="214"/>
      <c r="BF664" s="214"/>
    </row>
    <row r="665" spans="1:58" ht="45" hidden="1" customHeight="1">
      <c r="B665" s="2277"/>
      <c r="C665" s="2259"/>
      <c r="D665" s="2260"/>
      <c r="E665" s="1908" t="s">
        <v>3682</v>
      </c>
      <c r="F665" s="1910" t="s">
        <v>3688</v>
      </c>
      <c r="G665" s="1910"/>
      <c r="H665" s="2285" t="s">
        <v>5207</v>
      </c>
      <c r="I665" s="2259"/>
      <c r="J665" s="2260"/>
      <c r="K665" s="2285" t="s">
        <v>5227</v>
      </c>
      <c r="L665" s="2260"/>
      <c r="M665" s="1910" t="e">
        <f>VLOOKUP(K665,'Estimate Details'!$R:$BR,20,FALSE)</f>
        <v>#N/A</v>
      </c>
      <c r="N665" s="1910" t="e">
        <f>VLOOKUP(M665,#REF!,2,FALSE)</f>
        <v>#N/A</v>
      </c>
      <c r="O665" s="1910" t="s">
        <v>5228</v>
      </c>
      <c r="P665" s="2285" t="s">
        <v>3688</v>
      </c>
      <c r="Q665" s="2259"/>
      <c r="R665" s="2260"/>
      <c r="S665" s="1910" t="s">
        <v>5229</v>
      </c>
      <c r="T665" s="1910" t="s">
        <v>3689</v>
      </c>
      <c r="U665" s="1910" t="s">
        <v>3688</v>
      </c>
      <c r="V665" s="1910" t="s">
        <v>3688</v>
      </c>
      <c r="W665" s="1910" t="s">
        <v>3688</v>
      </c>
      <c r="X665" s="1910"/>
      <c r="Y665" s="1910"/>
      <c r="Z665" s="1910"/>
      <c r="AA665" s="1910" t="s">
        <v>3694</v>
      </c>
      <c r="AB665" s="1910" t="s">
        <v>3688</v>
      </c>
      <c r="AC665" s="1910" t="s">
        <v>5073</v>
      </c>
      <c r="AD665" s="2285" t="s">
        <v>3688</v>
      </c>
      <c r="AE665" s="2259"/>
      <c r="AF665" s="2260"/>
      <c r="AG665" s="2285" t="s">
        <v>3696</v>
      </c>
      <c r="AH665" s="2259"/>
      <c r="AI665" s="2260"/>
      <c r="AJ665" s="1910" t="s">
        <v>5230</v>
      </c>
      <c r="AK665" s="2285" t="s">
        <v>3688</v>
      </c>
      <c r="AL665" s="2259"/>
      <c r="AM665" s="2259"/>
      <c r="AN665" s="2259"/>
      <c r="AO665" s="2260"/>
      <c r="AP665" s="1910" t="s">
        <v>3688</v>
      </c>
      <c r="BC665" s="214"/>
      <c r="BD665" s="214"/>
      <c r="BE665" s="214"/>
      <c r="BF665" s="214"/>
    </row>
    <row r="666" spans="1:58" ht="45" hidden="1" customHeight="1">
      <c r="A666" s="808"/>
      <c r="B666" s="2280"/>
      <c r="C666" s="2281"/>
      <c r="D666" s="2282"/>
      <c r="E666" s="1909" t="s">
        <v>3682</v>
      </c>
      <c r="F666" s="1909" t="s">
        <v>4458</v>
      </c>
      <c r="G666" s="1909"/>
      <c r="H666" s="2283" t="s">
        <v>5207</v>
      </c>
      <c r="I666" s="2281"/>
      <c r="J666" s="2282"/>
      <c r="K666" s="2283" t="s">
        <v>5231</v>
      </c>
      <c r="L666" s="2282"/>
      <c r="M666" s="1909" t="e">
        <f>VLOOKUP(K666,'Estimate Details'!$R:$BR,20,FALSE)</f>
        <v>#N/A</v>
      </c>
      <c r="N666" s="1909" t="e">
        <f>VLOOKUP(M666,#REF!,2,FALSE)</f>
        <v>#N/A</v>
      </c>
      <c r="O666" s="1909" t="s">
        <v>4414</v>
      </c>
      <c r="P666" s="2284" t="s">
        <v>4130</v>
      </c>
      <c r="Q666" s="2281"/>
      <c r="R666" s="2282"/>
      <c r="S666" s="1909" t="s">
        <v>3688</v>
      </c>
      <c r="T666" s="1909" t="s">
        <v>3689</v>
      </c>
      <c r="U666" s="1909" t="s">
        <v>3707</v>
      </c>
      <c r="V666" s="1909" t="s">
        <v>4353</v>
      </c>
      <c r="W666" s="1909" t="s">
        <v>3688</v>
      </c>
      <c r="X666" s="1909"/>
      <c r="Y666" s="1909"/>
      <c r="Z666" s="1909"/>
      <c r="AA666" s="1909" t="s">
        <v>3694</v>
      </c>
      <c r="AB666" s="1909" t="s">
        <v>3688</v>
      </c>
      <c r="AC666" s="1909" t="s">
        <v>3804</v>
      </c>
      <c r="AD666" s="2283" t="s">
        <v>3688</v>
      </c>
      <c r="AE666" s="2281"/>
      <c r="AF666" s="2282"/>
      <c r="AG666" s="2283" t="s">
        <v>4903</v>
      </c>
      <c r="AH666" s="2281"/>
      <c r="AI666" s="2282"/>
      <c r="AJ666" s="1909" t="s">
        <v>4355</v>
      </c>
      <c r="AK666" s="2283" t="s">
        <v>3688</v>
      </c>
      <c r="AL666" s="2281"/>
      <c r="AM666" s="2259"/>
      <c r="AN666" s="2281"/>
      <c r="AO666" s="2282"/>
      <c r="AP666" s="1909" t="s">
        <v>3699</v>
      </c>
      <c r="BC666" s="214"/>
      <c r="BD666" s="214"/>
      <c r="BE666" s="214"/>
      <c r="BF666" s="214"/>
    </row>
    <row r="667" spans="1:58" ht="45" hidden="1" customHeight="1">
      <c r="B667" s="2277"/>
      <c r="C667" s="2259"/>
      <c r="D667" s="2260"/>
      <c r="E667" s="1908" t="s">
        <v>3682</v>
      </c>
      <c r="F667" s="1908" t="s">
        <v>4458</v>
      </c>
      <c r="G667" s="1908"/>
      <c r="H667" s="2278" t="s">
        <v>5207</v>
      </c>
      <c r="I667" s="2259"/>
      <c r="J667" s="2260"/>
      <c r="K667" s="2278" t="s">
        <v>5232</v>
      </c>
      <c r="L667" s="2260"/>
      <c r="M667" s="1908" t="e">
        <f>VLOOKUP(K667,'Estimate Details'!$R:$BR,20,FALSE)</f>
        <v>#N/A</v>
      </c>
      <c r="N667" s="1908" t="e">
        <f>VLOOKUP(M667,#REF!,2,FALSE)</f>
        <v>#N/A</v>
      </c>
      <c r="O667" s="1908" t="s">
        <v>4417</v>
      </c>
      <c r="P667" s="2278" t="s">
        <v>4130</v>
      </c>
      <c r="Q667" s="2259"/>
      <c r="R667" s="2260"/>
      <c r="S667" s="1908" t="s">
        <v>3688</v>
      </c>
      <c r="T667" s="1908" t="s">
        <v>3689</v>
      </c>
      <c r="U667" s="1908" t="s">
        <v>3707</v>
      </c>
      <c r="V667" s="1908" t="s">
        <v>4353</v>
      </c>
      <c r="W667" s="1908" t="s">
        <v>3688</v>
      </c>
      <c r="X667" s="1908"/>
      <c r="Y667" s="1908"/>
      <c r="Z667" s="1908"/>
      <c r="AA667" s="1908" t="s">
        <v>3694</v>
      </c>
      <c r="AB667" s="1908" t="s">
        <v>3688</v>
      </c>
      <c r="AC667" s="1908" t="s">
        <v>3804</v>
      </c>
      <c r="AD667" s="2278" t="s">
        <v>3688</v>
      </c>
      <c r="AE667" s="2259"/>
      <c r="AF667" s="2260"/>
      <c r="AG667" s="2278" t="s">
        <v>4903</v>
      </c>
      <c r="AH667" s="2259"/>
      <c r="AI667" s="2260"/>
      <c r="AJ667" s="1908" t="s">
        <v>4355</v>
      </c>
      <c r="AK667" s="2278" t="s">
        <v>3688</v>
      </c>
      <c r="AL667" s="2259"/>
      <c r="AM667" s="2259"/>
      <c r="AN667" s="2259"/>
      <c r="AO667" s="2260"/>
      <c r="AP667" s="1908" t="s">
        <v>3699</v>
      </c>
      <c r="BC667" s="214"/>
      <c r="BD667" s="214"/>
      <c r="BE667" s="214"/>
      <c r="BF667" s="214"/>
    </row>
    <row r="668" spans="1:58" ht="45" hidden="1" customHeight="1">
      <c r="A668" s="808"/>
      <c r="B668" s="2280"/>
      <c r="C668" s="2281"/>
      <c r="D668" s="2282"/>
      <c r="E668" s="1909" t="s">
        <v>3682</v>
      </c>
      <c r="F668" s="1909" t="s">
        <v>4458</v>
      </c>
      <c r="G668" s="1909"/>
      <c r="H668" s="2283" t="s">
        <v>5207</v>
      </c>
      <c r="I668" s="2281"/>
      <c r="J668" s="2282"/>
      <c r="K668" s="2283" t="s">
        <v>5233</v>
      </c>
      <c r="L668" s="2282"/>
      <c r="M668" s="1909" t="e">
        <f>VLOOKUP(K668,'Estimate Details'!$R:$BR,20,FALSE)</f>
        <v>#N/A</v>
      </c>
      <c r="N668" s="1909" t="e">
        <f>VLOOKUP(M668,#REF!,2,FALSE)</f>
        <v>#N/A</v>
      </c>
      <c r="O668" s="1909" t="s">
        <v>4419</v>
      </c>
      <c r="P668" s="2284" t="s">
        <v>4130</v>
      </c>
      <c r="Q668" s="2281"/>
      <c r="R668" s="2282"/>
      <c r="S668" s="1909" t="s">
        <v>3688</v>
      </c>
      <c r="T668" s="1909" t="s">
        <v>3689</v>
      </c>
      <c r="U668" s="1909" t="s">
        <v>3707</v>
      </c>
      <c r="V668" s="1909" t="s">
        <v>4353</v>
      </c>
      <c r="W668" s="1909" t="s">
        <v>3688</v>
      </c>
      <c r="X668" s="1909"/>
      <c r="Y668" s="1909"/>
      <c r="Z668" s="1909"/>
      <c r="AA668" s="1909" t="s">
        <v>3694</v>
      </c>
      <c r="AB668" s="1909" t="s">
        <v>3688</v>
      </c>
      <c r="AC668" s="1909" t="s">
        <v>3804</v>
      </c>
      <c r="AD668" s="2283" t="s">
        <v>3688</v>
      </c>
      <c r="AE668" s="2281"/>
      <c r="AF668" s="2282"/>
      <c r="AG668" s="2283" t="s">
        <v>4903</v>
      </c>
      <c r="AH668" s="2281"/>
      <c r="AI668" s="2282"/>
      <c r="AJ668" s="1909" t="s">
        <v>4355</v>
      </c>
      <c r="AK668" s="2283" t="s">
        <v>3688</v>
      </c>
      <c r="AL668" s="2281"/>
      <c r="AM668" s="2259"/>
      <c r="AN668" s="2281"/>
      <c r="AO668" s="2282"/>
      <c r="AP668" s="1909" t="s">
        <v>3699</v>
      </c>
      <c r="BC668" s="214"/>
      <c r="BD668" s="214"/>
      <c r="BE668" s="214"/>
      <c r="BF668" s="214"/>
    </row>
    <row r="669" spans="1:58" ht="45" hidden="1" customHeight="1">
      <c r="B669" s="2277"/>
      <c r="C669" s="2259"/>
      <c r="D669" s="2260"/>
      <c r="E669" s="1908" t="s">
        <v>3682</v>
      </c>
      <c r="F669" s="1908" t="s">
        <v>4458</v>
      </c>
      <c r="G669" s="1908"/>
      <c r="H669" s="2278" t="s">
        <v>5207</v>
      </c>
      <c r="I669" s="2259"/>
      <c r="J669" s="2260"/>
      <c r="K669" s="2278" t="s">
        <v>5234</v>
      </c>
      <c r="L669" s="2260"/>
      <c r="M669" s="1908" t="e">
        <f>VLOOKUP(K669,'Estimate Details'!$R:$BR,20,FALSE)</f>
        <v>#N/A</v>
      </c>
      <c r="N669" s="1908" t="e">
        <f>VLOOKUP(M669,#REF!,2,FALSE)</f>
        <v>#N/A</v>
      </c>
      <c r="O669" s="1908" t="s">
        <v>4421</v>
      </c>
      <c r="P669" s="2278" t="s">
        <v>4130</v>
      </c>
      <c r="Q669" s="2259"/>
      <c r="R669" s="2260"/>
      <c r="S669" s="1908" t="s">
        <v>3688</v>
      </c>
      <c r="T669" s="1908" t="s">
        <v>3689</v>
      </c>
      <c r="U669" s="1908" t="s">
        <v>3707</v>
      </c>
      <c r="V669" s="1908" t="s">
        <v>4353</v>
      </c>
      <c r="W669" s="1908" t="s">
        <v>3688</v>
      </c>
      <c r="X669" s="1908"/>
      <c r="Y669" s="1908"/>
      <c r="Z669" s="1908"/>
      <c r="AA669" s="1908" t="s">
        <v>3694</v>
      </c>
      <c r="AB669" s="1908" t="s">
        <v>3688</v>
      </c>
      <c r="AC669" s="1908" t="s">
        <v>3804</v>
      </c>
      <c r="AD669" s="2278" t="s">
        <v>3688</v>
      </c>
      <c r="AE669" s="2259"/>
      <c r="AF669" s="2260"/>
      <c r="AG669" s="2278" t="s">
        <v>4903</v>
      </c>
      <c r="AH669" s="2259"/>
      <c r="AI669" s="2260"/>
      <c r="AJ669" s="1908" t="s">
        <v>4355</v>
      </c>
      <c r="AK669" s="2278" t="s">
        <v>3688</v>
      </c>
      <c r="AL669" s="2259"/>
      <c r="AM669" s="2259"/>
      <c r="AN669" s="2259"/>
      <c r="AO669" s="2260"/>
      <c r="AP669" s="1908" t="s">
        <v>3699</v>
      </c>
      <c r="BC669" s="214"/>
      <c r="BD669" s="214"/>
      <c r="BE669" s="214"/>
      <c r="BF669" s="214"/>
    </row>
    <row r="670" spans="1:58" ht="45" hidden="1" customHeight="1">
      <c r="A670" s="808"/>
      <c r="B670" s="2280"/>
      <c r="C670" s="2281"/>
      <c r="D670" s="2282"/>
      <c r="E670" s="1909" t="s">
        <v>3682</v>
      </c>
      <c r="F670" s="1909" t="s">
        <v>4458</v>
      </c>
      <c r="G670" s="1909"/>
      <c r="H670" s="2283" t="s">
        <v>5207</v>
      </c>
      <c r="I670" s="2281"/>
      <c r="J670" s="2282"/>
      <c r="K670" s="2283" t="s">
        <v>5235</v>
      </c>
      <c r="L670" s="2282"/>
      <c r="M670" s="1909" t="e">
        <f>VLOOKUP(K670,'Estimate Details'!$R:$BR,20,FALSE)</f>
        <v>#N/A</v>
      </c>
      <c r="N670" s="1909" t="e">
        <f>VLOOKUP(M670,#REF!,2,FALSE)</f>
        <v>#N/A</v>
      </c>
      <c r="O670" s="1909" t="s">
        <v>5223</v>
      </c>
      <c r="P670" s="2284" t="s">
        <v>4130</v>
      </c>
      <c r="Q670" s="2281"/>
      <c r="R670" s="2282"/>
      <c r="S670" s="1909" t="s">
        <v>3688</v>
      </c>
      <c r="T670" s="1909" t="s">
        <v>3689</v>
      </c>
      <c r="U670" s="1909" t="s">
        <v>3707</v>
      </c>
      <c r="V670" s="1909" t="s">
        <v>4147</v>
      </c>
      <c r="W670" s="1909" t="s">
        <v>3688</v>
      </c>
      <c r="X670" s="1909"/>
      <c r="Y670" s="1909"/>
      <c r="Z670" s="1909"/>
      <c r="AA670" s="1909" t="s">
        <v>3694</v>
      </c>
      <c r="AB670" s="1909" t="s">
        <v>5224</v>
      </c>
      <c r="AC670" s="1909" t="s">
        <v>5225</v>
      </c>
      <c r="AD670" s="2283" t="s">
        <v>5236</v>
      </c>
      <c r="AE670" s="2281"/>
      <c r="AF670" s="2282"/>
      <c r="AG670" s="2283" t="s">
        <v>3696</v>
      </c>
      <c r="AH670" s="2281"/>
      <c r="AI670" s="2282"/>
      <c r="AJ670" s="1909" t="s">
        <v>5226</v>
      </c>
      <c r="AK670" s="2283" t="s">
        <v>3688</v>
      </c>
      <c r="AL670" s="2281"/>
      <c r="AM670" s="2259"/>
      <c r="AN670" s="2281"/>
      <c r="AO670" s="2282"/>
      <c r="AP670" s="1909" t="s">
        <v>3699</v>
      </c>
      <c r="BC670" s="214"/>
      <c r="BD670" s="214"/>
      <c r="BE670" s="214"/>
      <c r="BF670" s="214"/>
    </row>
    <row r="671" spans="1:58" ht="45" hidden="1" customHeight="1">
      <c r="B671" s="2277"/>
      <c r="C671" s="2259"/>
      <c r="D671" s="2260"/>
      <c r="E671" s="1908" t="s">
        <v>3682</v>
      </c>
      <c r="F671" s="1910" t="s">
        <v>3688</v>
      </c>
      <c r="G671" s="1910"/>
      <c r="H671" s="2285" t="s">
        <v>5207</v>
      </c>
      <c r="I671" s="2259"/>
      <c r="J671" s="2260"/>
      <c r="K671" s="2285" t="s">
        <v>5237</v>
      </c>
      <c r="L671" s="2260"/>
      <c r="M671" s="1910" t="e">
        <f>VLOOKUP(K671,'Estimate Details'!$R:$BR,20,FALSE)</f>
        <v>#N/A</v>
      </c>
      <c r="N671" s="1910" t="e">
        <f>VLOOKUP(M671,#REF!,2,FALSE)</f>
        <v>#N/A</v>
      </c>
      <c r="O671" s="1910" t="s">
        <v>5228</v>
      </c>
      <c r="P671" s="2285" t="s">
        <v>3688</v>
      </c>
      <c r="Q671" s="2259"/>
      <c r="R671" s="2260"/>
      <c r="S671" s="1910" t="s">
        <v>5238</v>
      </c>
      <c r="T671" s="1910" t="s">
        <v>3689</v>
      </c>
      <c r="U671" s="1910" t="s">
        <v>3688</v>
      </c>
      <c r="V671" s="1910" t="s">
        <v>3688</v>
      </c>
      <c r="W671" s="1910" t="s">
        <v>3688</v>
      </c>
      <c r="X671" s="1910"/>
      <c r="Y671" s="1910"/>
      <c r="Z671" s="1910"/>
      <c r="AA671" s="1910" t="s">
        <v>3694</v>
      </c>
      <c r="AB671" s="1910" t="s">
        <v>3688</v>
      </c>
      <c r="AC671" s="1910" t="s">
        <v>5073</v>
      </c>
      <c r="AD671" s="2285" t="s">
        <v>3688</v>
      </c>
      <c r="AE671" s="2259"/>
      <c r="AF671" s="2260"/>
      <c r="AG671" s="2285" t="s">
        <v>3696</v>
      </c>
      <c r="AH671" s="2259"/>
      <c r="AI671" s="2260"/>
      <c r="AJ671" s="1910" t="s">
        <v>5230</v>
      </c>
      <c r="AK671" s="2285" t="s">
        <v>3688</v>
      </c>
      <c r="AL671" s="2259"/>
      <c r="AM671" s="2259"/>
      <c r="AN671" s="2259"/>
      <c r="AO671" s="2260"/>
      <c r="AP671" s="1910" t="s">
        <v>3688</v>
      </c>
      <c r="BC671" s="214"/>
      <c r="BD671" s="214"/>
      <c r="BE671" s="214"/>
      <c r="BF671" s="214"/>
    </row>
    <row r="672" spans="1:58" ht="45" hidden="1" customHeight="1">
      <c r="A672" s="808"/>
      <c r="B672" s="2280"/>
      <c r="C672" s="2281"/>
      <c r="D672" s="2282"/>
      <c r="E672" s="1909" t="s">
        <v>3682</v>
      </c>
      <c r="F672" s="1909" t="s">
        <v>4458</v>
      </c>
      <c r="G672" s="1909"/>
      <c r="H672" s="2283" t="s">
        <v>5207</v>
      </c>
      <c r="I672" s="2281"/>
      <c r="J672" s="2282"/>
      <c r="K672" s="2283" t="s">
        <v>5239</v>
      </c>
      <c r="L672" s="2282"/>
      <c r="M672" s="1909" t="e">
        <f>VLOOKUP(K672,'Estimate Details'!$R:$BR,20,FALSE)</f>
        <v>#N/A</v>
      </c>
      <c r="N672" s="1909" t="e">
        <f>VLOOKUP(M672,#REF!,2,FALSE)</f>
        <v>#N/A</v>
      </c>
      <c r="O672" s="1909" t="s">
        <v>5240</v>
      </c>
      <c r="P672" s="2284" t="s">
        <v>4130</v>
      </c>
      <c r="Q672" s="2281"/>
      <c r="R672" s="2282"/>
      <c r="S672" s="1909" t="s">
        <v>3688</v>
      </c>
      <c r="T672" s="1909" t="s">
        <v>3689</v>
      </c>
      <c r="U672" s="1909" t="s">
        <v>3707</v>
      </c>
      <c r="V672" s="1909" t="s">
        <v>4147</v>
      </c>
      <c r="W672" s="1909" t="s">
        <v>3688</v>
      </c>
      <c r="X672" s="1909"/>
      <c r="Y672" s="1909"/>
      <c r="Z672" s="1909"/>
      <c r="AA672" s="1909" t="s">
        <v>3694</v>
      </c>
      <c r="AB672" s="1909" t="s">
        <v>4161</v>
      </c>
      <c r="AC672" s="1909" t="s">
        <v>4150</v>
      </c>
      <c r="AD672" s="2283" t="s">
        <v>4162</v>
      </c>
      <c r="AE672" s="2281"/>
      <c r="AF672" s="2282"/>
      <c r="AG672" s="2283" t="s">
        <v>3696</v>
      </c>
      <c r="AH672" s="2281"/>
      <c r="AI672" s="2282"/>
      <c r="AJ672" s="1909" t="s">
        <v>4163</v>
      </c>
      <c r="AK672" s="2283" t="s">
        <v>4164</v>
      </c>
      <c r="AL672" s="2281"/>
      <c r="AM672" s="2259"/>
      <c r="AN672" s="2281"/>
      <c r="AO672" s="2282"/>
      <c r="AP672" s="1909" t="s">
        <v>3699</v>
      </c>
      <c r="BC672" s="214"/>
      <c r="BD672" s="214"/>
      <c r="BE672" s="214"/>
      <c r="BF672" s="214"/>
    </row>
    <row r="673" spans="1:58" ht="45" hidden="1" customHeight="1">
      <c r="B673" s="2277"/>
      <c r="C673" s="2259"/>
      <c r="D673" s="2260"/>
      <c r="E673" s="1908" t="s">
        <v>3682</v>
      </c>
      <c r="F673" s="1910" t="s">
        <v>3688</v>
      </c>
      <c r="G673" s="1910"/>
      <c r="H673" s="2285" t="s">
        <v>5207</v>
      </c>
      <c r="I673" s="2259"/>
      <c r="J673" s="2260"/>
      <c r="K673" s="2285" t="s">
        <v>5241</v>
      </c>
      <c r="L673" s="2260"/>
      <c r="M673" s="1910" t="e">
        <f>VLOOKUP(K673,'Estimate Details'!$R:$BR,20,FALSE)</f>
        <v>#N/A</v>
      </c>
      <c r="N673" s="1910" t="e">
        <f>VLOOKUP(M673,#REF!,2,FALSE)</f>
        <v>#N/A</v>
      </c>
      <c r="O673" s="1910" t="s">
        <v>4166</v>
      </c>
      <c r="P673" s="2285" t="s">
        <v>3688</v>
      </c>
      <c r="Q673" s="2259"/>
      <c r="R673" s="2260"/>
      <c r="S673" s="1910" t="s">
        <v>5242</v>
      </c>
      <c r="T673" s="1910" t="s">
        <v>3689</v>
      </c>
      <c r="U673" s="1910" t="s">
        <v>3688</v>
      </c>
      <c r="V673" s="1910" t="s">
        <v>3688</v>
      </c>
      <c r="W673" s="1910" t="s">
        <v>3688</v>
      </c>
      <c r="X673" s="1910"/>
      <c r="Y673" s="1910"/>
      <c r="Z673" s="1910"/>
      <c r="AA673" s="1910" t="s">
        <v>3694</v>
      </c>
      <c r="AB673" s="1910" t="s">
        <v>3688</v>
      </c>
      <c r="AC673" s="1910" t="s">
        <v>4105</v>
      </c>
      <c r="AD673" s="2285" t="s">
        <v>3688</v>
      </c>
      <c r="AE673" s="2259"/>
      <c r="AF673" s="2260"/>
      <c r="AG673" s="2285" t="s">
        <v>3696</v>
      </c>
      <c r="AH673" s="2259"/>
      <c r="AI673" s="2260"/>
      <c r="AJ673" s="1910" t="s">
        <v>4168</v>
      </c>
      <c r="AK673" s="2285" t="s">
        <v>3688</v>
      </c>
      <c r="AL673" s="2259"/>
      <c r="AM673" s="2259"/>
      <c r="AN673" s="2259"/>
      <c r="AO673" s="2260"/>
      <c r="AP673" s="1910" t="s">
        <v>3688</v>
      </c>
      <c r="BC673" s="214"/>
      <c r="BD673" s="214"/>
      <c r="BE673" s="214"/>
      <c r="BF673" s="214"/>
    </row>
    <row r="674" spans="1:58" ht="45" hidden="1" customHeight="1">
      <c r="A674" s="808"/>
      <c r="B674" s="2280"/>
      <c r="C674" s="2281"/>
      <c r="D674" s="2282"/>
      <c r="E674" s="1909" t="s">
        <v>3682</v>
      </c>
      <c r="F674" s="1909" t="s">
        <v>4458</v>
      </c>
      <c r="G674" s="1909"/>
      <c r="H674" s="2283" t="s">
        <v>5207</v>
      </c>
      <c r="I674" s="2281"/>
      <c r="J674" s="2282"/>
      <c r="K674" s="2283" t="s">
        <v>5243</v>
      </c>
      <c r="L674" s="2282"/>
      <c r="M674" s="1909" t="e">
        <f>VLOOKUP(K674,'Estimate Details'!$R:$BR,20,FALSE)</f>
        <v>#N/A</v>
      </c>
      <c r="N674" s="1909" t="e">
        <f>VLOOKUP(M674,#REF!,2,FALSE)</f>
        <v>#N/A</v>
      </c>
      <c r="O674" s="1909" t="s">
        <v>5244</v>
      </c>
      <c r="P674" s="2284" t="s">
        <v>4130</v>
      </c>
      <c r="Q674" s="2281"/>
      <c r="R674" s="2282"/>
      <c r="S674" s="1909" t="s">
        <v>3688</v>
      </c>
      <c r="T674" s="1909" t="s">
        <v>3689</v>
      </c>
      <c r="U674" s="1909" t="s">
        <v>3707</v>
      </c>
      <c r="V674" s="1909" t="s">
        <v>4147</v>
      </c>
      <c r="W674" s="1909" t="s">
        <v>3688</v>
      </c>
      <c r="X674" s="1909"/>
      <c r="Y674" s="1909"/>
      <c r="Z674" s="1909"/>
      <c r="AA674" s="1909" t="s">
        <v>3694</v>
      </c>
      <c r="AB674" s="1909" t="s">
        <v>4161</v>
      </c>
      <c r="AC674" s="1909" t="s">
        <v>4150</v>
      </c>
      <c r="AD674" s="2283" t="s">
        <v>4162</v>
      </c>
      <c r="AE674" s="2281"/>
      <c r="AF674" s="2282"/>
      <c r="AG674" s="2283" t="s">
        <v>3696</v>
      </c>
      <c r="AH674" s="2281"/>
      <c r="AI674" s="2282"/>
      <c r="AJ674" s="1909" t="s">
        <v>4163</v>
      </c>
      <c r="AK674" s="2283" t="s">
        <v>4164</v>
      </c>
      <c r="AL674" s="2281"/>
      <c r="AM674" s="2259"/>
      <c r="AN674" s="2281"/>
      <c r="AO674" s="2282"/>
      <c r="AP674" s="1909" t="s">
        <v>3699</v>
      </c>
      <c r="BC674" s="214"/>
      <c r="BD674" s="214"/>
      <c r="BE674" s="214"/>
      <c r="BF674" s="214"/>
    </row>
    <row r="675" spans="1:58" ht="45" hidden="1" customHeight="1">
      <c r="B675" s="2277"/>
      <c r="C675" s="2259"/>
      <c r="D675" s="2260"/>
      <c r="E675" s="1908" t="s">
        <v>3682</v>
      </c>
      <c r="F675" s="1910" t="s">
        <v>3688</v>
      </c>
      <c r="G675" s="1910"/>
      <c r="H675" s="2285" t="s">
        <v>5207</v>
      </c>
      <c r="I675" s="2259"/>
      <c r="J675" s="2260"/>
      <c r="K675" s="2285" t="s">
        <v>5245</v>
      </c>
      <c r="L675" s="2260"/>
      <c r="M675" s="1910" t="e">
        <f>VLOOKUP(K675,'Estimate Details'!$R:$BR,20,FALSE)</f>
        <v>#N/A</v>
      </c>
      <c r="N675" s="1910" t="e">
        <f>VLOOKUP(M675,#REF!,2,FALSE)</f>
        <v>#N/A</v>
      </c>
      <c r="O675" s="1910" t="s">
        <v>4166</v>
      </c>
      <c r="P675" s="2285" t="s">
        <v>3688</v>
      </c>
      <c r="Q675" s="2259"/>
      <c r="R675" s="2260"/>
      <c r="S675" s="1910" t="s">
        <v>5246</v>
      </c>
      <c r="T675" s="1910" t="s">
        <v>3689</v>
      </c>
      <c r="U675" s="1910" t="s">
        <v>3688</v>
      </c>
      <c r="V675" s="1910" t="s">
        <v>3688</v>
      </c>
      <c r="W675" s="1910" t="s">
        <v>3688</v>
      </c>
      <c r="X675" s="1910"/>
      <c r="Y675" s="1910"/>
      <c r="Z675" s="1910"/>
      <c r="AA675" s="1910" t="s">
        <v>3694</v>
      </c>
      <c r="AB675" s="1910" t="s">
        <v>3688</v>
      </c>
      <c r="AC675" s="1910" t="s">
        <v>4105</v>
      </c>
      <c r="AD675" s="2285" t="s">
        <v>3688</v>
      </c>
      <c r="AE675" s="2259"/>
      <c r="AF675" s="2260"/>
      <c r="AG675" s="2285" t="s">
        <v>3696</v>
      </c>
      <c r="AH675" s="2259"/>
      <c r="AI675" s="2260"/>
      <c r="AJ675" s="1910" t="s">
        <v>4168</v>
      </c>
      <c r="AK675" s="2285" t="s">
        <v>3688</v>
      </c>
      <c r="AL675" s="2259"/>
      <c r="AM675" s="2259"/>
      <c r="AN675" s="2259"/>
      <c r="AO675" s="2260"/>
      <c r="AP675" s="1910" t="s">
        <v>3688</v>
      </c>
      <c r="BC675" s="214"/>
      <c r="BD675" s="214"/>
      <c r="BE675" s="214"/>
      <c r="BF675" s="214"/>
    </row>
    <row r="676" spans="1:58" ht="45" hidden="1" customHeight="1">
      <c r="A676" s="808"/>
      <c r="B676" s="2280"/>
      <c r="C676" s="2281"/>
      <c r="D676" s="2282"/>
      <c r="E676" s="1909" t="s">
        <v>3682</v>
      </c>
      <c r="F676" s="1909" t="s">
        <v>4458</v>
      </c>
      <c r="G676" s="1909"/>
      <c r="H676" s="2283" t="s">
        <v>5207</v>
      </c>
      <c r="I676" s="2281"/>
      <c r="J676" s="2282"/>
      <c r="K676" s="2283" t="s">
        <v>1981</v>
      </c>
      <c r="L676" s="2282"/>
      <c r="M676" s="1909">
        <f>VLOOKUP(K676,'Estimate Details'!$R:$BR,20,FALSE)</f>
        <v>6641.96</v>
      </c>
      <c r="N676" s="1909" t="e">
        <f>VLOOKUP(M676,#REF!,2,FALSE)</f>
        <v>#REF!</v>
      </c>
      <c r="O676" s="1909" t="s">
        <v>4435</v>
      </c>
      <c r="P676" s="2284" t="s">
        <v>4180</v>
      </c>
      <c r="Q676" s="2281"/>
      <c r="R676" s="2282"/>
      <c r="S676" s="1909" t="s">
        <v>3688</v>
      </c>
      <c r="T676" s="1909" t="s">
        <v>3689</v>
      </c>
      <c r="U676" s="1909" t="s">
        <v>3707</v>
      </c>
      <c r="V676" s="1909" t="s">
        <v>4353</v>
      </c>
      <c r="W676" s="1909" t="s">
        <v>3688</v>
      </c>
      <c r="X676" s="1909"/>
      <c r="Y676" s="1909"/>
      <c r="Z676" s="1909"/>
      <c r="AA676" s="1909" t="s">
        <v>3957</v>
      </c>
      <c r="AB676" s="1909" t="s">
        <v>3688</v>
      </c>
      <c r="AC676" s="1909" t="s">
        <v>3696</v>
      </c>
      <c r="AD676" s="2283" t="s">
        <v>3688</v>
      </c>
      <c r="AE676" s="2281"/>
      <c r="AF676" s="2282"/>
      <c r="AG676" s="2283" t="s">
        <v>5210</v>
      </c>
      <c r="AH676" s="2281"/>
      <c r="AI676" s="2282"/>
      <c r="AJ676" s="1909" t="s">
        <v>4355</v>
      </c>
      <c r="AK676" s="2283" t="s">
        <v>3688</v>
      </c>
      <c r="AL676" s="2281"/>
      <c r="AM676" s="2259"/>
      <c r="AN676" s="2281"/>
      <c r="AO676" s="2282"/>
      <c r="AP676" s="1909" t="s">
        <v>3699</v>
      </c>
      <c r="BC676" s="214"/>
      <c r="BD676" s="214"/>
      <c r="BE676" s="214"/>
      <c r="BF676" s="214"/>
    </row>
    <row r="677" spans="1:58" ht="45" hidden="1" customHeight="1">
      <c r="B677" s="2277"/>
      <c r="C677" s="2259"/>
      <c r="D677" s="2260"/>
      <c r="E677" s="1908" t="s">
        <v>3682</v>
      </c>
      <c r="F677" s="1908" t="s">
        <v>4458</v>
      </c>
      <c r="G677" s="1908"/>
      <c r="H677" s="2278" t="s">
        <v>5207</v>
      </c>
      <c r="I677" s="2259"/>
      <c r="J677" s="2260"/>
      <c r="K677" s="2278" t="s">
        <v>1983</v>
      </c>
      <c r="L677" s="2260"/>
      <c r="M677" s="1908">
        <f>VLOOKUP(K677,'Estimate Details'!$R:$BR,20,FALSE)</f>
        <v>6641.96</v>
      </c>
      <c r="N677" s="1908" t="e">
        <f>VLOOKUP(M677,#REF!,2,FALSE)</f>
        <v>#REF!</v>
      </c>
      <c r="O677" s="1908" t="s">
        <v>4436</v>
      </c>
      <c r="P677" s="2278" t="s">
        <v>4180</v>
      </c>
      <c r="Q677" s="2259"/>
      <c r="R677" s="2260"/>
      <c r="S677" s="1908" t="s">
        <v>3688</v>
      </c>
      <c r="T677" s="1908" t="s">
        <v>3689</v>
      </c>
      <c r="U677" s="1908" t="s">
        <v>3707</v>
      </c>
      <c r="V677" s="1908" t="s">
        <v>4353</v>
      </c>
      <c r="W677" s="1908" t="s">
        <v>3688</v>
      </c>
      <c r="X677" s="1908"/>
      <c r="Y677" s="1908"/>
      <c r="Z677" s="1908"/>
      <c r="AA677" s="1908" t="s">
        <v>3957</v>
      </c>
      <c r="AB677" s="1908" t="s">
        <v>3688</v>
      </c>
      <c r="AC677" s="1908" t="s">
        <v>3696</v>
      </c>
      <c r="AD677" s="2278" t="s">
        <v>3688</v>
      </c>
      <c r="AE677" s="2259"/>
      <c r="AF677" s="2260"/>
      <c r="AG677" s="2278" t="s">
        <v>5210</v>
      </c>
      <c r="AH677" s="2259"/>
      <c r="AI677" s="2260"/>
      <c r="AJ677" s="1908" t="s">
        <v>4355</v>
      </c>
      <c r="AK677" s="2278" t="s">
        <v>3688</v>
      </c>
      <c r="AL677" s="2259"/>
      <c r="AM677" s="2259"/>
      <c r="AN677" s="2259"/>
      <c r="AO677" s="2260"/>
      <c r="AP677" s="1908" t="s">
        <v>3699</v>
      </c>
      <c r="BC677" s="214"/>
      <c r="BD677" s="214"/>
      <c r="BE677" s="214"/>
      <c r="BF677" s="214"/>
    </row>
    <row r="678" spans="1:58" ht="45" hidden="1" customHeight="1">
      <c r="A678" s="808"/>
      <c r="B678" s="2280"/>
      <c r="C678" s="2281"/>
      <c r="D678" s="2282"/>
      <c r="E678" s="1909" t="s">
        <v>3682</v>
      </c>
      <c r="F678" s="1909" t="s">
        <v>4458</v>
      </c>
      <c r="G678" s="1909"/>
      <c r="H678" s="2283" t="s">
        <v>5207</v>
      </c>
      <c r="I678" s="2281"/>
      <c r="J678" s="2282"/>
      <c r="K678" s="2283" t="s">
        <v>1985</v>
      </c>
      <c r="L678" s="2282"/>
      <c r="M678" s="1909">
        <f>VLOOKUP(K678,'Estimate Details'!$R:$BR,20,FALSE)</f>
        <v>6641.96</v>
      </c>
      <c r="N678" s="1909" t="e">
        <f>VLOOKUP(M678,#REF!,2,FALSE)</f>
        <v>#REF!</v>
      </c>
      <c r="O678" s="1909" t="s">
        <v>4437</v>
      </c>
      <c r="P678" s="2284" t="s">
        <v>4180</v>
      </c>
      <c r="Q678" s="2281"/>
      <c r="R678" s="2282"/>
      <c r="S678" s="1909" t="s">
        <v>3688</v>
      </c>
      <c r="T678" s="1909" t="s">
        <v>3689</v>
      </c>
      <c r="U678" s="1909" t="s">
        <v>3707</v>
      </c>
      <c r="V678" s="1909" t="s">
        <v>4353</v>
      </c>
      <c r="W678" s="1909" t="s">
        <v>3688</v>
      </c>
      <c r="X678" s="1909"/>
      <c r="Y678" s="1909"/>
      <c r="Z678" s="1909"/>
      <c r="AA678" s="1909" t="s">
        <v>3694</v>
      </c>
      <c r="AB678" s="1909" t="s">
        <v>3688</v>
      </c>
      <c r="AC678" s="1909" t="s">
        <v>3696</v>
      </c>
      <c r="AD678" s="2283" t="s">
        <v>3688</v>
      </c>
      <c r="AE678" s="2281"/>
      <c r="AF678" s="2282"/>
      <c r="AG678" s="2283" t="s">
        <v>4903</v>
      </c>
      <c r="AH678" s="2281"/>
      <c r="AI678" s="2282"/>
      <c r="AJ678" s="1909" t="s">
        <v>4355</v>
      </c>
      <c r="AK678" s="2283" t="s">
        <v>3688</v>
      </c>
      <c r="AL678" s="2281"/>
      <c r="AM678" s="2259"/>
      <c r="AN678" s="2281"/>
      <c r="AO678" s="2282"/>
      <c r="AP678" s="1909" t="s">
        <v>3699</v>
      </c>
      <c r="BC678" s="214"/>
      <c r="BD678" s="214"/>
      <c r="BE678" s="214"/>
      <c r="BF678" s="214"/>
    </row>
    <row r="679" spans="1:58" ht="45" hidden="1" customHeight="1">
      <c r="B679" s="2277"/>
      <c r="C679" s="2259"/>
      <c r="D679" s="2260"/>
      <c r="E679" s="1908" t="s">
        <v>3682</v>
      </c>
      <c r="F679" s="1908" t="s">
        <v>4458</v>
      </c>
      <c r="G679" s="1908"/>
      <c r="H679" s="2278" t="s">
        <v>5207</v>
      </c>
      <c r="I679" s="2259"/>
      <c r="J679" s="2260"/>
      <c r="K679" s="2278" t="s">
        <v>1987</v>
      </c>
      <c r="L679" s="2260"/>
      <c r="M679" s="1908">
        <f>VLOOKUP(K679,'Estimate Details'!$R:$BR,20,FALSE)</f>
        <v>6641.96</v>
      </c>
      <c r="N679" s="1908" t="e">
        <f>VLOOKUP(M679,#REF!,2,FALSE)</f>
        <v>#REF!</v>
      </c>
      <c r="O679" s="1908" t="s">
        <v>4438</v>
      </c>
      <c r="P679" s="2278" t="s">
        <v>4180</v>
      </c>
      <c r="Q679" s="2259"/>
      <c r="R679" s="2260"/>
      <c r="S679" s="1908" t="s">
        <v>3688</v>
      </c>
      <c r="T679" s="1908" t="s">
        <v>3689</v>
      </c>
      <c r="U679" s="1908" t="s">
        <v>3707</v>
      </c>
      <c r="V679" s="1908" t="s">
        <v>4353</v>
      </c>
      <c r="W679" s="1908" t="s">
        <v>3688</v>
      </c>
      <c r="X679" s="1908"/>
      <c r="Y679" s="1908"/>
      <c r="Z679" s="1908"/>
      <c r="AA679" s="1908" t="s">
        <v>3694</v>
      </c>
      <c r="AB679" s="1908" t="s">
        <v>3688</v>
      </c>
      <c r="AC679" s="1908" t="s">
        <v>3696</v>
      </c>
      <c r="AD679" s="2278" t="s">
        <v>3688</v>
      </c>
      <c r="AE679" s="2259"/>
      <c r="AF679" s="2260"/>
      <c r="AG679" s="2278" t="s">
        <v>4903</v>
      </c>
      <c r="AH679" s="2259"/>
      <c r="AI679" s="2260"/>
      <c r="AJ679" s="1908" t="s">
        <v>4355</v>
      </c>
      <c r="AK679" s="2278" t="s">
        <v>3688</v>
      </c>
      <c r="AL679" s="2259"/>
      <c r="AM679" s="2259"/>
      <c r="AN679" s="2259"/>
      <c r="AO679" s="2260"/>
      <c r="AP679" s="1908" t="s">
        <v>3699</v>
      </c>
      <c r="BC679" s="214"/>
      <c r="BD679" s="214"/>
      <c r="BE679" s="214"/>
      <c r="BF679" s="214"/>
    </row>
    <row r="680" spans="1:58" ht="45" hidden="1" customHeight="1">
      <c r="A680" s="808"/>
      <c r="B680" s="2280"/>
      <c r="C680" s="2281"/>
      <c r="D680" s="2282"/>
      <c r="E680" s="1909" t="s">
        <v>3682</v>
      </c>
      <c r="F680" s="1909" t="s">
        <v>4458</v>
      </c>
      <c r="G680" s="1909"/>
      <c r="H680" s="2283" t="s">
        <v>5207</v>
      </c>
      <c r="I680" s="2281"/>
      <c r="J680" s="2282"/>
      <c r="K680" s="2283" t="s">
        <v>5247</v>
      </c>
      <c r="L680" s="2282"/>
      <c r="M680" s="1909" t="e">
        <f>VLOOKUP(K680,'Estimate Details'!$R:$BR,20,FALSE)</f>
        <v>#N/A</v>
      </c>
      <c r="N680" s="1909" t="e">
        <f>VLOOKUP(M680,#REF!,2,FALSE)</f>
        <v>#N/A</v>
      </c>
      <c r="O680" s="1909" t="s">
        <v>5248</v>
      </c>
      <c r="P680" s="2284" t="s">
        <v>4180</v>
      </c>
      <c r="Q680" s="2281"/>
      <c r="R680" s="2282"/>
      <c r="S680" s="1909" t="s">
        <v>3688</v>
      </c>
      <c r="T680" s="1909" t="s">
        <v>3689</v>
      </c>
      <c r="U680" s="1909" t="s">
        <v>3707</v>
      </c>
      <c r="V680" s="1909" t="s">
        <v>4147</v>
      </c>
      <c r="W680" s="1909" t="s">
        <v>3688</v>
      </c>
      <c r="X680" s="1909"/>
      <c r="Y680" s="1909"/>
      <c r="Z680" s="1909"/>
      <c r="AA680" s="1909" t="s">
        <v>3957</v>
      </c>
      <c r="AB680" s="1909" t="s">
        <v>4191</v>
      </c>
      <c r="AC680" s="1909" t="s">
        <v>3696</v>
      </c>
      <c r="AD680" s="2283" t="s">
        <v>4192</v>
      </c>
      <c r="AE680" s="2281"/>
      <c r="AF680" s="2282"/>
      <c r="AG680" s="2283" t="s">
        <v>3696</v>
      </c>
      <c r="AH680" s="2281"/>
      <c r="AI680" s="2282"/>
      <c r="AJ680" s="1909" t="s">
        <v>4163</v>
      </c>
      <c r="AK680" s="2283" t="s">
        <v>4193</v>
      </c>
      <c r="AL680" s="2281"/>
      <c r="AM680" s="2259"/>
      <c r="AN680" s="2281"/>
      <c r="AO680" s="2282"/>
      <c r="AP680" s="1909" t="s">
        <v>3699</v>
      </c>
      <c r="BC680" s="214"/>
      <c r="BD680" s="214"/>
      <c r="BE680" s="214"/>
      <c r="BF680" s="214"/>
    </row>
    <row r="681" spans="1:58" ht="45" hidden="1" customHeight="1">
      <c r="B681" s="2277"/>
      <c r="C681" s="2259"/>
      <c r="D681" s="2260"/>
      <c r="E681" s="1908" t="s">
        <v>3682</v>
      </c>
      <c r="F681" s="1908" t="s">
        <v>4458</v>
      </c>
      <c r="G681" s="1908"/>
      <c r="H681" s="2278" t="s">
        <v>5207</v>
      </c>
      <c r="I681" s="2259"/>
      <c r="J681" s="2260"/>
      <c r="K681" s="2278" t="s">
        <v>1979</v>
      </c>
      <c r="L681" s="2260"/>
      <c r="M681" s="1908">
        <f>VLOOKUP(K681,'Estimate Details'!$R:$BR,20,FALSE)</f>
        <v>8954.42</v>
      </c>
      <c r="N681" s="1908" t="e">
        <f>VLOOKUP(M681,#REF!,2,FALSE)</f>
        <v>#REF!</v>
      </c>
      <c r="O681" s="1908" t="s">
        <v>5249</v>
      </c>
      <c r="P681" s="2278" t="s">
        <v>4352</v>
      </c>
      <c r="Q681" s="2259"/>
      <c r="R681" s="2260"/>
      <c r="S681" s="1908" t="s">
        <v>3688</v>
      </c>
      <c r="T681" s="1908" t="s">
        <v>3689</v>
      </c>
      <c r="U681" s="1908" t="s">
        <v>3707</v>
      </c>
      <c r="V681" s="1908" t="s">
        <v>4131</v>
      </c>
      <c r="W681" s="1908" t="s">
        <v>3688</v>
      </c>
      <c r="X681" s="1908"/>
      <c r="Y681" s="1908"/>
      <c r="Z681" s="1908"/>
      <c r="AA681" s="1908" t="s">
        <v>4354</v>
      </c>
      <c r="AB681" s="1908" t="s">
        <v>3688</v>
      </c>
      <c r="AC681" s="1908" t="s">
        <v>3696</v>
      </c>
      <c r="AD681" s="2278" t="s">
        <v>3688</v>
      </c>
      <c r="AE681" s="2259"/>
      <c r="AF681" s="2260"/>
      <c r="AG681" s="2278" t="s">
        <v>3696</v>
      </c>
      <c r="AH681" s="2259"/>
      <c r="AI681" s="2260"/>
      <c r="AJ681" s="1908" t="s">
        <v>4355</v>
      </c>
      <c r="AK681" s="2278" t="s">
        <v>3688</v>
      </c>
      <c r="AL681" s="2259"/>
      <c r="AM681" s="2259"/>
      <c r="AN681" s="2259"/>
      <c r="AO681" s="2260"/>
      <c r="AP681" s="1908" t="s">
        <v>3699</v>
      </c>
      <c r="BC681" s="214"/>
      <c r="BD681" s="214"/>
      <c r="BE681" s="214"/>
      <c r="BF681" s="214"/>
    </row>
    <row r="682" spans="1:58" ht="45" hidden="1" customHeight="1">
      <c r="A682" s="808"/>
      <c r="B682" s="2280"/>
      <c r="C682" s="2281"/>
      <c r="D682" s="2282"/>
      <c r="E682" s="1909" t="s">
        <v>3682</v>
      </c>
      <c r="F682" s="1909" t="s">
        <v>4458</v>
      </c>
      <c r="G682" s="1909"/>
      <c r="H682" s="2283" t="s">
        <v>5250</v>
      </c>
      <c r="I682" s="2281"/>
      <c r="J682" s="2282"/>
      <c r="K682" s="2283" t="s">
        <v>5251</v>
      </c>
      <c r="L682" s="2282"/>
      <c r="M682" s="1909" t="e">
        <f>VLOOKUP(K682,'Estimate Details'!$R:$BR,20,FALSE)</f>
        <v>#N/A</v>
      </c>
      <c r="N682" s="1909" t="e">
        <f>VLOOKUP(M682,#REF!,2,FALSE)</f>
        <v>#N/A</v>
      </c>
      <c r="O682" s="1909" t="s">
        <v>4442</v>
      </c>
      <c r="P682" s="2284" t="s">
        <v>4130</v>
      </c>
      <c r="Q682" s="2281"/>
      <c r="R682" s="2282"/>
      <c r="S682" s="1909" t="s">
        <v>3688</v>
      </c>
      <c r="T682" s="1909" t="s">
        <v>3689</v>
      </c>
      <c r="U682" s="1909" t="s">
        <v>3707</v>
      </c>
      <c r="V682" s="1909" t="s">
        <v>4131</v>
      </c>
      <c r="W682" s="1909" t="s">
        <v>3688</v>
      </c>
      <c r="X682" s="1909"/>
      <c r="Y682" s="1909"/>
      <c r="Z682" s="1909"/>
      <c r="AA682" s="1909" t="s">
        <v>3694</v>
      </c>
      <c r="AB682" s="1909" t="s">
        <v>3688</v>
      </c>
      <c r="AC682" s="1909" t="s">
        <v>3804</v>
      </c>
      <c r="AD682" s="2283" t="s">
        <v>3688</v>
      </c>
      <c r="AE682" s="2281"/>
      <c r="AF682" s="2282"/>
      <c r="AG682" s="2283" t="s">
        <v>3696</v>
      </c>
      <c r="AH682" s="2281"/>
      <c r="AI682" s="2282"/>
      <c r="AJ682" s="1909" t="s">
        <v>4133</v>
      </c>
      <c r="AK682" s="2283" t="s">
        <v>3688</v>
      </c>
      <c r="AL682" s="2281"/>
      <c r="AM682" s="2259"/>
      <c r="AN682" s="2281"/>
      <c r="AO682" s="2282"/>
      <c r="AP682" s="1909" t="s">
        <v>3699</v>
      </c>
      <c r="BC682" s="214"/>
      <c r="BD682" s="214"/>
      <c r="BE682" s="214"/>
      <c r="BF682" s="214"/>
    </row>
    <row r="683" spans="1:58" ht="45" hidden="1" customHeight="1">
      <c r="B683" s="2277"/>
      <c r="C683" s="2259"/>
      <c r="D683" s="2260"/>
      <c r="E683" s="1908" t="s">
        <v>3682</v>
      </c>
      <c r="F683" s="1908" t="s">
        <v>4458</v>
      </c>
      <c r="G683" s="1908"/>
      <c r="H683" s="2278" t="s">
        <v>5250</v>
      </c>
      <c r="I683" s="2259"/>
      <c r="J683" s="2260"/>
      <c r="K683" s="2278" t="s">
        <v>5252</v>
      </c>
      <c r="L683" s="2260"/>
      <c r="M683" s="1908" t="e">
        <f>VLOOKUP(K683,'Estimate Details'!$R:$BR,20,FALSE)</f>
        <v>#N/A</v>
      </c>
      <c r="N683" s="1908" t="e">
        <f>VLOOKUP(M683,#REF!,2,FALSE)</f>
        <v>#N/A</v>
      </c>
      <c r="O683" s="1908" t="s">
        <v>4444</v>
      </c>
      <c r="P683" s="2278" t="s">
        <v>4130</v>
      </c>
      <c r="Q683" s="2259"/>
      <c r="R683" s="2260"/>
      <c r="S683" s="1908" t="s">
        <v>3688</v>
      </c>
      <c r="T683" s="1908" t="s">
        <v>3689</v>
      </c>
      <c r="U683" s="1908" t="s">
        <v>3707</v>
      </c>
      <c r="V683" s="1908" t="s">
        <v>4131</v>
      </c>
      <c r="W683" s="1908" t="s">
        <v>3688</v>
      </c>
      <c r="X683" s="1908"/>
      <c r="Y683" s="1908"/>
      <c r="Z683" s="1908"/>
      <c r="AA683" s="1908" t="s">
        <v>3694</v>
      </c>
      <c r="AB683" s="1908" t="s">
        <v>3688</v>
      </c>
      <c r="AC683" s="1908" t="s">
        <v>3804</v>
      </c>
      <c r="AD683" s="2278" t="s">
        <v>3688</v>
      </c>
      <c r="AE683" s="2259"/>
      <c r="AF683" s="2260"/>
      <c r="AG683" s="2278" t="s">
        <v>3696</v>
      </c>
      <c r="AH683" s="2259"/>
      <c r="AI683" s="2260"/>
      <c r="AJ683" s="1908" t="s">
        <v>4133</v>
      </c>
      <c r="AK683" s="2278" t="s">
        <v>3688</v>
      </c>
      <c r="AL683" s="2259"/>
      <c r="AM683" s="2259"/>
      <c r="AN683" s="2259"/>
      <c r="AO683" s="2260"/>
      <c r="AP683" s="1908" t="s">
        <v>3699</v>
      </c>
      <c r="BC683" s="214"/>
      <c r="BD683" s="214"/>
      <c r="BE683" s="214"/>
      <c r="BF683" s="214"/>
    </row>
    <row r="684" spans="1:58" ht="45" hidden="1" customHeight="1">
      <c r="A684" s="808"/>
      <c r="B684" s="2280"/>
      <c r="C684" s="2281"/>
      <c r="D684" s="2282"/>
      <c r="E684" s="1909" t="s">
        <v>3682</v>
      </c>
      <c r="F684" s="1909" t="s">
        <v>4458</v>
      </c>
      <c r="G684" s="1909"/>
      <c r="H684" s="2283" t="s">
        <v>5250</v>
      </c>
      <c r="I684" s="2281"/>
      <c r="J684" s="2282"/>
      <c r="K684" s="2283" t="s">
        <v>5253</v>
      </c>
      <c r="L684" s="2282"/>
      <c r="M684" s="1909" t="e">
        <f>VLOOKUP(K684,'Estimate Details'!$R:$BR,20,FALSE)</f>
        <v>#N/A</v>
      </c>
      <c r="N684" s="1909" t="e">
        <f>VLOOKUP(M684,#REF!,2,FALSE)</f>
        <v>#N/A</v>
      </c>
      <c r="O684" s="1909" t="s">
        <v>4055</v>
      </c>
      <c r="P684" s="2284" t="s">
        <v>4055</v>
      </c>
      <c r="Q684" s="2281"/>
      <c r="R684" s="2282"/>
      <c r="S684" s="1909" t="s">
        <v>3688</v>
      </c>
      <c r="T684" s="1909" t="s">
        <v>3689</v>
      </c>
      <c r="U684" s="1909" t="s">
        <v>3707</v>
      </c>
      <c r="V684" s="1909" t="s">
        <v>4131</v>
      </c>
      <c r="W684" s="1909" t="s">
        <v>3688</v>
      </c>
      <c r="X684" s="1909"/>
      <c r="Y684" s="1909"/>
      <c r="Z684" s="1909"/>
      <c r="AA684" s="1909" t="s">
        <v>3694</v>
      </c>
      <c r="AB684" s="1909" t="s">
        <v>3688</v>
      </c>
      <c r="AC684" s="1909" t="s">
        <v>3696</v>
      </c>
      <c r="AD684" s="2283" t="s">
        <v>3688</v>
      </c>
      <c r="AE684" s="2281"/>
      <c r="AF684" s="2282"/>
      <c r="AG684" s="2283" t="s">
        <v>3696</v>
      </c>
      <c r="AH684" s="2281"/>
      <c r="AI684" s="2282"/>
      <c r="AJ684" s="1909" t="s">
        <v>4133</v>
      </c>
      <c r="AK684" s="2283" t="s">
        <v>3688</v>
      </c>
      <c r="AL684" s="2281"/>
      <c r="AM684" s="2259"/>
      <c r="AN684" s="2281"/>
      <c r="AO684" s="2282"/>
      <c r="AP684" s="1909" t="s">
        <v>3699</v>
      </c>
      <c r="BC684" s="214"/>
      <c r="BD684" s="214"/>
      <c r="BE684" s="214"/>
      <c r="BF684" s="214"/>
    </row>
    <row r="685" spans="1:58" ht="45" hidden="1" customHeight="1">
      <c r="B685" s="2277"/>
      <c r="C685" s="2259"/>
      <c r="D685" s="2260"/>
      <c r="E685" s="1908" t="s">
        <v>3682</v>
      </c>
      <c r="F685" s="1908" t="s">
        <v>4458</v>
      </c>
      <c r="G685" s="1908"/>
      <c r="H685" s="2278" t="s">
        <v>5250</v>
      </c>
      <c r="I685" s="2259"/>
      <c r="J685" s="2260"/>
      <c r="K685" s="2278" t="s">
        <v>2008</v>
      </c>
      <c r="L685" s="2260"/>
      <c r="M685" s="1908">
        <f>VLOOKUP(K685,'Estimate Details'!$R:$BR,20,FALSE)</f>
        <v>6641.96</v>
      </c>
      <c r="N685" s="1908" t="e">
        <f>VLOOKUP(M685,#REF!,2,FALSE)</f>
        <v>#REF!</v>
      </c>
      <c r="O685" s="1908" t="s">
        <v>4447</v>
      </c>
      <c r="P685" s="2278" t="s">
        <v>4180</v>
      </c>
      <c r="Q685" s="2259"/>
      <c r="R685" s="2260"/>
      <c r="S685" s="1908" t="s">
        <v>3688</v>
      </c>
      <c r="T685" s="1908" t="s">
        <v>3689</v>
      </c>
      <c r="U685" s="1908" t="s">
        <v>3707</v>
      </c>
      <c r="V685" s="1908" t="s">
        <v>4131</v>
      </c>
      <c r="W685" s="1908" t="s">
        <v>3688</v>
      </c>
      <c r="X685" s="1908"/>
      <c r="Y685" s="1908"/>
      <c r="Z685" s="1908"/>
      <c r="AA685" s="1908" t="s">
        <v>3694</v>
      </c>
      <c r="AB685" s="1908" t="s">
        <v>3688</v>
      </c>
      <c r="AC685" s="1908" t="s">
        <v>3696</v>
      </c>
      <c r="AD685" s="2278" t="s">
        <v>3688</v>
      </c>
      <c r="AE685" s="2259"/>
      <c r="AF685" s="2260"/>
      <c r="AG685" s="2278" t="s">
        <v>3696</v>
      </c>
      <c r="AH685" s="2259"/>
      <c r="AI685" s="2260"/>
      <c r="AJ685" s="1908" t="s">
        <v>4133</v>
      </c>
      <c r="AK685" s="2278" t="s">
        <v>3688</v>
      </c>
      <c r="AL685" s="2259"/>
      <c r="AM685" s="2259"/>
      <c r="AN685" s="2259"/>
      <c r="AO685" s="2260"/>
      <c r="AP685" s="1908" t="s">
        <v>3699</v>
      </c>
      <c r="BC685" s="214"/>
      <c r="BD685" s="214"/>
      <c r="BE685" s="214"/>
      <c r="BF685" s="214"/>
    </row>
    <row r="686" spans="1:58" ht="45" hidden="1" customHeight="1">
      <c r="A686" s="808"/>
      <c r="B686" s="2280"/>
      <c r="C686" s="2281"/>
      <c r="D686" s="2282"/>
      <c r="E686" s="1909" t="s">
        <v>3682</v>
      </c>
      <c r="F686" s="1909" t="s">
        <v>4458</v>
      </c>
      <c r="G686" s="1909"/>
      <c r="H686" s="2283" t="s">
        <v>5250</v>
      </c>
      <c r="I686" s="2281"/>
      <c r="J686" s="2282"/>
      <c r="K686" s="2283" t="s">
        <v>2002</v>
      </c>
      <c r="L686" s="2282"/>
      <c r="M686" s="1909">
        <f>VLOOKUP(K686,'Estimate Details'!$R:$BR,20,FALSE)</f>
        <v>23101</v>
      </c>
      <c r="N686" s="1909" t="e">
        <f>VLOOKUP(M686,#REF!,2,FALSE)</f>
        <v>#REF!</v>
      </c>
      <c r="O686" s="1909" t="s">
        <v>4448</v>
      </c>
      <c r="P686" s="2284" t="s">
        <v>4352</v>
      </c>
      <c r="Q686" s="2281"/>
      <c r="R686" s="2282"/>
      <c r="S686" s="1909" t="s">
        <v>3688</v>
      </c>
      <c r="T686" s="1909" t="s">
        <v>3689</v>
      </c>
      <c r="U686" s="1909" t="s">
        <v>3707</v>
      </c>
      <c r="V686" s="1909" t="s">
        <v>4131</v>
      </c>
      <c r="W686" s="1909" t="s">
        <v>3688</v>
      </c>
      <c r="X686" s="1909"/>
      <c r="Y686" s="1909"/>
      <c r="Z686" s="1909"/>
      <c r="AA686" s="1909" t="s">
        <v>4354</v>
      </c>
      <c r="AB686" s="1909" t="s">
        <v>3688</v>
      </c>
      <c r="AC686" s="1909" t="s">
        <v>3696</v>
      </c>
      <c r="AD686" s="2283" t="s">
        <v>3688</v>
      </c>
      <c r="AE686" s="2281"/>
      <c r="AF686" s="2282"/>
      <c r="AG686" s="2283" t="s">
        <v>5254</v>
      </c>
      <c r="AH686" s="2281"/>
      <c r="AI686" s="2282"/>
      <c r="AJ686" s="1909" t="s">
        <v>4133</v>
      </c>
      <c r="AK686" s="2283" t="s">
        <v>3688</v>
      </c>
      <c r="AL686" s="2281"/>
      <c r="AM686" s="2259"/>
      <c r="AN686" s="2281"/>
      <c r="AO686" s="2282"/>
      <c r="AP686" s="1909" t="s">
        <v>3699</v>
      </c>
      <c r="BC686" s="214"/>
      <c r="BD686" s="214"/>
      <c r="BE686" s="214"/>
      <c r="BF686" s="214"/>
    </row>
    <row r="687" spans="1:58" ht="45" hidden="1" customHeight="1">
      <c r="B687" s="2277"/>
      <c r="C687" s="2259"/>
      <c r="D687" s="2260"/>
      <c r="E687" s="1908" t="s">
        <v>3682</v>
      </c>
      <c r="F687" s="1908" t="s">
        <v>4458</v>
      </c>
      <c r="G687" s="1908"/>
      <c r="H687" s="2278" t="s">
        <v>5255</v>
      </c>
      <c r="I687" s="2259"/>
      <c r="J687" s="2260"/>
      <c r="K687" s="2278" t="s">
        <v>5256</v>
      </c>
      <c r="L687" s="2260"/>
      <c r="M687" s="1908" t="e">
        <f>VLOOKUP(K687,'Estimate Details'!$R:$BR,20,FALSE)</f>
        <v>#N/A</v>
      </c>
      <c r="N687" s="1908" t="e">
        <f>VLOOKUP(M687,#REF!,2,FALSE)</f>
        <v>#N/A</v>
      </c>
      <c r="O687" s="1908" t="s">
        <v>5257</v>
      </c>
      <c r="P687" s="2278" t="s">
        <v>4130</v>
      </c>
      <c r="Q687" s="2259"/>
      <c r="R687" s="2260"/>
      <c r="S687" s="1908" t="s">
        <v>3688</v>
      </c>
      <c r="T687" s="1908" t="s">
        <v>3689</v>
      </c>
      <c r="U687" s="1908" t="s">
        <v>3707</v>
      </c>
      <c r="V687" s="1908" t="s">
        <v>4147</v>
      </c>
      <c r="W687" s="1908" t="s">
        <v>3688</v>
      </c>
      <c r="X687" s="1908"/>
      <c r="Y687" s="1908"/>
      <c r="Z687" s="1908"/>
      <c r="AA687" s="1908" t="s">
        <v>3694</v>
      </c>
      <c r="AB687" s="1908" t="s">
        <v>4161</v>
      </c>
      <c r="AC687" s="1908" t="s">
        <v>4150</v>
      </c>
      <c r="AD687" s="2278" t="s">
        <v>4162</v>
      </c>
      <c r="AE687" s="2259"/>
      <c r="AF687" s="2260"/>
      <c r="AG687" s="2278" t="s">
        <v>3696</v>
      </c>
      <c r="AH687" s="2259"/>
      <c r="AI687" s="2260"/>
      <c r="AJ687" s="1908" t="s">
        <v>4163</v>
      </c>
      <c r="AK687" s="2278" t="s">
        <v>4164</v>
      </c>
      <c r="AL687" s="2259"/>
      <c r="AM687" s="2259"/>
      <c r="AN687" s="2259"/>
      <c r="AO687" s="2260"/>
      <c r="AP687" s="1908" t="s">
        <v>3699</v>
      </c>
      <c r="BC687" s="214"/>
      <c r="BD687" s="214"/>
      <c r="BE687" s="214"/>
      <c r="BF687" s="214"/>
    </row>
    <row r="688" spans="1:58" ht="45" hidden="1" customHeight="1">
      <c r="A688" s="808"/>
      <c r="B688" s="2280"/>
      <c r="C688" s="2281"/>
      <c r="D688" s="2282"/>
      <c r="E688" s="1909" t="s">
        <v>3682</v>
      </c>
      <c r="F688" s="1911" t="s">
        <v>3688</v>
      </c>
      <c r="G688" s="1911"/>
      <c r="H688" s="2286" t="s">
        <v>5255</v>
      </c>
      <c r="I688" s="2281"/>
      <c r="J688" s="2282"/>
      <c r="K688" s="2286" t="s">
        <v>5258</v>
      </c>
      <c r="L688" s="2282"/>
      <c r="M688" s="1911" t="e">
        <f>VLOOKUP(K688,'Estimate Details'!$R:$BR,20,FALSE)</f>
        <v>#N/A</v>
      </c>
      <c r="N688" s="1911" t="e">
        <f>VLOOKUP(M688,#REF!,2,FALSE)</f>
        <v>#N/A</v>
      </c>
      <c r="O688" s="1911" t="s">
        <v>4166</v>
      </c>
      <c r="P688" s="2287" t="s">
        <v>3688</v>
      </c>
      <c r="Q688" s="2281"/>
      <c r="R688" s="2282"/>
      <c r="S688" s="1911" t="s">
        <v>5259</v>
      </c>
      <c r="T688" s="1911" t="s">
        <v>3689</v>
      </c>
      <c r="U688" s="1911" t="s">
        <v>3688</v>
      </c>
      <c r="V688" s="1911" t="s">
        <v>3688</v>
      </c>
      <c r="W688" s="1911" t="s">
        <v>3688</v>
      </c>
      <c r="X688" s="1911"/>
      <c r="Y688" s="1911"/>
      <c r="Z688" s="1911"/>
      <c r="AA688" s="1911" t="s">
        <v>3694</v>
      </c>
      <c r="AB688" s="1911" t="s">
        <v>3688</v>
      </c>
      <c r="AC688" s="1911" t="s">
        <v>4105</v>
      </c>
      <c r="AD688" s="2286" t="s">
        <v>3688</v>
      </c>
      <c r="AE688" s="2281"/>
      <c r="AF688" s="2282"/>
      <c r="AG688" s="2286" t="s">
        <v>3696</v>
      </c>
      <c r="AH688" s="2281"/>
      <c r="AI688" s="2282"/>
      <c r="AJ688" s="1911" t="s">
        <v>4168</v>
      </c>
      <c r="AK688" s="2286" t="s">
        <v>3688</v>
      </c>
      <c r="AL688" s="2281"/>
      <c r="AM688" s="2259"/>
      <c r="AN688" s="2281"/>
      <c r="AO688" s="2282"/>
      <c r="AP688" s="1911" t="s">
        <v>3688</v>
      </c>
      <c r="BC688" s="214"/>
      <c r="BD688" s="214"/>
      <c r="BE688" s="214"/>
      <c r="BF688" s="214"/>
    </row>
    <row r="689" spans="1:58" ht="45" hidden="1" customHeight="1">
      <c r="B689" s="2277"/>
      <c r="C689" s="2259"/>
      <c r="D689" s="2260"/>
      <c r="E689" s="1908" t="s">
        <v>3682</v>
      </c>
      <c r="F689" s="1908" t="s">
        <v>4458</v>
      </c>
      <c r="G689" s="1908"/>
      <c r="H689" s="2278" t="s">
        <v>5255</v>
      </c>
      <c r="I689" s="2259"/>
      <c r="J689" s="2260"/>
      <c r="K689" s="2278" t="s">
        <v>5260</v>
      </c>
      <c r="L689" s="2260"/>
      <c r="M689" s="1908" t="e">
        <f>VLOOKUP(K689,'Estimate Details'!$R:$BR,20,FALSE)</f>
        <v>#N/A</v>
      </c>
      <c r="N689" s="1908" t="e">
        <f>VLOOKUP(M689,#REF!,2,FALSE)</f>
        <v>#N/A</v>
      </c>
      <c r="O689" s="1908" t="s">
        <v>5261</v>
      </c>
      <c r="P689" s="2278" t="s">
        <v>4130</v>
      </c>
      <c r="Q689" s="2259"/>
      <c r="R689" s="2260"/>
      <c r="S689" s="1908" t="s">
        <v>3688</v>
      </c>
      <c r="T689" s="1908" t="s">
        <v>3689</v>
      </c>
      <c r="U689" s="1908" t="s">
        <v>3707</v>
      </c>
      <c r="V689" s="1908" t="s">
        <v>4147</v>
      </c>
      <c r="W689" s="1908" t="s">
        <v>3688</v>
      </c>
      <c r="X689" s="1908"/>
      <c r="Y689" s="1908"/>
      <c r="Z689" s="1908"/>
      <c r="AA689" s="1908" t="s">
        <v>3694</v>
      </c>
      <c r="AB689" s="1908" t="s">
        <v>4161</v>
      </c>
      <c r="AC689" s="1908" t="s">
        <v>4150</v>
      </c>
      <c r="AD689" s="2278" t="s">
        <v>4162</v>
      </c>
      <c r="AE689" s="2259"/>
      <c r="AF689" s="2260"/>
      <c r="AG689" s="2278" t="s">
        <v>3696</v>
      </c>
      <c r="AH689" s="2259"/>
      <c r="AI689" s="2260"/>
      <c r="AJ689" s="1908" t="s">
        <v>4163</v>
      </c>
      <c r="AK689" s="2278" t="s">
        <v>4164</v>
      </c>
      <c r="AL689" s="2259"/>
      <c r="AM689" s="2259"/>
      <c r="AN689" s="2259"/>
      <c r="AO689" s="2260"/>
      <c r="AP689" s="1908" t="s">
        <v>3699</v>
      </c>
      <c r="BC689" s="214"/>
      <c r="BD689" s="214"/>
      <c r="BE689" s="214"/>
      <c r="BF689" s="214"/>
    </row>
    <row r="690" spans="1:58" ht="45" hidden="1" customHeight="1">
      <c r="A690" s="808"/>
      <c r="B690" s="2280"/>
      <c r="C690" s="2281"/>
      <c r="D690" s="2282"/>
      <c r="E690" s="1909" t="s">
        <v>3682</v>
      </c>
      <c r="F690" s="1911" t="s">
        <v>3688</v>
      </c>
      <c r="G690" s="1911"/>
      <c r="H690" s="2286" t="s">
        <v>5255</v>
      </c>
      <c r="I690" s="2281"/>
      <c r="J690" s="2282"/>
      <c r="K690" s="2286" t="s">
        <v>5262</v>
      </c>
      <c r="L690" s="2282"/>
      <c r="M690" s="1911" t="e">
        <f>VLOOKUP(K690,'Estimate Details'!$R:$BR,20,FALSE)</f>
        <v>#N/A</v>
      </c>
      <c r="N690" s="1911" t="e">
        <f>VLOOKUP(M690,#REF!,2,FALSE)</f>
        <v>#N/A</v>
      </c>
      <c r="O690" s="1911" t="s">
        <v>4166</v>
      </c>
      <c r="P690" s="2287" t="s">
        <v>3688</v>
      </c>
      <c r="Q690" s="2281"/>
      <c r="R690" s="2282"/>
      <c r="S690" s="1911" t="s">
        <v>5263</v>
      </c>
      <c r="T690" s="1911" t="s">
        <v>3689</v>
      </c>
      <c r="U690" s="1911" t="s">
        <v>3688</v>
      </c>
      <c r="V690" s="1911" t="s">
        <v>3688</v>
      </c>
      <c r="W690" s="1911" t="s">
        <v>3688</v>
      </c>
      <c r="X690" s="1911"/>
      <c r="Y690" s="1911"/>
      <c r="Z690" s="1911"/>
      <c r="AA690" s="1911" t="s">
        <v>3694</v>
      </c>
      <c r="AB690" s="1911" t="s">
        <v>3688</v>
      </c>
      <c r="AC690" s="1911" t="s">
        <v>4105</v>
      </c>
      <c r="AD690" s="2286" t="s">
        <v>3688</v>
      </c>
      <c r="AE690" s="2281"/>
      <c r="AF690" s="2282"/>
      <c r="AG690" s="2286" t="s">
        <v>3696</v>
      </c>
      <c r="AH690" s="2281"/>
      <c r="AI690" s="2282"/>
      <c r="AJ690" s="1911" t="s">
        <v>4168</v>
      </c>
      <c r="AK690" s="2286" t="s">
        <v>3688</v>
      </c>
      <c r="AL690" s="2281"/>
      <c r="AM690" s="2259"/>
      <c r="AN690" s="2281"/>
      <c r="AO690" s="2282"/>
      <c r="AP690" s="1911" t="s">
        <v>3688</v>
      </c>
      <c r="BC690" s="214"/>
      <c r="BD690" s="214"/>
      <c r="BE690" s="214"/>
      <c r="BF690" s="214"/>
    </row>
    <row r="691" spans="1:58" ht="45" hidden="1" customHeight="1">
      <c r="B691" s="2277"/>
      <c r="C691" s="2259"/>
      <c r="D691" s="2260"/>
      <c r="E691" s="1908" t="s">
        <v>3682</v>
      </c>
      <c r="F691" s="1908" t="s">
        <v>4458</v>
      </c>
      <c r="G691" s="1908"/>
      <c r="H691" s="2278" t="s">
        <v>5255</v>
      </c>
      <c r="I691" s="2259"/>
      <c r="J691" s="2260"/>
      <c r="K691" s="2278" t="s">
        <v>2026</v>
      </c>
      <c r="L691" s="2260"/>
      <c r="M691" s="1908">
        <f>VLOOKUP(K691,'Estimate Details'!$R:$BR,20,FALSE)</f>
        <v>3320.9800000000005</v>
      </c>
      <c r="N691" s="1908" t="e">
        <f>VLOOKUP(M691,#REF!,2,FALSE)</f>
        <v>#REF!</v>
      </c>
      <c r="O691" s="1908" t="s">
        <v>5264</v>
      </c>
      <c r="P691" s="2278" t="s">
        <v>4180</v>
      </c>
      <c r="Q691" s="2259"/>
      <c r="R691" s="2260"/>
      <c r="S691" s="1908" t="s">
        <v>3688</v>
      </c>
      <c r="T691" s="1908" t="s">
        <v>3689</v>
      </c>
      <c r="U691" s="1908" t="s">
        <v>3707</v>
      </c>
      <c r="V691" s="1908" t="s">
        <v>4147</v>
      </c>
      <c r="W691" s="1908" t="s">
        <v>3688</v>
      </c>
      <c r="X691" s="1908"/>
      <c r="Y691" s="1908"/>
      <c r="Z691" s="1908"/>
      <c r="AA691" s="1908" t="s">
        <v>3957</v>
      </c>
      <c r="AB691" s="1908" t="s">
        <v>4191</v>
      </c>
      <c r="AC691" s="1908" t="s">
        <v>3696</v>
      </c>
      <c r="AD691" s="2278" t="s">
        <v>4192</v>
      </c>
      <c r="AE691" s="2259"/>
      <c r="AF691" s="2260"/>
      <c r="AG691" s="2278" t="s">
        <v>3696</v>
      </c>
      <c r="AH691" s="2259"/>
      <c r="AI691" s="2260"/>
      <c r="AJ691" s="1908" t="s">
        <v>4163</v>
      </c>
      <c r="AK691" s="2278" t="s">
        <v>4193</v>
      </c>
      <c r="AL691" s="2259"/>
      <c r="AM691" s="2259"/>
      <c r="AN691" s="2259"/>
      <c r="AO691" s="2260"/>
      <c r="AP691" s="1908" t="s">
        <v>3699</v>
      </c>
      <c r="BC691" s="214"/>
      <c r="BD691" s="214"/>
      <c r="BE691" s="214"/>
      <c r="BF691" s="214"/>
    </row>
    <row r="692" spans="1:58" ht="45" hidden="1" customHeight="1">
      <c r="A692" s="808"/>
      <c r="B692" s="2280"/>
      <c r="C692" s="2281"/>
      <c r="D692" s="2282"/>
      <c r="E692" s="1909" t="s">
        <v>3682</v>
      </c>
      <c r="F692" s="1909" t="s">
        <v>4458</v>
      </c>
      <c r="G692" s="1909"/>
      <c r="H692" s="2283" t="s">
        <v>5265</v>
      </c>
      <c r="I692" s="2281"/>
      <c r="J692" s="2282"/>
      <c r="K692" s="2283" t="s">
        <v>2039</v>
      </c>
      <c r="L692" s="2282"/>
      <c r="M692" s="1909">
        <f>VLOOKUP(K692,'Estimate Details'!$R:$BR,20,FALSE)</f>
        <v>0</v>
      </c>
      <c r="N692" s="1909" t="e">
        <f>VLOOKUP(M692,#REF!,2,FALSE)</f>
        <v>#REF!</v>
      </c>
      <c r="O692" s="1909" t="s">
        <v>5266</v>
      </c>
      <c r="P692" s="2284" t="s">
        <v>5267</v>
      </c>
      <c r="Q692" s="2281"/>
      <c r="R692" s="2282"/>
      <c r="S692" s="1909" t="s">
        <v>3688</v>
      </c>
      <c r="T692" s="1909" t="s">
        <v>3689</v>
      </c>
      <c r="U692" s="1909" t="s">
        <v>3707</v>
      </c>
      <c r="V692" s="1909" t="s">
        <v>4176</v>
      </c>
      <c r="W692" s="1909" t="s">
        <v>3688</v>
      </c>
      <c r="X692" s="1909"/>
      <c r="Y692" s="1909"/>
      <c r="Z692" s="1909"/>
      <c r="AA692" s="1909" t="s">
        <v>3694</v>
      </c>
      <c r="AB692" s="1909" t="s">
        <v>3688</v>
      </c>
      <c r="AC692" s="1909" t="s">
        <v>3696</v>
      </c>
      <c r="AD692" s="2283" t="s">
        <v>3688</v>
      </c>
      <c r="AE692" s="2281"/>
      <c r="AF692" s="2282"/>
      <c r="AG692" s="2283" t="s">
        <v>3696</v>
      </c>
      <c r="AH692" s="2281"/>
      <c r="AI692" s="2282"/>
      <c r="AJ692" s="1909" t="s">
        <v>5268</v>
      </c>
      <c r="AK692" s="2283" t="s">
        <v>3688</v>
      </c>
      <c r="AL692" s="2281"/>
      <c r="AM692" s="2259"/>
      <c r="AN692" s="2281"/>
      <c r="AO692" s="2282"/>
      <c r="AP692" s="1909" t="s">
        <v>3699</v>
      </c>
      <c r="BC692" s="214"/>
      <c r="BD692" s="214"/>
      <c r="BE692" s="214"/>
      <c r="BF692" s="214"/>
    </row>
    <row r="693" spans="1:58" ht="45" hidden="1" customHeight="1">
      <c r="B693" s="2277"/>
      <c r="C693" s="2259"/>
      <c r="D693" s="2260"/>
      <c r="E693" s="1908" t="s">
        <v>3682</v>
      </c>
      <c r="F693" s="1908" t="s">
        <v>4458</v>
      </c>
      <c r="G693" s="1908"/>
      <c r="H693" s="2278" t="s">
        <v>5265</v>
      </c>
      <c r="I693" s="2259"/>
      <c r="J693" s="2260"/>
      <c r="K693" s="2278" t="s">
        <v>2042</v>
      </c>
      <c r="L693" s="2260"/>
      <c r="M693" s="1908">
        <f>VLOOKUP(K693,'Estimate Details'!$R:$BR,20,FALSE)</f>
        <v>0</v>
      </c>
      <c r="N693" s="1908" t="e">
        <f>VLOOKUP(M693,#REF!,2,FALSE)</f>
        <v>#REF!</v>
      </c>
      <c r="O693" s="1908" t="s">
        <v>5269</v>
      </c>
      <c r="P693" s="2278" t="s">
        <v>5267</v>
      </c>
      <c r="Q693" s="2259"/>
      <c r="R693" s="2260"/>
      <c r="S693" s="1908" t="s">
        <v>3688</v>
      </c>
      <c r="T693" s="1908" t="s">
        <v>3689</v>
      </c>
      <c r="U693" s="1908" t="s">
        <v>3707</v>
      </c>
      <c r="V693" s="1908" t="s">
        <v>4176</v>
      </c>
      <c r="W693" s="1908" t="s">
        <v>3688</v>
      </c>
      <c r="X693" s="1908"/>
      <c r="Y693" s="1908"/>
      <c r="Z693" s="1908"/>
      <c r="AA693" s="1908" t="s">
        <v>3694</v>
      </c>
      <c r="AB693" s="1908" t="s">
        <v>3688</v>
      </c>
      <c r="AC693" s="1908" t="s">
        <v>3696</v>
      </c>
      <c r="AD693" s="2278" t="s">
        <v>3688</v>
      </c>
      <c r="AE693" s="2259"/>
      <c r="AF693" s="2260"/>
      <c r="AG693" s="2278" t="s">
        <v>3696</v>
      </c>
      <c r="AH693" s="2259"/>
      <c r="AI693" s="2260"/>
      <c r="AJ693" s="1908" t="s">
        <v>5268</v>
      </c>
      <c r="AK693" s="2278" t="s">
        <v>3688</v>
      </c>
      <c r="AL693" s="2259"/>
      <c r="AM693" s="2259"/>
      <c r="AN693" s="2259"/>
      <c r="AO693" s="2260"/>
      <c r="AP693" s="1908" t="s">
        <v>3699</v>
      </c>
      <c r="BC693" s="214"/>
      <c r="BD693" s="214"/>
      <c r="BE693" s="214"/>
      <c r="BF693" s="214"/>
    </row>
    <row r="694" spans="1:58" ht="45" hidden="1" customHeight="1">
      <c r="A694" s="808"/>
      <c r="B694" s="2280"/>
      <c r="C694" s="2281"/>
      <c r="D694" s="2282"/>
      <c r="E694" s="1909" t="s">
        <v>3682</v>
      </c>
      <c r="F694" s="1909" t="s">
        <v>4690</v>
      </c>
      <c r="G694" s="1909"/>
      <c r="H694" s="2283" t="s">
        <v>5270</v>
      </c>
      <c r="I694" s="2281"/>
      <c r="J694" s="2282"/>
      <c r="K694" s="2283" t="s">
        <v>5271</v>
      </c>
      <c r="L694" s="2282"/>
      <c r="M694" s="1909" t="e">
        <f>VLOOKUP(K694,'Estimate Details'!$R:$BR,20,FALSE)</f>
        <v>#N/A</v>
      </c>
      <c r="N694" s="1909" t="e">
        <f>VLOOKUP(M694,#REF!,2,FALSE)</f>
        <v>#N/A</v>
      </c>
      <c r="O694" s="1909" t="s">
        <v>4877</v>
      </c>
      <c r="P694" s="2284" t="s">
        <v>4130</v>
      </c>
      <c r="Q694" s="2281"/>
      <c r="R694" s="2282"/>
      <c r="S694" s="1909" t="s">
        <v>3688</v>
      </c>
      <c r="T694" s="1909" t="s">
        <v>3689</v>
      </c>
      <c r="U694" s="1909" t="s">
        <v>3690</v>
      </c>
      <c r="V694" s="1909" t="s">
        <v>4147</v>
      </c>
      <c r="W694" s="1909" t="s">
        <v>3688</v>
      </c>
      <c r="X694" s="1909" t="s">
        <v>4148</v>
      </c>
      <c r="Y694" s="1909"/>
      <c r="Z694" s="1909"/>
      <c r="AA694" s="1909" t="s">
        <v>3694</v>
      </c>
      <c r="AB694" s="1909" t="s">
        <v>4149</v>
      </c>
      <c r="AC694" s="1909" t="s">
        <v>4150</v>
      </c>
      <c r="AD694" s="2283" t="s">
        <v>4151</v>
      </c>
      <c r="AE694" s="2281"/>
      <c r="AF694" s="2282"/>
      <c r="AG694" s="2283" t="s">
        <v>3696</v>
      </c>
      <c r="AH694" s="2281"/>
      <c r="AI694" s="2282"/>
      <c r="AJ694" s="1909" t="s">
        <v>4153</v>
      </c>
      <c r="AK694" s="2283" t="s">
        <v>4154</v>
      </c>
      <c r="AL694" s="2281"/>
      <c r="AM694" s="2259"/>
      <c r="AN694" s="2281"/>
      <c r="AO694" s="2282"/>
      <c r="AP694" s="1909" t="s">
        <v>3699</v>
      </c>
      <c r="BC694" s="214"/>
      <c r="BD694" s="214"/>
      <c r="BE694" s="214"/>
      <c r="BF694" s="214"/>
    </row>
    <row r="695" spans="1:58" ht="45" hidden="1" customHeight="1">
      <c r="B695" s="2277"/>
      <c r="C695" s="2259"/>
      <c r="D695" s="2260"/>
      <c r="E695" s="1908" t="s">
        <v>3682</v>
      </c>
      <c r="F695" s="1910" t="s">
        <v>3688</v>
      </c>
      <c r="G695" s="1910"/>
      <c r="H695" s="2285" t="s">
        <v>5270</v>
      </c>
      <c r="I695" s="2259"/>
      <c r="J695" s="2260"/>
      <c r="K695" s="2285" t="s">
        <v>5272</v>
      </c>
      <c r="L695" s="2260"/>
      <c r="M695" s="1910" t="e">
        <f>VLOOKUP(K695,'Estimate Details'!$R:$BR,20,FALSE)</f>
        <v>#N/A</v>
      </c>
      <c r="N695" s="1910" t="e">
        <f>VLOOKUP(M695,#REF!,2,FALSE)</f>
        <v>#N/A</v>
      </c>
      <c r="O695" s="1910" t="s">
        <v>4156</v>
      </c>
      <c r="P695" s="2285" t="s">
        <v>3688</v>
      </c>
      <c r="Q695" s="2259"/>
      <c r="R695" s="2260"/>
      <c r="S695" s="1910" t="s">
        <v>5273</v>
      </c>
      <c r="T695" s="1910" t="s">
        <v>3689</v>
      </c>
      <c r="U695" s="1910" t="s">
        <v>3688</v>
      </c>
      <c r="V695" s="1910" t="s">
        <v>3688</v>
      </c>
      <c r="W695" s="1910" t="s">
        <v>3688</v>
      </c>
      <c r="X695" s="1910"/>
      <c r="Y695" s="1910"/>
      <c r="Z695" s="1910"/>
      <c r="AA695" s="1910" t="s">
        <v>3694</v>
      </c>
      <c r="AB695" s="1910" t="s">
        <v>3688</v>
      </c>
      <c r="AC695" s="1910" t="s">
        <v>4105</v>
      </c>
      <c r="AD695" s="2285" t="s">
        <v>3688</v>
      </c>
      <c r="AE695" s="2259"/>
      <c r="AF695" s="2260"/>
      <c r="AG695" s="2285" t="s">
        <v>3696</v>
      </c>
      <c r="AH695" s="2259"/>
      <c r="AI695" s="2260"/>
      <c r="AJ695" s="1910" t="s">
        <v>4158</v>
      </c>
      <c r="AK695" s="2285" t="s">
        <v>3688</v>
      </c>
      <c r="AL695" s="2259"/>
      <c r="AM695" s="2259"/>
      <c r="AN695" s="2259"/>
      <c r="AO695" s="2260"/>
      <c r="AP695" s="1910" t="s">
        <v>3688</v>
      </c>
      <c r="BC695" s="214"/>
      <c r="BD695" s="214"/>
      <c r="BE695" s="214"/>
      <c r="BF695" s="214"/>
    </row>
    <row r="696" spans="1:58" ht="45" hidden="1" customHeight="1">
      <c r="A696" s="808"/>
      <c r="B696" s="2280"/>
      <c r="C696" s="2281"/>
      <c r="D696" s="2282"/>
      <c r="E696" s="1909" t="s">
        <v>3682</v>
      </c>
      <c r="F696" s="1909" t="s">
        <v>4690</v>
      </c>
      <c r="G696" s="1909"/>
      <c r="H696" s="2283" t="s">
        <v>5270</v>
      </c>
      <c r="I696" s="2281"/>
      <c r="J696" s="2282"/>
      <c r="K696" s="2283" t="s">
        <v>2448</v>
      </c>
      <c r="L696" s="2282"/>
      <c r="M696" s="1909">
        <f>VLOOKUP(K696,'Estimate Details'!$R:$BR,20,FALSE)</f>
        <v>6641.96</v>
      </c>
      <c r="N696" s="1909" t="e">
        <f>VLOOKUP(M696,#REF!,2,FALSE)</f>
        <v>#REF!</v>
      </c>
      <c r="O696" s="1909" t="s">
        <v>4882</v>
      </c>
      <c r="P696" s="2284" t="s">
        <v>4180</v>
      </c>
      <c r="Q696" s="2281"/>
      <c r="R696" s="2282"/>
      <c r="S696" s="1909" t="s">
        <v>3688</v>
      </c>
      <c r="T696" s="1909" t="s">
        <v>3689</v>
      </c>
      <c r="U696" s="1909" t="s">
        <v>3690</v>
      </c>
      <c r="V696" s="1909" t="s">
        <v>4147</v>
      </c>
      <c r="W696" s="1909" t="s">
        <v>3688</v>
      </c>
      <c r="X696" s="1909" t="s">
        <v>4181</v>
      </c>
      <c r="Y696" s="1909"/>
      <c r="Z696" s="1909"/>
      <c r="AA696" s="1909" t="s">
        <v>3694</v>
      </c>
      <c r="AB696" s="1909" t="s">
        <v>4182</v>
      </c>
      <c r="AC696" s="1909" t="s">
        <v>3696</v>
      </c>
      <c r="AD696" s="2283" t="s">
        <v>4183</v>
      </c>
      <c r="AE696" s="2281"/>
      <c r="AF696" s="2282"/>
      <c r="AG696" s="2283" t="s">
        <v>3696</v>
      </c>
      <c r="AH696" s="2281"/>
      <c r="AI696" s="2282"/>
      <c r="AJ696" s="1909" t="s">
        <v>4153</v>
      </c>
      <c r="AK696" s="2283" t="s">
        <v>4184</v>
      </c>
      <c r="AL696" s="2281"/>
      <c r="AM696" s="2259"/>
      <c r="AN696" s="2281"/>
      <c r="AO696" s="2282"/>
      <c r="AP696" s="1909" t="s">
        <v>3699</v>
      </c>
      <c r="BC696" s="214"/>
      <c r="BD696" s="214"/>
      <c r="BE696" s="214"/>
      <c r="BF696" s="214"/>
    </row>
    <row r="697" spans="1:58" ht="45" hidden="1" customHeight="1">
      <c r="B697" s="2277"/>
      <c r="C697" s="2259"/>
      <c r="D697" s="2260"/>
      <c r="E697" s="1908" t="s">
        <v>3682</v>
      </c>
      <c r="F697" s="1908" t="s">
        <v>4690</v>
      </c>
      <c r="G697" s="1908"/>
      <c r="H697" s="2278" t="s">
        <v>5270</v>
      </c>
      <c r="I697" s="2259"/>
      <c r="J697" s="2260"/>
      <c r="K697" s="2278" t="s">
        <v>2452</v>
      </c>
      <c r="L697" s="2260"/>
      <c r="M697" s="1908">
        <f>VLOOKUP(K697,'Estimate Details'!$R:$BR,20,FALSE)</f>
        <v>1929.6716666666666</v>
      </c>
      <c r="N697" s="1908" t="e">
        <f>VLOOKUP(M697,#REF!,2,FALSE)</f>
        <v>#REF!</v>
      </c>
      <c r="O697" s="1908" t="s">
        <v>4881</v>
      </c>
      <c r="P697" s="2278" t="s">
        <v>4180</v>
      </c>
      <c r="Q697" s="2259"/>
      <c r="R697" s="2260"/>
      <c r="S697" s="1908" t="s">
        <v>3688</v>
      </c>
      <c r="T697" s="1908" t="s">
        <v>3689</v>
      </c>
      <c r="U697" s="1908" t="s">
        <v>3690</v>
      </c>
      <c r="V697" s="1908" t="s">
        <v>4147</v>
      </c>
      <c r="W697" s="1908" t="s">
        <v>3688</v>
      </c>
      <c r="X697" s="1908" t="s">
        <v>4186</v>
      </c>
      <c r="Y697" s="1908"/>
      <c r="Z697" s="1908"/>
      <c r="AA697" s="1908" t="s">
        <v>3957</v>
      </c>
      <c r="AB697" s="1908" t="s">
        <v>4187</v>
      </c>
      <c r="AC697" s="1908" t="s">
        <v>3696</v>
      </c>
      <c r="AD697" s="2278" t="s">
        <v>4188</v>
      </c>
      <c r="AE697" s="2259"/>
      <c r="AF697" s="2260"/>
      <c r="AG697" s="2278" t="s">
        <v>3696</v>
      </c>
      <c r="AH697" s="2259"/>
      <c r="AI697" s="2260"/>
      <c r="AJ697" s="1908" t="s">
        <v>4153</v>
      </c>
      <c r="AK697" s="2278" t="s">
        <v>4189</v>
      </c>
      <c r="AL697" s="2259"/>
      <c r="AM697" s="2259"/>
      <c r="AN697" s="2259"/>
      <c r="AO697" s="2260"/>
      <c r="AP697" s="1908" t="s">
        <v>3699</v>
      </c>
      <c r="BC697" s="214"/>
      <c r="BD697" s="214"/>
      <c r="BE697" s="214"/>
      <c r="BF697" s="214"/>
    </row>
    <row r="698" spans="1:58" ht="45" hidden="1" customHeight="1">
      <c r="A698" s="808"/>
      <c r="B698" s="2280"/>
      <c r="C698" s="2281"/>
      <c r="D698" s="2282"/>
      <c r="E698" s="1909" t="s">
        <v>3682</v>
      </c>
      <c r="F698" s="1909" t="s">
        <v>4690</v>
      </c>
      <c r="G698" s="1909"/>
      <c r="H698" s="2283" t="s">
        <v>5274</v>
      </c>
      <c r="I698" s="2281"/>
      <c r="J698" s="2282"/>
      <c r="K698" s="2283" t="s">
        <v>5275</v>
      </c>
      <c r="L698" s="2282"/>
      <c r="M698" s="1909" t="e">
        <f>VLOOKUP(K698,'Estimate Details'!$R:$BR,20,FALSE)</f>
        <v>#N/A</v>
      </c>
      <c r="N698" s="1909" t="e">
        <f>VLOOKUP(M698,#REF!,2,FALSE)</f>
        <v>#N/A</v>
      </c>
      <c r="O698" s="1909" t="s">
        <v>5276</v>
      </c>
      <c r="P698" s="2284" t="s">
        <v>4130</v>
      </c>
      <c r="Q698" s="2281"/>
      <c r="R698" s="2282"/>
      <c r="S698" s="1909" t="s">
        <v>3688</v>
      </c>
      <c r="T698" s="1909" t="s">
        <v>3689</v>
      </c>
      <c r="U698" s="1909" t="s">
        <v>3690</v>
      </c>
      <c r="V698" s="1909" t="s">
        <v>4147</v>
      </c>
      <c r="W698" s="1909" t="s">
        <v>3688</v>
      </c>
      <c r="X698" s="1909" t="s">
        <v>4148</v>
      </c>
      <c r="Y698" s="1909"/>
      <c r="Z698" s="1909"/>
      <c r="AA698" s="1909" t="s">
        <v>3694</v>
      </c>
      <c r="AB698" s="1909" t="s">
        <v>4149</v>
      </c>
      <c r="AC698" s="1909" t="s">
        <v>4150</v>
      </c>
      <c r="AD698" s="2283" t="s">
        <v>4151</v>
      </c>
      <c r="AE698" s="2281"/>
      <c r="AF698" s="2282"/>
      <c r="AG698" s="2283" t="s">
        <v>3696</v>
      </c>
      <c r="AH698" s="2281"/>
      <c r="AI698" s="2282"/>
      <c r="AJ698" s="1909" t="s">
        <v>4153</v>
      </c>
      <c r="AK698" s="2283" t="s">
        <v>4154</v>
      </c>
      <c r="AL698" s="2281"/>
      <c r="AM698" s="2259"/>
      <c r="AN698" s="2281"/>
      <c r="AO698" s="2282"/>
      <c r="AP698" s="1909" t="s">
        <v>3699</v>
      </c>
      <c r="BC698" s="214"/>
      <c r="BD698" s="214"/>
      <c r="BE698" s="214"/>
      <c r="BF698" s="214"/>
    </row>
    <row r="699" spans="1:58" ht="45" hidden="1" customHeight="1">
      <c r="B699" s="2277"/>
      <c r="C699" s="2259"/>
      <c r="D699" s="2260"/>
      <c r="E699" s="1908" t="s">
        <v>3682</v>
      </c>
      <c r="F699" s="1910" t="s">
        <v>3688</v>
      </c>
      <c r="G699" s="1910"/>
      <c r="H699" s="2285" t="s">
        <v>5274</v>
      </c>
      <c r="I699" s="2259"/>
      <c r="J699" s="2260"/>
      <c r="K699" s="2285" t="s">
        <v>5277</v>
      </c>
      <c r="L699" s="2260"/>
      <c r="M699" s="1910" t="e">
        <f>VLOOKUP(K699,'Estimate Details'!$R:$BR,20,FALSE)</f>
        <v>#N/A</v>
      </c>
      <c r="N699" s="1910" t="e">
        <f>VLOOKUP(M699,#REF!,2,FALSE)</f>
        <v>#N/A</v>
      </c>
      <c r="O699" s="1910" t="s">
        <v>4156</v>
      </c>
      <c r="P699" s="2285" t="s">
        <v>3688</v>
      </c>
      <c r="Q699" s="2259"/>
      <c r="R699" s="2260"/>
      <c r="S699" s="1910" t="s">
        <v>5278</v>
      </c>
      <c r="T699" s="1910" t="s">
        <v>3689</v>
      </c>
      <c r="U699" s="1910" t="s">
        <v>3688</v>
      </c>
      <c r="V699" s="1910" t="s">
        <v>3688</v>
      </c>
      <c r="W699" s="1910" t="s">
        <v>3688</v>
      </c>
      <c r="X699" s="1910"/>
      <c r="Y699" s="1910"/>
      <c r="Z699" s="1910"/>
      <c r="AA699" s="1910" t="s">
        <v>3694</v>
      </c>
      <c r="AB699" s="1910" t="s">
        <v>3688</v>
      </c>
      <c r="AC699" s="1910" t="s">
        <v>4105</v>
      </c>
      <c r="AD699" s="2285" t="s">
        <v>3688</v>
      </c>
      <c r="AE699" s="2259"/>
      <c r="AF699" s="2260"/>
      <c r="AG699" s="2285" t="s">
        <v>3696</v>
      </c>
      <c r="AH699" s="2259"/>
      <c r="AI699" s="2260"/>
      <c r="AJ699" s="1910" t="s">
        <v>4158</v>
      </c>
      <c r="AK699" s="2285" t="s">
        <v>3688</v>
      </c>
      <c r="AL699" s="2259"/>
      <c r="AM699" s="2259"/>
      <c r="AN699" s="2259"/>
      <c r="AO699" s="2260"/>
      <c r="AP699" s="1910" t="s">
        <v>3688</v>
      </c>
      <c r="BC699" s="214"/>
      <c r="BD699" s="214"/>
      <c r="BE699" s="214"/>
      <c r="BF699" s="214"/>
    </row>
    <row r="700" spans="1:58" ht="45" hidden="1" customHeight="1">
      <c r="A700" s="808"/>
      <c r="B700" s="2280"/>
      <c r="C700" s="2281"/>
      <c r="D700" s="2282"/>
      <c r="E700" s="1909" t="s">
        <v>3682</v>
      </c>
      <c r="F700" s="1909" t="s">
        <v>4690</v>
      </c>
      <c r="G700" s="1909"/>
      <c r="H700" s="2283" t="s">
        <v>5274</v>
      </c>
      <c r="I700" s="2281"/>
      <c r="J700" s="2282"/>
      <c r="K700" s="2283" t="s">
        <v>5279</v>
      </c>
      <c r="L700" s="2282"/>
      <c r="M700" s="1909" t="e">
        <f>VLOOKUP(K700,'Estimate Details'!$R:$BR,20,FALSE)</f>
        <v>#N/A</v>
      </c>
      <c r="N700" s="1909" t="e">
        <f>VLOOKUP(M700,#REF!,2,FALSE)</f>
        <v>#N/A</v>
      </c>
      <c r="O700" s="1909" t="s">
        <v>5280</v>
      </c>
      <c r="P700" s="2284" t="s">
        <v>4130</v>
      </c>
      <c r="Q700" s="2281"/>
      <c r="R700" s="2282"/>
      <c r="S700" s="1909" t="s">
        <v>3688</v>
      </c>
      <c r="T700" s="1909" t="s">
        <v>3689</v>
      </c>
      <c r="U700" s="1909" t="s">
        <v>3690</v>
      </c>
      <c r="V700" s="1909" t="s">
        <v>4147</v>
      </c>
      <c r="W700" s="1909" t="s">
        <v>3688</v>
      </c>
      <c r="X700" s="1909" t="s">
        <v>4148</v>
      </c>
      <c r="Y700" s="1909"/>
      <c r="Z700" s="1909"/>
      <c r="AA700" s="1909" t="s">
        <v>3694</v>
      </c>
      <c r="AB700" s="1909" t="s">
        <v>4149</v>
      </c>
      <c r="AC700" s="1909" t="s">
        <v>4150</v>
      </c>
      <c r="AD700" s="2283" t="s">
        <v>4151</v>
      </c>
      <c r="AE700" s="2281"/>
      <c r="AF700" s="2282"/>
      <c r="AG700" s="2283" t="s">
        <v>3696</v>
      </c>
      <c r="AH700" s="2281"/>
      <c r="AI700" s="2282"/>
      <c r="AJ700" s="1909" t="s">
        <v>4153</v>
      </c>
      <c r="AK700" s="2283" t="s">
        <v>4154</v>
      </c>
      <c r="AL700" s="2281"/>
      <c r="AM700" s="2259"/>
      <c r="AN700" s="2281"/>
      <c r="AO700" s="2282"/>
      <c r="AP700" s="1909" t="s">
        <v>3699</v>
      </c>
      <c r="BC700" s="214"/>
      <c r="BD700" s="214"/>
      <c r="BE700" s="214"/>
      <c r="BF700" s="214"/>
    </row>
    <row r="701" spans="1:58" ht="45" hidden="1" customHeight="1">
      <c r="B701" s="2277"/>
      <c r="C701" s="2259"/>
      <c r="D701" s="2260"/>
      <c r="E701" s="1908" t="s">
        <v>3682</v>
      </c>
      <c r="F701" s="1910" t="s">
        <v>3688</v>
      </c>
      <c r="G701" s="1910"/>
      <c r="H701" s="2285" t="s">
        <v>5274</v>
      </c>
      <c r="I701" s="2259"/>
      <c r="J701" s="2260"/>
      <c r="K701" s="2285" t="s">
        <v>5281</v>
      </c>
      <c r="L701" s="2260"/>
      <c r="M701" s="1910" t="e">
        <f>VLOOKUP(K701,'Estimate Details'!$R:$BR,20,FALSE)</f>
        <v>#N/A</v>
      </c>
      <c r="N701" s="1910" t="e">
        <f>VLOOKUP(M701,#REF!,2,FALSE)</f>
        <v>#N/A</v>
      </c>
      <c r="O701" s="1910" t="s">
        <v>4156</v>
      </c>
      <c r="P701" s="2285" t="s">
        <v>3688</v>
      </c>
      <c r="Q701" s="2259"/>
      <c r="R701" s="2260"/>
      <c r="S701" s="1910" t="s">
        <v>5282</v>
      </c>
      <c r="T701" s="1910" t="s">
        <v>3689</v>
      </c>
      <c r="U701" s="1910" t="s">
        <v>3688</v>
      </c>
      <c r="V701" s="1910" t="s">
        <v>3688</v>
      </c>
      <c r="W701" s="1910" t="s">
        <v>3688</v>
      </c>
      <c r="X701" s="1910"/>
      <c r="Y701" s="1910"/>
      <c r="Z701" s="1910"/>
      <c r="AA701" s="1910" t="s">
        <v>3694</v>
      </c>
      <c r="AB701" s="1910" t="s">
        <v>3688</v>
      </c>
      <c r="AC701" s="1910" t="s">
        <v>4105</v>
      </c>
      <c r="AD701" s="2285" t="s">
        <v>3688</v>
      </c>
      <c r="AE701" s="2259"/>
      <c r="AF701" s="2260"/>
      <c r="AG701" s="2285" t="s">
        <v>3696</v>
      </c>
      <c r="AH701" s="2259"/>
      <c r="AI701" s="2260"/>
      <c r="AJ701" s="1910" t="s">
        <v>4158</v>
      </c>
      <c r="AK701" s="2285" t="s">
        <v>3688</v>
      </c>
      <c r="AL701" s="2259"/>
      <c r="AM701" s="2259"/>
      <c r="AN701" s="2259"/>
      <c r="AO701" s="2260"/>
      <c r="AP701" s="1910" t="s">
        <v>3688</v>
      </c>
      <c r="BC701" s="214"/>
      <c r="BD701" s="214"/>
      <c r="BE701" s="214"/>
      <c r="BF701" s="214"/>
    </row>
    <row r="702" spans="1:58" ht="45" hidden="1" customHeight="1">
      <c r="A702" s="808"/>
      <c r="B702" s="2280"/>
      <c r="C702" s="2281"/>
      <c r="D702" s="2282"/>
      <c r="E702" s="1909" t="s">
        <v>3682</v>
      </c>
      <c r="F702" s="1909" t="s">
        <v>4690</v>
      </c>
      <c r="G702" s="1909"/>
      <c r="H702" s="2283" t="s">
        <v>5274</v>
      </c>
      <c r="I702" s="2281"/>
      <c r="J702" s="2282"/>
      <c r="K702" s="2283" t="s">
        <v>5283</v>
      </c>
      <c r="L702" s="2282"/>
      <c r="M702" s="1909" t="e">
        <f>VLOOKUP(K702,'Estimate Details'!$R:$BR,20,FALSE)</f>
        <v>#N/A</v>
      </c>
      <c r="N702" s="1909" t="e">
        <f>VLOOKUP(M702,#REF!,2,FALSE)</f>
        <v>#N/A</v>
      </c>
      <c r="O702" s="1909" t="s">
        <v>5284</v>
      </c>
      <c r="P702" s="2284" t="s">
        <v>4130</v>
      </c>
      <c r="Q702" s="2281"/>
      <c r="R702" s="2282"/>
      <c r="S702" s="1909" t="s">
        <v>3688</v>
      </c>
      <c r="T702" s="1909" t="s">
        <v>3689</v>
      </c>
      <c r="U702" s="1909" t="s">
        <v>3690</v>
      </c>
      <c r="V702" s="1909" t="s">
        <v>4147</v>
      </c>
      <c r="W702" s="1909" t="s">
        <v>3688</v>
      </c>
      <c r="X702" s="1909" t="s">
        <v>4148</v>
      </c>
      <c r="Y702" s="1909"/>
      <c r="Z702" s="1909"/>
      <c r="AA702" s="1909" t="s">
        <v>3694</v>
      </c>
      <c r="AB702" s="1909" t="s">
        <v>4149</v>
      </c>
      <c r="AC702" s="1909" t="s">
        <v>4150</v>
      </c>
      <c r="AD702" s="2283" t="s">
        <v>4151</v>
      </c>
      <c r="AE702" s="2281"/>
      <c r="AF702" s="2282"/>
      <c r="AG702" s="2283" t="s">
        <v>3696</v>
      </c>
      <c r="AH702" s="2281"/>
      <c r="AI702" s="2282"/>
      <c r="AJ702" s="1909" t="s">
        <v>4153</v>
      </c>
      <c r="AK702" s="2283" t="s">
        <v>4154</v>
      </c>
      <c r="AL702" s="2281"/>
      <c r="AM702" s="2259"/>
      <c r="AN702" s="2281"/>
      <c r="AO702" s="2282"/>
      <c r="AP702" s="1909" t="s">
        <v>3699</v>
      </c>
      <c r="BC702" s="214"/>
      <c r="BD702" s="214"/>
      <c r="BE702" s="214"/>
      <c r="BF702" s="214"/>
    </row>
    <row r="703" spans="1:58" ht="45" hidden="1" customHeight="1">
      <c r="B703" s="2277"/>
      <c r="C703" s="2259"/>
      <c r="D703" s="2260"/>
      <c r="E703" s="1908" t="s">
        <v>3682</v>
      </c>
      <c r="F703" s="1910" t="s">
        <v>3688</v>
      </c>
      <c r="G703" s="1910"/>
      <c r="H703" s="2285" t="s">
        <v>5274</v>
      </c>
      <c r="I703" s="2259"/>
      <c r="J703" s="2260"/>
      <c r="K703" s="2285" t="s">
        <v>5285</v>
      </c>
      <c r="L703" s="2260"/>
      <c r="M703" s="1910" t="e">
        <f>VLOOKUP(K703,'Estimate Details'!$R:$BR,20,FALSE)</f>
        <v>#N/A</v>
      </c>
      <c r="N703" s="1910" t="e">
        <f>VLOOKUP(M703,#REF!,2,FALSE)</f>
        <v>#N/A</v>
      </c>
      <c r="O703" s="1910" t="s">
        <v>4156</v>
      </c>
      <c r="P703" s="2285" t="s">
        <v>3688</v>
      </c>
      <c r="Q703" s="2259"/>
      <c r="R703" s="2260"/>
      <c r="S703" s="1910" t="s">
        <v>5286</v>
      </c>
      <c r="T703" s="1910" t="s">
        <v>3689</v>
      </c>
      <c r="U703" s="1910" t="s">
        <v>3688</v>
      </c>
      <c r="V703" s="1910" t="s">
        <v>3688</v>
      </c>
      <c r="W703" s="1910" t="s">
        <v>3688</v>
      </c>
      <c r="X703" s="1910"/>
      <c r="Y703" s="1910"/>
      <c r="Z703" s="1910"/>
      <c r="AA703" s="1910" t="s">
        <v>3694</v>
      </c>
      <c r="AB703" s="1910" t="s">
        <v>3688</v>
      </c>
      <c r="AC703" s="1910" t="s">
        <v>4105</v>
      </c>
      <c r="AD703" s="2285" t="s">
        <v>3688</v>
      </c>
      <c r="AE703" s="2259"/>
      <c r="AF703" s="2260"/>
      <c r="AG703" s="2285" t="s">
        <v>3696</v>
      </c>
      <c r="AH703" s="2259"/>
      <c r="AI703" s="2260"/>
      <c r="AJ703" s="1910" t="s">
        <v>4158</v>
      </c>
      <c r="AK703" s="2285" t="s">
        <v>3688</v>
      </c>
      <c r="AL703" s="2259"/>
      <c r="AM703" s="2259"/>
      <c r="AN703" s="2259"/>
      <c r="AO703" s="2260"/>
      <c r="AP703" s="1910" t="s">
        <v>3688</v>
      </c>
      <c r="BC703" s="214"/>
      <c r="BD703" s="214"/>
      <c r="BE703" s="214"/>
      <c r="BF703" s="214"/>
    </row>
    <row r="704" spans="1:58" ht="45" hidden="1" customHeight="1">
      <c r="A704" s="808"/>
      <c r="B704" s="2280"/>
      <c r="C704" s="2281"/>
      <c r="D704" s="2282"/>
      <c r="E704" s="1909" t="s">
        <v>3682</v>
      </c>
      <c r="F704" s="1909" t="s">
        <v>4690</v>
      </c>
      <c r="G704" s="1909"/>
      <c r="H704" s="2283" t="s">
        <v>5274</v>
      </c>
      <c r="I704" s="2281"/>
      <c r="J704" s="2282"/>
      <c r="K704" s="2283" t="s">
        <v>2501</v>
      </c>
      <c r="L704" s="2282"/>
      <c r="M704" s="1909">
        <f>VLOOKUP(K704,'Estimate Details'!$R:$BR,20,FALSE)</f>
        <v>6641.96</v>
      </c>
      <c r="N704" s="1909" t="e">
        <f>VLOOKUP(M704,#REF!,2,FALSE)</f>
        <v>#REF!</v>
      </c>
      <c r="O704" s="1909" t="s">
        <v>5287</v>
      </c>
      <c r="P704" s="2284" t="s">
        <v>4180</v>
      </c>
      <c r="Q704" s="2281"/>
      <c r="R704" s="2282"/>
      <c r="S704" s="1909" t="s">
        <v>3688</v>
      </c>
      <c r="T704" s="1909" t="s">
        <v>3689</v>
      </c>
      <c r="U704" s="1909" t="s">
        <v>3690</v>
      </c>
      <c r="V704" s="1909" t="s">
        <v>4147</v>
      </c>
      <c r="W704" s="1909" t="s">
        <v>3688</v>
      </c>
      <c r="X704" s="1909" t="s">
        <v>4181</v>
      </c>
      <c r="Y704" s="1909"/>
      <c r="Z704" s="1909"/>
      <c r="AA704" s="1909" t="s">
        <v>3694</v>
      </c>
      <c r="AB704" s="1909" t="s">
        <v>4182</v>
      </c>
      <c r="AC704" s="1909" t="s">
        <v>3696</v>
      </c>
      <c r="AD704" s="2283" t="s">
        <v>4183</v>
      </c>
      <c r="AE704" s="2281"/>
      <c r="AF704" s="2282"/>
      <c r="AG704" s="2283" t="s">
        <v>3696</v>
      </c>
      <c r="AH704" s="2281"/>
      <c r="AI704" s="2282"/>
      <c r="AJ704" s="1909" t="s">
        <v>4153</v>
      </c>
      <c r="AK704" s="2283" t="s">
        <v>4184</v>
      </c>
      <c r="AL704" s="2281"/>
      <c r="AM704" s="2259"/>
      <c r="AN704" s="2281"/>
      <c r="AO704" s="2282"/>
      <c r="AP704" s="1909" t="s">
        <v>3699</v>
      </c>
      <c r="BC704" s="214"/>
      <c r="BD704" s="214"/>
      <c r="BE704" s="214"/>
      <c r="BF704" s="214"/>
    </row>
    <row r="705" spans="1:58" ht="45" hidden="1" customHeight="1">
      <c r="B705" s="2277"/>
      <c r="C705" s="2259"/>
      <c r="D705" s="2260"/>
      <c r="E705" s="1908" t="s">
        <v>3682</v>
      </c>
      <c r="F705" s="1908" t="s">
        <v>4690</v>
      </c>
      <c r="G705" s="1908"/>
      <c r="H705" s="2278" t="s">
        <v>5274</v>
      </c>
      <c r="I705" s="2259"/>
      <c r="J705" s="2260"/>
      <c r="K705" s="2278" t="s">
        <v>2529</v>
      </c>
      <c r="L705" s="2260"/>
      <c r="M705" s="1908">
        <f>VLOOKUP(K705,'Estimate Details'!$R:$BR,20,FALSE)</f>
        <v>1929.6716666666666</v>
      </c>
      <c r="N705" s="1908" t="e">
        <f>VLOOKUP(M705,#REF!,2,FALSE)</f>
        <v>#REF!</v>
      </c>
      <c r="O705" s="1908" t="s">
        <v>5288</v>
      </c>
      <c r="P705" s="2278" t="s">
        <v>4180</v>
      </c>
      <c r="Q705" s="2259"/>
      <c r="R705" s="2260"/>
      <c r="S705" s="1908" t="s">
        <v>3688</v>
      </c>
      <c r="T705" s="1908" t="s">
        <v>3689</v>
      </c>
      <c r="U705" s="1908" t="s">
        <v>3690</v>
      </c>
      <c r="V705" s="1908" t="s">
        <v>4147</v>
      </c>
      <c r="W705" s="1908" t="s">
        <v>3688</v>
      </c>
      <c r="X705" s="1908" t="s">
        <v>4186</v>
      </c>
      <c r="Y705" s="1908"/>
      <c r="Z705" s="1908"/>
      <c r="AA705" s="1908" t="s">
        <v>3957</v>
      </c>
      <c r="AB705" s="1908" t="s">
        <v>4187</v>
      </c>
      <c r="AC705" s="1908" t="s">
        <v>3696</v>
      </c>
      <c r="AD705" s="2278" t="s">
        <v>4220</v>
      </c>
      <c r="AE705" s="2259"/>
      <c r="AF705" s="2260"/>
      <c r="AG705" s="2278" t="s">
        <v>3696</v>
      </c>
      <c r="AH705" s="2259"/>
      <c r="AI705" s="2260"/>
      <c r="AJ705" s="1908" t="s">
        <v>4153</v>
      </c>
      <c r="AK705" s="2278" t="s">
        <v>4221</v>
      </c>
      <c r="AL705" s="2259"/>
      <c r="AM705" s="2259"/>
      <c r="AN705" s="2259"/>
      <c r="AO705" s="2260"/>
      <c r="AP705" s="1908" t="s">
        <v>3699</v>
      </c>
      <c r="BC705" s="214"/>
      <c r="BD705" s="214"/>
      <c r="BE705" s="214"/>
      <c r="BF705" s="214"/>
    </row>
    <row r="706" spans="1:58" ht="45" hidden="1" customHeight="1">
      <c r="A706" s="808"/>
      <c r="B706" s="2280"/>
      <c r="C706" s="2281"/>
      <c r="D706" s="2282"/>
      <c r="E706" s="1909" t="s">
        <v>3682</v>
      </c>
      <c r="F706" s="1909" t="s">
        <v>4690</v>
      </c>
      <c r="G706" s="1909"/>
      <c r="H706" s="2283" t="s">
        <v>5274</v>
      </c>
      <c r="I706" s="2281"/>
      <c r="J706" s="2282"/>
      <c r="K706" s="2283" t="s">
        <v>2489</v>
      </c>
      <c r="L706" s="2282"/>
      <c r="M706" s="1909">
        <f>VLOOKUP(K706,'Estimate Details'!$R:$BR,20,FALSE)</f>
        <v>6641.96</v>
      </c>
      <c r="N706" s="1909" t="e">
        <f>VLOOKUP(M706,#REF!,2,FALSE)</f>
        <v>#REF!</v>
      </c>
      <c r="O706" s="1909" t="s">
        <v>5289</v>
      </c>
      <c r="P706" s="2284" t="s">
        <v>4180</v>
      </c>
      <c r="Q706" s="2281"/>
      <c r="R706" s="2282"/>
      <c r="S706" s="1909" t="s">
        <v>3688</v>
      </c>
      <c r="T706" s="1909" t="s">
        <v>3689</v>
      </c>
      <c r="U706" s="1909" t="s">
        <v>3690</v>
      </c>
      <c r="V706" s="1909" t="s">
        <v>4147</v>
      </c>
      <c r="W706" s="1909" t="s">
        <v>3688</v>
      </c>
      <c r="X706" s="1909" t="s">
        <v>4181</v>
      </c>
      <c r="Y706" s="1909"/>
      <c r="Z706" s="1909"/>
      <c r="AA706" s="1909" t="s">
        <v>3694</v>
      </c>
      <c r="AB706" s="1909" t="s">
        <v>4182</v>
      </c>
      <c r="AC706" s="1909" t="s">
        <v>3696</v>
      </c>
      <c r="AD706" s="2283" t="s">
        <v>4183</v>
      </c>
      <c r="AE706" s="2281"/>
      <c r="AF706" s="2282"/>
      <c r="AG706" s="2283" t="s">
        <v>3696</v>
      </c>
      <c r="AH706" s="2281"/>
      <c r="AI706" s="2282"/>
      <c r="AJ706" s="1909" t="s">
        <v>4153</v>
      </c>
      <c r="AK706" s="2283" t="s">
        <v>4184</v>
      </c>
      <c r="AL706" s="2281"/>
      <c r="AM706" s="2259"/>
      <c r="AN706" s="2281"/>
      <c r="AO706" s="2282"/>
      <c r="AP706" s="1909" t="s">
        <v>3699</v>
      </c>
      <c r="BC706" s="214"/>
      <c r="BD706" s="214"/>
      <c r="BE706" s="214"/>
      <c r="BF706" s="214"/>
    </row>
    <row r="707" spans="1:58" ht="45" hidden="1" customHeight="1">
      <c r="B707" s="2277"/>
      <c r="C707" s="2259"/>
      <c r="D707" s="2260"/>
      <c r="E707" s="1908" t="s">
        <v>3682</v>
      </c>
      <c r="F707" s="1908" t="s">
        <v>4690</v>
      </c>
      <c r="G707" s="1908"/>
      <c r="H707" s="2278" t="s">
        <v>5274</v>
      </c>
      <c r="I707" s="2259"/>
      <c r="J707" s="2260"/>
      <c r="K707" s="2278" t="s">
        <v>2498</v>
      </c>
      <c r="L707" s="2260"/>
      <c r="M707" s="1908">
        <f>VLOOKUP(K707,'Estimate Details'!$R:$BR,20,FALSE)</f>
        <v>1929.6716666666666</v>
      </c>
      <c r="N707" s="1908" t="e">
        <f>VLOOKUP(M707,#REF!,2,FALSE)</f>
        <v>#REF!</v>
      </c>
      <c r="O707" s="1908" t="s">
        <v>5290</v>
      </c>
      <c r="P707" s="2278" t="s">
        <v>4180</v>
      </c>
      <c r="Q707" s="2259"/>
      <c r="R707" s="2260"/>
      <c r="S707" s="1908" t="s">
        <v>3688</v>
      </c>
      <c r="T707" s="1908" t="s">
        <v>3689</v>
      </c>
      <c r="U707" s="1908" t="s">
        <v>3690</v>
      </c>
      <c r="V707" s="1908" t="s">
        <v>4147</v>
      </c>
      <c r="W707" s="1908" t="s">
        <v>3688</v>
      </c>
      <c r="X707" s="1908" t="s">
        <v>4218</v>
      </c>
      <c r="Y707" s="1908"/>
      <c r="Z707" s="1908"/>
      <c r="AA707" s="1908" t="s">
        <v>3957</v>
      </c>
      <c r="AB707" s="1908" t="s">
        <v>4219</v>
      </c>
      <c r="AC707" s="1908" t="s">
        <v>3696</v>
      </c>
      <c r="AD707" s="2278" t="s">
        <v>4220</v>
      </c>
      <c r="AE707" s="2259"/>
      <c r="AF707" s="2260"/>
      <c r="AG707" s="2278" t="s">
        <v>3696</v>
      </c>
      <c r="AH707" s="2259"/>
      <c r="AI707" s="2260"/>
      <c r="AJ707" s="1908" t="s">
        <v>4153</v>
      </c>
      <c r="AK707" s="2278" t="s">
        <v>4221</v>
      </c>
      <c r="AL707" s="2259"/>
      <c r="AM707" s="2259"/>
      <c r="AN707" s="2259"/>
      <c r="AO707" s="2260"/>
      <c r="AP707" s="1908" t="s">
        <v>3699</v>
      </c>
      <c r="BC707" s="214"/>
      <c r="BD707" s="214"/>
      <c r="BE707" s="214"/>
      <c r="BF707" s="214"/>
    </row>
    <row r="708" spans="1:58" ht="45" hidden="1" customHeight="1">
      <c r="A708" s="808"/>
      <c r="B708" s="2280"/>
      <c r="C708" s="2281"/>
      <c r="D708" s="2282"/>
      <c r="E708" s="1909" t="s">
        <v>3682</v>
      </c>
      <c r="F708" s="1909" t="s">
        <v>4690</v>
      </c>
      <c r="G708" s="1909"/>
      <c r="H708" s="2283" t="s">
        <v>5274</v>
      </c>
      <c r="I708" s="2281"/>
      <c r="J708" s="2282"/>
      <c r="K708" s="2283" t="s">
        <v>2504</v>
      </c>
      <c r="L708" s="2282"/>
      <c r="M708" s="1909">
        <f>VLOOKUP(K708,'Estimate Details'!$R:$BR,20,FALSE)</f>
        <v>1929.6716666666666</v>
      </c>
      <c r="N708" s="1909" t="e">
        <f>VLOOKUP(M708,#REF!,2,FALSE)</f>
        <v>#REF!</v>
      </c>
      <c r="O708" s="1909" t="s">
        <v>5291</v>
      </c>
      <c r="P708" s="2284" t="s">
        <v>4180</v>
      </c>
      <c r="Q708" s="2281"/>
      <c r="R708" s="2282"/>
      <c r="S708" s="1909" t="s">
        <v>3688</v>
      </c>
      <c r="T708" s="1909" t="s">
        <v>3689</v>
      </c>
      <c r="U708" s="1909" t="s">
        <v>3690</v>
      </c>
      <c r="V708" s="1909" t="s">
        <v>4147</v>
      </c>
      <c r="W708" s="1909" t="s">
        <v>3688</v>
      </c>
      <c r="X708" s="1909" t="s">
        <v>4181</v>
      </c>
      <c r="Y708" s="1909"/>
      <c r="Z708" s="1909"/>
      <c r="AA708" s="1909" t="s">
        <v>3694</v>
      </c>
      <c r="AB708" s="1909" t="s">
        <v>4182</v>
      </c>
      <c r="AC708" s="1909" t="s">
        <v>3696</v>
      </c>
      <c r="AD708" s="2283" t="s">
        <v>4183</v>
      </c>
      <c r="AE708" s="2281"/>
      <c r="AF708" s="2282"/>
      <c r="AG708" s="2283" t="s">
        <v>3696</v>
      </c>
      <c r="AH708" s="2281"/>
      <c r="AI708" s="2282"/>
      <c r="AJ708" s="1909" t="s">
        <v>4153</v>
      </c>
      <c r="AK708" s="2283" t="s">
        <v>4184</v>
      </c>
      <c r="AL708" s="2281"/>
      <c r="AM708" s="2259"/>
      <c r="AN708" s="2281"/>
      <c r="AO708" s="2282"/>
      <c r="AP708" s="1909" t="s">
        <v>3699</v>
      </c>
      <c r="BC708" s="214"/>
      <c r="BD708" s="214"/>
      <c r="BE708" s="214"/>
      <c r="BF708" s="214"/>
    </row>
    <row r="709" spans="1:58" ht="45" hidden="1" customHeight="1">
      <c r="B709" s="2277"/>
      <c r="C709" s="2259"/>
      <c r="D709" s="2260"/>
      <c r="E709" s="1908" t="s">
        <v>3682</v>
      </c>
      <c r="F709" s="1908" t="s">
        <v>4690</v>
      </c>
      <c r="G709" s="1908"/>
      <c r="H709" s="2278" t="s">
        <v>5274</v>
      </c>
      <c r="I709" s="2259"/>
      <c r="J709" s="2260"/>
      <c r="K709" s="2278" t="s">
        <v>2507</v>
      </c>
      <c r="L709" s="2260"/>
      <c r="M709" s="1908">
        <f>VLOOKUP(K709,'Estimate Details'!$R:$BR,20,FALSE)</f>
        <v>1929.6716666666666</v>
      </c>
      <c r="N709" s="1908" t="e">
        <f>VLOOKUP(M709,#REF!,2,FALSE)</f>
        <v>#REF!</v>
      </c>
      <c r="O709" s="1908" t="s">
        <v>5292</v>
      </c>
      <c r="P709" s="2278" t="s">
        <v>4180</v>
      </c>
      <c r="Q709" s="2259"/>
      <c r="R709" s="2260"/>
      <c r="S709" s="1908" t="s">
        <v>3688</v>
      </c>
      <c r="T709" s="1908" t="s">
        <v>3689</v>
      </c>
      <c r="U709" s="1908" t="s">
        <v>3690</v>
      </c>
      <c r="V709" s="1908" t="s">
        <v>4147</v>
      </c>
      <c r="W709" s="1908" t="s">
        <v>3688</v>
      </c>
      <c r="X709" s="1908" t="s">
        <v>4218</v>
      </c>
      <c r="Y709" s="1908"/>
      <c r="Z709" s="1908"/>
      <c r="AA709" s="1908" t="s">
        <v>3957</v>
      </c>
      <c r="AB709" s="1908" t="s">
        <v>4219</v>
      </c>
      <c r="AC709" s="1908" t="s">
        <v>3696</v>
      </c>
      <c r="AD709" s="2278" t="s">
        <v>4220</v>
      </c>
      <c r="AE709" s="2259"/>
      <c r="AF709" s="2260"/>
      <c r="AG709" s="2278" t="s">
        <v>3696</v>
      </c>
      <c r="AH709" s="2259"/>
      <c r="AI709" s="2260"/>
      <c r="AJ709" s="1908" t="s">
        <v>4153</v>
      </c>
      <c r="AK709" s="2278" t="s">
        <v>4221</v>
      </c>
      <c r="AL709" s="2259"/>
      <c r="AM709" s="2259"/>
      <c r="AN709" s="2259"/>
      <c r="AO709" s="2260"/>
      <c r="AP709" s="1908" t="s">
        <v>3699</v>
      </c>
      <c r="BC709" s="214"/>
      <c r="BD709" s="214"/>
      <c r="BE709" s="214"/>
      <c r="BF709" s="214"/>
    </row>
    <row r="710" spans="1:58" ht="45" hidden="1" customHeight="1">
      <c r="A710" s="808"/>
      <c r="B710" s="2280"/>
      <c r="C710" s="2281"/>
      <c r="D710" s="2282"/>
      <c r="E710" s="1909" t="s">
        <v>3682</v>
      </c>
      <c r="F710" s="1909" t="s">
        <v>4690</v>
      </c>
      <c r="G710" s="1909"/>
      <c r="H710" s="2283" t="s">
        <v>5293</v>
      </c>
      <c r="I710" s="2281"/>
      <c r="J710" s="2282"/>
      <c r="K710" s="2283" t="s">
        <v>5294</v>
      </c>
      <c r="L710" s="2282"/>
      <c r="M710" s="1909" t="e">
        <f>VLOOKUP(K710,'Estimate Details'!$R:$BR,20,FALSE)</f>
        <v>#N/A</v>
      </c>
      <c r="N710" s="1909" t="e">
        <f>VLOOKUP(M710,#REF!,2,FALSE)</f>
        <v>#N/A</v>
      </c>
      <c r="O710" s="1909" t="s">
        <v>3686</v>
      </c>
      <c r="P710" s="2284" t="s">
        <v>3687</v>
      </c>
      <c r="Q710" s="2281"/>
      <c r="R710" s="2282"/>
      <c r="S710" s="1909" t="s">
        <v>3688</v>
      </c>
      <c r="T710" s="1909" t="s">
        <v>3689</v>
      </c>
      <c r="U710" s="1909" t="s">
        <v>3690</v>
      </c>
      <c r="V710" s="1909" t="s">
        <v>3691</v>
      </c>
      <c r="W710" s="1909" t="s">
        <v>3688</v>
      </c>
      <c r="X710" s="1909" t="s">
        <v>3692</v>
      </c>
      <c r="Y710" s="1909" t="s">
        <v>3693</v>
      </c>
      <c r="Z710" s="1909"/>
      <c r="AA710" s="1909" t="s">
        <v>3694</v>
      </c>
      <c r="AB710" s="1909" t="s">
        <v>3695</v>
      </c>
      <c r="AC710" s="1909" t="s">
        <v>3696</v>
      </c>
      <c r="AD710" s="2283" t="s">
        <v>3688</v>
      </c>
      <c r="AE710" s="2281"/>
      <c r="AF710" s="2282"/>
      <c r="AG710" s="2283" t="s">
        <v>3696</v>
      </c>
      <c r="AH710" s="2281"/>
      <c r="AI710" s="2282"/>
      <c r="AJ710" s="1909" t="s">
        <v>3697</v>
      </c>
      <c r="AK710" s="2283" t="s">
        <v>3698</v>
      </c>
      <c r="AL710" s="2281"/>
      <c r="AM710" s="2259"/>
      <c r="AN710" s="2281"/>
      <c r="AO710" s="2282"/>
      <c r="AP710" s="1909" t="s">
        <v>3699</v>
      </c>
      <c r="BC710" s="214"/>
      <c r="BD710" s="214"/>
      <c r="BE710" s="214"/>
      <c r="BF710" s="214"/>
    </row>
    <row r="711" spans="1:58" ht="45" hidden="1" customHeight="1">
      <c r="B711" s="2277"/>
      <c r="C711" s="2259"/>
      <c r="D711" s="2260"/>
      <c r="E711" s="1908" t="s">
        <v>3682</v>
      </c>
      <c r="F711" s="1908" t="s">
        <v>4690</v>
      </c>
      <c r="G711" s="1908"/>
      <c r="H711" s="2278" t="s">
        <v>5293</v>
      </c>
      <c r="I711" s="2259"/>
      <c r="J711" s="2260"/>
      <c r="K711" s="2278" t="s">
        <v>5295</v>
      </c>
      <c r="L711" s="2260"/>
      <c r="M711" s="1908" t="e">
        <f>VLOOKUP(K711,'Estimate Details'!$R:$BR,20,FALSE)</f>
        <v>#N/A</v>
      </c>
      <c r="N711" s="1908" t="e">
        <f>VLOOKUP(M711,#REF!,2,FALSE)</f>
        <v>#N/A</v>
      </c>
      <c r="O711" s="1908" t="s">
        <v>3686</v>
      </c>
      <c r="P711" s="2278" t="s">
        <v>3687</v>
      </c>
      <c r="Q711" s="2259"/>
      <c r="R711" s="2260"/>
      <c r="S711" s="1908" t="s">
        <v>3688</v>
      </c>
      <c r="T711" s="1908" t="s">
        <v>3689</v>
      </c>
      <c r="U711" s="1908" t="s">
        <v>3690</v>
      </c>
      <c r="V711" s="1908" t="s">
        <v>3691</v>
      </c>
      <c r="W711" s="1908" t="s">
        <v>3688</v>
      </c>
      <c r="X711" s="1908" t="s">
        <v>3692</v>
      </c>
      <c r="Y711" s="1908" t="s">
        <v>3693</v>
      </c>
      <c r="Z711" s="1908"/>
      <c r="AA711" s="1908" t="s">
        <v>3694</v>
      </c>
      <c r="AB711" s="1908" t="s">
        <v>3695</v>
      </c>
      <c r="AC711" s="1908" t="s">
        <v>3696</v>
      </c>
      <c r="AD711" s="2278" t="s">
        <v>3688</v>
      </c>
      <c r="AE711" s="2259"/>
      <c r="AF711" s="2260"/>
      <c r="AG711" s="2278" t="s">
        <v>3696</v>
      </c>
      <c r="AH711" s="2259"/>
      <c r="AI711" s="2260"/>
      <c r="AJ711" s="1908" t="s">
        <v>3697</v>
      </c>
      <c r="AK711" s="2278" t="s">
        <v>3698</v>
      </c>
      <c r="AL711" s="2259"/>
      <c r="AM711" s="2259"/>
      <c r="AN711" s="2259"/>
      <c r="AO711" s="2260"/>
      <c r="AP711" s="1908" t="s">
        <v>3699</v>
      </c>
      <c r="BC711" s="214"/>
      <c r="BD711" s="214"/>
      <c r="BE711" s="214"/>
      <c r="BF711" s="214"/>
    </row>
    <row r="712" spans="1:58" ht="45" hidden="1" customHeight="1">
      <c r="A712" s="808"/>
      <c r="B712" s="2280"/>
      <c r="C712" s="2281"/>
      <c r="D712" s="2282"/>
      <c r="E712" s="1909" t="s">
        <v>3682</v>
      </c>
      <c r="F712" s="1909" t="s">
        <v>4690</v>
      </c>
      <c r="G712" s="1909"/>
      <c r="H712" s="2283" t="s">
        <v>5293</v>
      </c>
      <c r="I712" s="2281"/>
      <c r="J712" s="2282"/>
      <c r="K712" s="2283" t="s">
        <v>5296</v>
      </c>
      <c r="L712" s="2282"/>
      <c r="M712" s="1909" t="e">
        <f>VLOOKUP(K712,'Estimate Details'!$R:$BR,20,FALSE)</f>
        <v>#N/A</v>
      </c>
      <c r="N712" s="1909" t="e">
        <f>VLOOKUP(M712,#REF!,2,FALSE)</f>
        <v>#N/A</v>
      </c>
      <c r="O712" s="1909" t="s">
        <v>3686</v>
      </c>
      <c r="P712" s="2284" t="s">
        <v>3687</v>
      </c>
      <c r="Q712" s="2281"/>
      <c r="R712" s="2282"/>
      <c r="S712" s="1909" t="s">
        <v>3688</v>
      </c>
      <c r="T712" s="1909" t="s">
        <v>3689</v>
      </c>
      <c r="U712" s="1909" t="s">
        <v>3690</v>
      </c>
      <c r="V712" s="1909" t="s">
        <v>3691</v>
      </c>
      <c r="W712" s="1909" t="s">
        <v>3688</v>
      </c>
      <c r="X712" s="1909" t="s">
        <v>3692</v>
      </c>
      <c r="Y712" s="1909" t="s">
        <v>3693</v>
      </c>
      <c r="Z712" s="1909"/>
      <c r="AA712" s="1909" t="s">
        <v>3694</v>
      </c>
      <c r="AB712" s="1909" t="s">
        <v>3695</v>
      </c>
      <c r="AC712" s="1909" t="s">
        <v>3696</v>
      </c>
      <c r="AD712" s="2283" t="s">
        <v>3688</v>
      </c>
      <c r="AE712" s="2281"/>
      <c r="AF712" s="2282"/>
      <c r="AG712" s="2283" t="s">
        <v>3696</v>
      </c>
      <c r="AH712" s="2281"/>
      <c r="AI712" s="2282"/>
      <c r="AJ712" s="1909" t="s">
        <v>3697</v>
      </c>
      <c r="AK712" s="2283" t="s">
        <v>3698</v>
      </c>
      <c r="AL712" s="2281"/>
      <c r="AM712" s="2259"/>
      <c r="AN712" s="2281"/>
      <c r="AO712" s="2282"/>
      <c r="AP712" s="1909" t="s">
        <v>3699</v>
      </c>
      <c r="BC712" s="214"/>
      <c r="BD712" s="214"/>
      <c r="BE712" s="214"/>
      <c r="BF712" s="214"/>
    </row>
    <row r="713" spans="1:58" ht="45" hidden="1" customHeight="1">
      <c r="B713" s="2277"/>
      <c r="C713" s="2259"/>
      <c r="D713" s="2260"/>
      <c r="E713" s="1908" t="s">
        <v>3682</v>
      </c>
      <c r="F713" s="1908" t="s">
        <v>4690</v>
      </c>
      <c r="G713" s="1908"/>
      <c r="H713" s="2278" t="s">
        <v>5293</v>
      </c>
      <c r="I713" s="2259"/>
      <c r="J713" s="2260"/>
      <c r="K713" s="2278" t="s">
        <v>5297</v>
      </c>
      <c r="L713" s="2260"/>
      <c r="M713" s="1908" t="e">
        <f>VLOOKUP(K713,'Estimate Details'!$R:$BR,20,FALSE)</f>
        <v>#N/A</v>
      </c>
      <c r="N713" s="1908" t="e">
        <f>VLOOKUP(M713,#REF!,2,FALSE)</f>
        <v>#N/A</v>
      </c>
      <c r="O713" s="1908" t="s">
        <v>3686</v>
      </c>
      <c r="P713" s="2278" t="s">
        <v>3687</v>
      </c>
      <c r="Q713" s="2259"/>
      <c r="R713" s="2260"/>
      <c r="S713" s="1908" t="s">
        <v>3688</v>
      </c>
      <c r="T713" s="1908" t="s">
        <v>3689</v>
      </c>
      <c r="U713" s="1908" t="s">
        <v>3690</v>
      </c>
      <c r="V713" s="1908" t="s">
        <v>3691</v>
      </c>
      <c r="W713" s="1908" t="s">
        <v>3688</v>
      </c>
      <c r="X713" s="1908" t="s">
        <v>3692</v>
      </c>
      <c r="Y713" s="1908" t="s">
        <v>3693</v>
      </c>
      <c r="Z713" s="1908"/>
      <c r="AA713" s="1908" t="s">
        <v>3694</v>
      </c>
      <c r="AB713" s="1908" t="s">
        <v>3695</v>
      </c>
      <c r="AC713" s="1908" t="s">
        <v>3696</v>
      </c>
      <c r="AD713" s="2278" t="s">
        <v>3688</v>
      </c>
      <c r="AE713" s="2259"/>
      <c r="AF713" s="2260"/>
      <c r="AG713" s="2278" t="s">
        <v>3696</v>
      </c>
      <c r="AH713" s="2259"/>
      <c r="AI713" s="2260"/>
      <c r="AJ713" s="1908" t="s">
        <v>3697</v>
      </c>
      <c r="AK713" s="2278" t="s">
        <v>3698</v>
      </c>
      <c r="AL713" s="2259"/>
      <c r="AM713" s="2259"/>
      <c r="AN713" s="2259"/>
      <c r="AO713" s="2260"/>
      <c r="AP713" s="1908" t="s">
        <v>3699</v>
      </c>
      <c r="BC713" s="214"/>
      <c r="BD713" s="214"/>
      <c r="BE713" s="214"/>
      <c r="BF713" s="214"/>
    </row>
    <row r="714" spans="1:58" ht="45" hidden="1" customHeight="1">
      <c r="A714" s="808"/>
      <c r="B714" s="2280"/>
      <c r="C714" s="2281"/>
      <c r="D714" s="2282"/>
      <c r="E714" s="1909" t="s">
        <v>3682</v>
      </c>
      <c r="F714" s="1909" t="s">
        <v>4690</v>
      </c>
      <c r="G714" s="1909"/>
      <c r="H714" s="2283" t="s">
        <v>5293</v>
      </c>
      <c r="I714" s="2281"/>
      <c r="J714" s="2282"/>
      <c r="K714" s="2283" t="s">
        <v>5298</v>
      </c>
      <c r="L714" s="2282"/>
      <c r="M714" s="1909" t="e">
        <f>VLOOKUP(K714,'Estimate Details'!$R:$BR,20,FALSE)</f>
        <v>#N/A</v>
      </c>
      <c r="N714" s="1909" t="e">
        <f>VLOOKUP(M714,#REF!,2,FALSE)</f>
        <v>#N/A</v>
      </c>
      <c r="O714" s="1909" t="s">
        <v>3686</v>
      </c>
      <c r="P714" s="2284" t="s">
        <v>3687</v>
      </c>
      <c r="Q714" s="2281"/>
      <c r="R714" s="2282"/>
      <c r="S714" s="1909" t="s">
        <v>3688</v>
      </c>
      <c r="T714" s="1909" t="s">
        <v>3689</v>
      </c>
      <c r="U714" s="1909" t="s">
        <v>3690</v>
      </c>
      <c r="V714" s="1909" t="s">
        <v>3691</v>
      </c>
      <c r="W714" s="1909" t="s">
        <v>3688</v>
      </c>
      <c r="X714" s="1909" t="s">
        <v>3692</v>
      </c>
      <c r="Y714" s="1909" t="s">
        <v>3693</v>
      </c>
      <c r="Z714" s="1909"/>
      <c r="AA714" s="1909" t="s">
        <v>3694</v>
      </c>
      <c r="AB714" s="1909" t="s">
        <v>3695</v>
      </c>
      <c r="AC714" s="1909" t="s">
        <v>3696</v>
      </c>
      <c r="AD714" s="2283" t="s">
        <v>3688</v>
      </c>
      <c r="AE714" s="2281"/>
      <c r="AF714" s="2282"/>
      <c r="AG714" s="2283" t="s">
        <v>3696</v>
      </c>
      <c r="AH714" s="2281"/>
      <c r="AI714" s="2282"/>
      <c r="AJ714" s="1909" t="s">
        <v>3697</v>
      </c>
      <c r="AK714" s="2283" t="s">
        <v>3698</v>
      </c>
      <c r="AL714" s="2281"/>
      <c r="AM714" s="2259"/>
      <c r="AN714" s="2281"/>
      <c r="AO714" s="2282"/>
      <c r="AP714" s="1909" t="s">
        <v>3699</v>
      </c>
      <c r="BC714" s="214"/>
      <c r="BD714" s="214"/>
      <c r="BE714" s="214"/>
      <c r="BF714" s="214"/>
    </row>
    <row r="715" spans="1:58" ht="45" hidden="1" customHeight="1">
      <c r="B715" s="2277"/>
      <c r="C715" s="2259"/>
      <c r="D715" s="2260"/>
      <c r="E715" s="1908" t="s">
        <v>3682</v>
      </c>
      <c r="F715" s="1908" t="s">
        <v>4690</v>
      </c>
      <c r="G715" s="1908"/>
      <c r="H715" s="2278" t="s">
        <v>5293</v>
      </c>
      <c r="I715" s="2259"/>
      <c r="J715" s="2260"/>
      <c r="K715" s="2278" t="s">
        <v>5299</v>
      </c>
      <c r="L715" s="2260"/>
      <c r="M715" s="1908" t="e">
        <f>VLOOKUP(K715,'Estimate Details'!$R:$BR,20,FALSE)</f>
        <v>#N/A</v>
      </c>
      <c r="N715" s="1908" t="e">
        <f>VLOOKUP(M715,#REF!,2,FALSE)</f>
        <v>#N/A</v>
      </c>
      <c r="O715" s="1908" t="s">
        <v>3686</v>
      </c>
      <c r="P715" s="2278" t="s">
        <v>3687</v>
      </c>
      <c r="Q715" s="2259"/>
      <c r="R715" s="2260"/>
      <c r="S715" s="1908" t="s">
        <v>3688</v>
      </c>
      <c r="T715" s="1908" t="s">
        <v>3689</v>
      </c>
      <c r="U715" s="1908" t="s">
        <v>3690</v>
      </c>
      <c r="V715" s="1908" t="s">
        <v>3691</v>
      </c>
      <c r="W715" s="1908" t="s">
        <v>3688</v>
      </c>
      <c r="X715" s="1908" t="s">
        <v>3692</v>
      </c>
      <c r="Y715" s="1908" t="s">
        <v>3693</v>
      </c>
      <c r="Z715" s="1908"/>
      <c r="AA715" s="1908" t="s">
        <v>3694</v>
      </c>
      <c r="AB715" s="1908" t="s">
        <v>3695</v>
      </c>
      <c r="AC715" s="1908" t="s">
        <v>3696</v>
      </c>
      <c r="AD715" s="2278" t="s">
        <v>3688</v>
      </c>
      <c r="AE715" s="2259"/>
      <c r="AF715" s="2260"/>
      <c r="AG715" s="2278" t="s">
        <v>3696</v>
      </c>
      <c r="AH715" s="2259"/>
      <c r="AI715" s="2260"/>
      <c r="AJ715" s="1908" t="s">
        <v>3697</v>
      </c>
      <c r="AK715" s="2278" t="s">
        <v>3698</v>
      </c>
      <c r="AL715" s="2259"/>
      <c r="AM715" s="2259"/>
      <c r="AN715" s="2259"/>
      <c r="AO715" s="2260"/>
      <c r="AP715" s="1908" t="s">
        <v>3699</v>
      </c>
      <c r="BC715" s="214"/>
      <c r="BD715" s="214"/>
      <c r="BE715" s="214"/>
      <c r="BF715" s="214"/>
    </row>
    <row r="716" spans="1:58" ht="45" hidden="1" customHeight="1">
      <c r="A716" s="808"/>
      <c r="B716" s="2280"/>
      <c r="C716" s="2281"/>
      <c r="D716" s="2282"/>
      <c r="E716" s="1909" t="s">
        <v>3682</v>
      </c>
      <c r="F716" s="1909" t="s">
        <v>4690</v>
      </c>
      <c r="G716" s="1909"/>
      <c r="H716" s="2283" t="s">
        <v>5293</v>
      </c>
      <c r="I716" s="2281"/>
      <c r="J716" s="2282"/>
      <c r="K716" s="2283" t="s">
        <v>5300</v>
      </c>
      <c r="L716" s="2282"/>
      <c r="M716" s="1909" t="e">
        <f>VLOOKUP(K716,'Estimate Details'!$R:$BR,20,FALSE)</f>
        <v>#N/A</v>
      </c>
      <c r="N716" s="1909" t="e">
        <f>VLOOKUP(M716,#REF!,2,FALSE)</f>
        <v>#N/A</v>
      </c>
      <c r="O716" s="1909" t="s">
        <v>3686</v>
      </c>
      <c r="P716" s="2284" t="s">
        <v>3687</v>
      </c>
      <c r="Q716" s="2281"/>
      <c r="R716" s="2282"/>
      <c r="S716" s="1909" t="s">
        <v>3688</v>
      </c>
      <c r="T716" s="1909" t="s">
        <v>3689</v>
      </c>
      <c r="U716" s="1909" t="s">
        <v>3690</v>
      </c>
      <c r="V716" s="1909" t="s">
        <v>3691</v>
      </c>
      <c r="W716" s="1909" t="s">
        <v>3688</v>
      </c>
      <c r="X716" s="1909" t="s">
        <v>3692</v>
      </c>
      <c r="Y716" s="1909" t="s">
        <v>3693</v>
      </c>
      <c r="Z716" s="1909"/>
      <c r="AA716" s="1909" t="s">
        <v>3694</v>
      </c>
      <c r="AB716" s="1909" t="s">
        <v>3695</v>
      </c>
      <c r="AC716" s="1909" t="s">
        <v>3696</v>
      </c>
      <c r="AD716" s="2283" t="s">
        <v>3688</v>
      </c>
      <c r="AE716" s="2281"/>
      <c r="AF716" s="2282"/>
      <c r="AG716" s="2283" t="s">
        <v>3696</v>
      </c>
      <c r="AH716" s="2281"/>
      <c r="AI716" s="2282"/>
      <c r="AJ716" s="1909" t="s">
        <v>3697</v>
      </c>
      <c r="AK716" s="2283" t="s">
        <v>3698</v>
      </c>
      <c r="AL716" s="2281"/>
      <c r="AM716" s="2259"/>
      <c r="AN716" s="2281"/>
      <c r="AO716" s="2282"/>
      <c r="AP716" s="1909" t="s">
        <v>3699</v>
      </c>
      <c r="BC716" s="214"/>
      <c r="BD716" s="214"/>
      <c r="BE716" s="214"/>
      <c r="BF716" s="214"/>
    </row>
    <row r="717" spans="1:58" ht="45" hidden="1" customHeight="1">
      <c r="B717" s="2277"/>
      <c r="C717" s="2259"/>
      <c r="D717" s="2260"/>
      <c r="E717" s="1908" t="s">
        <v>3682</v>
      </c>
      <c r="F717" s="1908" t="s">
        <v>4690</v>
      </c>
      <c r="G717" s="1908"/>
      <c r="H717" s="2278" t="s">
        <v>5293</v>
      </c>
      <c r="I717" s="2259"/>
      <c r="J717" s="2260"/>
      <c r="K717" s="2278" t="s">
        <v>5301</v>
      </c>
      <c r="L717" s="2260"/>
      <c r="M717" s="1908" t="e">
        <f>VLOOKUP(K717,'Estimate Details'!$R:$BR,20,FALSE)</f>
        <v>#N/A</v>
      </c>
      <c r="N717" s="1908" t="e">
        <f>VLOOKUP(M717,#REF!,2,FALSE)</f>
        <v>#N/A</v>
      </c>
      <c r="O717" s="1908" t="s">
        <v>3686</v>
      </c>
      <c r="P717" s="2278" t="s">
        <v>3687</v>
      </c>
      <c r="Q717" s="2259"/>
      <c r="R717" s="2260"/>
      <c r="S717" s="1908" t="s">
        <v>3688</v>
      </c>
      <c r="T717" s="1908" t="s">
        <v>3689</v>
      </c>
      <c r="U717" s="1908" t="s">
        <v>3690</v>
      </c>
      <c r="V717" s="1908" t="s">
        <v>3691</v>
      </c>
      <c r="W717" s="1908" t="s">
        <v>3688</v>
      </c>
      <c r="X717" s="1908" t="s">
        <v>3692</v>
      </c>
      <c r="Y717" s="1908" t="s">
        <v>3693</v>
      </c>
      <c r="Z717" s="1908"/>
      <c r="AA717" s="1908" t="s">
        <v>3694</v>
      </c>
      <c r="AB717" s="1908" t="s">
        <v>3695</v>
      </c>
      <c r="AC717" s="1908" t="s">
        <v>3696</v>
      </c>
      <c r="AD717" s="2278" t="s">
        <v>3688</v>
      </c>
      <c r="AE717" s="2259"/>
      <c r="AF717" s="2260"/>
      <c r="AG717" s="2278" t="s">
        <v>3696</v>
      </c>
      <c r="AH717" s="2259"/>
      <c r="AI717" s="2260"/>
      <c r="AJ717" s="1908" t="s">
        <v>3697</v>
      </c>
      <c r="AK717" s="2278" t="s">
        <v>3698</v>
      </c>
      <c r="AL717" s="2259"/>
      <c r="AM717" s="2259"/>
      <c r="AN717" s="2259"/>
      <c r="AO717" s="2260"/>
      <c r="AP717" s="1908" t="s">
        <v>3699</v>
      </c>
      <c r="BC717" s="214"/>
      <c r="BD717" s="214"/>
      <c r="BE717" s="214"/>
      <c r="BF717" s="214"/>
    </row>
    <row r="718" spans="1:58" ht="45" hidden="1" customHeight="1">
      <c r="A718" s="808"/>
      <c r="B718" s="2280"/>
      <c r="C718" s="2281"/>
      <c r="D718" s="2282"/>
      <c r="E718" s="1909" t="s">
        <v>3682</v>
      </c>
      <c r="F718" s="1909" t="s">
        <v>4690</v>
      </c>
      <c r="G718" s="1909"/>
      <c r="H718" s="2283" t="s">
        <v>5293</v>
      </c>
      <c r="I718" s="2281"/>
      <c r="J718" s="2282"/>
      <c r="K718" s="2283" t="s">
        <v>5302</v>
      </c>
      <c r="L718" s="2282"/>
      <c r="M718" s="1909" t="e">
        <f>VLOOKUP(K718,'Estimate Details'!$R:$BR,20,FALSE)</f>
        <v>#N/A</v>
      </c>
      <c r="N718" s="1909" t="e">
        <f>VLOOKUP(M718,#REF!,2,FALSE)</f>
        <v>#N/A</v>
      </c>
      <c r="O718" s="1909" t="s">
        <v>3686</v>
      </c>
      <c r="P718" s="2284" t="s">
        <v>3687</v>
      </c>
      <c r="Q718" s="2281"/>
      <c r="R718" s="2282"/>
      <c r="S718" s="1909" t="s">
        <v>3688</v>
      </c>
      <c r="T718" s="1909" t="s">
        <v>3689</v>
      </c>
      <c r="U718" s="1909" t="s">
        <v>3690</v>
      </c>
      <c r="V718" s="1909" t="s">
        <v>3691</v>
      </c>
      <c r="W718" s="1909" t="s">
        <v>3688</v>
      </c>
      <c r="X718" s="1909" t="s">
        <v>3692</v>
      </c>
      <c r="Y718" s="1909" t="s">
        <v>3693</v>
      </c>
      <c r="Z718" s="1909"/>
      <c r="AA718" s="1909" t="s">
        <v>3694</v>
      </c>
      <c r="AB718" s="1909" t="s">
        <v>3695</v>
      </c>
      <c r="AC718" s="1909" t="s">
        <v>3696</v>
      </c>
      <c r="AD718" s="2283" t="s">
        <v>3688</v>
      </c>
      <c r="AE718" s="2281"/>
      <c r="AF718" s="2282"/>
      <c r="AG718" s="2283" t="s">
        <v>3696</v>
      </c>
      <c r="AH718" s="2281"/>
      <c r="AI718" s="2282"/>
      <c r="AJ718" s="1909" t="s">
        <v>3697</v>
      </c>
      <c r="AK718" s="2283" t="s">
        <v>3698</v>
      </c>
      <c r="AL718" s="2281"/>
      <c r="AM718" s="2259"/>
      <c r="AN718" s="2281"/>
      <c r="AO718" s="2282"/>
      <c r="AP718" s="1909" t="s">
        <v>3699</v>
      </c>
      <c r="BC718" s="214"/>
      <c r="BD718" s="214"/>
      <c r="BE718" s="214"/>
      <c r="BF718" s="214"/>
    </row>
    <row r="719" spans="1:58" ht="45" hidden="1" customHeight="1">
      <c r="B719" s="2277"/>
      <c r="C719" s="2259"/>
      <c r="D719" s="2260"/>
      <c r="E719" s="1908" t="s">
        <v>3682</v>
      </c>
      <c r="F719" s="1908" t="s">
        <v>4690</v>
      </c>
      <c r="G719" s="1908"/>
      <c r="H719" s="2278" t="s">
        <v>5293</v>
      </c>
      <c r="I719" s="2259"/>
      <c r="J719" s="2260"/>
      <c r="K719" s="2278" t="s">
        <v>5303</v>
      </c>
      <c r="L719" s="2260"/>
      <c r="M719" s="1908" t="e">
        <f>VLOOKUP(K719,'Estimate Details'!$R:$BR,20,FALSE)</f>
        <v>#N/A</v>
      </c>
      <c r="N719" s="1908" t="e">
        <f>VLOOKUP(M719,#REF!,2,FALSE)</f>
        <v>#N/A</v>
      </c>
      <c r="O719" s="1908" t="s">
        <v>3686</v>
      </c>
      <c r="P719" s="2278" t="s">
        <v>3687</v>
      </c>
      <c r="Q719" s="2259"/>
      <c r="R719" s="2260"/>
      <c r="S719" s="1908" t="s">
        <v>3688</v>
      </c>
      <c r="T719" s="1908" t="s">
        <v>3689</v>
      </c>
      <c r="U719" s="1908" t="s">
        <v>3690</v>
      </c>
      <c r="V719" s="1908" t="s">
        <v>3691</v>
      </c>
      <c r="W719" s="1908" t="s">
        <v>3688</v>
      </c>
      <c r="X719" s="1908" t="s">
        <v>3692</v>
      </c>
      <c r="Y719" s="1908" t="s">
        <v>3693</v>
      </c>
      <c r="Z719" s="1908"/>
      <c r="AA719" s="1908" t="s">
        <v>3694</v>
      </c>
      <c r="AB719" s="1908" t="s">
        <v>3695</v>
      </c>
      <c r="AC719" s="1908" t="s">
        <v>3696</v>
      </c>
      <c r="AD719" s="2278" t="s">
        <v>3688</v>
      </c>
      <c r="AE719" s="2259"/>
      <c r="AF719" s="2260"/>
      <c r="AG719" s="2278" t="s">
        <v>3696</v>
      </c>
      <c r="AH719" s="2259"/>
      <c r="AI719" s="2260"/>
      <c r="AJ719" s="1908" t="s">
        <v>3697</v>
      </c>
      <c r="AK719" s="2278" t="s">
        <v>3698</v>
      </c>
      <c r="AL719" s="2259"/>
      <c r="AM719" s="2259"/>
      <c r="AN719" s="2259"/>
      <c r="AO719" s="2260"/>
      <c r="AP719" s="1908" t="s">
        <v>3699</v>
      </c>
      <c r="BC719" s="214"/>
      <c r="BD719" s="214"/>
      <c r="BE719" s="214"/>
      <c r="BF719" s="214"/>
    </row>
    <row r="720" spans="1:58" ht="45" hidden="1" customHeight="1">
      <c r="A720" s="808"/>
      <c r="B720" s="2280"/>
      <c r="C720" s="2281"/>
      <c r="D720" s="2282"/>
      <c r="E720" s="1909" t="s">
        <v>3682</v>
      </c>
      <c r="F720" s="1909" t="s">
        <v>4690</v>
      </c>
      <c r="G720" s="1909"/>
      <c r="H720" s="2283" t="s">
        <v>5293</v>
      </c>
      <c r="I720" s="2281"/>
      <c r="J720" s="2282"/>
      <c r="K720" s="2283" t="s">
        <v>5304</v>
      </c>
      <c r="L720" s="2282"/>
      <c r="M720" s="1909" t="e">
        <f>VLOOKUP(K720,'Estimate Details'!$R:$BR,20,FALSE)</f>
        <v>#N/A</v>
      </c>
      <c r="N720" s="1909" t="e">
        <f>VLOOKUP(M720,#REF!,2,FALSE)</f>
        <v>#N/A</v>
      </c>
      <c r="O720" s="1909" t="s">
        <v>3686</v>
      </c>
      <c r="P720" s="2284" t="s">
        <v>3687</v>
      </c>
      <c r="Q720" s="2281"/>
      <c r="R720" s="2282"/>
      <c r="S720" s="1909" t="s">
        <v>3688</v>
      </c>
      <c r="T720" s="1909" t="s">
        <v>3689</v>
      </c>
      <c r="U720" s="1909" t="s">
        <v>3690</v>
      </c>
      <c r="V720" s="1909" t="s">
        <v>3691</v>
      </c>
      <c r="W720" s="1909" t="s">
        <v>3688</v>
      </c>
      <c r="X720" s="1909" t="s">
        <v>3692</v>
      </c>
      <c r="Y720" s="1909" t="s">
        <v>3693</v>
      </c>
      <c r="Z720" s="1909"/>
      <c r="AA720" s="1909" t="s">
        <v>3694</v>
      </c>
      <c r="AB720" s="1909" t="s">
        <v>3695</v>
      </c>
      <c r="AC720" s="1909" t="s">
        <v>3696</v>
      </c>
      <c r="AD720" s="2283" t="s">
        <v>3688</v>
      </c>
      <c r="AE720" s="2281"/>
      <c r="AF720" s="2282"/>
      <c r="AG720" s="2283" t="s">
        <v>3696</v>
      </c>
      <c r="AH720" s="2281"/>
      <c r="AI720" s="2282"/>
      <c r="AJ720" s="1909" t="s">
        <v>3697</v>
      </c>
      <c r="AK720" s="2283" t="s">
        <v>3698</v>
      </c>
      <c r="AL720" s="2281"/>
      <c r="AM720" s="2259"/>
      <c r="AN720" s="2281"/>
      <c r="AO720" s="2282"/>
      <c r="AP720" s="1909" t="s">
        <v>3699</v>
      </c>
      <c r="BC720" s="214"/>
      <c r="BD720" s="214"/>
      <c r="BE720" s="214"/>
      <c r="BF720" s="214"/>
    </row>
    <row r="721" spans="1:58" ht="45" hidden="1" customHeight="1">
      <c r="B721" s="2277"/>
      <c r="C721" s="2259"/>
      <c r="D721" s="2260"/>
      <c r="E721" s="1908" t="s">
        <v>3682</v>
      </c>
      <c r="F721" s="1908" t="s">
        <v>4690</v>
      </c>
      <c r="G721" s="1908"/>
      <c r="H721" s="2278" t="s">
        <v>5293</v>
      </c>
      <c r="I721" s="2259"/>
      <c r="J721" s="2260"/>
      <c r="K721" s="2278" t="s">
        <v>5305</v>
      </c>
      <c r="L721" s="2260"/>
      <c r="M721" s="1908" t="e">
        <f>VLOOKUP(K721,'Estimate Details'!$R:$BR,20,FALSE)</f>
        <v>#N/A</v>
      </c>
      <c r="N721" s="1908" t="e">
        <f>VLOOKUP(M721,#REF!,2,FALSE)</f>
        <v>#N/A</v>
      </c>
      <c r="O721" s="1908" t="s">
        <v>3686</v>
      </c>
      <c r="P721" s="2278" t="s">
        <v>3687</v>
      </c>
      <c r="Q721" s="2259"/>
      <c r="R721" s="2260"/>
      <c r="S721" s="1908" t="s">
        <v>3688</v>
      </c>
      <c r="T721" s="1908" t="s">
        <v>3689</v>
      </c>
      <c r="U721" s="1908" t="s">
        <v>3690</v>
      </c>
      <c r="V721" s="1908" t="s">
        <v>3691</v>
      </c>
      <c r="W721" s="1908" t="s">
        <v>3688</v>
      </c>
      <c r="X721" s="1908" t="s">
        <v>3692</v>
      </c>
      <c r="Y721" s="1908" t="s">
        <v>3693</v>
      </c>
      <c r="Z721" s="1908"/>
      <c r="AA721" s="1908" t="s">
        <v>3694</v>
      </c>
      <c r="AB721" s="1908" t="s">
        <v>3695</v>
      </c>
      <c r="AC721" s="1908" t="s">
        <v>3696</v>
      </c>
      <c r="AD721" s="2278" t="s">
        <v>3688</v>
      </c>
      <c r="AE721" s="2259"/>
      <c r="AF721" s="2260"/>
      <c r="AG721" s="2278" t="s">
        <v>3696</v>
      </c>
      <c r="AH721" s="2259"/>
      <c r="AI721" s="2260"/>
      <c r="AJ721" s="1908" t="s">
        <v>3697</v>
      </c>
      <c r="AK721" s="2278" t="s">
        <v>3698</v>
      </c>
      <c r="AL721" s="2259"/>
      <c r="AM721" s="2259"/>
      <c r="AN721" s="2259"/>
      <c r="AO721" s="2260"/>
      <c r="AP721" s="1908" t="s">
        <v>3699</v>
      </c>
      <c r="BC721" s="214"/>
      <c r="BD721" s="214"/>
      <c r="BE721" s="214"/>
      <c r="BF721" s="214"/>
    </row>
    <row r="722" spans="1:58" ht="45" hidden="1" customHeight="1">
      <c r="A722" s="808"/>
      <c r="B722" s="2280"/>
      <c r="C722" s="2281"/>
      <c r="D722" s="2282"/>
      <c r="E722" s="1909" t="s">
        <v>3682</v>
      </c>
      <c r="F722" s="1909" t="s">
        <v>4690</v>
      </c>
      <c r="G722" s="1909"/>
      <c r="H722" s="2283" t="s">
        <v>5293</v>
      </c>
      <c r="I722" s="2281"/>
      <c r="J722" s="2282"/>
      <c r="K722" s="2283" t="s">
        <v>5306</v>
      </c>
      <c r="L722" s="2282"/>
      <c r="M722" s="1909" t="e">
        <f>VLOOKUP(K722,'Estimate Details'!$R:$BR,20,FALSE)</f>
        <v>#N/A</v>
      </c>
      <c r="N722" s="1909" t="e">
        <f>VLOOKUP(M722,#REF!,2,FALSE)</f>
        <v>#N/A</v>
      </c>
      <c r="O722" s="1909" t="s">
        <v>3686</v>
      </c>
      <c r="P722" s="2284" t="s">
        <v>3687</v>
      </c>
      <c r="Q722" s="2281"/>
      <c r="R722" s="2282"/>
      <c r="S722" s="1909" t="s">
        <v>3688</v>
      </c>
      <c r="T722" s="1909" t="s">
        <v>3689</v>
      </c>
      <c r="U722" s="1909" t="s">
        <v>3690</v>
      </c>
      <c r="V722" s="1909" t="s">
        <v>3691</v>
      </c>
      <c r="W722" s="1909" t="s">
        <v>3688</v>
      </c>
      <c r="X722" s="1909" t="s">
        <v>3692</v>
      </c>
      <c r="Y722" s="1909" t="s">
        <v>3693</v>
      </c>
      <c r="Z722" s="1909"/>
      <c r="AA722" s="1909" t="s">
        <v>3694</v>
      </c>
      <c r="AB722" s="1909" t="s">
        <v>3695</v>
      </c>
      <c r="AC722" s="1909" t="s">
        <v>3696</v>
      </c>
      <c r="AD722" s="2283" t="s">
        <v>3688</v>
      </c>
      <c r="AE722" s="2281"/>
      <c r="AF722" s="2282"/>
      <c r="AG722" s="2283" t="s">
        <v>3696</v>
      </c>
      <c r="AH722" s="2281"/>
      <c r="AI722" s="2282"/>
      <c r="AJ722" s="1909" t="s">
        <v>3697</v>
      </c>
      <c r="AK722" s="2283" t="s">
        <v>3698</v>
      </c>
      <c r="AL722" s="2281"/>
      <c r="AM722" s="2259"/>
      <c r="AN722" s="2281"/>
      <c r="AO722" s="2282"/>
      <c r="AP722" s="1909" t="s">
        <v>3699</v>
      </c>
      <c r="BC722" s="214"/>
      <c r="BD722" s="214"/>
      <c r="BE722" s="214"/>
      <c r="BF722" s="214"/>
    </row>
    <row r="723" spans="1:58" ht="45" hidden="1" customHeight="1">
      <c r="B723" s="2277"/>
      <c r="C723" s="2259"/>
      <c r="D723" s="2260"/>
      <c r="E723" s="1908" t="s">
        <v>3682</v>
      </c>
      <c r="F723" s="1908" t="s">
        <v>4690</v>
      </c>
      <c r="G723" s="1908"/>
      <c r="H723" s="2278" t="s">
        <v>5293</v>
      </c>
      <c r="I723" s="2259"/>
      <c r="J723" s="2260"/>
      <c r="K723" s="2278" t="s">
        <v>5307</v>
      </c>
      <c r="L723" s="2260"/>
      <c r="M723" s="1908" t="e">
        <f>VLOOKUP(K723,'Estimate Details'!$R:$BR,20,FALSE)</f>
        <v>#N/A</v>
      </c>
      <c r="N723" s="1908" t="e">
        <f>VLOOKUP(M723,#REF!,2,FALSE)</f>
        <v>#N/A</v>
      </c>
      <c r="O723" s="1908" t="s">
        <v>3686</v>
      </c>
      <c r="P723" s="2278" t="s">
        <v>3687</v>
      </c>
      <c r="Q723" s="2259"/>
      <c r="R723" s="2260"/>
      <c r="S723" s="1908" t="s">
        <v>3688</v>
      </c>
      <c r="T723" s="1908" t="s">
        <v>3689</v>
      </c>
      <c r="U723" s="1908" t="s">
        <v>3690</v>
      </c>
      <c r="V723" s="1908" t="s">
        <v>3691</v>
      </c>
      <c r="W723" s="1908" t="s">
        <v>3688</v>
      </c>
      <c r="X723" s="1908" t="s">
        <v>3692</v>
      </c>
      <c r="Y723" s="1908" t="s">
        <v>3693</v>
      </c>
      <c r="Z723" s="1908"/>
      <c r="AA723" s="1908" t="s">
        <v>3694</v>
      </c>
      <c r="AB723" s="1908" t="s">
        <v>3695</v>
      </c>
      <c r="AC723" s="1908" t="s">
        <v>3696</v>
      </c>
      <c r="AD723" s="2278" t="s">
        <v>3688</v>
      </c>
      <c r="AE723" s="2259"/>
      <c r="AF723" s="2260"/>
      <c r="AG723" s="2278" t="s">
        <v>3696</v>
      </c>
      <c r="AH723" s="2259"/>
      <c r="AI723" s="2260"/>
      <c r="AJ723" s="1908" t="s">
        <v>3697</v>
      </c>
      <c r="AK723" s="2278" t="s">
        <v>3698</v>
      </c>
      <c r="AL723" s="2259"/>
      <c r="AM723" s="2259"/>
      <c r="AN723" s="2259"/>
      <c r="AO723" s="2260"/>
      <c r="AP723" s="1908" t="s">
        <v>3699</v>
      </c>
      <c r="BC723" s="214"/>
      <c r="BD723" s="214"/>
      <c r="BE723" s="214"/>
      <c r="BF723" s="214"/>
    </row>
    <row r="724" spans="1:58" ht="45" hidden="1" customHeight="1">
      <c r="A724" s="808"/>
      <c r="B724" s="2280"/>
      <c r="C724" s="2281"/>
      <c r="D724" s="2282"/>
      <c r="E724" s="1909" t="s">
        <v>3682</v>
      </c>
      <c r="F724" s="1909" t="s">
        <v>4690</v>
      </c>
      <c r="G724" s="1909"/>
      <c r="H724" s="2283" t="s">
        <v>5293</v>
      </c>
      <c r="I724" s="2281"/>
      <c r="J724" s="2282"/>
      <c r="K724" s="2283" t="s">
        <v>5308</v>
      </c>
      <c r="L724" s="2282"/>
      <c r="M724" s="1909" t="e">
        <f>VLOOKUP(K724,'Estimate Details'!$R:$BR,20,FALSE)</f>
        <v>#N/A</v>
      </c>
      <c r="N724" s="1909" t="e">
        <f>VLOOKUP(M724,#REF!,2,FALSE)</f>
        <v>#N/A</v>
      </c>
      <c r="O724" s="1909" t="s">
        <v>5309</v>
      </c>
      <c r="P724" s="2284" t="s">
        <v>3687</v>
      </c>
      <c r="Q724" s="2281"/>
      <c r="R724" s="2282"/>
      <c r="S724" s="1909" t="s">
        <v>3688</v>
      </c>
      <c r="T724" s="1909" t="s">
        <v>3689</v>
      </c>
      <c r="U724" s="1909" t="s">
        <v>3690</v>
      </c>
      <c r="V724" s="1909" t="s">
        <v>3691</v>
      </c>
      <c r="W724" s="1909" t="s">
        <v>3688</v>
      </c>
      <c r="X724" s="1909"/>
      <c r="Y724" s="1909"/>
      <c r="Z724" s="1909"/>
      <c r="AA724" s="1909" t="s">
        <v>3694</v>
      </c>
      <c r="AB724" s="1909" t="s">
        <v>3688</v>
      </c>
      <c r="AC724" s="1909" t="s">
        <v>3696</v>
      </c>
      <c r="AD724" s="2283" t="s">
        <v>5310</v>
      </c>
      <c r="AE724" s="2281"/>
      <c r="AF724" s="2282"/>
      <c r="AG724" s="2283" t="s">
        <v>3696</v>
      </c>
      <c r="AH724" s="2281"/>
      <c r="AI724" s="2282"/>
      <c r="AJ724" s="1909" t="s">
        <v>3770</v>
      </c>
      <c r="AK724" s="2283" t="s">
        <v>3771</v>
      </c>
      <c r="AL724" s="2281"/>
      <c r="AM724" s="2259"/>
      <c r="AN724" s="2281"/>
      <c r="AO724" s="2282"/>
      <c r="AP724" s="1909" t="s">
        <v>3699</v>
      </c>
      <c r="BC724" s="214"/>
      <c r="BD724" s="214"/>
      <c r="BE724" s="214"/>
      <c r="BF724" s="214"/>
    </row>
    <row r="725" spans="1:58" ht="45" hidden="1" customHeight="1">
      <c r="B725" s="2277"/>
      <c r="C725" s="2259"/>
      <c r="D725" s="2260"/>
      <c r="E725" s="1908" t="s">
        <v>3682</v>
      </c>
      <c r="F725" s="1908" t="s">
        <v>4690</v>
      </c>
      <c r="G725" s="1908"/>
      <c r="H725" s="2278" t="s">
        <v>5293</v>
      </c>
      <c r="I725" s="2259"/>
      <c r="J725" s="2260"/>
      <c r="K725" s="2278" t="s">
        <v>5311</v>
      </c>
      <c r="L725" s="2260"/>
      <c r="M725" s="1908" t="e">
        <f>VLOOKUP(K725,'Estimate Details'!$R:$BR,20,FALSE)</f>
        <v>#N/A</v>
      </c>
      <c r="N725" s="1908" t="e">
        <f>VLOOKUP(M725,#REF!,2,FALSE)</f>
        <v>#N/A</v>
      </c>
      <c r="O725" s="1908" t="s">
        <v>3686</v>
      </c>
      <c r="P725" s="2278" t="s">
        <v>3687</v>
      </c>
      <c r="Q725" s="2259"/>
      <c r="R725" s="2260"/>
      <c r="S725" s="1908" t="s">
        <v>3688</v>
      </c>
      <c r="T725" s="1908" t="s">
        <v>3689</v>
      </c>
      <c r="U725" s="1908" t="s">
        <v>3690</v>
      </c>
      <c r="V725" s="1908" t="s">
        <v>3691</v>
      </c>
      <c r="W725" s="1908" t="s">
        <v>3688</v>
      </c>
      <c r="X725" s="1908" t="s">
        <v>3692</v>
      </c>
      <c r="Y725" s="1908" t="s">
        <v>3693</v>
      </c>
      <c r="Z725" s="1908"/>
      <c r="AA725" s="1908" t="s">
        <v>3694</v>
      </c>
      <c r="AB725" s="1908" t="s">
        <v>3695</v>
      </c>
      <c r="AC725" s="1908" t="s">
        <v>3696</v>
      </c>
      <c r="AD725" s="2278" t="s">
        <v>3688</v>
      </c>
      <c r="AE725" s="2259"/>
      <c r="AF725" s="2260"/>
      <c r="AG725" s="2278" t="s">
        <v>3696</v>
      </c>
      <c r="AH725" s="2259"/>
      <c r="AI725" s="2260"/>
      <c r="AJ725" s="1908" t="s">
        <v>3697</v>
      </c>
      <c r="AK725" s="2278" t="s">
        <v>3698</v>
      </c>
      <c r="AL725" s="2259"/>
      <c r="AM725" s="2259"/>
      <c r="AN725" s="2259"/>
      <c r="AO725" s="2260"/>
      <c r="AP725" s="1908" t="s">
        <v>3699</v>
      </c>
      <c r="BC725" s="214"/>
      <c r="BD725" s="214"/>
      <c r="BE725" s="214"/>
      <c r="BF725" s="214"/>
    </row>
    <row r="726" spans="1:58" ht="50.25" hidden="1" customHeight="1">
      <c r="A726" s="808"/>
      <c r="B726" s="2280"/>
      <c r="C726" s="2281"/>
      <c r="D726" s="2282"/>
      <c r="E726" s="1909" t="s">
        <v>3682</v>
      </c>
      <c r="F726" s="1909" t="s">
        <v>4690</v>
      </c>
      <c r="G726" s="1909"/>
      <c r="H726" s="2283" t="s">
        <v>5312</v>
      </c>
      <c r="I726" s="2281"/>
      <c r="J726" s="2282"/>
      <c r="K726" s="2283" t="s">
        <v>5313</v>
      </c>
      <c r="L726" s="2282"/>
      <c r="M726" s="1909" t="e">
        <f>VLOOKUP(K726,'Estimate Details'!$R:$BR,20,FALSE)</f>
        <v>#N/A</v>
      </c>
      <c r="N726" s="1909" t="e">
        <f>VLOOKUP(M726,#REF!,2,FALSE)</f>
        <v>#N/A</v>
      </c>
      <c r="O726" s="1909" t="s">
        <v>5314</v>
      </c>
      <c r="P726" s="2284" t="s">
        <v>3687</v>
      </c>
      <c r="Q726" s="2281"/>
      <c r="R726" s="2282"/>
      <c r="S726" s="1909" t="s">
        <v>3688</v>
      </c>
      <c r="T726" s="1909" t="s">
        <v>3706</v>
      </c>
      <c r="U726" s="1909" t="s">
        <v>3690</v>
      </c>
      <c r="V726" s="1909" t="s">
        <v>3708</v>
      </c>
      <c r="W726" s="1909" t="s">
        <v>3688</v>
      </c>
      <c r="X726" s="1909" t="s">
        <v>5315</v>
      </c>
      <c r="Y726" s="1909" t="s">
        <v>5316</v>
      </c>
      <c r="Z726" s="1909"/>
      <c r="AA726" s="1909" t="s">
        <v>3694</v>
      </c>
      <c r="AB726" s="1909" t="s">
        <v>5317</v>
      </c>
      <c r="AC726" s="1909" t="s">
        <v>3696</v>
      </c>
      <c r="AD726" s="2283" t="s">
        <v>5318</v>
      </c>
      <c r="AE726" s="2281"/>
      <c r="AF726" s="2282"/>
      <c r="AG726" s="2283" t="s">
        <v>3696</v>
      </c>
      <c r="AH726" s="2281"/>
      <c r="AI726" s="2282"/>
      <c r="AJ726" s="1909" t="s">
        <v>4785</v>
      </c>
      <c r="AK726" s="2283" t="s">
        <v>5319</v>
      </c>
      <c r="AL726" s="2281"/>
      <c r="AM726" s="2259"/>
      <c r="AN726" s="2281"/>
      <c r="AO726" s="2282"/>
      <c r="AP726" s="1909" t="s">
        <v>3699</v>
      </c>
      <c r="BC726" s="214"/>
      <c r="BD726" s="214"/>
      <c r="BE726" s="214"/>
      <c r="BF726" s="214"/>
    </row>
    <row r="727" spans="1:58" ht="48.75" hidden="1" customHeight="1">
      <c r="B727" s="2277"/>
      <c r="C727" s="2259"/>
      <c r="D727" s="2260"/>
      <c r="E727" s="1908" t="s">
        <v>3682</v>
      </c>
      <c r="F727" s="1908" t="s">
        <v>4690</v>
      </c>
      <c r="G727" s="1908"/>
      <c r="H727" s="2278" t="s">
        <v>5312</v>
      </c>
      <c r="I727" s="2259"/>
      <c r="J727" s="2260"/>
      <c r="K727" s="2278" t="s">
        <v>5320</v>
      </c>
      <c r="L727" s="2260"/>
      <c r="M727" s="1908" t="e">
        <f>VLOOKUP(K727,'Estimate Details'!$R:$BR,20,FALSE)</f>
        <v>#N/A</v>
      </c>
      <c r="N727" s="1908" t="e">
        <f>VLOOKUP(M727,#REF!,2,FALSE)</f>
        <v>#N/A</v>
      </c>
      <c r="O727" s="1908" t="s">
        <v>5314</v>
      </c>
      <c r="P727" s="2278" t="s">
        <v>3687</v>
      </c>
      <c r="Q727" s="2259"/>
      <c r="R727" s="2260"/>
      <c r="S727" s="1908" t="s">
        <v>3688</v>
      </c>
      <c r="T727" s="1908" t="s">
        <v>3706</v>
      </c>
      <c r="U727" s="1908" t="s">
        <v>3690</v>
      </c>
      <c r="V727" s="1908" t="s">
        <v>3708</v>
      </c>
      <c r="W727" s="1908" t="s">
        <v>3688</v>
      </c>
      <c r="X727" s="1908" t="s">
        <v>5315</v>
      </c>
      <c r="Y727" s="1908" t="s">
        <v>5316</v>
      </c>
      <c r="Z727" s="1908"/>
      <c r="AA727" s="1908" t="s">
        <v>3694</v>
      </c>
      <c r="AB727" s="1908" t="s">
        <v>5317</v>
      </c>
      <c r="AC727" s="1908" t="s">
        <v>3696</v>
      </c>
      <c r="AD727" s="2278" t="s">
        <v>5318</v>
      </c>
      <c r="AE727" s="2259"/>
      <c r="AF727" s="2260"/>
      <c r="AG727" s="2278" t="s">
        <v>3696</v>
      </c>
      <c r="AH727" s="2259"/>
      <c r="AI727" s="2260"/>
      <c r="AJ727" s="1908" t="s">
        <v>4785</v>
      </c>
      <c r="AK727" s="2278" t="s">
        <v>5319</v>
      </c>
      <c r="AL727" s="2259"/>
      <c r="AM727" s="2259"/>
      <c r="AN727" s="2259"/>
      <c r="AO727" s="2260"/>
      <c r="AP727" s="1908" t="s">
        <v>3699</v>
      </c>
      <c r="BC727" s="214"/>
      <c r="BD727" s="214"/>
      <c r="BE727" s="214"/>
      <c r="BF727" s="214"/>
    </row>
    <row r="728" spans="1:58" ht="51" hidden="1" customHeight="1">
      <c r="A728" s="808"/>
      <c r="B728" s="2280"/>
      <c r="C728" s="2281"/>
      <c r="D728" s="2282"/>
      <c r="E728" s="1909" t="s">
        <v>3682</v>
      </c>
      <c r="F728" s="1909" t="s">
        <v>4690</v>
      </c>
      <c r="G728" s="1909"/>
      <c r="H728" s="2283" t="s">
        <v>5312</v>
      </c>
      <c r="I728" s="2281"/>
      <c r="J728" s="2282"/>
      <c r="K728" s="2283" t="s">
        <v>5321</v>
      </c>
      <c r="L728" s="2282"/>
      <c r="M728" s="1909" t="e">
        <f>VLOOKUP(K728,'Estimate Details'!$R:$BR,20,FALSE)</f>
        <v>#N/A</v>
      </c>
      <c r="N728" s="1909" t="e">
        <f>VLOOKUP(M728,#REF!,2,FALSE)</f>
        <v>#N/A</v>
      </c>
      <c r="O728" s="1909" t="s">
        <v>5314</v>
      </c>
      <c r="P728" s="2284" t="s">
        <v>3687</v>
      </c>
      <c r="Q728" s="2281"/>
      <c r="R728" s="2282"/>
      <c r="S728" s="1909" t="s">
        <v>3688</v>
      </c>
      <c r="T728" s="1909" t="s">
        <v>3706</v>
      </c>
      <c r="U728" s="1909" t="s">
        <v>3690</v>
      </c>
      <c r="V728" s="1909" t="s">
        <v>3708</v>
      </c>
      <c r="W728" s="1909" t="s">
        <v>3688</v>
      </c>
      <c r="X728" s="1909" t="s">
        <v>5315</v>
      </c>
      <c r="Y728" s="1909" t="s">
        <v>5316</v>
      </c>
      <c r="Z728" s="1909"/>
      <c r="AA728" s="1909" t="s">
        <v>3694</v>
      </c>
      <c r="AB728" s="1909" t="s">
        <v>5317</v>
      </c>
      <c r="AC728" s="1909" t="s">
        <v>3696</v>
      </c>
      <c r="AD728" s="2283" t="s">
        <v>5318</v>
      </c>
      <c r="AE728" s="2281"/>
      <c r="AF728" s="2282"/>
      <c r="AG728" s="2283" t="s">
        <v>3696</v>
      </c>
      <c r="AH728" s="2281"/>
      <c r="AI728" s="2282"/>
      <c r="AJ728" s="1909" t="s">
        <v>4785</v>
      </c>
      <c r="AK728" s="2283" t="s">
        <v>5319</v>
      </c>
      <c r="AL728" s="2281"/>
      <c r="AM728" s="2259"/>
      <c r="AN728" s="2281"/>
      <c r="AO728" s="2282"/>
      <c r="AP728" s="1909" t="s">
        <v>3699</v>
      </c>
      <c r="BC728" s="214"/>
      <c r="BD728" s="214"/>
      <c r="BE728" s="214"/>
      <c r="BF728" s="214"/>
    </row>
    <row r="729" spans="1:58" ht="51" hidden="1" customHeight="1">
      <c r="B729" s="2277"/>
      <c r="C729" s="2259"/>
      <c r="D729" s="2260"/>
      <c r="E729" s="1908" t="s">
        <v>3682</v>
      </c>
      <c r="F729" s="1908" t="s">
        <v>4690</v>
      </c>
      <c r="G729" s="1908"/>
      <c r="H729" s="2278" t="s">
        <v>5312</v>
      </c>
      <c r="I729" s="2259"/>
      <c r="J729" s="2260"/>
      <c r="K729" s="2278" t="s">
        <v>5322</v>
      </c>
      <c r="L729" s="2260"/>
      <c r="M729" s="1908" t="e">
        <f>VLOOKUP(K729,'Estimate Details'!$R:$BR,20,FALSE)</f>
        <v>#N/A</v>
      </c>
      <c r="N729" s="1908" t="e">
        <f>VLOOKUP(M729,#REF!,2,FALSE)</f>
        <v>#N/A</v>
      </c>
      <c r="O729" s="1908" t="s">
        <v>5314</v>
      </c>
      <c r="P729" s="2278" t="s">
        <v>3687</v>
      </c>
      <c r="Q729" s="2259"/>
      <c r="R729" s="2260"/>
      <c r="S729" s="1908" t="s">
        <v>3688</v>
      </c>
      <c r="T729" s="1908" t="s">
        <v>3706</v>
      </c>
      <c r="U729" s="1908" t="s">
        <v>3690</v>
      </c>
      <c r="V729" s="1908" t="s">
        <v>3708</v>
      </c>
      <c r="W729" s="1908" t="s">
        <v>3688</v>
      </c>
      <c r="X729" s="1908" t="s">
        <v>5315</v>
      </c>
      <c r="Y729" s="1908" t="s">
        <v>5316</v>
      </c>
      <c r="Z729" s="1908"/>
      <c r="AA729" s="1908" t="s">
        <v>3694</v>
      </c>
      <c r="AB729" s="1908" t="s">
        <v>5317</v>
      </c>
      <c r="AC729" s="1908" t="s">
        <v>3696</v>
      </c>
      <c r="AD729" s="2278" t="s">
        <v>5318</v>
      </c>
      <c r="AE729" s="2259"/>
      <c r="AF729" s="2260"/>
      <c r="AG729" s="2278" t="s">
        <v>3696</v>
      </c>
      <c r="AH729" s="2259"/>
      <c r="AI729" s="2260"/>
      <c r="AJ729" s="1908" t="s">
        <v>4785</v>
      </c>
      <c r="AK729" s="2278" t="s">
        <v>5319</v>
      </c>
      <c r="AL729" s="2259"/>
      <c r="AM729" s="2259"/>
      <c r="AN729" s="2259"/>
      <c r="AO729" s="2260"/>
      <c r="AP729" s="1908" t="s">
        <v>3699</v>
      </c>
      <c r="BC729" s="214"/>
      <c r="BD729" s="214"/>
      <c r="BE729" s="214"/>
      <c r="BF729" s="214"/>
    </row>
    <row r="730" spans="1:58" ht="51" hidden="1" customHeight="1">
      <c r="A730" s="808"/>
      <c r="B730" s="2280"/>
      <c r="C730" s="2281"/>
      <c r="D730" s="2282"/>
      <c r="E730" s="1909" t="s">
        <v>3682</v>
      </c>
      <c r="F730" s="1909" t="s">
        <v>4690</v>
      </c>
      <c r="G730" s="1909"/>
      <c r="H730" s="2283" t="s">
        <v>5312</v>
      </c>
      <c r="I730" s="2281"/>
      <c r="J730" s="2282"/>
      <c r="K730" s="2283" t="s">
        <v>5323</v>
      </c>
      <c r="L730" s="2282"/>
      <c r="M730" s="1909" t="e">
        <f>VLOOKUP(K730,'Estimate Details'!$R:$BR,20,FALSE)</f>
        <v>#N/A</v>
      </c>
      <c r="N730" s="1909" t="e">
        <f>VLOOKUP(M730,#REF!,2,FALSE)</f>
        <v>#N/A</v>
      </c>
      <c r="O730" s="1909" t="s">
        <v>5314</v>
      </c>
      <c r="P730" s="2284" t="s">
        <v>3687</v>
      </c>
      <c r="Q730" s="2281"/>
      <c r="R730" s="2282"/>
      <c r="S730" s="1909" t="s">
        <v>3688</v>
      </c>
      <c r="T730" s="1909" t="s">
        <v>3706</v>
      </c>
      <c r="U730" s="1909" t="s">
        <v>3690</v>
      </c>
      <c r="V730" s="1909" t="s">
        <v>3708</v>
      </c>
      <c r="W730" s="1909" t="s">
        <v>3688</v>
      </c>
      <c r="X730" s="1909" t="s">
        <v>5315</v>
      </c>
      <c r="Y730" s="1909" t="s">
        <v>5316</v>
      </c>
      <c r="Z730" s="1909"/>
      <c r="AA730" s="1909" t="s">
        <v>3694</v>
      </c>
      <c r="AB730" s="1909" t="s">
        <v>5317</v>
      </c>
      <c r="AC730" s="1909" t="s">
        <v>3696</v>
      </c>
      <c r="AD730" s="2283" t="s">
        <v>5318</v>
      </c>
      <c r="AE730" s="2281"/>
      <c r="AF730" s="2282"/>
      <c r="AG730" s="2283" t="s">
        <v>3696</v>
      </c>
      <c r="AH730" s="2281"/>
      <c r="AI730" s="2282"/>
      <c r="AJ730" s="1909" t="s">
        <v>4785</v>
      </c>
      <c r="AK730" s="2283" t="s">
        <v>5319</v>
      </c>
      <c r="AL730" s="2281"/>
      <c r="AM730" s="2259"/>
      <c r="AN730" s="2281"/>
      <c r="AO730" s="2282"/>
      <c r="AP730" s="1909" t="s">
        <v>3699</v>
      </c>
      <c r="BC730" s="214"/>
      <c r="BD730" s="214"/>
      <c r="BE730" s="214"/>
      <c r="BF730" s="214"/>
    </row>
    <row r="731" spans="1:58" ht="51" hidden="1" customHeight="1">
      <c r="B731" s="2277"/>
      <c r="C731" s="2259"/>
      <c r="D731" s="2260"/>
      <c r="E731" s="1908" t="s">
        <v>3682</v>
      </c>
      <c r="F731" s="1908" t="s">
        <v>4690</v>
      </c>
      <c r="G731" s="1908"/>
      <c r="H731" s="2278" t="s">
        <v>5312</v>
      </c>
      <c r="I731" s="2259"/>
      <c r="J731" s="2260"/>
      <c r="K731" s="2278" t="s">
        <v>5324</v>
      </c>
      <c r="L731" s="2260"/>
      <c r="M731" s="1908" t="e">
        <f>VLOOKUP(K731,'Estimate Details'!$R:$BR,20,FALSE)</f>
        <v>#N/A</v>
      </c>
      <c r="N731" s="1908" t="e">
        <f>VLOOKUP(M731,#REF!,2,FALSE)</f>
        <v>#N/A</v>
      </c>
      <c r="O731" s="1908" t="s">
        <v>5314</v>
      </c>
      <c r="P731" s="2278" t="s">
        <v>3687</v>
      </c>
      <c r="Q731" s="2259"/>
      <c r="R731" s="2260"/>
      <c r="S731" s="1908" t="s">
        <v>3688</v>
      </c>
      <c r="T731" s="1908" t="s">
        <v>3706</v>
      </c>
      <c r="U731" s="1908" t="s">
        <v>3690</v>
      </c>
      <c r="V731" s="1908" t="s">
        <v>3708</v>
      </c>
      <c r="W731" s="1908" t="s">
        <v>3688</v>
      </c>
      <c r="X731" s="1908" t="s">
        <v>5315</v>
      </c>
      <c r="Y731" s="1908" t="s">
        <v>5316</v>
      </c>
      <c r="Z731" s="1908"/>
      <c r="AA731" s="1908" t="s">
        <v>3694</v>
      </c>
      <c r="AB731" s="1908" t="s">
        <v>5317</v>
      </c>
      <c r="AC731" s="1908" t="s">
        <v>3696</v>
      </c>
      <c r="AD731" s="2278" t="s">
        <v>5318</v>
      </c>
      <c r="AE731" s="2259"/>
      <c r="AF731" s="2260"/>
      <c r="AG731" s="2278" t="s">
        <v>3696</v>
      </c>
      <c r="AH731" s="2259"/>
      <c r="AI731" s="2260"/>
      <c r="AJ731" s="1908" t="s">
        <v>4785</v>
      </c>
      <c r="AK731" s="2278" t="s">
        <v>5319</v>
      </c>
      <c r="AL731" s="2259"/>
      <c r="AM731" s="2259"/>
      <c r="AN731" s="2259"/>
      <c r="AO731" s="2260"/>
      <c r="AP731" s="1908" t="s">
        <v>3699</v>
      </c>
      <c r="BC731" s="214"/>
      <c r="BD731" s="214"/>
      <c r="BE731" s="214"/>
      <c r="BF731" s="214"/>
    </row>
    <row r="732" spans="1:58" ht="51" hidden="1" customHeight="1">
      <c r="A732" s="808"/>
      <c r="B732" s="2280"/>
      <c r="C732" s="2281"/>
      <c r="D732" s="2282"/>
      <c r="E732" s="1909" t="s">
        <v>3682</v>
      </c>
      <c r="F732" s="1909" t="s">
        <v>4690</v>
      </c>
      <c r="G732" s="1909"/>
      <c r="H732" s="2283" t="s">
        <v>5312</v>
      </c>
      <c r="I732" s="2281"/>
      <c r="J732" s="2282"/>
      <c r="K732" s="2283" t="s">
        <v>5325</v>
      </c>
      <c r="L732" s="2282"/>
      <c r="M732" s="1909" t="e">
        <f>VLOOKUP(K732,'Estimate Details'!$R:$BR,20,FALSE)</f>
        <v>#N/A</v>
      </c>
      <c r="N732" s="1909" t="e">
        <f>VLOOKUP(M732,#REF!,2,FALSE)</f>
        <v>#N/A</v>
      </c>
      <c r="O732" s="1909" t="s">
        <v>5314</v>
      </c>
      <c r="P732" s="2284" t="s">
        <v>3687</v>
      </c>
      <c r="Q732" s="2281"/>
      <c r="R732" s="2282"/>
      <c r="S732" s="1909" t="s">
        <v>3688</v>
      </c>
      <c r="T732" s="1909" t="s">
        <v>3706</v>
      </c>
      <c r="U732" s="1909" t="s">
        <v>3690</v>
      </c>
      <c r="V732" s="1909" t="s">
        <v>3708</v>
      </c>
      <c r="W732" s="1909" t="s">
        <v>3688</v>
      </c>
      <c r="X732" s="1909" t="s">
        <v>5315</v>
      </c>
      <c r="Y732" s="1909" t="s">
        <v>5316</v>
      </c>
      <c r="Z732" s="1909"/>
      <c r="AA732" s="1909" t="s">
        <v>3694</v>
      </c>
      <c r="AB732" s="1909" t="s">
        <v>5317</v>
      </c>
      <c r="AC732" s="1909" t="s">
        <v>3696</v>
      </c>
      <c r="AD732" s="2283" t="s">
        <v>5318</v>
      </c>
      <c r="AE732" s="2281"/>
      <c r="AF732" s="2282"/>
      <c r="AG732" s="2283" t="s">
        <v>3696</v>
      </c>
      <c r="AH732" s="2281"/>
      <c r="AI732" s="2282"/>
      <c r="AJ732" s="1909" t="s">
        <v>4785</v>
      </c>
      <c r="AK732" s="2283" t="s">
        <v>5319</v>
      </c>
      <c r="AL732" s="2281"/>
      <c r="AM732" s="2259"/>
      <c r="AN732" s="2281"/>
      <c r="AO732" s="2282"/>
      <c r="AP732" s="1909" t="s">
        <v>3699</v>
      </c>
      <c r="BC732" s="214"/>
      <c r="BD732" s="214"/>
      <c r="BE732" s="214"/>
      <c r="BF732" s="214"/>
    </row>
    <row r="733" spans="1:58" ht="51" hidden="1" customHeight="1">
      <c r="B733" s="2277"/>
      <c r="C733" s="2259"/>
      <c r="D733" s="2260"/>
      <c r="E733" s="1908" t="s">
        <v>3682</v>
      </c>
      <c r="F733" s="1908" t="s">
        <v>4690</v>
      </c>
      <c r="G733" s="1908"/>
      <c r="H733" s="2278" t="s">
        <v>5312</v>
      </c>
      <c r="I733" s="2259"/>
      <c r="J733" s="2260"/>
      <c r="K733" s="2278" t="s">
        <v>5326</v>
      </c>
      <c r="L733" s="2260"/>
      <c r="M733" s="1908" t="e">
        <f>VLOOKUP(K733,'Estimate Details'!$R:$BR,20,FALSE)</f>
        <v>#N/A</v>
      </c>
      <c r="N733" s="1908" t="e">
        <f>VLOOKUP(M733,#REF!,2,FALSE)</f>
        <v>#N/A</v>
      </c>
      <c r="O733" s="1908" t="s">
        <v>5314</v>
      </c>
      <c r="P733" s="2278" t="s">
        <v>3687</v>
      </c>
      <c r="Q733" s="2259"/>
      <c r="R733" s="2260"/>
      <c r="S733" s="1908" t="s">
        <v>3688</v>
      </c>
      <c r="T733" s="1908" t="s">
        <v>3706</v>
      </c>
      <c r="U733" s="1908" t="s">
        <v>3690</v>
      </c>
      <c r="V733" s="1908" t="s">
        <v>3708</v>
      </c>
      <c r="W733" s="1908" t="s">
        <v>3688</v>
      </c>
      <c r="X733" s="1908" t="s">
        <v>5315</v>
      </c>
      <c r="Y733" s="1908" t="s">
        <v>5316</v>
      </c>
      <c r="Z733" s="1908"/>
      <c r="AA733" s="1908" t="s">
        <v>3694</v>
      </c>
      <c r="AB733" s="1908" t="s">
        <v>5317</v>
      </c>
      <c r="AC733" s="1908" t="s">
        <v>3696</v>
      </c>
      <c r="AD733" s="2278" t="s">
        <v>5318</v>
      </c>
      <c r="AE733" s="2259"/>
      <c r="AF733" s="2260"/>
      <c r="AG733" s="2278" t="s">
        <v>3696</v>
      </c>
      <c r="AH733" s="2259"/>
      <c r="AI733" s="2260"/>
      <c r="AJ733" s="1908" t="s">
        <v>4785</v>
      </c>
      <c r="AK733" s="2278" t="s">
        <v>5319</v>
      </c>
      <c r="AL733" s="2259"/>
      <c r="AM733" s="2259"/>
      <c r="AN733" s="2259"/>
      <c r="AO733" s="2260"/>
      <c r="AP733" s="1908" t="s">
        <v>3699</v>
      </c>
      <c r="BC733" s="214"/>
      <c r="BD733" s="214"/>
      <c r="BE733" s="214"/>
      <c r="BF733" s="214"/>
    </row>
    <row r="734" spans="1:58" ht="51" hidden="1" customHeight="1">
      <c r="A734" s="808"/>
      <c r="B734" s="2280"/>
      <c r="C734" s="2281"/>
      <c r="D734" s="2282"/>
      <c r="E734" s="1909" t="s">
        <v>3682</v>
      </c>
      <c r="F734" s="1909" t="s">
        <v>4690</v>
      </c>
      <c r="G734" s="1909"/>
      <c r="H734" s="2283" t="s">
        <v>5312</v>
      </c>
      <c r="I734" s="2281"/>
      <c r="J734" s="2282"/>
      <c r="K734" s="2283" t="s">
        <v>5327</v>
      </c>
      <c r="L734" s="2282"/>
      <c r="M734" s="1909" t="e">
        <f>VLOOKUP(K734,'Estimate Details'!$R:$BR,20,FALSE)</f>
        <v>#N/A</v>
      </c>
      <c r="N734" s="1909" t="e">
        <f>VLOOKUP(M734,#REF!,2,FALSE)</f>
        <v>#N/A</v>
      </c>
      <c r="O734" s="1909" t="s">
        <v>5314</v>
      </c>
      <c r="P734" s="2284" t="s">
        <v>3687</v>
      </c>
      <c r="Q734" s="2281"/>
      <c r="R734" s="2282"/>
      <c r="S734" s="1909" t="s">
        <v>3688</v>
      </c>
      <c r="T734" s="1909" t="s">
        <v>3706</v>
      </c>
      <c r="U734" s="1909" t="s">
        <v>3690</v>
      </c>
      <c r="V734" s="1909" t="s">
        <v>3708</v>
      </c>
      <c r="W734" s="1909" t="s">
        <v>3688</v>
      </c>
      <c r="X734" s="1909" t="s">
        <v>5315</v>
      </c>
      <c r="Y734" s="1909" t="s">
        <v>5316</v>
      </c>
      <c r="Z734" s="1909"/>
      <c r="AA734" s="1909" t="s">
        <v>3694</v>
      </c>
      <c r="AB734" s="1909" t="s">
        <v>5317</v>
      </c>
      <c r="AC734" s="1909" t="s">
        <v>3696</v>
      </c>
      <c r="AD734" s="2283" t="s">
        <v>5318</v>
      </c>
      <c r="AE734" s="2281"/>
      <c r="AF734" s="2282"/>
      <c r="AG734" s="2283" t="s">
        <v>3696</v>
      </c>
      <c r="AH734" s="2281"/>
      <c r="AI734" s="2282"/>
      <c r="AJ734" s="1909" t="s">
        <v>4785</v>
      </c>
      <c r="AK734" s="2283" t="s">
        <v>5319</v>
      </c>
      <c r="AL734" s="2281"/>
      <c r="AM734" s="2259"/>
      <c r="AN734" s="2281"/>
      <c r="AO734" s="2282"/>
      <c r="AP734" s="1909" t="s">
        <v>3699</v>
      </c>
      <c r="BC734" s="214"/>
      <c r="BD734" s="214"/>
      <c r="BE734" s="214"/>
      <c r="BF734" s="214"/>
    </row>
    <row r="735" spans="1:58" ht="51" hidden="1" customHeight="1">
      <c r="B735" s="2277"/>
      <c r="C735" s="2259"/>
      <c r="D735" s="2260"/>
      <c r="E735" s="1908" t="s">
        <v>3682</v>
      </c>
      <c r="F735" s="1908" t="s">
        <v>4690</v>
      </c>
      <c r="G735" s="1908"/>
      <c r="H735" s="2278" t="s">
        <v>5312</v>
      </c>
      <c r="I735" s="2259"/>
      <c r="J735" s="2260"/>
      <c r="K735" s="2278" t="s">
        <v>5328</v>
      </c>
      <c r="L735" s="2260"/>
      <c r="M735" s="1908" t="e">
        <f>VLOOKUP(K735,'Estimate Details'!$R:$BR,20,FALSE)</f>
        <v>#N/A</v>
      </c>
      <c r="N735" s="1908" t="e">
        <f>VLOOKUP(M735,#REF!,2,FALSE)</f>
        <v>#N/A</v>
      </c>
      <c r="O735" s="1908" t="s">
        <v>5314</v>
      </c>
      <c r="P735" s="2278" t="s">
        <v>3687</v>
      </c>
      <c r="Q735" s="2259"/>
      <c r="R735" s="2260"/>
      <c r="S735" s="1908" t="s">
        <v>3688</v>
      </c>
      <c r="T735" s="1908" t="s">
        <v>3706</v>
      </c>
      <c r="U735" s="1908" t="s">
        <v>3690</v>
      </c>
      <c r="V735" s="1908" t="s">
        <v>3708</v>
      </c>
      <c r="W735" s="1908" t="s">
        <v>3688</v>
      </c>
      <c r="X735" s="1908" t="s">
        <v>5315</v>
      </c>
      <c r="Y735" s="1908" t="s">
        <v>5316</v>
      </c>
      <c r="Z735" s="1908"/>
      <c r="AA735" s="1908" t="s">
        <v>3694</v>
      </c>
      <c r="AB735" s="1908" t="s">
        <v>5317</v>
      </c>
      <c r="AC735" s="1908" t="s">
        <v>3696</v>
      </c>
      <c r="AD735" s="2278" t="s">
        <v>5318</v>
      </c>
      <c r="AE735" s="2259"/>
      <c r="AF735" s="2260"/>
      <c r="AG735" s="2278" t="s">
        <v>3696</v>
      </c>
      <c r="AH735" s="2259"/>
      <c r="AI735" s="2260"/>
      <c r="AJ735" s="1908" t="s">
        <v>4785</v>
      </c>
      <c r="AK735" s="2278" t="s">
        <v>5319</v>
      </c>
      <c r="AL735" s="2259"/>
      <c r="AM735" s="2259"/>
      <c r="AN735" s="2259"/>
      <c r="AO735" s="2260"/>
      <c r="AP735" s="1908" t="s">
        <v>3699</v>
      </c>
      <c r="BC735" s="214"/>
      <c r="BD735" s="214"/>
      <c r="BE735" s="214"/>
      <c r="BF735" s="214"/>
    </row>
    <row r="736" spans="1:58" ht="45" hidden="1" customHeight="1">
      <c r="A736" s="808"/>
      <c r="B736" s="2280"/>
      <c r="C736" s="2281"/>
      <c r="D736" s="2282"/>
      <c r="E736" s="1909" t="s">
        <v>3682</v>
      </c>
      <c r="F736" s="1909" t="s">
        <v>4690</v>
      </c>
      <c r="G736" s="1909"/>
      <c r="H736" s="2283" t="s">
        <v>5312</v>
      </c>
      <c r="I736" s="2281"/>
      <c r="J736" s="2282"/>
      <c r="K736" s="2283" t="s">
        <v>5329</v>
      </c>
      <c r="L736" s="2282"/>
      <c r="M736" s="1909" t="e">
        <f>VLOOKUP(K736,'Estimate Details'!$R:$BR,20,FALSE)</f>
        <v>#N/A</v>
      </c>
      <c r="N736" s="1909" t="e">
        <f>VLOOKUP(M736,#REF!,2,FALSE)</f>
        <v>#N/A</v>
      </c>
      <c r="O736" s="1909" t="s">
        <v>5330</v>
      </c>
      <c r="P736" s="2284" t="s">
        <v>3687</v>
      </c>
      <c r="Q736" s="2281"/>
      <c r="R736" s="2282"/>
      <c r="S736" s="1909" t="s">
        <v>3688</v>
      </c>
      <c r="T736" s="1909" t="s">
        <v>3689</v>
      </c>
      <c r="U736" s="1909" t="s">
        <v>3690</v>
      </c>
      <c r="V736" s="1909" t="s">
        <v>3708</v>
      </c>
      <c r="W736" s="1909" t="s">
        <v>3688</v>
      </c>
      <c r="X736" s="1909" t="s">
        <v>3709</v>
      </c>
      <c r="Y736" s="1909" t="s">
        <v>3710</v>
      </c>
      <c r="Z736" s="1909"/>
      <c r="AA736" s="1909" t="s">
        <v>3694</v>
      </c>
      <c r="AB736" s="1909" t="s">
        <v>3711</v>
      </c>
      <c r="AC736" s="1909" t="s">
        <v>3696</v>
      </c>
      <c r="AD736" s="2283" t="s">
        <v>5331</v>
      </c>
      <c r="AE736" s="2281"/>
      <c r="AF736" s="2282"/>
      <c r="AG736" s="2283" t="s">
        <v>3696</v>
      </c>
      <c r="AH736" s="2281"/>
      <c r="AI736" s="2282"/>
      <c r="AJ736" s="1909" t="s">
        <v>3714</v>
      </c>
      <c r="AK736" s="2283" t="s">
        <v>3715</v>
      </c>
      <c r="AL736" s="2281"/>
      <c r="AM736" s="2259"/>
      <c r="AN736" s="2281"/>
      <c r="AO736" s="2282"/>
      <c r="AP736" s="1909" t="s">
        <v>3699</v>
      </c>
      <c r="BC736" s="214"/>
      <c r="BD736" s="214"/>
      <c r="BE736" s="214"/>
      <c r="BF736" s="214"/>
    </row>
    <row r="737" spans="1:58" ht="45" hidden="1" customHeight="1">
      <c r="B737" s="2277"/>
      <c r="C737" s="2259"/>
      <c r="D737" s="2260"/>
      <c r="E737" s="1908" t="s">
        <v>3682</v>
      </c>
      <c r="F737" s="1908" t="s">
        <v>4690</v>
      </c>
      <c r="G737" s="1908"/>
      <c r="H737" s="2278" t="s">
        <v>5312</v>
      </c>
      <c r="I737" s="2259"/>
      <c r="J737" s="2260"/>
      <c r="K737" s="2278" t="s">
        <v>5332</v>
      </c>
      <c r="L737" s="2260"/>
      <c r="M737" s="1908" t="e">
        <f>VLOOKUP(K737,'Estimate Details'!$R:$BR,20,FALSE)</f>
        <v>#N/A</v>
      </c>
      <c r="N737" s="1908" t="e">
        <f>VLOOKUP(M737,#REF!,2,FALSE)</f>
        <v>#N/A</v>
      </c>
      <c r="O737" s="1908" t="s">
        <v>5330</v>
      </c>
      <c r="P737" s="2278" t="s">
        <v>3687</v>
      </c>
      <c r="Q737" s="2259"/>
      <c r="R737" s="2260"/>
      <c r="S737" s="1908" t="s">
        <v>3688</v>
      </c>
      <c r="T737" s="1908" t="s">
        <v>3689</v>
      </c>
      <c r="U737" s="1908" t="s">
        <v>3690</v>
      </c>
      <c r="V737" s="1908" t="s">
        <v>3708</v>
      </c>
      <c r="W737" s="1908" t="s">
        <v>3688</v>
      </c>
      <c r="X737" s="1908" t="s">
        <v>3709</v>
      </c>
      <c r="Y737" s="1908" t="s">
        <v>3710</v>
      </c>
      <c r="Z737" s="1908"/>
      <c r="AA737" s="1908" t="s">
        <v>3694</v>
      </c>
      <c r="AB737" s="1908" t="s">
        <v>3711</v>
      </c>
      <c r="AC737" s="1908" t="s">
        <v>3696</v>
      </c>
      <c r="AD737" s="2278" t="s">
        <v>5331</v>
      </c>
      <c r="AE737" s="2259"/>
      <c r="AF737" s="2260"/>
      <c r="AG737" s="2278" t="s">
        <v>3696</v>
      </c>
      <c r="AH737" s="2259"/>
      <c r="AI737" s="2260"/>
      <c r="AJ737" s="1908" t="s">
        <v>3714</v>
      </c>
      <c r="AK737" s="2278" t="s">
        <v>3715</v>
      </c>
      <c r="AL737" s="2259"/>
      <c r="AM737" s="2259"/>
      <c r="AN737" s="2259"/>
      <c r="AO737" s="2260"/>
      <c r="AP737" s="1908" t="s">
        <v>3699</v>
      </c>
      <c r="BC737" s="214"/>
      <c r="BD737" s="214"/>
      <c r="BE737" s="214"/>
      <c r="BF737" s="214"/>
    </row>
    <row r="738" spans="1:58" ht="45" hidden="1" customHeight="1">
      <c r="A738" s="808"/>
      <c r="B738" s="2280"/>
      <c r="C738" s="2281"/>
      <c r="D738" s="2282"/>
      <c r="E738" s="1909" t="s">
        <v>3682</v>
      </c>
      <c r="F738" s="1909" t="s">
        <v>4690</v>
      </c>
      <c r="G738" s="1909"/>
      <c r="H738" s="2283" t="s">
        <v>5312</v>
      </c>
      <c r="I738" s="2281"/>
      <c r="J738" s="2282"/>
      <c r="K738" s="2283" t="s">
        <v>5333</v>
      </c>
      <c r="L738" s="2282"/>
      <c r="M738" s="1909" t="e">
        <f>VLOOKUP(K738,'Estimate Details'!$R:$BR,20,FALSE)</f>
        <v>#N/A</v>
      </c>
      <c r="N738" s="1909" t="e">
        <f>VLOOKUP(M738,#REF!,2,FALSE)</f>
        <v>#N/A</v>
      </c>
      <c r="O738" s="1909" t="s">
        <v>5334</v>
      </c>
      <c r="P738" s="2284" t="s">
        <v>3687</v>
      </c>
      <c r="Q738" s="2281"/>
      <c r="R738" s="2282"/>
      <c r="S738" s="1909" t="s">
        <v>3688</v>
      </c>
      <c r="T738" s="1909" t="s">
        <v>3689</v>
      </c>
      <c r="U738" s="1909" t="s">
        <v>3690</v>
      </c>
      <c r="V738" s="1909" t="s">
        <v>3691</v>
      </c>
      <c r="W738" s="1909" t="s">
        <v>3688</v>
      </c>
      <c r="X738" s="1909"/>
      <c r="Y738" s="1909"/>
      <c r="Z738" s="1909" t="s">
        <v>3762</v>
      </c>
      <c r="AA738" s="1909" t="s">
        <v>3694</v>
      </c>
      <c r="AB738" s="1909" t="s">
        <v>5335</v>
      </c>
      <c r="AC738" s="1909" t="s">
        <v>3696</v>
      </c>
      <c r="AD738" s="2283" t="s">
        <v>3688</v>
      </c>
      <c r="AE738" s="2281"/>
      <c r="AF738" s="2282"/>
      <c r="AG738" s="2283" t="s">
        <v>3696</v>
      </c>
      <c r="AH738" s="2281"/>
      <c r="AI738" s="2282"/>
      <c r="AJ738" s="1909" t="s">
        <v>3814</v>
      </c>
      <c r="AK738" s="2283" t="s">
        <v>5336</v>
      </c>
      <c r="AL738" s="2281"/>
      <c r="AM738" s="2259"/>
      <c r="AN738" s="2281"/>
      <c r="AO738" s="2282"/>
      <c r="AP738" s="1909" t="s">
        <v>3699</v>
      </c>
      <c r="BC738" s="214"/>
      <c r="BD738" s="214"/>
      <c r="BE738" s="214"/>
      <c r="BF738" s="214"/>
    </row>
    <row r="739" spans="1:58" ht="45" hidden="1" customHeight="1">
      <c r="B739" s="2277"/>
      <c r="C739" s="2259"/>
      <c r="D739" s="2260"/>
      <c r="E739" s="1908" t="s">
        <v>3682</v>
      </c>
      <c r="F739" s="1908" t="s">
        <v>4690</v>
      </c>
      <c r="G739" s="1908"/>
      <c r="H739" s="2278" t="s">
        <v>5312</v>
      </c>
      <c r="I739" s="2259"/>
      <c r="J739" s="2260"/>
      <c r="K739" s="2278" t="s">
        <v>5337</v>
      </c>
      <c r="L739" s="2260"/>
      <c r="M739" s="1908" t="e">
        <f>VLOOKUP(K739,'Estimate Details'!$R:$BR,20,FALSE)</f>
        <v>#N/A</v>
      </c>
      <c r="N739" s="1908" t="e">
        <f>VLOOKUP(M739,#REF!,2,FALSE)</f>
        <v>#N/A</v>
      </c>
      <c r="O739" s="1908" t="s">
        <v>5338</v>
      </c>
      <c r="P739" s="2278" t="s">
        <v>3687</v>
      </c>
      <c r="Q739" s="2259"/>
      <c r="R739" s="2260"/>
      <c r="S739" s="1908" t="s">
        <v>3688</v>
      </c>
      <c r="T739" s="1908" t="s">
        <v>3689</v>
      </c>
      <c r="U739" s="1908" t="s">
        <v>3690</v>
      </c>
      <c r="V739" s="1908" t="s">
        <v>3708</v>
      </c>
      <c r="W739" s="1908" t="s">
        <v>3688</v>
      </c>
      <c r="X739" s="1908" t="s">
        <v>5339</v>
      </c>
      <c r="Y739" s="1908" t="s">
        <v>5340</v>
      </c>
      <c r="Z739" s="1908"/>
      <c r="AA739" s="1908" t="s">
        <v>3694</v>
      </c>
      <c r="AB739" s="1908" t="s">
        <v>5341</v>
      </c>
      <c r="AC739" s="1908" t="s">
        <v>3696</v>
      </c>
      <c r="AD739" s="2278" t="s">
        <v>5342</v>
      </c>
      <c r="AE739" s="2259"/>
      <c r="AF739" s="2260"/>
      <c r="AG739" s="2278" t="s">
        <v>3696</v>
      </c>
      <c r="AH739" s="2259"/>
      <c r="AI739" s="2260"/>
      <c r="AJ739" s="1908" t="s">
        <v>3731</v>
      </c>
      <c r="AK739" s="2278" t="s">
        <v>5343</v>
      </c>
      <c r="AL739" s="2259"/>
      <c r="AM739" s="2259"/>
      <c r="AN739" s="2259"/>
      <c r="AO739" s="2260"/>
      <c r="AP739" s="1908" t="s">
        <v>3699</v>
      </c>
      <c r="BC739" s="214"/>
      <c r="BD739" s="214"/>
      <c r="BE739" s="214"/>
      <c r="BF739" s="214"/>
    </row>
    <row r="740" spans="1:58" ht="45" hidden="1" customHeight="1">
      <c r="A740" s="808"/>
      <c r="B740" s="2280"/>
      <c r="C740" s="2281"/>
      <c r="D740" s="2282"/>
      <c r="E740" s="1909" t="s">
        <v>3682</v>
      </c>
      <c r="F740" s="1909" t="s">
        <v>4690</v>
      </c>
      <c r="G740" s="1909"/>
      <c r="H740" s="2283" t="s">
        <v>5312</v>
      </c>
      <c r="I740" s="2281"/>
      <c r="J740" s="2282"/>
      <c r="K740" s="2283" t="s">
        <v>5344</v>
      </c>
      <c r="L740" s="2282"/>
      <c r="M740" s="1909" t="e">
        <f>VLOOKUP(K740,'Estimate Details'!$R:$BR,20,FALSE)</f>
        <v>#N/A</v>
      </c>
      <c r="N740" s="1909" t="e">
        <f>VLOOKUP(M740,#REF!,2,FALSE)</f>
        <v>#N/A</v>
      </c>
      <c r="O740" s="1909" t="s">
        <v>5345</v>
      </c>
      <c r="P740" s="2284" t="s">
        <v>3687</v>
      </c>
      <c r="Q740" s="2281"/>
      <c r="R740" s="2282"/>
      <c r="S740" s="1909" t="s">
        <v>3688</v>
      </c>
      <c r="T740" s="1909" t="s">
        <v>3689</v>
      </c>
      <c r="U740" s="1909" t="s">
        <v>3690</v>
      </c>
      <c r="V740" s="1909" t="s">
        <v>3708</v>
      </c>
      <c r="W740" s="1909" t="s">
        <v>3688</v>
      </c>
      <c r="X740" s="1909" t="s">
        <v>3726</v>
      </c>
      <c r="Y740" s="1909" t="s">
        <v>3727</v>
      </c>
      <c r="Z740" s="1909"/>
      <c r="AA740" s="1909" t="s">
        <v>3694</v>
      </c>
      <c r="AB740" s="1909" t="s">
        <v>3728</v>
      </c>
      <c r="AC740" s="1909" t="s">
        <v>3696</v>
      </c>
      <c r="AD740" s="2283" t="s">
        <v>3730</v>
      </c>
      <c r="AE740" s="2281"/>
      <c r="AF740" s="2282"/>
      <c r="AG740" s="2283" t="s">
        <v>3696</v>
      </c>
      <c r="AH740" s="2281"/>
      <c r="AI740" s="2282"/>
      <c r="AJ740" s="1909" t="s">
        <v>3731</v>
      </c>
      <c r="AK740" s="2283" t="s">
        <v>3732</v>
      </c>
      <c r="AL740" s="2281"/>
      <c r="AM740" s="2259"/>
      <c r="AN740" s="2281"/>
      <c r="AO740" s="2282"/>
      <c r="AP740" s="1909" t="s">
        <v>3699</v>
      </c>
      <c r="BC740" s="214"/>
      <c r="BD740" s="214"/>
      <c r="BE740" s="214"/>
      <c r="BF740" s="214"/>
    </row>
    <row r="741" spans="1:58" ht="45" hidden="1" customHeight="1">
      <c r="B741" s="2277"/>
      <c r="C741" s="2259"/>
      <c r="D741" s="2260"/>
      <c r="E741" s="1908" t="s">
        <v>3682</v>
      </c>
      <c r="F741" s="1908" t="s">
        <v>4690</v>
      </c>
      <c r="G741" s="1908"/>
      <c r="H741" s="2278" t="s">
        <v>5312</v>
      </c>
      <c r="I741" s="2259"/>
      <c r="J741" s="2260"/>
      <c r="K741" s="2278" t="s">
        <v>5346</v>
      </c>
      <c r="L741" s="2260"/>
      <c r="M741" s="1908" t="e">
        <f>VLOOKUP(K741,'Estimate Details'!$R:$BR,20,FALSE)</f>
        <v>#N/A</v>
      </c>
      <c r="N741" s="1908" t="e">
        <f>VLOOKUP(M741,#REF!,2,FALSE)</f>
        <v>#N/A</v>
      </c>
      <c r="O741" s="1908" t="s">
        <v>5345</v>
      </c>
      <c r="P741" s="2278" t="s">
        <v>3687</v>
      </c>
      <c r="Q741" s="2259"/>
      <c r="R741" s="2260"/>
      <c r="S741" s="1908" t="s">
        <v>3688</v>
      </c>
      <c r="T741" s="1908" t="s">
        <v>3689</v>
      </c>
      <c r="U741" s="1908" t="s">
        <v>3690</v>
      </c>
      <c r="V741" s="1908" t="s">
        <v>3708</v>
      </c>
      <c r="W741" s="1908" t="s">
        <v>3688</v>
      </c>
      <c r="X741" s="1908" t="s">
        <v>3726</v>
      </c>
      <c r="Y741" s="1908" t="s">
        <v>3727</v>
      </c>
      <c r="Z741" s="1908"/>
      <c r="AA741" s="1908" t="s">
        <v>3694</v>
      </c>
      <c r="AB741" s="1908" t="s">
        <v>3728</v>
      </c>
      <c r="AC741" s="1908" t="s">
        <v>3696</v>
      </c>
      <c r="AD741" s="2278" t="s">
        <v>3730</v>
      </c>
      <c r="AE741" s="2259"/>
      <c r="AF741" s="2260"/>
      <c r="AG741" s="2278" t="s">
        <v>3696</v>
      </c>
      <c r="AH741" s="2259"/>
      <c r="AI741" s="2260"/>
      <c r="AJ741" s="1908" t="s">
        <v>3731</v>
      </c>
      <c r="AK741" s="2278" t="s">
        <v>3732</v>
      </c>
      <c r="AL741" s="2259"/>
      <c r="AM741" s="2259"/>
      <c r="AN741" s="2259"/>
      <c r="AO741" s="2260"/>
      <c r="AP741" s="1908" t="s">
        <v>3699</v>
      </c>
      <c r="BC741" s="214"/>
      <c r="BD741" s="214"/>
      <c r="BE741" s="214"/>
      <c r="BF741" s="214"/>
    </row>
    <row r="742" spans="1:58" ht="45" hidden="1" customHeight="1">
      <c r="A742" s="808"/>
      <c r="B742" s="2280"/>
      <c r="C742" s="2281"/>
      <c r="D742" s="2282"/>
      <c r="E742" s="1909" t="s">
        <v>3682</v>
      </c>
      <c r="F742" s="1909" t="s">
        <v>4690</v>
      </c>
      <c r="G742" s="1909"/>
      <c r="H742" s="2283" t="s">
        <v>5312</v>
      </c>
      <c r="I742" s="2281"/>
      <c r="J742" s="2282"/>
      <c r="K742" s="2283" t="s">
        <v>5347</v>
      </c>
      <c r="L742" s="2282"/>
      <c r="M742" s="1909" t="e">
        <f>VLOOKUP(K742,'Estimate Details'!$R:$BR,20,FALSE)</f>
        <v>#N/A</v>
      </c>
      <c r="N742" s="1909" t="e">
        <f>VLOOKUP(M742,#REF!,2,FALSE)</f>
        <v>#N/A</v>
      </c>
      <c r="O742" s="1909" t="s">
        <v>5345</v>
      </c>
      <c r="P742" s="2284" t="s">
        <v>3687</v>
      </c>
      <c r="Q742" s="2281"/>
      <c r="R742" s="2282"/>
      <c r="S742" s="1909" t="s">
        <v>3688</v>
      </c>
      <c r="T742" s="1909" t="s">
        <v>3689</v>
      </c>
      <c r="U742" s="1909" t="s">
        <v>3690</v>
      </c>
      <c r="V742" s="1909" t="s">
        <v>3708</v>
      </c>
      <c r="W742" s="1909" t="s">
        <v>3688</v>
      </c>
      <c r="X742" s="1909" t="s">
        <v>3726</v>
      </c>
      <c r="Y742" s="1909" t="s">
        <v>3727</v>
      </c>
      <c r="Z742" s="1909"/>
      <c r="AA742" s="1909" t="s">
        <v>3694</v>
      </c>
      <c r="AB742" s="1909" t="s">
        <v>3728</v>
      </c>
      <c r="AC742" s="1909" t="s">
        <v>3696</v>
      </c>
      <c r="AD742" s="2283" t="s">
        <v>3730</v>
      </c>
      <c r="AE742" s="2281"/>
      <c r="AF742" s="2282"/>
      <c r="AG742" s="2283" t="s">
        <v>3696</v>
      </c>
      <c r="AH742" s="2281"/>
      <c r="AI742" s="2282"/>
      <c r="AJ742" s="1909" t="s">
        <v>3731</v>
      </c>
      <c r="AK742" s="2283" t="s">
        <v>3732</v>
      </c>
      <c r="AL742" s="2281"/>
      <c r="AM742" s="2259"/>
      <c r="AN742" s="2281"/>
      <c r="AO742" s="2282"/>
      <c r="AP742" s="1909" t="s">
        <v>3699</v>
      </c>
      <c r="BC742" s="214"/>
      <c r="BD742" s="214"/>
      <c r="BE742" s="214"/>
      <c r="BF742" s="214"/>
    </row>
    <row r="743" spans="1:58" ht="45" hidden="1" customHeight="1">
      <c r="B743" s="2277"/>
      <c r="C743" s="2259"/>
      <c r="D743" s="2260"/>
      <c r="E743" s="1908" t="s">
        <v>3682</v>
      </c>
      <c r="F743" s="1908" t="s">
        <v>4690</v>
      </c>
      <c r="G743" s="1908"/>
      <c r="H743" s="2278" t="s">
        <v>5312</v>
      </c>
      <c r="I743" s="2259"/>
      <c r="J743" s="2260"/>
      <c r="K743" s="2278" t="s">
        <v>5348</v>
      </c>
      <c r="L743" s="2260"/>
      <c r="M743" s="1908" t="e">
        <f>VLOOKUP(K743,'Estimate Details'!$R:$BR,20,FALSE)</f>
        <v>#N/A</v>
      </c>
      <c r="N743" s="1908" t="e">
        <f>VLOOKUP(M743,#REF!,2,FALSE)</f>
        <v>#N/A</v>
      </c>
      <c r="O743" s="1908" t="s">
        <v>5345</v>
      </c>
      <c r="P743" s="2278" t="s">
        <v>3687</v>
      </c>
      <c r="Q743" s="2259"/>
      <c r="R743" s="2260"/>
      <c r="S743" s="1908" t="s">
        <v>3688</v>
      </c>
      <c r="T743" s="1908" t="s">
        <v>3689</v>
      </c>
      <c r="U743" s="1908" t="s">
        <v>3690</v>
      </c>
      <c r="V743" s="1908" t="s">
        <v>3708</v>
      </c>
      <c r="W743" s="1908" t="s">
        <v>3688</v>
      </c>
      <c r="X743" s="1908" t="s">
        <v>3726</v>
      </c>
      <c r="Y743" s="1908" t="s">
        <v>3727</v>
      </c>
      <c r="Z743" s="1908"/>
      <c r="AA743" s="1908" t="s">
        <v>3694</v>
      </c>
      <c r="AB743" s="1908" t="s">
        <v>3728</v>
      </c>
      <c r="AC743" s="1908" t="s">
        <v>3696</v>
      </c>
      <c r="AD743" s="2278" t="s">
        <v>3730</v>
      </c>
      <c r="AE743" s="2259"/>
      <c r="AF743" s="2260"/>
      <c r="AG743" s="2278" t="s">
        <v>3696</v>
      </c>
      <c r="AH743" s="2259"/>
      <c r="AI743" s="2260"/>
      <c r="AJ743" s="1908" t="s">
        <v>3731</v>
      </c>
      <c r="AK743" s="2278" t="s">
        <v>3732</v>
      </c>
      <c r="AL743" s="2259"/>
      <c r="AM743" s="2259"/>
      <c r="AN743" s="2259"/>
      <c r="AO743" s="2260"/>
      <c r="AP743" s="1908" t="s">
        <v>3699</v>
      </c>
      <c r="BC743" s="214"/>
      <c r="BD743" s="214"/>
      <c r="BE743" s="214"/>
      <c r="BF743" s="214"/>
    </row>
    <row r="744" spans="1:58" ht="45" hidden="1" customHeight="1">
      <c r="A744" s="808"/>
      <c r="B744" s="2280"/>
      <c r="C744" s="2281"/>
      <c r="D744" s="2282"/>
      <c r="E744" s="1909" t="s">
        <v>3682</v>
      </c>
      <c r="F744" s="1909" t="s">
        <v>4690</v>
      </c>
      <c r="G744" s="1909"/>
      <c r="H744" s="2283" t="s">
        <v>5312</v>
      </c>
      <c r="I744" s="2281"/>
      <c r="J744" s="2282"/>
      <c r="K744" s="2283" t="s">
        <v>5349</v>
      </c>
      <c r="L744" s="2282"/>
      <c r="M744" s="1909" t="e">
        <f>VLOOKUP(K744,'Estimate Details'!$R:$BR,20,FALSE)</f>
        <v>#N/A</v>
      </c>
      <c r="N744" s="1909" t="e">
        <f>VLOOKUP(M744,#REF!,2,FALSE)</f>
        <v>#N/A</v>
      </c>
      <c r="O744" s="1909" t="s">
        <v>5345</v>
      </c>
      <c r="P744" s="2284" t="s">
        <v>3687</v>
      </c>
      <c r="Q744" s="2281"/>
      <c r="R744" s="2282"/>
      <c r="S744" s="1909" t="s">
        <v>3688</v>
      </c>
      <c r="T744" s="1909" t="s">
        <v>3689</v>
      </c>
      <c r="U744" s="1909" t="s">
        <v>3690</v>
      </c>
      <c r="V744" s="1909" t="s">
        <v>3708</v>
      </c>
      <c r="W744" s="1909" t="s">
        <v>3688</v>
      </c>
      <c r="X744" s="1909" t="s">
        <v>3726</v>
      </c>
      <c r="Y744" s="1909" t="s">
        <v>3727</v>
      </c>
      <c r="Z744" s="1909"/>
      <c r="AA744" s="1909" t="s">
        <v>3694</v>
      </c>
      <c r="AB744" s="1909" t="s">
        <v>3728</v>
      </c>
      <c r="AC744" s="1909" t="s">
        <v>3696</v>
      </c>
      <c r="AD744" s="2283" t="s">
        <v>3730</v>
      </c>
      <c r="AE744" s="2281"/>
      <c r="AF744" s="2282"/>
      <c r="AG744" s="2283" t="s">
        <v>3696</v>
      </c>
      <c r="AH744" s="2281"/>
      <c r="AI744" s="2282"/>
      <c r="AJ744" s="1909" t="s">
        <v>3731</v>
      </c>
      <c r="AK744" s="2283" t="s">
        <v>3732</v>
      </c>
      <c r="AL744" s="2281"/>
      <c r="AM744" s="2259"/>
      <c r="AN744" s="2281"/>
      <c r="AO744" s="2282"/>
      <c r="AP744" s="1909" t="s">
        <v>3699</v>
      </c>
      <c r="BC744" s="214"/>
      <c r="BD744" s="214"/>
      <c r="BE744" s="214"/>
      <c r="BF744" s="214"/>
    </row>
    <row r="745" spans="1:58" ht="45" hidden="1" customHeight="1">
      <c r="B745" s="2277"/>
      <c r="C745" s="2259"/>
      <c r="D745" s="2260"/>
      <c r="E745" s="1908" t="s">
        <v>3682</v>
      </c>
      <c r="F745" s="1908" t="s">
        <v>4690</v>
      </c>
      <c r="G745" s="1908"/>
      <c r="H745" s="2278" t="s">
        <v>5312</v>
      </c>
      <c r="I745" s="2259"/>
      <c r="J745" s="2260"/>
      <c r="K745" s="2278" t="s">
        <v>5350</v>
      </c>
      <c r="L745" s="2260"/>
      <c r="M745" s="1908" t="e">
        <f>VLOOKUP(K745,'Estimate Details'!$R:$BR,20,FALSE)</f>
        <v>#N/A</v>
      </c>
      <c r="N745" s="1908" t="e">
        <f>VLOOKUP(M745,#REF!,2,FALSE)</f>
        <v>#N/A</v>
      </c>
      <c r="O745" s="1908" t="s">
        <v>5330</v>
      </c>
      <c r="P745" s="2278" t="s">
        <v>3687</v>
      </c>
      <c r="Q745" s="2259"/>
      <c r="R745" s="2260"/>
      <c r="S745" s="1908" t="s">
        <v>3688</v>
      </c>
      <c r="T745" s="1908" t="s">
        <v>3689</v>
      </c>
      <c r="U745" s="1908" t="s">
        <v>3690</v>
      </c>
      <c r="V745" s="1908" t="s">
        <v>3708</v>
      </c>
      <c r="W745" s="1908" t="s">
        <v>3688</v>
      </c>
      <c r="X745" s="1908" t="s">
        <v>3777</v>
      </c>
      <c r="Y745" s="1908" t="s">
        <v>3778</v>
      </c>
      <c r="Z745" s="1908"/>
      <c r="AA745" s="1908" t="s">
        <v>3694</v>
      </c>
      <c r="AB745" s="1908" t="s">
        <v>3779</v>
      </c>
      <c r="AC745" s="1908" t="s">
        <v>3696</v>
      </c>
      <c r="AD745" s="2278" t="s">
        <v>3780</v>
      </c>
      <c r="AE745" s="2259"/>
      <c r="AF745" s="2260"/>
      <c r="AG745" s="2278" t="s">
        <v>3696</v>
      </c>
      <c r="AH745" s="2259"/>
      <c r="AI745" s="2260"/>
      <c r="AJ745" s="1908" t="s">
        <v>3714</v>
      </c>
      <c r="AK745" s="2278" t="s">
        <v>3781</v>
      </c>
      <c r="AL745" s="2259"/>
      <c r="AM745" s="2259"/>
      <c r="AN745" s="2259"/>
      <c r="AO745" s="2260"/>
      <c r="AP745" s="1908" t="s">
        <v>3699</v>
      </c>
      <c r="BC745" s="214"/>
      <c r="BD745" s="214"/>
      <c r="BE745" s="214"/>
      <c r="BF745" s="214"/>
    </row>
    <row r="746" spans="1:58" ht="45" hidden="1" customHeight="1">
      <c r="A746" s="808"/>
      <c r="B746" s="2280"/>
      <c r="C746" s="2281"/>
      <c r="D746" s="2282"/>
      <c r="E746" s="1909" t="s">
        <v>3682</v>
      </c>
      <c r="F746" s="1909" t="s">
        <v>4690</v>
      </c>
      <c r="G746" s="1909"/>
      <c r="H746" s="2283" t="s">
        <v>5312</v>
      </c>
      <c r="I746" s="2281"/>
      <c r="J746" s="2282"/>
      <c r="K746" s="2283" t="s">
        <v>5351</v>
      </c>
      <c r="L746" s="2282"/>
      <c r="M746" s="1909" t="e">
        <f>VLOOKUP(K746,'Estimate Details'!$R:$BR,20,FALSE)</f>
        <v>#N/A</v>
      </c>
      <c r="N746" s="1909" t="e">
        <f>VLOOKUP(M746,#REF!,2,FALSE)</f>
        <v>#N/A</v>
      </c>
      <c r="O746" s="1909" t="s">
        <v>5352</v>
      </c>
      <c r="P746" s="2284" t="s">
        <v>3687</v>
      </c>
      <c r="Q746" s="2281"/>
      <c r="R746" s="2282"/>
      <c r="S746" s="1909" t="s">
        <v>3688</v>
      </c>
      <c r="T746" s="1909" t="s">
        <v>3689</v>
      </c>
      <c r="U746" s="1909" t="s">
        <v>3690</v>
      </c>
      <c r="V746" s="1909" t="s">
        <v>3708</v>
      </c>
      <c r="W746" s="1909" t="s">
        <v>3688</v>
      </c>
      <c r="X746" s="1909" t="s">
        <v>3821</v>
      </c>
      <c r="Y746" s="1909" t="s">
        <v>3822</v>
      </c>
      <c r="Z746" s="1909" t="s">
        <v>3762</v>
      </c>
      <c r="AA746" s="1909" t="s">
        <v>3694</v>
      </c>
      <c r="AB746" s="1909" t="s">
        <v>3870</v>
      </c>
      <c r="AC746" s="1909" t="s">
        <v>3696</v>
      </c>
      <c r="AD746" s="2283" t="s">
        <v>1</v>
      </c>
      <c r="AE746" s="2281"/>
      <c r="AF746" s="2282"/>
      <c r="AG746" s="2283" t="s">
        <v>3696</v>
      </c>
      <c r="AH746" s="2281"/>
      <c r="AI746" s="2282"/>
      <c r="AJ746" s="1909" t="s">
        <v>3731</v>
      </c>
      <c r="AK746" s="2283" t="s">
        <v>3824</v>
      </c>
      <c r="AL746" s="2281"/>
      <c r="AM746" s="2259"/>
      <c r="AN746" s="2281"/>
      <c r="AO746" s="2282"/>
      <c r="AP746" s="1909" t="s">
        <v>3699</v>
      </c>
      <c r="BC746" s="214"/>
      <c r="BD746" s="214"/>
      <c r="BE746" s="214"/>
      <c r="BF746" s="214"/>
    </row>
    <row r="747" spans="1:58" ht="45" hidden="1" customHeight="1">
      <c r="B747" s="2277"/>
      <c r="C747" s="2259"/>
      <c r="D747" s="2260"/>
      <c r="E747" s="1908" t="s">
        <v>3682</v>
      </c>
      <c r="F747" s="1908" t="s">
        <v>4690</v>
      </c>
      <c r="G747" s="1908"/>
      <c r="H747" s="2278" t="s">
        <v>5312</v>
      </c>
      <c r="I747" s="2259"/>
      <c r="J747" s="2260"/>
      <c r="K747" s="2278" t="s">
        <v>5353</v>
      </c>
      <c r="L747" s="2260"/>
      <c r="M747" s="1908" t="e">
        <f>VLOOKUP(K747,'Estimate Details'!$R:$BR,20,FALSE)</f>
        <v>#N/A</v>
      </c>
      <c r="N747" s="1908" t="e">
        <f>VLOOKUP(M747,#REF!,2,FALSE)</f>
        <v>#N/A</v>
      </c>
      <c r="O747" s="1908" t="s">
        <v>5354</v>
      </c>
      <c r="P747" s="2278" t="s">
        <v>3687</v>
      </c>
      <c r="Q747" s="2259"/>
      <c r="R747" s="2260"/>
      <c r="S747" s="1908" t="s">
        <v>3688</v>
      </c>
      <c r="T747" s="1908" t="s">
        <v>3689</v>
      </c>
      <c r="U747" s="1908" t="s">
        <v>3690</v>
      </c>
      <c r="V747" s="1908" t="s">
        <v>3691</v>
      </c>
      <c r="W747" s="1908" t="s">
        <v>3688</v>
      </c>
      <c r="X747" s="1908"/>
      <c r="Y747" s="1908"/>
      <c r="Z747" s="1908"/>
      <c r="AA747" s="1908" t="s">
        <v>3694</v>
      </c>
      <c r="AB747" s="1908" t="s">
        <v>5355</v>
      </c>
      <c r="AC747" s="1908" t="s">
        <v>3696</v>
      </c>
      <c r="AD747" s="2278" t="s">
        <v>5356</v>
      </c>
      <c r="AE747" s="2259"/>
      <c r="AF747" s="2260"/>
      <c r="AG747" s="2278" t="s">
        <v>3696</v>
      </c>
      <c r="AH747" s="2259"/>
      <c r="AI747" s="2260"/>
      <c r="AJ747" s="1908" t="s">
        <v>5357</v>
      </c>
      <c r="AK747" s="2278" t="s">
        <v>5358</v>
      </c>
      <c r="AL747" s="2259"/>
      <c r="AM747" s="2259"/>
      <c r="AN747" s="2259"/>
      <c r="AO747" s="2260"/>
      <c r="AP747" s="1908" t="s">
        <v>3699</v>
      </c>
      <c r="BC747" s="214"/>
      <c r="BD747" s="214"/>
      <c r="BE747" s="214"/>
      <c r="BF747" s="214"/>
    </row>
    <row r="748" spans="1:58" ht="45" hidden="1" customHeight="1">
      <c r="A748" s="808"/>
      <c r="B748" s="2280"/>
      <c r="C748" s="2281"/>
      <c r="D748" s="2282"/>
      <c r="E748" s="1909" t="s">
        <v>3682</v>
      </c>
      <c r="F748" s="1909" t="s">
        <v>4690</v>
      </c>
      <c r="G748" s="1909"/>
      <c r="H748" s="2283" t="s">
        <v>5312</v>
      </c>
      <c r="I748" s="2281"/>
      <c r="J748" s="2282"/>
      <c r="K748" s="2283" t="s">
        <v>5359</v>
      </c>
      <c r="L748" s="2282"/>
      <c r="M748" s="1909" t="e">
        <f>VLOOKUP(K748,'Estimate Details'!$R:$BR,20,FALSE)</f>
        <v>#N/A</v>
      </c>
      <c r="N748" s="1909" t="e">
        <f>VLOOKUP(M748,#REF!,2,FALSE)</f>
        <v>#N/A</v>
      </c>
      <c r="O748" s="1909" t="s">
        <v>5354</v>
      </c>
      <c r="P748" s="2284" t="s">
        <v>3687</v>
      </c>
      <c r="Q748" s="2281"/>
      <c r="R748" s="2282"/>
      <c r="S748" s="1909" t="s">
        <v>3688</v>
      </c>
      <c r="T748" s="1909" t="s">
        <v>3689</v>
      </c>
      <c r="U748" s="1909" t="s">
        <v>3690</v>
      </c>
      <c r="V748" s="1909" t="s">
        <v>3691</v>
      </c>
      <c r="W748" s="1909" t="s">
        <v>3688</v>
      </c>
      <c r="X748" s="1909"/>
      <c r="Y748" s="1909"/>
      <c r="Z748" s="1909"/>
      <c r="AA748" s="1909" t="s">
        <v>3694</v>
      </c>
      <c r="AB748" s="1909" t="s">
        <v>5355</v>
      </c>
      <c r="AC748" s="1909" t="s">
        <v>3696</v>
      </c>
      <c r="AD748" s="2283" t="s">
        <v>5356</v>
      </c>
      <c r="AE748" s="2281"/>
      <c r="AF748" s="2282"/>
      <c r="AG748" s="2283" t="s">
        <v>3696</v>
      </c>
      <c r="AH748" s="2281"/>
      <c r="AI748" s="2282"/>
      <c r="AJ748" s="1909" t="s">
        <v>5357</v>
      </c>
      <c r="AK748" s="2283" t="s">
        <v>5358</v>
      </c>
      <c r="AL748" s="2281"/>
      <c r="AM748" s="2259"/>
      <c r="AN748" s="2281"/>
      <c r="AO748" s="2282"/>
      <c r="AP748" s="1909" t="s">
        <v>3699</v>
      </c>
      <c r="BC748" s="214"/>
      <c r="BD748" s="214"/>
      <c r="BE748" s="214"/>
      <c r="BF748" s="214"/>
    </row>
    <row r="749" spans="1:58" ht="45" hidden="1" customHeight="1">
      <c r="B749" s="2277"/>
      <c r="C749" s="2259"/>
      <c r="D749" s="2260"/>
      <c r="E749" s="1908" t="s">
        <v>3682</v>
      </c>
      <c r="F749" s="1908" t="s">
        <v>4690</v>
      </c>
      <c r="G749" s="1908"/>
      <c r="H749" s="2278" t="s">
        <v>5312</v>
      </c>
      <c r="I749" s="2259"/>
      <c r="J749" s="2260"/>
      <c r="K749" s="2278" t="s">
        <v>5360</v>
      </c>
      <c r="L749" s="2260"/>
      <c r="M749" s="1908" t="e">
        <f>VLOOKUP(K749,'Estimate Details'!$R:$BR,20,FALSE)</f>
        <v>#N/A</v>
      </c>
      <c r="N749" s="1908" t="e">
        <f>VLOOKUP(M749,#REF!,2,FALSE)</f>
        <v>#N/A</v>
      </c>
      <c r="O749" s="1908" t="s">
        <v>5354</v>
      </c>
      <c r="P749" s="2278" t="s">
        <v>3687</v>
      </c>
      <c r="Q749" s="2259"/>
      <c r="R749" s="2260"/>
      <c r="S749" s="1908" t="s">
        <v>3688</v>
      </c>
      <c r="T749" s="1908" t="s">
        <v>3689</v>
      </c>
      <c r="U749" s="1908" t="s">
        <v>3690</v>
      </c>
      <c r="V749" s="1908" t="s">
        <v>3691</v>
      </c>
      <c r="W749" s="1908" t="s">
        <v>3688</v>
      </c>
      <c r="X749" s="1908"/>
      <c r="Y749" s="1908"/>
      <c r="Z749" s="1908"/>
      <c r="AA749" s="1908" t="s">
        <v>3694</v>
      </c>
      <c r="AB749" s="1908" t="s">
        <v>5355</v>
      </c>
      <c r="AC749" s="1908" t="s">
        <v>3696</v>
      </c>
      <c r="AD749" s="2278" t="s">
        <v>5356</v>
      </c>
      <c r="AE749" s="2259"/>
      <c r="AF749" s="2260"/>
      <c r="AG749" s="2278" t="s">
        <v>3696</v>
      </c>
      <c r="AH749" s="2259"/>
      <c r="AI749" s="2260"/>
      <c r="AJ749" s="1908" t="s">
        <v>5357</v>
      </c>
      <c r="AK749" s="2278" t="s">
        <v>5358</v>
      </c>
      <c r="AL749" s="2259"/>
      <c r="AM749" s="2259"/>
      <c r="AN749" s="2259"/>
      <c r="AO749" s="2260"/>
      <c r="AP749" s="1908" t="s">
        <v>3699</v>
      </c>
      <c r="BC749" s="214"/>
      <c r="BD749" s="214"/>
      <c r="BE749" s="214"/>
      <c r="BF749" s="214"/>
    </row>
    <row r="750" spans="1:58" ht="45" hidden="1" customHeight="1">
      <c r="A750" s="808"/>
      <c r="B750" s="2280"/>
      <c r="C750" s="2281"/>
      <c r="D750" s="2282"/>
      <c r="E750" s="1909" t="s">
        <v>3682</v>
      </c>
      <c r="F750" s="1909" t="s">
        <v>4690</v>
      </c>
      <c r="G750" s="1909"/>
      <c r="H750" s="2283" t="s">
        <v>5312</v>
      </c>
      <c r="I750" s="2281"/>
      <c r="J750" s="2282"/>
      <c r="K750" s="2283" t="s">
        <v>5361</v>
      </c>
      <c r="L750" s="2282"/>
      <c r="M750" s="1909" t="e">
        <f>VLOOKUP(K750,'Estimate Details'!$R:$BR,20,FALSE)</f>
        <v>#N/A</v>
      </c>
      <c r="N750" s="1909" t="e">
        <f>VLOOKUP(M750,#REF!,2,FALSE)</f>
        <v>#N/A</v>
      </c>
      <c r="O750" s="1909" t="s">
        <v>5354</v>
      </c>
      <c r="P750" s="2284" t="s">
        <v>3687</v>
      </c>
      <c r="Q750" s="2281"/>
      <c r="R750" s="2282"/>
      <c r="S750" s="1909" t="s">
        <v>3688</v>
      </c>
      <c r="T750" s="1909" t="s">
        <v>3689</v>
      </c>
      <c r="U750" s="1909" t="s">
        <v>3690</v>
      </c>
      <c r="V750" s="1909" t="s">
        <v>3691</v>
      </c>
      <c r="W750" s="1909" t="s">
        <v>3688</v>
      </c>
      <c r="X750" s="1909"/>
      <c r="Y750" s="1909"/>
      <c r="Z750" s="1909"/>
      <c r="AA750" s="1909" t="s">
        <v>3694</v>
      </c>
      <c r="AB750" s="1909" t="s">
        <v>5355</v>
      </c>
      <c r="AC750" s="1909" t="s">
        <v>3696</v>
      </c>
      <c r="AD750" s="2283" t="s">
        <v>5356</v>
      </c>
      <c r="AE750" s="2281"/>
      <c r="AF750" s="2282"/>
      <c r="AG750" s="2283" t="s">
        <v>3696</v>
      </c>
      <c r="AH750" s="2281"/>
      <c r="AI750" s="2282"/>
      <c r="AJ750" s="1909" t="s">
        <v>5357</v>
      </c>
      <c r="AK750" s="2283" t="s">
        <v>5358</v>
      </c>
      <c r="AL750" s="2281"/>
      <c r="AM750" s="2259"/>
      <c r="AN750" s="2281"/>
      <c r="AO750" s="2282"/>
      <c r="AP750" s="1909" t="s">
        <v>3699</v>
      </c>
      <c r="BC750" s="214"/>
      <c r="BD750" s="214"/>
      <c r="BE750" s="214"/>
      <c r="BF750" s="214"/>
    </row>
    <row r="751" spans="1:58" ht="45" hidden="1" customHeight="1">
      <c r="B751" s="2277"/>
      <c r="C751" s="2259"/>
      <c r="D751" s="2260"/>
      <c r="E751" s="1908" t="s">
        <v>3682</v>
      </c>
      <c r="F751" s="1908" t="s">
        <v>4690</v>
      </c>
      <c r="G751" s="1908"/>
      <c r="H751" s="2278" t="s">
        <v>5312</v>
      </c>
      <c r="I751" s="2259"/>
      <c r="J751" s="2260"/>
      <c r="K751" s="2278" t="s">
        <v>5362</v>
      </c>
      <c r="L751" s="2260"/>
      <c r="M751" s="1908" t="e">
        <f>VLOOKUP(K751,'Estimate Details'!$R:$BR,20,FALSE)</f>
        <v>#N/A</v>
      </c>
      <c r="N751" s="1908" t="e">
        <f>VLOOKUP(M751,#REF!,2,FALSE)</f>
        <v>#N/A</v>
      </c>
      <c r="O751" s="1908" t="s">
        <v>5354</v>
      </c>
      <c r="P751" s="2278" t="s">
        <v>3687</v>
      </c>
      <c r="Q751" s="2259"/>
      <c r="R751" s="2260"/>
      <c r="S751" s="1908" t="s">
        <v>3688</v>
      </c>
      <c r="T751" s="1908" t="s">
        <v>3689</v>
      </c>
      <c r="U751" s="1908" t="s">
        <v>3690</v>
      </c>
      <c r="V751" s="1908" t="s">
        <v>3691</v>
      </c>
      <c r="W751" s="1908" t="s">
        <v>3688</v>
      </c>
      <c r="X751" s="1908"/>
      <c r="Y751" s="1908"/>
      <c r="Z751" s="1908"/>
      <c r="AA751" s="1908" t="s">
        <v>3694</v>
      </c>
      <c r="AB751" s="1908" t="s">
        <v>5355</v>
      </c>
      <c r="AC751" s="1908" t="s">
        <v>3696</v>
      </c>
      <c r="AD751" s="2278" t="s">
        <v>5356</v>
      </c>
      <c r="AE751" s="2259"/>
      <c r="AF751" s="2260"/>
      <c r="AG751" s="2278" t="s">
        <v>3696</v>
      </c>
      <c r="AH751" s="2259"/>
      <c r="AI751" s="2260"/>
      <c r="AJ751" s="1908" t="s">
        <v>5357</v>
      </c>
      <c r="AK751" s="2278" t="s">
        <v>5358</v>
      </c>
      <c r="AL751" s="2259"/>
      <c r="AM751" s="2259"/>
      <c r="AN751" s="2259"/>
      <c r="AO751" s="2260"/>
      <c r="AP751" s="1908" t="s">
        <v>3699</v>
      </c>
      <c r="BC751" s="214"/>
      <c r="BD751" s="214"/>
      <c r="BE751" s="214"/>
      <c r="BF751" s="214"/>
    </row>
    <row r="752" spans="1:58" ht="45" hidden="1" customHeight="1">
      <c r="A752" s="808"/>
      <c r="B752" s="2280"/>
      <c r="C752" s="2281"/>
      <c r="D752" s="2282"/>
      <c r="E752" s="1909" t="s">
        <v>3682</v>
      </c>
      <c r="F752" s="1909" t="s">
        <v>4690</v>
      </c>
      <c r="G752" s="1909"/>
      <c r="H752" s="2283" t="s">
        <v>5312</v>
      </c>
      <c r="I752" s="2281"/>
      <c r="J752" s="2282"/>
      <c r="K752" s="2283" t="s">
        <v>5363</v>
      </c>
      <c r="L752" s="2282"/>
      <c r="M752" s="1909" t="e">
        <f>VLOOKUP(K752,'Estimate Details'!$R:$BR,20,FALSE)</f>
        <v>#N/A</v>
      </c>
      <c r="N752" s="1909" t="e">
        <f>VLOOKUP(M752,#REF!,2,FALSE)</f>
        <v>#N/A</v>
      </c>
      <c r="O752" s="1909" t="s">
        <v>5354</v>
      </c>
      <c r="P752" s="2284" t="s">
        <v>3687</v>
      </c>
      <c r="Q752" s="2281"/>
      <c r="R752" s="2282"/>
      <c r="S752" s="1909" t="s">
        <v>3688</v>
      </c>
      <c r="T752" s="1909" t="s">
        <v>3689</v>
      </c>
      <c r="U752" s="1909" t="s">
        <v>3690</v>
      </c>
      <c r="V752" s="1909" t="s">
        <v>3691</v>
      </c>
      <c r="W752" s="1909" t="s">
        <v>3688</v>
      </c>
      <c r="X752" s="1909"/>
      <c r="Y752" s="1909"/>
      <c r="Z752" s="1909"/>
      <c r="AA752" s="1909" t="s">
        <v>3694</v>
      </c>
      <c r="AB752" s="1909" t="s">
        <v>5355</v>
      </c>
      <c r="AC752" s="1909" t="s">
        <v>3696</v>
      </c>
      <c r="AD752" s="2283" t="s">
        <v>5356</v>
      </c>
      <c r="AE752" s="2281"/>
      <c r="AF752" s="2282"/>
      <c r="AG752" s="2283" t="s">
        <v>3696</v>
      </c>
      <c r="AH752" s="2281"/>
      <c r="AI752" s="2282"/>
      <c r="AJ752" s="1909" t="s">
        <v>5357</v>
      </c>
      <c r="AK752" s="2283" t="s">
        <v>5358</v>
      </c>
      <c r="AL752" s="2281"/>
      <c r="AM752" s="2259"/>
      <c r="AN752" s="2281"/>
      <c r="AO752" s="2282"/>
      <c r="AP752" s="1909" t="s">
        <v>3699</v>
      </c>
      <c r="BC752" s="214"/>
      <c r="BD752" s="214"/>
      <c r="BE752" s="214"/>
      <c r="BF752" s="214"/>
    </row>
    <row r="753" spans="1:58" ht="45" hidden="1" customHeight="1">
      <c r="B753" s="2277"/>
      <c r="C753" s="2259"/>
      <c r="D753" s="2260"/>
      <c r="E753" s="1908" t="s">
        <v>3682</v>
      </c>
      <c r="F753" s="1908" t="s">
        <v>4690</v>
      </c>
      <c r="G753" s="1908"/>
      <c r="H753" s="2278" t="s">
        <v>5312</v>
      </c>
      <c r="I753" s="2259"/>
      <c r="J753" s="2260"/>
      <c r="K753" s="2278" t="s">
        <v>5364</v>
      </c>
      <c r="L753" s="2260"/>
      <c r="M753" s="1908" t="e">
        <f>VLOOKUP(K753,'Estimate Details'!$R:$BR,20,FALSE)</f>
        <v>#N/A</v>
      </c>
      <c r="N753" s="1908" t="e">
        <f>VLOOKUP(M753,#REF!,2,FALSE)</f>
        <v>#N/A</v>
      </c>
      <c r="O753" s="1908" t="s">
        <v>5354</v>
      </c>
      <c r="P753" s="2278" t="s">
        <v>3687</v>
      </c>
      <c r="Q753" s="2259"/>
      <c r="R753" s="2260"/>
      <c r="S753" s="1908" t="s">
        <v>3688</v>
      </c>
      <c r="T753" s="1908" t="s">
        <v>3689</v>
      </c>
      <c r="U753" s="1908" t="s">
        <v>3690</v>
      </c>
      <c r="V753" s="1908" t="s">
        <v>3691</v>
      </c>
      <c r="W753" s="1908" t="s">
        <v>3688</v>
      </c>
      <c r="X753" s="1908"/>
      <c r="Y753" s="1908"/>
      <c r="Z753" s="1908"/>
      <c r="AA753" s="1908" t="s">
        <v>3694</v>
      </c>
      <c r="AB753" s="1908" t="s">
        <v>5355</v>
      </c>
      <c r="AC753" s="1908" t="s">
        <v>3696</v>
      </c>
      <c r="AD753" s="2278" t="s">
        <v>5356</v>
      </c>
      <c r="AE753" s="2259"/>
      <c r="AF753" s="2260"/>
      <c r="AG753" s="2278" t="s">
        <v>3696</v>
      </c>
      <c r="AH753" s="2259"/>
      <c r="AI753" s="2260"/>
      <c r="AJ753" s="1908" t="s">
        <v>5357</v>
      </c>
      <c r="AK753" s="2278" t="s">
        <v>5358</v>
      </c>
      <c r="AL753" s="2259"/>
      <c r="AM753" s="2259"/>
      <c r="AN753" s="2259"/>
      <c r="AO753" s="2260"/>
      <c r="AP753" s="1908" t="s">
        <v>3699</v>
      </c>
      <c r="BC753" s="214"/>
      <c r="BD753" s="214"/>
      <c r="BE753" s="214"/>
      <c r="BF753" s="214"/>
    </row>
    <row r="754" spans="1:58" ht="45" hidden="1" customHeight="1">
      <c r="A754" s="808"/>
      <c r="B754" s="2280"/>
      <c r="C754" s="2281"/>
      <c r="D754" s="2282"/>
      <c r="E754" s="1909" t="s">
        <v>3682</v>
      </c>
      <c r="F754" s="1909" t="s">
        <v>4690</v>
      </c>
      <c r="G754" s="1909"/>
      <c r="H754" s="2283" t="s">
        <v>5312</v>
      </c>
      <c r="I754" s="2281"/>
      <c r="J754" s="2282"/>
      <c r="K754" s="2283" t="s">
        <v>5365</v>
      </c>
      <c r="L754" s="2282"/>
      <c r="M754" s="1909" t="e">
        <f>VLOOKUP(K754,'Estimate Details'!$R:$BR,20,FALSE)</f>
        <v>#N/A</v>
      </c>
      <c r="N754" s="1909" t="e">
        <f>VLOOKUP(M754,#REF!,2,FALSE)</f>
        <v>#N/A</v>
      </c>
      <c r="O754" s="1909" t="s">
        <v>5354</v>
      </c>
      <c r="P754" s="2284" t="s">
        <v>3687</v>
      </c>
      <c r="Q754" s="2281"/>
      <c r="R754" s="2282"/>
      <c r="S754" s="1909" t="s">
        <v>3688</v>
      </c>
      <c r="T754" s="1909" t="s">
        <v>3689</v>
      </c>
      <c r="U754" s="1909" t="s">
        <v>3690</v>
      </c>
      <c r="V754" s="1909" t="s">
        <v>3691</v>
      </c>
      <c r="W754" s="1909" t="s">
        <v>3688</v>
      </c>
      <c r="X754" s="1909"/>
      <c r="Y754" s="1909"/>
      <c r="Z754" s="1909"/>
      <c r="AA754" s="1909" t="s">
        <v>3694</v>
      </c>
      <c r="AB754" s="1909" t="s">
        <v>5355</v>
      </c>
      <c r="AC754" s="1909" t="s">
        <v>3696</v>
      </c>
      <c r="AD754" s="2283" t="s">
        <v>5356</v>
      </c>
      <c r="AE754" s="2281"/>
      <c r="AF754" s="2282"/>
      <c r="AG754" s="2283" t="s">
        <v>3696</v>
      </c>
      <c r="AH754" s="2281"/>
      <c r="AI754" s="2282"/>
      <c r="AJ754" s="1909" t="s">
        <v>5357</v>
      </c>
      <c r="AK754" s="2283" t="s">
        <v>5358</v>
      </c>
      <c r="AL754" s="2281"/>
      <c r="AM754" s="2259"/>
      <c r="AN754" s="2281"/>
      <c r="AO754" s="2282"/>
      <c r="AP754" s="1909" t="s">
        <v>3699</v>
      </c>
      <c r="BC754" s="214"/>
      <c r="BD754" s="214"/>
      <c r="BE754" s="214"/>
      <c r="BF754" s="214"/>
    </row>
    <row r="755" spans="1:58" ht="45" hidden="1" customHeight="1">
      <c r="B755" s="2277"/>
      <c r="C755" s="2259"/>
      <c r="D755" s="2260"/>
      <c r="E755" s="1908" t="s">
        <v>3682</v>
      </c>
      <c r="F755" s="1908" t="s">
        <v>4690</v>
      </c>
      <c r="G755" s="1908"/>
      <c r="H755" s="2278" t="s">
        <v>5312</v>
      </c>
      <c r="I755" s="2259"/>
      <c r="J755" s="2260"/>
      <c r="K755" s="2278" t="s">
        <v>5366</v>
      </c>
      <c r="L755" s="2260"/>
      <c r="M755" s="1908" t="e">
        <f>VLOOKUP(K755,'Estimate Details'!$R:$BR,20,FALSE)</f>
        <v>#N/A</v>
      </c>
      <c r="N755" s="1908" t="e">
        <f>VLOOKUP(M755,#REF!,2,FALSE)</f>
        <v>#N/A</v>
      </c>
      <c r="O755" s="1908" t="s">
        <v>5354</v>
      </c>
      <c r="P755" s="2278" t="s">
        <v>3687</v>
      </c>
      <c r="Q755" s="2259"/>
      <c r="R755" s="2260"/>
      <c r="S755" s="1908" t="s">
        <v>3688</v>
      </c>
      <c r="T755" s="1908" t="s">
        <v>3689</v>
      </c>
      <c r="U755" s="1908" t="s">
        <v>3690</v>
      </c>
      <c r="V755" s="1908" t="s">
        <v>3691</v>
      </c>
      <c r="W755" s="1908" t="s">
        <v>3688</v>
      </c>
      <c r="X755" s="1908"/>
      <c r="Y755" s="1908"/>
      <c r="Z755" s="1908"/>
      <c r="AA755" s="1908" t="s">
        <v>3694</v>
      </c>
      <c r="AB755" s="1908" t="s">
        <v>5355</v>
      </c>
      <c r="AC755" s="1908" t="s">
        <v>3696</v>
      </c>
      <c r="AD755" s="2278" t="s">
        <v>5356</v>
      </c>
      <c r="AE755" s="2259"/>
      <c r="AF755" s="2260"/>
      <c r="AG755" s="2278" t="s">
        <v>3696</v>
      </c>
      <c r="AH755" s="2259"/>
      <c r="AI755" s="2260"/>
      <c r="AJ755" s="1908" t="s">
        <v>5357</v>
      </c>
      <c r="AK755" s="2278" t="s">
        <v>5358</v>
      </c>
      <c r="AL755" s="2259"/>
      <c r="AM755" s="2259"/>
      <c r="AN755" s="2259"/>
      <c r="AO755" s="2260"/>
      <c r="AP755" s="1908" t="s">
        <v>3699</v>
      </c>
      <c r="BC755" s="214"/>
      <c r="BD755" s="214"/>
      <c r="BE755" s="214"/>
      <c r="BF755" s="214"/>
    </row>
    <row r="756" spans="1:58" ht="45" hidden="1" customHeight="1">
      <c r="A756" s="808"/>
      <c r="B756" s="2280"/>
      <c r="C756" s="2281"/>
      <c r="D756" s="2282"/>
      <c r="E756" s="1909" t="s">
        <v>3682</v>
      </c>
      <c r="F756" s="1909" t="s">
        <v>4690</v>
      </c>
      <c r="G756" s="1909"/>
      <c r="H756" s="2283" t="s">
        <v>5312</v>
      </c>
      <c r="I756" s="2281"/>
      <c r="J756" s="2282"/>
      <c r="K756" s="2283" t="s">
        <v>5367</v>
      </c>
      <c r="L756" s="2282"/>
      <c r="M756" s="1909" t="e">
        <f>VLOOKUP(K756,'Estimate Details'!$R:$BR,20,FALSE)</f>
        <v>#N/A</v>
      </c>
      <c r="N756" s="1909" t="e">
        <f>VLOOKUP(M756,#REF!,2,FALSE)</f>
        <v>#N/A</v>
      </c>
      <c r="O756" s="1909" t="s">
        <v>5354</v>
      </c>
      <c r="P756" s="2284" t="s">
        <v>3687</v>
      </c>
      <c r="Q756" s="2281"/>
      <c r="R756" s="2282"/>
      <c r="S756" s="1909" t="s">
        <v>3688</v>
      </c>
      <c r="T756" s="1909" t="s">
        <v>3689</v>
      </c>
      <c r="U756" s="1909" t="s">
        <v>3690</v>
      </c>
      <c r="V756" s="1909" t="s">
        <v>3691</v>
      </c>
      <c r="W756" s="1909" t="s">
        <v>3688</v>
      </c>
      <c r="X756" s="1909"/>
      <c r="Y756" s="1909"/>
      <c r="Z756" s="1909"/>
      <c r="AA756" s="1909" t="s">
        <v>3694</v>
      </c>
      <c r="AB756" s="1909" t="s">
        <v>5355</v>
      </c>
      <c r="AC756" s="1909" t="s">
        <v>3696</v>
      </c>
      <c r="AD756" s="2283" t="s">
        <v>5356</v>
      </c>
      <c r="AE756" s="2281"/>
      <c r="AF756" s="2282"/>
      <c r="AG756" s="2283" t="s">
        <v>3696</v>
      </c>
      <c r="AH756" s="2281"/>
      <c r="AI756" s="2282"/>
      <c r="AJ756" s="1909" t="s">
        <v>5357</v>
      </c>
      <c r="AK756" s="2283" t="s">
        <v>5358</v>
      </c>
      <c r="AL756" s="2281"/>
      <c r="AM756" s="2259"/>
      <c r="AN756" s="2281"/>
      <c r="AO756" s="2282"/>
      <c r="AP756" s="1909" t="s">
        <v>3699</v>
      </c>
      <c r="BC756" s="214"/>
      <c r="BD756" s="214"/>
      <c r="BE756" s="214"/>
      <c r="BF756" s="214"/>
    </row>
    <row r="757" spans="1:58" ht="45" hidden="1" customHeight="1">
      <c r="B757" s="2277"/>
      <c r="C757" s="2259"/>
      <c r="D757" s="2260"/>
      <c r="E757" s="1908" t="s">
        <v>3682</v>
      </c>
      <c r="F757" s="1908" t="s">
        <v>4690</v>
      </c>
      <c r="G757" s="1908"/>
      <c r="H757" s="2278" t="s">
        <v>5312</v>
      </c>
      <c r="I757" s="2259"/>
      <c r="J757" s="2260"/>
      <c r="K757" s="2278" t="s">
        <v>5368</v>
      </c>
      <c r="L757" s="2260"/>
      <c r="M757" s="1908" t="e">
        <f>VLOOKUP(K757,'Estimate Details'!$R:$BR,20,FALSE)</f>
        <v>#N/A</v>
      </c>
      <c r="N757" s="1908" t="e">
        <f>VLOOKUP(M757,#REF!,2,FALSE)</f>
        <v>#N/A</v>
      </c>
      <c r="O757" s="1908" t="s">
        <v>5354</v>
      </c>
      <c r="P757" s="2278" t="s">
        <v>3687</v>
      </c>
      <c r="Q757" s="2259"/>
      <c r="R757" s="2260"/>
      <c r="S757" s="1908" t="s">
        <v>3688</v>
      </c>
      <c r="T757" s="1908" t="s">
        <v>3689</v>
      </c>
      <c r="U757" s="1908" t="s">
        <v>3690</v>
      </c>
      <c r="V757" s="1908" t="s">
        <v>3691</v>
      </c>
      <c r="W757" s="1908" t="s">
        <v>3688</v>
      </c>
      <c r="X757" s="1908"/>
      <c r="Y757" s="1908"/>
      <c r="Z757" s="1908"/>
      <c r="AA757" s="1908" t="s">
        <v>3694</v>
      </c>
      <c r="AB757" s="1908" t="s">
        <v>5355</v>
      </c>
      <c r="AC757" s="1908" t="s">
        <v>3696</v>
      </c>
      <c r="AD757" s="2278" t="s">
        <v>5356</v>
      </c>
      <c r="AE757" s="2259"/>
      <c r="AF757" s="2260"/>
      <c r="AG757" s="2278" t="s">
        <v>3696</v>
      </c>
      <c r="AH757" s="2259"/>
      <c r="AI757" s="2260"/>
      <c r="AJ757" s="1908" t="s">
        <v>5357</v>
      </c>
      <c r="AK757" s="2278" t="s">
        <v>5358</v>
      </c>
      <c r="AL757" s="2259"/>
      <c r="AM757" s="2259"/>
      <c r="AN757" s="2259"/>
      <c r="AO757" s="2260"/>
      <c r="AP757" s="1908" t="s">
        <v>3699</v>
      </c>
      <c r="BC757" s="214"/>
      <c r="BD757" s="214"/>
      <c r="BE757" s="214"/>
      <c r="BF757" s="214"/>
    </row>
    <row r="758" spans="1:58" ht="45" hidden="1" customHeight="1">
      <c r="A758" s="808"/>
      <c r="B758" s="2280"/>
      <c r="C758" s="2281"/>
      <c r="D758" s="2282"/>
      <c r="E758" s="1909" t="s">
        <v>3682</v>
      </c>
      <c r="F758" s="1909" t="s">
        <v>4690</v>
      </c>
      <c r="G758" s="1909"/>
      <c r="H758" s="2283" t="s">
        <v>5312</v>
      </c>
      <c r="I758" s="2281"/>
      <c r="J758" s="2282"/>
      <c r="K758" s="2283" t="s">
        <v>5369</v>
      </c>
      <c r="L758" s="2282"/>
      <c r="M758" s="1909" t="e">
        <f>VLOOKUP(K758,'Estimate Details'!$R:$BR,20,FALSE)</f>
        <v>#N/A</v>
      </c>
      <c r="N758" s="1909" t="e">
        <f>VLOOKUP(M758,#REF!,2,FALSE)</f>
        <v>#N/A</v>
      </c>
      <c r="O758" s="1909" t="s">
        <v>5354</v>
      </c>
      <c r="P758" s="2284" t="s">
        <v>3687</v>
      </c>
      <c r="Q758" s="2281"/>
      <c r="R758" s="2282"/>
      <c r="S758" s="1909" t="s">
        <v>3688</v>
      </c>
      <c r="T758" s="1909" t="s">
        <v>3689</v>
      </c>
      <c r="U758" s="1909" t="s">
        <v>3690</v>
      </c>
      <c r="V758" s="1909" t="s">
        <v>3691</v>
      </c>
      <c r="W758" s="1909" t="s">
        <v>3688</v>
      </c>
      <c r="X758" s="1909"/>
      <c r="Y758" s="1909"/>
      <c r="Z758" s="1909"/>
      <c r="AA758" s="1909" t="s">
        <v>3694</v>
      </c>
      <c r="AB758" s="1909" t="s">
        <v>5355</v>
      </c>
      <c r="AC758" s="1909" t="s">
        <v>3696</v>
      </c>
      <c r="AD758" s="2283" t="s">
        <v>5356</v>
      </c>
      <c r="AE758" s="2281"/>
      <c r="AF758" s="2282"/>
      <c r="AG758" s="2283" t="s">
        <v>3696</v>
      </c>
      <c r="AH758" s="2281"/>
      <c r="AI758" s="2282"/>
      <c r="AJ758" s="1909" t="s">
        <v>5357</v>
      </c>
      <c r="AK758" s="2283" t="s">
        <v>5358</v>
      </c>
      <c r="AL758" s="2281"/>
      <c r="AM758" s="2259"/>
      <c r="AN758" s="2281"/>
      <c r="AO758" s="2282"/>
      <c r="AP758" s="1909" t="s">
        <v>3699</v>
      </c>
      <c r="BC758" s="214"/>
      <c r="BD758" s="214"/>
      <c r="BE758" s="214"/>
      <c r="BF758" s="214"/>
    </row>
    <row r="759" spans="1:58" ht="45" hidden="1" customHeight="1">
      <c r="B759" s="2277"/>
      <c r="C759" s="2259"/>
      <c r="D759" s="2260"/>
      <c r="E759" s="1908" t="s">
        <v>3682</v>
      </c>
      <c r="F759" s="1908" t="s">
        <v>4690</v>
      </c>
      <c r="G759" s="1908"/>
      <c r="H759" s="2278" t="s">
        <v>5312</v>
      </c>
      <c r="I759" s="2259"/>
      <c r="J759" s="2260"/>
      <c r="K759" s="2278" t="s">
        <v>5370</v>
      </c>
      <c r="L759" s="2260"/>
      <c r="M759" s="1908" t="e">
        <f>VLOOKUP(K759,'Estimate Details'!$R:$BR,20,FALSE)</f>
        <v>#N/A</v>
      </c>
      <c r="N759" s="1908" t="e">
        <f>VLOOKUP(M759,#REF!,2,FALSE)</f>
        <v>#N/A</v>
      </c>
      <c r="O759" s="1908" t="s">
        <v>5354</v>
      </c>
      <c r="P759" s="2278" t="s">
        <v>3687</v>
      </c>
      <c r="Q759" s="2259"/>
      <c r="R759" s="2260"/>
      <c r="S759" s="1908" t="s">
        <v>3688</v>
      </c>
      <c r="T759" s="1908" t="s">
        <v>3689</v>
      </c>
      <c r="U759" s="1908" t="s">
        <v>3690</v>
      </c>
      <c r="V759" s="1908" t="s">
        <v>3691</v>
      </c>
      <c r="W759" s="1908" t="s">
        <v>3688</v>
      </c>
      <c r="X759" s="1908"/>
      <c r="Y759" s="1908"/>
      <c r="Z759" s="1908"/>
      <c r="AA759" s="1908" t="s">
        <v>3694</v>
      </c>
      <c r="AB759" s="1908" t="s">
        <v>5355</v>
      </c>
      <c r="AC759" s="1908" t="s">
        <v>3696</v>
      </c>
      <c r="AD759" s="2278" t="s">
        <v>5356</v>
      </c>
      <c r="AE759" s="2259"/>
      <c r="AF759" s="2260"/>
      <c r="AG759" s="2278" t="s">
        <v>3696</v>
      </c>
      <c r="AH759" s="2259"/>
      <c r="AI759" s="2260"/>
      <c r="AJ759" s="1908" t="s">
        <v>5357</v>
      </c>
      <c r="AK759" s="2278" t="s">
        <v>5358</v>
      </c>
      <c r="AL759" s="2259"/>
      <c r="AM759" s="2259"/>
      <c r="AN759" s="2259"/>
      <c r="AO759" s="2260"/>
      <c r="AP759" s="1908" t="s">
        <v>3699</v>
      </c>
      <c r="BC759" s="214"/>
      <c r="BD759" s="214"/>
      <c r="BE759" s="214"/>
      <c r="BF759" s="214"/>
    </row>
    <row r="760" spans="1:58" ht="45" hidden="1" customHeight="1">
      <c r="A760" s="808"/>
      <c r="B760" s="2280"/>
      <c r="C760" s="2281"/>
      <c r="D760" s="2282"/>
      <c r="E760" s="1909" t="s">
        <v>3682</v>
      </c>
      <c r="F760" s="1909" t="s">
        <v>4690</v>
      </c>
      <c r="G760" s="1909"/>
      <c r="H760" s="2283" t="s">
        <v>5312</v>
      </c>
      <c r="I760" s="2281"/>
      <c r="J760" s="2282"/>
      <c r="K760" s="2283" t="s">
        <v>5371</v>
      </c>
      <c r="L760" s="2282"/>
      <c r="M760" s="1909" t="e">
        <f>VLOOKUP(K760,'Estimate Details'!$R:$BR,20,FALSE)</f>
        <v>#N/A</v>
      </c>
      <c r="N760" s="1909" t="e">
        <f>VLOOKUP(M760,#REF!,2,FALSE)</f>
        <v>#N/A</v>
      </c>
      <c r="O760" s="1909" t="s">
        <v>5354</v>
      </c>
      <c r="P760" s="2284" t="s">
        <v>3687</v>
      </c>
      <c r="Q760" s="2281"/>
      <c r="R760" s="2282"/>
      <c r="S760" s="1909" t="s">
        <v>3688</v>
      </c>
      <c r="T760" s="1909" t="s">
        <v>3689</v>
      </c>
      <c r="U760" s="1909" t="s">
        <v>3690</v>
      </c>
      <c r="V760" s="1909" t="s">
        <v>3691</v>
      </c>
      <c r="W760" s="1909" t="s">
        <v>3688</v>
      </c>
      <c r="X760" s="1909"/>
      <c r="Y760" s="1909"/>
      <c r="Z760" s="1909"/>
      <c r="AA760" s="1909" t="s">
        <v>3694</v>
      </c>
      <c r="AB760" s="1909" t="s">
        <v>5355</v>
      </c>
      <c r="AC760" s="1909" t="s">
        <v>3696</v>
      </c>
      <c r="AD760" s="2283" t="s">
        <v>5356</v>
      </c>
      <c r="AE760" s="2281"/>
      <c r="AF760" s="2282"/>
      <c r="AG760" s="2283" t="s">
        <v>3696</v>
      </c>
      <c r="AH760" s="2281"/>
      <c r="AI760" s="2282"/>
      <c r="AJ760" s="1909" t="s">
        <v>5357</v>
      </c>
      <c r="AK760" s="2283" t="s">
        <v>5358</v>
      </c>
      <c r="AL760" s="2281"/>
      <c r="AM760" s="2259"/>
      <c r="AN760" s="2281"/>
      <c r="AO760" s="2282"/>
      <c r="AP760" s="1909" t="s">
        <v>3699</v>
      </c>
      <c r="BC760" s="214"/>
      <c r="BD760" s="214"/>
      <c r="BE760" s="214"/>
      <c r="BF760" s="214"/>
    </row>
    <row r="761" spans="1:58" ht="45" hidden="1" customHeight="1">
      <c r="B761" s="2277"/>
      <c r="C761" s="2259"/>
      <c r="D761" s="2260"/>
      <c r="E761" s="1908" t="s">
        <v>3682</v>
      </c>
      <c r="F761" s="1908" t="s">
        <v>4690</v>
      </c>
      <c r="G761" s="1908"/>
      <c r="H761" s="2278" t="s">
        <v>5312</v>
      </c>
      <c r="I761" s="2259"/>
      <c r="J761" s="2260"/>
      <c r="K761" s="2278" t="s">
        <v>5372</v>
      </c>
      <c r="L761" s="2260"/>
      <c r="M761" s="1908" t="e">
        <f>VLOOKUP(K761,'Estimate Details'!$R:$BR,20,FALSE)</f>
        <v>#N/A</v>
      </c>
      <c r="N761" s="1908" t="e">
        <f>VLOOKUP(M761,#REF!,2,FALSE)</f>
        <v>#N/A</v>
      </c>
      <c r="O761" s="1908" t="s">
        <v>5354</v>
      </c>
      <c r="P761" s="2278" t="s">
        <v>3687</v>
      </c>
      <c r="Q761" s="2259"/>
      <c r="R761" s="2260"/>
      <c r="S761" s="1908" t="s">
        <v>3688</v>
      </c>
      <c r="T761" s="1908" t="s">
        <v>3689</v>
      </c>
      <c r="U761" s="1908" t="s">
        <v>3690</v>
      </c>
      <c r="V761" s="1908" t="s">
        <v>3691</v>
      </c>
      <c r="W761" s="1908" t="s">
        <v>3688</v>
      </c>
      <c r="X761" s="1908"/>
      <c r="Y761" s="1908"/>
      <c r="Z761" s="1908"/>
      <c r="AA761" s="1908" t="s">
        <v>3694</v>
      </c>
      <c r="AB761" s="1908" t="s">
        <v>5355</v>
      </c>
      <c r="AC761" s="1908" t="s">
        <v>3696</v>
      </c>
      <c r="AD761" s="2278" t="s">
        <v>5356</v>
      </c>
      <c r="AE761" s="2259"/>
      <c r="AF761" s="2260"/>
      <c r="AG761" s="2278" t="s">
        <v>3696</v>
      </c>
      <c r="AH761" s="2259"/>
      <c r="AI761" s="2260"/>
      <c r="AJ761" s="1908" t="s">
        <v>5357</v>
      </c>
      <c r="AK761" s="2278" t="s">
        <v>5358</v>
      </c>
      <c r="AL761" s="2259"/>
      <c r="AM761" s="2259"/>
      <c r="AN761" s="2259"/>
      <c r="AO761" s="2260"/>
      <c r="AP761" s="1908" t="s">
        <v>3699</v>
      </c>
      <c r="BC761" s="214"/>
      <c r="BD761" s="214"/>
      <c r="BE761" s="214"/>
      <c r="BF761" s="214"/>
    </row>
    <row r="762" spans="1:58" ht="45" hidden="1" customHeight="1">
      <c r="A762" s="808"/>
      <c r="B762" s="2280"/>
      <c r="C762" s="2281"/>
      <c r="D762" s="2282"/>
      <c r="E762" s="1909" t="s">
        <v>3682</v>
      </c>
      <c r="F762" s="1909" t="s">
        <v>4690</v>
      </c>
      <c r="G762" s="1909"/>
      <c r="H762" s="2283" t="s">
        <v>5312</v>
      </c>
      <c r="I762" s="2281"/>
      <c r="J762" s="2282"/>
      <c r="K762" s="2283" t="s">
        <v>5373</v>
      </c>
      <c r="L762" s="2282"/>
      <c r="M762" s="1909" t="e">
        <f>VLOOKUP(K762,'Estimate Details'!$R:$BR,20,FALSE)</f>
        <v>#N/A</v>
      </c>
      <c r="N762" s="1909" t="e">
        <f>VLOOKUP(M762,#REF!,2,FALSE)</f>
        <v>#N/A</v>
      </c>
      <c r="O762" s="1909" t="s">
        <v>5374</v>
      </c>
      <c r="P762" s="2284" t="s">
        <v>3687</v>
      </c>
      <c r="Q762" s="2281"/>
      <c r="R762" s="2282"/>
      <c r="S762" s="1909" t="s">
        <v>3688</v>
      </c>
      <c r="T762" s="1909" t="s">
        <v>3689</v>
      </c>
      <c r="U762" s="1909" t="s">
        <v>3690</v>
      </c>
      <c r="V762" s="1909" t="s">
        <v>3691</v>
      </c>
      <c r="W762" s="1909" t="s">
        <v>3688</v>
      </c>
      <c r="X762" s="1909" t="s">
        <v>5375</v>
      </c>
      <c r="Y762" s="1909"/>
      <c r="Z762" s="1909"/>
      <c r="AA762" s="1909" t="s">
        <v>3694</v>
      </c>
      <c r="AB762" s="1909" t="s">
        <v>4747</v>
      </c>
      <c r="AC762" s="1909" t="s">
        <v>3696</v>
      </c>
      <c r="AD762" s="2283" t="s">
        <v>5376</v>
      </c>
      <c r="AE762" s="2281"/>
      <c r="AF762" s="2282"/>
      <c r="AG762" s="2283" t="s">
        <v>3696</v>
      </c>
      <c r="AH762" s="2281"/>
      <c r="AI762" s="2282"/>
      <c r="AJ762" s="1909" t="s">
        <v>3923</v>
      </c>
      <c r="AK762" s="2283" t="s">
        <v>3688</v>
      </c>
      <c r="AL762" s="2281"/>
      <c r="AM762" s="2259"/>
      <c r="AN762" s="2281"/>
      <c r="AO762" s="2282"/>
      <c r="AP762" s="1909" t="s">
        <v>3699</v>
      </c>
      <c r="BC762" s="214"/>
      <c r="BD762" s="214"/>
      <c r="BE762" s="214"/>
      <c r="BF762" s="214"/>
    </row>
    <row r="763" spans="1:58" ht="49.5" hidden="1" customHeight="1">
      <c r="B763" s="2277"/>
      <c r="C763" s="2259"/>
      <c r="D763" s="2260"/>
      <c r="E763" s="1908" t="s">
        <v>3682</v>
      </c>
      <c r="F763" s="1908" t="s">
        <v>4690</v>
      </c>
      <c r="G763" s="1908"/>
      <c r="H763" s="2278" t="s">
        <v>5377</v>
      </c>
      <c r="I763" s="2259"/>
      <c r="J763" s="2260"/>
      <c r="K763" s="2278" t="s">
        <v>5378</v>
      </c>
      <c r="L763" s="2260"/>
      <c r="M763" s="1908" t="e">
        <f>VLOOKUP(K763,'Estimate Details'!$R:$BR,20,FALSE)</f>
        <v>#N/A</v>
      </c>
      <c r="N763" s="1908" t="e">
        <f>VLOOKUP(M763,#REF!,2,FALSE)</f>
        <v>#N/A</v>
      </c>
      <c r="O763" s="1908" t="s">
        <v>5379</v>
      </c>
      <c r="P763" s="2278" t="s">
        <v>3974</v>
      </c>
      <c r="Q763" s="2259"/>
      <c r="R763" s="2260"/>
      <c r="S763" s="1908" t="s">
        <v>3688</v>
      </c>
      <c r="T763" s="1908" t="s">
        <v>3689</v>
      </c>
      <c r="U763" s="1908" t="s">
        <v>3707</v>
      </c>
      <c r="V763" s="1908" t="s">
        <v>3975</v>
      </c>
      <c r="W763" s="1908" t="s">
        <v>3688</v>
      </c>
      <c r="X763" s="1908" t="s">
        <v>5380</v>
      </c>
      <c r="Y763" s="1908" t="s">
        <v>5381</v>
      </c>
      <c r="Z763" s="1908"/>
      <c r="AA763" s="1908" t="s">
        <v>3978</v>
      </c>
      <c r="AB763" s="1908" t="s">
        <v>5382</v>
      </c>
      <c r="AC763" s="1908" t="s">
        <v>5383</v>
      </c>
      <c r="AD763" s="2278" t="s">
        <v>5384</v>
      </c>
      <c r="AE763" s="2259"/>
      <c r="AF763" s="2260"/>
      <c r="AG763" s="2278" t="s">
        <v>3696</v>
      </c>
      <c r="AH763" s="2259"/>
      <c r="AI763" s="2260"/>
      <c r="AJ763" s="1908" t="s">
        <v>3982</v>
      </c>
      <c r="AK763" s="2278" t="s">
        <v>5385</v>
      </c>
      <c r="AL763" s="2259"/>
      <c r="AM763" s="2259"/>
      <c r="AN763" s="2259"/>
      <c r="AO763" s="2260"/>
      <c r="AP763" s="1908" t="s">
        <v>3699</v>
      </c>
      <c r="BC763" s="214"/>
      <c r="BD763" s="214"/>
      <c r="BE763" s="214"/>
      <c r="BF763" s="214"/>
    </row>
    <row r="764" spans="1:58" ht="45" hidden="1" customHeight="1">
      <c r="A764" s="808"/>
      <c r="B764" s="2280"/>
      <c r="C764" s="2281"/>
      <c r="D764" s="2282"/>
      <c r="E764" s="1909" t="s">
        <v>3682</v>
      </c>
      <c r="F764" s="1909" t="s">
        <v>4690</v>
      </c>
      <c r="G764" s="1909"/>
      <c r="H764" s="2283" t="s">
        <v>5377</v>
      </c>
      <c r="I764" s="2281"/>
      <c r="J764" s="2282"/>
      <c r="K764" s="2283" t="s">
        <v>5386</v>
      </c>
      <c r="L764" s="2282"/>
      <c r="M764" s="1909" t="e">
        <f>VLOOKUP(K764,'Estimate Details'!$R:$BR,20,FALSE)</f>
        <v>#N/A</v>
      </c>
      <c r="N764" s="1909" t="e">
        <f>VLOOKUP(M764,#REF!,2,FALSE)</f>
        <v>#N/A</v>
      </c>
      <c r="O764" s="1909" t="s">
        <v>5387</v>
      </c>
      <c r="P764" s="2284" t="s">
        <v>3974</v>
      </c>
      <c r="Q764" s="2281"/>
      <c r="R764" s="2282"/>
      <c r="S764" s="1909" t="s">
        <v>3688</v>
      </c>
      <c r="T764" s="1909" t="s">
        <v>3689</v>
      </c>
      <c r="U764" s="1909" t="s">
        <v>3707</v>
      </c>
      <c r="V764" s="1909" t="s">
        <v>3975</v>
      </c>
      <c r="W764" s="1909" t="s">
        <v>3688</v>
      </c>
      <c r="X764" s="1909" t="s">
        <v>5388</v>
      </c>
      <c r="Y764" s="1909" t="s">
        <v>5389</v>
      </c>
      <c r="Z764" s="1909"/>
      <c r="AA764" s="1909" t="s">
        <v>3978</v>
      </c>
      <c r="AB764" s="1909" t="s">
        <v>5390</v>
      </c>
      <c r="AC764" s="1909" t="s">
        <v>5391</v>
      </c>
      <c r="AD764" s="2283" t="s">
        <v>3981</v>
      </c>
      <c r="AE764" s="2281"/>
      <c r="AF764" s="2282"/>
      <c r="AG764" s="2283" t="s">
        <v>3696</v>
      </c>
      <c r="AH764" s="2281"/>
      <c r="AI764" s="2282"/>
      <c r="AJ764" s="1909" t="s">
        <v>3982</v>
      </c>
      <c r="AK764" s="2283" t="s">
        <v>5392</v>
      </c>
      <c r="AL764" s="2281"/>
      <c r="AM764" s="2259"/>
      <c r="AN764" s="2281"/>
      <c r="AO764" s="2282"/>
      <c r="AP764" s="1909" t="s">
        <v>3699</v>
      </c>
      <c r="BC764" s="214"/>
      <c r="BD764" s="214"/>
      <c r="BE764" s="214"/>
      <c r="BF764" s="214"/>
    </row>
    <row r="765" spans="1:58" ht="45" hidden="1" customHeight="1">
      <c r="B765" s="2277"/>
      <c r="C765" s="2259"/>
      <c r="D765" s="2260"/>
      <c r="E765" s="1908" t="s">
        <v>3682</v>
      </c>
      <c r="F765" s="1908" t="s">
        <v>4690</v>
      </c>
      <c r="G765" s="1908"/>
      <c r="H765" s="2278" t="s">
        <v>5377</v>
      </c>
      <c r="I765" s="2259"/>
      <c r="J765" s="2260"/>
      <c r="K765" s="2278" t="s">
        <v>5393</v>
      </c>
      <c r="L765" s="2260"/>
      <c r="M765" s="1908" t="e">
        <f>VLOOKUP(K765,'Estimate Details'!$R:$BR,20,FALSE)</f>
        <v>#N/A</v>
      </c>
      <c r="N765" s="1908" t="e">
        <f>VLOOKUP(M765,#REF!,2,FALSE)</f>
        <v>#N/A</v>
      </c>
      <c r="O765" s="1908" t="s">
        <v>5387</v>
      </c>
      <c r="P765" s="2278" t="s">
        <v>3974</v>
      </c>
      <c r="Q765" s="2259"/>
      <c r="R765" s="2260"/>
      <c r="S765" s="1908" t="s">
        <v>3688</v>
      </c>
      <c r="T765" s="1908" t="s">
        <v>3689</v>
      </c>
      <c r="U765" s="1908" t="s">
        <v>3707</v>
      </c>
      <c r="V765" s="1908" t="s">
        <v>3975</v>
      </c>
      <c r="W765" s="1908" t="s">
        <v>3688</v>
      </c>
      <c r="X765" s="1908" t="s">
        <v>5388</v>
      </c>
      <c r="Y765" s="1908" t="s">
        <v>5389</v>
      </c>
      <c r="Z765" s="1908"/>
      <c r="AA765" s="1908" t="s">
        <v>3978</v>
      </c>
      <c r="AB765" s="1908" t="s">
        <v>5390</v>
      </c>
      <c r="AC765" s="1908" t="s">
        <v>5391</v>
      </c>
      <c r="AD765" s="2278" t="s">
        <v>3981</v>
      </c>
      <c r="AE765" s="2259"/>
      <c r="AF765" s="2260"/>
      <c r="AG765" s="2278" t="s">
        <v>3696</v>
      </c>
      <c r="AH765" s="2259"/>
      <c r="AI765" s="2260"/>
      <c r="AJ765" s="1908" t="s">
        <v>3982</v>
      </c>
      <c r="AK765" s="2278" t="s">
        <v>5392</v>
      </c>
      <c r="AL765" s="2259"/>
      <c r="AM765" s="2259"/>
      <c r="AN765" s="2259"/>
      <c r="AO765" s="2260"/>
      <c r="AP765" s="1908" t="s">
        <v>3699</v>
      </c>
      <c r="BC765" s="214"/>
      <c r="BD765" s="214"/>
      <c r="BE765" s="214"/>
      <c r="BF765" s="214"/>
    </row>
    <row r="766" spans="1:58" ht="45" hidden="1" customHeight="1">
      <c r="A766" s="808"/>
      <c r="B766" s="2280"/>
      <c r="C766" s="2281"/>
      <c r="D766" s="2282"/>
      <c r="E766" s="1909" t="s">
        <v>3682</v>
      </c>
      <c r="F766" s="1909" t="s">
        <v>4690</v>
      </c>
      <c r="G766" s="1909"/>
      <c r="H766" s="2283" t="s">
        <v>5377</v>
      </c>
      <c r="I766" s="2281"/>
      <c r="J766" s="2282"/>
      <c r="K766" s="2283" t="s">
        <v>5394</v>
      </c>
      <c r="L766" s="2282"/>
      <c r="M766" s="1909" t="e">
        <f>VLOOKUP(K766,'Estimate Details'!$R:$BR,20,FALSE)</f>
        <v>#N/A</v>
      </c>
      <c r="N766" s="1909" t="e">
        <f>VLOOKUP(M766,#REF!,2,FALSE)</f>
        <v>#N/A</v>
      </c>
      <c r="O766" s="1909" t="s">
        <v>5395</v>
      </c>
      <c r="P766" s="2284" t="s">
        <v>3974</v>
      </c>
      <c r="Q766" s="2281"/>
      <c r="R766" s="2282"/>
      <c r="S766" s="1909" t="s">
        <v>3688</v>
      </c>
      <c r="T766" s="1909" t="s">
        <v>3689</v>
      </c>
      <c r="U766" s="1909" t="s">
        <v>3707</v>
      </c>
      <c r="V766" s="1909" t="s">
        <v>3975</v>
      </c>
      <c r="W766" s="1909" t="s">
        <v>3688</v>
      </c>
      <c r="X766" s="1909" t="s">
        <v>5396</v>
      </c>
      <c r="Y766" s="1909" t="s">
        <v>5397</v>
      </c>
      <c r="Z766" s="1909"/>
      <c r="AA766" s="1909" t="s">
        <v>3978</v>
      </c>
      <c r="AB766" s="1909" t="s">
        <v>5398</v>
      </c>
      <c r="AC766" s="1909" t="s">
        <v>5399</v>
      </c>
      <c r="AD766" s="2283" t="s">
        <v>3981</v>
      </c>
      <c r="AE766" s="2281"/>
      <c r="AF766" s="2282"/>
      <c r="AG766" s="2283" t="s">
        <v>3696</v>
      </c>
      <c r="AH766" s="2281"/>
      <c r="AI766" s="2282"/>
      <c r="AJ766" s="1909" t="s">
        <v>3982</v>
      </c>
      <c r="AK766" s="2283" t="s">
        <v>5400</v>
      </c>
      <c r="AL766" s="2281"/>
      <c r="AM766" s="2259"/>
      <c r="AN766" s="2281"/>
      <c r="AO766" s="2282"/>
      <c r="AP766" s="1909" t="s">
        <v>3699</v>
      </c>
      <c r="BC766" s="214"/>
      <c r="BD766" s="214"/>
      <c r="BE766" s="214"/>
      <c r="BF766" s="214"/>
    </row>
    <row r="767" spans="1:58" ht="45" hidden="1" customHeight="1">
      <c r="B767" s="2277"/>
      <c r="C767" s="2259"/>
      <c r="D767" s="2260"/>
      <c r="E767" s="1908" t="s">
        <v>3682</v>
      </c>
      <c r="F767" s="1908" t="s">
        <v>4690</v>
      </c>
      <c r="G767" s="1908"/>
      <c r="H767" s="2278" t="s">
        <v>5377</v>
      </c>
      <c r="I767" s="2259"/>
      <c r="J767" s="2260"/>
      <c r="K767" s="2278" t="s">
        <v>5401</v>
      </c>
      <c r="L767" s="2260"/>
      <c r="M767" s="1908" t="e">
        <f>VLOOKUP(K767,'Estimate Details'!$R:$BR,20,FALSE)</f>
        <v>#N/A</v>
      </c>
      <c r="N767" s="1908" t="e">
        <f>VLOOKUP(M767,#REF!,2,FALSE)</f>
        <v>#N/A</v>
      </c>
      <c r="O767" s="1908" t="s">
        <v>5402</v>
      </c>
      <c r="P767" s="2278" t="s">
        <v>3974</v>
      </c>
      <c r="Q767" s="2259"/>
      <c r="R767" s="2260"/>
      <c r="S767" s="1908" t="s">
        <v>3688</v>
      </c>
      <c r="T767" s="1908" t="s">
        <v>3689</v>
      </c>
      <c r="U767" s="1908" t="s">
        <v>3707</v>
      </c>
      <c r="V767" s="1908" t="s">
        <v>3975</v>
      </c>
      <c r="W767" s="1908" t="s">
        <v>3688</v>
      </c>
      <c r="X767" s="1908" t="s">
        <v>5396</v>
      </c>
      <c r="Y767" s="1908" t="s">
        <v>5403</v>
      </c>
      <c r="Z767" s="1908"/>
      <c r="AA767" s="1908" t="s">
        <v>3978</v>
      </c>
      <c r="AB767" s="1908" t="s">
        <v>5398</v>
      </c>
      <c r="AC767" s="1908" t="s">
        <v>5404</v>
      </c>
      <c r="AD767" s="2278" t="s">
        <v>3981</v>
      </c>
      <c r="AE767" s="2259"/>
      <c r="AF767" s="2260"/>
      <c r="AG767" s="2278" t="s">
        <v>3696</v>
      </c>
      <c r="AH767" s="2259"/>
      <c r="AI767" s="2260"/>
      <c r="AJ767" s="1908" t="s">
        <v>3982</v>
      </c>
      <c r="AK767" s="2278" t="s">
        <v>5405</v>
      </c>
      <c r="AL767" s="2259"/>
      <c r="AM767" s="2259"/>
      <c r="AN767" s="2259"/>
      <c r="AO767" s="2260"/>
      <c r="AP767" s="1908" t="s">
        <v>3699</v>
      </c>
      <c r="BC767" s="214"/>
      <c r="BD767" s="214"/>
      <c r="BE767" s="214"/>
      <c r="BF767" s="214"/>
    </row>
    <row r="768" spans="1:58" ht="45" hidden="1" customHeight="1">
      <c r="A768" s="808"/>
      <c r="B768" s="2280"/>
      <c r="C768" s="2281"/>
      <c r="D768" s="2282"/>
      <c r="E768" s="1909" t="s">
        <v>3682</v>
      </c>
      <c r="F768" s="1909" t="s">
        <v>4690</v>
      </c>
      <c r="G768" s="1909"/>
      <c r="H768" s="2283" t="s">
        <v>5377</v>
      </c>
      <c r="I768" s="2281"/>
      <c r="J768" s="2282"/>
      <c r="K768" s="2283" t="s">
        <v>5406</v>
      </c>
      <c r="L768" s="2282"/>
      <c r="M768" s="1909" t="e">
        <f>VLOOKUP(K768,'Estimate Details'!$R:$BR,20,FALSE)</f>
        <v>#N/A</v>
      </c>
      <c r="N768" s="1909" t="e">
        <f>VLOOKUP(M768,#REF!,2,FALSE)</f>
        <v>#N/A</v>
      </c>
      <c r="O768" s="1909" t="s">
        <v>5407</v>
      </c>
      <c r="P768" s="2284" t="s">
        <v>3974</v>
      </c>
      <c r="Q768" s="2281"/>
      <c r="R768" s="2282"/>
      <c r="S768" s="1909" t="s">
        <v>3688</v>
      </c>
      <c r="T768" s="1909" t="s">
        <v>3689</v>
      </c>
      <c r="U768" s="1909" t="s">
        <v>3707</v>
      </c>
      <c r="V768" s="1909" t="s">
        <v>3975</v>
      </c>
      <c r="W768" s="1909" t="s">
        <v>3688</v>
      </c>
      <c r="X768" s="1909" t="s">
        <v>5408</v>
      </c>
      <c r="Y768" s="1909" t="s">
        <v>5409</v>
      </c>
      <c r="Z768" s="1909"/>
      <c r="AA768" s="1909" t="s">
        <v>3978</v>
      </c>
      <c r="AB768" s="1909" t="s">
        <v>5410</v>
      </c>
      <c r="AC768" s="1909" t="s">
        <v>5411</v>
      </c>
      <c r="AD768" s="2283" t="s">
        <v>5412</v>
      </c>
      <c r="AE768" s="2281"/>
      <c r="AF768" s="2282"/>
      <c r="AG768" s="2283" t="s">
        <v>3696</v>
      </c>
      <c r="AH768" s="2281"/>
      <c r="AI768" s="2282"/>
      <c r="AJ768" s="1909" t="s">
        <v>3982</v>
      </c>
      <c r="AK768" s="2283" t="s">
        <v>5413</v>
      </c>
      <c r="AL768" s="2281"/>
      <c r="AM768" s="2259"/>
      <c r="AN768" s="2281"/>
      <c r="AO768" s="2282"/>
      <c r="AP768" s="1909" t="s">
        <v>3699</v>
      </c>
      <c r="BC768" s="214"/>
      <c r="BD768" s="214"/>
      <c r="BE768" s="214"/>
      <c r="BF768" s="214"/>
    </row>
    <row r="769" spans="1:58" ht="45" hidden="1" customHeight="1">
      <c r="B769" s="2277"/>
      <c r="C769" s="2259"/>
      <c r="D769" s="2260"/>
      <c r="E769" s="1908" t="s">
        <v>3682</v>
      </c>
      <c r="F769" s="1908" t="s">
        <v>4690</v>
      </c>
      <c r="G769" s="1908"/>
      <c r="H769" s="2278" t="s">
        <v>5377</v>
      </c>
      <c r="I769" s="2259"/>
      <c r="J769" s="2260"/>
      <c r="K769" s="2278" t="s">
        <v>5414</v>
      </c>
      <c r="L769" s="2260"/>
      <c r="M769" s="1908" t="e">
        <f>VLOOKUP(K769,'Estimate Details'!$R:$BR,20,FALSE)</f>
        <v>#N/A</v>
      </c>
      <c r="N769" s="1908" t="e">
        <f>VLOOKUP(M769,#REF!,2,FALSE)</f>
        <v>#N/A</v>
      </c>
      <c r="O769" s="1908" t="s">
        <v>5415</v>
      </c>
      <c r="P769" s="2278" t="s">
        <v>3974</v>
      </c>
      <c r="Q769" s="2259"/>
      <c r="R769" s="2260"/>
      <c r="S769" s="1908" t="s">
        <v>3688</v>
      </c>
      <c r="T769" s="1908" t="s">
        <v>3689</v>
      </c>
      <c r="U769" s="1908" t="s">
        <v>3707</v>
      </c>
      <c r="V769" s="1908" t="s">
        <v>3975</v>
      </c>
      <c r="W769" s="1908" t="s">
        <v>3688</v>
      </c>
      <c r="X769" s="1908" t="s">
        <v>5408</v>
      </c>
      <c r="Y769" s="1908" t="s">
        <v>5409</v>
      </c>
      <c r="Z769" s="1908"/>
      <c r="AA769" s="1908" t="s">
        <v>3978</v>
      </c>
      <c r="AB769" s="1908" t="s">
        <v>5410</v>
      </c>
      <c r="AC769" s="1908" t="s">
        <v>5411</v>
      </c>
      <c r="AD769" s="2278" t="s">
        <v>5412</v>
      </c>
      <c r="AE769" s="2259"/>
      <c r="AF769" s="2260"/>
      <c r="AG769" s="2278" t="s">
        <v>3696</v>
      </c>
      <c r="AH769" s="2259"/>
      <c r="AI769" s="2260"/>
      <c r="AJ769" s="1908" t="s">
        <v>3982</v>
      </c>
      <c r="AK769" s="2278" t="s">
        <v>5413</v>
      </c>
      <c r="AL769" s="2259"/>
      <c r="AM769" s="2259"/>
      <c r="AN769" s="2259"/>
      <c r="AO769" s="2260"/>
      <c r="AP769" s="1908" t="s">
        <v>3699</v>
      </c>
      <c r="BC769" s="214"/>
      <c r="BD769" s="214"/>
      <c r="BE769" s="214"/>
      <c r="BF769" s="214"/>
    </row>
    <row r="770" spans="1:58" ht="45" hidden="1" customHeight="1">
      <c r="A770" s="808"/>
      <c r="B770" s="2280"/>
      <c r="C770" s="2281"/>
      <c r="D770" s="2282"/>
      <c r="E770" s="1909" t="s">
        <v>3682</v>
      </c>
      <c r="F770" s="1909" t="s">
        <v>4690</v>
      </c>
      <c r="G770" s="1909"/>
      <c r="H770" s="2283" t="s">
        <v>5377</v>
      </c>
      <c r="I770" s="2281"/>
      <c r="J770" s="2282"/>
      <c r="K770" s="2283" t="s">
        <v>5416</v>
      </c>
      <c r="L770" s="2282"/>
      <c r="M770" s="1909" t="e">
        <f>VLOOKUP(K770,'Estimate Details'!$R:$BR,20,FALSE)</f>
        <v>#N/A</v>
      </c>
      <c r="N770" s="1909" t="e">
        <f>VLOOKUP(M770,#REF!,2,FALSE)</f>
        <v>#N/A</v>
      </c>
      <c r="O770" s="1909" t="s">
        <v>5417</v>
      </c>
      <c r="P770" s="2284" t="s">
        <v>3974</v>
      </c>
      <c r="Q770" s="2281"/>
      <c r="R770" s="2282"/>
      <c r="S770" s="1909" t="s">
        <v>3688</v>
      </c>
      <c r="T770" s="1909" t="s">
        <v>3689</v>
      </c>
      <c r="U770" s="1909" t="s">
        <v>3707</v>
      </c>
      <c r="V770" s="1909" t="s">
        <v>3975</v>
      </c>
      <c r="W770" s="1909" t="s">
        <v>3688</v>
      </c>
      <c r="X770" s="1909" t="s">
        <v>5418</v>
      </c>
      <c r="Y770" s="1909" t="s">
        <v>5419</v>
      </c>
      <c r="Z770" s="1909"/>
      <c r="AA770" s="1909" t="s">
        <v>3978</v>
      </c>
      <c r="AB770" s="1909" t="s">
        <v>5420</v>
      </c>
      <c r="AC770" s="1909" t="s">
        <v>5421</v>
      </c>
      <c r="AD770" s="2283" t="s">
        <v>5412</v>
      </c>
      <c r="AE770" s="2281"/>
      <c r="AF770" s="2282"/>
      <c r="AG770" s="2283" t="s">
        <v>3696</v>
      </c>
      <c r="AH770" s="2281"/>
      <c r="AI770" s="2282"/>
      <c r="AJ770" s="1909" t="s">
        <v>3982</v>
      </c>
      <c r="AK770" s="2283" t="s">
        <v>5422</v>
      </c>
      <c r="AL770" s="2281"/>
      <c r="AM770" s="2259"/>
      <c r="AN770" s="2281"/>
      <c r="AO770" s="2282"/>
      <c r="AP770" s="1909" t="s">
        <v>3699</v>
      </c>
      <c r="BC770" s="214"/>
      <c r="BD770" s="214"/>
      <c r="BE770" s="214"/>
      <c r="BF770" s="214"/>
    </row>
    <row r="771" spans="1:58" ht="45" hidden="1" customHeight="1">
      <c r="B771" s="2277"/>
      <c r="C771" s="2259"/>
      <c r="D771" s="2260"/>
      <c r="E771" s="1908" t="s">
        <v>3682</v>
      </c>
      <c r="F771" s="1908" t="s">
        <v>4690</v>
      </c>
      <c r="G771" s="1908"/>
      <c r="H771" s="2278" t="s">
        <v>5377</v>
      </c>
      <c r="I771" s="2259"/>
      <c r="J771" s="2260"/>
      <c r="K771" s="2278" t="s">
        <v>5423</v>
      </c>
      <c r="L771" s="2260"/>
      <c r="M771" s="1908" t="e">
        <f>VLOOKUP(K771,'Estimate Details'!$R:$BR,20,FALSE)</f>
        <v>#N/A</v>
      </c>
      <c r="N771" s="1908" t="e">
        <f>VLOOKUP(M771,#REF!,2,FALSE)</f>
        <v>#N/A</v>
      </c>
      <c r="O771" s="1908" t="s">
        <v>5424</v>
      </c>
      <c r="P771" s="2278" t="s">
        <v>3974</v>
      </c>
      <c r="Q771" s="2259"/>
      <c r="R771" s="2260"/>
      <c r="S771" s="1908" t="s">
        <v>3688</v>
      </c>
      <c r="T771" s="1908" t="s">
        <v>3689</v>
      </c>
      <c r="U771" s="1908" t="s">
        <v>3707</v>
      </c>
      <c r="V771" s="1908" t="s">
        <v>3975</v>
      </c>
      <c r="W771" s="1908" t="s">
        <v>3688</v>
      </c>
      <c r="X771" s="1908" t="s">
        <v>5418</v>
      </c>
      <c r="Y771" s="1908" t="s">
        <v>5419</v>
      </c>
      <c r="Z771" s="1908"/>
      <c r="AA771" s="1908" t="s">
        <v>3978</v>
      </c>
      <c r="AB771" s="1908" t="s">
        <v>5420</v>
      </c>
      <c r="AC771" s="1908" t="s">
        <v>5421</v>
      </c>
      <c r="AD771" s="2278" t="s">
        <v>5412</v>
      </c>
      <c r="AE771" s="2259"/>
      <c r="AF771" s="2260"/>
      <c r="AG771" s="2278" t="s">
        <v>3696</v>
      </c>
      <c r="AH771" s="2259"/>
      <c r="AI771" s="2260"/>
      <c r="AJ771" s="1908" t="s">
        <v>3982</v>
      </c>
      <c r="AK771" s="2278" t="s">
        <v>5422</v>
      </c>
      <c r="AL771" s="2259"/>
      <c r="AM771" s="2259"/>
      <c r="AN771" s="2259"/>
      <c r="AO771" s="2260"/>
      <c r="AP771" s="1908" t="s">
        <v>3699</v>
      </c>
      <c r="BC771" s="214"/>
      <c r="BD771" s="214"/>
      <c r="BE771" s="214"/>
      <c r="BF771" s="214"/>
    </row>
    <row r="772" spans="1:58" ht="45" hidden="1" customHeight="1">
      <c r="A772" s="808"/>
      <c r="B772" s="2280"/>
      <c r="C772" s="2281"/>
      <c r="D772" s="2282"/>
      <c r="E772" s="1909" t="s">
        <v>3682</v>
      </c>
      <c r="F772" s="1909" t="s">
        <v>4690</v>
      </c>
      <c r="G772" s="1909"/>
      <c r="H772" s="2283" t="s">
        <v>5377</v>
      </c>
      <c r="I772" s="2281"/>
      <c r="J772" s="2282"/>
      <c r="K772" s="2283" t="s">
        <v>5425</v>
      </c>
      <c r="L772" s="2282"/>
      <c r="M772" s="1909" t="e">
        <f>VLOOKUP(K772,'Estimate Details'!$R:$BR,20,FALSE)</f>
        <v>#N/A</v>
      </c>
      <c r="N772" s="1909" t="e">
        <f>VLOOKUP(M772,#REF!,2,FALSE)</f>
        <v>#N/A</v>
      </c>
      <c r="O772" s="1909" t="s">
        <v>5424</v>
      </c>
      <c r="P772" s="2284" t="s">
        <v>3974</v>
      </c>
      <c r="Q772" s="2281"/>
      <c r="R772" s="2282"/>
      <c r="S772" s="1909" t="s">
        <v>3688</v>
      </c>
      <c r="T772" s="1909" t="s">
        <v>3689</v>
      </c>
      <c r="U772" s="1909" t="s">
        <v>3707</v>
      </c>
      <c r="V772" s="1909" t="s">
        <v>3975</v>
      </c>
      <c r="W772" s="1909" t="s">
        <v>3688</v>
      </c>
      <c r="X772" s="1909" t="s">
        <v>5418</v>
      </c>
      <c r="Y772" s="1909" t="s">
        <v>5419</v>
      </c>
      <c r="Z772" s="1909"/>
      <c r="AA772" s="1909" t="s">
        <v>3978</v>
      </c>
      <c r="AB772" s="1909" t="s">
        <v>5420</v>
      </c>
      <c r="AC772" s="1909" t="s">
        <v>5421</v>
      </c>
      <c r="AD772" s="2283" t="s">
        <v>5412</v>
      </c>
      <c r="AE772" s="2281"/>
      <c r="AF772" s="2282"/>
      <c r="AG772" s="2283" t="s">
        <v>3696</v>
      </c>
      <c r="AH772" s="2281"/>
      <c r="AI772" s="2282"/>
      <c r="AJ772" s="1909" t="s">
        <v>3982</v>
      </c>
      <c r="AK772" s="2283" t="s">
        <v>5422</v>
      </c>
      <c r="AL772" s="2281"/>
      <c r="AM772" s="2259"/>
      <c r="AN772" s="2281"/>
      <c r="AO772" s="2282"/>
      <c r="AP772" s="1909" t="s">
        <v>3699</v>
      </c>
      <c r="BC772" s="214"/>
      <c r="BD772" s="214"/>
      <c r="BE772" s="214"/>
      <c r="BF772" s="214"/>
    </row>
    <row r="773" spans="1:58" ht="45" hidden="1" customHeight="1">
      <c r="B773" s="2277"/>
      <c r="C773" s="2259"/>
      <c r="D773" s="2260"/>
      <c r="E773" s="1908" t="s">
        <v>3682</v>
      </c>
      <c r="F773" s="1908" t="s">
        <v>4690</v>
      </c>
      <c r="G773" s="1908"/>
      <c r="H773" s="2278" t="s">
        <v>5426</v>
      </c>
      <c r="I773" s="2259"/>
      <c r="J773" s="2260"/>
      <c r="K773" s="2278" t="s">
        <v>5427</v>
      </c>
      <c r="L773" s="2260"/>
      <c r="M773" s="1908" t="e">
        <f>VLOOKUP(K773,'Estimate Details'!$R:$BR,20,FALSE)</f>
        <v>#N/A</v>
      </c>
      <c r="N773" s="1908" t="e">
        <f>VLOOKUP(M773,#REF!,2,FALSE)</f>
        <v>#N/A</v>
      </c>
      <c r="O773" s="1908" t="s">
        <v>4700</v>
      </c>
      <c r="P773" s="2278" t="s">
        <v>3687</v>
      </c>
      <c r="Q773" s="2259"/>
      <c r="R773" s="2260"/>
      <c r="S773" s="1908" t="s">
        <v>3688</v>
      </c>
      <c r="T773" s="1908" t="s">
        <v>3706</v>
      </c>
      <c r="U773" s="1908" t="s">
        <v>3690</v>
      </c>
      <c r="V773" s="1908" t="s">
        <v>3691</v>
      </c>
      <c r="W773" s="1908" t="s">
        <v>3688</v>
      </c>
      <c r="X773" s="1908"/>
      <c r="Y773" s="1908"/>
      <c r="Z773" s="1908"/>
      <c r="AA773" s="1908" t="s">
        <v>3694</v>
      </c>
      <c r="AB773" s="1908" t="s">
        <v>4703</v>
      </c>
      <c r="AC773" s="1908" t="s">
        <v>3696</v>
      </c>
      <c r="AD773" s="2278" t="s">
        <v>3861</v>
      </c>
      <c r="AE773" s="2259"/>
      <c r="AF773" s="2260"/>
      <c r="AG773" s="2278" t="s">
        <v>3696</v>
      </c>
      <c r="AH773" s="2259"/>
      <c r="AI773" s="2260"/>
      <c r="AJ773" s="1908" t="s">
        <v>4704</v>
      </c>
      <c r="AK773" s="2278" t="s">
        <v>5428</v>
      </c>
      <c r="AL773" s="2259"/>
      <c r="AM773" s="2259"/>
      <c r="AN773" s="2259"/>
      <c r="AO773" s="2260"/>
      <c r="AP773" s="1908" t="s">
        <v>3699</v>
      </c>
      <c r="BC773" s="214"/>
      <c r="BD773" s="214"/>
      <c r="BE773" s="214"/>
      <c r="BF773" s="214"/>
    </row>
    <row r="774" spans="1:58" ht="45" hidden="1" customHeight="1">
      <c r="A774" s="808"/>
      <c r="B774" s="2280"/>
      <c r="C774" s="2281"/>
      <c r="D774" s="2282"/>
      <c r="E774" s="1909" t="s">
        <v>3682</v>
      </c>
      <c r="F774" s="1909" t="s">
        <v>4690</v>
      </c>
      <c r="G774" s="1909"/>
      <c r="H774" s="2283" t="s">
        <v>5426</v>
      </c>
      <c r="I774" s="2281"/>
      <c r="J774" s="2282"/>
      <c r="K774" s="2283" t="s">
        <v>5429</v>
      </c>
      <c r="L774" s="2282"/>
      <c r="M774" s="1909" t="e">
        <f>VLOOKUP(K774,'Estimate Details'!$R:$BR,20,FALSE)</f>
        <v>#N/A</v>
      </c>
      <c r="N774" s="1909" t="e">
        <f>VLOOKUP(M774,#REF!,2,FALSE)</f>
        <v>#N/A</v>
      </c>
      <c r="O774" s="1909" t="s">
        <v>4700</v>
      </c>
      <c r="P774" s="2284" t="s">
        <v>3687</v>
      </c>
      <c r="Q774" s="2281"/>
      <c r="R774" s="2282"/>
      <c r="S774" s="1909" t="s">
        <v>3688</v>
      </c>
      <c r="T774" s="1909" t="s">
        <v>3706</v>
      </c>
      <c r="U774" s="1909" t="s">
        <v>3690</v>
      </c>
      <c r="V774" s="1909" t="s">
        <v>3691</v>
      </c>
      <c r="W774" s="1909" t="s">
        <v>3688</v>
      </c>
      <c r="X774" s="1909"/>
      <c r="Y774" s="1909"/>
      <c r="Z774" s="1909"/>
      <c r="AA774" s="1909" t="s">
        <v>3694</v>
      </c>
      <c r="AB774" s="1909" t="s">
        <v>4703</v>
      </c>
      <c r="AC774" s="1909" t="s">
        <v>3696</v>
      </c>
      <c r="AD774" s="2283" t="s">
        <v>3861</v>
      </c>
      <c r="AE774" s="2281"/>
      <c r="AF774" s="2282"/>
      <c r="AG774" s="2283" t="s">
        <v>3696</v>
      </c>
      <c r="AH774" s="2281"/>
      <c r="AI774" s="2282"/>
      <c r="AJ774" s="1909" t="s">
        <v>4704</v>
      </c>
      <c r="AK774" s="2283" t="s">
        <v>5428</v>
      </c>
      <c r="AL774" s="2281"/>
      <c r="AM774" s="2259"/>
      <c r="AN774" s="2281"/>
      <c r="AO774" s="2282"/>
      <c r="AP774" s="1909" t="s">
        <v>3699</v>
      </c>
      <c r="BC774" s="214"/>
      <c r="BD774" s="214"/>
      <c r="BE774" s="214"/>
      <c r="BF774" s="214"/>
    </row>
    <row r="775" spans="1:58" ht="45" hidden="1" customHeight="1">
      <c r="B775" s="2277"/>
      <c r="C775" s="2259"/>
      <c r="D775" s="2260"/>
      <c r="E775" s="1908" t="s">
        <v>3682</v>
      </c>
      <c r="F775" s="1908" t="s">
        <v>4690</v>
      </c>
      <c r="G775" s="1908"/>
      <c r="H775" s="2278" t="s">
        <v>5426</v>
      </c>
      <c r="I775" s="2259"/>
      <c r="J775" s="2260"/>
      <c r="K775" s="2278" t="s">
        <v>5430</v>
      </c>
      <c r="L775" s="2260"/>
      <c r="M775" s="1908" t="e">
        <f>VLOOKUP(K775,'Estimate Details'!$R:$BR,20,FALSE)</f>
        <v>#N/A</v>
      </c>
      <c r="N775" s="1908" t="e">
        <f>VLOOKUP(M775,#REF!,2,FALSE)</f>
        <v>#N/A</v>
      </c>
      <c r="O775" s="1908" t="s">
        <v>4700</v>
      </c>
      <c r="P775" s="2278" t="s">
        <v>3687</v>
      </c>
      <c r="Q775" s="2259"/>
      <c r="R775" s="2260"/>
      <c r="S775" s="1908" t="s">
        <v>3688</v>
      </c>
      <c r="T775" s="1908" t="s">
        <v>3706</v>
      </c>
      <c r="U775" s="1908" t="s">
        <v>3690</v>
      </c>
      <c r="V775" s="1908" t="s">
        <v>3691</v>
      </c>
      <c r="W775" s="1908" t="s">
        <v>3688</v>
      </c>
      <c r="X775" s="1908"/>
      <c r="Y775" s="1908"/>
      <c r="Z775" s="1908"/>
      <c r="AA775" s="1908" t="s">
        <v>3694</v>
      </c>
      <c r="AB775" s="1908" t="s">
        <v>4703</v>
      </c>
      <c r="AC775" s="1908" t="s">
        <v>3696</v>
      </c>
      <c r="AD775" s="2278" t="s">
        <v>3861</v>
      </c>
      <c r="AE775" s="2259"/>
      <c r="AF775" s="2260"/>
      <c r="AG775" s="2278" t="s">
        <v>3696</v>
      </c>
      <c r="AH775" s="2259"/>
      <c r="AI775" s="2260"/>
      <c r="AJ775" s="1908" t="s">
        <v>4704</v>
      </c>
      <c r="AK775" s="2278" t="s">
        <v>5431</v>
      </c>
      <c r="AL775" s="2259"/>
      <c r="AM775" s="2259"/>
      <c r="AN775" s="2259"/>
      <c r="AO775" s="2260"/>
      <c r="AP775" s="1908" t="s">
        <v>3699</v>
      </c>
      <c r="BC775" s="214"/>
      <c r="BD775" s="214"/>
      <c r="BE775" s="214"/>
      <c r="BF775" s="214"/>
    </row>
    <row r="776" spans="1:58" ht="45" hidden="1" customHeight="1">
      <c r="A776" s="808"/>
      <c r="B776" s="2280"/>
      <c r="C776" s="2281"/>
      <c r="D776" s="2282"/>
      <c r="E776" s="1909" t="s">
        <v>3682</v>
      </c>
      <c r="F776" s="1909" t="s">
        <v>4690</v>
      </c>
      <c r="G776" s="1909"/>
      <c r="H776" s="2283" t="s">
        <v>5426</v>
      </c>
      <c r="I776" s="2281"/>
      <c r="J776" s="2282"/>
      <c r="K776" s="2283" t="s">
        <v>5432</v>
      </c>
      <c r="L776" s="2282"/>
      <c r="M776" s="1909" t="e">
        <f>VLOOKUP(K776,'Estimate Details'!$R:$BR,20,FALSE)</f>
        <v>#N/A</v>
      </c>
      <c r="N776" s="1909" t="e">
        <f>VLOOKUP(M776,#REF!,2,FALSE)</f>
        <v>#N/A</v>
      </c>
      <c r="O776" s="1909" t="s">
        <v>4707</v>
      </c>
      <c r="P776" s="2284" t="s">
        <v>3687</v>
      </c>
      <c r="Q776" s="2281"/>
      <c r="R776" s="2282"/>
      <c r="S776" s="1909" t="s">
        <v>3688</v>
      </c>
      <c r="T776" s="1909" t="s">
        <v>3706</v>
      </c>
      <c r="U776" s="1909" t="s">
        <v>3690</v>
      </c>
      <c r="V776" s="1909" t="s">
        <v>3691</v>
      </c>
      <c r="W776" s="1909" t="s">
        <v>3688</v>
      </c>
      <c r="X776" s="1909" t="s">
        <v>4708</v>
      </c>
      <c r="Y776" s="1909" t="s">
        <v>4709</v>
      </c>
      <c r="Z776" s="1909"/>
      <c r="AA776" s="1909" t="s">
        <v>3694</v>
      </c>
      <c r="AB776" s="1909" t="s">
        <v>4710</v>
      </c>
      <c r="AC776" s="1909" t="s">
        <v>3696</v>
      </c>
      <c r="AD776" s="2283" t="s">
        <v>3861</v>
      </c>
      <c r="AE776" s="2281"/>
      <c r="AF776" s="2282"/>
      <c r="AG776" s="2283" t="s">
        <v>3696</v>
      </c>
      <c r="AH776" s="2281"/>
      <c r="AI776" s="2282"/>
      <c r="AJ776" s="1909" t="s">
        <v>4704</v>
      </c>
      <c r="AK776" s="2283" t="s">
        <v>4711</v>
      </c>
      <c r="AL776" s="2281"/>
      <c r="AM776" s="2259"/>
      <c r="AN776" s="2281"/>
      <c r="AO776" s="2282"/>
      <c r="AP776" s="1909" t="s">
        <v>3699</v>
      </c>
      <c r="BC776" s="214"/>
      <c r="BD776" s="214"/>
      <c r="BE776" s="214"/>
      <c r="BF776" s="214"/>
    </row>
    <row r="777" spans="1:58" ht="45" hidden="1" customHeight="1">
      <c r="B777" s="2277"/>
      <c r="C777" s="2259"/>
      <c r="D777" s="2260"/>
      <c r="E777" s="1908" t="s">
        <v>3682</v>
      </c>
      <c r="F777" s="1908" t="s">
        <v>4690</v>
      </c>
      <c r="G777" s="1908"/>
      <c r="H777" s="2278" t="s">
        <v>5426</v>
      </c>
      <c r="I777" s="2259"/>
      <c r="J777" s="2260"/>
      <c r="K777" s="2278" t="s">
        <v>5433</v>
      </c>
      <c r="L777" s="2260"/>
      <c r="M777" s="1908" t="e">
        <f>VLOOKUP(K777,'Estimate Details'!$R:$BR,20,FALSE)</f>
        <v>#N/A</v>
      </c>
      <c r="N777" s="1908" t="e">
        <f>VLOOKUP(M777,#REF!,2,FALSE)</f>
        <v>#N/A</v>
      </c>
      <c r="O777" s="1908" t="s">
        <v>4707</v>
      </c>
      <c r="P777" s="2278" t="s">
        <v>3687</v>
      </c>
      <c r="Q777" s="2259"/>
      <c r="R777" s="2260"/>
      <c r="S777" s="1908" t="s">
        <v>3688</v>
      </c>
      <c r="T777" s="1908" t="s">
        <v>3706</v>
      </c>
      <c r="U777" s="1908" t="s">
        <v>3690</v>
      </c>
      <c r="V777" s="1908" t="s">
        <v>3691</v>
      </c>
      <c r="W777" s="1908" t="s">
        <v>3688</v>
      </c>
      <c r="X777" s="1908" t="s">
        <v>4708</v>
      </c>
      <c r="Y777" s="1908" t="s">
        <v>4709</v>
      </c>
      <c r="Z777" s="1908"/>
      <c r="AA777" s="1908" t="s">
        <v>3694</v>
      </c>
      <c r="AB777" s="1908" t="s">
        <v>4710</v>
      </c>
      <c r="AC777" s="1908" t="s">
        <v>3696</v>
      </c>
      <c r="AD777" s="2278" t="s">
        <v>3861</v>
      </c>
      <c r="AE777" s="2259"/>
      <c r="AF777" s="2260"/>
      <c r="AG777" s="2278" t="s">
        <v>3696</v>
      </c>
      <c r="AH777" s="2259"/>
      <c r="AI777" s="2260"/>
      <c r="AJ777" s="1908" t="s">
        <v>4704</v>
      </c>
      <c r="AK777" s="2278" t="s">
        <v>4711</v>
      </c>
      <c r="AL777" s="2259"/>
      <c r="AM777" s="2259"/>
      <c r="AN777" s="2259"/>
      <c r="AO777" s="2260"/>
      <c r="AP777" s="1908" t="s">
        <v>3699</v>
      </c>
      <c r="BC777" s="214"/>
      <c r="BD777" s="214"/>
      <c r="BE777" s="214"/>
      <c r="BF777" s="214"/>
    </row>
    <row r="778" spans="1:58" ht="45" hidden="1" customHeight="1">
      <c r="A778" s="808"/>
      <c r="B778" s="2280"/>
      <c r="C778" s="2281"/>
      <c r="D778" s="2282"/>
      <c r="E778" s="1909" t="s">
        <v>3682</v>
      </c>
      <c r="F778" s="1909" t="s">
        <v>4690</v>
      </c>
      <c r="G778" s="1909"/>
      <c r="H778" s="2283" t="s">
        <v>5426</v>
      </c>
      <c r="I778" s="2281"/>
      <c r="J778" s="2282"/>
      <c r="K778" s="2283" t="s">
        <v>5434</v>
      </c>
      <c r="L778" s="2282"/>
      <c r="M778" s="1909" t="e">
        <f>VLOOKUP(K778,'Estimate Details'!$R:$BR,20,FALSE)</f>
        <v>#N/A</v>
      </c>
      <c r="N778" s="1909" t="e">
        <f>VLOOKUP(M778,#REF!,2,FALSE)</f>
        <v>#N/A</v>
      </c>
      <c r="O778" s="1909" t="s">
        <v>5435</v>
      </c>
      <c r="P778" s="2284" t="s">
        <v>3687</v>
      </c>
      <c r="Q778" s="2281"/>
      <c r="R778" s="2282"/>
      <c r="S778" s="1909" t="s">
        <v>3688</v>
      </c>
      <c r="T778" s="1909" t="s">
        <v>3706</v>
      </c>
      <c r="U778" s="1909" t="s">
        <v>3690</v>
      </c>
      <c r="V778" s="1909" t="s">
        <v>3691</v>
      </c>
      <c r="W778" s="1909" t="s">
        <v>3688</v>
      </c>
      <c r="X778" s="1909"/>
      <c r="Y778" s="1909"/>
      <c r="Z778" s="1909"/>
      <c r="AA778" s="1909" t="s">
        <v>3694</v>
      </c>
      <c r="AB778" s="1909" t="s">
        <v>5436</v>
      </c>
      <c r="AC778" s="1909" t="s">
        <v>3696</v>
      </c>
      <c r="AD778" s="2283" t="s">
        <v>5437</v>
      </c>
      <c r="AE778" s="2281"/>
      <c r="AF778" s="2282"/>
      <c r="AG778" s="2283" t="s">
        <v>3696</v>
      </c>
      <c r="AH778" s="2281"/>
      <c r="AI778" s="2282"/>
      <c r="AJ778" s="1909" t="s">
        <v>3770</v>
      </c>
      <c r="AK778" s="2283" t="s">
        <v>5438</v>
      </c>
      <c r="AL778" s="2281"/>
      <c r="AM778" s="2259"/>
      <c r="AN778" s="2281"/>
      <c r="AO778" s="2282"/>
      <c r="AP778" s="1909" t="s">
        <v>3699</v>
      </c>
      <c r="BC778" s="214"/>
      <c r="BD778" s="214"/>
      <c r="BE778" s="214"/>
      <c r="BF778" s="214"/>
    </row>
    <row r="779" spans="1:58" ht="45" hidden="1" customHeight="1">
      <c r="B779" s="2277"/>
      <c r="C779" s="2259"/>
      <c r="D779" s="2260"/>
      <c r="E779" s="1908" t="s">
        <v>3682</v>
      </c>
      <c r="F779" s="1908" t="s">
        <v>4690</v>
      </c>
      <c r="G779" s="1908"/>
      <c r="H779" s="2278" t="s">
        <v>5426</v>
      </c>
      <c r="I779" s="2259"/>
      <c r="J779" s="2260"/>
      <c r="K779" s="2278" t="s">
        <v>5439</v>
      </c>
      <c r="L779" s="2260"/>
      <c r="M779" s="1908" t="e">
        <f>VLOOKUP(K779,'Estimate Details'!$R:$BR,20,FALSE)</f>
        <v>#N/A</v>
      </c>
      <c r="N779" s="1908" t="e">
        <f>VLOOKUP(M779,#REF!,2,FALSE)</f>
        <v>#N/A</v>
      </c>
      <c r="O779" s="1908" t="s">
        <v>5440</v>
      </c>
      <c r="P779" s="2278" t="s">
        <v>3687</v>
      </c>
      <c r="Q779" s="2259"/>
      <c r="R779" s="2260"/>
      <c r="S779" s="1908" t="s">
        <v>3688</v>
      </c>
      <c r="T779" s="1908" t="s">
        <v>3706</v>
      </c>
      <c r="U779" s="1908" t="s">
        <v>3690</v>
      </c>
      <c r="V779" s="1908" t="s">
        <v>3691</v>
      </c>
      <c r="W779" s="1908" t="s">
        <v>3688</v>
      </c>
      <c r="X779" s="1908"/>
      <c r="Y779" s="1908" t="s">
        <v>5441</v>
      </c>
      <c r="Z779" s="1908"/>
      <c r="AA779" s="1908" t="s">
        <v>3694</v>
      </c>
      <c r="AB779" s="1908" t="s">
        <v>4655</v>
      </c>
      <c r="AC779" s="1908" t="s">
        <v>3696</v>
      </c>
      <c r="AD779" s="2278" t="s">
        <v>5442</v>
      </c>
      <c r="AE779" s="2259"/>
      <c r="AF779" s="2260"/>
      <c r="AG779" s="2278" t="s">
        <v>3696</v>
      </c>
      <c r="AH779" s="2259"/>
      <c r="AI779" s="2260"/>
      <c r="AJ779" s="1908" t="s">
        <v>3854</v>
      </c>
      <c r="AK779" s="2278" t="s">
        <v>5443</v>
      </c>
      <c r="AL779" s="2259"/>
      <c r="AM779" s="2259"/>
      <c r="AN779" s="2259"/>
      <c r="AO779" s="2260"/>
      <c r="AP779" s="1908" t="s">
        <v>3699</v>
      </c>
      <c r="BC779" s="214"/>
      <c r="BD779" s="214"/>
      <c r="BE779" s="214"/>
      <c r="BF779" s="214"/>
    </row>
    <row r="780" spans="1:58" ht="45" hidden="1" customHeight="1">
      <c r="A780" s="808"/>
      <c r="B780" s="2280"/>
      <c r="C780" s="2281"/>
      <c r="D780" s="2282"/>
      <c r="E780" s="1909" t="s">
        <v>3682</v>
      </c>
      <c r="F780" s="1909" t="s">
        <v>4690</v>
      </c>
      <c r="G780" s="1909"/>
      <c r="H780" s="2283" t="s">
        <v>5426</v>
      </c>
      <c r="I780" s="2281"/>
      <c r="J780" s="2282"/>
      <c r="K780" s="2283" t="s">
        <v>5444</v>
      </c>
      <c r="L780" s="2282"/>
      <c r="M780" s="1909" t="e">
        <f>VLOOKUP(K780,'Estimate Details'!$R:$BR,20,FALSE)</f>
        <v>#N/A</v>
      </c>
      <c r="N780" s="1909" t="e">
        <f>VLOOKUP(M780,#REF!,2,FALSE)</f>
        <v>#N/A</v>
      </c>
      <c r="O780" s="1909" t="s">
        <v>5445</v>
      </c>
      <c r="P780" s="2284" t="s">
        <v>3687</v>
      </c>
      <c r="Q780" s="2281"/>
      <c r="R780" s="2282"/>
      <c r="S780" s="1909" t="s">
        <v>3688</v>
      </c>
      <c r="T780" s="1909" t="s">
        <v>3689</v>
      </c>
      <c r="U780" s="1909" t="s">
        <v>3690</v>
      </c>
      <c r="V780" s="1909" t="s">
        <v>3691</v>
      </c>
      <c r="W780" s="1909" t="s">
        <v>3688</v>
      </c>
      <c r="X780" s="1909" t="s">
        <v>3766</v>
      </c>
      <c r="Y780" s="1909" t="s">
        <v>5446</v>
      </c>
      <c r="Z780" s="1909"/>
      <c r="AA780" s="1909" t="s">
        <v>3694</v>
      </c>
      <c r="AB780" s="1909" t="s">
        <v>5447</v>
      </c>
      <c r="AC780" s="1909" t="s">
        <v>3696</v>
      </c>
      <c r="AD780" s="2283" t="s">
        <v>5448</v>
      </c>
      <c r="AE780" s="2281"/>
      <c r="AF780" s="2282"/>
      <c r="AG780" s="2283" t="s">
        <v>3696</v>
      </c>
      <c r="AH780" s="2281"/>
      <c r="AI780" s="2282"/>
      <c r="AJ780" s="1909" t="s">
        <v>3770</v>
      </c>
      <c r="AK780" s="2283" t="s">
        <v>3771</v>
      </c>
      <c r="AL780" s="2281"/>
      <c r="AM780" s="2259"/>
      <c r="AN780" s="2281"/>
      <c r="AO780" s="2282"/>
      <c r="AP780" s="1909" t="s">
        <v>3699</v>
      </c>
      <c r="BC780" s="214"/>
      <c r="BD780" s="214"/>
      <c r="BE780" s="214"/>
      <c r="BF780" s="214"/>
    </row>
    <row r="781" spans="1:58" ht="45" hidden="1" customHeight="1">
      <c r="B781" s="2277"/>
      <c r="C781" s="2259"/>
      <c r="D781" s="2260"/>
      <c r="E781" s="1908" t="s">
        <v>3682</v>
      </c>
      <c r="F781" s="1908" t="s">
        <v>4690</v>
      </c>
      <c r="G781" s="1908"/>
      <c r="H781" s="2278" t="s">
        <v>5426</v>
      </c>
      <c r="I781" s="2259"/>
      <c r="J781" s="2260"/>
      <c r="K781" s="2278" t="s">
        <v>5449</v>
      </c>
      <c r="L781" s="2260"/>
      <c r="M781" s="1908" t="e">
        <f>VLOOKUP(K781,'Estimate Details'!$R:$BR,20,FALSE)</f>
        <v>#N/A</v>
      </c>
      <c r="N781" s="1908" t="e">
        <f>VLOOKUP(M781,#REF!,2,FALSE)</f>
        <v>#N/A</v>
      </c>
      <c r="O781" s="1908" t="s">
        <v>5445</v>
      </c>
      <c r="P781" s="2278" t="s">
        <v>3687</v>
      </c>
      <c r="Q781" s="2259"/>
      <c r="R781" s="2260"/>
      <c r="S781" s="1908" t="s">
        <v>3688</v>
      </c>
      <c r="T781" s="1908" t="s">
        <v>3689</v>
      </c>
      <c r="U781" s="1908" t="s">
        <v>3690</v>
      </c>
      <c r="V781" s="1908" t="s">
        <v>3691</v>
      </c>
      <c r="W781" s="1908" t="s">
        <v>3688</v>
      </c>
      <c r="X781" s="1908" t="s">
        <v>3766</v>
      </c>
      <c r="Y781" s="1908" t="s">
        <v>5446</v>
      </c>
      <c r="Z781" s="1908"/>
      <c r="AA781" s="1908" t="s">
        <v>3694</v>
      </c>
      <c r="AB781" s="1908" t="s">
        <v>5447</v>
      </c>
      <c r="AC781" s="1908" t="s">
        <v>3696</v>
      </c>
      <c r="AD781" s="2278" t="s">
        <v>5448</v>
      </c>
      <c r="AE781" s="2259"/>
      <c r="AF781" s="2260"/>
      <c r="AG781" s="2278" t="s">
        <v>3696</v>
      </c>
      <c r="AH781" s="2259"/>
      <c r="AI781" s="2260"/>
      <c r="AJ781" s="1908" t="s">
        <v>3770</v>
      </c>
      <c r="AK781" s="2278" t="s">
        <v>3771</v>
      </c>
      <c r="AL781" s="2259"/>
      <c r="AM781" s="2259"/>
      <c r="AN781" s="2259"/>
      <c r="AO781" s="2260"/>
      <c r="AP781" s="1908" t="s">
        <v>3699</v>
      </c>
      <c r="BC781" s="214"/>
      <c r="BD781" s="214"/>
      <c r="BE781" s="214"/>
      <c r="BF781" s="214"/>
    </row>
    <row r="782" spans="1:58" ht="45" hidden="1" customHeight="1">
      <c r="A782" s="808"/>
      <c r="B782" s="2280"/>
      <c r="C782" s="2281"/>
      <c r="D782" s="2282"/>
      <c r="E782" s="1909" t="s">
        <v>3682</v>
      </c>
      <c r="F782" s="1909" t="s">
        <v>4690</v>
      </c>
      <c r="G782" s="1909"/>
      <c r="H782" s="2283" t="s">
        <v>5426</v>
      </c>
      <c r="I782" s="2281"/>
      <c r="J782" s="2282"/>
      <c r="K782" s="2283" t="s">
        <v>5450</v>
      </c>
      <c r="L782" s="2282"/>
      <c r="M782" s="1909" t="e">
        <f>VLOOKUP(K782,'Estimate Details'!$R:$BR,20,FALSE)</f>
        <v>#N/A</v>
      </c>
      <c r="N782" s="1909" t="e">
        <f>VLOOKUP(M782,#REF!,2,FALSE)</f>
        <v>#N/A</v>
      </c>
      <c r="O782" s="1909" t="s">
        <v>5445</v>
      </c>
      <c r="P782" s="2284" t="s">
        <v>3687</v>
      </c>
      <c r="Q782" s="2281"/>
      <c r="R782" s="2282"/>
      <c r="S782" s="1909" t="s">
        <v>3688</v>
      </c>
      <c r="T782" s="1909" t="s">
        <v>3689</v>
      </c>
      <c r="U782" s="1909" t="s">
        <v>3690</v>
      </c>
      <c r="V782" s="1909" t="s">
        <v>3691</v>
      </c>
      <c r="W782" s="1909" t="s">
        <v>3688</v>
      </c>
      <c r="X782" s="1909" t="s">
        <v>3766</v>
      </c>
      <c r="Y782" s="1909" t="s">
        <v>5446</v>
      </c>
      <c r="Z782" s="1909"/>
      <c r="AA782" s="1909" t="s">
        <v>3694</v>
      </c>
      <c r="AB782" s="1909" t="s">
        <v>5447</v>
      </c>
      <c r="AC782" s="1909" t="s">
        <v>3696</v>
      </c>
      <c r="AD782" s="2283" t="s">
        <v>5448</v>
      </c>
      <c r="AE782" s="2281"/>
      <c r="AF782" s="2282"/>
      <c r="AG782" s="2283" t="s">
        <v>3696</v>
      </c>
      <c r="AH782" s="2281"/>
      <c r="AI782" s="2282"/>
      <c r="AJ782" s="1909" t="s">
        <v>3770</v>
      </c>
      <c r="AK782" s="2283" t="s">
        <v>3771</v>
      </c>
      <c r="AL782" s="2281"/>
      <c r="AM782" s="2259"/>
      <c r="AN782" s="2281"/>
      <c r="AO782" s="2282"/>
      <c r="AP782" s="1909" t="s">
        <v>3699</v>
      </c>
      <c r="BC782" s="214"/>
      <c r="BD782" s="214"/>
      <c r="BE782" s="214"/>
      <c r="BF782" s="214"/>
    </row>
    <row r="783" spans="1:58" ht="45" hidden="1" customHeight="1">
      <c r="B783" s="2277"/>
      <c r="C783" s="2259"/>
      <c r="D783" s="2260"/>
      <c r="E783" s="1908" t="s">
        <v>3682</v>
      </c>
      <c r="F783" s="1908" t="s">
        <v>4690</v>
      </c>
      <c r="G783" s="1908"/>
      <c r="H783" s="2278" t="s">
        <v>5451</v>
      </c>
      <c r="I783" s="2259"/>
      <c r="J783" s="2260"/>
      <c r="K783" s="2278" t="s">
        <v>5452</v>
      </c>
      <c r="L783" s="2260"/>
      <c r="M783" s="1908" t="e">
        <f>VLOOKUP(K783,'Estimate Details'!$R:$BR,20,FALSE)</f>
        <v>#N/A</v>
      </c>
      <c r="N783" s="1908" t="e">
        <f>VLOOKUP(M783,#REF!,2,FALSE)</f>
        <v>#N/A</v>
      </c>
      <c r="O783" s="1908" t="s">
        <v>5453</v>
      </c>
      <c r="P783" s="2278" t="s">
        <v>3687</v>
      </c>
      <c r="Q783" s="2259"/>
      <c r="R783" s="2260"/>
      <c r="S783" s="1908" t="s">
        <v>3688</v>
      </c>
      <c r="T783" s="1908" t="s">
        <v>3706</v>
      </c>
      <c r="U783" s="1908" t="s">
        <v>3690</v>
      </c>
      <c r="V783" s="1908" t="s">
        <v>3708</v>
      </c>
      <c r="W783" s="1908" t="s">
        <v>3688</v>
      </c>
      <c r="X783" s="1908" t="s">
        <v>5454</v>
      </c>
      <c r="Y783" s="1908" t="s">
        <v>5455</v>
      </c>
      <c r="Z783" s="1908"/>
      <c r="AA783" s="1908" t="s">
        <v>3694</v>
      </c>
      <c r="AB783" s="1908" t="s">
        <v>5456</v>
      </c>
      <c r="AC783" s="1908" t="s">
        <v>3696</v>
      </c>
      <c r="AD783" s="2278" t="s">
        <v>1</v>
      </c>
      <c r="AE783" s="2259"/>
      <c r="AF783" s="2260"/>
      <c r="AG783" s="2278" t="s">
        <v>3696</v>
      </c>
      <c r="AH783" s="2259"/>
      <c r="AI783" s="2260"/>
      <c r="AJ783" s="1908" t="s">
        <v>3714</v>
      </c>
      <c r="AK783" s="2278" t="s">
        <v>3763</v>
      </c>
      <c r="AL783" s="2259"/>
      <c r="AM783" s="2259"/>
      <c r="AN783" s="2259"/>
      <c r="AO783" s="2260"/>
      <c r="AP783" s="1908" t="s">
        <v>3699</v>
      </c>
      <c r="BC783" s="214"/>
      <c r="BD783" s="214"/>
      <c r="BE783" s="214"/>
      <c r="BF783" s="214"/>
    </row>
    <row r="784" spans="1:58" ht="45" hidden="1" customHeight="1">
      <c r="A784" s="808"/>
      <c r="B784" s="2280"/>
      <c r="C784" s="2281"/>
      <c r="D784" s="2282"/>
      <c r="E784" s="1909" t="s">
        <v>3682</v>
      </c>
      <c r="F784" s="1909" t="s">
        <v>4690</v>
      </c>
      <c r="G784" s="1909"/>
      <c r="H784" s="2283" t="s">
        <v>5451</v>
      </c>
      <c r="I784" s="2281"/>
      <c r="J784" s="2282"/>
      <c r="K784" s="2283" t="s">
        <v>5457</v>
      </c>
      <c r="L784" s="2282"/>
      <c r="M784" s="1909" t="e">
        <f>VLOOKUP(K784,'Estimate Details'!$R:$BR,20,FALSE)</f>
        <v>#N/A</v>
      </c>
      <c r="N784" s="1909" t="e">
        <f>VLOOKUP(M784,#REF!,2,FALSE)</f>
        <v>#N/A</v>
      </c>
      <c r="O784" s="1909" t="s">
        <v>5453</v>
      </c>
      <c r="P784" s="2284" t="s">
        <v>3687</v>
      </c>
      <c r="Q784" s="2281"/>
      <c r="R784" s="2282"/>
      <c r="S784" s="1909" t="s">
        <v>3688</v>
      </c>
      <c r="T784" s="1909" t="s">
        <v>3706</v>
      </c>
      <c r="U784" s="1909" t="s">
        <v>3690</v>
      </c>
      <c r="V784" s="1909" t="s">
        <v>3708</v>
      </c>
      <c r="W784" s="1909" t="s">
        <v>3688</v>
      </c>
      <c r="X784" s="1909" t="s">
        <v>5454</v>
      </c>
      <c r="Y784" s="1909" t="s">
        <v>5455</v>
      </c>
      <c r="Z784" s="1909"/>
      <c r="AA784" s="1909" t="s">
        <v>3694</v>
      </c>
      <c r="AB784" s="1909" t="s">
        <v>5456</v>
      </c>
      <c r="AC784" s="1909" t="s">
        <v>3696</v>
      </c>
      <c r="AD784" s="2283" t="s">
        <v>1</v>
      </c>
      <c r="AE784" s="2281"/>
      <c r="AF784" s="2282"/>
      <c r="AG784" s="2283" t="s">
        <v>3696</v>
      </c>
      <c r="AH784" s="2281"/>
      <c r="AI784" s="2282"/>
      <c r="AJ784" s="1909" t="s">
        <v>3714</v>
      </c>
      <c r="AK784" s="2283" t="s">
        <v>3763</v>
      </c>
      <c r="AL784" s="2281"/>
      <c r="AM784" s="2259"/>
      <c r="AN784" s="2281"/>
      <c r="AO784" s="2282"/>
      <c r="AP784" s="1909" t="s">
        <v>3699</v>
      </c>
      <c r="BC784" s="214"/>
      <c r="BD784" s="214"/>
      <c r="BE784" s="214"/>
      <c r="BF784" s="214"/>
    </row>
    <row r="785" spans="1:58" ht="45" hidden="1" customHeight="1">
      <c r="B785" s="2277"/>
      <c r="C785" s="2259"/>
      <c r="D785" s="2260"/>
      <c r="E785" s="1908" t="s">
        <v>3682</v>
      </c>
      <c r="F785" s="1908" t="s">
        <v>4690</v>
      </c>
      <c r="G785" s="1908"/>
      <c r="H785" s="2278" t="s">
        <v>5451</v>
      </c>
      <c r="I785" s="2259"/>
      <c r="J785" s="2260"/>
      <c r="K785" s="2278" t="s">
        <v>5458</v>
      </c>
      <c r="L785" s="2260"/>
      <c r="M785" s="1908" t="e">
        <f>VLOOKUP(K785,'Estimate Details'!$R:$BR,20,FALSE)</f>
        <v>#N/A</v>
      </c>
      <c r="N785" s="1908" t="e">
        <f>VLOOKUP(M785,#REF!,2,FALSE)</f>
        <v>#N/A</v>
      </c>
      <c r="O785" s="1908" t="s">
        <v>5453</v>
      </c>
      <c r="P785" s="2278" t="s">
        <v>3687</v>
      </c>
      <c r="Q785" s="2259"/>
      <c r="R785" s="2260"/>
      <c r="S785" s="1908" t="s">
        <v>3688</v>
      </c>
      <c r="T785" s="1908" t="s">
        <v>3689</v>
      </c>
      <c r="U785" s="1908" t="s">
        <v>3690</v>
      </c>
      <c r="V785" s="1908" t="s">
        <v>3708</v>
      </c>
      <c r="W785" s="1908" t="s">
        <v>3688</v>
      </c>
      <c r="X785" s="1908" t="s">
        <v>5454</v>
      </c>
      <c r="Y785" s="1908" t="s">
        <v>5455</v>
      </c>
      <c r="Z785" s="1908"/>
      <c r="AA785" s="1908" t="s">
        <v>3694</v>
      </c>
      <c r="AB785" s="1908" t="s">
        <v>5456</v>
      </c>
      <c r="AC785" s="1908" t="s">
        <v>3696</v>
      </c>
      <c r="AD785" s="2278" t="s">
        <v>5459</v>
      </c>
      <c r="AE785" s="2259"/>
      <c r="AF785" s="2260"/>
      <c r="AG785" s="2278" t="s">
        <v>3696</v>
      </c>
      <c r="AH785" s="2259"/>
      <c r="AI785" s="2260"/>
      <c r="AJ785" s="1908" t="s">
        <v>3714</v>
      </c>
      <c r="AK785" s="2278" t="s">
        <v>5460</v>
      </c>
      <c r="AL785" s="2259"/>
      <c r="AM785" s="2259"/>
      <c r="AN785" s="2259"/>
      <c r="AO785" s="2260"/>
      <c r="AP785" s="1908" t="s">
        <v>3699</v>
      </c>
      <c r="BC785" s="214"/>
      <c r="BD785" s="214"/>
      <c r="BE785" s="214"/>
      <c r="BF785" s="214"/>
    </row>
    <row r="786" spans="1:58" ht="45" hidden="1" customHeight="1">
      <c r="A786" s="808"/>
      <c r="B786" s="2280"/>
      <c r="C786" s="2281"/>
      <c r="D786" s="2282"/>
      <c r="E786" s="1909" t="s">
        <v>3682</v>
      </c>
      <c r="F786" s="1909" t="s">
        <v>4690</v>
      </c>
      <c r="G786" s="1909"/>
      <c r="H786" s="2283" t="s">
        <v>5451</v>
      </c>
      <c r="I786" s="2281"/>
      <c r="J786" s="2282"/>
      <c r="K786" s="2283" t="s">
        <v>5461</v>
      </c>
      <c r="L786" s="2282"/>
      <c r="M786" s="1909" t="e">
        <f>VLOOKUP(K786,'Estimate Details'!$R:$BR,20,FALSE)</f>
        <v>#N/A</v>
      </c>
      <c r="N786" s="1909" t="e">
        <f>VLOOKUP(M786,#REF!,2,FALSE)</f>
        <v>#N/A</v>
      </c>
      <c r="O786" s="1909" t="s">
        <v>5462</v>
      </c>
      <c r="P786" s="2284" t="s">
        <v>3687</v>
      </c>
      <c r="Q786" s="2281"/>
      <c r="R786" s="2282"/>
      <c r="S786" s="1909" t="s">
        <v>3688</v>
      </c>
      <c r="T786" s="1909" t="s">
        <v>3689</v>
      </c>
      <c r="U786" s="1909" t="s">
        <v>3690</v>
      </c>
      <c r="V786" s="1909" t="s">
        <v>3708</v>
      </c>
      <c r="W786" s="1909" t="s">
        <v>3688</v>
      </c>
      <c r="X786" s="1909" t="s">
        <v>3784</v>
      </c>
      <c r="Y786" s="1909" t="s">
        <v>3785</v>
      </c>
      <c r="Z786" s="1909"/>
      <c r="AA786" s="1909" t="s">
        <v>3694</v>
      </c>
      <c r="AB786" s="1909" t="s">
        <v>3786</v>
      </c>
      <c r="AC786" s="1909" t="s">
        <v>3696</v>
      </c>
      <c r="AD786" s="2283" t="s">
        <v>1</v>
      </c>
      <c r="AE786" s="2281"/>
      <c r="AF786" s="2282"/>
      <c r="AG786" s="2283" t="s">
        <v>3696</v>
      </c>
      <c r="AH786" s="2281"/>
      <c r="AI786" s="2282"/>
      <c r="AJ786" s="1909" t="s">
        <v>3714</v>
      </c>
      <c r="AK786" s="2283" t="s">
        <v>3842</v>
      </c>
      <c r="AL786" s="2281"/>
      <c r="AM786" s="2259"/>
      <c r="AN786" s="2281"/>
      <c r="AO786" s="2282"/>
      <c r="AP786" s="1909" t="s">
        <v>3699</v>
      </c>
      <c r="BC786" s="214"/>
      <c r="BD786" s="214"/>
      <c r="BE786" s="214"/>
      <c r="BF786" s="214"/>
    </row>
    <row r="787" spans="1:58" ht="45" hidden="1" customHeight="1">
      <c r="B787" s="2277"/>
      <c r="C787" s="2259"/>
      <c r="D787" s="2260"/>
      <c r="E787" s="1908" t="s">
        <v>3682</v>
      </c>
      <c r="F787" s="1908" t="s">
        <v>4690</v>
      </c>
      <c r="G787" s="1908"/>
      <c r="H787" s="2278" t="s">
        <v>5451</v>
      </c>
      <c r="I787" s="2259"/>
      <c r="J787" s="2260"/>
      <c r="K787" s="2278" t="s">
        <v>5463</v>
      </c>
      <c r="L787" s="2260"/>
      <c r="M787" s="1908" t="e">
        <f>VLOOKUP(K787,'Estimate Details'!$R:$BR,20,FALSE)</f>
        <v>#N/A</v>
      </c>
      <c r="N787" s="1908" t="e">
        <f>VLOOKUP(M787,#REF!,2,FALSE)</f>
        <v>#N/A</v>
      </c>
      <c r="O787" s="1908" t="s">
        <v>5464</v>
      </c>
      <c r="P787" s="2278" t="s">
        <v>3687</v>
      </c>
      <c r="Q787" s="2259"/>
      <c r="R787" s="2260"/>
      <c r="S787" s="1908" t="s">
        <v>3688</v>
      </c>
      <c r="T787" s="1908" t="s">
        <v>3706</v>
      </c>
      <c r="U787" s="1908" t="s">
        <v>3690</v>
      </c>
      <c r="V787" s="1908" t="s">
        <v>3708</v>
      </c>
      <c r="W787" s="1908" t="s">
        <v>3688</v>
      </c>
      <c r="X787" s="1908" t="s">
        <v>5465</v>
      </c>
      <c r="Y787" s="1908" t="s">
        <v>5466</v>
      </c>
      <c r="Z787" s="1908"/>
      <c r="AA787" s="1908" t="s">
        <v>3694</v>
      </c>
      <c r="AB787" s="1908" t="s">
        <v>3835</v>
      </c>
      <c r="AC787" s="1908" t="s">
        <v>3696</v>
      </c>
      <c r="AD787" s="2278" t="s">
        <v>5467</v>
      </c>
      <c r="AE787" s="2259"/>
      <c r="AF787" s="2260"/>
      <c r="AG787" s="2278" t="s">
        <v>3696</v>
      </c>
      <c r="AH787" s="2259"/>
      <c r="AI787" s="2260"/>
      <c r="AJ787" s="1908" t="s">
        <v>3714</v>
      </c>
      <c r="AK787" s="2278" t="s">
        <v>5468</v>
      </c>
      <c r="AL787" s="2259"/>
      <c r="AM787" s="2259"/>
      <c r="AN787" s="2259"/>
      <c r="AO787" s="2260"/>
      <c r="AP787" s="1908" t="s">
        <v>3699</v>
      </c>
      <c r="BC787" s="214"/>
      <c r="BD787" s="214"/>
      <c r="BE787" s="214"/>
      <c r="BF787" s="214"/>
    </row>
    <row r="788" spans="1:58" ht="45" hidden="1" customHeight="1">
      <c r="A788" s="808"/>
      <c r="B788" s="2280"/>
      <c r="C788" s="2281"/>
      <c r="D788" s="2282"/>
      <c r="E788" s="1909" t="s">
        <v>3682</v>
      </c>
      <c r="F788" s="1909" t="s">
        <v>4690</v>
      </c>
      <c r="G788" s="1909"/>
      <c r="H788" s="2283" t="s">
        <v>5451</v>
      </c>
      <c r="I788" s="2281"/>
      <c r="J788" s="2282"/>
      <c r="K788" s="2283" t="s">
        <v>5469</v>
      </c>
      <c r="L788" s="2282"/>
      <c r="M788" s="1909" t="e">
        <f>VLOOKUP(K788,'Estimate Details'!$R:$BR,20,FALSE)</f>
        <v>#N/A</v>
      </c>
      <c r="N788" s="1909" t="e">
        <f>VLOOKUP(M788,#REF!,2,FALSE)</f>
        <v>#N/A</v>
      </c>
      <c r="O788" s="1909" t="s">
        <v>5464</v>
      </c>
      <c r="P788" s="2284" t="s">
        <v>3687</v>
      </c>
      <c r="Q788" s="2281"/>
      <c r="R788" s="2282"/>
      <c r="S788" s="1909" t="s">
        <v>3688</v>
      </c>
      <c r="T788" s="1909" t="s">
        <v>3706</v>
      </c>
      <c r="U788" s="1909" t="s">
        <v>3690</v>
      </c>
      <c r="V788" s="1909" t="s">
        <v>3708</v>
      </c>
      <c r="W788" s="1909" t="s">
        <v>3688</v>
      </c>
      <c r="X788" s="1909" t="s">
        <v>5465</v>
      </c>
      <c r="Y788" s="1909" t="s">
        <v>5466</v>
      </c>
      <c r="Z788" s="1909"/>
      <c r="AA788" s="1909" t="s">
        <v>3694</v>
      </c>
      <c r="AB788" s="1909" t="s">
        <v>3835</v>
      </c>
      <c r="AC788" s="1909" t="s">
        <v>3696</v>
      </c>
      <c r="AD788" s="2283" t="s">
        <v>5470</v>
      </c>
      <c r="AE788" s="2281"/>
      <c r="AF788" s="2282"/>
      <c r="AG788" s="2283" t="s">
        <v>3696</v>
      </c>
      <c r="AH788" s="2281"/>
      <c r="AI788" s="2282"/>
      <c r="AJ788" s="1909" t="s">
        <v>3714</v>
      </c>
      <c r="AK788" s="2283" t="s">
        <v>5471</v>
      </c>
      <c r="AL788" s="2281"/>
      <c r="AM788" s="2259"/>
      <c r="AN788" s="2281"/>
      <c r="AO788" s="2282"/>
      <c r="AP788" s="1909" t="s">
        <v>3699</v>
      </c>
      <c r="BC788" s="214"/>
      <c r="BD788" s="214"/>
      <c r="BE788" s="214"/>
      <c r="BF788" s="214"/>
    </row>
    <row r="789" spans="1:58" ht="45" hidden="1" customHeight="1">
      <c r="B789" s="2277"/>
      <c r="C789" s="2259"/>
      <c r="D789" s="2260"/>
      <c r="E789" s="1908" t="s">
        <v>3682</v>
      </c>
      <c r="F789" s="1908" t="s">
        <v>4690</v>
      </c>
      <c r="G789" s="1908"/>
      <c r="H789" s="2278" t="s">
        <v>5451</v>
      </c>
      <c r="I789" s="2259"/>
      <c r="J789" s="2260"/>
      <c r="K789" s="2278" t="s">
        <v>5472</v>
      </c>
      <c r="L789" s="2260"/>
      <c r="M789" s="1908" t="e">
        <f>VLOOKUP(K789,'Estimate Details'!$R:$BR,20,FALSE)</f>
        <v>#N/A</v>
      </c>
      <c r="N789" s="1908" t="e">
        <f>VLOOKUP(M789,#REF!,2,FALSE)</f>
        <v>#N/A</v>
      </c>
      <c r="O789" s="1908" t="s">
        <v>3844</v>
      </c>
      <c r="P789" s="2278" t="s">
        <v>3687</v>
      </c>
      <c r="Q789" s="2259"/>
      <c r="R789" s="2260"/>
      <c r="S789" s="1908" t="s">
        <v>3688</v>
      </c>
      <c r="T789" s="1908" t="s">
        <v>3706</v>
      </c>
      <c r="U789" s="1908" t="s">
        <v>3690</v>
      </c>
      <c r="V789" s="1908" t="s">
        <v>3708</v>
      </c>
      <c r="W789" s="1908" t="s">
        <v>3688</v>
      </c>
      <c r="X789" s="1908" t="s">
        <v>3845</v>
      </c>
      <c r="Y789" s="1908" t="s">
        <v>3846</v>
      </c>
      <c r="Z789" s="1908"/>
      <c r="AA789" s="1908" t="s">
        <v>3694</v>
      </c>
      <c r="AB789" s="1908" t="s">
        <v>3847</v>
      </c>
      <c r="AC789" s="1908" t="s">
        <v>3696</v>
      </c>
      <c r="AD789" s="2278" t="s">
        <v>3848</v>
      </c>
      <c r="AE789" s="2259"/>
      <c r="AF789" s="2260"/>
      <c r="AG789" s="2278" t="s">
        <v>3696</v>
      </c>
      <c r="AH789" s="2259"/>
      <c r="AI789" s="2260"/>
      <c r="AJ789" s="1908" t="s">
        <v>3714</v>
      </c>
      <c r="AK789" s="2278" t="s">
        <v>3849</v>
      </c>
      <c r="AL789" s="2259"/>
      <c r="AM789" s="2259"/>
      <c r="AN789" s="2259"/>
      <c r="AO789" s="2260"/>
      <c r="AP789" s="1908" t="s">
        <v>3699</v>
      </c>
      <c r="BC789" s="214"/>
      <c r="BD789" s="214"/>
      <c r="BE789" s="214"/>
      <c r="BF789" s="214"/>
    </row>
    <row r="790" spans="1:58" ht="45" hidden="1" customHeight="1">
      <c r="A790" s="808"/>
      <c r="B790" s="2280"/>
      <c r="C790" s="2281"/>
      <c r="D790" s="2282"/>
      <c r="E790" s="1909" t="s">
        <v>3682</v>
      </c>
      <c r="F790" s="1909" t="s">
        <v>4690</v>
      </c>
      <c r="G790" s="1909"/>
      <c r="H790" s="2283" t="s">
        <v>5451</v>
      </c>
      <c r="I790" s="2281"/>
      <c r="J790" s="2282"/>
      <c r="K790" s="2283" t="s">
        <v>5473</v>
      </c>
      <c r="L790" s="2282"/>
      <c r="M790" s="1909" t="e">
        <f>VLOOKUP(K790,'Estimate Details'!$R:$BR,20,FALSE)</f>
        <v>#N/A</v>
      </c>
      <c r="N790" s="1909" t="e">
        <f>VLOOKUP(M790,#REF!,2,FALSE)</f>
        <v>#N/A</v>
      </c>
      <c r="O790" s="1909" t="s">
        <v>3844</v>
      </c>
      <c r="P790" s="2284" t="s">
        <v>3687</v>
      </c>
      <c r="Q790" s="2281"/>
      <c r="R790" s="2282"/>
      <c r="S790" s="1909" t="s">
        <v>3688</v>
      </c>
      <c r="T790" s="1909" t="s">
        <v>3706</v>
      </c>
      <c r="U790" s="1909" t="s">
        <v>3690</v>
      </c>
      <c r="V790" s="1909" t="s">
        <v>3708</v>
      </c>
      <c r="W790" s="1909" t="s">
        <v>3688</v>
      </c>
      <c r="X790" s="1909" t="s">
        <v>3845</v>
      </c>
      <c r="Y790" s="1909" t="s">
        <v>3846</v>
      </c>
      <c r="Z790" s="1909"/>
      <c r="AA790" s="1909" t="s">
        <v>3694</v>
      </c>
      <c r="AB790" s="1909" t="s">
        <v>3847</v>
      </c>
      <c r="AC790" s="1909" t="s">
        <v>3696</v>
      </c>
      <c r="AD790" s="2283" t="s">
        <v>3848</v>
      </c>
      <c r="AE790" s="2281"/>
      <c r="AF790" s="2282"/>
      <c r="AG790" s="2283" t="s">
        <v>3696</v>
      </c>
      <c r="AH790" s="2281"/>
      <c r="AI790" s="2282"/>
      <c r="AJ790" s="1909" t="s">
        <v>3714</v>
      </c>
      <c r="AK790" s="2283" t="s">
        <v>3849</v>
      </c>
      <c r="AL790" s="2281"/>
      <c r="AM790" s="2259"/>
      <c r="AN790" s="2281"/>
      <c r="AO790" s="2282"/>
      <c r="AP790" s="1909" t="s">
        <v>3699</v>
      </c>
      <c r="BC790" s="214"/>
      <c r="BD790" s="214"/>
      <c r="BE790" s="214"/>
      <c r="BF790" s="214"/>
    </row>
    <row r="791" spans="1:58" ht="45" hidden="1" customHeight="1">
      <c r="B791" s="2277"/>
      <c r="C791" s="2259"/>
      <c r="D791" s="2260"/>
      <c r="E791" s="1908" t="s">
        <v>3682</v>
      </c>
      <c r="F791" s="1908" t="s">
        <v>4690</v>
      </c>
      <c r="G791" s="1908"/>
      <c r="H791" s="2278" t="s">
        <v>5474</v>
      </c>
      <c r="I791" s="2259"/>
      <c r="J791" s="2260"/>
      <c r="K791" s="2278" t="s">
        <v>5475</v>
      </c>
      <c r="L791" s="2260"/>
      <c r="M791" s="1908" t="e">
        <f>VLOOKUP(K791,'Estimate Details'!$R:$BR,20,FALSE)</f>
        <v>#N/A</v>
      </c>
      <c r="N791" s="1908" t="e">
        <f>VLOOKUP(M791,#REF!,2,FALSE)</f>
        <v>#N/A</v>
      </c>
      <c r="O791" s="1908" t="s">
        <v>5276</v>
      </c>
      <c r="P791" s="2278" t="s">
        <v>4130</v>
      </c>
      <c r="Q791" s="2259"/>
      <c r="R791" s="2260"/>
      <c r="S791" s="1908" t="s">
        <v>3688</v>
      </c>
      <c r="T791" s="1908" t="s">
        <v>3689</v>
      </c>
      <c r="U791" s="1908" t="s">
        <v>3690</v>
      </c>
      <c r="V791" s="1908" t="s">
        <v>4147</v>
      </c>
      <c r="W791" s="1908" t="s">
        <v>3688</v>
      </c>
      <c r="X791" s="1908" t="s">
        <v>4148</v>
      </c>
      <c r="Y791" s="1908"/>
      <c r="Z791" s="1908"/>
      <c r="AA791" s="1908" t="s">
        <v>3694</v>
      </c>
      <c r="AB791" s="1908" t="s">
        <v>4149</v>
      </c>
      <c r="AC791" s="1908" t="s">
        <v>4150</v>
      </c>
      <c r="AD791" s="2278" t="s">
        <v>4151</v>
      </c>
      <c r="AE791" s="2259"/>
      <c r="AF791" s="2260"/>
      <c r="AG791" s="2278" t="s">
        <v>3696</v>
      </c>
      <c r="AH791" s="2259"/>
      <c r="AI791" s="2260"/>
      <c r="AJ791" s="1908" t="s">
        <v>4153</v>
      </c>
      <c r="AK791" s="2278" t="s">
        <v>4154</v>
      </c>
      <c r="AL791" s="2259"/>
      <c r="AM791" s="2259"/>
      <c r="AN791" s="2259"/>
      <c r="AO791" s="2260"/>
      <c r="AP791" s="1908" t="s">
        <v>3699</v>
      </c>
      <c r="BC791" s="214"/>
      <c r="BD791" s="214"/>
      <c r="BE791" s="214"/>
      <c r="BF791" s="214"/>
    </row>
    <row r="792" spans="1:58" ht="45" hidden="1" customHeight="1">
      <c r="A792" s="808"/>
      <c r="B792" s="2280"/>
      <c r="C792" s="2281"/>
      <c r="D792" s="2282"/>
      <c r="E792" s="1909" t="s">
        <v>3682</v>
      </c>
      <c r="F792" s="1911" t="s">
        <v>3688</v>
      </c>
      <c r="G792" s="1911"/>
      <c r="H792" s="2286" t="s">
        <v>5474</v>
      </c>
      <c r="I792" s="2281"/>
      <c r="J792" s="2282"/>
      <c r="K792" s="2286" t="s">
        <v>5476</v>
      </c>
      <c r="L792" s="2282"/>
      <c r="M792" s="1911" t="e">
        <f>VLOOKUP(K792,'Estimate Details'!$R:$BR,20,FALSE)</f>
        <v>#N/A</v>
      </c>
      <c r="N792" s="1911" t="e">
        <f>VLOOKUP(M792,#REF!,2,FALSE)</f>
        <v>#N/A</v>
      </c>
      <c r="O792" s="1911" t="s">
        <v>4156</v>
      </c>
      <c r="P792" s="2287" t="s">
        <v>3688</v>
      </c>
      <c r="Q792" s="2281"/>
      <c r="R792" s="2282"/>
      <c r="S792" s="1911" t="s">
        <v>5477</v>
      </c>
      <c r="T792" s="1911" t="s">
        <v>3689</v>
      </c>
      <c r="U792" s="1911" t="s">
        <v>3688</v>
      </c>
      <c r="V792" s="1911" t="s">
        <v>3688</v>
      </c>
      <c r="W792" s="1911" t="s">
        <v>3688</v>
      </c>
      <c r="X792" s="1911"/>
      <c r="Y792" s="1911"/>
      <c r="Z792" s="1911"/>
      <c r="AA792" s="1911" t="s">
        <v>3694</v>
      </c>
      <c r="AB792" s="1911" t="s">
        <v>3688</v>
      </c>
      <c r="AC792" s="1911" t="s">
        <v>4105</v>
      </c>
      <c r="AD792" s="2286" t="s">
        <v>3688</v>
      </c>
      <c r="AE792" s="2281"/>
      <c r="AF792" s="2282"/>
      <c r="AG792" s="2286" t="s">
        <v>3696</v>
      </c>
      <c r="AH792" s="2281"/>
      <c r="AI792" s="2282"/>
      <c r="AJ792" s="1911" t="s">
        <v>4158</v>
      </c>
      <c r="AK792" s="2286" t="s">
        <v>3688</v>
      </c>
      <c r="AL792" s="2281"/>
      <c r="AM792" s="2259"/>
      <c r="AN792" s="2281"/>
      <c r="AO792" s="2282"/>
      <c r="AP792" s="1911" t="s">
        <v>3688</v>
      </c>
      <c r="BC792" s="214"/>
      <c r="BD792" s="214"/>
      <c r="BE792" s="214"/>
      <c r="BF792" s="214"/>
    </row>
    <row r="793" spans="1:58" ht="45" hidden="1" customHeight="1">
      <c r="B793" s="2277"/>
      <c r="C793" s="2259"/>
      <c r="D793" s="2260"/>
      <c r="E793" s="1908" t="s">
        <v>3682</v>
      </c>
      <c r="F793" s="1908" t="s">
        <v>4690</v>
      </c>
      <c r="G793" s="1908"/>
      <c r="H793" s="2278" t="s">
        <v>5474</v>
      </c>
      <c r="I793" s="2259"/>
      <c r="J793" s="2260"/>
      <c r="K793" s="2278" t="s">
        <v>5478</v>
      </c>
      <c r="L793" s="2260"/>
      <c r="M793" s="1908" t="e">
        <f>VLOOKUP(K793,'Estimate Details'!$R:$BR,20,FALSE)</f>
        <v>#N/A</v>
      </c>
      <c r="N793" s="1908" t="e">
        <f>VLOOKUP(M793,#REF!,2,FALSE)</f>
        <v>#N/A</v>
      </c>
      <c r="O793" s="1908" t="s">
        <v>5479</v>
      </c>
      <c r="P793" s="2278" t="s">
        <v>4130</v>
      </c>
      <c r="Q793" s="2259"/>
      <c r="R793" s="2260"/>
      <c r="S793" s="1908" t="s">
        <v>3688</v>
      </c>
      <c r="T793" s="1908" t="s">
        <v>3689</v>
      </c>
      <c r="U793" s="1908" t="s">
        <v>3690</v>
      </c>
      <c r="V793" s="1908" t="s">
        <v>4147</v>
      </c>
      <c r="W793" s="1908" t="s">
        <v>3688</v>
      </c>
      <c r="X793" s="1908" t="s">
        <v>4148</v>
      </c>
      <c r="Y793" s="1908"/>
      <c r="Z793" s="1908"/>
      <c r="AA793" s="1908" t="s">
        <v>3694</v>
      </c>
      <c r="AB793" s="1908" t="s">
        <v>4149</v>
      </c>
      <c r="AC793" s="1908" t="s">
        <v>4150</v>
      </c>
      <c r="AD793" s="2278" t="s">
        <v>4151</v>
      </c>
      <c r="AE793" s="2259"/>
      <c r="AF793" s="2260"/>
      <c r="AG793" s="2278" t="s">
        <v>3696</v>
      </c>
      <c r="AH793" s="2259"/>
      <c r="AI793" s="2260"/>
      <c r="AJ793" s="1908" t="s">
        <v>4153</v>
      </c>
      <c r="AK793" s="2278" t="s">
        <v>4154</v>
      </c>
      <c r="AL793" s="2259"/>
      <c r="AM793" s="2259"/>
      <c r="AN793" s="2259"/>
      <c r="AO793" s="2260"/>
      <c r="AP793" s="1908" t="s">
        <v>3699</v>
      </c>
      <c r="BC793" s="214"/>
      <c r="BD793" s="214"/>
      <c r="BE793" s="214"/>
      <c r="BF793" s="214"/>
    </row>
    <row r="794" spans="1:58" ht="45" hidden="1" customHeight="1">
      <c r="A794" s="808"/>
      <c r="B794" s="2280"/>
      <c r="C794" s="2281"/>
      <c r="D794" s="2282"/>
      <c r="E794" s="1909" t="s">
        <v>3682</v>
      </c>
      <c r="F794" s="1911" t="s">
        <v>3688</v>
      </c>
      <c r="G794" s="1911"/>
      <c r="H794" s="2286" t="s">
        <v>5474</v>
      </c>
      <c r="I794" s="2281"/>
      <c r="J794" s="2282"/>
      <c r="K794" s="2286" t="s">
        <v>5480</v>
      </c>
      <c r="L794" s="2282"/>
      <c r="M794" s="1911" t="e">
        <f>VLOOKUP(K794,'Estimate Details'!$R:$BR,20,FALSE)</f>
        <v>#N/A</v>
      </c>
      <c r="N794" s="1911" t="e">
        <f>VLOOKUP(M794,#REF!,2,FALSE)</f>
        <v>#N/A</v>
      </c>
      <c r="O794" s="1911" t="s">
        <v>4156</v>
      </c>
      <c r="P794" s="2287" t="s">
        <v>3688</v>
      </c>
      <c r="Q794" s="2281"/>
      <c r="R794" s="2282"/>
      <c r="S794" s="1911" t="s">
        <v>5481</v>
      </c>
      <c r="T794" s="1911" t="s">
        <v>3689</v>
      </c>
      <c r="U794" s="1911" t="s">
        <v>3688</v>
      </c>
      <c r="V794" s="1911" t="s">
        <v>3688</v>
      </c>
      <c r="W794" s="1911" t="s">
        <v>3688</v>
      </c>
      <c r="X794" s="1911"/>
      <c r="Y794" s="1911"/>
      <c r="Z794" s="1911"/>
      <c r="AA794" s="1911" t="s">
        <v>3694</v>
      </c>
      <c r="AB794" s="1911" t="s">
        <v>3688</v>
      </c>
      <c r="AC794" s="1911" t="s">
        <v>4105</v>
      </c>
      <c r="AD794" s="2286" t="s">
        <v>3688</v>
      </c>
      <c r="AE794" s="2281"/>
      <c r="AF794" s="2282"/>
      <c r="AG794" s="2286" t="s">
        <v>3696</v>
      </c>
      <c r="AH794" s="2281"/>
      <c r="AI794" s="2282"/>
      <c r="AJ794" s="1911" t="s">
        <v>4158</v>
      </c>
      <c r="AK794" s="2286" t="s">
        <v>3688</v>
      </c>
      <c r="AL794" s="2281"/>
      <c r="AM794" s="2259"/>
      <c r="AN794" s="2281"/>
      <c r="AO794" s="2282"/>
      <c r="AP794" s="1911" t="s">
        <v>3688</v>
      </c>
      <c r="BC794" s="214"/>
      <c r="BD794" s="214"/>
      <c r="BE794" s="214"/>
      <c r="BF794" s="214"/>
    </row>
    <row r="795" spans="1:58" ht="45" hidden="1" customHeight="1">
      <c r="B795" s="2277"/>
      <c r="C795" s="2259"/>
      <c r="D795" s="2260"/>
      <c r="E795" s="1908" t="s">
        <v>3682</v>
      </c>
      <c r="F795" s="1908" t="s">
        <v>4690</v>
      </c>
      <c r="G795" s="1908"/>
      <c r="H795" s="2278" t="s">
        <v>5474</v>
      </c>
      <c r="I795" s="2259"/>
      <c r="J795" s="2260"/>
      <c r="K795" s="2278" t="s">
        <v>5482</v>
      </c>
      <c r="L795" s="2260"/>
      <c r="M795" s="1908" t="e">
        <f>VLOOKUP(K795,'Estimate Details'!$R:$BR,20,FALSE)</f>
        <v>#N/A</v>
      </c>
      <c r="N795" s="1908" t="e">
        <f>VLOOKUP(M795,#REF!,2,FALSE)</f>
        <v>#N/A</v>
      </c>
      <c r="O795" s="1908" t="s">
        <v>5280</v>
      </c>
      <c r="P795" s="2278" t="s">
        <v>4130</v>
      </c>
      <c r="Q795" s="2259"/>
      <c r="R795" s="2260"/>
      <c r="S795" s="1908" t="s">
        <v>3688</v>
      </c>
      <c r="T795" s="1908" t="s">
        <v>3689</v>
      </c>
      <c r="U795" s="1908" t="s">
        <v>3690</v>
      </c>
      <c r="V795" s="1908" t="s">
        <v>4147</v>
      </c>
      <c r="W795" s="1908" t="s">
        <v>3688</v>
      </c>
      <c r="X795" s="1908" t="s">
        <v>4148</v>
      </c>
      <c r="Y795" s="1908"/>
      <c r="Z795" s="1908"/>
      <c r="AA795" s="1908" t="s">
        <v>3694</v>
      </c>
      <c r="AB795" s="1908" t="s">
        <v>4149</v>
      </c>
      <c r="AC795" s="1908" t="s">
        <v>4150</v>
      </c>
      <c r="AD795" s="2278" t="s">
        <v>4151</v>
      </c>
      <c r="AE795" s="2259"/>
      <c r="AF795" s="2260"/>
      <c r="AG795" s="2278" t="s">
        <v>3696</v>
      </c>
      <c r="AH795" s="2259"/>
      <c r="AI795" s="2260"/>
      <c r="AJ795" s="1908" t="s">
        <v>4153</v>
      </c>
      <c r="AK795" s="2278" t="s">
        <v>4154</v>
      </c>
      <c r="AL795" s="2259"/>
      <c r="AM795" s="2259"/>
      <c r="AN795" s="2259"/>
      <c r="AO795" s="2260"/>
      <c r="AP795" s="1908" t="s">
        <v>3699</v>
      </c>
      <c r="BC795" s="214"/>
      <c r="BD795" s="214"/>
      <c r="BE795" s="214"/>
      <c r="BF795" s="214"/>
    </row>
    <row r="796" spans="1:58" ht="45" hidden="1" customHeight="1">
      <c r="A796" s="808"/>
      <c r="B796" s="2280"/>
      <c r="C796" s="2281"/>
      <c r="D796" s="2282"/>
      <c r="E796" s="1909" t="s">
        <v>3682</v>
      </c>
      <c r="F796" s="1911" t="s">
        <v>3688</v>
      </c>
      <c r="G796" s="1911"/>
      <c r="H796" s="2286" t="s">
        <v>5474</v>
      </c>
      <c r="I796" s="2281"/>
      <c r="J796" s="2282"/>
      <c r="K796" s="2286" t="s">
        <v>5483</v>
      </c>
      <c r="L796" s="2282"/>
      <c r="M796" s="1911" t="e">
        <f>VLOOKUP(K796,'Estimate Details'!$R:$BR,20,FALSE)</f>
        <v>#N/A</v>
      </c>
      <c r="N796" s="1911" t="e">
        <f>VLOOKUP(M796,#REF!,2,FALSE)</f>
        <v>#N/A</v>
      </c>
      <c r="O796" s="1911" t="s">
        <v>4156</v>
      </c>
      <c r="P796" s="2287" t="s">
        <v>3688</v>
      </c>
      <c r="Q796" s="2281"/>
      <c r="R796" s="2282"/>
      <c r="S796" s="1911" t="s">
        <v>5484</v>
      </c>
      <c r="T796" s="1911" t="s">
        <v>3689</v>
      </c>
      <c r="U796" s="1911" t="s">
        <v>3688</v>
      </c>
      <c r="V796" s="1911" t="s">
        <v>3688</v>
      </c>
      <c r="W796" s="1911" t="s">
        <v>3688</v>
      </c>
      <c r="X796" s="1911"/>
      <c r="Y796" s="1911"/>
      <c r="Z796" s="1911"/>
      <c r="AA796" s="1911" t="s">
        <v>3694</v>
      </c>
      <c r="AB796" s="1911" t="s">
        <v>3688</v>
      </c>
      <c r="AC796" s="1911" t="s">
        <v>4105</v>
      </c>
      <c r="AD796" s="2286" t="s">
        <v>3688</v>
      </c>
      <c r="AE796" s="2281"/>
      <c r="AF796" s="2282"/>
      <c r="AG796" s="2286" t="s">
        <v>3696</v>
      </c>
      <c r="AH796" s="2281"/>
      <c r="AI796" s="2282"/>
      <c r="AJ796" s="1911" t="s">
        <v>4158</v>
      </c>
      <c r="AK796" s="2286" t="s">
        <v>3688</v>
      </c>
      <c r="AL796" s="2281"/>
      <c r="AM796" s="2259"/>
      <c r="AN796" s="2281"/>
      <c r="AO796" s="2282"/>
      <c r="AP796" s="1911" t="s">
        <v>3688</v>
      </c>
      <c r="BC796" s="214"/>
      <c r="BD796" s="214"/>
      <c r="BE796" s="214"/>
      <c r="BF796" s="214"/>
    </row>
    <row r="797" spans="1:58" ht="45" hidden="1" customHeight="1">
      <c r="B797" s="2277"/>
      <c r="C797" s="2259"/>
      <c r="D797" s="2260"/>
      <c r="E797" s="1908" t="s">
        <v>3682</v>
      </c>
      <c r="F797" s="1908" t="s">
        <v>4690</v>
      </c>
      <c r="G797" s="1908"/>
      <c r="H797" s="2278" t="s">
        <v>5474</v>
      </c>
      <c r="I797" s="2259"/>
      <c r="J797" s="2260"/>
      <c r="K797" s="2278" t="s">
        <v>5485</v>
      </c>
      <c r="L797" s="2260"/>
      <c r="M797" s="1908" t="e">
        <f>VLOOKUP(K797,'Estimate Details'!$R:$BR,20,FALSE)</f>
        <v>#N/A</v>
      </c>
      <c r="N797" s="1908" t="e">
        <f>VLOOKUP(M797,#REF!,2,FALSE)</f>
        <v>#N/A</v>
      </c>
      <c r="O797" s="1908" t="s">
        <v>5284</v>
      </c>
      <c r="P797" s="2278" t="s">
        <v>4130</v>
      </c>
      <c r="Q797" s="2259"/>
      <c r="R797" s="2260"/>
      <c r="S797" s="1908" t="s">
        <v>3688</v>
      </c>
      <c r="T797" s="1908" t="s">
        <v>3689</v>
      </c>
      <c r="U797" s="1908" t="s">
        <v>3690</v>
      </c>
      <c r="V797" s="1908" t="s">
        <v>4147</v>
      </c>
      <c r="W797" s="1908" t="s">
        <v>3688</v>
      </c>
      <c r="X797" s="1908" t="s">
        <v>4148</v>
      </c>
      <c r="Y797" s="1908"/>
      <c r="Z797" s="1908"/>
      <c r="AA797" s="1908" t="s">
        <v>3694</v>
      </c>
      <c r="AB797" s="1908" t="s">
        <v>4149</v>
      </c>
      <c r="AC797" s="1908" t="s">
        <v>4150</v>
      </c>
      <c r="AD797" s="2278" t="s">
        <v>4151</v>
      </c>
      <c r="AE797" s="2259"/>
      <c r="AF797" s="2260"/>
      <c r="AG797" s="2278" t="s">
        <v>3696</v>
      </c>
      <c r="AH797" s="2259"/>
      <c r="AI797" s="2260"/>
      <c r="AJ797" s="1908" t="s">
        <v>4153</v>
      </c>
      <c r="AK797" s="2278" t="s">
        <v>4154</v>
      </c>
      <c r="AL797" s="2259"/>
      <c r="AM797" s="2259"/>
      <c r="AN797" s="2259"/>
      <c r="AO797" s="2260"/>
      <c r="AP797" s="1908" t="s">
        <v>3699</v>
      </c>
      <c r="BC797" s="214"/>
      <c r="BD797" s="214"/>
      <c r="BE797" s="214"/>
      <c r="BF797" s="214"/>
    </row>
    <row r="798" spans="1:58" ht="45" hidden="1" customHeight="1">
      <c r="A798" s="808"/>
      <c r="B798" s="2280"/>
      <c r="C798" s="2281"/>
      <c r="D798" s="2282"/>
      <c r="E798" s="1909" t="s">
        <v>3682</v>
      </c>
      <c r="F798" s="1911" t="s">
        <v>3688</v>
      </c>
      <c r="G798" s="1911"/>
      <c r="H798" s="2286" t="s">
        <v>5474</v>
      </c>
      <c r="I798" s="2281"/>
      <c r="J798" s="2282"/>
      <c r="K798" s="2286" t="s">
        <v>5486</v>
      </c>
      <c r="L798" s="2282"/>
      <c r="M798" s="1911" t="e">
        <f>VLOOKUP(K798,'Estimate Details'!$R:$BR,20,FALSE)</f>
        <v>#N/A</v>
      </c>
      <c r="N798" s="1911" t="e">
        <f>VLOOKUP(M798,#REF!,2,FALSE)</f>
        <v>#N/A</v>
      </c>
      <c r="O798" s="1911" t="s">
        <v>4156</v>
      </c>
      <c r="P798" s="2287" t="s">
        <v>3688</v>
      </c>
      <c r="Q798" s="2281"/>
      <c r="R798" s="2282"/>
      <c r="S798" s="1911" t="s">
        <v>5487</v>
      </c>
      <c r="T798" s="1911" t="s">
        <v>3689</v>
      </c>
      <c r="U798" s="1911" t="s">
        <v>3688</v>
      </c>
      <c r="V798" s="1911" t="s">
        <v>3688</v>
      </c>
      <c r="W798" s="1911" t="s">
        <v>3688</v>
      </c>
      <c r="X798" s="1911"/>
      <c r="Y798" s="1911"/>
      <c r="Z798" s="1911"/>
      <c r="AA798" s="1911" t="s">
        <v>3694</v>
      </c>
      <c r="AB798" s="1911" t="s">
        <v>3688</v>
      </c>
      <c r="AC798" s="1911" t="s">
        <v>4105</v>
      </c>
      <c r="AD798" s="2286" t="s">
        <v>3688</v>
      </c>
      <c r="AE798" s="2281"/>
      <c r="AF798" s="2282"/>
      <c r="AG798" s="2286" t="s">
        <v>3696</v>
      </c>
      <c r="AH798" s="2281"/>
      <c r="AI798" s="2282"/>
      <c r="AJ798" s="1911" t="s">
        <v>4158</v>
      </c>
      <c r="AK798" s="2286" t="s">
        <v>3688</v>
      </c>
      <c r="AL798" s="2281"/>
      <c r="AM798" s="2259"/>
      <c r="AN798" s="2281"/>
      <c r="AO798" s="2282"/>
      <c r="AP798" s="1911" t="s">
        <v>3688</v>
      </c>
      <c r="BC798" s="214"/>
      <c r="BD798" s="214"/>
      <c r="BE798" s="214"/>
      <c r="BF798" s="214"/>
    </row>
    <row r="799" spans="1:58" ht="45" hidden="1" customHeight="1">
      <c r="B799" s="2277"/>
      <c r="C799" s="2259"/>
      <c r="D799" s="2260"/>
      <c r="E799" s="1908" t="s">
        <v>3682</v>
      </c>
      <c r="F799" s="1908" t="s">
        <v>4690</v>
      </c>
      <c r="G799" s="1908"/>
      <c r="H799" s="2278" t="s">
        <v>5474</v>
      </c>
      <c r="I799" s="2259"/>
      <c r="J799" s="2260"/>
      <c r="K799" s="2278" t="s">
        <v>2613</v>
      </c>
      <c r="L799" s="2260"/>
      <c r="M799" s="1908">
        <f>VLOOKUP(K799,'Estimate Details'!$R:$BR,20,FALSE)</f>
        <v>6641.96</v>
      </c>
      <c r="N799" s="1908" t="e">
        <f>VLOOKUP(M799,#REF!,2,FALSE)</f>
        <v>#REF!</v>
      </c>
      <c r="O799" s="1908" t="s">
        <v>5287</v>
      </c>
      <c r="P799" s="2278" t="s">
        <v>4180</v>
      </c>
      <c r="Q799" s="2259"/>
      <c r="R799" s="2260"/>
      <c r="S799" s="1908" t="s">
        <v>3688</v>
      </c>
      <c r="T799" s="1908" t="s">
        <v>3689</v>
      </c>
      <c r="U799" s="1908" t="s">
        <v>3690</v>
      </c>
      <c r="V799" s="1908" t="s">
        <v>4147</v>
      </c>
      <c r="W799" s="1908" t="s">
        <v>3688</v>
      </c>
      <c r="X799" s="1908" t="s">
        <v>4181</v>
      </c>
      <c r="Y799" s="1908"/>
      <c r="Z799" s="1908"/>
      <c r="AA799" s="1908" t="s">
        <v>3694</v>
      </c>
      <c r="AB799" s="1908" t="s">
        <v>4182</v>
      </c>
      <c r="AC799" s="1908" t="s">
        <v>3696</v>
      </c>
      <c r="AD799" s="2278" t="s">
        <v>4183</v>
      </c>
      <c r="AE799" s="2259"/>
      <c r="AF799" s="2260"/>
      <c r="AG799" s="2278" t="s">
        <v>3696</v>
      </c>
      <c r="AH799" s="2259"/>
      <c r="AI799" s="2260"/>
      <c r="AJ799" s="1908" t="s">
        <v>4153</v>
      </c>
      <c r="AK799" s="2278" t="s">
        <v>4184</v>
      </c>
      <c r="AL799" s="2259"/>
      <c r="AM799" s="2259"/>
      <c r="AN799" s="2259"/>
      <c r="AO799" s="2260"/>
      <c r="AP799" s="1908" t="s">
        <v>3699</v>
      </c>
      <c r="BC799" s="214"/>
      <c r="BD799" s="214"/>
      <c r="BE799" s="214"/>
      <c r="BF799" s="214"/>
    </row>
    <row r="800" spans="1:58" ht="45" hidden="1" customHeight="1">
      <c r="A800" s="808"/>
      <c r="B800" s="2280"/>
      <c r="C800" s="2281"/>
      <c r="D800" s="2282"/>
      <c r="E800" s="1909" t="s">
        <v>3682</v>
      </c>
      <c r="F800" s="1909" t="s">
        <v>4690</v>
      </c>
      <c r="G800" s="1909"/>
      <c r="H800" s="2283" t="s">
        <v>5474</v>
      </c>
      <c r="I800" s="2281"/>
      <c r="J800" s="2282"/>
      <c r="K800" s="2283" t="s">
        <v>2637</v>
      </c>
      <c r="L800" s="2282"/>
      <c r="M800" s="1909">
        <f>VLOOKUP(K800,'Estimate Details'!$R:$BR,20,FALSE)</f>
        <v>1929.6716666666666</v>
      </c>
      <c r="N800" s="1909" t="e">
        <f>VLOOKUP(M800,#REF!,2,FALSE)</f>
        <v>#REF!</v>
      </c>
      <c r="O800" s="1909" t="s">
        <v>5288</v>
      </c>
      <c r="P800" s="2284" t="s">
        <v>4180</v>
      </c>
      <c r="Q800" s="2281"/>
      <c r="R800" s="2282"/>
      <c r="S800" s="1909" t="s">
        <v>3688</v>
      </c>
      <c r="T800" s="1909" t="s">
        <v>3689</v>
      </c>
      <c r="U800" s="1909" t="s">
        <v>3690</v>
      </c>
      <c r="V800" s="1909" t="s">
        <v>4147</v>
      </c>
      <c r="W800" s="1909" t="s">
        <v>3688</v>
      </c>
      <c r="X800" s="1909" t="s">
        <v>4186</v>
      </c>
      <c r="Y800" s="1909"/>
      <c r="Z800" s="1909"/>
      <c r="AA800" s="1909" t="s">
        <v>3957</v>
      </c>
      <c r="AB800" s="1909" t="s">
        <v>4187</v>
      </c>
      <c r="AC800" s="1909" t="s">
        <v>3696</v>
      </c>
      <c r="AD800" s="2283" t="s">
        <v>4220</v>
      </c>
      <c r="AE800" s="2281"/>
      <c r="AF800" s="2282"/>
      <c r="AG800" s="2283" t="s">
        <v>3696</v>
      </c>
      <c r="AH800" s="2281"/>
      <c r="AI800" s="2282"/>
      <c r="AJ800" s="1909" t="s">
        <v>4153</v>
      </c>
      <c r="AK800" s="2283" t="s">
        <v>4221</v>
      </c>
      <c r="AL800" s="2281"/>
      <c r="AM800" s="2259"/>
      <c r="AN800" s="2281"/>
      <c r="AO800" s="2282"/>
      <c r="AP800" s="1909" t="s">
        <v>3699</v>
      </c>
      <c r="BC800" s="214"/>
      <c r="BD800" s="214"/>
      <c r="BE800" s="214"/>
      <c r="BF800" s="214"/>
    </row>
    <row r="801" spans="1:58" ht="45" hidden="1" customHeight="1">
      <c r="B801" s="2277"/>
      <c r="C801" s="2259"/>
      <c r="D801" s="2260"/>
      <c r="E801" s="1908" t="s">
        <v>3682</v>
      </c>
      <c r="F801" s="1908" t="s">
        <v>4690</v>
      </c>
      <c r="G801" s="1908"/>
      <c r="H801" s="2278" t="s">
        <v>5474</v>
      </c>
      <c r="I801" s="2259"/>
      <c r="J801" s="2260"/>
      <c r="K801" s="2278" t="s">
        <v>2599</v>
      </c>
      <c r="L801" s="2260"/>
      <c r="M801" s="1908">
        <f>VLOOKUP(K801,'Estimate Details'!$R:$BR,20,FALSE)</f>
        <v>6641.96</v>
      </c>
      <c r="N801" s="1908" t="e">
        <f>VLOOKUP(M801,#REF!,2,FALSE)</f>
        <v>#REF!</v>
      </c>
      <c r="O801" s="1908" t="s">
        <v>5488</v>
      </c>
      <c r="P801" s="2278" t="s">
        <v>4180</v>
      </c>
      <c r="Q801" s="2259"/>
      <c r="R801" s="2260"/>
      <c r="S801" s="1908" t="s">
        <v>3688</v>
      </c>
      <c r="T801" s="1908" t="s">
        <v>3689</v>
      </c>
      <c r="U801" s="1908" t="s">
        <v>3690</v>
      </c>
      <c r="V801" s="1908" t="s">
        <v>4147</v>
      </c>
      <c r="W801" s="1908" t="s">
        <v>3688</v>
      </c>
      <c r="X801" s="1908" t="s">
        <v>4181</v>
      </c>
      <c r="Y801" s="1908"/>
      <c r="Z801" s="1908"/>
      <c r="AA801" s="1908" t="s">
        <v>3694</v>
      </c>
      <c r="AB801" s="1908" t="s">
        <v>4182</v>
      </c>
      <c r="AC801" s="1908" t="s">
        <v>3696</v>
      </c>
      <c r="AD801" s="2278" t="s">
        <v>4183</v>
      </c>
      <c r="AE801" s="2259"/>
      <c r="AF801" s="2260"/>
      <c r="AG801" s="2278" t="s">
        <v>3696</v>
      </c>
      <c r="AH801" s="2259"/>
      <c r="AI801" s="2260"/>
      <c r="AJ801" s="1908" t="s">
        <v>4153</v>
      </c>
      <c r="AK801" s="2278" t="s">
        <v>4184</v>
      </c>
      <c r="AL801" s="2259"/>
      <c r="AM801" s="2259"/>
      <c r="AN801" s="2259"/>
      <c r="AO801" s="2260"/>
      <c r="AP801" s="1908" t="s">
        <v>3699</v>
      </c>
      <c r="BC801" s="214"/>
      <c r="BD801" s="214"/>
      <c r="BE801" s="214"/>
      <c r="BF801" s="214"/>
    </row>
    <row r="802" spans="1:58" ht="45" hidden="1" customHeight="1">
      <c r="A802" s="808"/>
      <c r="B802" s="2280"/>
      <c r="C802" s="2281"/>
      <c r="D802" s="2282"/>
      <c r="E802" s="1909" t="s">
        <v>3682</v>
      </c>
      <c r="F802" s="1909" t="s">
        <v>4690</v>
      </c>
      <c r="G802" s="1909"/>
      <c r="H802" s="2283" t="s">
        <v>5474</v>
      </c>
      <c r="I802" s="2281"/>
      <c r="J802" s="2282"/>
      <c r="K802" s="2283" t="s">
        <v>2616</v>
      </c>
      <c r="L802" s="2282"/>
      <c r="M802" s="1909">
        <f>VLOOKUP(K802,'Estimate Details'!$R:$BR,20,FALSE)</f>
        <v>1929.6716666666666</v>
      </c>
      <c r="N802" s="1909" t="e">
        <f>VLOOKUP(M802,#REF!,2,FALSE)</f>
        <v>#REF!</v>
      </c>
      <c r="O802" s="1909" t="s">
        <v>5489</v>
      </c>
      <c r="P802" s="2284" t="s">
        <v>4180</v>
      </c>
      <c r="Q802" s="2281"/>
      <c r="R802" s="2282"/>
      <c r="S802" s="1909" t="s">
        <v>3688</v>
      </c>
      <c r="T802" s="1909" t="s">
        <v>3689</v>
      </c>
      <c r="U802" s="1909" t="s">
        <v>3690</v>
      </c>
      <c r="V802" s="1909" t="s">
        <v>4147</v>
      </c>
      <c r="W802" s="1909" t="s">
        <v>3688</v>
      </c>
      <c r="X802" s="1909" t="s">
        <v>4218</v>
      </c>
      <c r="Y802" s="1909"/>
      <c r="Z802" s="1909"/>
      <c r="AA802" s="1909" t="s">
        <v>3957</v>
      </c>
      <c r="AB802" s="1909" t="s">
        <v>4219</v>
      </c>
      <c r="AC802" s="1909" t="s">
        <v>3696</v>
      </c>
      <c r="AD802" s="2283" t="s">
        <v>4220</v>
      </c>
      <c r="AE802" s="2281"/>
      <c r="AF802" s="2282"/>
      <c r="AG802" s="2283" t="s">
        <v>3696</v>
      </c>
      <c r="AH802" s="2281"/>
      <c r="AI802" s="2282"/>
      <c r="AJ802" s="1909" t="s">
        <v>4153</v>
      </c>
      <c r="AK802" s="2283" t="s">
        <v>4221</v>
      </c>
      <c r="AL802" s="2281"/>
      <c r="AM802" s="2259"/>
      <c r="AN802" s="2281"/>
      <c r="AO802" s="2282"/>
      <c r="AP802" s="1909" t="s">
        <v>3699</v>
      </c>
      <c r="BC802" s="214"/>
      <c r="BD802" s="214"/>
      <c r="BE802" s="214"/>
      <c r="BF802" s="214"/>
    </row>
    <row r="803" spans="1:58" ht="45" hidden="1" customHeight="1">
      <c r="B803" s="2277"/>
      <c r="C803" s="2259"/>
      <c r="D803" s="2260"/>
      <c r="E803" s="1908" t="s">
        <v>3682</v>
      </c>
      <c r="F803" s="1908" t="s">
        <v>4690</v>
      </c>
      <c r="G803" s="1908"/>
      <c r="H803" s="2278" t="s">
        <v>5474</v>
      </c>
      <c r="I803" s="2259"/>
      <c r="J803" s="2260"/>
      <c r="K803" s="2278" t="s">
        <v>2601</v>
      </c>
      <c r="L803" s="2260"/>
      <c r="M803" s="1908">
        <f>VLOOKUP(K803,'Estimate Details'!$R:$BR,20,FALSE)</f>
        <v>6641.96</v>
      </c>
      <c r="N803" s="1908" t="e">
        <f>VLOOKUP(M803,#REF!,2,FALSE)</f>
        <v>#REF!</v>
      </c>
      <c r="O803" s="1908" t="s">
        <v>5289</v>
      </c>
      <c r="P803" s="2278" t="s">
        <v>4180</v>
      </c>
      <c r="Q803" s="2259"/>
      <c r="R803" s="2260"/>
      <c r="S803" s="1908" t="s">
        <v>3688</v>
      </c>
      <c r="T803" s="1908" t="s">
        <v>3689</v>
      </c>
      <c r="U803" s="1908" t="s">
        <v>3690</v>
      </c>
      <c r="V803" s="1908" t="s">
        <v>4147</v>
      </c>
      <c r="W803" s="1908" t="s">
        <v>3688</v>
      </c>
      <c r="X803" s="1908" t="s">
        <v>4181</v>
      </c>
      <c r="Y803" s="1908"/>
      <c r="Z803" s="1908"/>
      <c r="AA803" s="1908" t="s">
        <v>3694</v>
      </c>
      <c r="AB803" s="1908" t="s">
        <v>4182</v>
      </c>
      <c r="AC803" s="1908" t="s">
        <v>3696</v>
      </c>
      <c r="AD803" s="2278" t="s">
        <v>4183</v>
      </c>
      <c r="AE803" s="2259"/>
      <c r="AF803" s="2260"/>
      <c r="AG803" s="2278" t="s">
        <v>3696</v>
      </c>
      <c r="AH803" s="2259"/>
      <c r="AI803" s="2260"/>
      <c r="AJ803" s="1908" t="s">
        <v>4153</v>
      </c>
      <c r="AK803" s="2278" t="s">
        <v>4184</v>
      </c>
      <c r="AL803" s="2259"/>
      <c r="AM803" s="2259"/>
      <c r="AN803" s="2259"/>
      <c r="AO803" s="2260"/>
      <c r="AP803" s="1908" t="s">
        <v>3699</v>
      </c>
      <c r="BC803" s="214"/>
      <c r="BD803" s="214"/>
      <c r="BE803" s="214"/>
      <c r="BF803" s="214"/>
    </row>
    <row r="804" spans="1:58" ht="45" hidden="1" customHeight="1">
      <c r="A804" s="808"/>
      <c r="B804" s="2280"/>
      <c r="C804" s="2281"/>
      <c r="D804" s="2282"/>
      <c r="E804" s="1909" t="s">
        <v>3682</v>
      </c>
      <c r="F804" s="1909" t="s">
        <v>4690</v>
      </c>
      <c r="G804" s="1909"/>
      <c r="H804" s="2283" t="s">
        <v>5474</v>
      </c>
      <c r="I804" s="2281"/>
      <c r="J804" s="2282"/>
      <c r="K804" s="2283" t="s">
        <v>2619</v>
      </c>
      <c r="L804" s="2282"/>
      <c r="M804" s="1909">
        <f>VLOOKUP(K804,'Estimate Details'!$R:$BR,20,FALSE)</f>
        <v>1929.6716666666666</v>
      </c>
      <c r="N804" s="1909" t="e">
        <f>VLOOKUP(M804,#REF!,2,FALSE)</f>
        <v>#REF!</v>
      </c>
      <c r="O804" s="1909" t="s">
        <v>5290</v>
      </c>
      <c r="P804" s="2284" t="s">
        <v>4180</v>
      </c>
      <c r="Q804" s="2281"/>
      <c r="R804" s="2282"/>
      <c r="S804" s="1909" t="s">
        <v>3688</v>
      </c>
      <c r="T804" s="1909" t="s">
        <v>3689</v>
      </c>
      <c r="U804" s="1909" t="s">
        <v>3690</v>
      </c>
      <c r="V804" s="1909" t="s">
        <v>4147</v>
      </c>
      <c r="W804" s="1909" t="s">
        <v>3688</v>
      </c>
      <c r="X804" s="1909" t="s">
        <v>4218</v>
      </c>
      <c r="Y804" s="1909"/>
      <c r="Z804" s="1909"/>
      <c r="AA804" s="1909" t="s">
        <v>3957</v>
      </c>
      <c r="AB804" s="1909" t="s">
        <v>4219</v>
      </c>
      <c r="AC804" s="1909" t="s">
        <v>3696</v>
      </c>
      <c r="AD804" s="2283" t="s">
        <v>4220</v>
      </c>
      <c r="AE804" s="2281"/>
      <c r="AF804" s="2282"/>
      <c r="AG804" s="2283" t="s">
        <v>3696</v>
      </c>
      <c r="AH804" s="2281"/>
      <c r="AI804" s="2282"/>
      <c r="AJ804" s="1909" t="s">
        <v>4153</v>
      </c>
      <c r="AK804" s="2283" t="s">
        <v>4221</v>
      </c>
      <c r="AL804" s="2281"/>
      <c r="AM804" s="2259"/>
      <c r="AN804" s="2281"/>
      <c r="AO804" s="2282"/>
      <c r="AP804" s="1909" t="s">
        <v>3699</v>
      </c>
      <c r="BC804" s="214"/>
      <c r="BD804" s="214"/>
      <c r="BE804" s="214"/>
      <c r="BF804" s="214"/>
    </row>
    <row r="805" spans="1:58" ht="45" hidden="1" customHeight="1">
      <c r="B805" s="2277"/>
      <c r="C805" s="2259"/>
      <c r="D805" s="2260"/>
      <c r="E805" s="1908" t="s">
        <v>3682</v>
      </c>
      <c r="F805" s="1908" t="s">
        <v>4690</v>
      </c>
      <c r="G805" s="1908"/>
      <c r="H805" s="2278" t="s">
        <v>5474</v>
      </c>
      <c r="I805" s="2259"/>
      <c r="J805" s="2260"/>
      <c r="K805" s="2278" t="s">
        <v>2603</v>
      </c>
      <c r="L805" s="2260"/>
      <c r="M805" s="1908">
        <f>VLOOKUP(K805,'Estimate Details'!$R:$BR,20,FALSE)</f>
        <v>6641.96</v>
      </c>
      <c r="N805" s="1908" t="e">
        <f>VLOOKUP(M805,#REF!,2,FALSE)</f>
        <v>#REF!</v>
      </c>
      <c r="O805" s="1908" t="s">
        <v>5291</v>
      </c>
      <c r="P805" s="2278" t="s">
        <v>4180</v>
      </c>
      <c r="Q805" s="2259"/>
      <c r="R805" s="2260"/>
      <c r="S805" s="1908" t="s">
        <v>3688</v>
      </c>
      <c r="T805" s="1908" t="s">
        <v>3689</v>
      </c>
      <c r="U805" s="1908" t="s">
        <v>3690</v>
      </c>
      <c r="V805" s="1908" t="s">
        <v>4147</v>
      </c>
      <c r="W805" s="1908" t="s">
        <v>3688</v>
      </c>
      <c r="X805" s="1908" t="s">
        <v>4181</v>
      </c>
      <c r="Y805" s="1908"/>
      <c r="Z805" s="1908"/>
      <c r="AA805" s="1908" t="s">
        <v>3694</v>
      </c>
      <c r="AB805" s="1908" t="s">
        <v>4182</v>
      </c>
      <c r="AC805" s="1908" t="s">
        <v>3696</v>
      </c>
      <c r="AD805" s="2278" t="s">
        <v>4183</v>
      </c>
      <c r="AE805" s="2259"/>
      <c r="AF805" s="2260"/>
      <c r="AG805" s="2278" t="s">
        <v>3696</v>
      </c>
      <c r="AH805" s="2259"/>
      <c r="AI805" s="2260"/>
      <c r="AJ805" s="1908" t="s">
        <v>4153</v>
      </c>
      <c r="AK805" s="2278" t="s">
        <v>4184</v>
      </c>
      <c r="AL805" s="2259"/>
      <c r="AM805" s="2259"/>
      <c r="AN805" s="2259"/>
      <c r="AO805" s="2260"/>
      <c r="AP805" s="1908" t="s">
        <v>3699</v>
      </c>
      <c r="BC805" s="214"/>
      <c r="BD805" s="214"/>
      <c r="BE805" s="214"/>
      <c r="BF805" s="214"/>
    </row>
    <row r="806" spans="1:58" ht="45" hidden="1" customHeight="1">
      <c r="A806" s="808"/>
      <c r="B806" s="2280"/>
      <c r="C806" s="2281"/>
      <c r="D806" s="2282"/>
      <c r="E806" s="1909" t="s">
        <v>3682</v>
      </c>
      <c r="F806" s="1909" t="s">
        <v>4690</v>
      </c>
      <c r="G806" s="1909"/>
      <c r="H806" s="2283" t="s">
        <v>5474</v>
      </c>
      <c r="I806" s="2281"/>
      <c r="J806" s="2282"/>
      <c r="K806" s="2283" t="s">
        <v>2622</v>
      </c>
      <c r="L806" s="2282"/>
      <c r="M806" s="1909">
        <f>VLOOKUP(K806,'Estimate Details'!$R:$BR,20,FALSE)</f>
        <v>1929.6716666666666</v>
      </c>
      <c r="N806" s="1909" t="e">
        <f>VLOOKUP(M806,#REF!,2,FALSE)</f>
        <v>#REF!</v>
      </c>
      <c r="O806" s="1909" t="s">
        <v>5292</v>
      </c>
      <c r="P806" s="2284" t="s">
        <v>4180</v>
      </c>
      <c r="Q806" s="2281"/>
      <c r="R806" s="2282"/>
      <c r="S806" s="1909" t="s">
        <v>3688</v>
      </c>
      <c r="T806" s="1909" t="s">
        <v>3689</v>
      </c>
      <c r="U806" s="1909" t="s">
        <v>3690</v>
      </c>
      <c r="V806" s="1909" t="s">
        <v>4147</v>
      </c>
      <c r="W806" s="1909" t="s">
        <v>3688</v>
      </c>
      <c r="X806" s="1909" t="s">
        <v>4218</v>
      </c>
      <c r="Y806" s="1909"/>
      <c r="Z806" s="1909"/>
      <c r="AA806" s="1909" t="s">
        <v>3957</v>
      </c>
      <c r="AB806" s="1909" t="s">
        <v>4219</v>
      </c>
      <c r="AC806" s="1909" t="s">
        <v>3696</v>
      </c>
      <c r="AD806" s="2283" t="s">
        <v>4220</v>
      </c>
      <c r="AE806" s="2281"/>
      <c r="AF806" s="2282"/>
      <c r="AG806" s="2283" t="s">
        <v>3696</v>
      </c>
      <c r="AH806" s="2281"/>
      <c r="AI806" s="2282"/>
      <c r="AJ806" s="1909" t="s">
        <v>4153</v>
      </c>
      <c r="AK806" s="2283" t="s">
        <v>4221</v>
      </c>
      <c r="AL806" s="2281"/>
      <c r="AM806" s="2259"/>
      <c r="AN806" s="2281"/>
      <c r="AO806" s="2282"/>
      <c r="AP806" s="1909" t="s">
        <v>3699</v>
      </c>
      <c r="BC806" s="214"/>
      <c r="BD806" s="214"/>
      <c r="BE806" s="214"/>
      <c r="BF806" s="214"/>
    </row>
    <row r="807" spans="1:58" ht="60" hidden="1" customHeight="1">
      <c r="B807" s="2277"/>
      <c r="C807" s="2259"/>
      <c r="D807" s="2260"/>
      <c r="E807" s="1908" t="s">
        <v>3682</v>
      </c>
      <c r="F807" s="1908" t="s">
        <v>4690</v>
      </c>
      <c r="G807" s="1908"/>
      <c r="H807" s="2278" t="s">
        <v>5490</v>
      </c>
      <c r="I807" s="2259"/>
      <c r="J807" s="2260"/>
      <c r="K807" s="2278" t="s">
        <v>5491</v>
      </c>
      <c r="L807" s="2260"/>
      <c r="M807" s="1908" t="e">
        <f>VLOOKUP(K807,'Estimate Details'!$R:$BR,20,FALSE)</f>
        <v>#N/A</v>
      </c>
      <c r="N807" s="1908" t="e">
        <f>VLOOKUP(M807,#REF!,2,FALSE)</f>
        <v>#N/A</v>
      </c>
      <c r="O807" s="1908" t="s">
        <v>5492</v>
      </c>
      <c r="P807" s="2278" t="s">
        <v>3687</v>
      </c>
      <c r="Q807" s="2259"/>
      <c r="R807" s="2260"/>
      <c r="S807" s="1908" t="s">
        <v>3688</v>
      </c>
      <c r="T807" s="1908" t="s">
        <v>3706</v>
      </c>
      <c r="U807" s="1908" t="s">
        <v>3690</v>
      </c>
      <c r="V807" s="1908" t="s">
        <v>3708</v>
      </c>
      <c r="W807" s="1908" t="s">
        <v>3688</v>
      </c>
      <c r="X807" s="1908"/>
      <c r="Y807" s="1908"/>
      <c r="Z807" s="1908"/>
      <c r="AA807" s="1908" t="s">
        <v>3694</v>
      </c>
      <c r="AB807" s="1908" t="s">
        <v>5493</v>
      </c>
      <c r="AC807" s="1908" t="s">
        <v>3696</v>
      </c>
      <c r="AD807" s="2278" t="s">
        <v>5494</v>
      </c>
      <c r="AE807" s="2259"/>
      <c r="AF807" s="2260"/>
      <c r="AG807" s="2278" t="s">
        <v>3696</v>
      </c>
      <c r="AH807" s="2259"/>
      <c r="AI807" s="2260"/>
      <c r="AJ807" s="1908" t="s">
        <v>3714</v>
      </c>
      <c r="AK807" s="2278" t="s">
        <v>5495</v>
      </c>
      <c r="AL807" s="2259"/>
      <c r="AM807" s="2259"/>
      <c r="AN807" s="2259"/>
      <c r="AO807" s="2260"/>
      <c r="AP807" s="1908" t="s">
        <v>3699</v>
      </c>
      <c r="BC807" s="214"/>
      <c r="BD807" s="214"/>
      <c r="BE807" s="214"/>
      <c r="BF807" s="214"/>
    </row>
    <row r="808" spans="1:58" ht="45" hidden="1" customHeight="1">
      <c r="A808" s="808"/>
      <c r="B808" s="2280"/>
      <c r="C808" s="2281"/>
      <c r="D808" s="2282"/>
      <c r="E808" s="1909" t="s">
        <v>3682</v>
      </c>
      <c r="F808" s="1909" t="s">
        <v>4690</v>
      </c>
      <c r="G808" s="1909"/>
      <c r="H808" s="2283" t="s">
        <v>5490</v>
      </c>
      <c r="I808" s="2281"/>
      <c r="J808" s="2282"/>
      <c r="K808" s="2283" t="s">
        <v>5496</v>
      </c>
      <c r="L808" s="2282"/>
      <c r="M808" s="1909" t="e">
        <f>VLOOKUP(K808,'Estimate Details'!$R:$BR,20,FALSE)</f>
        <v>#N/A</v>
      </c>
      <c r="N808" s="1909" t="e">
        <f>VLOOKUP(M808,#REF!,2,FALSE)</f>
        <v>#N/A</v>
      </c>
      <c r="O808" s="1909" t="s">
        <v>5309</v>
      </c>
      <c r="P808" s="2284" t="s">
        <v>3687</v>
      </c>
      <c r="Q808" s="2281"/>
      <c r="R808" s="2282"/>
      <c r="S808" s="1909" t="s">
        <v>3688</v>
      </c>
      <c r="T808" s="1909" t="s">
        <v>3689</v>
      </c>
      <c r="U808" s="1909" t="s">
        <v>3690</v>
      </c>
      <c r="V808" s="1909" t="s">
        <v>3691</v>
      </c>
      <c r="W808" s="1909" t="s">
        <v>3688</v>
      </c>
      <c r="X808" s="1909"/>
      <c r="Y808" s="1909"/>
      <c r="Z808" s="1909"/>
      <c r="AA808" s="1909" t="s">
        <v>3694</v>
      </c>
      <c r="AB808" s="1909" t="s">
        <v>3688</v>
      </c>
      <c r="AC808" s="1909" t="s">
        <v>3696</v>
      </c>
      <c r="AD808" s="2283" t="s">
        <v>5310</v>
      </c>
      <c r="AE808" s="2281"/>
      <c r="AF808" s="2282"/>
      <c r="AG808" s="2283" t="s">
        <v>3696</v>
      </c>
      <c r="AH808" s="2281"/>
      <c r="AI808" s="2282"/>
      <c r="AJ808" s="1909" t="s">
        <v>3770</v>
      </c>
      <c r="AK808" s="2283" t="s">
        <v>3771</v>
      </c>
      <c r="AL808" s="2281"/>
      <c r="AM808" s="2259"/>
      <c r="AN808" s="2281"/>
      <c r="AO808" s="2282"/>
      <c r="AP808" s="1909" t="s">
        <v>3699</v>
      </c>
      <c r="BC808" s="214"/>
      <c r="BD808" s="214"/>
      <c r="BE808" s="214"/>
      <c r="BF808" s="214"/>
    </row>
    <row r="809" spans="1:58" ht="45" hidden="1" customHeight="1">
      <c r="B809" s="2277"/>
      <c r="C809" s="2259"/>
      <c r="D809" s="2260"/>
      <c r="E809" s="1908" t="s">
        <v>3682</v>
      </c>
      <c r="F809" s="1908" t="s">
        <v>4690</v>
      </c>
      <c r="G809" s="1908"/>
      <c r="H809" s="2278" t="s">
        <v>5497</v>
      </c>
      <c r="I809" s="2259"/>
      <c r="J809" s="2260"/>
      <c r="K809" s="2278" t="s">
        <v>5498</v>
      </c>
      <c r="L809" s="2260"/>
      <c r="M809" s="1908" t="e">
        <f>VLOOKUP(K809,'Estimate Details'!$R:$BR,20,FALSE)</f>
        <v>#N/A</v>
      </c>
      <c r="N809" s="1908" t="e">
        <f>VLOOKUP(M809,#REF!,2,FALSE)</f>
        <v>#N/A</v>
      </c>
      <c r="O809" s="1908" t="s">
        <v>5314</v>
      </c>
      <c r="P809" s="2278" t="s">
        <v>3687</v>
      </c>
      <c r="Q809" s="2259"/>
      <c r="R809" s="2260"/>
      <c r="S809" s="1908" t="s">
        <v>3688</v>
      </c>
      <c r="T809" s="1908" t="s">
        <v>3689</v>
      </c>
      <c r="U809" s="1908" t="s">
        <v>3690</v>
      </c>
      <c r="V809" s="1908" t="s">
        <v>3708</v>
      </c>
      <c r="W809" s="1908" t="s">
        <v>3688</v>
      </c>
      <c r="X809" s="1908" t="s">
        <v>5315</v>
      </c>
      <c r="Y809" s="1908" t="s">
        <v>5316</v>
      </c>
      <c r="Z809" s="1908"/>
      <c r="AA809" s="1908" t="s">
        <v>3694</v>
      </c>
      <c r="AB809" s="1908" t="s">
        <v>5317</v>
      </c>
      <c r="AC809" s="1908" t="s">
        <v>3696</v>
      </c>
      <c r="AD809" s="2278" t="s">
        <v>5442</v>
      </c>
      <c r="AE809" s="2259"/>
      <c r="AF809" s="2260"/>
      <c r="AG809" s="2278" t="s">
        <v>3696</v>
      </c>
      <c r="AH809" s="2259"/>
      <c r="AI809" s="2260"/>
      <c r="AJ809" s="1908" t="s">
        <v>4785</v>
      </c>
      <c r="AK809" s="2278" t="s">
        <v>5319</v>
      </c>
      <c r="AL809" s="2259"/>
      <c r="AM809" s="2259"/>
      <c r="AN809" s="2259"/>
      <c r="AO809" s="2260"/>
      <c r="AP809" s="1908" t="s">
        <v>3699</v>
      </c>
      <c r="BC809" s="214"/>
      <c r="BD809" s="214"/>
      <c r="BE809" s="214"/>
      <c r="BF809" s="214"/>
    </row>
    <row r="810" spans="1:58" ht="45" hidden="1" customHeight="1">
      <c r="A810" s="808"/>
      <c r="B810" s="2280"/>
      <c r="C810" s="2281"/>
      <c r="D810" s="2282"/>
      <c r="E810" s="1909" t="s">
        <v>3682</v>
      </c>
      <c r="F810" s="1909" t="s">
        <v>4690</v>
      </c>
      <c r="G810" s="1909"/>
      <c r="H810" s="2283" t="s">
        <v>5497</v>
      </c>
      <c r="I810" s="2281"/>
      <c r="J810" s="2282"/>
      <c r="K810" s="2283" t="s">
        <v>5499</v>
      </c>
      <c r="L810" s="2282"/>
      <c r="M810" s="1909" t="e">
        <f>VLOOKUP(K810,'Estimate Details'!$R:$BR,20,FALSE)</f>
        <v>#N/A</v>
      </c>
      <c r="N810" s="1909" t="e">
        <f>VLOOKUP(M810,#REF!,2,FALSE)</f>
        <v>#N/A</v>
      </c>
      <c r="O810" s="1909" t="s">
        <v>5314</v>
      </c>
      <c r="P810" s="2284" t="s">
        <v>3687</v>
      </c>
      <c r="Q810" s="2281"/>
      <c r="R810" s="2282"/>
      <c r="S810" s="1909" t="s">
        <v>3688</v>
      </c>
      <c r="T810" s="1909" t="s">
        <v>3689</v>
      </c>
      <c r="U810" s="1909" t="s">
        <v>3690</v>
      </c>
      <c r="V810" s="1909" t="s">
        <v>3708</v>
      </c>
      <c r="W810" s="1909" t="s">
        <v>3688</v>
      </c>
      <c r="X810" s="1909" t="s">
        <v>5315</v>
      </c>
      <c r="Y810" s="1909" t="s">
        <v>5316</v>
      </c>
      <c r="Z810" s="1909"/>
      <c r="AA810" s="1909" t="s">
        <v>3694</v>
      </c>
      <c r="AB810" s="1909" t="s">
        <v>5317</v>
      </c>
      <c r="AC810" s="1909" t="s">
        <v>3696</v>
      </c>
      <c r="AD810" s="2283" t="s">
        <v>5442</v>
      </c>
      <c r="AE810" s="2281"/>
      <c r="AF810" s="2282"/>
      <c r="AG810" s="2283" t="s">
        <v>3696</v>
      </c>
      <c r="AH810" s="2281"/>
      <c r="AI810" s="2282"/>
      <c r="AJ810" s="1909" t="s">
        <v>4785</v>
      </c>
      <c r="AK810" s="2283" t="s">
        <v>5319</v>
      </c>
      <c r="AL810" s="2281"/>
      <c r="AM810" s="2259"/>
      <c r="AN810" s="2281"/>
      <c r="AO810" s="2282"/>
      <c r="AP810" s="1909" t="s">
        <v>3699</v>
      </c>
      <c r="BC810" s="214"/>
      <c r="BD810" s="214"/>
      <c r="BE810" s="214"/>
      <c r="BF810" s="214"/>
    </row>
    <row r="811" spans="1:58" ht="45" hidden="1" customHeight="1">
      <c r="B811" s="2277"/>
      <c r="C811" s="2259"/>
      <c r="D811" s="2260"/>
      <c r="E811" s="1908" t="s">
        <v>3682</v>
      </c>
      <c r="F811" s="1908" t="s">
        <v>4690</v>
      </c>
      <c r="G811" s="1908"/>
      <c r="H811" s="2278" t="s">
        <v>5497</v>
      </c>
      <c r="I811" s="2259"/>
      <c r="J811" s="2260"/>
      <c r="K811" s="2278" t="s">
        <v>5500</v>
      </c>
      <c r="L811" s="2260"/>
      <c r="M811" s="1908" t="e">
        <f>VLOOKUP(K811,'Estimate Details'!$R:$BR,20,FALSE)</f>
        <v>#N/A</v>
      </c>
      <c r="N811" s="1908" t="e">
        <f>VLOOKUP(M811,#REF!,2,FALSE)</f>
        <v>#N/A</v>
      </c>
      <c r="O811" s="1908" t="s">
        <v>5314</v>
      </c>
      <c r="P811" s="2278" t="s">
        <v>3687</v>
      </c>
      <c r="Q811" s="2259"/>
      <c r="R811" s="2260"/>
      <c r="S811" s="1908" t="s">
        <v>3688</v>
      </c>
      <c r="T811" s="1908" t="s">
        <v>3689</v>
      </c>
      <c r="U811" s="1908" t="s">
        <v>3690</v>
      </c>
      <c r="V811" s="1908" t="s">
        <v>3708</v>
      </c>
      <c r="W811" s="1908" t="s">
        <v>3688</v>
      </c>
      <c r="X811" s="1908" t="s">
        <v>5315</v>
      </c>
      <c r="Y811" s="1908">
        <v>34000</v>
      </c>
      <c r="Z811" s="1908"/>
      <c r="AA811" s="1908" t="s">
        <v>3694</v>
      </c>
      <c r="AB811" s="1908" t="s">
        <v>5317</v>
      </c>
      <c r="AC811" s="1908" t="s">
        <v>3696</v>
      </c>
      <c r="AD811" s="2278" t="s">
        <v>5501</v>
      </c>
      <c r="AE811" s="2259"/>
      <c r="AF811" s="2260"/>
      <c r="AG811" s="2278" t="s">
        <v>3696</v>
      </c>
      <c r="AH811" s="2259"/>
      <c r="AI811" s="2260"/>
      <c r="AJ811" s="1908" t="s">
        <v>4785</v>
      </c>
      <c r="AK811" s="2278" t="s">
        <v>5319</v>
      </c>
      <c r="AL811" s="2259"/>
      <c r="AM811" s="2259"/>
      <c r="AN811" s="2259"/>
      <c r="AO811" s="2260"/>
      <c r="AP811" s="1908" t="s">
        <v>3699</v>
      </c>
      <c r="BC811" s="214"/>
      <c r="BD811" s="214"/>
      <c r="BE811" s="214"/>
      <c r="BF811" s="214"/>
    </row>
    <row r="812" spans="1:58" ht="45" hidden="1" customHeight="1">
      <c r="A812" s="808"/>
      <c r="B812" s="2280"/>
      <c r="C812" s="2281"/>
      <c r="D812" s="2282"/>
      <c r="E812" s="1909" t="s">
        <v>3682</v>
      </c>
      <c r="F812" s="1909" t="s">
        <v>4690</v>
      </c>
      <c r="G812" s="1909"/>
      <c r="H812" s="2283" t="s">
        <v>5497</v>
      </c>
      <c r="I812" s="2281"/>
      <c r="J812" s="2282"/>
      <c r="K812" s="2283" t="s">
        <v>5502</v>
      </c>
      <c r="L812" s="2282"/>
      <c r="M812" s="1909" t="e">
        <f>VLOOKUP(K812,'Estimate Details'!$R:$BR,20,FALSE)</f>
        <v>#N/A</v>
      </c>
      <c r="N812" s="1909" t="e">
        <f>VLOOKUP(M812,#REF!,2,FALSE)</f>
        <v>#N/A</v>
      </c>
      <c r="O812" s="1909" t="s">
        <v>5314</v>
      </c>
      <c r="P812" s="2284" t="s">
        <v>3687</v>
      </c>
      <c r="Q812" s="2281"/>
      <c r="R812" s="2282"/>
      <c r="S812" s="1909" t="s">
        <v>3688</v>
      </c>
      <c r="T812" s="1909" t="s">
        <v>3689</v>
      </c>
      <c r="U812" s="1909" t="s">
        <v>3690</v>
      </c>
      <c r="V812" s="1909" t="s">
        <v>3708</v>
      </c>
      <c r="W812" s="1909" t="s">
        <v>3688</v>
      </c>
      <c r="X812" s="1909" t="s">
        <v>5315</v>
      </c>
      <c r="Y812" s="1909">
        <v>34000</v>
      </c>
      <c r="Z812" s="1909"/>
      <c r="AA812" s="1909" t="s">
        <v>3694</v>
      </c>
      <c r="AB812" s="1909" t="s">
        <v>5317</v>
      </c>
      <c r="AC812" s="1909" t="s">
        <v>3696</v>
      </c>
      <c r="AD812" s="2283" t="s">
        <v>5501</v>
      </c>
      <c r="AE812" s="2281"/>
      <c r="AF812" s="2282"/>
      <c r="AG812" s="2283" t="s">
        <v>3696</v>
      </c>
      <c r="AH812" s="2281"/>
      <c r="AI812" s="2282"/>
      <c r="AJ812" s="1909" t="s">
        <v>4785</v>
      </c>
      <c r="AK812" s="2283" t="s">
        <v>5319</v>
      </c>
      <c r="AL812" s="2281"/>
      <c r="AM812" s="2259"/>
      <c r="AN812" s="2281"/>
      <c r="AO812" s="2282"/>
      <c r="AP812" s="1909" t="s">
        <v>3699</v>
      </c>
      <c r="BC812" s="214"/>
      <c r="BD812" s="214"/>
      <c r="BE812" s="214"/>
      <c r="BF812" s="214"/>
    </row>
    <row r="813" spans="1:58" ht="45" hidden="1" customHeight="1">
      <c r="B813" s="2277"/>
      <c r="C813" s="2259"/>
      <c r="D813" s="2260"/>
      <c r="E813" s="1908" t="s">
        <v>3682</v>
      </c>
      <c r="F813" s="1908" t="s">
        <v>4690</v>
      </c>
      <c r="G813" s="1908"/>
      <c r="H813" s="2278" t="s">
        <v>5497</v>
      </c>
      <c r="I813" s="2259"/>
      <c r="J813" s="2260"/>
      <c r="K813" s="2278" t="s">
        <v>5503</v>
      </c>
      <c r="L813" s="2260"/>
      <c r="M813" s="1908" t="e">
        <f>VLOOKUP(K813,'Estimate Details'!$R:$BR,20,FALSE)</f>
        <v>#N/A</v>
      </c>
      <c r="N813" s="1908" t="e">
        <f>VLOOKUP(M813,#REF!,2,FALSE)</f>
        <v>#N/A</v>
      </c>
      <c r="O813" s="1908" t="s">
        <v>5314</v>
      </c>
      <c r="P813" s="2278" t="s">
        <v>3687</v>
      </c>
      <c r="Q813" s="2259"/>
      <c r="R813" s="2260"/>
      <c r="S813" s="1908" t="s">
        <v>3688</v>
      </c>
      <c r="T813" s="1908" t="s">
        <v>3689</v>
      </c>
      <c r="U813" s="1908" t="s">
        <v>3690</v>
      </c>
      <c r="V813" s="1908" t="s">
        <v>3708</v>
      </c>
      <c r="W813" s="1908" t="s">
        <v>3688</v>
      </c>
      <c r="X813" s="1908" t="s">
        <v>5315</v>
      </c>
      <c r="Y813" s="1908">
        <v>34000</v>
      </c>
      <c r="Z813" s="1908"/>
      <c r="AA813" s="1908" t="s">
        <v>3694</v>
      </c>
      <c r="AB813" s="1908" t="s">
        <v>5317</v>
      </c>
      <c r="AC813" s="1908" t="s">
        <v>3696</v>
      </c>
      <c r="AD813" s="2278" t="s">
        <v>1</v>
      </c>
      <c r="AE813" s="2259"/>
      <c r="AF813" s="2260"/>
      <c r="AG813" s="2278" t="s">
        <v>3696</v>
      </c>
      <c r="AH813" s="2259"/>
      <c r="AI813" s="2260"/>
      <c r="AJ813" s="1908" t="s">
        <v>4785</v>
      </c>
      <c r="AK813" s="2278" t="s">
        <v>5319</v>
      </c>
      <c r="AL813" s="2259"/>
      <c r="AM813" s="2259"/>
      <c r="AN813" s="2259"/>
      <c r="AO813" s="2260"/>
      <c r="AP813" s="1908" t="s">
        <v>3699</v>
      </c>
      <c r="BC813" s="214"/>
      <c r="BD813" s="214"/>
      <c r="BE813" s="214"/>
      <c r="BF813" s="214"/>
    </row>
    <row r="814" spans="1:58" ht="45" hidden="1" customHeight="1">
      <c r="A814" s="808"/>
      <c r="B814" s="2280"/>
      <c r="C814" s="2281"/>
      <c r="D814" s="2282"/>
      <c r="E814" s="1909" t="s">
        <v>3682</v>
      </c>
      <c r="F814" s="1909" t="s">
        <v>4690</v>
      </c>
      <c r="G814" s="1909"/>
      <c r="H814" s="2283" t="s">
        <v>5497</v>
      </c>
      <c r="I814" s="2281"/>
      <c r="J814" s="2282"/>
      <c r="K814" s="2283" t="s">
        <v>5504</v>
      </c>
      <c r="L814" s="2282"/>
      <c r="M814" s="1909" t="e">
        <f>VLOOKUP(K814,'Estimate Details'!$R:$BR,20,FALSE)</f>
        <v>#N/A</v>
      </c>
      <c r="N814" s="1909" t="e">
        <f>VLOOKUP(M814,#REF!,2,FALSE)</f>
        <v>#N/A</v>
      </c>
      <c r="O814" s="1909" t="s">
        <v>5314</v>
      </c>
      <c r="P814" s="2284" t="s">
        <v>3687</v>
      </c>
      <c r="Q814" s="2281"/>
      <c r="R814" s="2282"/>
      <c r="S814" s="1909" t="s">
        <v>3688</v>
      </c>
      <c r="T814" s="1909" t="s">
        <v>3689</v>
      </c>
      <c r="U814" s="1909" t="s">
        <v>3690</v>
      </c>
      <c r="V814" s="1909" t="s">
        <v>3708</v>
      </c>
      <c r="W814" s="1909" t="s">
        <v>3688</v>
      </c>
      <c r="X814" s="1909" t="s">
        <v>5315</v>
      </c>
      <c r="Y814" s="1909">
        <v>34000</v>
      </c>
      <c r="Z814" s="1909"/>
      <c r="AA814" s="1909" t="s">
        <v>3694</v>
      </c>
      <c r="AB814" s="1909" t="s">
        <v>5317</v>
      </c>
      <c r="AC814" s="1909" t="s">
        <v>3696</v>
      </c>
      <c r="AD814" s="2283" t="s">
        <v>1</v>
      </c>
      <c r="AE814" s="2281"/>
      <c r="AF814" s="2282"/>
      <c r="AG814" s="2283" t="s">
        <v>3696</v>
      </c>
      <c r="AH814" s="2281"/>
      <c r="AI814" s="2282"/>
      <c r="AJ814" s="1909" t="s">
        <v>4785</v>
      </c>
      <c r="AK814" s="2283" t="s">
        <v>5319</v>
      </c>
      <c r="AL814" s="2281"/>
      <c r="AM814" s="2259"/>
      <c r="AN814" s="2281"/>
      <c r="AO814" s="2282"/>
      <c r="AP814" s="1909" t="s">
        <v>3699</v>
      </c>
      <c r="BC814" s="214"/>
      <c r="BD814" s="214"/>
      <c r="BE814" s="214"/>
      <c r="BF814" s="214"/>
    </row>
    <row r="815" spans="1:58" ht="45" hidden="1" customHeight="1">
      <c r="B815" s="2277"/>
      <c r="C815" s="2259"/>
      <c r="D815" s="2260"/>
      <c r="E815" s="1908" t="s">
        <v>3682</v>
      </c>
      <c r="F815" s="1908" t="s">
        <v>4690</v>
      </c>
      <c r="G815" s="1908"/>
      <c r="H815" s="2278" t="s">
        <v>5497</v>
      </c>
      <c r="I815" s="2259"/>
      <c r="J815" s="2260"/>
      <c r="K815" s="2278" t="s">
        <v>5505</v>
      </c>
      <c r="L815" s="2260"/>
      <c r="M815" s="1908" t="e">
        <f>VLOOKUP(K815,'Estimate Details'!$R:$BR,20,FALSE)</f>
        <v>#N/A</v>
      </c>
      <c r="N815" s="1908" t="e">
        <f>VLOOKUP(M815,#REF!,2,FALSE)</f>
        <v>#N/A</v>
      </c>
      <c r="O815" s="1908" t="s">
        <v>5314</v>
      </c>
      <c r="P815" s="2278" t="s">
        <v>3687</v>
      </c>
      <c r="Q815" s="2259"/>
      <c r="R815" s="2260"/>
      <c r="S815" s="1908" t="s">
        <v>3688</v>
      </c>
      <c r="T815" s="1908" t="s">
        <v>3689</v>
      </c>
      <c r="U815" s="1908" t="s">
        <v>3690</v>
      </c>
      <c r="V815" s="1908" t="s">
        <v>3708</v>
      </c>
      <c r="W815" s="1908" t="s">
        <v>3688</v>
      </c>
      <c r="X815" s="1908" t="s">
        <v>5315</v>
      </c>
      <c r="Y815" s="1908">
        <v>34000</v>
      </c>
      <c r="Z815" s="1908"/>
      <c r="AA815" s="1908" t="s">
        <v>3694</v>
      </c>
      <c r="AB815" s="1908" t="s">
        <v>5317</v>
      </c>
      <c r="AC815" s="1908" t="s">
        <v>3696</v>
      </c>
      <c r="AD815" s="2278" t="s">
        <v>1</v>
      </c>
      <c r="AE815" s="2259"/>
      <c r="AF815" s="2260"/>
      <c r="AG815" s="2278" t="s">
        <v>3696</v>
      </c>
      <c r="AH815" s="2259"/>
      <c r="AI815" s="2260"/>
      <c r="AJ815" s="1908" t="s">
        <v>4785</v>
      </c>
      <c r="AK815" s="2278" t="s">
        <v>5319</v>
      </c>
      <c r="AL815" s="2259"/>
      <c r="AM815" s="2259"/>
      <c r="AN815" s="2259"/>
      <c r="AO815" s="2260"/>
      <c r="AP815" s="1908" t="s">
        <v>3699</v>
      </c>
      <c r="BC815" s="214"/>
      <c r="BD815" s="214"/>
      <c r="BE815" s="214"/>
      <c r="BF815" s="214"/>
    </row>
    <row r="816" spans="1:58" ht="45" hidden="1" customHeight="1">
      <c r="A816" s="808"/>
      <c r="B816" s="2280"/>
      <c r="C816" s="2281"/>
      <c r="D816" s="2282"/>
      <c r="E816" s="1909" t="s">
        <v>3682</v>
      </c>
      <c r="F816" s="1909" t="s">
        <v>4690</v>
      </c>
      <c r="G816" s="1909"/>
      <c r="H816" s="2283" t="s">
        <v>5497</v>
      </c>
      <c r="I816" s="2281"/>
      <c r="J816" s="2282"/>
      <c r="K816" s="2283" t="s">
        <v>5506</v>
      </c>
      <c r="L816" s="2282"/>
      <c r="M816" s="1909" t="e">
        <f>VLOOKUP(K816,'Estimate Details'!$R:$BR,20,FALSE)</f>
        <v>#N/A</v>
      </c>
      <c r="N816" s="1909" t="e">
        <f>VLOOKUP(M816,#REF!,2,FALSE)</f>
        <v>#N/A</v>
      </c>
      <c r="O816" s="1909" t="s">
        <v>5314</v>
      </c>
      <c r="P816" s="2284" t="s">
        <v>3687</v>
      </c>
      <c r="Q816" s="2281"/>
      <c r="R816" s="2282"/>
      <c r="S816" s="1909" t="s">
        <v>3688</v>
      </c>
      <c r="T816" s="1909" t="s">
        <v>3689</v>
      </c>
      <c r="U816" s="1909" t="s">
        <v>3690</v>
      </c>
      <c r="V816" s="1909" t="s">
        <v>3708</v>
      </c>
      <c r="W816" s="1909" t="s">
        <v>3688</v>
      </c>
      <c r="X816" s="1909" t="s">
        <v>5315</v>
      </c>
      <c r="Y816" s="1909">
        <v>34000</v>
      </c>
      <c r="Z816" s="1909"/>
      <c r="AA816" s="1909" t="s">
        <v>3694</v>
      </c>
      <c r="AB816" s="1909" t="s">
        <v>5317</v>
      </c>
      <c r="AC816" s="1909" t="s">
        <v>3696</v>
      </c>
      <c r="AD816" s="2283" t="s">
        <v>1</v>
      </c>
      <c r="AE816" s="2281"/>
      <c r="AF816" s="2282"/>
      <c r="AG816" s="2283" t="s">
        <v>3696</v>
      </c>
      <c r="AH816" s="2281"/>
      <c r="AI816" s="2282"/>
      <c r="AJ816" s="1909" t="s">
        <v>4785</v>
      </c>
      <c r="AK816" s="2283" t="s">
        <v>5319</v>
      </c>
      <c r="AL816" s="2281"/>
      <c r="AM816" s="2259"/>
      <c r="AN816" s="2281"/>
      <c r="AO816" s="2282"/>
      <c r="AP816" s="1909" t="s">
        <v>3699</v>
      </c>
      <c r="BC816" s="214"/>
      <c r="BD816" s="214"/>
      <c r="BE816" s="214"/>
      <c r="BF816" s="214"/>
    </row>
    <row r="817" spans="1:58" ht="45" hidden="1" customHeight="1">
      <c r="B817" s="2277"/>
      <c r="C817" s="2259"/>
      <c r="D817" s="2260"/>
      <c r="E817" s="1908" t="s">
        <v>3682</v>
      </c>
      <c r="F817" s="1908" t="s">
        <v>4690</v>
      </c>
      <c r="G817" s="1908"/>
      <c r="H817" s="2278" t="s">
        <v>5497</v>
      </c>
      <c r="I817" s="2259"/>
      <c r="J817" s="2260"/>
      <c r="K817" s="2278" t="s">
        <v>5507</v>
      </c>
      <c r="L817" s="2260"/>
      <c r="M817" s="1908" t="e">
        <f>VLOOKUP(K817,'Estimate Details'!$R:$BR,20,FALSE)</f>
        <v>#N/A</v>
      </c>
      <c r="N817" s="1908" t="e">
        <f>VLOOKUP(M817,#REF!,2,FALSE)</f>
        <v>#N/A</v>
      </c>
      <c r="O817" s="1908" t="s">
        <v>5314</v>
      </c>
      <c r="P817" s="2278" t="s">
        <v>3687</v>
      </c>
      <c r="Q817" s="2259"/>
      <c r="R817" s="2260"/>
      <c r="S817" s="1908" t="s">
        <v>3688</v>
      </c>
      <c r="T817" s="1908" t="s">
        <v>3706</v>
      </c>
      <c r="U817" s="1908" t="s">
        <v>3690</v>
      </c>
      <c r="V817" s="1908" t="s">
        <v>3708</v>
      </c>
      <c r="W817" s="1908" t="s">
        <v>3688</v>
      </c>
      <c r="X817" s="1908" t="s">
        <v>5315</v>
      </c>
      <c r="Y817" s="1908">
        <v>34000</v>
      </c>
      <c r="Z817" s="1908"/>
      <c r="AA817" s="1908" t="s">
        <v>3694</v>
      </c>
      <c r="AB817" s="1908" t="s">
        <v>5317</v>
      </c>
      <c r="AC817" s="1908" t="s">
        <v>3696</v>
      </c>
      <c r="AD817" s="2278" t="s">
        <v>1</v>
      </c>
      <c r="AE817" s="2259"/>
      <c r="AF817" s="2260"/>
      <c r="AG817" s="2278" t="s">
        <v>3696</v>
      </c>
      <c r="AH817" s="2259"/>
      <c r="AI817" s="2260"/>
      <c r="AJ817" s="1908" t="s">
        <v>4785</v>
      </c>
      <c r="AK817" s="2278" t="s">
        <v>5319</v>
      </c>
      <c r="AL817" s="2259"/>
      <c r="AM817" s="2259"/>
      <c r="AN817" s="2259"/>
      <c r="AO817" s="2260"/>
      <c r="AP817" s="1908" t="s">
        <v>3699</v>
      </c>
      <c r="BC817" s="214"/>
      <c r="BD817" s="214"/>
      <c r="BE817" s="214"/>
      <c r="BF817" s="214"/>
    </row>
    <row r="818" spans="1:58" ht="45" hidden="1" customHeight="1">
      <c r="A818" s="808"/>
      <c r="B818" s="2280"/>
      <c r="C818" s="2281"/>
      <c r="D818" s="2282"/>
      <c r="E818" s="1909" t="s">
        <v>3682</v>
      </c>
      <c r="F818" s="1909" t="s">
        <v>4690</v>
      </c>
      <c r="G818" s="1909"/>
      <c r="H818" s="2283" t="s">
        <v>5497</v>
      </c>
      <c r="I818" s="2281"/>
      <c r="J818" s="2282"/>
      <c r="K818" s="2283" t="s">
        <v>5508</v>
      </c>
      <c r="L818" s="2282"/>
      <c r="M818" s="1909" t="e">
        <f>VLOOKUP(K818,'Estimate Details'!$R:$BR,20,FALSE)</f>
        <v>#N/A</v>
      </c>
      <c r="N818" s="1909" t="e">
        <f>VLOOKUP(M818,#REF!,2,FALSE)</f>
        <v>#N/A</v>
      </c>
      <c r="O818" s="1909" t="s">
        <v>5314</v>
      </c>
      <c r="P818" s="2284" t="s">
        <v>3687</v>
      </c>
      <c r="Q818" s="2281"/>
      <c r="R818" s="2282"/>
      <c r="S818" s="1909" t="s">
        <v>3688</v>
      </c>
      <c r="T818" s="1909" t="s">
        <v>3706</v>
      </c>
      <c r="U818" s="1909" t="s">
        <v>3690</v>
      </c>
      <c r="V818" s="1909" t="s">
        <v>3708</v>
      </c>
      <c r="W818" s="1909" t="s">
        <v>3688</v>
      </c>
      <c r="X818" s="1909" t="s">
        <v>5315</v>
      </c>
      <c r="Y818" s="1909">
        <v>34000</v>
      </c>
      <c r="Z818" s="1909"/>
      <c r="AA818" s="1909" t="s">
        <v>3694</v>
      </c>
      <c r="AB818" s="1909" t="s">
        <v>5317</v>
      </c>
      <c r="AC818" s="1909" t="s">
        <v>3696</v>
      </c>
      <c r="AD818" s="2283" t="s">
        <v>1</v>
      </c>
      <c r="AE818" s="2281"/>
      <c r="AF818" s="2282"/>
      <c r="AG818" s="2283" t="s">
        <v>3696</v>
      </c>
      <c r="AH818" s="2281"/>
      <c r="AI818" s="2282"/>
      <c r="AJ818" s="1909" t="s">
        <v>4785</v>
      </c>
      <c r="AK818" s="2283" t="s">
        <v>5319</v>
      </c>
      <c r="AL818" s="2281"/>
      <c r="AM818" s="2259"/>
      <c r="AN818" s="2281"/>
      <c r="AO818" s="2282"/>
      <c r="AP818" s="1909" t="s">
        <v>3699</v>
      </c>
      <c r="BC818" s="214"/>
      <c r="BD818" s="214"/>
      <c r="BE818" s="214"/>
      <c r="BF818" s="214"/>
    </row>
    <row r="819" spans="1:58" ht="45" hidden="1" customHeight="1">
      <c r="B819" s="2277"/>
      <c r="C819" s="2259"/>
      <c r="D819" s="2260"/>
      <c r="E819" s="1908" t="s">
        <v>3682</v>
      </c>
      <c r="F819" s="1908" t="s">
        <v>4690</v>
      </c>
      <c r="G819" s="1908"/>
      <c r="H819" s="2278" t="s">
        <v>5497</v>
      </c>
      <c r="I819" s="2259"/>
      <c r="J819" s="2260"/>
      <c r="K819" s="2278" t="s">
        <v>5509</v>
      </c>
      <c r="L819" s="2260"/>
      <c r="M819" s="1908" t="e">
        <f>VLOOKUP(K819,'Estimate Details'!$R:$BR,20,FALSE)</f>
        <v>#N/A</v>
      </c>
      <c r="N819" s="1908" t="e">
        <f>VLOOKUP(M819,#REF!,2,FALSE)</f>
        <v>#N/A</v>
      </c>
      <c r="O819" s="1908" t="s">
        <v>5330</v>
      </c>
      <c r="P819" s="2278" t="s">
        <v>3687</v>
      </c>
      <c r="Q819" s="2259"/>
      <c r="R819" s="2260"/>
      <c r="S819" s="1908" t="s">
        <v>3688</v>
      </c>
      <c r="T819" s="1908" t="s">
        <v>3689</v>
      </c>
      <c r="U819" s="1908" t="s">
        <v>3690</v>
      </c>
      <c r="V819" s="1908" t="s">
        <v>3708</v>
      </c>
      <c r="W819" s="1908" t="s">
        <v>3688</v>
      </c>
      <c r="X819" s="1908" t="s">
        <v>3709</v>
      </c>
      <c r="Y819" s="1908">
        <v>43400</v>
      </c>
      <c r="Z819" s="1908"/>
      <c r="AA819" s="1908" t="s">
        <v>3694</v>
      </c>
      <c r="AB819" s="1908" t="s">
        <v>3711</v>
      </c>
      <c r="AC819" s="1908" t="s">
        <v>3696</v>
      </c>
      <c r="AD819" s="2278" t="s">
        <v>5331</v>
      </c>
      <c r="AE819" s="2259"/>
      <c r="AF819" s="2260"/>
      <c r="AG819" s="2278" t="s">
        <v>3696</v>
      </c>
      <c r="AH819" s="2259"/>
      <c r="AI819" s="2260"/>
      <c r="AJ819" s="1908" t="s">
        <v>3714</v>
      </c>
      <c r="AK819" s="2278" t="s">
        <v>3715</v>
      </c>
      <c r="AL819" s="2259"/>
      <c r="AM819" s="2259"/>
      <c r="AN819" s="2259"/>
      <c r="AO819" s="2260"/>
      <c r="AP819" s="1908" t="s">
        <v>3699</v>
      </c>
      <c r="BC819" s="214"/>
      <c r="BD819" s="214"/>
      <c r="BE819" s="214"/>
      <c r="BF819" s="214"/>
    </row>
    <row r="820" spans="1:58" ht="45" hidden="1" customHeight="1">
      <c r="A820" s="808"/>
      <c r="B820" s="2280"/>
      <c r="C820" s="2281"/>
      <c r="D820" s="2282"/>
      <c r="E820" s="1909" t="s">
        <v>3682</v>
      </c>
      <c r="F820" s="1909" t="s">
        <v>4690</v>
      </c>
      <c r="G820" s="1909"/>
      <c r="H820" s="2283" t="s">
        <v>5497</v>
      </c>
      <c r="I820" s="2281"/>
      <c r="J820" s="2282"/>
      <c r="K820" s="2283" t="s">
        <v>5510</v>
      </c>
      <c r="L820" s="2282"/>
      <c r="M820" s="1909" t="e">
        <f>VLOOKUP(K820,'Estimate Details'!$R:$BR,20,FALSE)</f>
        <v>#N/A</v>
      </c>
      <c r="N820" s="1909" t="e">
        <f>VLOOKUP(M820,#REF!,2,FALSE)</f>
        <v>#N/A</v>
      </c>
      <c r="O820" s="1909" t="s">
        <v>5330</v>
      </c>
      <c r="P820" s="2284" t="s">
        <v>3687</v>
      </c>
      <c r="Q820" s="2281"/>
      <c r="R820" s="2282"/>
      <c r="S820" s="1909" t="s">
        <v>3688</v>
      </c>
      <c r="T820" s="1909" t="s">
        <v>3689</v>
      </c>
      <c r="U820" s="1909" t="s">
        <v>3690</v>
      </c>
      <c r="V820" s="1909" t="s">
        <v>3708</v>
      </c>
      <c r="W820" s="1909" t="s">
        <v>3688</v>
      </c>
      <c r="X820" s="1909" t="s">
        <v>3709</v>
      </c>
      <c r="Y820" s="1909">
        <v>43400</v>
      </c>
      <c r="Z820" s="1909"/>
      <c r="AA820" s="1909" t="s">
        <v>3694</v>
      </c>
      <c r="AB820" s="1909" t="s">
        <v>3711</v>
      </c>
      <c r="AC820" s="1909" t="s">
        <v>3696</v>
      </c>
      <c r="AD820" s="2283" t="s">
        <v>5331</v>
      </c>
      <c r="AE820" s="2281"/>
      <c r="AF820" s="2282"/>
      <c r="AG820" s="2283" t="s">
        <v>3696</v>
      </c>
      <c r="AH820" s="2281"/>
      <c r="AI820" s="2282"/>
      <c r="AJ820" s="1909" t="s">
        <v>3714</v>
      </c>
      <c r="AK820" s="2283" t="s">
        <v>3715</v>
      </c>
      <c r="AL820" s="2281"/>
      <c r="AM820" s="2259"/>
      <c r="AN820" s="2281"/>
      <c r="AO820" s="2282"/>
      <c r="AP820" s="1909" t="s">
        <v>3699</v>
      </c>
      <c r="BC820" s="214"/>
      <c r="BD820" s="214"/>
      <c r="BE820" s="214"/>
      <c r="BF820" s="214"/>
    </row>
    <row r="821" spans="1:58" ht="45" hidden="1" customHeight="1">
      <c r="B821" s="2277"/>
      <c r="C821" s="2259"/>
      <c r="D821" s="2260"/>
      <c r="E821" s="1908" t="s">
        <v>3682</v>
      </c>
      <c r="F821" s="1908" t="s">
        <v>4690</v>
      </c>
      <c r="G821" s="1908"/>
      <c r="H821" s="2278" t="s">
        <v>5497</v>
      </c>
      <c r="I821" s="2259"/>
      <c r="J821" s="2260"/>
      <c r="K821" s="2278" t="s">
        <v>5511</v>
      </c>
      <c r="L821" s="2260"/>
      <c r="M821" s="1908" t="e">
        <f>VLOOKUP(K821,'Estimate Details'!$R:$BR,20,FALSE)</f>
        <v>#N/A</v>
      </c>
      <c r="N821" s="1908" t="e">
        <f>VLOOKUP(M821,#REF!,2,FALSE)</f>
        <v>#N/A</v>
      </c>
      <c r="O821" s="1908" t="s">
        <v>5334</v>
      </c>
      <c r="P821" s="2278" t="s">
        <v>3687</v>
      </c>
      <c r="Q821" s="2259"/>
      <c r="R821" s="2260"/>
      <c r="S821" s="1908" t="s">
        <v>3688</v>
      </c>
      <c r="T821" s="1908" t="s">
        <v>3689</v>
      </c>
      <c r="U821" s="1908" t="s">
        <v>3690</v>
      </c>
      <c r="V821" s="1908" t="s">
        <v>3691</v>
      </c>
      <c r="W821" s="1908" t="s">
        <v>3688</v>
      </c>
      <c r="X821" s="1908"/>
      <c r="Y821" s="1908"/>
      <c r="Z821" s="1908" t="s">
        <v>3762</v>
      </c>
      <c r="AA821" s="1908" t="s">
        <v>3694</v>
      </c>
      <c r="AB821" s="1908" t="s">
        <v>5335</v>
      </c>
      <c r="AC821" s="1908" t="s">
        <v>3696</v>
      </c>
      <c r="AD821" s="2278" t="s">
        <v>3688</v>
      </c>
      <c r="AE821" s="2259"/>
      <c r="AF821" s="2260"/>
      <c r="AG821" s="2278" t="s">
        <v>3696</v>
      </c>
      <c r="AH821" s="2259"/>
      <c r="AI821" s="2260"/>
      <c r="AJ821" s="1908" t="s">
        <v>3814</v>
      </c>
      <c r="AK821" s="2278" t="s">
        <v>5336</v>
      </c>
      <c r="AL821" s="2259"/>
      <c r="AM821" s="2259"/>
      <c r="AN821" s="2259"/>
      <c r="AO821" s="2260"/>
      <c r="AP821" s="1908" t="s">
        <v>3699</v>
      </c>
      <c r="BC821" s="214"/>
      <c r="BD821" s="214"/>
      <c r="BE821" s="214"/>
      <c r="BF821" s="214"/>
    </row>
    <row r="822" spans="1:58" ht="45" hidden="1" customHeight="1">
      <c r="A822" s="808"/>
      <c r="B822" s="2280"/>
      <c r="C822" s="2281"/>
      <c r="D822" s="2282"/>
      <c r="E822" s="1909" t="s">
        <v>3682</v>
      </c>
      <c r="F822" s="1909" t="s">
        <v>4690</v>
      </c>
      <c r="G822" s="1909"/>
      <c r="H822" s="2283" t="s">
        <v>5497</v>
      </c>
      <c r="I822" s="2281"/>
      <c r="J822" s="2282"/>
      <c r="K822" s="2283" t="s">
        <v>5512</v>
      </c>
      <c r="L822" s="2282"/>
      <c r="M822" s="1909" t="e">
        <f>VLOOKUP(K822,'Estimate Details'!$R:$BR,20,FALSE)</f>
        <v>#N/A</v>
      </c>
      <c r="N822" s="1909" t="e">
        <f>VLOOKUP(M822,#REF!,2,FALSE)</f>
        <v>#N/A</v>
      </c>
      <c r="O822" s="1909" t="s">
        <v>5513</v>
      </c>
      <c r="P822" s="2284" t="s">
        <v>3687</v>
      </c>
      <c r="Q822" s="2281"/>
      <c r="R822" s="2282"/>
      <c r="S822" s="1909" t="s">
        <v>3688</v>
      </c>
      <c r="T822" s="1909" t="s">
        <v>3689</v>
      </c>
      <c r="U822" s="1909" t="s">
        <v>3690</v>
      </c>
      <c r="V822" s="1909" t="s">
        <v>3691</v>
      </c>
      <c r="W822" s="1909" t="s">
        <v>3688</v>
      </c>
      <c r="X822" s="1909"/>
      <c r="Y822" s="1909"/>
      <c r="Z822" s="1909"/>
      <c r="AA822" s="1909" t="s">
        <v>3694</v>
      </c>
      <c r="AB822" s="1909" t="s">
        <v>5514</v>
      </c>
      <c r="AC822" s="1909" t="s">
        <v>3696</v>
      </c>
      <c r="AD822" s="2283" t="s">
        <v>3688</v>
      </c>
      <c r="AE822" s="2281"/>
      <c r="AF822" s="2282"/>
      <c r="AG822" s="2283" t="s">
        <v>3696</v>
      </c>
      <c r="AH822" s="2281"/>
      <c r="AI822" s="2282"/>
      <c r="AJ822" s="1909" t="s">
        <v>3814</v>
      </c>
      <c r="AK822" s="2283" t="s">
        <v>5336</v>
      </c>
      <c r="AL822" s="2281"/>
      <c r="AM822" s="2259"/>
      <c r="AN822" s="2281"/>
      <c r="AO822" s="2282"/>
      <c r="AP822" s="1909" t="s">
        <v>3699</v>
      </c>
      <c r="BC822" s="214"/>
      <c r="BD822" s="214"/>
      <c r="BE822" s="214"/>
      <c r="BF822" s="214"/>
    </row>
    <row r="823" spans="1:58" ht="45" hidden="1" customHeight="1">
      <c r="B823" s="2277"/>
      <c r="C823" s="2259"/>
      <c r="D823" s="2260"/>
      <c r="E823" s="1908" t="s">
        <v>3682</v>
      </c>
      <c r="F823" s="1908" t="s">
        <v>4690</v>
      </c>
      <c r="G823" s="1908"/>
      <c r="H823" s="2278" t="s">
        <v>5497</v>
      </c>
      <c r="I823" s="2259"/>
      <c r="J823" s="2260"/>
      <c r="K823" s="2278" t="s">
        <v>5515</v>
      </c>
      <c r="L823" s="2260"/>
      <c r="M823" s="1908" t="e">
        <f>VLOOKUP(K823,'Estimate Details'!$R:$BR,20,FALSE)</f>
        <v>#N/A</v>
      </c>
      <c r="N823" s="1908" t="e">
        <f>VLOOKUP(M823,#REF!,2,FALSE)</f>
        <v>#N/A</v>
      </c>
      <c r="O823" s="1908" t="s">
        <v>5338</v>
      </c>
      <c r="P823" s="2278" t="s">
        <v>3687</v>
      </c>
      <c r="Q823" s="2259"/>
      <c r="R823" s="2260"/>
      <c r="S823" s="1908" t="s">
        <v>3688</v>
      </c>
      <c r="T823" s="1908" t="s">
        <v>3689</v>
      </c>
      <c r="U823" s="1908" t="s">
        <v>3690</v>
      </c>
      <c r="V823" s="1908" t="s">
        <v>3708</v>
      </c>
      <c r="W823" s="1908" t="s">
        <v>3688</v>
      </c>
      <c r="X823" s="1908" t="s">
        <v>5339</v>
      </c>
      <c r="Y823" s="1908" t="s">
        <v>5340</v>
      </c>
      <c r="Z823" s="1908"/>
      <c r="AA823" s="1908" t="s">
        <v>3694</v>
      </c>
      <c r="AB823" s="1908" t="s">
        <v>5341</v>
      </c>
      <c r="AC823" s="1908" t="s">
        <v>3696</v>
      </c>
      <c r="AD823" s="2278" t="s">
        <v>1</v>
      </c>
      <c r="AE823" s="2259"/>
      <c r="AF823" s="2260"/>
      <c r="AG823" s="2278" t="s">
        <v>3696</v>
      </c>
      <c r="AH823" s="2259"/>
      <c r="AI823" s="2260"/>
      <c r="AJ823" s="1908" t="s">
        <v>3731</v>
      </c>
      <c r="AK823" s="2278" t="s">
        <v>5343</v>
      </c>
      <c r="AL823" s="2259"/>
      <c r="AM823" s="2259"/>
      <c r="AN823" s="2259"/>
      <c r="AO823" s="2260"/>
      <c r="AP823" s="1908" t="s">
        <v>3699</v>
      </c>
      <c r="BC823" s="214"/>
      <c r="BD823" s="214"/>
      <c r="BE823" s="214"/>
      <c r="BF823" s="214"/>
    </row>
    <row r="824" spans="1:58" ht="45" hidden="1" customHeight="1">
      <c r="A824" s="808"/>
      <c r="B824" s="2280"/>
      <c r="C824" s="2281"/>
      <c r="D824" s="2282"/>
      <c r="E824" s="1909" t="s">
        <v>3682</v>
      </c>
      <c r="F824" s="1909" t="s">
        <v>4690</v>
      </c>
      <c r="G824" s="1909"/>
      <c r="H824" s="2283" t="s">
        <v>5497</v>
      </c>
      <c r="I824" s="2281"/>
      <c r="J824" s="2282"/>
      <c r="K824" s="2283" t="s">
        <v>5516</v>
      </c>
      <c r="L824" s="2282"/>
      <c r="M824" s="1909" t="e">
        <f>VLOOKUP(K824,'Estimate Details'!$R:$BR,20,FALSE)</f>
        <v>#N/A</v>
      </c>
      <c r="N824" s="1909" t="e">
        <f>VLOOKUP(M824,#REF!,2,FALSE)</f>
        <v>#N/A</v>
      </c>
      <c r="O824" s="1909" t="s">
        <v>5345</v>
      </c>
      <c r="P824" s="2284" t="s">
        <v>3687</v>
      </c>
      <c r="Q824" s="2281"/>
      <c r="R824" s="2282"/>
      <c r="S824" s="1909" t="s">
        <v>3688</v>
      </c>
      <c r="T824" s="1909" t="s">
        <v>3689</v>
      </c>
      <c r="U824" s="1909" t="s">
        <v>3690</v>
      </c>
      <c r="V824" s="1909" t="s">
        <v>3708</v>
      </c>
      <c r="W824" s="1909" t="s">
        <v>3688</v>
      </c>
      <c r="X824" s="1909" t="s">
        <v>3726</v>
      </c>
      <c r="Y824" s="1909" t="s">
        <v>3727</v>
      </c>
      <c r="Z824" s="1909"/>
      <c r="AA824" s="1909" t="s">
        <v>3694</v>
      </c>
      <c r="AB824" s="1909" t="s">
        <v>3728</v>
      </c>
      <c r="AC824" s="1909" t="s">
        <v>3696</v>
      </c>
      <c r="AD824" s="2283" t="s">
        <v>3730</v>
      </c>
      <c r="AE824" s="2281"/>
      <c r="AF824" s="2282"/>
      <c r="AG824" s="2283" t="s">
        <v>3696</v>
      </c>
      <c r="AH824" s="2281"/>
      <c r="AI824" s="2282"/>
      <c r="AJ824" s="1909" t="s">
        <v>3731</v>
      </c>
      <c r="AK824" s="2283" t="s">
        <v>3732</v>
      </c>
      <c r="AL824" s="2281"/>
      <c r="AM824" s="2259"/>
      <c r="AN824" s="2281"/>
      <c r="AO824" s="2282"/>
      <c r="AP824" s="1909" t="s">
        <v>3699</v>
      </c>
      <c r="BC824" s="214"/>
      <c r="BD824" s="214"/>
      <c r="BE824" s="214"/>
      <c r="BF824" s="214"/>
    </row>
    <row r="825" spans="1:58" ht="45" hidden="1" customHeight="1">
      <c r="B825" s="2277"/>
      <c r="C825" s="2259"/>
      <c r="D825" s="2260"/>
      <c r="E825" s="1908" t="s">
        <v>3682</v>
      </c>
      <c r="F825" s="1908" t="s">
        <v>4690</v>
      </c>
      <c r="G825" s="1908"/>
      <c r="H825" s="2278" t="s">
        <v>5497</v>
      </c>
      <c r="I825" s="2259"/>
      <c r="J825" s="2260"/>
      <c r="K825" s="2278" t="s">
        <v>5517</v>
      </c>
      <c r="L825" s="2260"/>
      <c r="M825" s="1908" t="e">
        <f>VLOOKUP(K825,'Estimate Details'!$R:$BR,20,FALSE)</f>
        <v>#N/A</v>
      </c>
      <c r="N825" s="1908" t="e">
        <f>VLOOKUP(M825,#REF!,2,FALSE)</f>
        <v>#N/A</v>
      </c>
      <c r="O825" s="1908" t="s">
        <v>5345</v>
      </c>
      <c r="P825" s="2278" t="s">
        <v>3687</v>
      </c>
      <c r="Q825" s="2259"/>
      <c r="R825" s="2260"/>
      <c r="S825" s="1908" t="s">
        <v>3688</v>
      </c>
      <c r="T825" s="1908" t="s">
        <v>3689</v>
      </c>
      <c r="U825" s="1908" t="s">
        <v>3690</v>
      </c>
      <c r="V825" s="1908" t="s">
        <v>3708</v>
      </c>
      <c r="W825" s="1908" t="s">
        <v>3688</v>
      </c>
      <c r="X825" s="1908" t="s">
        <v>3726</v>
      </c>
      <c r="Y825" s="1908" t="s">
        <v>3727</v>
      </c>
      <c r="Z825" s="1908"/>
      <c r="AA825" s="1908" t="s">
        <v>3694</v>
      </c>
      <c r="AB825" s="1908" t="s">
        <v>3728</v>
      </c>
      <c r="AC825" s="1908" t="s">
        <v>3696</v>
      </c>
      <c r="AD825" s="2278" t="s">
        <v>3730</v>
      </c>
      <c r="AE825" s="2259"/>
      <c r="AF825" s="2260"/>
      <c r="AG825" s="2278" t="s">
        <v>3696</v>
      </c>
      <c r="AH825" s="2259"/>
      <c r="AI825" s="2260"/>
      <c r="AJ825" s="1908" t="s">
        <v>3731</v>
      </c>
      <c r="AK825" s="2278" t="s">
        <v>3732</v>
      </c>
      <c r="AL825" s="2259"/>
      <c r="AM825" s="2259"/>
      <c r="AN825" s="2259"/>
      <c r="AO825" s="2260"/>
      <c r="AP825" s="1908" t="s">
        <v>3699</v>
      </c>
      <c r="BC825" s="214"/>
      <c r="BD825" s="214"/>
      <c r="BE825" s="214"/>
      <c r="BF825" s="214"/>
    </row>
    <row r="826" spans="1:58" ht="45" hidden="1" customHeight="1">
      <c r="A826" s="808"/>
      <c r="B826" s="2280"/>
      <c r="C826" s="2281"/>
      <c r="D826" s="2282"/>
      <c r="E826" s="1909" t="s">
        <v>3682</v>
      </c>
      <c r="F826" s="1909" t="s">
        <v>4690</v>
      </c>
      <c r="G826" s="1909"/>
      <c r="H826" s="2283" t="s">
        <v>5497</v>
      </c>
      <c r="I826" s="2281"/>
      <c r="J826" s="2282"/>
      <c r="K826" s="2283" t="s">
        <v>5518</v>
      </c>
      <c r="L826" s="2282"/>
      <c r="M826" s="1909" t="e">
        <f>VLOOKUP(K826,'Estimate Details'!$R:$BR,20,FALSE)</f>
        <v>#N/A</v>
      </c>
      <c r="N826" s="1909" t="e">
        <f>VLOOKUP(M826,#REF!,2,FALSE)</f>
        <v>#N/A</v>
      </c>
      <c r="O826" s="1909" t="s">
        <v>5345</v>
      </c>
      <c r="P826" s="2284" t="s">
        <v>3687</v>
      </c>
      <c r="Q826" s="2281"/>
      <c r="R826" s="2282"/>
      <c r="S826" s="1909" t="s">
        <v>3688</v>
      </c>
      <c r="T826" s="1909" t="s">
        <v>3689</v>
      </c>
      <c r="U826" s="1909" t="s">
        <v>3690</v>
      </c>
      <c r="V826" s="1909" t="s">
        <v>3708</v>
      </c>
      <c r="W826" s="1909" t="s">
        <v>3688</v>
      </c>
      <c r="X826" s="1909" t="s">
        <v>3726</v>
      </c>
      <c r="Y826" s="1909" t="s">
        <v>3727</v>
      </c>
      <c r="Z826" s="1909"/>
      <c r="AA826" s="1909" t="s">
        <v>3694</v>
      </c>
      <c r="AB826" s="1909" t="s">
        <v>3728</v>
      </c>
      <c r="AC826" s="1909" t="s">
        <v>3696</v>
      </c>
      <c r="AD826" s="2283" t="s">
        <v>3730</v>
      </c>
      <c r="AE826" s="2281"/>
      <c r="AF826" s="2282"/>
      <c r="AG826" s="2283" t="s">
        <v>3696</v>
      </c>
      <c r="AH826" s="2281"/>
      <c r="AI826" s="2282"/>
      <c r="AJ826" s="1909" t="s">
        <v>3731</v>
      </c>
      <c r="AK826" s="2283" t="s">
        <v>3732</v>
      </c>
      <c r="AL826" s="2281"/>
      <c r="AM826" s="2259"/>
      <c r="AN826" s="2281"/>
      <c r="AO826" s="2282"/>
      <c r="AP826" s="1909" t="s">
        <v>3699</v>
      </c>
      <c r="BC826" s="214"/>
      <c r="BD826" s="214"/>
      <c r="BE826" s="214"/>
      <c r="BF826" s="214"/>
    </row>
    <row r="827" spans="1:58" ht="45" hidden="1" customHeight="1">
      <c r="B827" s="2277"/>
      <c r="C827" s="2259"/>
      <c r="D827" s="2260"/>
      <c r="E827" s="1908" t="s">
        <v>3682</v>
      </c>
      <c r="F827" s="1908" t="s">
        <v>4690</v>
      </c>
      <c r="G827" s="1908"/>
      <c r="H827" s="2278" t="s">
        <v>5497</v>
      </c>
      <c r="I827" s="2259"/>
      <c r="J827" s="2260"/>
      <c r="K827" s="2278" t="s">
        <v>5519</v>
      </c>
      <c r="L827" s="2260"/>
      <c r="M827" s="1908" t="e">
        <f>VLOOKUP(K827,'Estimate Details'!$R:$BR,20,FALSE)</f>
        <v>#N/A</v>
      </c>
      <c r="N827" s="1908" t="e">
        <f>VLOOKUP(M827,#REF!,2,FALSE)</f>
        <v>#N/A</v>
      </c>
      <c r="O827" s="1908" t="s">
        <v>5345</v>
      </c>
      <c r="P827" s="2278" t="s">
        <v>3687</v>
      </c>
      <c r="Q827" s="2259"/>
      <c r="R827" s="2260"/>
      <c r="S827" s="1908" t="s">
        <v>3688</v>
      </c>
      <c r="T827" s="1908" t="s">
        <v>3689</v>
      </c>
      <c r="U827" s="1908" t="s">
        <v>3690</v>
      </c>
      <c r="V827" s="1908" t="s">
        <v>3708</v>
      </c>
      <c r="W827" s="1908" t="s">
        <v>3688</v>
      </c>
      <c r="X827" s="1908" t="s">
        <v>3726</v>
      </c>
      <c r="Y827" s="1908" t="s">
        <v>3727</v>
      </c>
      <c r="Z827" s="1908"/>
      <c r="AA827" s="1908" t="s">
        <v>3694</v>
      </c>
      <c r="AB827" s="1908" t="s">
        <v>3728</v>
      </c>
      <c r="AC827" s="1908" t="s">
        <v>3696</v>
      </c>
      <c r="AD827" s="2278" t="s">
        <v>3730</v>
      </c>
      <c r="AE827" s="2259"/>
      <c r="AF827" s="2260"/>
      <c r="AG827" s="2278" t="s">
        <v>3696</v>
      </c>
      <c r="AH827" s="2259"/>
      <c r="AI827" s="2260"/>
      <c r="AJ827" s="1908" t="s">
        <v>3731</v>
      </c>
      <c r="AK827" s="2278" t="s">
        <v>3732</v>
      </c>
      <c r="AL827" s="2259"/>
      <c r="AM827" s="2259"/>
      <c r="AN827" s="2259"/>
      <c r="AO827" s="2260"/>
      <c r="AP827" s="1908" t="s">
        <v>3699</v>
      </c>
      <c r="BC827" s="214"/>
      <c r="BD827" s="214"/>
      <c r="BE827" s="214"/>
      <c r="BF827" s="214"/>
    </row>
    <row r="828" spans="1:58" ht="45" hidden="1" customHeight="1">
      <c r="A828" s="808"/>
      <c r="B828" s="2280"/>
      <c r="C828" s="2281"/>
      <c r="D828" s="2282"/>
      <c r="E828" s="1909" t="s">
        <v>3682</v>
      </c>
      <c r="F828" s="1909" t="s">
        <v>4690</v>
      </c>
      <c r="G828" s="1909"/>
      <c r="H828" s="2283" t="s">
        <v>5497</v>
      </c>
      <c r="I828" s="2281"/>
      <c r="J828" s="2282"/>
      <c r="K828" s="2283" t="s">
        <v>5520</v>
      </c>
      <c r="L828" s="2282"/>
      <c r="M828" s="1909" t="e">
        <f>VLOOKUP(K828,'Estimate Details'!$R:$BR,20,FALSE)</f>
        <v>#N/A</v>
      </c>
      <c r="N828" s="1909" t="e">
        <f>VLOOKUP(M828,#REF!,2,FALSE)</f>
        <v>#N/A</v>
      </c>
      <c r="O828" s="1909" t="s">
        <v>5345</v>
      </c>
      <c r="P828" s="2284" t="s">
        <v>3687</v>
      </c>
      <c r="Q828" s="2281"/>
      <c r="R828" s="2282"/>
      <c r="S828" s="1909" t="s">
        <v>3688</v>
      </c>
      <c r="T828" s="1909" t="s">
        <v>3689</v>
      </c>
      <c r="U828" s="1909" t="s">
        <v>3690</v>
      </c>
      <c r="V828" s="1909" t="s">
        <v>3708</v>
      </c>
      <c r="W828" s="1909" t="s">
        <v>3688</v>
      </c>
      <c r="X828" s="1909" t="s">
        <v>3726</v>
      </c>
      <c r="Y828" s="1909" t="s">
        <v>3727</v>
      </c>
      <c r="Z828" s="1909"/>
      <c r="AA828" s="1909" t="s">
        <v>3694</v>
      </c>
      <c r="AB828" s="1909" t="s">
        <v>3728</v>
      </c>
      <c r="AC828" s="1909" t="s">
        <v>3696</v>
      </c>
      <c r="AD828" s="2283" t="s">
        <v>3730</v>
      </c>
      <c r="AE828" s="2281"/>
      <c r="AF828" s="2282"/>
      <c r="AG828" s="2283" t="s">
        <v>3696</v>
      </c>
      <c r="AH828" s="2281"/>
      <c r="AI828" s="2282"/>
      <c r="AJ828" s="1909" t="s">
        <v>3731</v>
      </c>
      <c r="AK828" s="2283" t="s">
        <v>3732</v>
      </c>
      <c r="AL828" s="2281"/>
      <c r="AM828" s="2259"/>
      <c r="AN828" s="2281"/>
      <c r="AO828" s="2282"/>
      <c r="AP828" s="1909" t="s">
        <v>3699</v>
      </c>
      <c r="BC828" s="214"/>
      <c r="BD828" s="214"/>
      <c r="BE828" s="214"/>
      <c r="BF828" s="214"/>
    </row>
    <row r="829" spans="1:58" ht="45" hidden="1" customHeight="1">
      <c r="B829" s="2277"/>
      <c r="C829" s="2259"/>
      <c r="D829" s="2260"/>
      <c r="E829" s="1908" t="s">
        <v>3682</v>
      </c>
      <c r="F829" s="1908" t="s">
        <v>4690</v>
      </c>
      <c r="G829" s="1908"/>
      <c r="H829" s="2278" t="s">
        <v>5497</v>
      </c>
      <c r="I829" s="2259"/>
      <c r="J829" s="2260"/>
      <c r="K829" s="2278" t="s">
        <v>5521</v>
      </c>
      <c r="L829" s="2260"/>
      <c r="M829" s="1908" t="e">
        <f>VLOOKUP(K829,'Estimate Details'!$R:$BR,20,FALSE)</f>
        <v>#N/A</v>
      </c>
      <c r="N829" s="1908" t="e">
        <f>VLOOKUP(M829,#REF!,2,FALSE)</f>
        <v>#N/A</v>
      </c>
      <c r="O829" s="1908" t="s">
        <v>5330</v>
      </c>
      <c r="P829" s="2278" t="s">
        <v>3687</v>
      </c>
      <c r="Q829" s="2259"/>
      <c r="R829" s="2260"/>
      <c r="S829" s="1908" t="s">
        <v>3688</v>
      </c>
      <c r="T829" s="1908" t="s">
        <v>3689</v>
      </c>
      <c r="U829" s="1908" t="s">
        <v>3690</v>
      </c>
      <c r="V829" s="1908" t="s">
        <v>3708</v>
      </c>
      <c r="W829" s="1908" t="s">
        <v>3688</v>
      </c>
      <c r="X829" s="1908" t="s">
        <v>3777</v>
      </c>
      <c r="Y829" s="1908" t="s">
        <v>3778</v>
      </c>
      <c r="Z829" s="1908"/>
      <c r="AA829" s="1908" t="s">
        <v>3694</v>
      </c>
      <c r="AB829" s="1908" t="s">
        <v>3779</v>
      </c>
      <c r="AC829" s="1908" t="s">
        <v>3696</v>
      </c>
      <c r="AD829" s="2278" t="s">
        <v>3780</v>
      </c>
      <c r="AE829" s="2259"/>
      <c r="AF829" s="2260"/>
      <c r="AG829" s="2278" t="s">
        <v>3696</v>
      </c>
      <c r="AH829" s="2259"/>
      <c r="AI829" s="2260"/>
      <c r="AJ829" s="1908" t="s">
        <v>3714</v>
      </c>
      <c r="AK829" s="2278" t="s">
        <v>3781</v>
      </c>
      <c r="AL829" s="2259"/>
      <c r="AM829" s="2259"/>
      <c r="AN829" s="2259"/>
      <c r="AO829" s="2260"/>
      <c r="AP829" s="1908" t="s">
        <v>3699</v>
      </c>
      <c r="BC829" s="214"/>
      <c r="BD829" s="214"/>
      <c r="BE829" s="214"/>
      <c r="BF829" s="214"/>
    </row>
    <row r="830" spans="1:58" ht="45" hidden="1" customHeight="1">
      <c r="A830" s="808"/>
      <c r="B830" s="2280"/>
      <c r="C830" s="2281"/>
      <c r="D830" s="2282"/>
      <c r="E830" s="1909" t="s">
        <v>3682</v>
      </c>
      <c r="F830" s="1909" t="s">
        <v>4690</v>
      </c>
      <c r="G830" s="1909"/>
      <c r="H830" s="2283" t="s">
        <v>5497</v>
      </c>
      <c r="I830" s="2281"/>
      <c r="J830" s="2282"/>
      <c r="K830" s="2283" t="s">
        <v>5522</v>
      </c>
      <c r="L830" s="2282"/>
      <c r="M830" s="1909" t="e">
        <f>VLOOKUP(K830,'Estimate Details'!$R:$BR,20,FALSE)</f>
        <v>#N/A</v>
      </c>
      <c r="N830" s="1909" t="e">
        <f>VLOOKUP(M830,#REF!,2,FALSE)</f>
        <v>#N/A</v>
      </c>
      <c r="O830" s="1909" t="s">
        <v>5352</v>
      </c>
      <c r="P830" s="2284" t="s">
        <v>3687</v>
      </c>
      <c r="Q830" s="2281"/>
      <c r="R830" s="2282"/>
      <c r="S830" s="1909" t="s">
        <v>3688</v>
      </c>
      <c r="T830" s="1909" t="s">
        <v>3689</v>
      </c>
      <c r="U830" s="1909" t="s">
        <v>3690</v>
      </c>
      <c r="V830" s="1909" t="s">
        <v>3708</v>
      </c>
      <c r="W830" s="1909" t="s">
        <v>3688</v>
      </c>
      <c r="X830" s="1909" t="s">
        <v>3821</v>
      </c>
      <c r="Y830" s="1909" t="s">
        <v>3822</v>
      </c>
      <c r="Z830" s="1909" t="s">
        <v>3762</v>
      </c>
      <c r="AA830" s="1909" t="s">
        <v>3694</v>
      </c>
      <c r="AB830" s="1909" t="s">
        <v>3688</v>
      </c>
      <c r="AC830" s="1909" t="s">
        <v>3696</v>
      </c>
      <c r="AD830" s="2283" t="s">
        <v>1</v>
      </c>
      <c r="AE830" s="2281"/>
      <c r="AF830" s="2282"/>
      <c r="AG830" s="2283" t="s">
        <v>3696</v>
      </c>
      <c r="AH830" s="2281"/>
      <c r="AI830" s="2282"/>
      <c r="AJ830" s="1909" t="s">
        <v>3731</v>
      </c>
      <c r="AK830" s="2283" t="s">
        <v>3824</v>
      </c>
      <c r="AL830" s="2281"/>
      <c r="AM830" s="2259"/>
      <c r="AN830" s="2281"/>
      <c r="AO830" s="2282"/>
      <c r="AP830" s="1909" t="s">
        <v>3699</v>
      </c>
      <c r="BC830" s="214"/>
      <c r="BD830" s="214"/>
      <c r="BE830" s="214"/>
      <c r="BF830" s="214"/>
    </row>
    <row r="831" spans="1:58" ht="45" hidden="1" customHeight="1">
      <c r="B831" s="2277"/>
      <c r="C831" s="2259"/>
      <c r="D831" s="2260"/>
      <c r="E831" s="1908" t="s">
        <v>3682</v>
      </c>
      <c r="F831" s="1908" t="s">
        <v>4690</v>
      </c>
      <c r="G831" s="1908"/>
      <c r="H831" s="2278" t="s">
        <v>5497</v>
      </c>
      <c r="I831" s="2259"/>
      <c r="J831" s="2260"/>
      <c r="K831" s="2278" t="s">
        <v>5523</v>
      </c>
      <c r="L831" s="2260"/>
      <c r="M831" s="1908" t="e">
        <f>VLOOKUP(K831,'Estimate Details'!$R:$BR,20,FALSE)</f>
        <v>#N/A</v>
      </c>
      <c r="N831" s="1908" t="e">
        <f>VLOOKUP(M831,#REF!,2,FALSE)</f>
        <v>#N/A</v>
      </c>
      <c r="O831" s="1908" t="s">
        <v>5354</v>
      </c>
      <c r="P831" s="2278" t="s">
        <v>3687</v>
      </c>
      <c r="Q831" s="2259"/>
      <c r="R831" s="2260"/>
      <c r="S831" s="1908" t="s">
        <v>3688</v>
      </c>
      <c r="T831" s="1908" t="s">
        <v>3689</v>
      </c>
      <c r="U831" s="1908" t="s">
        <v>3690</v>
      </c>
      <c r="V831" s="1908" t="s">
        <v>3691</v>
      </c>
      <c r="W831" s="1908" t="s">
        <v>3688</v>
      </c>
      <c r="X831" s="1908"/>
      <c r="Y831" s="1908"/>
      <c r="Z831" s="1908"/>
      <c r="AA831" s="1908" t="s">
        <v>3694</v>
      </c>
      <c r="AB831" s="1908" t="s">
        <v>5355</v>
      </c>
      <c r="AC831" s="1908" t="s">
        <v>3696</v>
      </c>
      <c r="AD831" s="2278" t="s">
        <v>5356</v>
      </c>
      <c r="AE831" s="2259"/>
      <c r="AF831" s="2260"/>
      <c r="AG831" s="2278" t="s">
        <v>3696</v>
      </c>
      <c r="AH831" s="2259"/>
      <c r="AI831" s="2260"/>
      <c r="AJ831" s="1908" t="s">
        <v>5357</v>
      </c>
      <c r="AK831" s="2278" t="s">
        <v>5358</v>
      </c>
      <c r="AL831" s="2259"/>
      <c r="AM831" s="2259"/>
      <c r="AN831" s="2259"/>
      <c r="AO831" s="2260"/>
      <c r="AP831" s="1908" t="s">
        <v>3699</v>
      </c>
      <c r="BC831" s="214"/>
      <c r="BD831" s="214"/>
      <c r="BE831" s="214"/>
      <c r="BF831" s="214"/>
    </row>
    <row r="832" spans="1:58" ht="45" hidden="1" customHeight="1">
      <c r="A832" s="808"/>
      <c r="B832" s="2280"/>
      <c r="C832" s="2281"/>
      <c r="D832" s="2282"/>
      <c r="E832" s="1909" t="s">
        <v>3682</v>
      </c>
      <c r="F832" s="1909" t="s">
        <v>4690</v>
      </c>
      <c r="G832" s="1909"/>
      <c r="H832" s="2283" t="s">
        <v>5497</v>
      </c>
      <c r="I832" s="2281"/>
      <c r="J832" s="2282"/>
      <c r="K832" s="2283" t="s">
        <v>5524</v>
      </c>
      <c r="L832" s="2282"/>
      <c r="M832" s="1909" t="e">
        <f>VLOOKUP(K832,'Estimate Details'!$R:$BR,20,FALSE)</f>
        <v>#N/A</v>
      </c>
      <c r="N832" s="1909" t="e">
        <f>VLOOKUP(M832,#REF!,2,FALSE)</f>
        <v>#N/A</v>
      </c>
      <c r="O832" s="1909" t="s">
        <v>5354</v>
      </c>
      <c r="P832" s="2284" t="s">
        <v>3687</v>
      </c>
      <c r="Q832" s="2281"/>
      <c r="R832" s="2282"/>
      <c r="S832" s="1909" t="s">
        <v>3688</v>
      </c>
      <c r="T832" s="1909" t="s">
        <v>3689</v>
      </c>
      <c r="U832" s="1909" t="s">
        <v>3690</v>
      </c>
      <c r="V832" s="1909" t="s">
        <v>3691</v>
      </c>
      <c r="W832" s="1909" t="s">
        <v>3688</v>
      </c>
      <c r="X832" s="1909"/>
      <c r="Y832" s="1909"/>
      <c r="Z832" s="1909"/>
      <c r="AA832" s="1909" t="s">
        <v>3694</v>
      </c>
      <c r="AB832" s="1909" t="s">
        <v>5355</v>
      </c>
      <c r="AC832" s="1909" t="s">
        <v>3696</v>
      </c>
      <c r="AD832" s="2283" t="s">
        <v>5356</v>
      </c>
      <c r="AE832" s="2281"/>
      <c r="AF832" s="2282"/>
      <c r="AG832" s="2283" t="s">
        <v>3696</v>
      </c>
      <c r="AH832" s="2281"/>
      <c r="AI832" s="2282"/>
      <c r="AJ832" s="1909" t="s">
        <v>5357</v>
      </c>
      <c r="AK832" s="2283" t="s">
        <v>5358</v>
      </c>
      <c r="AL832" s="2281"/>
      <c r="AM832" s="2259"/>
      <c r="AN832" s="2281"/>
      <c r="AO832" s="2282"/>
      <c r="AP832" s="1909" t="s">
        <v>3699</v>
      </c>
      <c r="BC832" s="214"/>
      <c r="BD832" s="214"/>
      <c r="BE832" s="214"/>
      <c r="BF832" s="214"/>
    </row>
    <row r="833" spans="1:58" ht="45" hidden="1" customHeight="1">
      <c r="B833" s="2277"/>
      <c r="C833" s="2259"/>
      <c r="D833" s="2260"/>
      <c r="E833" s="1908" t="s">
        <v>3682</v>
      </c>
      <c r="F833" s="1908" t="s">
        <v>4690</v>
      </c>
      <c r="G833" s="1908"/>
      <c r="H833" s="2278" t="s">
        <v>5497</v>
      </c>
      <c r="I833" s="2259"/>
      <c r="J833" s="2260"/>
      <c r="K833" s="2278" t="s">
        <v>5525</v>
      </c>
      <c r="L833" s="2260"/>
      <c r="M833" s="1908" t="e">
        <f>VLOOKUP(K833,'Estimate Details'!$R:$BR,20,FALSE)</f>
        <v>#N/A</v>
      </c>
      <c r="N833" s="1908" t="e">
        <f>VLOOKUP(M833,#REF!,2,FALSE)</f>
        <v>#N/A</v>
      </c>
      <c r="O833" s="1908" t="s">
        <v>5354</v>
      </c>
      <c r="P833" s="2278" t="s">
        <v>3687</v>
      </c>
      <c r="Q833" s="2259"/>
      <c r="R833" s="2260"/>
      <c r="S833" s="1908" t="s">
        <v>3688</v>
      </c>
      <c r="T833" s="1908" t="s">
        <v>3689</v>
      </c>
      <c r="U833" s="1908" t="s">
        <v>3690</v>
      </c>
      <c r="V833" s="1908" t="s">
        <v>3691</v>
      </c>
      <c r="W833" s="1908" t="s">
        <v>3688</v>
      </c>
      <c r="X833" s="1908"/>
      <c r="Y833" s="1908"/>
      <c r="Z833" s="1908"/>
      <c r="AA833" s="1908" t="s">
        <v>3694</v>
      </c>
      <c r="AB833" s="1908" t="s">
        <v>5355</v>
      </c>
      <c r="AC833" s="1908" t="s">
        <v>3696</v>
      </c>
      <c r="AD833" s="2278" t="s">
        <v>5356</v>
      </c>
      <c r="AE833" s="2259"/>
      <c r="AF833" s="2260"/>
      <c r="AG833" s="2278" t="s">
        <v>3696</v>
      </c>
      <c r="AH833" s="2259"/>
      <c r="AI833" s="2260"/>
      <c r="AJ833" s="1908" t="s">
        <v>5357</v>
      </c>
      <c r="AK833" s="2278" t="s">
        <v>5358</v>
      </c>
      <c r="AL833" s="2259"/>
      <c r="AM833" s="2259"/>
      <c r="AN833" s="2259"/>
      <c r="AO833" s="2260"/>
      <c r="AP833" s="1908" t="s">
        <v>3699</v>
      </c>
      <c r="BC833" s="214"/>
      <c r="BD833" s="214"/>
      <c r="BE833" s="214"/>
      <c r="BF833" s="214"/>
    </row>
    <row r="834" spans="1:58" ht="45" hidden="1" customHeight="1">
      <c r="A834" s="808"/>
      <c r="B834" s="2280"/>
      <c r="C834" s="2281"/>
      <c r="D834" s="2282"/>
      <c r="E834" s="1909" t="s">
        <v>3682</v>
      </c>
      <c r="F834" s="1909" t="s">
        <v>4690</v>
      </c>
      <c r="G834" s="1909"/>
      <c r="H834" s="2283" t="s">
        <v>5497</v>
      </c>
      <c r="I834" s="2281"/>
      <c r="J834" s="2282"/>
      <c r="K834" s="2283" t="s">
        <v>5526</v>
      </c>
      <c r="L834" s="2282"/>
      <c r="M834" s="1909" t="e">
        <f>VLOOKUP(K834,'Estimate Details'!$R:$BR,20,FALSE)</f>
        <v>#N/A</v>
      </c>
      <c r="N834" s="1909" t="e">
        <f>VLOOKUP(M834,#REF!,2,FALSE)</f>
        <v>#N/A</v>
      </c>
      <c r="O834" s="1909" t="s">
        <v>5354</v>
      </c>
      <c r="P834" s="2284" t="s">
        <v>3687</v>
      </c>
      <c r="Q834" s="2281"/>
      <c r="R834" s="2282"/>
      <c r="S834" s="1909" t="s">
        <v>3688</v>
      </c>
      <c r="T834" s="1909" t="s">
        <v>3689</v>
      </c>
      <c r="U834" s="1909" t="s">
        <v>3690</v>
      </c>
      <c r="V834" s="1909" t="s">
        <v>3691</v>
      </c>
      <c r="W834" s="1909" t="s">
        <v>3688</v>
      </c>
      <c r="X834" s="1909"/>
      <c r="Y834" s="1909"/>
      <c r="Z834" s="1909"/>
      <c r="AA834" s="1909" t="s">
        <v>3694</v>
      </c>
      <c r="AB834" s="1909" t="s">
        <v>5355</v>
      </c>
      <c r="AC834" s="1909" t="s">
        <v>3696</v>
      </c>
      <c r="AD834" s="2283" t="s">
        <v>5356</v>
      </c>
      <c r="AE834" s="2281"/>
      <c r="AF834" s="2282"/>
      <c r="AG834" s="2283" t="s">
        <v>3696</v>
      </c>
      <c r="AH834" s="2281"/>
      <c r="AI834" s="2282"/>
      <c r="AJ834" s="1909" t="s">
        <v>5357</v>
      </c>
      <c r="AK834" s="2283" t="s">
        <v>5358</v>
      </c>
      <c r="AL834" s="2281"/>
      <c r="AM834" s="2259"/>
      <c r="AN834" s="2281"/>
      <c r="AO834" s="2282"/>
      <c r="AP834" s="1909" t="s">
        <v>3699</v>
      </c>
      <c r="BC834" s="214"/>
      <c r="BD834" s="214"/>
      <c r="BE834" s="214"/>
      <c r="BF834" s="214"/>
    </row>
    <row r="835" spans="1:58" ht="45" hidden="1" customHeight="1">
      <c r="B835" s="2277"/>
      <c r="C835" s="2259"/>
      <c r="D835" s="2260"/>
      <c r="E835" s="1908" t="s">
        <v>3682</v>
      </c>
      <c r="F835" s="1908" t="s">
        <v>4690</v>
      </c>
      <c r="G835" s="1908"/>
      <c r="H835" s="2278" t="s">
        <v>5497</v>
      </c>
      <c r="I835" s="2259"/>
      <c r="J835" s="2260"/>
      <c r="K835" s="2278" t="s">
        <v>5527</v>
      </c>
      <c r="L835" s="2260"/>
      <c r="M835" s="1908" t="e">
        <f>VLOOKUP(K835,'Estimate Details'!$R:$BR,20,FALSE)</f>
        <v>#N/A</v>
      </c>
      <c r="N835" s="1908" t="e">
        <f>VLOOKUP(M835,#REF!,2,FALSE)</f>
        <v>#N/A</v>
      </c>
      <c r="O835" s="1908" t="s">
        <v>5354</v>
      </c>
      <c r="P835" s="2278" t="s">
        <v>3687</v>
      </c>
      <c r="Q835" s="2259"/>
      <c r="R835" s="2260"/>
      <c r="S835" s="1908" t="s">
        <v>3688</v>
      </c>
      <c r="T835" s="1908" t="s">
        <v>3689</v>
      </c>
      <c r="U835" s="1908" t="s">
        <v>3690</v>
      </c>
      <c r="V835" s="1908" t="s">
        <v>3691</v>
      </c>
      <c r="W835" s="1908" t="s">
        <v>3688</v>
      </c>
      <c r="X835" s="1908"/>
      <c r="Y835" s="1908"/>
      <c r="Z835" s="1908"/>
      <c r="AA835" s="1908" t="s">
        <v>3694</v>
      </c>
      <c r="AB835" s="1908" t="s">
        <v>5355</v>
      </c>
      <c r="AC835" s="1908" t="s">
        <v>3696</v>
      </c>
      <c r="AD835" s="2278" t="s">
        <v>5356</v>
      </c>
      <c r="AE835" s="2259"/>
      <c r="AF835" s="2260"/>
      <c r="AG835" s="2278" t="s">
        <v>3696</v>
      </c>
      <c r="AH835" s="2259"/>
      <c r="AI835" s="2260"/>
      <c r="AJ835" s="1908" t="s">
        <v>5357</v>
      </c>
      <c r="AK835" s="2278" t="s">
        <v>5358</v>
      </c>
      <c r="AL835" s="2259"/>
      <c r="AM835" s="2259"/>
      <c r="AN835" s="2259"/>
      <c r="AO835" s="2260"/>
      <c r="AP835" s="1908" t="s">
        <v>3699</v>
      </c>
      <c r="BC835" s="214"/>
      <c r="BD835" s="214"/>
      <c r="BE835" s="214"/>
      <c r="BF835" s="214"/>
    </row>
    <row r="836" spans="1:58" ht="45" hidden="1" customHeight="1">
      <c r="A836" s="808"/>
      <c r="B836" s="2280"/>
      <c r="C836" s="2281"/>
      <c r="D836" s="2282"/>
      <c r="E836" s="1909" t="s">
        <v>3682</v>
      </c>
      <c r="F836" s="1909" t="s">
        <v>4690</v>
      </c>
      <c r="G836" s="1909"/>
      <c r="H836" s="2283" t="s">
        <v>5497</v>
      </c>
      <c r="I836" s="2281"/>
      <c r="J836" s="2282"/>
      <c r="K836" s="2283" t="s">
        <v>5528</v>
      </c>
      <c r="L836" s="2282"/>
      <c r="M836" s="1909" t="e">
        <f>VLOOKUP(K836,'Estimate Details'!$R:$BR,20,FALSE)</f>
        <v>#N/A</v>
      </c>
      <c r="N836" s="1909" t="e">
        <f>VLOOKUP(M836,#REF!,2,FALSE)</f>
        <v>#N/A</v>
      </c>
      <c r="O836" s="1909" t="s">
        <v>5354</v>
      </c>
      <c r="P836" s="2284" t="s">
        <v>3687</v>
      </c>
      <c r="Q836" s="2281"/>
      <c r="R836" s="2282"/>
      <c r="S836" s="1909" t="s">
        <v>3688</v>
      </c>
      <c r="T836" s="1909" t="s">
        <v>3689</v>
      </c>
      <c r="U836" s="1909" t="s">
        <v>3690</v>
      </c>
      <c r="V836" s="1909" t="s">
        <v>3691</v>
      </c>
      <c r="W836" s="1909" t="s">
        <v>3688</v>
      </c>
      <c r="X836" s="1909"/>
      <c r="Y836" s="1909"/>
      <c r="Z836" s="1909"/>
      <c r="AA836" s="1909" t="s">
        <v>3694</v>
      </c>
      <c r="AB836" s="1909" t="s">
        <v>5355</v>
      </c>
      <c r="AC836" s="1909" t="s">
        <v>3696</v>
      </c>
      <c r="AD836" s="2283" t="s">
        <v>5356</v>
      </c>
      <c r="AE836" s="2281"/>
      <c r="AF836" s="2282"/>
      <c r="AG836" s="2283" t="s">
        <v>3696</v>
      </c>
      <c r="AH836" s="2281"/>
      <c r="AI836" s="2282"/>
      <c r="AJ836" s="1909" t="s">
        <v>5357</v>
      </c>
      <c r="AK836" s="2283" t="s">
        <v>5358</v>
      </c>
      <c r="AL836" s="2281"/>
      <c r="AM836" s="2259"/>
      <c r="AN836" s="2281"/>
      <c r="AO836" s="2282"/>
      <c r="AP836" s="1909" t="s">
        <v>3699</v>
      </c>
      <c r="BC836" s="214"/>
      <c r="BD836" s="214"/>
      <c r="BE836" s="214"/>
      <c r="BF836" s="214"/>
    </row>
    <row r="837" spans="1:58" ht="45" hidden="1" customHeight="1">
      <c r="B837" s="2277"/>
      <c r="C837" s="2259"/>
      <c r="D837" s="2260"/>
      <c r="E837" s="1908" t="s">
        <v>3682</v>
      </c>
      <c r="F837" s="1908" t="s">
        <v>4690</v>
      </c>
      <c r="G837" s="1908"/>
      <c r="H837" s="2278" t="s">
        <v>5497</v>
      </c>
      <c r="I837" s="2259"/>
      <c r="J837" s="2260"/>
      <c r="K837" s="2278" t="s">
        <v>5529</v>
      </c>
      <c r="L837" s="2260"/>
      <c r="M837" s="1908" t="e">
        <f>VLOOKUP(K837,'Estimate Details'!$R:$BR,20,FALSE)</f>
        <v>#N/A</v>
      </c>
      <c r="N837" s="1908" t="e">
        <f>VLOOKUP(M837,#REF!,2,FALSE)</f>
        <v>#N/A</v>
      </c>
      <c r="O837" s="1908" t="s">
        <v>5354</v>
      </c>
      <c r="P837" s="2278" t="s">
        <v>3687</v>
      </c>
      <c r="Q837" s="2259"/>
      <c r="R837" s="2260"/>
      <c r="S837" s="1908" t="s">
        <v>3688</v>
      </c>
      <c r="T837" s="1908" t="s">
        <v>3689</v>
      </c>
      <c r="U837" s="1908" t="s">
        <v>3690</v>
      </c>
      <c r="V837" s="1908" t="s">
        <v>3691</v>
      </c>
      <c r="W837" s="1908" t="s">
        <v>3688</v>
      </c>
      <c r="X837" s="1908"/>
      <c r="Y837" s="1908"/>
      <c r="Z837" s="1908"/>
      <c r="AA837" s="1908" t="s">
        <v>3694</v>
      </c>
      <c r="AB837" s="1908" t="s">
        <v>5355</v>
      </c>
      <c r="AC837" s="1908" t="s">
        <v>3696</v>
      </c>
      <c r="AD837" s="2278" t="s">
        <v>5356</v>
      </c>
      <c r="AE837" s="2259"/>
      <c r="AF837" s="2260"/>
      <c r="AG837" s="2278" t="s">
        <v>3696</v>
      </c>
      <c r="AH837" s="2259"/>
      <c r="AI837" s="2260"/>
      <c r="AJ837" s="1908" t="s">
        <v>5357</v>
      </c>
      <c r="AK837" s="2278" t="s">
        <v>5358</v>
      </c>
      <c r="AL837" s="2259"/>
      <c r="AM837" s="2259"/>
      <c r="AN837" s="2259"/>
      <c r="AO837" s="2260"/>
      <c r="AP837" s="1908" t="s">
        <v>3699</v>
      </c>
      <c r="BC837" s="214"/>
      <c r="BD837" s="214"/>
      <c r="BE837" s="214"/>
      <c r="BF837" s="214"/>
    </row>
    <row r="838" spans="1:58" ht="45" hidden="1" customHeight="1">
      <c r="A838" s="808"/>
      <c r="B838" s="2280"/>
      <c r="C838" s="2281"/>
      <c r="D838" s="2282"/>
      <c r="E838" s="1909" t="s">
        <v>3682</v>
      </c>
      <c r="F838" s="1909" t="s">
        <v>4690</v>
      </c>
      <c r="G838" s="1909"/>
      <c r="H838" s="2283" t="s">
        <v>5497</v>
      </c>
      <c r="I838" s="2281"/>
      <c r="J838" s="2282"/>
      <c r="K838" s="2283" t="s">
        <v>5530</v>
      </c>
      <c r="L838" s="2282"/>
      <c r="M838" s="1909" t="e">
        <f>VLOOKUP(K838,'Estimate Details'!$R:$BR,20,FALSE)</f>
        <v>#N/A</v>
      </c>
      <c r="N838" s="1909" t="e">
        <f>VLOOKUP(M838,#REF!,2,FALSE)</f>
        <v>#N/A</v>
      </c>
      <c r="O838" s="1909" t="s">
        <v>5354</v>
      </c>
      <c r="P838" s="2284" t="s">
        <v>3687</v>
      </c>
      <c r="Q838" s="2281"/>
      <c r="R838" s="2282"/>
      <c r="S838" s="1909" t="s">
        <v>3688</v>
      </c>
      <c r="T838" s="1909" t="s">
        <v>3689</v>
      </c>
      <c r="U838" s="1909" t="s">
        <v>3690</v>
      </c>
      <c r="V838" s="1909" t="s">
        <v>3691</v>
      </c>
      <c r="W838" s="1909" t="s">
        <v>3688</v>
      </c>
      <c r="X838" s="1909"/>
      <c r="Y838" s="1909"/>
      <c r="Z838" s="1909"/>
      <c r="AA838" s="1909" t="s">
        <v>3694</v>
      </c>
      <c r="AB838" s="1909" t="s">
        <v>5355</v>
      </c>
      <c r="AC838" s="1909" t="s">
        <v>3696</v>
      </c>
      <c r="AD838" s="2283" t="s">
        <v>5356</v>
      </c>
      <c r="AE838" s="2281"/>
      <c r="AF838" s="2282"/>
      <c r="AG838" s="2283" t="s">
        <v>3696</v>
      </c>
      <c r="AH838" s="2281"/>
      <c r="AI838" s="2282"/>
      <c r="AJ838" s="1909" t="s">
        <v>5357</v>
      </c>
      <c r="AK838" s="2283" t="s">
        <v>5358</v>
      </c>
      <c r="AL838" s="2281"/>
      <c r="AM838" s="2259"/>
      <c r="AN838" s="2281"/>
      <c r="AO838" s="2282"/>
      <c r="AP838" s="1909" t="s">
        <v>3699</v>
      </c>
      <c r="BC838" s="214"/>
      <c r="BD838" s="214"/>
      <c r="BE838" s="214"/>
      <c r="BF838" s="214"/>
    </row>
    <row r="839" spans="1:58" ht="45" hidden="1" customHeight="1">
      <c r="B839" s="2277"/>
      <c r="C839" s="2259"/>
      <c r="D839" s="2260"/>
      <c r="E839" s="1908" t="s">
        <v>3682</v>
      </c>
      <c r="F839" s="1908" t="s">
        <v>4690</v>
      </c>
      <c r="G839" s="1908"/>
      <c r="H839" s="2278" t="s">
        <v>5497</v>
      </c>
      <c r="I839" s="2259"/>
      <c r="J839" s="2260"/>
      <c r="K839" s="2278" t="s">
        <v>5531</v>
      </c>
      <c r="L839" s="2260"/>
      <c r="M839" s="1908" t="e">
        <f>VLOOKUP(K839,'Estimate Details'!$R:$BR,20,FALSE)</f>
        <v>#N/A</v>
      </c>
      <c r="N839" s="1908" t="e">
        <f>VLOOKUP(M839,#REF!,2,FALSE)</f>
        <v>#N/A</v>
      </c>
      <c r="O839" s="1908" t="s">
        <v>5354</v>
      </c>
      <c r="P839" s="2278" t="s">
        <v>3687</v>
      </c>
      <c r="Q839" s="2259"/>
      <c r="R839" s="2260"/>
      <c r="S839" s="1908" t="s">
        <v>3688</v>
      </c>
      <c r="T839" s="1908" t="s">
        <v>3689</v>
      </c>
      <c r="U839" s="1908" t="s">
        <v>3690</v>
      </c>
      <c r="V839" s="1908" t="s">
        <v>3691</v>
      </c>
      <c r="W839" s="1908" t="s">
        <v>3688</v>
      </c>
      <c r="X839" s="1908"/>
      <c r="Y839" s="1908"/>
      <c r="Z839" s="1908"/>
      <c r="AA839" s="1908" t="s">
        <v>3694</v>
      </c>
      <c r="AB839" s="1908" t="s">
        <v>5355</v>
      </c>
      <c r="AC839" s="1908" t="s">
        <v>3696</v>
      </c>
      <c r="AD839" s="2278" t="s">
        <v>5356</v>
      </c>
      <c r="AE839" s="2259"/>
      <c r="AF839" s="2260"/>
      <c r="AG839" s="2278" t="s">
        <v>3696</v>
      </c>
      <c r="AH839" s="2259"/>
      <c r="AI839" s="2260"/>
      <c r="AJ839" s="1908" t="s">
        <v>5357</v>
      </c>
      <c r="AK839" s="2278" t="s">
        <v>5358</v>
      </c>
      <c r="AL839" s="2259"/>
      <c r="AM839" s="2259"/>
      <c r="AN839" s="2259"/>
      <c r="AO839" s="2260"/>
      <c r="AP839" s="1908" t="s">
        <v>3699</v>
      </c>
      <c r="BC839" s="214"/>
      <c r="BD839" s="214"/>
      <c r="BE839" s="214"/>
      <c r="BF839" s="214"/>
    </row>
    <row r="840" spans="1:58" ht="45" hidden="1" customHeight="1">
      <c r="A840" s="808"/>
      <c r="B840" s="2280"/>
      <c r="C840" s="2281"/>
      <c r="D840" s="2282"/>
      <c r="E840" s="1909" t="s">
        <v>3682</v>
      </c>
      <c r="F840" s="1909" t="s">
        <v>4690</v>
      </c>
      <c r="G840" s="1909"/>
      <c r="H840" s="2283" t="s">
        <v>5497</v>
      </c>
      <c r="I840" s="2281"/>
      <c r="J840" s="2282"/>
      <c r="K840" s="2283" t="s">
        <v>5532</v>
      </c>
      <c r="L840" s="2282"/>
      <c r="M840" s="1909" t="e">
        <f>VLOOKUP(K840,'Estimate Details'!$R:$BR,20,FALSE)</f>
        <v>#N/A</v>
      </c>
      <c r="N840" s="1909" t="e">
        <f>VLOOKUP(M840,#REF!,2,FALSE)</f>
        <v>#N/A</v>
      </c>
      <c r="O840" s="1909" t="s">
        <v>5354</v>
      </c>
      <c r="P840" s="2284" t="s">
        <v>3687</v>
      </c>
      <c r="Q840" s="2281"/>
      <c r="R840" s="2282"/>
      <c r="S840" s="1909" t="s">
        <v>3688</v>
      </c>
      <c r="T840" s="1909" t="s">
        <v>3689</v>
      </c>
      <c r="U840" s="1909" t="s">
        <v>3690</v>
      </c>
      <c r="V840" s="1909" t="s">
        <v>3691</v>
      </c>
      <c r="W840" s="1909" t="s">
        <v>3688</v>
      </c>
      <c r="X840" s="1909"/>
      <c r="Y840" s="1909"/>
      <c r="Z840" s="1909"/>
      <c r="AA840" s="1909" t="s">
        <v>3694</v>
      </c>
      <c r="AB840" s="1909" t="s">
        <v>5355</v>
      </c>
      <c r="AC840" s="1909" t="s">
        <v>3696</v>
      </c>
      <c r="AD840" s="2283" t="s">
        <v>5356</v>
      </c>
      <c r="AE840" s="2281"/>
      <c r="AF840" s="2282"/>
      <c r="AG840" s="2283" t="s">
        <v>3696</v>
      </c>
      <c r="AH840" s="2281"/>
      <c r="AI840" s="2282"/>
      <c r="AJ840" s="1909" t="s">
        <v>5357</v>
      </c>
      <c r="AK840" s="2283" t="s">
        <v>5358</v>
      </c>
      <c r="AL840" s="2281"/>
      <c r="AM840" s="2259"/>
      <c r="AN840" s="2281"/>
      <c r="AO840" s="2282"/>
      <c r="AP840" s="1909" t="s">
        <v>3699</v>
      </c>
      <c r="BC840" s="214"/>
      <c r="BD840" s="214"/>
      <c r="BE840" s="214"/>
      <c r="BF840" s="214"/>
    </row>
    <row r="841" spans="1:58" ht="45" hidden="1" customHeight="1">
      <c r="B841" s="2277"/>
      <c r="C841" s="2259"/>
      <c r="D841" s="2260"/>
      <c r="E841" s="1908" t="s">
        <v>3682</v>
      </c>
      <c r="F841" s="1908" t="s">
        <v>4690</v>
      </c>
      <c r="G841" s="1908"/>
      <c r="H841" s="2278" t="s">
        <v>5497</v>
      </c>
      <c r="I841" s="2259"/>
      <c r="J841" s="2260"/>
      <c r="K841" s="2278" t="s">
        <v>5533</v>
      </c>
      <c r="L841" s="2260"/>
      <c r="M841" s="1908" t="e">
        <f>VLOOKUP(K841,'Estimate Details'!$R:$BR,20,FALSE)</f>
        <v>#N/A</v>
      </c>
      <c r="N841" s="1908" t="e">
        <f>VLOOKUP(M841,#REF!,2,FALSE)</f>
        <v>#N/A</v>
      </c>
      <c r="O841" s="1908" t="s">
        <v>5354</v>
      </c>
      <c r="P841" s="2278" t="s">
        <v>3687</v>
      </c>
      <c r="Q841" s="2259"/>
      <c r="R841" s="2260"/>
      <c r="S841" s="1908" t="s">
        <v>3688</v>
      </c>
      <c r="T841" s="1908" t="s">
        <v>3689</v>
      </c>
      <c r="U841" s="1908" t="s">
        <v>3690</v>
      </c>
      <c r="V841" s="1908" t="s">
        <v>3691</v>
      </c>
      <c r="W841" s="1908" t="s">
        <v>3688</v>
      </c>
      <c r="X841" s="1908"/>
      <c r="Y841" s="1908"/>
      <c r="Z841" s="1908"/>
      <c r="AA841" s="1908" t="s">
        <v>3694</v>
      </c>
      <c r="AB841" s="1908" t="s">
        <v>5355</v>
      </c>
      <c r="AC841" s="1908" t="s">
        <v>3696</v>
      </c>
      <c r="AD841" s="2278" t="s">
        <v>5356</v>
      </c>
      <c r="AE841" s="2259"/>
      <c r="AF841" s="2260"/>
      <c r="AG841" s="2278" t="s">
        <v>3696</v>
      </c>
      <c r="AH841" s="2259"/>
      <c r="AI841" s="2260"/>
      <c r="AJ841" s="1908" t="s">
        <v>5357</v>
      </c>
      <c r="AK841" s="2278" t="s">
        <v>5358</v>
      </c>
      <c r="AL841" s="2259"/>
      <c r="AM841" s="2259"/>
      <c r="AN841" s="2259"/>
      <c r="AO841" s="2260"/>
      <c r="AP841" s="1908" t="s">
        <v>3699</v>
      </c>
      <c r="BC841" s="214"/>
      <c r="BD841" s="214"/>
      <c r="BE841" s="214"/>
      <c r="BF841" s="214"/>
    </row>
    <row r="842" spans="1:58" ht="45" hidden="1" customHeight="1">
      <c r="A842" s="808"/>
      <c r="B842" s="2280"/>
      <c r="C842" s="2281"/>
      <c r="D842" s="2282"/>
      <c r="E842" s="1909" t="s">
        <v>3682</v>
      </c>
      <c r="F842" s="1909" t="s">
        <v>4690</v>
      </c>
      <c r="G842" s="1909"/>
      <c r="H842" s="2283" t="s">
        <v>5497</v>
      </c>
      <c r="I842" s="2281"/>
      <c r="J842" s="2282"/>
      <c r="K842" s="2283" t="s">
        <v>5534</v>
      </c>
      <c r="L842" s="2282"/>
      <c r="M842" s="1909" t="e">
        <f>VLOOKUP(K842,'Estimate Details'!$R:$BR,20,FALSE)</f>
        <v>#N/A</v>
      </c>
      <c r="N842" s="1909" t="e">
        <f>VLOOKUP(M842,#REF!,2,FALSE)</f>
        <v>#N/A</v>
      </c>
      <c r="O842" s="1909" t="s">
        <v>5354</v>
      </c>
      <c r="P842" s="2284" t="s">
        <v>3687</v>
      </c>
      <c r="Q842" s="2281"/>
      <c r="R842" s="2282"/>
      <c r="S842" s="1909" t="s">
        <v>3688</v>
      </c>
      <c r="T842" s="1909" t="s">
        <v>3689</v>
      </c>
      <c r="U842" s="1909" t="s">
        <v>3690</v>
      </c>
      <c r="V842" s="1909" t="s">
        <v>3691</v>
      </c>
      <c r="W842" s="1909" t="s">
        <v>3688</v>
      </c>
      <c r="X842" s="1909"/>
      <c r="Y842" s="1909"/>
      <c r="Z842" s="1909"/>
      <c r="AA842" s="1909" t="s">
        <v>3694</v>
      </c>
      <c r="AB842" s="1909" t="s">
        <v>5355</v>
      </c>
      <c r="AC842" s="1909" t="s">
        <v>3696</v>
      </c>
      <c r="AD842" s="2283" t="s">
        <v>5356</v>
      </c>
      <c r="AE842" s="2281"/>
      <c r="AF842" s="2282"/>
      <c r="AG842" s="2283" t="s">
        <v>3696</v>
      </c>
      <c r="AH842" s="2281"/>
      <c r="AI842" s="2282"/>
      <c r="AJ842" s="1909" t="s">
        <v>5357</v>
      </c>
      <c r="AK842" s="2283" t="s">
        <v>5358</v>
      </c>
      <c r="AL842" s="2281"/>
      <c r="AM842" s="2259"/>
      <c r="AN842" s="2281"/>
      <c r="AO842" s="2282"/>
      <c r="AP842" s="1909" t="s">
        <v>3699</v>
      </c>
      <c r="BC842" s="214"/>
      <c r="BD842" s="214"/>
      <c r="BE842" s="214"/>
      <c r="BF842" s="214"/>
    </row>
    <row r="843" spans="1:58" ht="45" hidden="1" customHeight="1">
      <c r="B843" s="2277"/>
      <c r="C843" s="2259"/>
      <c r="D843" s="2260"/>
      <c r="E843" s="1908" t="s">
        <v>3682</v>
      </c>
      <c r="F843" s="1908" t="s">
        <v>4690</v>
      </c>
      <c r="G843" s="1908"/>
      <c r="H843" s="2278" t="s">
        <v>5497</v>
      </c>
      <c r="I843" s="2259"/>
      <c r="J843" s="2260"/>
      <c r="K843" s="2278" t="s">
        <v>5535</v>
      </c>
      <c r="L843" s="2260"/>
      <c r="M843" s="1908" t="e">
        <f>VLOOKUP(K843,'Estimate Details'!$R:$BR,20,FALSE)</f>
        <v>#N/A</v>
      </c>
      <c r="N843" s="1908" t="e">
        <f>VLOOKUP(M843,#REF!,2,FALSE)</f>
        <v>#N/A</v>
      </c>
      <c r="O843" s="1908" t="s">
        <v>5354</v>
      </c>
      <c r="P843" s="2278" t="s">
        <v>3687</v>
      </c>
      <c r="Q843" s="2259"/>
      <c r="R843" s="2260"/>
      <c r="S843" s="1908" t="s">
        <v>3688</v>
      </c>
      <c r="T843" s="1908" t="s">
        <v>3689</v>
      </c>
      <c r="U843" s="1908" t="s">
        <v>3690</v>
      </c>
      <c r="V843" s="1908" t="s">
        <v>3691</v>
      </c>
      <c r="W843" s="1908" t="s">
        <v>3688</v>
      </c>
      <c r="X843" s="1908"/>
      <c r="Y843" s="1908"/>
      <c r="Z843" s="1908"/>
      <c r="AA843" s="1908" t="s">
        <v>3694</v>
      </c>
      <c r="AB843" s="1908" t="s">
        <v>5355</v>
      </c>
      <c r="AC843" s="1908" t="s">
        <v>3696</v>
      </c>
      <c r="AD843" s="2278" t="s">
        <v>5356</v>
      </c>
      <c r="AE843" s="2259"/>
      <c r="AF843" s="2260"/>
      <c r="AG843" s="2278" t="s">
        <v>3696</v>
      </c>
      <c r="AH843" s="2259"/>
      <c r="AI843" s="2260"/>
      <c r="AJ843" s="1908" t="s">
        <v>5357</v>
      </c>
      <c r="AK843" s="2278" t="s">
        <v>5358</v>
      </c>
      <c r="AL843" s="2259"/>
      <c r="AM843" s="2259"/>
      <c r="AN843" s="2259"/>
      <c r="AO843" s="2260"/>
      <c r="AP843" s="1908" t="s">
        <v>3699</v>
      </c>
      <c r="BC843" s="214"/>
      <c r="BD843" s="214"/>
      <c r="BE843" s="214"/>
      <c r="BF843" s="214"/>
    </row>
    <row r="844" spans="1:58" ht="45" hidden="1" customHeight="1">
      <c r="A844" s="808"/>
      <c r="B844" s="2280"/>
      <c r="C844" s="2281"/>
      <c r="D844" s="2282"/>
      <c r="E844" s="1909" t="s">
        <v>3682</v>
      </c>
      <c r="F844" s="1909" t="s">
        <v>4690</v>
      </c>
      <c r="G844" s="1909"/>
      <c r="H844" s="2283" t="s">
        <v>5497</v>
      </c>
      <c r="I844" s="2281"/>
      <c r="J844" s="2282"/>
      <c r="K844" s="2283" t="s">
        <v>5536</v>
      </c>
      <c r="L844" s="2282"/>
      <c r="M844" s="1909" t="e">
        <f>VLOOKUP(K844,'Estimate Details'!$R:$BR,20,FALSE)</f>
        <v>#N/A</v>
      </c>
      <c r="N844" s="1909" t="e">
        <f>VLOOKUP(M844,#REF!,2,FALSE)</f>
        <v>#N/A</v>
      </c>
      <c r="O844" s="1909" t="s">
        <v>5354</v>
      </c>
      <c r="P844" s="2284" t="s">
        <v>3687</v>
      </c>
      <c r="Q844" s="2281"/>
      <c r="R844" s="2282"/>
      <c r="S844" s="1909" t="s">
        <v>3688</v>
      </c>
      <c r="T844" s="1909" t="s">
        <v>3689</v>
      </c>
      <c r="U844" s="1909" t="s">
        <v>3690</v>
      </c>
      <c r="V844" s="1909" t="s">
        <v>3691</v>
      </c>
      <c r="W844" s="1909" t="s">
        <v>3688</v>
      </c>
      <c r="X844" s="1909"/>
      <c r="Y844" s="1909"/>
      <c r="Z844" s="1909"/>
      <c r="AA844" s="1909" t="s">
        <v>3694</v>
      </c>
      <c r="AB844" s="1909" t="s">
        <v>5355</v>
      </c>
      <c r="AC844" s="1909" t="s">
        <v>3696</v>
      </c>
      <c r="AD844" s="2283" t="s">
        <v>5356</v>
      </c>
      <c r="AE844" s="2281"/>
      <c r="AF844" s="2282"/>
      <c r="AG844" s="2283" t="s">
        <v>3696</v>
      </c>
      <c r="AH844" s="2281"/>
      <c r="AI844" s="2282"/>
      <c r="AJ844" s="1909" t="s">
        <v>5357</v>
      </c>
      <c r="AK844" s="2283" t="s">
        <v>5358</v>
      </c>
      <c r="AL844" s="2281"/>
      <c r="AM844" s="2259"/>
      <c r="AN844" s="2281"/>
      <c r="AO844" s="2282"/>
      <c r="AP844" s="1909" t="s">
        <v>3699</v>
      </c>
      <c r="BC844" s="214"/>
      <c r="BD844" s="214"/>
      <c r="BE844" s="214"/>
      <c r="BF844" s="214"/>
    </row>
    <row r="845" spans="1:58" ht="45" hidden="1" customHeight="1">
      <c r="B845" s="2277"/>
      <c r="C845" s="2259"/>
      <c r="D845" s="2260"/>
      <c r="E845" s="1908" t="s">
        <v>3682</v>
      </c>
      <c r="F845" s="1908" t="s">
        <v>4690</v>
      </c>
      <c r="G845" s="1908"/>
      <c r="H845" s="2278" t="s">
        <v>5497</v>
      </c>
      <c r="I845" s="2259"/>
      <c r="J845" s="2260"/>
      <c r="K845" s="2278" t="s">
        <v>5537</v>
      </c>
      <c r="L845" s="2260"/>
      <c r="M845" s="1908" t="e">
        <f>VLOOKUP(K845,'Estimate Details'!$R:$BR,20,FALSE)</f>
        <v>#N/A</v>
      </c>
      <c r="N845" s="1908" t="e">
        <f>VLOOKUP(M845,#REF!,2,FALSE)</f>
        <v>#N/A</v>
      </c>
      <c r="O845" s="1908" t="s">
        <v>5354</v>
      </c>
      <c r="P845" s="2278" t="s">
        <v>3687</v>
      </c>
      <c r="Q845" s="2259"/>
      <c r="R845" s="2260"/>
      <c r="S845" s="1908" t="s">
        <v>3688</v>
      </c>
      <c r="T845" s="1908" t="s">
        <v>3689</v>
      </c>
      <c r="U845" s="1908" t="s">
        <v>3690</v>
      </c>
      <c r="V845" s="1908" t="s">
        <v>3691</v>
      </c>
      <c r="W845" s="1908" t="s">
        <v>3688</v>
      </c>
      <c r="X845" s="1908"/>
      <c r="Y845" s="1908"/>
      <c r="Z845" s="1908"/>
      <c r="AA845" s="1908" t="s">
        <v>3694</v>
      </c>
      <c r="AB845" s="1908" t="s">
        <v>5355</v>
      </c>
      <c r="AC845" s="1908" t="s">
        <v>3696</v>
      </c>
      <c r="AD845" s="2278" t="s">
        <v>5356</v>
      </c>
      <c r="AE845" s="2259"/>
      <c r="AF845" s="2260"/>
      <c r="AG845" s="2278" t="s">
        <v>3696</v>
      </c>
      <c r="AH845" s="2259"/>
      <c r="AI845" s="2260"/>
      <c r="AJ845" s="1908" t="s">
        <v>5357</v>
      </c>
      <c r="AK845" s="2278" t="s">
        <v>5358</v>
      </c>
      <c r="AL845" s="2259"/>
      <c r="AM845" s="2259"/>
      <c r="AN845" s="2259"/>
      <c r="AO845" s="2260"/>
      <c r="AP845" s="1908" t="s">
        <v>3699</v>
      </c>
      <c r="BC845" s="214"/>
      <c r="BD845" s="214"/>
      <c r="BE845" s="214"/>
      <c r="BF845" s="214"/>
    </row>
    <row r="846" spans="1:58" ht="45" hidden="1" customHeight="1">
      <c r="A846" s="808"/>
      <c r="B846" s="2280"/>
      <c r="C846" s="2281"/>
      <c r="D846" s="2282"/>
      <c r="E846" s="1909" t="s">
        <v>3682</v>
      </c>
      <c r="F846" s="1909" t="s">
        <v>4690</v>
      </c>
      <c r="G846" s="1909"/>
      <c r="H846" s="2283" t="s">
        <v>5497</v>
      </c>
      <c r="I846" s="2281"/>
      <c r="J846" s="2282"/>
      <c r="K846" s="2283" t="s">
        <v>5538</v>
      </c>
      <c r="L846" s="2282"/>
      <c r="M846" s="1909" t="e">
        <f>VLOOKUP(K846,'Estimate Details'!$R:$BR,20,FALSE)</f>
        <v>#N/A</v>
      </c>
      <c r="N846" s="1909" t="e">
        <f>VLOOKUP(M846,#REF!,2,FALSE)</f>
        <v>#N/A</v>
      </c>
      <c r="O846" s="1909" t="s">
        <v>5374</v>
      </c>
      <c r="P846" s="2284" t="s">
        <v>3687</v>
      </c>
      <c r="Q846" s="2281"/>
      <c r="R846" s="2282"/>
      <c r="S846" s="1909" t="s">
        <v>3688</v>
      </c>
      <c r="T846" s="1909" t="s">
        <v>3689</v>
      </c>
      <c r="U846" s="1909" t="s">
        <v>3690</v>
      </c>
      <c r="V846" s="1909" t="s">
        <v>3691</v>
      </c>
      <c r="W846" s="1909" t="s">
        <v>3688</v>
      </c>
      <c r="X846" s="1909" t="s">
        <v>5539</v>
      </c>
      <c r="Y846" s="1909"/>
      <c r="Z846" s="1909"/>
      <c r="AA846" s="1909" t="s">
        <v>3694</v>
      </c>
      <c r="AB846" s="1909" t="s">
        <v>5540</v>
      </c>
      <c r="AC846" s="1909" t="s">
        <v>3696</v>
      </c>
      <c r="AD846" s="2283" t="s">
        <v>3688</v>
      </c>
      <c r="AE846" s="2281"/>
      <c r="AF846" s="2282"/>
      <c r="AG846" s="2283" t="s">
        <v>3696</v>
      </c>
      <c r="AH846" s="2281"/>
      <c r="AI846" s="2282"/>
      <c r="AJ846" s="1909" t="s">
        <v>3923</v>
      </c>
      <c r="AK846" s="2283" t="s">
        <v>3688</v>
      </c>
      <c r="AL846" s="2281"/>
      <c r="AM846" s="2259"/>
      <c r="AN846" s="2281"/>
      <c r="AO846" s="2282"/>
      <c r="AP846" s="1909" t="s">
        <v>3699</v>
      </c>
      <c r="BC846" s="214"/>
      <c r="BD846" s="214"/>
      <c r="BE846" s="214"/>
      <c r="BF846" s="214"/>
    </row>
    <row r="847" spans="1:58" ht="45" hidden="1" customHeight="1">
      <c r="B847" s="2277"/>
      <c r="C847" s="2259"/>
      <c r="D847" s="2260"/>
      <c r="E847" s="1908" t="s">
        <v>3682</v>
      </c>
      <c r="F847" s="1908" t="s">
        <v>4690</v>
      </c>
      <c r="G847" s="1908"/>
      <c r="H847" s="2278" t="s">
        <v>5497</v>
      </c>
      <c r="I847" s="2259"/>
      <c r="J847" s="2260"/>
      <c r="K847" s="2278" t="s">
        <v>5541</v>
      </c>
      <c r="L847" s="2260"/>
      <c r="M847" s="1908" t="e">
        <f>VLOOKUP(K847,'Estimate Details'!$R:$BR,20,FALSE)</f>
        <v>#N/A</v>
      </c>
      <c r="N847" s="1908" t="e">
        <f>VLOOKUP(M847,#REF!,2,FALSE)</f>
        <v>#N/A</v>
      </c>
      <c r="O847" s="1908" t="s">
        <v>5542</v>
      </c>
      <c r="P847" s="2278" t="s">
        <v>3687</v>
      </c>
      <c r="Q847" s="2259"/>
      <c r="R847" s="2260"/>
      <c r="S847" s="1908" t="s">
        <v>3688</v>
      </c>
      <c r="T847" s="1908" t="s">
        <v>3689</v>
      </c>
      <c r="U847" s="1908" t="s">
        <v>3690</v>
      </c>
      <c r="V847" s="1908" t="s">
        <v>3691</v>
      </c>
      <c r="W847" s="1908" t="s">
        <v>3688</v>
      </c>
      <c r="X847" s="1908" t="s">
        <v>4746</v>
      </c>
      <c r="Y847" s="1908"/>
      <c r="Z847" s="1908"/>
      <c r="AA847" s="1908" t="s">
        <v>3694</v>
      </c>
      <c r="AB847" s="1908" t="s">
        <v>5540</v>
      </c>
      <c r="AC847" s="1908" t="s">
        <v>3696</v>
      </c>
      <c r="AD847" s="2278" t="s">
        <v>3688</v>
      </c>
      <c r="AE847" s="2259"/>
      <c r="AF847" s="2260"/>
      <c r="AG847" s="2278" t="s">
        <v>3696</v>
      </c>
      <c r="AH847" s="2259"/>
      <c r="AI847" s="2260"/>
      <c r="AJ847" s="1908" t="s">
        <v>3923</v>
      </c>
      <c r="AK847" s="2278" t="s">
        <v>3688</v>
      </c>
      <c r="AL847" s="2259"/>
      <c r="AM847" s="2259"/>
      <c r="AN847" s="2259"/>
      <c r="AO847" s="2260"/>
      <c r="AP847" s="1908" t="s">
        <v>3699</v>
      </c>
      <c r="BC847" s="214"/>
      <c r="BD847" s="214"/>
      <c r="BE847" s="214"/>
      <c r="BF847" s="214"/>
    </row>
    <row r="848" spans="1:58" ht="45" hidden="1" customHeight="1">
      <c r="A848" s="808"/>
      <c r="B848" s="2280"/>
      <c r="C848" s="2281"/>
      <c r="D848" s="2282"/>
      <c r="E848" s="1909" t="s">
        <v>3682</v>
      </c>
      <c r="F848" s="1909" t="s">
        <v>4690</v>
      </c>
      <c r="G848" s="1909"/>
      <c r="H848" s="2283" t="s">
        <v>5497</v>
      </c>
      <c r="I848" s="2281"/>
      <c r="J848" s="2282"/>
      <c r="K848" s="2283" t="s">
        <v>5543</v>
      </c>
      <c r="L848" s="2282"/>
      <c r="M848" s="1909" t="e">
        <f>VLOOKUP(K848,'Estimate Details'!$R:$BR,20,FALSE)</f>
        <v>#N/A</v>
      </c>
      <c r="N848" s="1909" t="e">
        <f>VLOOKUP(M848,#REF!,2,FALSE)</f>
        <v>#N/A</v>
      </c>
      <c r="O848" s="1909" t="s">
        <v>4498</v>
      </c>
      <c r="P848" s="2284" t="s">
        <v>3687</v>
      </c>
      <c r="Q848" s="2281"/>
      <c r="R848" s="2282"/>
      <c r="S848" s="1909" t="s">
        <v>3688</v>
      </c>
      <c r="T848" s="1909" t="s">
        <v>3706</v>
      </c>
      <c r="U848" s="1909" t="s">
        <v>3707</v>
      </c>
      <c r="V848" s="1909" t="s">
        <v>4499</v>
      </c>
      <c r="W848" s="1909" t="s">
        <v>3688</v>
      </c>
      <c r="X848" s="1909"/>
      <c r="Y848" s="1909"/>
      <c r="Z848" s="1909"/>
      <c r="AA848" s="1909" t="s">
        <v>3694</v>
      </c>
      <c r="AB848" s="1909" t="s">
        <v>3688</v>
      </c>
      <c r="AC848" s="1909" t="s">
        <v>3696</v>
      </c>
      <c r="AD848" s="2283" t="s">
        <v>3688</v>
      </c>
      <c r="AE848" s="2281"/>
      <c r="AF848" s="2282"/>
      <c r="AG848" s="2283" t="s">
        <v>3696</v>
      </c>
      <c r="AH848" s="2281"/>
      <c r="AI848" s="2282"/>
      <c r="AJ848" s="1909" t="s">
        <v>4493</v>
      </c>
      <c r="AK848" s="2283" t="s">
        <v>5544</v>
      </c>
      <c r="AL848" s="2281"/>
      <c r="AM848" s="2259"/>
      <c r="AN848" s="2281"/>
      <c r="AO848" s="2282"/>
      <c r="AP848" s="1909" t="s">
        <v>3699</v>
      </c>
      <c r="BC848" s="214"/>
      <c r="BD848" s="214"/>
      <c r="BE848" s="214"/>
      <c r="BF848" s="214"/>
    </row>
    <row r="849" spans="1:58" ht="45" hidden="1" customHeight="1">
      <c r="B849" s="2277"/>
      <c r="C849" s="2259"/>
      <c r="D849" s="2260"/>
      <c r="E849" s="1908" t="s">
        <v>3682</v>
      </c>
      <c r="F849" s="1908" t="s">
        <v>4690</v>
      </c>
      <c r="G849" s="1908"/>
      <c r="H849" s="2278" t="s">
        <v>5497</v>
      </c>
      <c r="I849" s="2259"/>
      <c r="J849" s="2260"/>
      <c r="K849" s="2278" t="s">
        <v>5545</v>
      </c>
      <c r="L849" s="2260"/>
      <c r="M849" s="1908" t="e">
        <f>VLOOKUP(K849,'Estimate Details'!$R:$BR,20,FALSE)</f>
        <v>#N/A</v>
      </c>
      <c r="N849" s="1908" t="e">
        <f>VLOOKUP(M849,#REF!,2,FALSE)</f>
        <v>#N/A</v>
      </c>
      <c r="O849" s="1908" t="s">
        <v>4498</v>
      </c>
      <c r="P849" s="2278" t="s">
        <v>3687</v>
      </c>
      <c r="Q849" s="2259"/>
      <c r="R849" s="2260"/>
      <c r="S849" s="1908" t="s">
        <v>3688</v>
      </c>
      <c r="T849" s="1908" t="s">
        <v>3706</v>
      </c>
      <c r="U849" s="1908" t="s">
        <v>3707</v>
      </c>
      <c r="V849" s="1908" t="s">
        <v>4499</v>
      </c>
      <c r="W849" s="1908" t="s">
        <v>3688</v>
      </c>
      <c r="X849" s="1908"/>
      <c r="Y849" s="1908"/>
      <c r="Z849" s="1908"/>
      <c r="AA849" s="1908" t="s">
        <v>3694</v>
      </c>
      <c r="AB849" s="1908" t="s">
        <v>3688</v>
      </c>
      <c r="AC849" s="1908" t="s">
        <v>3696</v>
      </c>
      <c r="AD849" s="2278" t="s">
        <v>3688</v>
      </c>
      <c r="AE849" s="2259"/>
      <c r="AF849" s="2260"/>
      <c r="AG849" s="2278" t="s">
        <v>3696</v>
      </c>
      <c r="AH849" s="2259"/>
      <c r="AI849" s="2260"/>
      <c r="AJ849" s="1908" t="s">
        <v>4493</v>
      </c>
      <c r="AK849" s="2278" t="s">
        <v>5544</v>
      </c>
      <c r="AL849" s="2259"/>
      <c r="AM849" s="2259"/>
      <c r="AN849" s="2259"/>
      <c r="AO849" s="2260"/>
      <c r="AP849" s="1908" t="s">
        <v>3699</v>
      </c>
      <c r="BC849" s="214"/>
      <c r="BD849" s="214"/>
      <c r="BE849" s="214"/>
      <c r="BF849" s="214"/>
    </row>
    <row r="850" spans="1:58" ht="45" hidden="1" customHeight="1">
      <c r="A850" s="808"/>
      <c r="B850" s="2280"/>
      <c r="C850" s="2281"/>
      <c r="D850" s="2282"/>
      <c r="E850" s="1909" t="s">
        <v>3682</v>
      </c>
      <c r="F850" s="1909" t="s">
        <v>4690</v>
      </c>
      <c r="G850" s="1909"/>
      <c r="H850" s="2283" t="s">
        <v>5546</v>
      </c>
      <c r="I850" s="2281"/>
      <c r="J850" s="2282"/>
      <c r="K850" s="2283" t="s">
        <v>5547</v>
      </c>
      <c r="L850" s="2282"/>
      <c r="M850" s="1909" t="e">
        <f>VLOOKUP(K850,'Estimate Details'!$R:$BR,20,FALSE)</f>
        <v>#N/A</v>
      </c>
      <c r="N850" s="1909" t="e">
        <f>VLOOKUP(M850,#REF!,2,FALSE)</f>
        <v>#N/A</v>
      </c>
      <c r="O850" s="1909" t="s">
        <v>5548</v>
      </c>
      <c r="P850" s="2284" t="s">
        <v>3974</v>
      </c>
      <c r="Q850" s="2281"/>
      <c r="R850" s="2282"/>
      <c r="S850" s="1909" t="s">
        <v>3688</v>
      </c>
      <c r="T850" s="1909" t="s">
        <v>3689</v>
      </c>
      <c r="U850" s="1909" t="s">
        <v>3707</v>
      </c>
      <c r="V850" s="1909" t="s">
        <v>3975</v>
      </c>
      <c r="W850" s="1909" t="s">
        <v>3688</v>
      </c>
      <c r="X850" s="1909" t="s">
        <v>5549</v>
      </c>
      <c r="Y850" s="1909" t="s">
        <v>5550</v>
      </c>
      <c r="Z850" s="1909"/>
      <c r="AA850" s="1909" t="s">
        <v>3978</v>
      </c>
      <c r="AB850" s="1909" t="s">
        <v>5382</v>
      </c>
      <c r="AC850" s="1909" t="s">
        <v>5383</v>
      </c>
      <c r="AD850" s="2283" t="s">
        <v>5384</v>
      </c>
      <c r="AE850" s="2281"/>
      <c r="AF850" s="2282"/>
      <c r="AG850" s="2283" t="s">
        <v>3696</v>
      </c>
      <c r="AH850" s="2281"/>
      <c r="AI850" s="2282"/>
      <c r="AJ850" s="1909" t="s">
        <v>3982</v>
      </c>
      <c r="AK850" s="2283" t="s">
        <v>5551</v>
      </c>
      <c r="AL850" s="2281"/>
      <c r="AM850" s="2259"/>
      <c r="AN850" s="2281"/>
      <c r="AO850" s="2282"/>
      <c r="AP850" s="1909" t="s">
        <v>3699</v>
      </c>
      <c r="BC850" s="214"/>
      <c r="BD850" s="214"/>
      <c r="BE850" s="214"/>
      <c r="BF850" s="214"/>
    </row>
    <row r="851" spans="1:58" ht="45" hidden="1" customHeight="1">
      <c r="B851" s="2277"/>
      <c r="C851" s="2259"/>
      <c r="D851" s="2260"/>
      <c r="E851" s="1908" t="s">
        <v>3682</v>
      </c>
      <c r="F851" s="1908" t="s">
        <v>4690</v>
      </c>
      <c r="G851" s="1908"/>
      <c r="H851" s="2278" t="s">
        <v>5546</v>
      </c>
      <c r="I851" s="2259"/>
      <c r="J851" s="2260"/>
      <c r="K851" s="2278" t="s">
        <v>5552</v>
      </c>
      <c r="L851" s="2260"/>
      <c r="M851" s="1908" t="e">
        <f>VLOOKUP(K851,'Estimate Details'!$R:$BR,20,FALSE)</f>
        <v>#N/A</v>
      </c>
      <c r="N851" s="1908" t="e">
        <f>VLOOKUP(M851,#REF!,2,FALSE)</f>
        <v>#N/A</v>
      </c>
      <c r="O851" s="1908" t="s">
        <v>5387</v>
      </c>
      <c r="P851" s="2278" t="s">
        <v>3974</v>
      </c>
      <c r="Q851" s="2259"/>
      <c r="R851" s="2260"/>
      <c r="S851" s="1908" t="s">
        <v>3688</v>
      </c>
      <c r="T851" s="1908" t="s">
        <v>3689</v>
      </c>
      <c r="U851" s="1908" t="s">
        <v>3707</v>
      </c>
      <c r="V851" s="1908" t="s">
        <v>3975</v>
      </c>
      <c r="W851" s="1908" t="s">
        <v>3688</v>
      </c>
      <c r="X851" s="1908" t="s">
        <v>5553</v>
      </c>
      <c r="Y851" s="1908" t="s">
        <v>5554</v>
      </c>
      <c r="Z851" s="1908"/>
      <c r="AA851" s="1908" t="s">
        <v>3978</v>
      </c>
      <c r="AB851" s="1908" t="s">
        <v>5390</v>
      </c>
      <c r="AC851" s="1908" t="s">
        <v>5391</v>
      </c>
      <c r="AD851" s="2278" t="s">
        <v>3981</v>
      </c>
      <c r="AE851" s="2259"/>
      <c r="AF851" s="2260"/>
      <c r="AG851" s="2278" t="s">
        <v>3696</v>
      </c>
      <c r="AH851" s="2259"/>
      <c r="AI851" s="2260"/>
      <c r="AJ851" s="1908" t="s">
        <v>3982</v>
      </c>
      <c r="AK851" s="2278" t="s">
        <v>5392</v>
      </c>
      <c r="AL851" s="2259"/>
      <c r="AM851" s="2259"/>
      <c r="AN851" s="2259"/>
      <c r="AO851" s="2260"/>
      <c r="AP851" s="1908" t="s">
        <v>3699</v>
      </c>
      <c r="BC851" s="214"/>
      <c r="BD851" s="214"/>
      <c r="BE851" s="214"/>
      <c r="BF851" s="214"/>
    </row>
    <row r="852" spans="1:58" ht="45" hidden="1" customHeight="1">
      <c r="A852" s="808"/>
      <c r="B852" s="2280"/>
      <c r="C852" s="2281"/>
      <c r="D852" s="2282"/>
      <c r="E852" s="1909" t="s">
        <v>3682</v>
      </c>
      <c r="F852" s="1909" t="s">
        <v>4690</v>
      </c>
      <c r="G852" s="1909"/>
      <c r="H852" s="2283" t="s">
        <v>5546</v>
      </c>
      <c r="I852" s="2281"/>
      <c r="J852" s="2282"/>
      <c r="K852" s="2283" t="s">
        <v>5555</v>
      </c>
      <c r="L852" s="2282"/>
      <c r="M852" s="1909" t="e">
        <f>VLOOKUP(K852,'Estimate Details'!$R:$BR,20,FALSE)</f>
        <v>#N/A</v>
      </c>
      <c r="N852" s="1909" t="e">
        <f>VLOOKUP(M852,#REF!,2,FALSE)</f>
        <v>#N/A</v>
      </c>
      <c r="O852" s="1909" t="s">
        <v>5387</v>
      </c>
      <c r="P852" s="2284" t="s">
        <v>3974</v>
      </c>
      <c r="Q852" s="2281"/>
      <c r="R852" s="2282"/>
      <c r="S852" s="1909" t="s">
        <v>3688</v>
      </c>
      <c r="T852" s="1909" t="s">
        <v>3689</v>
      </c>
      <c r="U852" s="1909" t="s">
        <v>3707</v>
      </c>
      <c r="V852" s="1909" t="s">
        <v>3975</v>
      </c>
      <c r="W852" s="1909" t="s">
        <v>3688</v>
      </c>
      <c r="X852" s="1909" t="s">
        <v>5553</v>
      </c>
      <c r="Y852" s="1909" t="s">
        <v>5554</v>
      </c>
      <c r="Z852" s="1909"/>
      <c r="AA852" s="1909" t="s">
        <v>3978</v>
      </c>
      <c r="AB852" s="1909" t="s">
        <v>5390</v>
      </c>
      <c r="AC852" s="1909" t="s">
        <v>5391</v>
      </c>
      <c r="AD852" s="2283" t="s">
        <v>3981</v>
      </c>
      <c r="AE852" s="2281"/>
      <c r="AF852" s="2282"/>
      <c r="AG852" s="2283" t="s">
        <v>3696</v>
      </c>
      <c r="AH852" s="2281"/>
      <c r="AI852" s="2282"/>
      <c r="AJ852" s="1909" t="s">
        <v>3982</v>
      </c>
      <c r="AK852" s="2283" t="s">
        <v>5392</v>
      </c>
      <c r="AL852" s="2281"/>
      <c r="AM852" s="2259"/>
      <c r="AN852" s="2281"/>
      <c r="AO852" s="2282"/>
      <c r="AP852" s="1909" t="s">
        <v>3699</v>
      </c>
      <c r="BC852" s="214"/>
      <c r="BD852" s="214"/>
      <c r="BE852" s="214"/>
      <c r="BF852" s="214"/>
    </row>
    <row r="853" spans="1:58" ht="45" hidden="1" customHeight="1">
      <c r="B853" s="2277"/>
      <c r="C853" s="2259"/>
      <c r="D853" s="2260"/>
      <c r="E853" s="1908" t="s">
        <v>3682</v>
      </c>
      <c r="F853" s="1908" t="s">
        <v>4690</v>
      </c>
      <c r="G853" s="1908"/>
      <c r="H853" s="2278" t="s">
        <v>5546</v>
      </c>
      <c r="I853" s="2259"/>
      <c r="J853" s="2260"/>
      <c r="K853" s="2278" t="s">
        <v>5556</v>
      </c>
      <c r="L853" s="2260"/>
      <c r="M853" s="1908" t="e">
        <f>VLOOKUP(K853,'Estimate Details'!$R:$BR,20,FALSE)</f>
        <v>#N/A</v>
      </c>
      <c r="N853" s="1908" t="e">
        <f>VLOOKUP(M853,#REF!,2,FALSE)</f>
        <v>#N/A</v>
      </c>
      <c r="O853" s="1908" t="s">
        <v>5395</v>
      </c>
      <c r="P853" s="2278" t="s">
        <v>3974</v>
      </c>
      <c r="Q853" s="2259"/>
      <c r="R853" s="2260"/>
      <c r="S853" s="1908" t="s">
        <v>3688</v>
      </c>
      <c r="T853" s="1908" t="s">
        <v>3689</v>
      </c>
      <c r="U853" s="1908" t="s">
        <v>3707</v>
      </c>
      <c r="V853" s="1908" t="s">
        <v>3975</v>
      </c>
      <c r="W853" s="1908" t="s">
        <v>3688</v>
      </c>
      <c r="X853" s="1908" t="s">
        <v>5557</v>
      </c>
      <c r="Y853" s="1908" t="s">
        <v>5558</v>
      </c>
      <c r="Z853" s="1908"/>
      <c r="AA853" s="1908" t="s">
        <v>3978</v>
      </c>
      <c r="AB853" s="1908" t="s">
        <v>5398</v>
      </c>
      <c r="AC853" s="1908" t="s">
        <v>5399</v>
      </c>
      <c r="AD853" s="2278" t="s">
        <v>3981</v>
      </c>
      <c r="AE853" s="2259"/>
      <c r="AF853" s="2260"/>
      <c r="AG853" s="2278" t="s">
        <v>3696</v>
      </c>
      <c r="AH853" s="2259"/>
      <c r="AI853" s="2260"/>
      <c r="AJ853" s="1908" t="s">
        <v>3982</v>
      </c>
      <c r="AK853" s="2278" t="s">
        <v>5400</v>
      </c>
      <c r="AL853" s="2259"/>
      <c r="AM853" s="2259"/>
      <c r="AN853" s="2259"/>
      <c r="AO853" s="2260"/>
      <c r="AP853" s="1908" t="s">
        <v>3699</v>
      </c>
      <c r="BC853" s="214"/>
      <c r="BD853" s="214"/>
      <c r="BE853" s="214"/>
      <c r="BF853" s="214"/>
    </row>
    <row r="854" spans="1:58" ht="45" hidden="1" customHeight="1">
      <c r="A854" s="808"/>
      <c r="B854" s="2280"/>
      <c r="C854" s="2281"/>
      <c r="D854" s="2282"/>
      <c r="E854" s="1909" t="s">
        <v>3682</v>
      </c>
      <c r="F854" s="1909" t="s">
        <v>4690</v>
      </c>
      <c r="G854" s="1909"/>
      <c r="H854" s="2283" t="s">
        <v>5546</v>
      </c>
      <c r="I854" s="2281"/>
      <c r="J854" s="2282"/>
      <c r="K854" s="2283" t="s">
        <v>5559</v>
      </c>
      <c r="L854" s="2282"/>
      <c r="M854" s="1909" t="e">
        <f>VLOOKUP(K854,'Estimate Details'!$R:$BR,20,FALSE)</f>
        <v>#N/A</v>
      </c>
      <c r="N854" s="1909" t="e">
        <f>VLOOKUP(M854,#REF!,2,FALSE)</f>
        <v>#N/A</v>
      </c>
      <c r="O854" s="1909" t="s">
        <v>5417</v>
      </c>
      <c r="P854" s="2284" t="s">
        <v>3974</v>
      </c>
      <c r="Q854" s="2281"/>
      <c r="R854" s="2282"/>
      <c r="S854" s="1909" t="s">
        <v>3688</v>
      </c>
      <c r="T854" s="1909" t="s">
        <v>3689</v>
      </c>
      <c r="U854" s="1909" t="s">
        <v>3707</v>
      </c>
      <c r="V854" s="1909" t="s">
        <v>3975</v>
      </c>
      <c r="W854" s="1909" t="s">
        <v>3688</v>
      </c>
      <c r="X854" s="1909" t="s">
        <v>5557</v>
      </c>
      <c r="Y854" s="1909" t="s">
        <v>5560</v>
      </c>
      <c r="Z854" s="1909"/>
      <c r="AA854" s="1909" t="s">
        <v>3978</v>
      </c>
      <c r="AB854" s="1909" t="s">
        <v>5398</v>
      </c>
      <c r="AC854" s="1909" t="s">
        <v>5404</v>
      </c>
      <c r="AD854" s="2283" t="s">
        <v>3981</v>
      </c>
      <c r="AE854" s="2281"/>
      <c r="AF854" s="2282"/>
      <c r="AG854" s="2283" t="s">
        <v>3696</v>
      </c>
      <c r="AH854" s="2281"/>
      <c r="AI854" s="2282"/>
      <c r="AJ854" s="1909" t="s">
        <v>3982</v>
      </c>
      <c r="AK854" s="2283" t="s">
        <v>5405</v>
      </c>
      <c r="AL854" s="2281"/>
      <c r="AM854" s="2259"/>
      <c r="AN854" s="2281"/>
      <c r="AO854" s="2282"/>
      <c r="AP854" s="1909" t="s">
        <v>3699</v>
      </c>
      <c r="BC854" s="214"/>
      <c r="BD854" s="214"/>
      <c r="BE854" s="214"/>
      <c r="BF854" s="214"/>
    </row>
    <row r="855" spans="1:58" ht="45" hidden="1" customHeight="1">
      <c r="B855" s="2277"/>
      <c r="C855" s="2259"/>
      <c r="D855" s="2260"/>
      <c r="E855" s="1908" t="s">
        <v>3682</v>
      </c>
      <c r="F855" s="1908" t="s">
        <v>4690</v>
      </c>
      <c r="G855" s="1908"/>
      <c r="H855" s="2278" t="s">
        <v>5546</v>
      </c>
      <c r="I855" s="2259"/>
      <c r="J855" s="2260"/>
      <c r="K855" s="2278" t="s">
        <v>5561</v>
      </c>
      <c r="L855" s="2260"/>
      <c r="M855" s="1908" t="e">
        <f>VLOOKUP(K855,'Estimate Details'!$R:$BR,20,FALSE)</f>
        <v>#N/A</v>
      </c>
      <c r="N855" s="1908" t="e">
        <f>VLOOKUP(M855,#REF!,2,FALSE)</f>
        <v>#N/A</v>
      </c>
      <c r="O855" s="1908" t="s">
        <v>5562</v>
      </c>
      <c r="P855" s="2278" t="s">
        <v>3974</v>
      </c>
      <c r="Q855" s="2259"/>
      <c r="R855" s="2260"/>
      <c r="S855" s="1908" t="s">
        <v>3688</v>
      </c>
      <c r="T855" s="1908" t="s">
        <v>3689</v>
      </c>
      <c r="U855" s="1908" t="s">
        <v>3707</v>
      </c>
      <c r="V855" s="1908" t="s">
        <v>3975</v>
      </c>
      <c r="W855" s="1908" t="s">
        <v>3688</v>
      </c>
      <c r="X855" s="1908" t="s">
        <v>5557</v>
      </c>
      <c r="Y855" s="1908" t="s">
        <v>5560</v>
      </c>
      <c r="Z855" s="1908"/>
      <c r="AA855" s="1908" t="s">
        <v>3978</v>
      </c>
      <c r="AB855" s="1908" t="s">
        <v>5398</v>
      </c>
      <c r="AC855" s="1908" t="s">
        <v>5404</v>
      </c>
      <c r="AD855" s="2278" t="s">
        <v>3981</v>
      </c>
      <c r="AE855" s="2259"/>
      <c r="AF855" s="2260"/>
      <c r="AG855" s="2278" t="s">
        <v>3696</v>
      </c>
      <c r="AH855" s="2259"/>
      <c r="AI855" s="2260"/>
      <c r="AJ855" s="1908" t="s">
        <v>3982</v>
      </c>
      <c r="AK855" s="2278" t="s">
        <v>5405</v>
      </c>
      <c r="AL855" s="2259"/>
      <c r="AM855" s="2259"/>
      <c r="AN855" s="2259"/>
      <c r="AO855" s="2260"/>
      <c r="AP855" s="1908" t="s">
        <v>3699</v>
      </c>
      <c r="BC855" s="214"/>
      <c r="BD855" s="214"/>
      <c r="BE855" s="214"/>
      <c r="BF855" s="214"/>
    </row>
    <row r="856" spans="1:58" ht="45" hidden="1" customHeight="1">
      <c r="A856" s="808"/>
      <c r="B856" s="2280"/>
      <c r="C856" s="2281"/>
      <c r="D856" s="2282"/>
      <c r="E856" s="1909" t="s">
        <v>3682</v>
      </c>
      <c r="F856" s="1909" t="s">
        <v>4690</v>
      </c>
      <c r="G856" s="1909"/>
      <c r="H856" s="2283" t="s">
        <v>5546</v>
      </c>
      <c r="I856" s="2281"/>
      <c r="J856" s="2282"/>
      <c r="K856" s="2283" t="s">
        <v>5563</v>
      </c>
      <c r="L856" s="2282"/>
      <c r="M856" s="1909" t="e">
        <f>VLOOKUP(K856,'Estimate Details'!$R:$BR,20,FALSE)</f>
        <v>#N/A</v>
      </c>
      <c r="N856" s="1909" t="e">
        <f>VLOOKUP(M856,#REF!,2,FALSE)</f>
        <v>#N/A</v>
      </c>
      <c r="O856" s="1909" t="s">
        <v>5562</v>
      </c>
      <c r="P856" s="2284" t="s">
        <v>3974</v>
      </c>
      <c r="Q856" s="2281"/>
      <c r="R856" s="2282"/>
      <c r="S856" s="1909" t="s">
        <v>3688</v>
      </c>
      <c r="T856" s="1909" t="s">
        <v>3689</v>
      </c>
      <c r="U856" s="1909" t="s">
        <v>3707</v>
      </c>
      <c r="V856" s="1909" t="s">
        <v>3975</v>
      </c>
      <c r="W856" s="1909" t="s">
        <v>3688</v>
      </c>
      <c r="X856" s="1909" t="s">
        <v>5557</v>
      </c>
      <c r="Y856" s="1909" t="s">
        <v>5560</v>
      </c>
      <c r="Z856" s="1909"/>
      <c r="AA856" s="1909" t="s">
        <v>3978</v>
      </c>
      <c r="AB856" s="1909" t="s">
        <v>5398</v>
      </c>
      <c r="AC856" s="1909" t="s">
        <v>5404</v>
      </c>
      <c r="AD856" s="2283" t="s">
        <v>3981</v>
      </c>
      <c r="AE856" s="2281"/>
      <c r="AF856" s="2282"/>
      <c r="AG856" s="2283" t="s">
        <v>3696</v>
      </c>
      <c r="AH856" s="2281"/>
      <c r="AI856" s="2282"/>
      <c r="AJ856" s="1909" t="s">
        <v>3982</v>
      </c>
      <c r="AK856" s="2283" t="s">
        <v>5405</v>
      </c>
      <c r="AL856" s="2281"/>
      <c r="AM856" s="2259"/>
      <c r="AN856" s="2281"/>
      <c r="AO856" s="2282"/>
      <c r="AP856" s="1909" t="s">
        <v>3699</v>
      </c>
      <c r="BC856" s="214"/>
      <c r="BD856" s="214"/>
      <c r="BE856" s="214"/>
      <c r="BF856" s="214"/>
    </row>
    <row r="857" spans="1:58" ht="45" hidden="1" customHeight="1">
      <c r="B857" s="2277"/>
      <c r="C857" s="2259"/>
      <c r="D857" s="2260"/>
      <c r="E857" s="1908" t="s">
        <v>3682</v>
      </c>
      <c r="F857" s="1908" t="s">
        <v>4690</v>
      </c>
      <c r="G857" s="1908"/>
      <c r="H857" s="2278" t="s">
        <v>5546</v>
      </c>
      <c r="I857" s="2259"/>
      <c r="J857" s="2260"/>
      <c r="K857" s="2278" t="s">
        <v>5564</v>
      </c>
      <c r="L857" s="2260"/>
      <c r="M857" s="1908" t="e">
        <f>VLOOKUP(K857,'Estimate Details'!$R:$BR,20,FALSE)</f>
        <v>#N/A</v>
      </c>
      <c r="N857" s="1908" t="e">
        <f>VLOOKUP(M857,#REF!,2,FALSE)</f>
        <v>#N/A</v>
      </c>
      <c r="O857" s="1908" t="s">
        <v>5402</v>
      </c>
      <c r="P857" s="2278" t="s">
        <v>3974</v>
      </c>
      <c r="Q857" s="2259"/>
      <c r="R857" s="2260"/>
      <c r="S857" s="1908" t="s">
        <v>3688</v>
      </c>
      <c r="T857" s="1908" t="s">
        <v>3689</v>
      </c>
      <c r="U857" s="1908" t="s">
        <v>3707</v>
      </c>
      <c r="V857" s="1908" t="s">
        <v>3975</v>
      </c>
      <c r="W857" s="1908" t="s">
        <v>3688</v>
      </c>
      <c r="X857" s="1908" t="s">
        <v>5557</v>
      </c>
      <c r="Y857" s="1908" t="s">
        <v>5560</v>
      </c>
      <c r="Z857" s="1908"/>
      <c r="AA857" s="1908" t="s">
        <v>3978</v>
      </c>
      <c r="AB857" s="1908" t="s">
        <v>5398</v>
      </c>
      <c r="AC857" s="1908" t="s">
        <v>5404</v>
      </c>
      <c r="AD857" s="2278" t="s">
        <v>3981</v>
      </c>
      <c r="AE857" s="2259"/>
      <c r="AF857" s="2260"/>
      <c r="AG857" s="2278" t="s">
        <v>3696</v>
      </c>
      <c r="AH857" s="2259"/>
      <c r="AI857" s="2260"/>
      <c r="AJ857" s="1908" t="s">
        <v>3982</v>
      </c>
      <c r="AK857" s="2278" t="s">
        <v>5405</v>
      </c>
      <c r="AL857" s="2259"/>
      <c r="AM857" s="2259"/>
      <c r="AN857" s="2259"/>
      <c r="AO857" s="2260"/>
      <c r="AP857" s="1908" t="s">
        <v>3699</v>
      </c>
      <c r="BC857" s="214"/>
      <c r="BD857" s="214"/>
      <c r="BE857" s="214"/>
      <c r="BF857" s="214"/>
    </row>
    <row r="858" spans="1:58" ht="45" hidden="1" customHeight="1">
      <c r="A858" s="808"/>
      <c r="B858" s="2280"/>
      <c r="C858" s="2281"/>
      <c r="D858" s="2282"/>
      <c r="E858" s="1909" t="s">
        <v>3682</v>
      </c>
      <c r="F858" s="1909" t="s">
        <v>4690</v>
      </c>
      <c r="G858" s="1909"/>
      <c r="H858" s="2283" t="s">
        <v>5546</v>
      </c>
      <c r="I858" s="2281"/>
      <c r="J858" s="2282"/>
      <c r="K858" s="2283" t="s">
        <v>5565</v>
      </c>
      <c r="L858" s="2282"/>
      <c r="M858" s="1909" t="e">
        <f>VLOOKUP(K858,'Estimate Details'!$R:$BR,20,FALSE)</f>
        <v>#N/A</v>
      </c>
      <c r="N858" s="1909" t="e">
        <f>VLOOKUP(M858,#REF!,2,FALSE)</f>
        <v>#N/A</v>
      </c>
      <c r="O858" s="1909" t="s">
        <v>5407</v>
      </c>
      <c r="P858" s="2284" t="s">
        <v>3974</v>
      </c>
      <c r="Q858" s="2281"/>
      <c r="R858" s="2282"/>
      <c r="S858" s="1909" t="s">
        <v>3688</v>
      </c>
      <c r="T858" s="1909" t="s">
        <v>3689</v>
      </c>
      <c r="U858" s="1909" t="s">
        <v>3707</v>
      </c>
      <c r="V858" s="1909" t="s">
        <v>3975</v>
      </c>
      <c r="W858" s="1909" t="s">
        <v>3688</v>
      </c>
      <c r="X858" s="1909" t="s">
        <v>5408</v>
      </c>
      <c r="Y858" s="1909" t="s">
        <v>5566</v>
      </c>
      <c r="Z858" s="1909"/>
      <c r="AA858" s="1909" t="s">
        <v>3978</v>
      </c>
      <c r="AB858" s="1909" t="s">
        <v>5410</v>
      </c>
      <c r="AC858" s="1909" t="s">
        <v>5411</v>
      </c>
      <c r="AD858" s="2283" t="s">
        <v>5412</v>
      </c>
      <c r="AE858" s="2281"/>
      <c r="AF858" s="2282"/>
      <c r="AG858" s="2283" t="s">
        <v>3696</v>
      </c>
      <c r="AH858" s="2281"/>
      <c r="AI858" s="2282"/>
      <c r="AJ858" s="1909" t="s">
        <v>3982</v>
      </c>
      <c r="AK858" s="2283" t="s">
        <v>5413</v>
      </c>
      <c r="AL858" s="2281"/>
      <c r="AM858" s="2259"/>
      <c r="AN858" s="2281"/>
      <c r="AO858" s="2282"/>
      <c r="AP858" s="1909" t="s">
        <v>3699</v>
      </c>
      <c r="BC858" s="214"/>
      <c r="BD858" s="214"/>
      <c r="BE858" s="214"/>
      <c r="BF858" s="214"/>
    </row>
    <row r="859" spans="1:58" ht="45" hidden="1" customHeight="1">
      <c r="B859" s="2277"/>
      <c r="C859" s="2259"/>
      <c r="D859" s="2260"/>
      <c r="E859" s="1908" t="s">
        <v>3682</v>
      </c>
      <c r="F859" s="1908" t="s">
        <v>4690</v>
      </c>
      <c r="G859" s="1908"/>
      <c r="H859" s="2278" t="s">
        <v>5546</v>
      </c>
      <c r="I859" s="2259"/>
      <c r="J859" s="2260"/>
      <c r="K859" s="2278" t="s">
        <v>5567</v>
      </c>
      <c r="L859" s="2260"/>
      <c r="M859" s="1908" t="e">
        <f>VLOOKUP(K859,'Estimate Details'!$R:$BR,20,FALSE)</f>
        <v>#N/A</v>
      </c>
      <c r="N859" s="1908" t="e">
        <f>VLOOKUP(M859,#REF!,2,FALSE)</f>
        <v>#N/A</v>
      </c>
      <c r="O859" s="1908" t="s">
        <v>5407</v>
      </c>
      <c r="P859" s="2278" t="s">
        <v>3974</v>
      </c>
      <c r="Q859" s="2259"/>
      <c r="R859" s="2260"/>
      <c r="S859" s="1908" t="s">
        <v>3688</v>
      </c>
      <c r="T859" s="1908" t="s">
        <v>3689</v>
      </c>
      <c r="U859" s="1908" t="s">
        <v>3707</v>
      </c>
      <c r="V859" s="1908" t="s">
        <v>3975</v>
      </c>
      <c r="W859" s="1908" t="s">
        <v>3688</v>
      </c>
      <c r="X859" s="1908" t="s">
        <v>5408</v>
      </c>
      <c r="Y859" s="1908" t="s">
        <v>5566</v>
      </c>
      <c r="Z859" s="1908"/>
      <c r="AA859" s="1908" t="s">
        <v>3978</v>
      </c>
      <c r="AB859" s="1908" t="s">
        <v>5410</v>
      </c>
      <c r="AC859" s="1908" t="s">
        <v>5411</v>
      </c>
      <c r="AD859" s="2278" t="s">
        <v>5412</v>
      </c>
      <c r="AE859" s="2259"/>
      <c r="AF859" s="2260"/>
      <c r="AG859" s="2278" t="s">
        <v>3696</v>
      </c>
      <c r="AH859" s="2259"/>
      <c r="AI859" s="2260"/>
      <c r="AJ859" s="1908" t="s">
        <v>3982</v>
      </c>
      <c r="AK859" s="2278" t="s">
        <v>5413</v>
      </c>
      <c r="AL859" s="2259"/>
      <c r="AM859" s="2259"/>
      <c r="AN859" s="2259"/>
      <c r="AO859" s="2260"/>
      <c r="AP859" s="1908" t="s">
        <v>3699</v>
      </c>
      <c r="BC859" s="214"/>
      <c r="BD859" s="214"/>
      <c r="BE859" s="214"/>
      <c r="BF859" s="214"/>
    </row>
    <row r="860" spans="1:58" ht="45" hidden="1" customHeight="1">
      <c r="A860" s="808"/>
      <c r="B860" s="2280"/>
      <c r="C860" s="2281"/>
      <c r="D860" s="2282"/>
      <c r="E860" s="1909" t="s">
        <v>3682</v>
      </c>
      <c r="F860" s="1909" t="s">
        <v>4690</v>
      </c>
      <c r="G860" s="1909"/>
      <c r="H860" s="2283" t="s">
        <v>5546</v>
      </c>
      <c r="I860" s="2281"/>
      <c r="J860" s="2282"/>
      <c r="K860" s="2283" t="s">
        <v>5568</v>
      </c>
      <c r="L860" s="2282"/>
      <c r="M860" s="1909" t="e">
        <f>VLOOKUP(K860,'Estimate Details'!$R:$BR,20,FALSE)</f>
        <v>#N/A</v>
      </c>
      <c r="N860" s="1909" t="e">
        <f>VLOOKUP(M860,#REF!,2,FALSE)</f>
        <v>#N/A</v>
      </c>
      <c r="O860" s="1909" t="s">
        <v>5407</v>
      </c>
      <c r="P860" s="2284" t="s">
        <v>3974</v>
      </c>
      <c r="Q860" s="2281"/>
      <c r="R860" s="2282"/>
      <c r="S860" s="1909" t="s">
        <v>3688</v>
      </c>
      <c r="T860" s="1909" t="s">
        <v>3689</v>
      </c>
      <c r="U860" s="1909" t="s">
        <v>3707</v>
      </c>
      <c r="V860" s="1909" t="s">
        <v>3975</v>
      </c>
      <c r="W860" s="1909" t="s">
        <v>3688</v>
      </c>
      <c r="X860" s="1909" t="s">
        <v>5408</v>
      </c>
      <c r="Y860" s="1909" t="s">
        <v>5566</v>
      </c>
      <c r="Z860" s="1909"/>
      <c r="AA860" s="1909" t="s">
        <v>3978</v>
      </c>
      <c r="AB860" s="1909" t="s">
        <v>5410</v>
      </c>
      <c r="AC860" s="1909" t="s">
        <v>5411</v>
      </c>
      <c r="AD860" s="2283" t="s">
        <v>5412</v>
      </c>
      <c r="AE860" s="2281"/>
      <c r="AF860" s="2282"/>
      <c r="AG860" s="2283" t="s">
        <v>3696</v>
      </c>
      <c r="AH860" s="2281"/>
      <c r="AI860" s="2282"/>
      <c r="AJ860" s="1909" t="s">
        <v>3982</v>
      </c>
      <c r="AK860" s="2283" t="s">
        <v>5413</v>
      </c>
      <c r="AL860" s="2281"/>
      <c r="AM860" s="2259"/>
      <c r="AN860" s="2281"/>
      <c r="AO860" s="2282"/>
      <c r="AP860" s="1909" t="s">
        <v>3699</v>
      </c>
      <c r="BC860" s="214"/>
      <c r="BD860" s="214"/>
      <c r="BE860" s="214"/>
      <c r="BF860" s="214"/>
    </row>
    <row r="861" spans="1:58" ht="45" hidden="1" customHeight="1">
      <c r="B861" s="2277"/>
      <c r="C861" s="2259"/>
      <c r="D861" s="2260"/>
      <c r="E861" s="1908" t="s">
        <v>3682</v>
      </c>
      <c r="F861" s="1908" t="s">
        <v>4690</v>
      </c>
      <c r="G861" s="1908"/>
      <c r="H861" s="2278" t="s">
        <v>5546</v>
      </c>
      <c r="I861" s="2259"/>
      <c r="J861" s="2260"/>
      <c r="K861" s="2278" t="s">
        <v>5569</v>
      </c>
      <c r="L861" s="2260"/>
      <c r="M861" s="1908" t="e">
        <f>VLOOKUP(K861,'Estimate Details'!$R:$BR,20,FALSE)</f>
        <v>#N/A</v>
      </c>
      <c r="N861" s="1908" t="e">
        <f>VLOOKUP(M861,#REF!,2,FALSE)</f>
        <v>#N/A</v>
      </c>
      <c r="O861" s="1908" t="s">
        <v>5424</v>
      </c>
      <c r="P861" s="2278" t="s">
        <v>3974</v>
      </c>
      <c r="Q861" s="2259"/>
      <c r="R861" s="2260"/>
      <c r="S861" s="1908" t="s">
        <v>3688</v>
      </c>
      <c r="T861" s="1908" t="s">
        <v>3689</v>
      </c>
      <c r="U861" s="1908" t="s">
        <v>3707</v>
      </c>
      <c r="V861" s="1908" t="s">
        <v>3975</v>
      </c>
      <c r="W861" s="1908" t="s">
        <v>3688</v>
      </c>
      <c r="X861" s="1908" t="s">
        <v>5418</v>
      </c>
      <c r="Y861" s="1908" t="s">
        <v>5570</v>
      </c>
      <c r="Z861" s="1908"/>
      <c r="AA861" s="1908" t="s">
        <v>3978</v>
      </c>
      <c r="AB861" s="1908" t="s">
        <v>5420</v>
      </c>
      <c r="AC861" s="1908" t="s">
        <v>5421</v>
      </c>
      <c r="AD861" s="2278" t="s">
        <v>5412</v>
      </c>
      <c r="AE861" s="2259"/>
      <c r="AF861" s="2260"/>
      <c r="AG861" s="2278" t="s">
        <v>3696</v>
      </c>
      <c r="AH861" s="2259"/>
      <c r="AI861" s="2260"/>
      <c r="AJ861" s="1908" t="s">
        <v>3982</v>
      </c>
      <c r="AK861" s="2278" t="s">
        <v>5422</v>
      </c>
      <c r="AL861" s="2259"/>
      <c r="AM861" s="2259"/>
      <c r="AN861" s="2259"/>
      <c r="AO861" s="2260"/>
      <c r="AP861" s="1908" t="s">
        <v>3699</v>
      </c>
      <c r="BC861" s="214"/>
      <c r="BD861" s="214"/>
      <c r="BE861" s="214"/>
      <c r="BF861" s="214"/>
    </row>
    <row r="862" spans="1:58" ht="45" hidden="1" customHeight="1">
      <c r="A862" s="808"/>
      <c r="B862" s="2280"/>
      <c r="C862" s="2281"/>
      <c r="D862" s="2282"/>
      <c r="E862" s="1909" t="s">
        <v>3682</v>
      </c>
      <c r="F862" s="1909" t="s">
        <v>4690</v>
      </c>
      <c r="G862" s="1909"/>
      <c r="H862" s="2283" t="s">
        <v>5546</v>
      </c>
      <c r="I862" s="2281"/>
      <c r="J862" s="2282"/>
      <c r="K862" s="2283" t="s">
        <v>5571</v>
      </c>
      <c r="L862" s="2282"/>
      <c r="M862" s="1909" t="e">
        <f>VLOOKUP(K862,'Estimate Details'!$R:$BR,20,FALSE)</f>
        <v>#N/A</v>
      </c>
      <c r="N862" s="1909" t="e">
        <f>VLOOKUP(M862,#REF!,2,FALSE)</f>
        <v>#N/A</v>
      </c>
      <c r="O862" s="1909" t="s">
        <v>5424</v>
      </c>
      <c r="P862" s="2284" t="s">
        <v>3974</v>
      </c>
      <c r="Q862" s="2281"/>
      <c r="R862" s="2282"/>
      <c r="S862" s="1909" t="s">
        <v>3688</v>
      </c>
      <c r="T862" s="1909" t="s">
        <v>3689</v>
      </c>
      <c r="U862" s="1909" t="s">
        <v>3707</v>
      </c>
      <c r="V862" s="1909" t="s">
        <v>3975</v>
      </c>
      <c r="W862" s="1909" t="s">
        <v>3688</v>
      </c>
      <c r="X862" s="1909" t="s">
        <v>5418</v>
      </c>
      <c r="Y862" s="1909" t="s">
        <v>5570</v>
      </c>
      <c r="Z862" s="1909"/>
      <c r="AA862" s="1909" t="s">
        <v>3978</v>
      </c>
      <c r="AB862" s="1909" t="s">
        <v>5420</v>
      </c>
      <c r="AC862" s="1909" t="s">
        <v>5421</v>
      </c>
      <c r="AD862" s="2283" t="s">
        <v>5412</v>
      </c>
      <c r="AE862" s="2281"/>
      <c r="AF862" s="2282"/>
      <c r="AG862" s="2283" t="s">
        <v>3696</v>
      </c>
      <c r="AH862" s="2281"/>
      <c r="AI862" s="2282"/>
      <c r="AJ862" s="1909" t="s">
        <v>3982</v>
      </c>
      <c r="AK862" s="2283" t="s">
        <v>5422</v>
      </c>
      <c r="AL862" s="2281"/>
      <c r="AM862" s="2259"/>
      <c r="AN862" s="2281"/>
      <c r="AO862" s="2282"/>
      <c r="AP862" s="1909" t="s">
        <v>3699</v>
      </c>
      <c r="BC862" s="214"/>
      <c r="BD862" s="214"/>
      <c r="BE862" s="214"/>
      <c r="BF862" s="214"/>
    </row>
    <row r="863" spans="1:58" ht="45" hidden="1" customHeight="1">
      <c r="B863" s="2277"/>
      <c r="C863" s="2259"/>
      <c r="D863" s="2260"/>
      <c r="E863" s="1908" t="s">
        <v>3682</v>
      </c>
      <c r="F863" s="1908" t="s">
        <v>4690</v>
      </c>
      <c r="G863" s="1908"/>
      <c r="H863" s="2278" t="s">
        <v>5572</v>
      </c>
      <c r="I863" s="2259"/>
      <c r="J863" s="2260"/>
      <c r="K863" s="2278" t="s">
        <v>5573</v>
      </c>
      <c r="L863" s="2260"/>
      <c r="M863" s="1908" t="e">
        <f>VLOOKUP(K863,'Estimate Details'!$R:$BR,20,FALSE)</f>
        <v>#N/A</v>
      </c>
      <c r="N863" s="1908" t="e">
        <f>VLOOKUP(M863,#REF!,2,FALSE)</f>
        <v>#N/A</v>
      </c>
      <c r="O863" s="1908" t="s">
        <v>4700</v>
      </c>
      <c r="P863" s="2278" t="s">
        <v>3687</v>
      </c>
      <c r="Q863" s="2259"/>
      <c r="R863" s="2260"/>
      <c r="S863" s="1908" t="s">
        <v>3688</v>
      </c>
      <c r="T863" s="1908" t="s">
        <v>3706</v>
      </c>
      <c r="U863" s="1908" t="s">
        <v>3690</v>
      </c>
      <c r="V863" s="1908" t="s">
        <v>3691</v>
      </c>
      <c r="W863" s="1908" t="s">
        <v>3688</v>
      </c>
      <c r="X863" s="1908"/>
      <c r="Y863" s="1908"/>
      <c r="Z863" s="1908"/>
      <c r="AA863" s="1908" t="s">
        <v>3694</v>
      </c>
      <c r="AB863" s="1908" t="s">
        <v>4703</v>
      </c>
      <c r="AC863" s="1908" t="s">
        <v>3696</v>
      </c>
      <c r="AD863" s="2278" t="s">
        <v>3861</v>
      </c>
      <c r="AE863" s="2259"/>
      <c r="AF863" s="2260"/>
      <c r="AG863" s="2278" t="s">
        <v>3696</v>
      </c>
      <c r="AH863" s="2259"/>
      <c r="AI863" s="2260"/>
      <c r="AJ863" s="1908" t="s">
        <v>4704</v>
      </c>
      <c r="AK863" s="2278" t="s">
        <v>5431</v>
      </c>
      <c r="AL863" s="2259"/>
      <c r="AM863" s="2259"/>
      <c r="AN863" s="2259"/>
      <c r="AO863" s="2260"/>
      <c r="AP863" s="1908" t="s">
        <v>3699</v>
      </c>
      <c r="BC863" s="214"/>
      <c r="BD863" s="214"/>
      <c r="BE863" s="214"/>
      <c r="BF863" s="214"/>
    </row>
    <row r="864" spans="1:58" ht="45" hidden="1" customHeight="1">
      <c r="A864" s="808"/>
      <c r="B864" s="2280"/>
      <c r="C864" s="2281"/>
      <c r="D864" s="2282"/>
      <c r="E864" s="1909" t="s">
        <v>3682</v>
      </c>
      <c r="F864" s="1909" t="s">
        <v>4690</v>
      </c>
      <c r="G864" s="1909"/>
      <c r="H864" s="2283" t="s">
        <v>5572</v>
      </c>
      <c r="I864" s="2281"/>
      <c r="J864" s="2282"/>
      <c r="K864" s="2283" t="s">
        <v>5574</v>
      </c>
      <c r="L864" s="2282"/>
      <c r="M864" s="1909" t="e">
        <f>VLOOKUP(K864,'Estimate Details'!$R:$BR,20,FALSE)</f>
        <v>#N/A</v>
      </c>
      <c r="N864" s="1909" t="e">
        <f>VLOOKUP(M864,#REF!,2,FALSE)</f>
        <v>#N/A</v>
      </c>
      <c r="O864" s="1909" t="s">
        <v>4700</v>
      </c>
      <c r="P864" s="2284" t="s">
        <v>3687</v>
      </c>
      <c r="Q864" s="2281"/>
      <c r="R864" s="2282"/>
      <c r="S864" s="1909" t="s">
        <v>3688</v>
      </c>
      <c r="T864" s="1909" t="s">
        <v>3706</v>
      </c>
      <c r="U864" s="1909" t="s">
        <v>3690</v>
      </c>
      <c r="V864" s="1909" t="s">
        <v>3691</v>
      </c>
      <c r="W864" s="1909" t="s">
        <v>3688</v>
      </c>
      <c r="X864" s="1909"/>
      <c r="Y864" s="1909"/>
      <c r="Z864" s="1909"/>
      <c r="AA864" s="1909" t="s">
        <v>3694</v>
      </c>
      <c r="AB864" s="1909" t="s">
        <v>4703</v>
      </c>
      <c r="AC864" s="1909" t="s">
        <v>3696</v>
      </c>
      <c r="AD864" s="2283" t="s">
        <v>3861</v>
      </c>
      <c r="AE864" s="2281"/>
      <c r="AF864" s="2282"/>
      <c r="AG864" s="2283" t="s">
        <v>3696</v>
      </c>
      <c r="AH864" s="2281"/>
      <c r="AI864" s="2282"/>
      <c r="AJ864" s="1909" t="s">
        <v>4704</v>
      </c>
      <c r="AK864" s="2283" t="s">
        <v>5431</v>
      </c>
      <c r="AL864" s="2281"/>
      <c r="AM864" s="2259"/>
      <c r="AN864" s="2281"/>
      <c r="AO864" s="2282"/>
      <c r="AP864" s="1909" t="s">
        <v>3699</v>
      </c>
      <c r="BC864" s="214"/>
      <c r="BD864" s="214"/>
      <c r="BE864" s="214"/>
      <c r="BF864" s="214"/>
    </row>
    <row r="865" spans="1:58" ht="45" hidden="1" customHeight="1">
      <c r="B865" s="2277"/>
      <c r="C865" s="2259"/>
      <c r="D865" s="2260"/>
      <c r="E865" s="1908" t="s">
        <v>3682</v>
      </c>
      <c r="F865" s="1908" t="s">
        <v>4690</v>
      </c>
      <c r="G865" s="1908"/>
      <c r="H865" s="2278" t="s">
        <v>5572</v>
      </c>
      <c r="I865" s="2259"/>
      <c r="J865" s="2260"/>
      <c r="K865" s="2278" t="s">
        <v>5575</v>
      </c>
      <c r="L865" s="2260"/>
      <c r="M865" s="1908" t="e">
        <f>VLOOKUP(K865,'Estimate Details'!$R:$BR,20,FALSE)</f>
        <v>#N/A</v>
      </c>
      <c r="N865" s="1908" t="e">
        <f>VLOOKUP(M865,#REF!,2,FALSE)</f>
        <v>#N/A</v>
      </c>
      <c r="O865" s="1908" t="s">
        <v>4707</v>
      </c>
      <c r="P865" s="2278" t="s">
        <v>3687</v>
      </c>
      <c r="Q865" s="2259"/>
      <c r="R865" s="2260"/>
      <c r="S865" s="1908" t="s">
        <v>3688</v>
      </c>
      <c r="T865" s="1908" t="s">
        <v>3706</v>
      </c>
      <c r="U865" s="1908" t="s">
        <v>3690</v>
      </c>
      <c r="V865" s="1908" t="s">
        <v>3691</v>
      </c>
      <c r="W865" s="1908" t="s">
        <v>3688</v>
      </c>
      <c r="X865" s="1908" t="s">
        <v>4708</v>
      </c>
      <c r="Y865" s="1908" t="s">
        <v>4709</v>
      </c>
      <c r="Z865" s="1908"/>
      <c r="AA865" s="1908" t="s">
        <v>3694</v>
      </c>
      <c r="AB865" s="1908" t="s">
        <v>4710</v>
      </c>
      <c r="AC865" s="1908" t="s">
        <v>3696</v>
      </c>
      <c r="AD865" s="2278" t="s">
        <v>3861</v>
      </c>
      <c r="AE865" s="2259"/>
      <c r="AF865" s="2260"/>
      <c r="AG865" s="2278" t="s">
        <v>3696</v>
      </c>
      <c r="AH865" s="2259"/>
      <c r="AI865" s="2260"/>
      <c r="AJ865" s="1908" t="s">
        <v>4704</v>
      </c>
      <c r="AK865" s="2278" t="s">
        <v>4711</v>
      </c>
      <c r="AL865" s="2259"/>
      <c r="AM865" s="2259"/>
      <c r="AN865" s="2259"/>
      <c r="AO865" s="2260"/>
      <c r="AP865" s="1908" t="s">
        <v>3699</v>
      </c>
      <c r="BC865" s="214"/>
      <c r="BD865" s="214"/>
      <c r="BE865" s="214"/>
      <c r="BF865" s="214"/>
    </row>
    <row r="866" spans="1:58" ht="45" hidden="1" customHeight="1">
      <c r="A866" s="808"/>
      <c r="B866" s="2280"/>
      <c r="C866" s="2281"/>
      <c r="D866" s="2282"/>
      <c r="E866" s="1909" t="s">
        <v>3682</v>
      </c>
      <c r="F866" s="1909" t="s">
        <v>4690</v>
      </c>
      <c r="G866" s="1909"/>
      <c r="H866" s="2283" t="s">
        <v>5572</v>
      </c>
      <c r="I866" s="2281"/>
      <c r="J866" s="2282"/>
      <c r="K866" s="2283" t="s">
        <v>5576</v>
      </c>
      <c r="L866" s="2282"/>
      <c r="M866" s="1909" t="e">
        <f>VLOOKUP(K866,'Estimate Details'!$R:$BR,20,FALSE)</f>
        <v>#N/A</v>
      </c>
      <c r="N866" s="1909" t="e">
        <f>VLOOKUP(M866,#REF!,2,FALSE)</f>
        <v>#N/A</v>
      </c>
      <c r="O866" s="1909" t="s">
        <v>4707</v>
      </c>
      <c r="P866" s="2284" t="s">
        <v>3687</v>
      </c>
      <c r="Q866" s="2281"/>
      <c r="R866" s="2282"/>
      <c r="S866" s="1909" t="s">
        <v>3688</v>
      </c>
      <c r="T866" s="1909" t="s">
        <v>3706</v>
      </c>
      <c r="U866" s="1909" t="s">
        <v>3690</v>
      </c>
      <c r="V866" s="1909" t="s">
        <v>3691</v>
      </c>
      <c r="W866" s="1909" t="s">
        <v>3688</v>
      </c>
      <c r="X866" s="1909" t="s">
        <v>4708</v>
      </c>
      <c r="Y866" s="1909" t="s">
        <v>4709</v>
      </c>
      <c r="Z866" s="1909"/>
      <c r="AA866" s="1909" t="s">
        <v>3694</v>
      </c>
      <c r="AB866" s="1909" t="s">
        <v>4710</v>
      </c>
      <c r="AC866" s="1909" t="s">
        <v>3696</v>
      </c>
      <c r="AD866" s="2283" t="s">
        <v>3861</v>
      </c>
      <c r="AE866" s="2281"/>
      <c r="AF866" s="2282"/>
      <c r="AG866" s="2283" t="s">
        <v>3696</v>
      </c>
      <c r="AH866" s="2281"/>
      <c r="AI866" s="2282"/>
      <c r="AJ866" s="1909" t="s">
        <v>4704</v>
      </c>
      <c r="AK866" s="2283" t="s">
        <v>4711</v>
      </c>
      <c r="AL866" s="2281"/>
      <c r="AM866" s="2259"/>
      <c r="AN866" s="2281"/>
      <c r="AO866" s="2282"/>
      <c r="AP866" s="1909" t="s">
        <v>3699</v>
      </c>
      <c r="BC866" s="214"/>
      <c r="BD866" s="214"/>
      <c r="BE866" s="214"/>
      <c r="BF866" s="214"/>
    </row>
    <row r="867" spans="1:58" ht="45" hidden="1" customHeight="1">
      <c r="B867" s="2277"/>
      <c r="C867" s="2259"/>
      <c r="D867" s="2260"/>
      <c r="E867" s="1908" t="s">
        <v>3682</v>
      </c>
      <c r="F867" s="1908" t="s">
        <v>4690</v>
      </c>
      <c r="G867" s="1908"/>
      <c r="H867" s="2278" t="s">
        <v>5572</v>
      </c>
      <c r="I867" s="2259"/>
      <c r="J867" s="2260"/>
      <c r="K867" s="2278" t="s">
        <v>5577</v>
      </c>
      <c r="L867" s="2260"/>
      <c r="M867" s="1908" t="e">
        <f>VLOOKUP(K867,'Estimate Details'!$R:$BR,20,FALSE)</f>
        <v>#N/A</v>
      </c>
      <c r="N867" s="1908" t="e">
        <f>VLOOKUP(M867,#REF!,2,FALSE)</f>
        <v>#N/A</v>
      </c>
      <c r="O867" s="1908" t="s">
        <v>4707</v>
      </c>
      <c r="P867" s="2278" t="s">
        <v>3687</v>
      </c>
      <c r="Q867" s="2259"/>
      <c r="R867" s="2260"/>
      <c r="S867" s="1908" t="s">
        <v>3688</v>
      </c>
      <c r="T867" s="1908" t="s">
        <v>3706</v>
      </c>
      <c r="U867" s="1908" t="s">
        <v>3690</v>
      </c>
      <c r="V867" s="1908" t="s">
        <v>3691</v>
      </c>
      <c r="W867" s="1908" t="s">
        <v>3688</v>
      </c>
      <c r="X867" s="1908" t="s">
        <v>4708</v>
      </c>
      <c r="Y867" s="1908" t="s">
        <v>4709</v>
      </c>
      <c r="Z867" s="1908"/>
      <c r="AA867" s="1908" t="s">
        <v>3694</v>
      </c>
      <c r="AB867" s="1908" t="s">
        <v>4710</v>
      </c>
      <c r="AC867" s="1908" t="s">
        <v>3696</v>
      </c>
      <c r="AD867" s="2278" t="s">
        <v>3861</v>
      </c>
      <c r="AE867" s="2259"/>
      <c r="AF867" s="2260"/>
      <c r="AG867" s="2278" t="s">
        <v>3696</v>
      </c>
      <c r="AH867" s="2259"/>
      <c r="AI867" s="2260"/>
      <c r="AJ867" s="1908" t="s">
        <v>4704</v>
      </c>
      <c r="AK867" s="2278" t="s">
        <v>4711</v>
      </c>
      <c r="AL867" s="2259"/>
      <c r="AM867" s="2259"/>
      <c r="AN867" s="2259"/>
      <c r="AO867" s="2260"/>
      <c r="AP867" s="1908" t="s">
        <v>3699</v>
      </c>
      <c r="BC867" s="214"/>
      <c r="BD867" s="214"/>
      <c r="BE867" s="214"/>
      <c r="BF867" s="214"/>
    </row>
    <row r="868" spans="1:58" ht="45" hidden="1" customHeight="1">
      <c r="A868" s="808"/>
      <c r="B868" s="2280"/>
      <c r="C868" s="2281"/>
      <c r="D868" s="2282"/>
      <c r="E868" s="1909" t="s">
        <v>3682</v>
      </c>
      <c r="F868" s="1909" t="s">
        <v>4690</v>
      </c>
      <c r="G868" s="1909"/>
      <c r="H868" s="2283" t="s">
        <v>5572</v>
      </c>
      <c r="I868" s="2281"/>
      <c r="J868" s="2282"/>
      <c r="K868" s="2283" t="s">
        <v>5578</v>
      </c>
      <c r="L868" s="2282"/>
      <c r="M868" s="1909" t="e">
        <f>VLOOKUP(K868,'Estimate Details'!$R:$BR,20,FALSE)</f>
        <v>#N/A</v>
      </c>
      <c r="N868" s="1909" t="e">
        <f>VLOOKUP(M868,#REF!,2,FALSE)</f>
        <v>#N/A</v>
      </c>
      <c r="O868" s="1909" t="s">
        <v>5440</v>
      </c>
      <c r="P868" s="2284" t="s">
        <v>3687</v>
      </c>
      <c r="Q868" s="2281"/>
      <c r="R868" s="2282"/>
      <c r="S868" s="1909" t="s">
        <v>3688</v>
      </c>
      <c r="T868" s="1909" t="s">
        <v>3706</v>
      </c>
      <c r="U868" s="1909" t="s">
        <v>3690</v>
      </c>
      <c r="V868" s="1909" t="s">
        <v>3691</v>
      </c>
      <c r="W868" s="1909" t="s">
        <v>3688</v>
      </c>
      <c r="X868" s="1909" t="s">
        <v>5579</v>
      </c>
      <c r="Y868" s="1909" t="s">
        <v>5580</v>
      </c>
      <c r="Z868" s="1909"/>
      <c r="AA868" s="1909" t="s">
        <v>3694</v>
      </c>
      <c r="AB868" s="1909" t="s">
        <v>5581</v>
      </c>
      <c r="AC868" s="1909" t="s">
        <v>3696</v>
      </c>
      <c r="AD868" s="2283" t="s">
        <v>1</v>
      </c>
      <c r="AE868" s="2281"/>
      <c r="AF868" s="2282"/>
      <c r="AG868" s="2283" t="s">
        <v>3696</v>
      </c>
      <c r="AH868" s="2281"/>
      <c r="AI868" s="2282"/>
      <c r="AJ868" s="1909" t="s">
        <v>3884</v>
      </c>
      <c r="AK868" s="2283" t="s">
        <v>5582</v>
      </c>
      <c r="AL868" s="2281"/>
      <c r="AM868" s="2259"/>
      <c r="AN868" s="2281"/>
      <c r="AO868" s="2282"/>
      <c r="AP868" s="1909" t="s">
        <v>3699</v>
      </c>
      <c r="BC868" s="214"/>
      <c r="BD868" s="214"/>
      <c r="BE868" s="214"/>
      <c r="BF868" s="214"/>
    </row>
    <row r="869" spans="1:58" ht="45" hidden="1" customHeight="1">
      <c r="B869" s="2277"/>
      <c r="C869" s="2259"/>
      <c r="D869" s="2260"/>
      <c r="E869" s="1908" t="s">
        <v>3682</v>
      </c>
      <c r="F869" s="1908" t="s">
        <v>4690</v>
      </c>
      <c r="G869" s="1908"/>
      <c r="H869" s="2278" t="s">
        <v>5572</v>
      </c>
      <c r="I869" s="2259"/>
      <c r="J869" s="2260"/>
      <c r="K869" s="2278" t="s">
        <v>5583</v>
      </c>
      <c r="L869" s="2260"/>
      <c r="M869" s="1908" t="e">
        <f>VLOOKUP(K869,'Estimate Details'!$R:$BR,20,FALSE)</f>
        <v>#N/A</v>
      </c>
      <c r="N869" s="1908" t="e">
        <f>VLOOKUP(M869,#REF!,2,FALSE)</f>
        <v>#N/A</v>
      </c>
      <c r="O869" s="1908" t="s">
        <v>5435</v>
      </c>
      <c r="P869" s="2278" t="s">
        <v>3687</v>
      </c>
      <c r="Q869" s="2259"/>
      <c r="R869" s="2260"/>
      <c r="S869" s="1908" t="s">
        <v>3688</v>
      </c>
      <c r="T869" s="1908" t="s">
        <v>3706</v>
      </c>
      <c r="U869" s="1908" t="s">
        <v>3690</v>
      </c>
      <c r="V869" s="1908" t="s">
        <v>3691</v>
      </c>
      <c r="W869" s="1908" t="s">
        <v>3688</v>
      </c>
      <c r="X869" s="1908"/>
      <c r="Y869" s="1908"/>
      <c r="Z869" s="1908"/>
      <c r="AA869" s="1908" t="s">
        <v>3694</v>
      </c>
      <c r="AB869" s="1908" t="s">
        <v>5436</v>
      </c>
      <c r="AC869" s="1908" t="s">
        <v>3696</v>
      </c>
      <c r="AD869" s="2278" t="s">
        <v>5584</v>
      </c>
      <c r="AE869" s="2259"/>
      <c r="AF869" s="2260"/>
      <c r="AG869" s="2278" t="s">
        <v>3696</v>
      </c>
      <c r="AH869" s="2259"/>
      <c r="AI869" s="2260"/>
      <c r="AJ869" s="1908" t="s">
        <v>3770</v>
      </c>
      <c r="AK869" s="2278" t="s">
        <v>5585</v>
      </c>
      <c r="AL869" s="2259"/>
      <c r="AM869" s="2259"/>
      <c r="AN869" s="2259"/>
      <c r="AO869" s="2260"/>
      <c r="AP869" s="1908" t="s">
        <v>3699</v>
      </c>
      <c r="BC869" s="214"/>
      <c r="BD869" s="214"/>
      <c r="BE869" s="214"/>
      <c r="BF869" s="214"/>
    </row>
    <row r="870" spans="1:58" ht="45" hidden="1" customHeight="1">
      <c r="A870" s="808"/>
      <c r="B870" s="2280"/>
      <c r="C870" s="2281"/>
      <c r="D870" s="2282"/>
      <c r="E870" s="1909" t="s">
        <v>3682</v>
      </c>
      <c r="F870" s="1909" t="s">
        <v>4690</v>
      </c>
      <c r="G870" s="1909"/>
      <c r="H870" s="2283" t="s">
        <v>5572</v>
      </c>
      <c r="I870" s="2281"/>
      <c r="J870" s="2282"/>
      <c r="K870" s="2283" t="s">
        <v>5586</v>
      </c>
      <c r="L870" s="2282"/>
      <c r="M870" s="1909" t="e">
        <f>VLOOKUP(K870,'Estimate Details'!$R:$BR,20,FALSE)</f>
        <v>#N/A</v>
      </c>
      <c r="N870" s="1909" t="e">
        <f>VLOOKUP(M870,#REF!,2,FALSE)</f>
        <v>#N/A</v>
      </c>
      <c r="O870" s="1909" t="s">
        <v>5445</v>
      </c>
      <c r="P870" s="2284" t="s">
        <v>3687</v>
      </c>
      <c r="Q870" s="2281"/>
      <c r="R870" s="2282"/>
      <c r="S870" s="1909" t="s">
        <v>3688</v>
      </c>
      <c r="T870" s="1909" t="s">
        <v>3689</v>
      </c>
      <c r="U870" s="1909" t="s">
        <v>3690</v>
      </c>
      <c r="V870" s="1909" t="s">
        <v>3691</v>
      </c>
      <c r="W870" s="1909" t="s">
        <v>3688</v>
      </c>
      <c r="X870" s="1909" t="s">
        <v>3766</v>
      </c>
      <c r="Y870" s="1909" t="s">
        <v>5446</v>
      </c>
      <c r="Z870" s="1909"/>
      <c r="AA870" s="1909" t="s">
        <v>3694</v>
      </c>
      <c r="AB870" s="1909" t="s">
        <v>5447</v>
      </c>
      <c r="AC870" s="1909" t="s">
        <v>3696</v>
      </c>
      <c r="AD870" s="2283" t="s">
        <v>5448</v>
      </c>
      <c r="AE870" s="2281"/>
      <c r="AF870" s="2282"/>
      <c r="AG870" s="2283" t="s">
        <v>3696</v>
      </c>
      <c r="AH870" s="2281"/>
      <c r="AI870" s="2282"/>
      <c r="AJ870" s="1909" t="s">
        <v>3770</v>
      </c>
      <c r="AK870" s="2283" t="s">
        <v>3771</v>
      </c>
      <c r="AL870" s="2281"/>
      <c r="AM870" s="2259"/>
      <c r="AN870" s="2281"/>
      <c r="AO870" s="2282"/>
      <c r="AP870" s="1909" t="s">
        <v>3699</v>
      </c>
      <c r="BC870" s="214"/>
      <c r="BD870" s="214"/>
      <c r="BE870" s="214"/>
      <c r="BF870" s="214"/>
    </row>
    <row r="871" spans="1:58" ht="45" hidden="1" customHeight="1">
      <c r="B871" s="2277"/>
      <c r="C871" s="2259"/>
      <c r="D871" s="2260"/>
      <c r="E871" s="1908" t="s">
        <v>3682</v>
      </c>
      <c r="F871" s="1908" t="s">
        <v>4690</v>
      </c>
      <c r="G871" s="1908"/>
      <c r="H871" s="2278" t="s">
        <v>5572</v>
      </c>
      <c r="I871" s="2259"/>
      <c r="J871" s="2260"/>
      <c r="K871" s="2278" t="s">
        <v>5587</v>
      </c>
      <c r="L871" s="2260"/>
      <c r="M871" s="1908" t="e">
        <f>VLOOKUP(K871,'Estimate Details'!$R:$BR,20,FALSE)</f>
        <v>#N/A</v>
      </c>
      <c r="N871" s="1908" t="e">
        <f>VLOOKUP(M871,#REF!,2,FALSE)</f>
        <v>#N/A</v>
      </c>
      <c r="O871" s="1908" t="s">
        <v>5445</v>
      </c>
      <c r="P871" s="2278" t="s">
        <v>3687</v>
      </c>
      <c r="Q871" s="2259"/>
      <c r="R871" s="2260"/>
      <c r="S871" s="1908" t="s">
        <v>3688</v>
      </c>
      <c r="T871" s="1908" t="s">
        <v>3689</v>
      </c>
      <c r="U871" s="1908" t="s">
        <v>3690</v>
      </c>
      <c r="V871" s="1908" t="s">
        <v>3691</v>
      </c>
      <c r="W871" s="1908" t="s">
        <v>3688</v>
      </c>
      <c r="X871" s="1908" t="s">
        <v>3766</v>
      </c>
      <c r="Y871" s="1908" t="s">
        <v>5446</v>
      </c>
      <c r="Z871" s="1908"/>
      <c r="AA871" s="1908" t="s">
        <v>3694</v>
      </c>
      <c r="AB871" s="1908" t="s">
        <v>5447</v>
      </c>
      <c r="AC871" s="1908" t="s">
        <v>3696</v>
      </c>
      <c r="AD871" s="2278" t="s">
        <v>5448</v>
      </c>
      <c r="AE871" s="2259"/>
      <c r="AF871" s="2260"/>
      <c r="AG871" s="2278" t="s">
        <v>3696</v>
      </c>
      <c r="AH871" s="2259"/>
      <c r="AI871" s="2260"/>
      <c r="AJ871" s="1908" t="s">
        <v>3770</v>
      </c>
      <c r="AK871" s="2278" t="s">
        <v>3771</v>
      </c>
      <c r="AL871" s="2259"/>
      <c r="AM871" s="2259"/>
      <c r="AN871" s="2259"/>
      <c r="AO871" s="2260"/>
      <c r="AP871" s="1908" t="s">
        <v>3699</v>
      </c>
      <c r="BC871" s="214"/>
      <c r="BD871" s="214"/>
      <c r="BE871" s="214"/>
      <c r="BF871" s="214"/>
    </row>
    <row r="872" spans="1:58" ht="45" hidden="1" customHeight="1">
      <c r="A872" s="808"/>
      <c r="B872" s="2280"/>
      <c r="C872" s="2281"/>
      <c r="D872" s="2282"/>
      <c r="E872" s="1909" t="s">
        <v>3682</v>
      </c>
      <c r="F872" s="1909" t="s">
        <v>3688</v>
      </c>
      <c r="G872" s="1909"/>
      <c r="H872" s="2283" t="s">
        <v>5588</v>
      </c>
      <c r="I872" s="2281"/>
      <c r="J872" s="2282"/>
      <c r="K872" s="2283" t="s">
        <v>5589</v>
      </c>
      <c r="L872" s="2282"/>
      <c r="M872" s="1909"/>
      <c r="N872" s="1909"/>
      <c r="O872" s="1909" t="s">
        <v>5590</v>
      </c>
      <c r="P872" s="2284" t="s">
        <v>4130</v>
      </c>
      <c r="Q872" s="2281"/>
      <c r="R872" s="2282"/>
      <c r="S872" s="1909" t="s">
        <v>3688</v>
      </c>
      <c r="T872" s="1909" t="s">
        <v>3689</v>
      </c>
      <c r="U872" s="1909" t="s">
        <v>3707</v>
      </c>
      <c r="V872" s="1909" t="s">
        <v>5591</v>
      </c>
      <c r="W872" s="1909" t="s">
        <v>3688</v>
      </c>
      <c r="X872" s="1909"/>
      <c r="Y872" s="1909"/>
      <c r="Z872" s="1909"/>
      <c r="AA872" s="1909" t="s">
        <v>3688</v>
      </c>
      <c r="AB872" s="1909" t="s">
        <v>3688</v>
      </c>
      <c r="AC872" s="1909" t="s">
        <v>3696</v>
      </c>
      <c r="AD872" s="2283" t="s">
        <v>3688</v>
      </c>
      <c r="AE872" s="2281"/>
      <c r="AF872" s="2282"/>
      <c r="AG872" s="2283" t="s">
        <v>3696</v>
      </c>
      <c r="AH872" s="2281"/>
      <c r="AI872" s="2282"/>
      <c r="AJ872" s="1909" t="s">
        <v>3688</v>
      </c>
      <c r="AK872" s="2283" t="s">
        <v>3688</v>
      </c>
      <c r="AL872" s="2281"/>
      <c r="AM872" s="2259"/>
      <c r="AN872" s="2281"/>
      <c r="AO872" s="2282"/>
      <c r="AP872" s="1909" t="s">
        <v>3688</v>
      </c>
    </row>
    <row r="873" spans="1:58" ht="33.75" customHeight="1">
      <c r="Z873" s="856"/>
    </row>
    <row r="874" spans="1:58" ht="28.5" customHeight="1">
      <c r="S874" s="832"/>
    </row>
    <row r="875" spans="1:58" ht="30.75" customHeight="1" thickBot="1"/>
    <row r="876" spans="1:58" ht="28.5" customHeight="1">
      <c r="A876" s="2300"/>
      <c r="B876" s="2292"/>
      <c r="C876" s="2292"/>
      <c r="D876" s="2292"/>
      <c r="E876" s="2292"/>
      <c r="F876" s="2292"/>
      <c r="G876" s="2292"/>
      <c r="H876" s="2292"/>
      <c r="I876" s="2292"/>
      <c r="J876" s="2292"/>
      <c r="K876" s="2292"/>
      <c r="L876" s="2292"/>
      <c r="M876" s="912"/>
      <c r="N876" s="912"/>
      <c r="O876" s="2294"/>
      <c r="P876" s="2295"/>
      <c r="Q876" s="2295"/>
      <c r="R876" s="2296"/>
      <c r="S876" s="2315"/>
      <c r="T876" s="2316"/>
      <c r="U876" s="2316"/>
      <c r="V876" s="2316"/>
      <c r="W876" s="2317"/>
      <c r="X876" s="2292"/>
      <c r="Y876" s="2292"/>
      <c r="Z876" s="2292"/>
      <c r="AA876" s="2292"/>
      <c r="AB876" s="2292"/>
      <c r="AC876" s="2292"/>
      <c r="AD876" s="2292"/>
      <c r="AE876" s="2292"/>
      <c r="AF876" s="2292"/>
      <c r="AG876" s="2294"/>
      <c r="AH876" s="2295"/>
      <c r="AI876" s="2295"/>
      <c r="AJ876" s="2295"/>
      <c r="AK876" s="2295"/>
      <c r="AL876" s="2295"/>
      <c r="AM876" s="2295"/>
      <c r="AN876" s="2295"/>
      <c r="AO876" s="2295"/>
      <c r="AP876" s="2302"/>
    </row>
    <row r="877" spans="1:58" ht="32.25" customHeight="1">
      <c r="A877" s="2301"/>
      <c r="B877" s="2293"/>
      <c r="C877" s="2293"/>
      <c r="D877" s="2293"/>
      <c r="E877" s="2293"/>
      <c r="F877" s="2293"/>
      <c r="G877" s="2293"/>
      <c r="H877" s="2293"/>
      <c r="I877" s="2293"/>
      <c r="J877" s="2293"/>
      <c r="K877" s="2293"/>
      <c r="L877" s="2293"/>
      <c r="M877" s="964"/>
      <c r="N877" s="964"/>
      <c r="O877" s="2297"/>
      <c r="P877" s="2298"/>
      <c r="Q877" s="2298"/>
      <c r="R877" s="2299"/>
      <c r="S877" s="2318"/>
      <c r="T877" s="2319"/>
      <c r="U877" s="2319"/>
      <c r="V877" s="2319"/>
      <c r="W877" s="2320"/>
      <c r="X877" s="2293"/>
      <c r="Y877" s="2293"/>
      <c r="Z877" s="2293"/>
      <c r="AA877" s="2293"/>
      <c r="AB877" s="2293"/>
      <c r="AC877" s="2293"/>
      <c r="AD877" s="2293"/>
      <c r="AE877" s="2293"/>
      <c r="AF877" s="2293"/>
      <c r="AG877" s="2297"/>
      <c r="AH877" s="2298"/>
      <c r="AI877" s="2298"/>
      <c r="AJ877" s="2298"/>
      <c r="AK877" s="2298"/>
      <c r="AL877" s="2298"/>
      <c r="AM877" s="2298"/>
      <c r="AN877" s="2298"/>
      <c r="AO877" s="2298"/>
      <c r="AP877" s="2303"/>
    </row>
    <row r="878" spans="1:58" ht="25.5" customHeight="1">
      <c r="A878" s="2310">
        <v>41506</v>
      </c>
      <c r="B878" s="2311"/>
      <c r="C878" s="2311"/>
      <c r="D878" s="2311"/>
      <c r="E878" s="2311"/>
      <c r="F878" s="2311"/>
      <c r="G878" s="2311"/>
      <c r="H878" s="2307">
        <v>0</v>
      </c>
      <c r="I878" s="2307"/>
      <c r="J878" s="2307"/>
      <c r="K878" s="2307"/>
      <c r="L878" s="2307"/>
      <c r="M878" s="1913"/>
      <c r="N878" s="1913"/>
      <c r="O878" s="2324" t="s">
        <v>5592</v>
      </c>
      <c r="P878" s="2325"/>
      <c r="Q878" s="2325"/>
      <c r="R878" s="2326"/>
      <c r="S878" s="2318" t="s">
        <v>5593</v>
      </c>
      <c r="T878" s="2319"/>
      <c r="U878" s="2319"/>
      <c r="V878" s="2319"/>
      <c r="W878" s="2320"/>
      <c r="X878" s="2293" t="s">
        <v>5594</v>
      </c>
      <c r="Y878" s="2293"/>
      <c r="Z878" s="2293"/>
      <c r="AA878" s="2293"/>
      <c r="AB878" s="2293" t="s">
        <v>5595</v>
      </c>
      <c r="AC878" s="2293"/>
      <c r="AD878" s="2293"/>
      <c r="AE878" s="2293"/>
      <c r="AF878" s="2293"/>
      <c r="AG878" s="2293" t="s">
        <v>5596</v>
      </c>
      <c r="AH878" s="2293"/>
      <c r="AI878" s="2293"/>
      <c r="AJ878" s="2293"/>
      <c r="AK878" s="2293"/>
      <c r="AL878" s="2293"/>
      <c r="AM878" s="2293"/>
      <c r="AN878" s="2293"/>
      <c r="AO878" s="2293"/>
      <c r="AP878" s="2312"/>
    </row>
    <row r="879" spans="1:58" ht="18.75" customHeight="1" thickBot="1">
      <c r="A879" s="2304" t="s">
        <v>5597</v>
      </c>
      <c r="B879" s="2305"/>
      <c r="C879" s="2305"/>
      <c r="D879" s="2305"/>
      <c r="E879" s="2305"/>
      <c r="F879" s="2305"/>
      <c r="G879" s="2306"/>
      <c r="H879" s="2308" t="s">
        <v>5598</v>
      </c>
      <c r="I879" s="2308"/>
      <c r="J879" s="2308"/>
      <c r="K879" s="2308"/>
      <c r="L879" s="2308"/>
      <c r="M879" s="913"/>
      <c r="N879" s="913"/>
      <c r="O879" s="2309" t="s">
        <v>5599</v>
      </c>
      <c r="P879" s="2305"/>
      <c r="Q879" s="2305"/>
      <c r="R879" s="2306"/>
      <c r="S879" s="2321" t="s">
        <v>5600</v>
      </c>
      <c r="T879" s="2322"/>
      <c r="U879" s="2322"/>
      <c r="V879" s="2322"/>
      <c r="W879" s="2323"/>
      <c r="X879" s="2313" t="s">
        <v>5601</v>
      </c>
      <c r="Y879" s="2313"/>
      <c r="Z879" s="2313"/>
      <c r="AA879" s="2313"/>
      <c r="AB879" s="2313" t="s">
        <v>5602</v>
      </c>
      <c r="AC879" s="2313"/>
      <c r="AD879" s="2313"/>
      <c r="AE879" s="2313"/>
      <c r="AF879" s="2313"/>
      <c r="AG879" s="2313" t="s">
        <v>5602</v>
      </c>
      <c r="AH879" s="2313"/>
      <c r="AI879" s="2313"/>
      <c r="AJ879" s="2313"/>
      <c r="AK879" s="2313"/>
      <c r="AL879" s="2313"/>
      <c r="AM879" s="2313"/>
      <c r="AN879" s="2313"/>
      <c r="AO879" s="2313"/>
      <c r="AP879" s="2314"/>
    </row>
  </sheetData>
  <autoFilter ref="A12:BC872" xr:uid="{00000000-0009-0000-0000-000018000000}">
    <filterColumn colId="1" showButton="0"/>
    <filterColumn colId="2" showButton="0"/>
    <filterColumn colId="7" showButton="0"/>
    <filterColumn colId="8" showButton="0"/>
    <filterColumn colId="10" showButton="0"/>
    <filterColumn colId="15" showButton="0">
      <filters>
        <filter val="AERODROME EQUIPMENT"/>
      </filters>
    </filterColumn>
    <filterColumn colId="16" showButton="0"/>
    <filterColumn colId="29" showButton="0"/>
    <filterColumn colId="30" showButton="0"/>
    <filterColumn colId="32" showButton="0"/>
    <filterColumn colId="33" showButton="0"/>
    <filterColumn colId="36" showButton="0"/>
    <filterColumn colId="37" showButton="0"/>
    <filterColumn colId="38" showButton="0"/>
    <filterColumn colId="39" showButton="0"/>
  </autoFilter>
  <mergeCells count="6061">
    <mergeCell ref="X876:AA877"/>
    <mergeCell ref="AB876:AF877"/>
    <mergeCell ref="O876:R877"/>
    <mergeCell ref="A876:G877"/>
    <mergeCell ref="AG876:AP877"/>
    <mergeCell ref="P872:R872"/>
    <mergeCell ref="AD872:AF872"/>
    <mergeCell ref="AG872:AI872"/>
    <mergeCell ref="A879:G879"/>
    <mergeCell ref="H878:L878"/>
    <mergeCell ref="H879:L879"/>
    <mergeCell ref="O879:R879"/>
    <mergeCell ref="A878:G878"/>
    <mergeCell ref="AK872:AO872"/>
    <mergeCell ref="B872:D872"/>
    <mergeCell ref="H872:J872"/>
    <mergeCell ref="K872:L872"/>
    <mergeCell ref="H876:L877"/>
    <mergeCell ref="AG878:AP878"/>
    <mergeCell ref="AG879:AP879"/>
    <mergeCell ref="S876:W877"/>
    <mergeCell ref="S878:W878"/>
    <mergeCell ref="S879:W879"/>
    <mergeCell ref="O878:R878"/>
    <mergeCell ref="X878:AA878"/>
    <mergeCell ref="X879:AA879"/>
    <mergeCell ref="AB878:AF878"/>
    <mergeCell ref="AB879:AF879"/>
    <mergeCell ref="K870:L870"/>
    <mergeCell ref="P870:R870"/>
    <mergeCell ref="AD870:AF870"/>
    <mergeCell ref="AG870:AI870"/>
    <mergeCell ref="AK868:AO868"/>
    <mergeCell ref="B869:D869"/>
    <mergeCell ref="H869:J869"/>
    <mergeCell ref="K869:L869"/>
    <mergeCell ref="P869:R869"/>
    <mergeCell ref="AD869:AF869"/>
    <mergeCell ref="AK870:AO870"/>
    <mergeCell ref="B871:D871"/>
    <mergeCell ref="H871:J871"/>
    <mergeCell ref="K871:L871"/>
    <mergeCell ref="P871:R871"/>
    <mergeCell ref="AD871:AF871"/>
    <mergeCell ref="AG871:AI871"/>
    <mergeCell ref="AK871:AO871"/>
    <mergeCell ref="B870:D870"/>
    <mergeCell ref="H870:J870"/>
    <mergeCell ref="B867:D867"/>
    <mergeCell ref="H867:J867"/>
    <mergeCell ref="K867:L867"/>
    <mergeCell ref="P867:R867"/>
    <mergeCell ref="AD867:AF867"/>
    <mergeCell ref="AG867:AI867"/>
    <mergeCell ref="AK867:AO867"/>
    <mergeCell ref="B866:D866"/>
    <mergeCell ref="H866:J866"/>
    <mergeCell ref="AG869:AI869"/>
    <mergeCell ref="AK869:AO869"/>
    <mergeCell ref="B868:D868"/>
    <mergeCell ref="H868:J868"/>
    <mergeCell ref="K868:L868"/>
    <mergeCell ref="P868:R868"/>
    <mergeCell ref="AD868:AF868"/>
    <mergeCell ref="AG868:AI868"/>
    <mergeCell ref="AG865:AI865"/>
    <mergeCell ref="AK865:AO865"/>
    <mergeCell ref="B864:D864"/>
    <mergeCell ref="H864:J864"/>
    <mergeCell ref="K864:L864"/>
    <mergeCell ref="P864:R864"/>
    <mergeCell ref="AD864:AF864"/>
    <mergeCell ref="AG864:AI864"/>
    <mergeCell ref="K866:L866"/>
    <mergeCell ref="P866:R866"/>
    <mergeCell ref="AD866:AF866"/>
    <mergeCell ref="AG866:AI866"/>
    <mergeCell ref="AK864:AO864"/>
    <mergeCell ref="B865:D865"/>
    <mergeCell ref="H865:J865"/>
    <mergeCell ref="K865:L865"/>
    <mergeCell ref="P865:R865"/>
    <mergeCell ref="AD865:AF865"/>
    <mergeCell ref="AK866:AO866"/>
    <mergeCell ref="K862:L862"/>
    <mergeCell ref="P862:R862"/>
    <mergeCell ref="AD862:AF862"/>
    <mergeCell ref="AG862:AI862"/>
    <mergeCell ref="AK860:AO860"/>
    <mergeCell ref="B861:D861"/>
    <mergeCell ref="H861:J861"/>
    <mergeCell ref="K861:L861"/>
    <mergeCell ref="P861:R861"/>
    <mergeCell ref="AD861:AF861"/>
    <mergeCell ref="AK862:AO862"/>
    <mergeCell ref="B863:D863"/>
    <mergeCell ref="H863:J863"/>
    <mergeCell ref="K863:L863"/>
    <mergeCell ref="P863:R863"/>
    <mergeCell ref="AD863:AF863"/>
    <mergeCell ref="AG863:AI863"/>
    <mergeCell ref="AK863:AO863"/>
    <mergeCell ref="B862:D862"/>
    <mergeCell ref="H862:J862"/>
    <mergeCell ref="B859:D859"/>
    <mergeCell ref="H859:J859"/>
    <mergeCell ref="K859:L859"/>
    <mergeCell ref="P859:R859"/>
    <mergeCell ref="AD859:AF859"/>
    <mergeCell ref="AG859:AI859"/>
    <mergeCell ref="AK859:AO859"/>
    <mergeCell ref="B858:D858"/>
    <mergeCell ref="H858:J858"/>
    <mergeCell ref="AG861:AI861"/>
    <mergeCell ref="AK861:AO861"/>
    <mergeCell ref="B860:D860"/>
    <mergeCell ref="H860:J860"/>
    <mergeCell ref="K860:L860"/>
    <mergeCell ref="P860:R860"/>
    <mergeCell ref="AD860:AF860"/>
    <mergeCell ref="AG860:AI860"/>
    <mergeCell ref="AG857:AI857"/>
    <mergeCell ref="AK857:AO857"/>
    <mergeCell ref="B856:D856"/>
    <mergeCell ref="H856:J856"/>
    <mergeCell ref="K856:L856"/>
    <mergeCell ref="P856:R856"/>
    <mergeCell ref="AD856:AF856"/>
    <mergeCell ref="AG856:AI856"/>
    <mergeCell ref="K858:L858"/>
    <mergeCell ref="P858:R858"/>
    <mergeCell ref="AD858:AF858"/>
    <mergeCell ref="AG858:AI858"/>
    <mergeCell ref="AK856:AO856"/>
    <mergeCell ref="B857:D857"/>
    <mergeCell ref="H857:J857"/>
    <mergeCell ref="K857:L857"/>
    <mergeCell ref="P857:R857"/>
    <mergeCell ref="AD857:AF857"/>
    <mergeCell ref="AK858:AO858"/>
    <mergeCell ref="K854:L854"/>
    <mergeCell ref="P854:R854"/>
    <mergeCell ref="AD854:AF854"/>
    <mergeCell ref="AG854:AI854"/>
    <mergeCell ref="AK852:AO852"/>
    <mergeCell ref="B853:D853"/>
    <mergeCell ref="H853:J853"/>
    <mergeCell ref="K853:L853"/>
    <mergeCell ref="P853:R853"/>
    <mergeCell ref="AD853:AF853"/>
    <mergeCell ref="AK854:AO854"/>
    <mergeCell ref="B855:D855"/>
    <mergeCell ref="H855:J855"/>
    <mergeCell ref="K855:L855"/>
    <mergeCell ref="P855:R855"/>
    <mergeCell ref="AD855:AF855"/>
    <mergeCell ref="AG855:AI855"/>
    <mergeCell ref="AK855:AO855"/>
    <mergeCell ref="B854:D854"/>
    <mergeCell ref="H854:J854"/>
    <mergeCell ref="B851:D851"/>
    <mergeCell ref="H851:J851"/>
    <mergeCell ref="K851:L851"/>
    <mergeCell ref="P851:R851"/>
    <mergeCell ref="AD851:AF851"/>
    <mergeCell ref="AG851:AI851"/>
    <mergeCell ref="AK851:AO851"/>
    <mergeCell ref="B850:D850"/>
    <mergeCell ref="H850:J850"/>
    <mergeCell ref="AG853:AI853"/>
    <mergeCell ref="AK853:AO853"/>
    <mergeCell ref="B852:D852"/>
    <mergeCell ref="H852:J852"/>
    <mergeCell ref="K852:L852"/>
    <mergeCell ref="P852:R852"/>
    <mergeCell ref="AD852:AF852"/>
    <mergeCell ref="AG852:AI852"/>
    <mergeCell ref="AG849:AI849"/>
    <mergeCell ref="AK849:AO849"/>
    <mergeCell ref="B848:D848"/>
    <mergeCell ref="H848:J848"/>
    <mergeCell ref="K848:L848"/>
    <mergeCell ref="P848:R848"/>
    <mergeCell ref="AD848:AF848"/>
    <mergeCell ref="AG848:AI848"/>
    <mergeCell ref="K850:L850"/>
    <mergeCell ref="P850:R850"/>
    <mergeCell ref="AD850:AF850"/>
    <mergeCell ref="AG850:AI850"/>
    <mergeCell ref="AK848:AO848"/>
    <mergeCell ref="B849:D849"/>
    <mergeCell ref="H849:J849"/>
    <mergeCell ref="K849:L849"/>
    <mergeCell ref="P849:R849"/>
    <mergeCell ref="AD849:AF849"/>
    <mergeCell ref="AK850:AO850"/>
    <mergeCell ref="K846:L846"/>
    <mergeCell ref="P846:R846"/>
    <mergeCell ref="AD846:AF846"/>
    <mergeCell ref="AG846:AI846"/>
    <mergeCell ref="AK844:AO844"/>
    <mergeCell ref="B845:D845"/>
    <mergeCell ref="H845:J845"/>
    <mergeCell ref="K845:L845"/>
    <mergeCell ref="P845:R845"/>
    <mergeCell ref="AD845:AF845"/>
    <mergeCell ref="AK846:AO846"/>
    <mergeCell ref="B847:D847"/>
    <mergeCell ref="H847:J847"/>
    <mergeCell ref="K847:L847"/>
    <mergeCell ref="P847:R847"/>
    <mergeCell ref="AD847:AF847"/>
    <mergeCell ref="AG847:AI847"/>
    <mergeCell ref="AK847:AO847"/>
    <mergeCell ref="B846:D846"/>
    <mergeCell ref="H846:J846"/>
    <mergeCell ref="B843:D843"/>
    <mergeCell ref="H843:J843"/>
    <mergeCell ref="K843:L843"/>
    <mergeCell ref="P843:R843"/>
    <mergeCell ref="AD843:AF843"/>
    <mergeCell ref="AG843:AI843"/>
    <mergeCell ref="AK843:AO843"/>
    <mergeCell ref="B842:D842"/>
    <mergeCell ref="H842:J842"/>
    <mergeCell ref="AG845:AI845"/>
    <mergeCell ref="AK845:AO845"/>
    <mergeCell ref="B844:D844"/>
    <mergeCell ref="H844:J844"/>
    <mergeCell ref="K844:L844"/>
    <mergeCell ref="P844:R844"/>
    <mergeCell ref="AD844:AF844"/>
    <mergeCell ref="AG844:AI844"/>
    <mergeCell ref="AG841:AI841"/>
    <mergeCell ref="AK841:AO841"/>
    <mergeCell ref="B840:D840"/>
    <mergeCell ref="H840:J840"/>
    <mergeCell ref="K840:L840"/>
    <mergeCell ref="P840:R840"/>
    <mergeCell ref="AD840:AF840"/>
    <mergeCell ref="AG840:AI840"/>
    <mergeCell ref="K842:L842"/>
    <mergeCell ref="P842:R842"/>
    <mergeCell ref="AD842:AF842"/>
    <mergeCell ref="AG842:AI842"/>
    <mergeCell ref="AK840:AO840"/>
    <mergeCell ref="B841:D841"/>
    <mergeCell ref="H841:J841"/>
    <mergeCell ref="K841:L841"/>
    <mergeCell ref="P841:R841"/>
    <mergeCell ref="AD841:AF841"/>
    <mergeCell ref="AK842:AO842"/>
    <mergeCell ref="K838:L838"/>
    <mergeCell ref="P838:R838"/>
    <mergeCell ref="AD838:AF838"/>
    <mergeCell ref="AG838:AI838"/>
    <mergeCell ref="AK836:AO836"/>
    <mergeCell ref="B837:D837"/>
    <mergeCell ref="H837:J837"/>
    <mergeCell ref="K837:L837"/>
    <mergeCell ref="P837:R837"/>
    <mergeCell ref="AD837:AF837"/>
    <mergeCell ref="AK838:AO838"/>
    <mergeCell ref="B839:D839"/>
    <mergeCell ref="H839:J839"/>
    <mergeCell ref="K839:L839"/>
    <mergeCell ref="P839:R839"/>
    <mergeCell ref="AD839:AF839"/>
    <mergeCell ref="AG839:AI839"/>
    <mergeCell ref="AK839:AO839"/>
    <mergeCell ref="B838:D838"/>
    <mergeCell ref="H838:J838"/>
    <mergeCell ref="B835:D835"/>
    <mergeCell ref="H835:J835"/>
    <mergeCell ref="K835:L835"/>
    <mergeCell ref="P835:R835"/>
    <mergeCell ref="AD835:AF835"/>
    <mergeCell ref="AG835:AI835"/>
    <mergeCell ref="AK835:AO835"/>
    <mergeCell ref="B834:D834"/>
    <mergeCell ref="H834:J834"/>
    <mergeCell ref="AG837:AI837"/>
    <mergeCell ref="AK837:AO837"/>
    <mergeCell ref="B836:D836"/>
    <mergeCell ref="H836:J836"/>
    <mergeCell ref="K836:L836"/>
    <mergeCell ref="P836:R836"/>
    <mergeCell ref="AD836:AF836"/>
    <mergeCell ref="AG836:AI836"/>
    <mergeCell ref="AG833:AI833"/>
    <mergeCell ref="AK833:AO833"/>
    <mergeCell ref="B832:D832"/>
    <mergeCell ref="H832:J832"/>
    <mergeCell ref="K832:L832"/>
    <mergeCell ref="P832:R832"/>
    <mergeCell ref="AD832:AF832"/>
    <mergeCell ref="AG832:AI832"/>
    <mergeCell ref="K834:L834"/>
    <mergeCell ref="P834:R834"/>
    <mergeCell ref="AD834:AF834"/>
    <mergeCell ref="AG834:AI834"/>
    <mergeCell ref="AK832:AO832"/>
    <mergeCell ref="B833:D833"/>
    <mergeCell ref="H833:J833"/>
    <mergeCell ref="K833:L833"/>
    <mergeCell ref="P833:R833"/>
    <mergeCell ref="AD833:AF833"/>
    <mergeCell ref="AK834:AO834"/>
    <mergeCell ref="K830:L830"/>
    <mergeCell ref="P830:R830"/>
    <mergeCell ref="AD830:AF830"/>
    <mergeCell ref="AG830:AI830"/>
    <mergeCell ref="AK828:AO828"/>
    <mergeCell ref="B829:D829"/>
    <mergeCell ref="H829:J829"/>
    <mergeCell ref="K829:L829"/>
    <mergeCell ref="P829:R829"/>
    <mergeCell ref="AD829:AF829"/>
    <mergeCell ref="AK830:AO830"/>
    <mergeCell ref="B831:D831"/>
    <mergeCell ref="H831:J831"/>
    <mergeCell ref="K831:L831"/>
    <mergeCell ref="P831:R831"/>
    <mergeCell ref="AD831:AF831"/>
    <mergeCell ref="AG831:AI831"/>
    <mergeCell ref="AK831:AO831"/>
    <mergeCell ref="B830:D830"/>
    <mergeCell ref="H830:J830"/>
    <mergeCell ref="B827:D827"/>
    <mergeCell ref="H827:J827"/>
    <mergeCell ref="K827:L827"/>
    <mergeCell ref="P827:R827"/>
    <mergeCell ref="AD827:AF827"/>
    <mergeCell ref="AG827:AI827"/>
    <mergeCell ref="AK827:AO827"/>
    <mergeCell ref="B826:D826"/>
    <mergeCell ref="H826:J826"/>
    <mergeCell ref="AG829:AI829"/>
    <mergeCell ref="AK829:AO829"/>
    <mergeCell ref="B828:D828"/>
    <mergeCell ref="H828:J828"/>
    <mergeCell ref="K828:L828"/>
    <mergeCell ref="P828:R828"/>
    <mergeCell ref="AD828:AF828"/>
    <mergeCell ref="AG828:AI828"/>
    <mergeCell ref="AG825:AI825"/>
    <mergeCell ref="AK825:AO825"/>
    <mergeCell ref="B824:D824"/>
    <mergeCell ref="H824:J824"/>
    <mergeCell ref="K824:L824"/>
    <mergeCell ref="P824:R824"/>
    <mergeCell ref="AD824:AF824"/>
    <mergeCell ref="AG824:AI824"/>
    <mergeCell ref="K826:L826"/>
    <mergeCell ref="P826:R826"/>
    <mergeCell ref="AD826:AF826"/>
    <mergeCell ref="AG826:AI826"/>
    <mergeCell ref="AK824:AO824"/>
    <mergeCell ref="B825:D825"/>
    <mergeCell ref="H825:J825"/>
    <mergeCell ref="K825:L825"/>
    <mergeCell ref="P825:R825"/>
    <mergeCell ref="AD825:AF825"/>
    <mergeCell ref="AK826:AO826"/>
    <mergeCell ref="K822:L822"/>
    <mergeCell ref="P822:R822"/>
    <mergeCell ref="AD822:AF822"/>
    <mergeCell ref="AG822:AI822"/>
    <mergeCell ref="AK820:AO820"/>
    <mergeCell ref="B821:D821"/>
    <mergeCell ref="H821:J821"/>
    <mergeCell ref="K821:L821"/>
    <mergeCell ref="P821:R821"/>
    <mergeCell ref="AD821:AF821"/>
    <mergeCell ref="AK822:AO822"/>
    <mergeCell ref="B823:D823"/>
    <mergeCell ref="H823:J823"/>
    <mergeCell ref="K823:L823"/>
    <mergeCell ref="P823:R823"/>
    <mergeCell ref="AD823:AF823"/>
    <mergeCell ref="AG823:AI823"/>
    <mergeCell ref="AK823:AO823"/>
    <mergeCell ref="B822:D822"/>
    <mergeCell ref="H822:J822"/>
    <mergeCell ref="B819:D819"/>
    <mergeCell ref="H819:J819"/>
    <mergeCell ref="K819:L819"/>
    <mergeCell ref="P819:R819"/>
    <mergeCell ref="AD819:AF819"/>
    <mergeCell ref="AG819:AI819"/>
    <mergeCell ref="AK819:AO819"/>
    <mergeCell ref="B818:D818"/>
    <mergeCell ref="H818:J818"/>
    <mergeCell ref="AG821:AI821"/>
    <mergeCell ref="AK821:AO821"/>
    <mergeCell ref="B820:D820"/>
    <mergeCell ref="H820:J820"/>
    <mergeCell ref="K820:L820"/>
    <mergeCell ref="P820:R820"/>
    <mergeCell ref="AD820:AF820"/>
    <mergeCell ref="AG820:AI820"/>
    <mergeCell ref="AG817:AI817"/>
    <mergeCell ref="AK817:AO817"/>
    <mergeCell ref="B816:D816"/>
    <mergeCell ref="H816:J816"/>
    <mergeCell ref="K816:L816"/>
    <mergeCell ref="P816:R816"/>
    <mergeCell ref="AD816:AF816"/>
    <mergeCell ref="AG816:AI816"/>
    <mergeCell ref="K818:L818"/>
    <mergeCell ref="P818:R818"/>
    <mergeCell ref="AD818:AF818"/>
    <mergeCell ref="AG818:AI818"/>
    <mergeCell ref="AK816:AO816"/>
    <mergeCell ref="B817:D817"/>
    <mergeCell ref="H817:J817"/>
    <mergeCell ref="K817:L817"/>
    <mergeCell ref="P817:R817"/>
    <mergeCell ref="AD817:AF817"/>
    <mergeCell ref="AK818:AO818"/>
    <mergeCell ref="K814:L814"/>
    <mergeCell ref="P814:R814"/>
    <mergeCell ref="AD814:AF814"/>
    <mergeCell ref="AG814:AI814"/>
    <mergeCell ref="AK812:AO812"/>
    <mergeCell ref="B813:D813"/>
    <mergeCell ref="H813:J813"/>
    <mergeCell ref="K813:L813"/>
    <mergeCell ref="P813:R813"/>
    <mergeCell ref="AD813:AF813"/>
    <mergeCell ref="AK814:AO814"/>
    <mergeCell ref="B815:D815"/>
    <mergeCell ref="H815:J815"/>
    <mergeCell ref="K815:L815"/>
    <mergeCell ref="P815:R815"/>
    <mergeCell ref="AD815:AF815"/>
    <mergeCell ref="AG815:AI815"/>
    <mergeCell ref="AK815:AO815"/>
    <mergeCell ref="B814:D814"/>
    <mergeCell ref="H814:J814"/>
    <mergeCell ref="B811:D811"/>
    <mergeCell ref="H811:J811"/>
    <mergeCell ref="K811:L811"/>
    <mergeCell ref="P811:R811"/>
    <mergeCell ref="AD811:AF811"/>
    <mergeCell ref="AG811:AI811"/>
    <mergeCell ref="AK811:AO811"/>
    <mergeCell ref="B810:D810"/>
    <mergeCell ref="H810:J810"/>
    <mergeCell ref="AG813:AI813"/>
    <mergeCell ref="AK813:AO813"/>
    <mergeCell ref="B812:D812"/>
    <mergeCell ref="H812:J812"/>
    <mergeCell ref="K812:L812"/>
    <mergeCell ref="P812:R812"/>
    <mergeCell ref="AD812:AF812"/>
    <mergeCell ref="AG812:AI812"/>
    <mergeCell ref="AG809:AI809"/>
    <mergeCell ref="AK809:AO809"/>
    <mergeCell ref="B808:D808"/>
    <mergeCell ref="H808:J808"/>
    <mergeCell ref="K808:L808"/>
    <mergeCell ref="P808:R808"/>
    <mergeCell ref="AD808:AF808"/>
    <mergeCell ref="AG808:AI808"/>
    <mergeCell ref="K810:L810"/>
    <mergeCell ref="P810:R810"/>
    <mergeCell ref="AD810:AF810"/>
    <mergeCell ref="AG810:AI810"/>
    <mergeCell ref="AK808:AO808"/>
    <mergeCell ref="B809:D809"/>
    <mergeCell ref="H809:J809"/>
    <mergeCell ref="K809:L809"/>
    <mergeCell ref="P809:R809"/>
    <mergeCell ref="AD809:AF809"/>
    <mergeCell ref="AK810:AO810"/>
    <mergeCell ref="K806:L806"/>
    <mergeCell ref="P806:R806"/>
    <mergeCell ref="AD806:AF806"/>
    <mergeCell ref="AG806:AI806"/>
    <mergeCell ref="AK804:AO804"/>
    <mergeCell ref="B805:D805"/>
    <mergeCell ref="H805:J805"/>
    <mergeCell ref="K805:L805"/>
    <mergeCell ref="P805:R805"/>
    <mergeCell ref="AD805:AF805"/>
    <mergeCell ref="AK806:AO806"/>
    <mergeCell ref="B807:D807"/>
    <mergeCell ref="H807:J807"/>
    <mergeCell ref="K807:L807"/>
    <mergeCell ref="P807:R807"/>
    <mergeCell ref="AD807:AF807"/>
    <mergeCell ref="AG807:AI807"/>
    <mergeCell ref="AK807:AO807"/>
    <mergeCell ref="B806:D806"/>
    <mergeCell ref="H806:J806"/>
    <mergeCell ref="B803:D803"/>
    <mergeCell ref="H803:J803"/>
    <mergeCell ref="K803:L803"/>
    <mergeCell ref="P803:R803"/>
    <mergeCell ref="AD803:AF803"/>
    <mergeCell ref="AG803:AI803"/>
    <mergeCell ref="AK803:AO803"/>
    <mergeCell ref="B802:D802"/>
    <mergeCell ref="H802:J802"/>
    <mergeCell ref="AG805:AI805"/>
    <mergeCell ref="AK805:AO805"/>
    <mergeCell ref="B804:D804"/>
    <mergeCell ref="H804:J804"/>
    <mergeCell ref="K804:L804"/>
    <mergeCell ref="P804:R804"/>
    <mergeCell ref="AD804:AF804"/>
    <mergeCell ref="AG804:AI804"/>
    <mergeCell ref="AG801:AI801"/>
    <mergeCell ref="AK801:AO801"/>
    <mergeCell ref="B800:D800"/>
    <mergeCell ref="H800:J800"/>
    <mergeCell ref="K800:L800"/>
    <mergeCell ref="P800:R800"/>
    <mergeCell ref="AD800:AF800"/>
    <mergeCell ref="AG800:AI800"/>
    <mergeCell ref="K802:L802"/>
    <mergeCell ref="P802:R802"/>
    <mergeCell ref="AD802:AF802"/>
    <mergeCell ref="AG802:AI802"/>
    <mergeCell ref="AK800:AO800"/>
    <mergeCell ref="B801:D801"/>
    <mergeCell ref="H801:J801"/>
    <mergeCell ref="K801:L801"/>
    <mergeCell ref="P801:R801"/>
    <mergeCell ref="AD801:AF801"/>
    <mergeCell ref="AK802:AO802"/>
    <mergeCell ref="K798:L798"/>
    <mergeCell ref="P798:R798"/>
    <mergeCell ref="AD798:AF798"/>
    <mergeCell ref="AG798:AI798"/>
    <mergeCell ref="AK796:AO796"/>
    <mergeCell ref="B797:D797"/>
    <mergeCell ref="H797:J797"/>
    <mergeCell ref="K797:L797"/>
    <mergeCell ref="P797:R797"/>
    <mergeCell ref="AD797:AF797"/>
    <mergeCell ref="AK798:AO798"/>
    <mergeCell ref="B799:D799"/>
    <mergeCell ref="H799:J799"/>
    <mergeCell ref="K799:L799"/>
    <mergeCell ref="P799:R799"/>
    <mergeCell ref="AD799:AF799"/>
    <mergeCell ref="AG799:AI799"/>
    <mergeCell ref="AK799:AO799"/>
    <mergeCell ref="B798:D798"/>
    <mergeCell ref="H798:J798"/>
    <mergeCell ref="B795:D795"/>
    <mergeCell ref="H795:J795"/>
    <mergeCell ref="K795:L795"/>
    <mergeCell ref="P795:R795"/>
    <mergeCell ref="AD795:AF795"/>
    <mergeCell ref="AG795:AI795"/>
    <mergeCell ref="AK795:AO795"/>
    <mergeCell ref="B794:D794"/>
    <mergeCell ref="H794:J794"/>
    <mergeCell ref="AG797:AI797"/>
    <mergeCell ref="AK797:AO797"/>
    <mergeCell ref="B796:D796"/>
    <mergeCell ref="H796:J796"/>
    <mergeCell ref="K796:L796"/>
    <mergeCell ref="P796:R796"/>
    <mergeCell ref="AD796:AF796"/>
    <mergeCell ref="AG796:AI796"/>
    <mergeCell ref="AG793:AI793"/>
    <mergeCell ref="AK793:AO793"/>
    <mergeCell ref="B792:D792"/>
    <mergeCell ref="H792:J792"/>
    <mergeCell ref="K792:L792"/>
    <mergeCell ref="P792:R792"/>
    <mergeCell ref="AD792:AF792"/>
    <mergeCell ref="AG792:AI792"/>
    <mergeCell ref="K794:L794"/>
    <mergeCell ref="P794:R794"/>
    <mergeCell ref="AD794:AF794"/>
    <mergeCell ref="AG794:AI794"/>
    <mergeCell ref="AK792:AO792"/>
    <mergeCell ref="B793:D793"/>
    <mergeCell ref="H793:J793"/>
    <mergeCell ref="K793:L793"/>
    <mergeCell ref="P793:R793"/>
    <mergeCell ref="AD793:AF793"/>
    <mergeCell ref="AK794:AO794"/>
    <mergeCell ref="K790:L790"/>
    <mergeCell ref="P790:R790"/>
    <mergeCell ref="AD790:AF790"/>
    <mergeCell ref="AG790:AI790"/>
    <mergeCell ref="AK788:AO788"/>
    <mergeCell ref="B789:D789"/>
    <mergeCell ref="H789:J789"/>
    <mergeCell ref="K789:L789"/>
    <mergeCell ref="P789:R789"/>
    <mergeCell ref="AD789:AF789"/>
    <mergeCell ref="AK790:AO790"/>
    <mergeCell ref="B791:D791"/>
    <mergeCell ref="H791:J791"/>
    <mergeCell ref="K791:L791"/>
    <mergeCell ref="P791:R791"/>
    <mergeCell ref="AD791:AF791"/>
    <mergeCell ref="AG791:AI791"/>
    <mergeCell ref="AK791:AO791"/>
    <mergeCell ref="B790:D790"/>
    <mergeCell ref="H790:J790"/>
    <mergeCell ref="B787:D787"/>
    <mergeCell ref="H787:J787"/>
    <mergeCell ref="K787:L787"/>
    <mergeCell ref="P787:R787"/>
    <mergeCell ref="AD787:AF787"/>
    <mergeCell ref="AG787:AI787"/>
    <mergeCell ref="AK787:AO787"/>
    <mergeCell ref="B786:D786"/>
    <mergeCell ref="H786:J786"/>
    <mergeCell ref="AG789:AI789"/>
    <mergeCell ref="AK789:AO789"/>
    <mergeCell ref="B788:D788"/>
    <mergeCell ref="H788:J788"/>
    <mergeCell ref="K788:L788"/>
    <mergeCell ref="P788:R788"/>
    <mergeCell ref="AD788:AF788"/>
    <mergeCell ref="AG788:AI788"/>
    <mergeCell ref="AG785:AI785"/>
    <mergeCell ref="AK785:AO785"/>
    <mergeCell ref="B784:D784"/>
    <mergeCell ref="H784:J784"/>
    <mergeCell ref="K784:L784"/>
    <mergeCell ref="P784:R784"/>
    <mergeCell ref="AD784:AF784"/>
    <mergeCell ref="AG784:AI784"/>
    <mergeCell ref="K786:L786"/>
    <mergeCell ref="P786:R786"/>
    <mergeCell ref="AD786:AF786"/>
    <mergeCell ref="AG786:AI786"/>
    <mergeCell ref="AK784:AO784"/>
    <mergeCell ref="B785:D785"/>
    <mergeCell ref="H785:J785"/>
    <mergeCell ref="K785:L785"/>
    <mergeCell ref="P785:R785"/>
    <mergeCell ref="AD785:AF785"/>
    <mergeCell ref="AK786:AO786"/>
    <mergeCell ref="K782:L782"/>
    <mergeCell ref="P782:R782"/>
    <mergeCell ref="AD782:AF782"/>
    <mergeCell ref="AG782:AI782"/>
    <mergeCell ref="AK780:AO780"/>
    <mergeCell ref="B781:D781"/>
    <mergeCell ref="H781:J781"/>
    <mergeCell ref="K781:L781"/>
    <mergeCell ref="P781:R781"/>
    <mergeCell ref="AD781:AF781"/>
    <mergeCell ref="AK782:AO782"/>
    <mergeCell ref="B783:D783"/>
    <mergeCell ref="H783:J783"/>
    <mergeCell ref="K783:L783"/>
    <mergeCell ref="P783:R783"/>
    <mergeCell ref="AD783:AF783"/>
    <mergeCell ref="AG783:AI783"/>
    <mergeCell ref="AK783:AO783"/>
    <mergeCell ref="B782:D782"/>
    <mergeCell ref="H782:J782"/>
    <mergeCell ref="B779:D779"/>
    <mergeCell ref="H779:J779"/>
    <mergeCell ref="K779:L779"/>
    <mergeCell ref="P779:R779"/>
    <mergeCell ref="AD779:AF779"/>
    <mergeCell ref="AG779:AI779"/>
    <mergeCell ref="AK779:AO779"/>
    <mergeCell ref="B778:D778"/>
    <mergeCell ref="H778:J778"/>
    <mergeCell ref="AG781:AI781"/>
    <mergeCell ref="AK781:AO781"/>
    <mergeCell ref="B780:D780"/>
    <mergeCell ref="H780:J780"/>
    <mergeCell ref="K780:L780"/>
    <mergeCell ref="P780:R780"/>
    <mergeCell ref="AD780:AF780"/>
    <mergeCell ref="AG780:AI780"/>
    <mergeCell ref="AG777:AI777"/>
    <mergeCell ref="AK777:AO777"/>
    <mergeCell ref="B776:D776"/>
    <mergeCell ref="H776:J776"/>
    <mergeCell ref="K776:L776"/>
    <mergeCell ref="P776:R776"/>
    <mergeCell ref="AD776:AF776"/>
    <mergeCell ref="AG776:AI776"/>
    <mergeCell ref="K778:L778"/>
    <mergeCell ref="P778:R778"/>
    <mergeCell ref="AD778:AF778"/>
    <mergeCell ref="AG778:AI778"/>
    <mergeCell ref="AK776:AO776"/>
    <mergeCell ref="B777:D777"/>
    <mergeCell ref="H777:J777"/>
    <mergeCell ref="K777:L777"/>
    <mergeCell ref="P777:R777"/>
    <mergeCell ref="AD777:AF777"/>
    <mergeCell ref="AK778:AO778"/>
    <mergeCell ref="K774:L774"/>
    <mergeCell ref="P774:R774"/>
    <mergeCell ref="AD774:AF774"/>
    <mergeCell ref="AG774:AI774"/>
    <mergeCell ref="AK772:AO772"/>
    <mergeCell ref="B773:D773"/>
    <mergeCell ref="H773:J773"/>
    <mergeCell ref="K773:L773"/>
    <mergeCell ref="P773:R773"/>
    <mergeCell ref="AD773:AF773"/>
    <mergeCell ref="AK774:AO774"/>
    <mergeCell ref="B775:D775"/>
    <mergeCell ref="H775:J775"/>
    <mergeCell ref="K775:L775"/>
    <mergeCell ref="P775:R775"/>
    <mergeCell ref="AD775:AF775"/>
    <mergeCell ref="AG775:AI775"/>
    <mergeCell ref="AK775:AO775"/>
    <mergeCell ref="B774:D774"/>
    <mergeCell ref="H774:J774"/>
    <mergeCell ref="B771:D771"/>
    <mergeCell ref="H771:J771"/>
    <mergeCell ref="K771:L771"/>
    <mergeCell ref="P771:R771"/>
    <mergeCell ref="AD771:AF771"/>
    <mergeCell ref="AG771:AI771"/>
    <mergeCell ref="AK771:AO771"/>
    <mergeCell ref="B770:D770"/>
    <mergeCell ref="H770:J770"/>
    <mergeCell ref="AG773:AI773"/>
    <mergeCell ref="AK773:AO773"/>
    <mergeCell ref="B772:D772"/>
    <mergeCell ref="H772:J772"/>
    <mergeCell ref="K772:L772"/>
    <mergeCell ref="P772:R772"/>
    <mergeCell ref="AD772:AF772"/>
    <mergeCell ref="AG772:AI772"/>
    <mergeCell ref="AG769:AI769"/>
    <mergeCell ref="AK769:AO769"/>
    <mergeCell ref="B768:D768"/>
    <mergeCell ref="H768:J768"/>
    <mergeCell ref="K768:L768"/>
    <mergeCell ref="P768:R768"/>
    <mergeCell ref="AD768:AF768"/>
    <mergeCell ref="AG768:AI768"/>
    <mergeCell ref="K770:L770"/>
    <mergeCell ref="P770:R770"/>
    <mergeCell ref="AD770:AF770"/>
    <mergeCell ref="AG770:AI770"/>
    <mergeCell ref="AK768:AO768"/>
    <mergeCell ref="B769:D769"/>
    <mergeCell ref="H769:J769"/>
    <mergeCell ref="K769:L769"/>
    <mergeCell ref="P769:R769"/>
    <mergeCell ref="AD769:AF769"/>
    <mergeCell ref="AK770:AO770"/>
    <mergeCell ref="K766:L766"/>
    <mergeCell ref="P766:R766"/>
    <mergeCell ref="AD766:AF766"/>
    <mergeCell ref="AG766:AI766"/>
    <mergeCell ref="AK764:AO764"/>
    <mergeCell ref="B765:D765"/>
    <mergeCell ref="H765:J765"/>
    <mergeCell ref="K765:L765"/>
    <mergeCell ref="P765:R765"/>
    <mergeCell ref="AD765:AF765"/>
    <mergeCell ref="AK766:AO766"/>
    <mergeCell ref="B767:D767"/>
    <mergeCell ref="H767:J767"/>
    <mergeCell ref="K767:L767"/>
    <mergeCell ref="P767:R767"/>
    <mergeCell ref="AD767:AF767"/>
    <mergeCell ref="AG767:AI767"/>
    <mergeCell ref="AK767:AO767"/>
    <mergeCell ref="B766:D766"/>
    <mergeCell ref="H766:J766"/>
    <mergeCell ref="B763:D763"/>
    <mergeCell ref="H763:J763"/>
    <mergeCell ref="K763:L763"/>
    <mergeCell ref="P763:R763"/>
    <mergeCell ref="AD763:AF763"/>
    <mergeCell ref="AG763:AI763"/>
    <mergeCell ref="AK763:AO763"/>
    <mergeCell ref="B762:D762"/>
    <mergeCell ref="H762:J762"/>
    <mergeCell ref="AG765:AI765"/>
    <mergeCell ref="AK765:AO765"/>
    <mergeCell ref="B764:D764"/>
    <mergeCell ref="H764:J764"/>
    <mergeCell ref="K764:L764"/>
    <mergeCell ref="P764:R764"/>
    <mergeCell ref="AD764:AF764"/>
    <mergeCell ref="AG764:AI764"/>
    <mergeCell ref="AG761:AI761"/>
    <mergeCell ref="AK761:AO761"/>
    <mergeCell ref="B760:D760"/>
    <mergeCell ref="H760:J760"/>
    <mergeCell ref="K760:L760"/>
    <mergeCell ref="P760:R760"/>
    <mergeCell ref="AD760:AF760"/>
    <mergeCell ref="AG760:AI760"/>
    <mergeCell ref="K762:L762"/>
    <mergeCell ref="P762:R762"/>
    <mergeCell ref="AD762:AF762"/>
    <mergeCell ref="AG762:AI762"/>
    <mergeCell ref="AK760:AO760"/>
    <mergeCell ref="B761:D761"/>
    <mergeCell ref="H761:J761"/>
    <mergeCell ref="K761:L761"/>
    <mergeCell ref="P761:R761"/>
    <mergeCell ref="AD761:AF761"/>
    <mergeCell ref="AK762:AO762"/>
    <mergeCell ref="K758:L758"/>
    <mergeCell ref="P758:R758"/>
    <mergeCell ref="AD758:AF758"/>
    <mergeCell ref="AG758:AI758"/>
    <mergeCell ref="AK756:AO756"/>
    <mergeCell ref="B757:D757"/>
    <mergeCell ref="H757:J757"/>
    <mergeCell ref="K757:L757"/>
    <mergeCell ref="P757:R757"/>
    <mergeCell ref="AD757:AF757"/>
    <mergeCell ref="AK758:AO758"/>
    <mergeCell ref="B759:D759"/>
    <mergeCell ref="H759:J759"/>
    <mergeCell ref="K759:L759"/>
    <mergeCell ref="P759:R759"/>
    <mergeCell ref="AD759:AF759"/>
    <mergeCell ref="AG759:AI759"/>
    <mergeCell ref="AK759:AO759"/>
    <mergeCell ref="B758:D758"/>
    <mergeCell ref="H758:J758"/>
    <mergeCell ref="B755:D755"/>
    <mergeCell ref="H755:J755"/>
    <mergeCell ref="K755:L755"/>
    <mergeCell ref="P755:R755"/>
    <mergeCell ref="AD755:AF755"/>
    <mergeCell ref="AG755:AI755"/>
    <mergeCell ref="AK755:AO755"/>
    <mergeCell ref="B754:D754"/>
    <mergeCell ref="H754:J754"/>
    <mergeCell ref="AG757:AI757"/>
    <mergeCell ref="AK757:AO757"/>
    <mergeCell ref="B756:D756"/>
    <mergeCell ref="H756:J756"/>
    <mergeCell ref="K756:L756"/>
    <mergeCell ref="P756:R756"/>
    <mergeCell ref="AD756:AF756"/>
    <mergeCell ref="AG756:AI756"/>
    <mergeCell ref="AG753:AI753"/>
    <mergeCell ref="AK753:AO753"/>
    <mergeCell ref="B752:D752"/>
    <mergeCell ref="H752:J752"/>
    <mergeCell ref="K752:L752"/>
    <mergeCell ref="P752:R752"/>
    <mergeCell ref="AD752:AF752"/>
    <mergeCell ref="AG752:AI752"/>
    <mergeCell ref="K754:L754"/>
    <mergeCell ref="P754:R754"/>
    <mergeCell ref="AD754:AF754"/>
    <mergeCell ref="AG754:AI754"/>
    <mergeCell ref="AK752:AO752"/>
    <mergeCell ref="B753:D753"/>
    <mergeCell ref="H753:J753"/>
    <mergeCell ref="K753:L753"/>
    <mergeCell ref="P753:R753"/>
    <mergeCell ref="AD753:AF753"/>
    <mergeCell ref="AK754:AO754"/>
    <mergeCell ref="K750:L750"/>
    <mergeCell ref="P750:R750"/>
    <mergeCell ref="AD750:AF750"/>
    <mergeCell ref="AG750:AI750"/>
    <mergeCell ref="AK748:AO748"/>
    <mergeCell ref="B749:D749"/>
    <mergeCell ref="H749:J749"/>
    <mergeCell ref="K749:L749"/>
    <mergeCell ref="P749:R749"/>
    <mergeCell ref="AD749:AF749"/>
    <mergeCell ref="AK750:AO750"/>
    <mergeCell ref="B751:D751"/>
    <mergeCell ref="H751:J751"/>
    <mergeCell ref="K751:L751"/>
    <mergeCell ref="P751:R751"/>
    <mergeCell ref="AD751:AF751"/>
    <mergeCell ref="AG751:AI751"/>
    <mergeCell ref="AK751:AO751"/>
    <mergeCell ref="B750:D750"/>
    <mergeCell ref="H750:J750"/>
    <mergeCell ref="B747:D747"/>
    <mergeCell ref="H747:J747"/>
    <mergeCell ref="K747:L747"/>
    <mergeCell ref="P747:R747"/>
    <mergeCell ref="AD747:AF747"/>
    <mergeCell ref="AG747:AI747"/>
    <mergeCell ref="AK747:AO747"/>
    <mergeCell ref="B746:D746"/>
    <mergeCell ref="H746:J746"/>
    <mergeCell ref="AG749:AI749"/>
    <mergeCell ref="AK749:AO749"/>
    <mergeCell ref="B748:D748"/>
    <mergeCell ref="H748:J748"/>
    <mergeCell ref="K748:L748"/>
    <mergeCell ref="P748:R748"/>
    <mergeCell ref="AD748:AF748"/>
    <mergeCell ref="AG748:AI748"/>
    <mergeCell ref="AG745:AI745"/>
    <mergeCell ref="AK745:AO745"/>
    <mergeCell ref="B744:D744"/>
    <mergeCell ref="H744:J744"/>
    <mergeCell ref="K744:L744"/>
    <mergeCell ref="P744:R744"/>
    <mergeCell ref="AD744:AF744"/>
    <mergeCell ref="AG744:AI744"/>
    <mergeCell ref="K746:L746"/>
    <mergeCell ref="P746:R746"/>
    <mergeCell ref="AD746:AF746"/>
    <mergeCell ref="AG746:AI746"/>
    <mergeCell ref="AK744:AO744"/>
    <mergeCell ref="B745:D745"/>
    <mergeCell ref="H745:J745"/>
    <mergeCell ref="K745:L745"/>
    <mergeCell ref="P745:R745"/>
    <mergeCell ref="AD745:AF745"/>
    <mergeCell ref="AK746:AO746"/>
    <mergeCell ref="K742:L742"/>
    <mergeCell ref="P742:R742"/>
    <mergeCell ref="AD742:AF742"/>
    <mergeCell ref="AG742:AI742"/>
    <mergeCell ref="AK740:AO740"/>
    <mergeCell ref="B741:D741"/>
    <mergeCell ref="H741:J741"/>
    <mergeCell ref="K741:L741"/>
    <mergeCell ref="P741:R741"/>
    <mergeCell ref="AD741:AF741"/>
    <mergeCell ref="AK742:AO742"/>
    <mergeCell ref="B743:D743"/>
    <mergeCell ref="H743:J743"/>
    <mergeCell ref="K743:L743"/>
    <mergeCell ref="P743:R743"/>
    <mergeCell ref="AD743:AF743"/>
    <mergeCell ref="AG743:AI743"/>
    <mergeCell ref="AK743:AO743"/>
    <mergeCell ref="B742:D742"/>
    <mergeCell ref="H742:J742"/>
    <mergeCell ref="B739:D739"/>
    <mergeCell ref="H739:J739"/>
    <mergeCell ref="K739:L739"/>
    <mergeCell ref="P739:R739"/>
    <mergeCell ref="AD739:AF739"/>
    <mergeCell ref="AG739:AI739"/>
    <mergeCell ref="AK739:AO739"/>
    <mergeCell ref="B738:D738"/>
    <mergeCell ref="H738:J738"/>
    <mergeCell ref="AG741:AI741"/>
    <mergeCell ref="AK741:AO741"/>
    <mergeCell ref="B740:D740"/>
    <mergeCell ref="H740:J740"/>
    <mergeCell ref="K740:L740"/>
    <mergeCell ref="P740:R740"/>
    <mergeCell ref="AD740:AF740"/>
    <mergeCell ref="AG740:AI740"/>
    <mergeCell ref="AG737:AI737"/>
    <mergeCell ref="AK737:AO737"/>
    <mergeCell ref="B736:D736"/>
    <mergeCell ref="H736:J736"/>
    <mergeCell ref="K736:L736"/>
    <mergeCell ref="P736:R736"/>
    <mergeCell ref="AD736:AF736"/>
    <mergeCell ref="AG736:AI736"/>
    <mergeCell ref="K738:L738"/>
    <mergeCell ref="P738:R738"/>
    <mergeCell ref="AD738:AF738"/>
    <mergeCell ref="AG738:AI738"/>
    <mergeCell ref="AK736:AO736"/>
    <mergeCell ref="B737:D737"/>
    <mergeCell ref="H737:J737"/>
    <mergeCell ref="K737:L737"/>
    <mergeCell ref="P737:R737"/>
    <mergeCell ref="AD737:AF737"/>
    <mergeCell ref="AK738:AO738"/>
    <mergeCell ref="K734:L734"/>
    <mergeCell ref="P734:R734"/>
    <mergeCell ref="AD734:AF734"/>
    <mergeCell ref="AG734:AI734"/>
    <mergeCell ref="AK732:AO732"/>
    <mergeCell ref="B733:D733"/>
    <mergeCell ref="H733:J733"/>
    <mergeCell ref="K733:L733"/>
    <mergeCell ref="P733:R733"/>
    <mergeCell ref="AD733:AF733"/>
    <mergeCell ref="AK734:AO734"/>
    <mergeCell ref="B735:D735"/>
    <mergeCell ref="H735:J735"/>
    <mergeCell ref="K735:L735"/>
    <mergeCell ref="P735:R735"/>
    <mergeCell ref="AD735:AF735"/>
    <mergeCell ref="AG735:AI735"/>
    <mergeCell ref="AK735:AO735"/>
    <mergeCell ref="B734:D734"/>
    <mergeCell ref="H734:J734"/>
    <mergeCell ref="B731:D731"/>
    <mergeCell ref="H731:J731"/>
    <mergeCell ref="K731:L731"/>
    <mergeCell ref="P731:R731"/>
    <mergeCell ref="AD731:AF731"/>
    <mergeCell ref="AG731:AI731"/>
    <mergeCell ref="AK731:AO731"/>
    <mergeCell ref="B730:D730"/>
    <mergeCell ref="H730:J730"/>
    <mergeCell ref="AG733:AI733"/>
    <mergeCell ref="AK733:AO733"/>
    <mergeCell ref="B732:D732"/>
    <mergeCell ref="H732:J732"/>
    <mergeCell ref="K732:L732"/>
    <mergeCell ref="P732:R732"/>
    <mergeCell ref="AD732:AF732"/>
    <mergeCell ref="AG732:AI732"/>
    <mergeCell ref="AG729:AI729"/>
    <mergeCell ref="AK729:AO729"/>
    <mergeCell ref="B728:D728"/>
    <mergeCell ref="H728:J728"/>
    <mergeCell ref="K728:L728"/>
    <mergeCell ref="P728:R728"/>
    <mergeCell ref="AD728:AF728"/>
    <mergeCell ref="AG728:AI728"/>
    <mergeCell ref="K730:L730"/>
    <mergeCell ref="P730:R730"/>
    <mergeCell ref="AD730:AF730"/>
    <mergeCell ref="AG730:AI730"/>
    <mergeCell ref="AK728:AO728"/>
    <mergeCell ref="B729:D729"/>
    <mergeCell ref="H729:J729"/>
    <mergeCell ref="K729:L729"/>
    <mergeCell ref="P729:R729"/>
    <mergeCell ref="AD729:AF729"/>
    <mergeCell ref="AK730:AO730"/>
    <mergeCell ref="K726:L726"/>
    <mergeCell ref="P726:R726"/>
    <mergeCell ref="AD726:AF726"/>
    <mergeCell ref="AG726:AI726"/>
    <mergeCell ref="AK724:AO724"/>
    <mergeCell ref="B725:D725"/>
    <mergeCell ref="H725:J725"/>
    <mergeCell ref="K725:L725"/>
    <mergeCell ref="P725:R725"/>
    <mergeCell ref="AD725:AF725"/>
    <mergeCell ref="AK726:AO726"/>
    <mergeCell ref="B727:D727"/>
    <mergeCell ref="H727:J727"/>
    <mergeCell ref="K727:L727"/>
    <mergeCell ref="P727:R727"/>
    <mergeCell ref="AD727:AF727"/>
    <mergeCell ref="AG727:AI727"/>
    <mergeCell ref="AK727:AO727"/>
    <mergeCell ref="B726:D726"/>
    <mergeCell ref="H726:J726"/>
    <mergeCell ref="B723:D723"/>
    <mergeCell ref="H723:J723"/>
    <mergeCell ref="K723:L723"/>
    <mergeCell ref="P723:R723"/>
    <mergeCell ref="AD723:AF723"/>
    <mergeCell ref="AG723:AI723"/>
    <mergeCell ref="AK723:AO723"/>
    <mergeCell ref="B722:D722"/>
    <mergeCell ref="H722:J722"/>
    <mergeCell ref="AG725:AI725"/>
    <mergeCell ref="AK725:AO725"/>
    <mergeCell ref="B724:D724"/>
    <mergeCell ref="H724:J724"/>
    <mergeCell ref="K724:L724"/>
    <mergeCell ref="P724:R724"/>
    <mergeCell ref="AD724:AF724"/>
    <mergeCell ref="AG724:AI724"/>
    <mergeCell ref="AG721:AI721"/>
    <mergeCell ref="AK721:AO721"/>
    <mergeCell ref="B720:D720"/>
    <mergeCell ref="H720:J720"/>
    <mergeCell ref="K720:L720"/>
    <mergeCell ref="P720:R720"/>
    <mergeCell ref="AD720:AF720"/>
    <mergeCell ref="AG720:AI720"/>
    <mergeCell ref="K722:L722"/>
    <mergeCell ref="P722:R722"/>
    <mergeCell ref="AD722:AF722"/>
    <mergeCell ref="AG722:AI722"/>
    <mergeCell ref="AK720:AO720"/>
    <mergeCell ref="B721:D721"/>
    <mergeCell ref="H721:J721"/>
    <mergeCell ref="K721:L721"/>
    <mergeCell ref="P721:R721"/>
    <mergeCell ref="AD721:AF721"/>
    <mergeCell ref="AK722:AO722"/>
    <mergeCell ref="K718:L718"/>
    <mergeCell ref="P718:R718"/>
    <mergeCell ref="AD718:AF718"/>
    <mergeCell ref="AG718:AI718"/>
    <mergeCell ref="AK716:AO716"/>
    <mergeCell ref="B717:D717"/>
    <mergeCell ref="H717:J717"/>
    <mergeCell ref="K717:L717"/>
    <mergeCell ref="P717:R717"/>
    <mergeCell ref="AD717:AF717"/>
    <mergeCell ref="AK718:AO718"/>
    <mergeCell ref="B719:D719"/>
    <mergeCell ref="H719:J719"/>
    <mergeCell ref="K719:L719"/>
    <mergeCell ref="P719:R719"/>
    <mergeCell ref="AD719:AF719"/>
    <mergeCell ref="AG719:AI719"/>
    <mergeCell ref="AK719:AO719"/>
    <mergeCell ref="B718:D718"/>
    <mergeCell ref="H718:J718"/>
    <mergeCell ref="B715:D715"/>
    <mergeCell ref="H715:J715"/>
    <mergeCell ref="K715:L715"/>
    <mergeCell ref="P715:R715"/>
    <mergeCell ref="AD715:AF715"/>
    <mergeCell ref="AG715:AI715"/>
    <mergeCell ref="AK715:AO715"/>
    <mergeCell ref="B714:D714"/>
    <mergeCell ref="H714:J714"/>
    <mergeCell ref="AG717:AI717"/>
    <mergeCell ref="AK717:AO717"/>
    <mergeCell ref="B716:D716"/>
    <mergeCell ref="H716:J716"/>
    <mergeCell ref="K716:L716"/>
    <mergeCell ref="P716:R716"/>
    <mergeCell ref="AD716:AF716"/>
    <mergeCell ref="AG716:AI716"/>
    <mergeCell ref="AG713:AI713"/>
    <mergeCell ref="AK713:AO713"/>
    <mergeCell ref="B712:D712"/>
    <mergeCell ref="H712:J712"/>
    <mergeCell ref="K712:L712"/>
    <mergeCell ref="P712:R712"/>
    <mergeCell ref="AD712:AF712"/>
    <mergeCell ref="AG712:AI712"/>
    <mergeCell ref="K714:L714"/>
    <mergeCell ref="P714:R714"/>
    <mergeCell ref="AD714:AF714"/>
    <mergeCell ref="AG714:AI714"/>
    <mergeCell ref="AK712:AO712"/>
    <mergeCell ref="B713:D713"/>
    <mergeCell ref="H713:J713"/>
    <mergeCell ref="K713:L713"/>
    <mergeCell ref="P713:R713"/>
    <mergeCell ref="AD713:AF713"/>
    <mergeCell ref="AK714:AO714"/>
    <mergeCell ref="K710:L710"/>
    <mergeCell ref="P710:R710"/>
    <mergeCell ref="AD710:AF710"/>
    <mergeCell ref="AG710:AI710"/>
    <mergeCell ref="AK708:AO708"/>
    <mergeCell ref="B709:D709"/>
    <mergeCell ref="H709:J709"/>
    <mergeCell ref="K709:L709"/>
    <mergeCell ref="P709:R709"/>
    <mergeCell ref="AD709:AF709"/>
    <mergeCell ref="AK710:AO710"/>
    <mergeCell ref="B711:D711"/>
    <mergeCell ref="H711:J711"/>
    <mergeCell ref="K711:L711"/>
    <mergeCell ref="P711:R711"/>
    <mergeCell ref="AD711:AF711"/>
    <mergeCell ref="AG711:AI711"/>
    <mergeCell ref="AK711:AO711"/>
    <mergeCell ref="B710:D710"/>
    <mergeCell ref="H710:J710"/>
    <mergeCell ref="B707:D707"/>
    <mergeCell ref="H707:J707"/>
    <mergeCell ref="K707:L707"/>
    <mergeCell ref="P707:R707"/>
    <mergeCell ref="AD707:AF707"/>
    <mergeCell ref="AG707:AI707"/>
    <mergeCell ref="AK707:AO707"/>
    <mergeCell ref="B706:D706"/>
    <mergeCell ref="H706:J706"/>
    <mergeCell ref="AG709:AI709"/>
    <mergeCell ref="AK709:AO709"/>
    <mergeCell ref="B708:D708"/>
    <mergeCell ref="H708:J708"/>
    <mergeCell ref="K708:L708"/>
    <mergeCell ref="P708:R708"/>
    <mergeCell ref="AD708:AF708"/>
    <mergeCell ref="AG708:AI708"/>
    <mergeCell ref="AG705:AI705"/>
    <mergeCell ref="AK705:AO705"/>
    <mergeCell ref="B704:D704"/>
    <mergeCell ref="H704:J704"/>
    <mergeCell ref="K704:L704"/>
    <mergeCell ref="P704:R704"/>
    <mergeCell ref="AD704:AF704"/>
    <mergeCell ref="AG704:AI704"/>
    <mergeCell ref="K706:L706"/>
    <mergeCell ref="P706:R706"/>
    <mergeCell ref="AD706:AF706"/>
    <mergeCell ref="AG706:AI706"/>
    <mergeCell ref="AK704:AO704"/>
    <mergeCell ref="B705:D705"/>
    <mergeCell ref="H705:J705"/>
    <mergeCell ref="K705:L705"/>
    <mergeCell ref="P705:R705"/>
    <mergeCell ref="AD705:AF705"/>
    <mergeCell ref="AK706:AO706"/>
    <mergeCell ref="K702:L702"/>
    <mergeCell ref="P702:R702"/>
    <mergeCell ref="AD702:AF702"/>
    <mergeCell ref="AG702:AI702"/>
    <mergeCell ref="AK700:AO700"/>
    <mergeCell ref="B701:D701"/>
    <mergeCell ref="H701:J701"/>
    <mergeCell ref="K701:L701"/>
    <mergeCell ref="P701:R701"/>
    <mergeCell ref="AD701:AF701"/>
    <mergeCell ref="AK702:AO702"/>
    <mergeCell ref="B703:D703"/>
    <mergeCell ref="H703:J703"/>
    <mergeCell ref="K703:L703"/>
    <mergeCell ref="P703:R703"/>
    <mergeCell ref="AD703:AF703"/>
    <mergeCell ref="AG703:AI703"/>
    <mergeCell ref="AK703:AO703"/>
    <mergeCell ref="B702:D702"/>
    <mergeCell ref="H702:J702"/>
    <mergeCell ref="B699:D699"/>
    <mergeCell ref="H699:J699"/>
    <mergeCell ref="K699:L699"/>
    <mergeCell ref="P699:R699"/>
    <mergeCell ref="AD699:AF699"/>
    <mergeCell ref="AG699:AI699"/>
    <mergeCell ref="AK699:AO699"/>
    <mergeCell ref="B698:D698"/>
    <mergeCell ref="H698:J698"/>
    <mergeCell ref="AG701:AI701"/>
    <mergeCell ref="AK701:AO701"/>
    <mergeCell ref="B700:D700"/>
    <mergeCell ref="H700:J700"/>
    <mergeCell ref="K700:L700"/>
    <mergeCell ref="P700:R700"/>
    <mergeCell ref="AD700:AF700"/>
    <mergeCell ref="AG700:AI700"/>
    <mergeCell ref="AG697:AI697"/>
    <mergeCell ref="AK697:AO697"/>
    <mergeCell ref="B696:D696"/>
    <mergeCell ref="H696:J696"/>
    <mergeCell ref="K696:L696"/>
    <mergeCell ref="P696:R696"/>
    <mergeCell ref="AD696:AF696"/>
    <mergeCell ref="AG696:AI696"/>
    <mergeCell ref="K698:L698"/>
    <mergeCell ref="P698:R698"/>
    <mergeCell ref="AD698:AF698"/>
    <mergeCell ref="AG698:AI698"/>
    <mergeCell ref="AK696:AO696"/>
    <mergeCell ref="B697:D697"/>
    <mergeCell ref="H697:J697"/>
    <mergeCell ref="K697:L697"/>
    <mergeCell ref="P697:R697"/>
    <mergeCell ref="AD697:AF697"/>
    <mergeCell ref="AK698:AO698"/>
    <mergeCell ref="K694:L694"/>
    <mergeCell ref="P694:R694"/>
    <mergeCell ref="AD694:AF694"/>
    <mergeCell ref="AG694:AI694"/>
    <mergeCell ref="AK692:AO692"/>
    <mergeCell ref="B693:D693"/>
    <mergeCell ref="H693:J693"/>
    <mergeCell ref="K693:L693"/>
    <mergeCell ref="P693:R693"/>
    <mergeCell ref="AD693:AF693"/>
    <mergeCell ref="AK694:AO694"/>
    <mergeCell ref="B695:D695"/>
    <mergeCell ref="H695:J695"/>
    <mergeCell ref="K695:L695"/>
    <mergeCell ref="P695:R695"/>
    <mergeCell ref="AD695:AF695"/>
    <mergeCell ref="AG695:AI695"/>
    <mergeCell ref="AK695:AO695"/>
    <mergeCell ref="B694:D694"/>
    <mergeCell ref="H694:J694"/>
    <mergeCell ref="B691:D691"/>
    <mergeCell ref="H691:J691"/>
    <mergeCell ref="K691:L691"/>
    <mergeCell ref="P691:R691"/>
    <mergeCell ref="AD691:AF691"/>
    <mergeCell ref="AG691:AI691"/>
    <mergeCell ref="AK691:AO691"/>
    <mergeCell ref="B690:D690"/>
    <mergeCell ref="H690:J690"/>
    <mergeCell ref="AG693:AI693"/>
    <mergeCell ref="AK693:AO693"/>
    <mergeCell ref="B692:D692"/>
    <mergeCell ref="H692:J692"/>
    <mergeCell ref="K692:L692"/>
    <mergeCell ref="P692:R692"/>
    <mergeCell ref="AD692:AF692"/>
    <mergeCell ref="AG692:AI692"/>
    <mergeCell ref="AG689:AI689"/>
    <mergeCell ref="AK689:AO689"/>
    <mergeCell ref="B688:D688"/>
    <mergeCell ref="H688:J688"/>
    <mergeCell ref="K688:L688"/>
    <mergeCell ref="P688:R688"/>
    <mergeCell ref="AD688:AF688"/>
    <mergeCell ref="AG688:AI688"/>
    <mergeCell ref="K690:L690"/>
    <mergeCell ref="P690:R690"/>
    <mergeCell ref="AD690:AF690"/>
    <mergeCell ref="AG690:AI690"/>
    <mergeCell ref="AK688:AO688"/>
    <mergeCell ref="B689:D689"/>
    <mergeCell ref="H689:J689"/>
    <mergeCell ref="K689:L689"/>
    <mergeCell ref="P689:R689"/>
    <mergeCell ref="AD689:AF689"/>
    <mergeCell ref="AK690:AO690"/>
    <mergeCell ref="K686:L686"/>
    <mergeCell ref="P686:R686"/>
    <mergeCell ref="AD686:AF686"/>
    <mergeCell ref="AG686:AI686"/>
    <mergeCell ref="AK684:AO684"/>
    <mergeCell ref="B685:D685"/>
    <mergeCell ref="H685:J685"/>
    <mergeCell ref="K685:L685"/>
    <mergeCell ref="P685:R685"/>
    <mergeCell ref="AD685:AF685"/>
    <mergeCell ref="AK686:AO686"/>
    <mergeCell ref="B687:D687"/>
    <mergeCell ref="H687:J687"/>
    <mergeCell ref="K687:L687"/>
    <mergeCell ref="P687:R687"/>
    <mergeCell ref="AD687:AF687"/>
    <mergeCell ref="AG687:AI687"/>
    <mergeCell ref="AK687:AO687"/>
    <mergeCell ref="B686:D686"/>
    <mergeCell ref="H686:J686"/>
    <mergeCell ref="B683:D683"/>
    <mergeCell ref="H683:J683"/>
    <mergeCell ref="K683:L683"/>
    <mergeCell ref="P683:R683"/>
    <mergeCell ref="AD683:AF683"/>
    <mergeCell ref="AG683:AI683"/>
    <mergeCell ref="AK683:AO683"/>
    <mergeCell ref="B682:D682"/>
    <mergeCell ref="H682:J682"/>
    <mergeCell ref="AG685:AI685"/>
    <mergeCell ref="AK685:AO685"/>
    <mergeCell ref="B684:D684"/>
    <mergeCell ref="H684:J684"/>
    <mergeCell ref="K684:L684"/>
    <mergeCell ref="P684:R684"/>
    <mergeCell ref="AD684:AF684"/>
    <mergeCell ref="AG684:AI684"/>
    <mergeCell ref="AG681:AI681"/>
    <mergeCell ref="AK681:AO681"/>
    <mergeCell ref="B680:D680"/>
    <mergeCell ref="H680:J680"/>
    <mergeCell ref="K680:L680"/>
    <mergeCell ref="P680:R680"/>
    <mergeCell ref="AD680:AF680"/>
    <mergeCell ref="AG680:AI680"/>
    <mergeCell ref="K682:L682"/>
    <mergeCell ref="P682:R682"/>
    <mergeCell ref="AD682:AF682"/>
    <mergeCell ref="AG682:AI682"/>
    <mergeCell ref="AK680:AO680"/>
    <mergeCell ref="B681:D681"/>
    <mergeCell ref="H681:J681"/>
    <mergeCell ref="K681:L681"/>
    <mergeCell ref="P681:R681"/>
    <mergeCell ref="AD681:AF681"/>
    <mergeCell ref="AK682:AO682"/>
    <mergeCell ref="K678:L678"/>
    <mergeCell ref="P678:R678"/>
    <mergeCell ref="AD678:AF678"/>
    <mergeCell ref="AG678:AI678"/>
    <mergeCell ref="AK676:AO676"/>
    <mergeCell ref="B677:D677"/>
    <mergeCell ref="H677:J677"/>
    <mergeCell ref="K677:L677"/>
    <mergeCell ref="P677:R677"/>
    <mergeCell ref="AD677:AF677"/>
    <mergeCell ref="AK678:AO678"/>
    <mergeCell ref="B679:D679"/>
    <mergeCell ref="H679:J679"/>
    <mergeCell ref="K679:L679"/>
    <mergeCell ref="P679:R679"/>
    <mergeCell ref="AD679:AF679"/>
    <mergeCell ref="AG679:AI679"/>
    <mergeCell ref="AK679:AO679"/>
    <mergeCell ref="B678:D678"/>
    <mergeCell ref="H678:J678"/>
    <mergeCell ref="B675:D675"/>
    <mergeCell ref="H675:J675"/>
    <mergeCell ref="K675:L675"/>
    <mergeCell ref="P675:R675"/>
    <mergeCell ref="AD675:AF675"/>
    <mergeCell ref="AG675:AI675"/>
    <mergeCell ref="AK675:AO675"/>
    <mergeCell ref="B674:D674"/>
    <mergeCell ref="H674:J674"/>
    <mergeCell ref="AG677:AI677"/>
    <mergeCell ref="AK677:AO677"/>
    <mergeCell ref="B676:D676"/>
    <mergeCell ref="H676:J676"/>
    <mergeCell ref="K676:L676"/>
    <mergeCell ref="P676:R676"/>
    <mergeCell ref="AD676:AF676"/>
    <mergeCell ref="AG676:AI676"/>
    <mergeCell ref="AG673:AI673"/>
    <mergeCell ref="AK673:AO673"/>
    <mergeCell ref="B672:D672"/>
    <mergeCell ref="H672:J672"/>
    <mergeCell ref="K672:L672"/>
    <mergeCell ref="P672:R672"/>
    <mergeCell ref="AD672:AF672"/>
    <mergeCell ref="AG672:AI672"/>
    <mergeCell ref="K674:L674"/>
    <mergeCell ref="P674:R674"/>
    <mergeCell ref="AD674:AF674"/>
    <mergeCell ref="AG674:AI674"/>
    <mergeCell ref="AK672:AO672"/>
    <mergeCell ref="B673:D673"/>
    <mergeCell ref="H673:J673"/>
    <mergeCell ref="K673:L673"/>
    <mergeCell ref="P673:R673"/>
    <mergeCell ref="AD673:AF673"/>
    <mergeCell ref="AK674:AO674"/>
    <mergeCell ref="K670:L670"/>
    <mergeCell ref="P670:R670"/>
    <mergeCell ref="AD670:AF670"/>
    <mergeCell ref="AG670:AI670"/>
    <mergeCell ref="AK668:AO668"/>
    <mergeCell ref="B669:D669"/>
    <mergeCell ref="H669:J669"/>
    <mergeCell ref="K669:L669"/>
    <mergeCell ref="P669:R669"/>
    <mergeCell ref="AD669:AF669"/>
    <mergeCell ref="AK670:AO670"/>
    <mergeCell ref="B671:D671"/>
    <mergeCell ref="H671:J671"/>
    <mergeCell ref="K671:L671"/>
    <mergeCell ref="P671:R671"/>
    <mergeCell ref="AD671:AF671"/>
    <mergeCell ref="AG671:AI671"/>
    <mergeCell ref="AK671:AO671"/>
    <mergeCell ref="B670:D670"/>
    <mergeCell ref="H670:J670"/>
    <mergeCell ref="B667:D667"/>
    <mergeCell ref="H667:J667"/>
    <mergeCell ref="K667:L667"/>
    <mergeCell ref="P667:R667"/>
    <mergeCell ref="AD667:AF667"/>
    <mergeCell ref="AG667:AI667"/>
    <mergeCell ref="AK667:AO667"/>
    <mergeCell ref="B666:D666"/>
    <mergeCell ref="H666:J666"/>
    <mergeCell ref="AG669:AI669"/>
    <mergeCell ref="AK669:AO669"/>
    <mergeCell ref="B668:D668"/>
    <mergeCell ref="H668:J668"/>
    <mergeCell ref="K668:L668"/>
    <mergeCell ref="P668:R668"/>
    <mergeCell ref="AD668:AF668"/>
    <mergeCell ref="AG668:AI668"/>
    <mergeCell ref="AG665:AI665"/>
    <mergeCell ref="AK665:AO665"/>
    <mergeCell ref="B664:D664"/>
    <mergeCell ref="H664:J664"/>
    <mergeCell ref="K664:L664"/>
    <mergeCell ref="P664:R664"/>
    <mergeCell ref="AD664:AF664"/>
    <mergeCell ref="AG664:AI664"/>
    <mergeCell ref="K666:L666"/>
    <mergeCell ref="P666:R666"/>
    <mergeCell ref="AD666:AF666"/>
    <mergeCell ref="AG666:AI666"/>
    <mergeCell ref="AK664:AO664"/>
    <mergeCell ref="B665:D665"/>
    <mergeCell ref="H665:J665"/>
    <mergeCell ref="K665:L665"/>
    <mergeCell ref="P665:R665"/>
    <mergeCell ref="AD665:AF665"/>
    <mergeCell ref="AK666:AO666"/>
    <mergeCell ref="K662:L662"/>
    <mergeCell ref="P662:R662"/>
    <mergeCell ref="AD662:AF662"/>
    <mergeCell ref="AG662:AI662"/>
    <mergeCell ref="AK660:AO660"/>
    <mergeCell ref="B661:D661"/>
    <mergeCell ref="H661:J661"/>
    <mergeCell ref="K661:L661"/>
    <mergeCell ref="P661:R661"/>
    <mergeCell ref="AD661:AF661"/>
    <mergeCell ref="AK662:AO662"/>
    <mergeCell ref="B663:D663"/>
    <mergeCell ref="H663:J663"/>
    <mergeCell ref="K663:L663"/>
    <mergeCell ref="P663:R663"/>
    <mergeCell ref="AD663:AF663"/>
    <mergeCell ref="AG663:AI663"/>
    <mergeCell ref="AK663:AO663"/>
    <mergeCell ref="B662:D662"/>
    <mergeCell ref="H662:J662"/>
    <mergeCell ref="B659:D659"/>
    <mergeCell ref="H659:J659"/>
    <mergeCell ref="K659:L659"/>
    <mergeCell ref="P659:R659"/>
    <mergeCell ref="AD659:AF659"/>
    <mergeCell ref="AG659:AI659"/>
    <mergeCell ref="AK659:AO659"/>
    <mergeCell ref="B658:D658"/>
    <mergeCell ref="H658:J658"/>
    <mergeCell ref="AG661:AI661"/>
    <mergeCell ref="AK661:AO661"/>
    <mergeCell ref="B660:D660"/>
    <mergeCell ref="H660:J660"/>
    <mergeCell ref="K660:L660"/>
    <mergeCell ref="P660:R660"/>
    <mergeCell ref="AD660:AF660"/>
    <mergeCell ref="AG660:AI660"/>
    <mergeCell ref="AG657:AI657"/>
    <mergeCell ref="AK657:AO657"/>
    <mergeCell ref="B656:D656"/>
    <mergeCell ref="H656:J656"/>
    <mergeCell ref="K656:L656"/>
    <mergeCell ref="P656:R656"/>
    <mergeCell ref="AD656:AF656"/>
    <mergeCell ref="AG656:AI656"/>
    <mergeCell ref="K658:L658"/>
    <mergeCell ref="P658:R658"/>
    <mergeCell ref="AD658:AF658"/>
    <mergeCell ref="AG658:AI658"/>
    <mergeCell ref="AK656:AO656"/>
    <mergeCell ref="B657:D657"/>
    <mergeCell ref="H657:J657"/>
    <mergeCell ref="K657:L657"/>
    <mergeCell ref="P657:R657"/>
    <mergeCell ref="AD657:AF657"/>
    <mergeCell ref="AK658:AO658"/>
    <mergeCell ref="K654:L654"/>
    <mergeCell ref="P654:R654"/>
    <mergeCell ref="AD654:AF654"/>
    <mergeCell ref="AG654:AI654"/>
    <mergeCell ref="AK652:AO652"/>
    <mergeCell ref="B653:D653"/>
    <mergeCell ref="H653:J653"/>
    <mergeCell ref="K653:L653"/>
    <mergeCell ref="P653:R653"/>
    <mergeCell ref="AD653:AF653"/>
    <mergeCell ref="AK654:AO654"/>
    <mergeCell ref="B655:D655"/>
    <mergeCell ref="H655:J655"/>
    <mergeCell ref="K655:L655"/>
    <mergeCell ref="P655:R655"/>
    <mergeCell ref="AD655:AF655"/>
    <mergeCell ref="AG655:AI655"/>
    <mergeCell ref="AK655:AO655"/>
    <mergeCell ref="B654:D654"/>
    <mergeCell ref="H654:J654"/>
    <mergeCell ref="B651:D651"/>
    <mergeCell ref="H651:J651"/>
    <mergeCell ref="K651:L651"/>
    <mergeCell ref="P651:R651"/>
    <mergeCell ref="AD651:AF651"/>
    <mergeCell ref="AG651:AI651"/>
    <mergeCell ref="AK651:AO651"/>
    <mergeCell ref="B650:D650"/>
    <mergeCell ref="H650:J650"/>
    <mergeCell ref="AG653:AI653"/>
    <mergeCell ref="AK653:AO653"/>
    <mergeCell ref="B652:D652"/>
    <mergeCell ref="H652:J652"/>
    <mergeCell ref="K652:L652"/>
    <mergeCell ref="P652:R652"/>
    <mergeCell ref="AD652:AF652"/>
    <mergeCell ref="AG652:AI652"/>
    <mergeCell ref="AG649:AI649"/>
    <mergeCell ref="AK649:AO649"/>
    <mergeCell ref="B648:D648"/>
    <mergeCell ref="H648:J648"/>
    <mergeCell ref="K648:L648"/>
    <mergeCell ref="P648:R648"/>
    <mergeCell ref="AD648:AF648"/>
    <mergeCell ref="AG648:AI648"/>
    <mergeCell ref="K650:L650"/>
    <mergeCell ref="P650:R650"/>
    <mergeCell ref="AD650:AF650"/>
    <mergeCell ref="AG650:AI650"/>
    <mergeCell ref="AK648:AO648"/>
    <mergeCell ref="B649:D649"/>
    <mergeCell ref="H649:J649"/>
    <mergeCell ref="K649:L649"/>
    <mergeCell ref="P649:R649"/>
    <mergeCell ref="AD649:AF649"/>
    <mergeCell ref="AK650:AO650"/>
    <mergeCell ref="K646:L646"/>
    <mergeCell ref="P646:R646"/>
    <mergeCell ref="AD646:AF646"/>
    <mergeCell ref="AG646:AI646"/>
    <mergeCell ref="AK644:AO644"/>
    <mergeCell ref="B645:D645"/>
    <mergeCell ref="H645:J645"/>
    <mergeCell ref="K645:L645"/>
    <mergeCell ref="P645:R645"/>
    <mergeCell ref="AD645:AF645"/>
    <mergeCell ref="AK646:AO646"/>
    <mergeCell ref="B647:D647"/>
    <mergeCell ref="H647:J647"/>
    <mergeCell ref="K647:L647"/>
    <mergeCell ref="P647:R647"/>
    <mergeCell ref="AD647:AF647"/>
    <mergeCell ref="AG647:AI647"/>
    <mergeCell ref="AK647:AO647"/>
    <mergeCell ref="B646:D646"/>
    <mergeCell ref="H646:J646"/>
    <mergeCell ref="B643:D643"/>
    <mergeCell ref="H643:J643"/>
    <mergeCell ref="K643:L643"/>
    <mergeCell ref="P643:R643"/>
    <mergeCell ref="AD643:AF643"/>
    <mergeCell ref="AG643:AI643"/>
    <mergeCell ref="AK643:AO643"/>
    <mergeCell ref="B642:D642"/>
    <mergeCell ref="H642:J642"/>
    <mergeCell ref="AG645:AI645"/>
    <mergeCell ref="AK645:AO645"/>
    <mergeCell ref="B644:D644"/>
    <mergeCell ref="H644:J644"/>
    <mergeCell ref="K644:L644"/>
    <mergeCell ref="P644:R644"/>
    <mergeCell ref="AD644:AF644"/>
    <mergeCell ref="AG644:AI644"/>
    <mergeCell ref="AG641:AI641"/>
    <mergeCell ref="AK641:AO641"/>
    <mergeCell ref="B640:D640"/>
    <mergeCell ref="H640:J640"/>
    <mergeCell ref="K640:L640"/>
    <mergeCell ref="P640:R640"/>
    <mergeCell ref="AD640:AF640"/>
    <mergeCell ref="AG640:AI640"/>
    <mergeCell ref="K642:L642"/>
    <mergeCell ref="P642:R642"/>
    <mergeCell ref="AD642:AF642"/>
    <mergeCell ref="AG642:AI642"/>
    <mergeCell ref="AK640:AO640"/>
    <mergeCell ref="B641:D641"/>
    <mergeCell ref="H641:J641"/>
    <mergeCell ref="K641:L641"/>
    <mergeCell ref="P641:R641"/>
    <mergeCell ref="AD641:AF641"/>
    <mergeCell ref="AK642:AO642"/>
    <mergeCell ref="K638:L638"/>
    <mergeCell ref="P638:R638"/>
    <mergeCell ref="AD638:AF638"/>
    <mergeCell ref="AG638:AI638"/>
    <mergeCell ref="AK636:AO636"/>
    <mergeCell ref="B637:D637"/>
    <mergeCell ref="H637:J637"/>
    <mergeCell ref="K637:L637"/>
    <mergeCell ref="P637:R637"/>
    <mergeCell ref="AD637:AF637"/>
    <mergeCell ref="AK638:AO638"/>
    <mergeCell ref="B639:D639"/>
    <mergeCell ref="H639:J639"/>
    <mergeCell ref="K639:L639"/>
    <mergeCell ref="P639:R639"/>
    <mergeCell ref="AD639:AF639"/>
    <mergeCell ref="AG639:AI639"/>
    <mergeCell ref="AK639:AO639"/>
    <mergeCell ref="B638:D638"/>
    <mergeCell ref="H638:J638"/>
    <mergeCell ref="B635:D635"/>
    <mergeCell ref="H635:J635"/>
    <mergeCell ref="K635:L635"/>
    <mergeCell ref="P635:R635"/>
    <mergeCell ref="AD635:AF635"/>
    <mergeCell ref="AG635:AI635"/>
    <mergeCell ref="AK635:AO635"/>
    <mergeCell ref="B634:D634"/>
    <mergeCell ref="H634:J634"/>
    <mergeCell ref="AG637:AI637"/>
    <mergeCell ref="AK637:AO637"/>
    <mergeCell ref="B636:D636"/>
    <mergeCell ref="H636:J636"/>
    <mergeCell ref="K636:L636"/>
    <mergeCell ref="P636:R636"/>
    <mergeCell ref="AD636:AF636"/>
    <mergeCell ref="AG636:AI636"/>
    <mergeCell ref="AG633:AI633"/>
    <mergeCell ref="AK633:AO633"/>
    <mergeCell ref="B632:D632"/>
    <mergeCell ref="H632:J632"/>
    <mergeCell ref="K632:L632"/>
    <mergeCell ref="P632:R632"/>
    <mergeCell ref="AD632:AF632"/>
    <mergeCell ref="AG632:AI632"/>
    <mergeCell ref="K634:L634"/>
    <mergeCell ref="P634:R634"/>
    <mergeCell ref="AD634:AF634"/>
    <mergeCell ref="AG634:AI634"/>
    <mergeCell ref="AK632:AO632"/>
    <mergeCell ref="B633:D633"/>
    <mergeCell ref="H633:J633"/>
    <mergeCell ref="K633:L633"/>
    <mergeCell ref="P633:R633"/>
    <mergeCell ref="AD633:AF633"/>
    <mergeCell ref="AK634:AO634"/>
    <mergeCell ref="K630:L630"/>
    <mergeCell ref="P630:R630"/>
    <mergeCell ref="AD630:AF630"/>
    <mergeCell ref="AG630:AI630"/>
    <mergeCell ref="AK628:AO628"/>
    <mergeCell ref="B629:D629"/>
    <mergeCell ref="H629:J629"/>
    <mergeCell ref="K629:L629"/>
    <mergeCell ref="P629:R629"/>
    <mergeCell ref="AD629:AF629"/>
    <mergeCell ref="AK630:AO630"/>
    <mergeCell ref="B631:D631"/>
    <mergeCell ref="H631:J631"/>
    <mergeCell ref="K631:L631"/>
    <mergeCell ref="P631:R631"/>
    <mergeCell ref="AD631:AF631"/>
    <mergeCell ref="AG631:AI631"/>
    <mergeCell ref="AK631:AO631"/>
    <mergeCell ref="B630:D630"/>
    <mergeCell ref="H630:J630"/>
    <mergeCell ref="B627:D627"/>
    <mergeCell ref="H627:J627"/>
    <mergeCell ref="K627:L627"/>
    <mergeCell ref="P627:R627"/>
    <mergeCell ref="AD627:AF627"/>
    <mergeCell ref="AG627:AI627"/>
    <mergeCell ref="AK627:AO627"/>
    <mergeCell ref="B626:D626"/>
    <mergeCell ref="H626:J626"/>
    <mergeCell ref="AG629:AI629"/>
    <mergeCell ref="AK629:AO629"/>
    <mergeCell ref="B628:D628"/>
    <mergeCell ref="H628:J628"/>
    <mergeCell ref="K628:L628"/>
    <mergeCell ref="P628:R628"/>
    <mergeCell ref="AD628:AF628"/>
    <mergeCell ref="AG628:AI628"/>
    <mergeCell ref="AG625:AI625"/>
    <mergeCell ref="AK625:AO625"/>
    <mergeCell ref="B624:D624"/>
    <mergeCell ref="H624:J624"/>
    <mergeCell ref="K624:L624"/>
    <mergeCell ref="P624:R624"/>
    <mergeCell ref="AD624:AF624"/>
    <mergeCell ref="AG624:AI624"/>
    <mergeCell ref="K626:L626"/>
    <mergeCell ref="P626:R626"/>
    <mergeCell ref="AD626:AF626"/>
    <mergeCell ref="AG626:AI626"/>
    <mergeCell ref="AK624:AO624"/>
    <mergeCell ref="B625:D625"/>
    <mergeCell ref="H625:J625"/>
    <mergeCell ref="K625:L625"/>
    <mergeCell ref="P625:R625"/>
    <mergeCell ref="AD625:AF625"/>
    <mergeCell ref="AK626:AO626"/>
    <mergeCell ref="K622:L622"/>
    <mergeCell ref="P622:R622"/>
    <mergeCell ref="AD622:AF622"/>
    <mergeCell ref="AG622:AI622"/>
    <mergeCell ref="AK620:AO620"/>
    <mergeCell ref="B621:D621"/>
    <mergeCell ref="H621:J621"/>
    <mergeCell ref="K621:L621"/>
    <mergeCell ref="P621:R621"/>
    <mergeCell ref="AD621:AF621"/>
    <mergeCell ref="AK622:AO622"/>
    <mergeCell ref="B623:D623"/>
    <mergeCell ref="H623:J623"/>
    <mergeCell ref="K623:L623"/>
    <mergeCell ref="P623:R623"/>
    <mergeCell ref="AD623:AF623"/>
    <mergeCell ref="AG623:AI623"/>
    <mergeCell ref="AK623:AO623"/>
    <mergeCell ref="B622:D622"/>
    <mergeCell ref="H622:J622"/>
    <mergeCell ref="B619:D619"/>
    <mergeCell ref="H619:J619"/>
    <mergeCell ref="K619:L619"/>
    <mergeCell ref="P619:R619"/>
    <mergeCell ref="AD619:AF619"/>
    <mergeCell ref="AG619:AI619"/>
    <mergeCell ref="AK619:AO619"/>
    <mergeCell ref="B618:D618"/>
    <mergeCell ref="H618:J618"/>
    <mergeCell ref="AG621:AI621"/>
    <mergeCell ref="AK621:AO621"/>
    <mergeCell ref="B620:D620"/>
    <mergeCell ref="H620:J620"/>
    <mergeCell ref="K620:L620"/>
    <mergeCell ref="P620:R620"/>
    <mergeCell ref="AD620:AF620"/>
    <mergeCell ref="AG620:AI620"/>
    <mergeCell ref="AG617:AI617"/>
    <mergeCell ref="AK617:AO617"/>
    <mergeCell ref="B616:D616"/>
    <mergeCell ref="H616:J616"/>
    <mergeCell ref="K616:L616"/>
    <mergeCell ref="P616:R616"/>
    <mergeCell ref="AD616:AF616"/>
    <mergeCell ref="AG616:AI616"/>
    <mergeCell ref="K618:L618"/>
    <mergeCell ref="P618:R618"/>
    <mergeCell ref="AD618:AF618"/>
    <mergeCell ref="AG618:AI618"/>
    <mergeCell ref="AK616:AO616"/>
    <mergeCell ref="B617:D617"/>
    <mergeCell ref="H617:J617"/>
    <mergeCell ref="K617:L617"/>
    <mergeCell ref="P617:R617"/>
    <mergeCell ref="AD617:AF617"/>
    <mergeCell ref="AK618:AO618"/>
    <mergeCell ref="K614:L614"/>
    <mergeCell ref="P614:R614"/>
    <mergeCell ref="AD614:AF614"/>
    <mergeCell ref="AG614:AI614"/>
    <mergeCell ref="AK612:AO612"/>
    <mergeCell ref="B613:D613"/>
    <mergeCell ref="H613:J613"/>
    <mergeCell ref="K613:L613"/>
    <mergeCell ref="P613:R613"/>
    <mergeCell ref="AD613:AF613"/>
    <mergeCell ref="AK614:AO614"/>
    <mergeCell ref="B615:D615"/>
    <mergeCell ref="H615:J615"/>
    <mergeCell ref="K615:L615"/>
    <mergeCell ref="P615:R615"/>
    <mergeCell ref="AD615:AF615"/>
    <mergeCell ref="AG615:AI615"/>
    <mergeCell ref="AK615:AO615"/>
    <mergeCell ref="B614:D614"/>
    <mergeCell ref="H614:J614"/>
    <mergeCell ref="B611:D611"/>
    <mergeCell ref="H611:J611"/>
    <mergeCell ref="K611:L611"/>
    <mergeCell ref="P611:R611"/>
    <mergeCell ref="AD611:AF611"/>
    <mergeCell ref="AG611:AI611"/>
    <mergeCell ref="AK611:AO611"/>
    <mergeCell ref="B610:D610"/>
    <mergeCell ref="H610:J610"/>
    <mergeCell ref="AG613:AI613"/>
    <mergeCell ref="AK613:AO613"/>
    <mergeCell ref="B612:D612"/>
    <mergeCell ref="H612:J612"/>
    <mergeCell ref="K612:L612"/>
    <mergeCell ref="P612:R612"/>
    <mergeCell ref="AD612:AF612"/>
    <mergeCell ref="AG612:AI612"/>
    <mergeCell ref="AG609:AI609"/>
    <mergeCell ref="AK609:AO609"/>
    <mergeCell ref="B608:D608"/>
    <mergeCell ref="H608:J608"/>
    <mergeCell ref="K608:L608"/>
    <mergeCell ref="P608:R608"/>
    <mergeCell ref="AD608:AF608"/>
    <mergeCell ref="AG608:AI608"/>
    <mergeCell ref="K610:L610"/>
    <mergeCell ref="P610:R610"/>
    <mergeCell ref="AD610:AF610"/>
    <mergeCell ref="AG610:AI610"/>
    <mergeCell ref="AK608:AO608"/>
    <mergeCell ref="B609:D609"/>
    <mergeCell ref="H609:J609"/>
    <mergeCell ref="K609:L609"/>
    <mergeCell ref="P609:R609"/>
    <mergeCell ref="AD609:AF609"/>
    <mergeCell ref="AK610:AO610"/>
    <mergeCell ref="K606:L606"/>
    <mergeCell ref="P606:R606"/>
    <mergeCell ref="AD606:AF606"/>
    <mergeCell ref="AG606:AI606"/>
    <mergeCell ref="AK604:AO604"/>
    <mergeCell ref="B605:D605"/>
    <mergeCell ref="H605:J605"/>
    <mergeCell ref="K605:L605"/>
    <mergeCell ref="P605:R605"/>
    <mergeCell ref="AD605:AF605"/>
    <mergeCell ref="AK606:AO606"/>
    <mergeCell ref="B607:D607"/>
    <mergeCell ref="H607:J607"/>
    <mergeCell ref="K607:L607"/>
    <mergeCell ref="P607:R607"/>
    <mergeCell ref="AD607:AF607"/>
    <mergeCell ref="AG607:AI607"/>
    <mergeCell ref="AK607:AO607"/>
    <mergeCell ref="B606:D606"/>
    <mergeCell ref="H606:J606"/>
    <mergeCell ref="B603:D603"/>
    <mergeCell ref="H603:J603"/>
    <mergeCell ref="K603:L603"/>
    <mergeCell ref="P603:R603"/>
    <mergeCell ref="AD603:AF603"/>
    <mergeCell ref="AG603:AI603"/>
    <mergeCell ref="AK603:AO603"/>
    <mergeCell ref="B602:D602"/>
    <mergeCell ref="H602:J602"/>
    <mergeCell ref="AG605:AI605"/>
    <mergeCell ref="AK605:AO605"/>
    <mergeCell ref="B604:D604"/>
    <mergeCell ref="H604:J604"/>
    <mergeCell ref="K604:L604"/>
    <mergeCell ref="P604:R604"/>
    <mergeCell ref="AD604:AF604"/>
    <mergeCell ref="AG604:AI604"/>
    <mergeCell ref="AG601:AI601"/>
    <mergeCell ref="AK601:AO601"/>
    <mergeCell ref="B600:D600"/>
    <mergeCell ref="H600:J600"/>
    <mergeCell ref="K600:L600"/>
    <mergeCell ref="P600:R600"/>
    <mergeCell ref="AD600:AF600"/>
    <mergeCell ref="AG600:AI600"/>
    <mergeCell ref="K602:L602"/>
    <mergeCell ref="P602:R602"/>
    <mergeCell ref="AD602:AF602"/>
    <mergeCell ref="AG602:AI602"/>
    <mergeCell ref="AK600:AO600"/>
    <mergeCell ref="B601:D601"/>
    <mergeCell ref="H601:J601"/>
    <mergeCell ref="K601:L601"/>
    <mergeCell ref="P601:R601"/>
    <mergeCell ref="AD601:AF601"/>
    <mergeCell ref="AK602:AO602"/>
    <mergeCell ref="K598:L598"/>
    <mergeCell ref="P598:R598"/>
    <mergeCell ref="AD598:AF598"/>
    <mergeCell ref="AG598:AI598"/>
    <mergeCell ref="AK596:AO596"/>
    <mergeCell ref="B597:D597"/>
    <mergeCell ref="H597:J597"/>
    <mergeCell ref="K597:L597"/>
    <mergeCell ref="P597:R597"/>
    <mergeCell ref="AD597:AF597"/>
    <mergeCell ref="AK598:AO598"/>
    <mergeCell ref="B599:D599"/>
    <mergeCell ref="H599:J599"/>
    <mergeCell ref="K599:L599"/>
    <mergeCell ref="P599:R599"/>
    <mergeCell ref="AD599:AF599"/>
    <mergeCell ref="AG599:AI599"/>
    <mergeCell ref="AK599:AO599"/>
    <mergeCell ref="B598:D598"/>
    <mergeCell ref="H598:J598"/>
    <mergeCell ref="B595:D595"/>
    <mergeCell ref="H595:J595"/>
    <mergeCell ref="K595:L595"/>
    <mergeCell ref="P595:R595"/>
    <mergeCell ref="AD595:AF595"/>
    <mergeCell ref="AG595:AI595"/>
    <mergeCell ref="AK595:AO595"/>
    <mergeCell ref="B594:D594"/>
    <mergeCell ref="H594:J594"/>
    <mergeCell ref="AG597:AI597"/>
    <mergeCell ref="AK597:AO597"/>
    <mergeCell ref="B596:D596"/>
    <mergeCell ref="H596:J596"/>
    <mergeCell ref="K596:L596"/>
    <mergeCell ref="P596:R596"/>
    <mergeCell ref="AD596:AF596"/>
    <mergeCell ref="AG596:AI596"/>
    <mergeCell ref="AG593:AI593"/>
    <mergeCell ref="AK593:AO593"/>
    <mergeCell ref="B592:D592"/>
    <mergeCell ref="H592:J592"/>
    <mergeCell ref="K592:L592"/>
    <mergeCell ref="P592:R592"/>
    <mergeCell ref="AD592:AF592"/>
    <mergeCell ref="AG592:AI592"/>
    <mergeCell ref="K594:L594"/>
    <mergeCell ref="P594:R594"/>
    <mergeCell ref="AD594:AF594"/>
    <mergeCell ref="AG594:AI594"/>
    <mergeCell ref="AK592:AO592"/>
    <mergeCell ref="B593:D593"/>
    <mergeCell ref="H593:J593"/>
    <mergeCell ref="K593:L593"/>
    <mergeCell ref="P593:R593"/>
    <mergeCell ref="AD593:AF593"/>
    <mergeCell ref="AK594:AO594"/>
    <mergeCell ref="K590:L590"/>
    <mergeCell ref="P590:R590"/>
    <mergeCell ref="AD590:AF590"/>
    <mergeCell ref="AG590:AI590"/>
    <mergeCell ref="AK588:AO588"/>
    <mergeCell ref="B589:D589"/>
    <mergeCell ref="H589:J589"/>
    <mergeCell ref="K589:L589"/>
    <mergeCell ref="P589:R589"/>
    <mergeCell ref="AD589:AF589"/>
    <mergeCell ref="AK590:AO590"/>
    <mergeCell ref="B591:D591"/>
    <mergeCell ref="H591:J591"/>
    <mergeCell ref="K591:L591"/>
    <mergeCell ref="P591:R591"/>
    <mergeCell ref="AD591:AF591"/>
    <mergeCell ref="AG591:AI591"/>
    <mergeCell ref="AK591:AO591"/>
    <mergeCell ref="B590:D590"/>
    <mergeCell ref="H590:J590"/>
    <mergeCell ref="B587:D587"/>
    <mergeCell ref="H587:J587"/>
    <mergeCell ref="K587:L587"/>
    <mergeCell ref="P587:R587"/>
    <mergeCell ref="AD587:AF587"/>
    <mergeCell ref="AG587:AI587"/>
    <mergeCell ref="AK587:AO587"/>
    <mergeCell ref="B586:D586"/>
    <mergeCell ref="H586:J586"/>
    <mergeCell ref="AG589:AI589"/>
    <mergeCell ref="AK589:AO589"/>
    <mergeCell ref="B588:D588"/>
    <mergeCell ref="H588:J588"/>
    <mergeCell ref="K588:L588"/>
    <mergeCell ref="P588:R588"/>
    <mergeCell ref="AD588:AF588"/>
    <mergeCell ref="AG588:AI588"/>
    <mergeCell ref="AG585:AI585"/>
    <mergeCell ref="AK585:AO585"/>
    <mergeCell ref="B584:D584"/>
    <mergeCell ref="H584:J584"/>
    <mergeCell ref="K584:L584"/>
    <mergeCell ref="P584:R584"/>
    <mergeCell ref="AD584:AF584"/>
    <mergeCell ref="AG584:AI584"/>
    <mergeCell ref="K586:L586"/>
    <mergeCell ref="P586:R586"/>
    <mergeCell ref="AD586:AF586"/>
    <mergeCell ref="AG586:AI586"/>
    <mergeCell ref="AK584:AO584"/>
    <mergeCell ref="B585:D585"/>
    <mergeCell ref="H585:J585"/>
    <mergeCell ref="K585:L585"/>
    <mergeCell ref="P585:R585"/>
    <mergeCell ref="AD585:AF585"/>
    <mergeCell ref="AK586:AO586"/>
    <mergeCell ref="K582:L582"/>
    <mergeCell ref="P582:R582"/>
    <mergeCell ref="AD582:AF582"/>
    <mergeCell ref="AG582:AI582"/>
    <mergeCell ref="AK580:AO580"/>
    <mergeCell ref="B581:D581"/>
    <mergeCell ref="H581:J581"/>
    <mergeCell ref="K581:L581"/>
    <mergeCell ref="P581:R581"/>
    <mergeCell ref="AD581:AF581"/>
    <mergeCell ref="AK582:AO582"/>
    <mergeCell ref="B583:D583"/>
    <mergeCell ref="H583:J583"/>
    <mergeCell ref="K583:L583"/>
    <mergeCell ref="P583:R583"/>
    <mergeCell ref="AD583:AF583"/>
    <mergeCell ref="AG583:AI583"/>
    <mergeCell ref="AK583:AO583"/>
    <mergeCell ref="B582:D582"/>
    <mergeCell ref="H582:J582"/>
    <mergeCell ref="B579:D579"/>
    <mergeCell ref="H579:J579"/>
    <mergeCell ref="K579:L579"/>
    <mergeCell ref="P579:R579"/>
    <mergeCell ref="AD579:AF579"/>
    <mergeCell ref="AG579:AI579"/>
    <mergeCell ref="AK579:AO579"/>
    <mergeCell ref="B578:D578"/>
    <mergeCell ref="H578:J578"/>
    <mergeCell ref="AG581:AI581"/>
    <mergeCell ref="AK581:AO581"/>
    <mergeCell ref="B580:D580"/>
    <mergeCell ref="H580:J580"/>
    <mergeCell ref="K580:L580"/>
    <mergeCell ref="P580:R580"/>
    <mergeCell ref="AD580:AF580"/>
    <mergeCell ref="AG580:AI580"/>
    <mergeCell ref="AG577:AI577"/>
    <mergeCell ref="AK577:AO577"/>
    <mergeCell ref="B576:D576"/>
    <mergeCell ref="H576:J576"/>
    <mergeCell ref="K576:L576"/>
    <mergeCell ref="P576:R576"/>
    <mergeCell ref="AD576:AF576"/>
    <mergeCell ref="AG576:AI576"/>
    <mergeCell ref="K578:L578"/>
    <mergeCell ref="P578:R578"/>
    <mergeCell ref="AD578:AF578"/>
    <mergeCell ref="AG578:AI578"/>
    <mergeCell ref="AK576:AO576"/>
    <mergeCell ref="B577:D577"/>
    <mergeCell ref="H577:J577"/>
    <mergeCell ref="K577:L577"/>
    <mergeCell ref="P577:R577"/>
    <mergeCell ref="AD577:AF577"/>
    <mergeCell ref="AK578:AO578"/>
    <mergeCell ref="K574:L574"/>
    <mergeCell ref="P574:R574"/>
    <mergeCell ref="AD574:AF574"/>
    <mergeCell ref="AG574:AI574"/>
    <mergeCell ref="AK572:AO572"/>
    <mergeCell ref="B573:D573"/>
    <mergeCell ref="H573:J573"/>
    <mergeCell ref="K573:L573"/>
    <mergeCell ref="P573:R573"/>
    <mergeCell ref="AD573:AF573"/>
    <mergeCell ref="AK574:AO574"/>
    <mergeCell ref="B575:D575"/>
    <mergeCell ref="H575:J575"/>
    <mergeCell ref="K575:L575"/>
    <mergeCell ref="P575:R575"/>
    <mergeCell ref="AD575:AF575"/>
    <mergeCell ref="AG575:AI575"/>
    <mergeCell ref="AK575:AO575"/>
    <mergeCell ref="B574:D574"/>
    <mergeCell ref="H574:J574"/>
    <mergeCell ref="B571:D571"/>
    <mergeCell ref="H571:J571"/>
    <mergeCell ref="K571:L571"/>
    <mergeCell ref="P571:R571"/>
    <mergeCell ref="AD571:AF571"/>
    <mergeCell ref="AG571:AI571"/>
    <mergeCell ref="AK571:AO571"/>
    <mergeCell ref="B570:D570"/>
    <mergeCell ref="H570:J570"/>
    <mergeCell ref="AG573:AI573"/>
    <mergeCell ref="AK573:AO573"/>
    <mergeCell ref="B572:D572"/>
    <mergeCell ref="H572:J572"/>
    <mergeCell ref="K572:L572"/>
    <mergeCell ref="P572:R572"/>
    <mergeCell ref="AD572:AF572"/>
    <mergeCell ref="AG572:AI572"/>
    <mergeCell ref="AG569:AI569"/>
    <mergeCell ref="AK569:AO569"/>
    <mergeCell ref="B568:D568"/>
    <mergeCell ref="H568:J568"/>
    <mergeCell ref="K568:L568"/>
    <mergeCell ref="P568:R568"/>
    <mergeCell ref="AD568:AF568"/>
    <mergeCell ref="AG568:AI568"/>
    <mergeCell ref="K570:L570"/>
    <mergeCell ref="P570:R570"/>
    <mergeCell ref="AD570:AF570"/>
    <mergeCell ref="AG570:AI570"/>
    <mergeCell ref="AK568:AO568"/>
    <mergeCell ref="B569:D569"/>
    <mergeCell ref="H569:J569"/>
    <mergeCell ref="K569:L569"/>
    <mergeCell ref="P569:R569"/>
    <mergeCell ref="AD569:AF569"/>
    <mergeCell ref="AK570:AO570"/>
    <mergeCell ref="K566:L566"/>
    <mergeCell ref="P566:R566"/>
    <mergeCell ref="AD566:AF566"/>
    <mergeCell ref="AG566:AI566"/>
    <mergeCell ref="AK564:AO564"/>
    <mergeCell ref="B565:D565"/>
    <mergeCell ref="H565:J565"/>
    <mergeCell ref="K565:L565"/>
    <mergeCell ref="P565:R565"/>
    <mergeCell ref="AD565:AF565"/>
    <mergeCell ref="AK566:AO566"/>
    <mergeCell ref="B567:D567"/>
    <mergeCell ref="H567:J567"/>
    <mergeCell ref="K567:L567"/>
    <mergeCell ref="P567:R567"/>
    <mergeCell ref="AD567:AF567"/>
    <mergeCell ref="AG567:AI567"/>
    <mergeCell ref="AK567:AO567"/>
    <mergeCell ref="B566:D566"/>
    <mergeCell ref="H566:J566"/>
    <mergeCell ref="B563:D563"/>
    <mergeCell ref="H563:J563"/>
    <mergeCell ref="K563:L563"/>
    <mergeCell ref="P563:R563"/>
    <mergeCell ref="AD563:AF563"/>
    <mergeCell ref="AG563:AI563"/>
    <mergeCell ref="AK563:AO563"/>
    <mergeCell ref="B562:D562"/>
    <mergeCell ref="H562:J562"/>
    <mergeCell ref="AG565:AI565"/>
    <mergeCell ref="AK565:AO565"/>
    <mergeCell ref="B564:D564"/>
    <mergeCell ref="H564:J564"/>
    <mergeCell ref="K564:L564"/>
    <mergeCell ref="P564:R564"/>
    <mergeCell ref="AD564:AF564"/>
    <mergeCell ref="AG564:AI564"/>
    <mergeCell ref="AG561:AI561"/>
    <mergeCell ref="AK561:AO561"/>
    <mergeCell ref="B560:D560"/>
    <mergeCell ref="H560:J560"/>
    <mergeCell ref="K560:L560"/>
    <mergeCell ref="P560:R560"/>
    <mergeCell ref="AD560:AF560"/>
    <mergeCell ref="AG560:AI560"/>
    <mergeCell ref="K562:L562"/>
    <mergeCell ref="P562:R562"/>
    <mergeCell ref="AD562:AF562"/>
    <mergeCell ref="AG562:AI562"/>
    <mergeCell ref="AK560:AO560"/>
    <mergeCell ref="B561:D561"/>
    <mergeCell ref="H561:J561"/>
    <mergeCell ref="K561:L561"/>
    <mergeCell ref="P561:R561"/>
    <mergeCell ref="AD561:AF561"/>
    <mergeCell ref="AK562:AO562"/>
    <mergeCell ref="K558:L558"/>
    <mergeCell ref="P558:R558"/>
    <mergeCell ref="AD558:AF558"/>
    <mergeCell ref="AG558:AI558"/>
    <mergeCell ref="AK556:AO556"/>
    <mergeCell ref="B557:D557"/>
    <mergeCell ref="H557:J557"/>
    <mergeCell ref="K557:L557"/>
    <mergeCell ref="P557:R557"/>
    <mergeCell ref="AD557:AF557"/>
    <mergeCell ref="AK558:AO558"/>
    <mergeCell ref="B559:D559"/>
    <mergeCell ref="H559:J559"/>
    <mergeCell ref="K559:L559"/>
    <mergeCell ref="P559:R559"/>
    <mergeCell ref="AD559:AF559"/>
    <mergeCell ref="AG559:AI559"/>
    <mergeCell ref="AK559:AO559"/>
    <mergeCell ref="B558:D558"/>
    <mergeCell ref="H558:J558"/>
    <mergeCell ref="B555:D555"/>
    <mergeCell ref="H555:J555"/>
    <mergeCell ref="K555:L555"/>
    <mergeCell ref="P555:R555"/>
    <mergeCell ref="AD555:AF555"/>
    <mergeCell ref="AG555:AI555"/>
    <mergeCell ref="AK555:AO555"/>
    <mergeCell ref="B554:D554"/>
    <mergeCell ref="H554:J554"/>
    <mergeCell ref="AG557:AI557"/>
    <mergeCell ref="AK557:AO557"/>
    <mergeCell ref="B556:D556"/>
    <mergeCell ref="H556:J556"/>
    <mergeCell ref="K556:L556"/>
    <mergeCell ref="P556:R556"/>
    <mergeCell ref="AD556:AF556"/>
    <mergeCell ref="AG556:AI556"/>
    <mergeCell ref="AG553:AI553"/>
    <mergeCell ref="AK553:AO553"/>
    <mergeCell ref="B552:D552"/>
    <mergeCell ref="H552:J552"/>
    <mergeCell ref="K552:L552"/>
    <mergeCell ref="P552:R552"/>
    <mergeCell ref="AD552:AF552"/>
    <mergeCell ref="AG552:AI552"/>
    <mergeCell ref="K554:L554"/>
    <mergeCell ref="P554:R554"/>
    <mergeCell ref="AD554:AF554"/>
    <mergeCell ref="AG554:AI554"/>
    <mergeCell ref="AK552:AO552"/>
    <mergeCell ref="B553:D553"/>
    <mergeCell ref="H553:J553"/>
    <mergeCell ref="K553:L553"/>
    <mergeCell ref="P553:R553"/>
    <mergeCell ref="AD553:AF553"/>
    <mergeCell ref="AK554:AO554"/>
    <mergeCell ref="K550:L550"/>
    <mergeCell ref="P550:R550"/>
    <mergeCell ref="AD550:AF550"/>
    <mergeCell ref="AG550:AI550"/>
    <mergeCell ref="AK548:AO548"/>
    <mergeCell ref="B549:D549"/>
    <mergeCell ref="H549:J549"/>
    <mergeCell ref="K549:L549"/>
    <mergeCell ref="P549:R549"/>
    <mergeCell ref="AD549:AF549"/>
    <mergeCell ref="AK550:AO550"/>
    <mergeCell ref="B551:D551"/>
    <mergeCell ref="H551:J551"/>
    <mergeCell ref="K551:L551"/>
    <mergeCell ref="P551:R551"/>
    <mergeCell ref="AD551:AF551"/>
    <mergeCell ref="AG551:AI551"/>
    <mergeCell ref="AK551:AO551"/>
    <mergeCell ref="B550:D550"/>
    <mergeCell ref="H550:J550"/>
    <mergeCell ref="B547:D547"/>
    <mergeCell ref="H547:J547"/>
    <mergeCell ref="K547:L547"/>
    <mergeCell ref="P547:R547"/>
    <mergeCell ref="AD547:AF547"/>
    <mergeCell ref="AG547:AI547"/>
    <mergeCell ref="AK547:AO547"/>
    <mergeCell ref="B546:D546"/>
    <mergeCell ref="H546:J546"/>
    <mergeCell ref="AG549:AI549"/>
    <mergeCell ref="AK549:AO549"/>
    <mergeCell ref="B548:D548"/>
    <mergeCell ref="H548:J548"/>
    <mergeCell ref="K548:L548"/>
    <mergeCell ref="P548:R548"/>
    <mergeCell ref="AD548:AF548"/>
    <mergeCell ref="AG548:AI548"/>
    <mergeCell ref="AG545:AI545"/>
    <mergeCell ref="AK545:AO545"/>
    <mergeCell ref="B544:D544"/>
    <mergeCell ref="H544:J544"/>
    <mergeCell ref="K544:L544"/>
    <mergeCell ref="P544:R544"/>
    <mergeCell ref="AD544:AF544"/>
    <mergeCell ref="AG544:AI544"/>
    <mergeCell ref="K546:L546"/>
    <mergeCell ref="P546:R546"/>
    <mergeCell ref="AD546:AF546"/>
    <mergeCell ref="AG546:AI546"/>
    <mergeCell ref="AK544:AO544"/>
    <mergeCell ref="B545:D545"/>
    <mergeCell ref="H545:J545"/>
    <mergeCell ref="K545:L545"/>
    <mergeCell ref="P545:R545"/>
    <mergeCell ref="AD545:AF545"/>
    <mergeCell ref="AK546:AO546"/>
    <mergeCell ref="K542:L542"/>
    <mergeCell ref="P542:R542"/>
    <mergeCell ref="AD542:AF542"/>
    <mergeCell ref="AG542:AI542"/>
    <mergeCell ref="AK540:AO540"/>
    <mergeCell ref="B541:D541"/>
    <mergeCell ref="H541:J541"/>
    <mergeCell ref="K541:L541"/>
    <mergeCell ref="P541:R541"/>
    <mergeCell ref="AD541:AF541"/>
    <mergeCell ref="AK542:AO542"/>
    <mergeCell ref="B543:D543"/>
    <mergeCell ref="H543:J543"/>
    <mergeCell ref="K543:L543"/>
    <mergeCell ref="P543:R543"/>
    <mergeCell ref="AD543:AF543"/>
    <mergeCell ref="AG543:AI543"/>
    <mergeCell ref="AK543:AO543"/>
    <mergeCell ref="B542:D542"/>
    <mergeCell ref="H542:J542"/>
    <mergeCell ref="B539:D539"/>
    <mergeCell ref="H539:J539"/>
    <mergeCell ref="K539:L539"/>
    <mergeCell ref="P539:R539"/>
    <mergeCell ref="AD539:AF539"/>
    <mergeCell ref="AG539:AI539"/>
    <mergeCell ref="AK539:AO539"/>
    <mergeCell ref="B538:D538"/>
    <mergeCell ref="H538:J538"/>
    <mergeCell ref="AG541:AI541"/>
    <mergeCell ref="AK541:AO541"/>
    <mergeCell ref="B540:D540"/>
    <mergeCell ref="H540:J540"/>
    <mergeCell ref="K540:L540"/>
    <mergeCell ref="P540:R540"/>
    <mergeCell ref="AD540:AF540"/>
    <mergeCell ref="AG540:AI540"/>
    <mergeCell ref="AG537:AI537"/>
    <mergeCell ref="AK537:AO537"/>
    <mergeCell ref="B536:D536"/>
    <mergeCell ref="H536:J536"/>
    <mergeCell ref="K536:L536"/>
    <mergeCell ref="P536:R536"/>
    <mergeCell ref="AD536:AF536"/>
    <mergeCell ref="AG536:AI536"/>
    <mergeCell ref="K538:L538"/>
    <mergeCell ref="P538:R538"/>
    <mergeCell ref="AD538:AF538"/>
    <mergeCell ref="AG538:AI538"/>
    <mergeCell ref="AK536:AO536"/>
    <mergeCell ref="B537:D537"/>
    <mergeCell ref="H537:J537"/>
    <mergeCell ref="K537:L537"/>
    <mergeCell ref="P537:R537"/>
    <mergeCell ref="AD537:AF537"/>
    <mergeCell ref="AK538:AO538"/>
    <mergeCell ref="K534:L534"/>
    <mergeCell ref="P534:R534"/>
    <mergeCell ref="AD534:AF534"/>
    <mergeCell ref="AG534:AI534"/>
    <mergeCell ref="AK532:AO532"/>
    <mergeCell ref="B533:D533"/>
    <mergeCell ref="H533:J533"/>
    <mergeCell ref="K533:L533"/>
    <mergeCell ref="P533:R533"/>
    <mergeCell ref="AD533:AF533"/>
    <mergeCell ref="AK534:AO534"/>
    <mergeCell ref="B535:D535"/>
    <mergeCell ref="H535:J535"/>
    <mergeCell ref="K535:L535"/>
    <mergeCell ref="P535:R535"/>
    <mergeCell ref="AD535:AF535"/>
    <mergeCell ref="AG535:AI535"/>
    <mergeCell ref="AK535:AO535"/>
    <mergeCell ref="B534:D534"/>
    <mergeCell ref="H534:J534"/>
    <mergeCell ref="B531:D531"/>
    <mergeCell ref="H531:J531"/>
    <mergeCell ref="K531:L531"/>
    <mergeCell ref="P531:R531"/>
    <mergeCell ref="AD531:AF531"/>
    <mergeCell ref="AG531:AI531"/>
    <mergeCell ref="AK531:AO531"/>
    <mergeCell ref="B530:D530"/>
    <mergeCell ref="H530:J530"/>
    <mergeCell ref="AG533:AI533"/>
    <mergeCell ref="AK533:AO533"/>
    <mergeCell ref="B532:D532"/>
    <mergeCell ref="H532:J532"/>
    <mergeCell ref="K532:L532"/>
    <mergeCell ref="P532:R532"/>
    <mergeCell ref="AD532:AF532"/>
    <mergeCell ref="AG532:AI532"/>
    <mergeCell ref="AG529:AI529"/>
    <mergeCell ref="AK529:AO529"/>
    <mergeCell ref="B528:D528"/>
    <mergeCell ref="H528:J528"/>
    <mergeCell ref="K528:L528"/>
    <mergeCell ref="P528:R528"/>
    <mergeCell ref="AD528:AF528"/>
    <mergeCell ref="AG528:AI528"/>
    <mergeCell ref="K530:L530"/>
    <mergeCell ref="P530:R530"/>
    <mergeCell ref="AD530:AF530"/>
    <mergeCell ref="AG530:AI530"/>
    <mergeCell ref="AK528:AO528"/>
    <mergeCell ref="B529:D529"/>
    <mergeCell ref="H529:J529"/>
    <mergeCell ref="K529:L529"/>
    <mergeCell ref="P529:R529"/>
    <mergeCell ref="AD529:AF529"/>
    <mergeCell ref="AK530:AO530"/>
    <mergeCell ref="K526:L526"/>
    <mergeCell ref="P526:R526"/>
    <mergeCell ref="AD526:AF526"/>
    <mergeCell ref="AG526:AI526"/>
    <mergeCell ref="AK524:AO524"/>
    <mergeCell ref="B525:D525"/>
    <mergeCell ref="H525:J525"/>
    <mergeCell ref="K525:L525"/>
    <mergeCell ref="P525:R525"/>
    <mergeCell ref="AD525:AF525"/>
    <mergeCell ref="AK526:AO526"/>
    <mergeCell ref="B527:D527"/>
    <mergeCell ref="H527:J527"/>
    <mergeCell ref="K527:L527"/>
    <mergeCell ref="P527:R527"/>
    <mergeCell ref="AD527:AF527"/>
    <mergeCell ref="AG527:AI527"/>
    <mergeCell ref="AK527:AO527"/>
    <mergeCell ref="B526:D526"/>
    <mergeCell ref="H526:J526"/>
    <mergeCell ref="B523:D523"/>
    <mergeCell ref="H523:J523"/>
    <mergeCell ref="K523:L523"/>
    <mergeCell ref="P523:R523"/>
    <mergeCell ref="AD523:AF523"/>
    <mergeCell ref="AG523:AI523"/>
    <mergeCell ref="AK523:AO523"/>
    <mergeCell ref="B522:D522"/>
    <mergeCell ref="H522:J522"/>
    <mergeCell ref="AG525:AI525"/>
    <mergeCell ref="AK525:AO525"/>
    <mergeCell ref="B524:D524"/>
    <mergeCell ref="H524:J524"/>
    <mergeCell ref="K524:L524"/>
    <mergeCell ref="P524:R524"/>
    <mergeCell ref="AD524:AF524"/>
    <mergeCell ref="AG524:AI524"/>
    <mergeCell ref="AG521:AI521"/>
    <mergeCell ref="AK521:AO521"/>
    <mergeCell ref="B520:D520"/>
    <mergeCell ref="H520:J520"/>
    <mergeCell ref="K520:L520"/>
    <mergeCell ref="P520:R520"/>
    <mergeCell ref="AD520:AF520"/>
    <mergeCell ref="AG520:AI520"/>
    <mergeCell ref="K522:L522"/>
    <mergeCell ref="P522:R522"/>
    <mergeCell ref="AD522:AF522"/>
    <mergeCell ref="AG522:AI522"/>
    <mergeCell ref="AK520:AO520"/>
    <mergeCell ref="B521:D521"/>
    <mergeCell ref="H521:J521"/>
    <mergeCell ref="K521:L521"/>
    <mergeCell ref="P521:R521"/>
    <mergeCell ref="AD521:AF521"/>
    <mergeCell ref="AK522:AO522"/>
    <mergeCell ref="K518:L518"/>
    <mergeCell ref="P518:R518"/>
    <mergeCell ref="AD518:AF518"/>
    <mergeCell ref="AG518:AI518"/>
    <mergeCell ref="AK516:AO516"/>
    <mergeCell ref="B517:D517"/>
    <mergeCell ref="H517:J517"/>
    <mergeCell ref="K517:L517"/>
    <mergeCell ref="P517:R517"/>
    <mergeCell ref="AD517:AF517"/>
    <mergeCell ref="AK518:AO518"/>
    <mergeCell ref="B519:D519"/>
    <mergeCell ref="H519:J519"/>
    <mergeCell ref="K519:L519"/>
    <mergeCell ref="P519:R519"/>
    <mergeCell ref="AD519:AF519"/>
    <mergeCell ref="AG519:AI519"/>
    <mergeCell ref="AK519:AO519"/>
    <mergeCell ref="B518:D518"/>
    <mergeCell ref="H518:J518"/>
    <mergeCell ref="B515:D515"/>
    <mergeCell ref="H515:J515"/>
    <mergeCell ref="K515:L515"/>
    <mergeCell ref="P515:R515"/>
    <mergeCell ref="AD515:AF515"/>
    <mergeCell ref="AG515:AI515"/>
    <mergeCell ref="AK515:AO515"/>
    <mergeCell ref="B514:D514"/>
    <mergeCell ref="H514:J514"/>
    <mergeCell ref="AG517:AI517"/>
    <mergeCell ref="AK517:AO517"/>
    <mergeCell ref="B516:D516"/>
    <mergeCell ref="H516:J516"/>
    <mergeCell ref="K516:L516"/>
    <mergeCell ref="P516:R516"/>
    <mergeCell ref="AD516:AF516"/>
    <mergeCell ref="AG516:AI516"/>
    <mergeCell ref="AG513:AI513"/>
    <mergeCell ref="AK513:AO513"/>
    <mergeCell ref="B512:D512"/>
    <mergeCell ref="H512:J512"/>
    <mergeCell ref="K512:L512"/>
    <mergeCell ref="P512:R512"/>
    <mergeCell ref="AD512:AF512"/>
    <mergeCell ref="AG512:AI512"/>
    <mergeCell ref="K514:L514"/>
    <mergeCell ref="P514:R514"/>
    <mergeCell ref="AD514:AF514"/>
    <mergeCell ref="AG514:AI514"/>
    <mergeCell ref="AK512:AO512"/>
    <mergeCell ref="B513:D513"/>
    <mergeCell ref="H513:J513"/>
    <mergeCell ref="K513:L513"/>
    <mergeCell ref="P513:R513"/>
    <mergeCell ref="AD513:AF513"/>
    <mergeCell ref="AK514:AO514"/>
    <mergeCell ref="K510:L510"/>
    <mergeCell ref="P510:R510"/>
    <mergeCell ref="AD510:AF510"/>
    <mergeCell ref="AG510:AI510"/>
    <mergeCell ref="AK508:AO508"/>
    <mergeCell ref="B509:D509"/>
    <mergeCell ref="H509:J509"/>
    <mergeCell ref="K509:L509"/>
    <mergeCell ref="P509:R509"/>
    <mergeCell ref="AD509:AF509"/>
    <mergeCell ref="AK510:AO510"/>
    <mergeCell ref="B511:D511"/>
    <mergeCell ref="H511:J511"/>
    <mergeCell ref="K511:L511"/>
    <mergeCell ref="P511:R511"/>
    <mergeCell ref="AD511:AF511"/>
    <mergeCell ref="AG511:AI511"/>
    <mergeCell ref="AK511:AO511"/>
    <mergeCell ref="B510:D510"/>
    <mergeCell ref="H510:J510"/>
    <mergeCell ref="B507:D507"/>
    <mergeCell ref="H507:J507"/>
    <mergeCell ref="K507:L507"/>
    <mergeCell ref="P507:R507"/>
    <mergeCell ref="AD507:AF507"/>
    <mergeCell ref="AG507:AI507"/>
    <mergeCell ref="AK507:AO507"/>
    <mergeCell ref="B506:D506"/>
    <mergeCell ref="H506:J506"/>
    <mergeCell ref="AG509:AI509"/>
    <mergeCell ref="AK509:AO509"/>
    <mergeCell ref="B508:D508"/>
    <mergeCell ref="H508:J508"/>
    <mergeCell ref="K508:L508"/>
    <mergeCell ref="P508:R508"/>
    <mergeCell ref="AD508:AF508"/>
    <mergeCell ref="AG508:AI508"/>
    <mergeCell ref="AG505:AI505"/>
    <mergeCell ref="AK505:AO505"/>
    <mergeCell ref="B504:D504"/>
    <mergeCell ref="H504:J504"/>
    <mergeCell ref="K504:L504"/>
    <mergeCell ref="P504:R504"/>
    <mergeCell ref="AD504:AF504"/>
    <mergeCell ref="AG504:AI504"/>
    <mergeCell ref="K506:L506"/>
    <mergeCell ref="P506:R506"/>
    <mergeCell ref="AD506:AF506"/>
    <mergeCell ref="AG506:AI506"/>
    <mergeCell ref="AK504:AO504"/>
    <mergeCell ref="B505:D505"/>
    <mergeCell ref="H505:J505"/>
    <mergeCell ref="K505:L505"/>
    <mergeCell ref="P505:R505"/>
    <mergeCell ref="AD505:AF505"/>
    <mergeCell ref="AK506:AO506"/>
    <mergeCell ref="K502:L502"/>
    <mergeCell ref="P502:R502"/>
    <mergeCell ref="AD502:AF502"/>
    <mergeCell ref="AG502:AI502"/>
    <mergeCell ref="AK500:AO500"/>
    <mergeCell ref="B501:D501"/>
    <mergeCell ref="H501:J501"/>
    <mergeCell ref="K501:L501"/>
    <mergeCell ref="P501:R501"/>
    <mergeCell ref="AD501:AF501"/>
    <mergeCell ref="AK502:AO502"/>
    <mergeCell ref="B503:D503"/>
    <mergeCell ref="H503:J503"/>
    <mergeCell ref="K503:L503"/>
    <mergeCell ref="P503:R503"/>
    <mergeCell ref="AD503:AF503"/>
    <mergeCell ref="AG503:AI503"/>
    <mergeCell ref="AK503:AO503"/>
    <mergeCell ref="B502:D502"/>
    <mergeCell ref="H502:J502"/>
    <mergeCell ref="B499:D499"/>
    <mergeCell ref="H499:J499"/>
    <mergeCell ref="K499:L499"/>
    <mergeCell ref="P499:R499"/>
    <mergeCell ref="AD499:AF499"/>
    <mergeCell ref="AG499:AI499"/>
    <mergeCell ref="AK499:AO499"/>
    <mergeCell ref="B498:D498"/>
    <mergeCell ref="H498:J498"/>
    <mergeCell ref="AG501:AI501"/>
    <mergeCell ref="AK501:AO501"/>
    <mergeCell ref="B500:D500"/>
    <mergeCell ref="H500:J500"/>
    <mergeCell ref="K500:L500"/>
    <mergeCell ref="P500:R500"/>
    <mergeCell ref="AD500:AF500"/>
    <mergeCell ref="AG500:AI500"/>
    <mergeCell ref="AG497:AI497"/>
    <mergeCell ref="AK497:AO497"/>
    <mergeCell ref="B496:D496"/>
    <mergeCell ref="H496:J496"/>
    <mergeCell ref="K496:L496"/>
    <mergeCell ref="P496:R496"/>
    <mergeCell ref="AD496:AF496"/>
    <mergeCell ref="AG496:AI496"/>
    <mergeCell ref="K498:L498"/>
    <mergeCell ref="P498:R498"/>
    <mergeCell ref="AD498:AF498"/>
    <mergeCell ref="AG498:AI498"/>
    <mergeCell ref="AK496:AO496"/>
    <mergeCell ref="B497:D497"/>
    <mergeCell ref="H497:J497"/>
    <mergeCell ref="K497:L497"/>
    <mergeCell ref="P497:R497"/>
    <mergeCell ref="AD497:AF497"/>
    <mergeCell ref="AK498:AO498"/>
    <mergeCell ref="K494:L494"/>
    <mergeCell ref="P494:R494"/>
    <mergeCell ref="AD494:AF494"/>
    <mergeCell ref="AG494:AI494"/>
    <mergeCell ref="AK492:AO492"/>
    <mergeCell ref="B493:D493"/>
    <mergeCell ref="H493:J493"/>
    <mergeCell ref="K493:L493"/>
    <mergeCell ref="P493:R493"/>
    <mergeCell ref="AD493:AF493"/>
    <mergeCell ref="AK494:AO494"/>
    <mergeCell ref="B495:D495"/>
    <mergeCell ref="H495:J495"/>
    <mergeCell ref="K495:L495"/>
    <mergeCell ref="P495:R495"/>
    <mergeCell ref="AD495:AF495"/>
    <mergeCell ref="AG495:AI495"/>
    <mergeCell ref="AK495:AO495"/>
    <mergeCell ref="B494:D494"/>
    <mergeCell ref="H494:J494"/>
    <mergeCell ref="B491:D491"/>
    <mergeCell ref="H491:J491"/>
    <mergeCell ref="K491:L491"/>
    <mergeCell ref="P491:R491"/>
    <mergeCell ref="AD491:AF491"/>
    <mergeCell ref="AG491:AI491"/>
    <mergeCell ref="AK491:AO491"/>
    <mergeCell ref="B490:D490"/>
    <mergeCell ref="H490:J490"/>
    <mergeCell ref="AG493:AI493"/>
    <mergeCell ref="AK493:AO493"/>
    <mergeCell ref="B492:D492"/>
    <mergeCell ref="H492:J492"/>
    <mergeCell ref="K492:L492"/>
    <mergeCell ref="P492:R492"/>
    <mergeCell ref="AD492:AF492"/>
    <mergeCell ref="AG492:AI492"/>
    <mergeCell ref="AG489:AI489"/>
    <mergeCell ref="AK489:AO489"/>
    <mergeCell ref="B488:D488"/>
    <mergeCell ref="H488:J488"/>
    <mergeCell ref="K488:L488"/>
    <mergeCell ref="P488:R488"/>
    <mergeCell ref="AD488:AF488"/>
    <mergeCell ref="AG488:AI488"/>
    <mergeCell ref="K490:L490"/>
    <mergeCell ref="P490:R490"/>
    <mergeCell ref="AD490:AF490"/>
    <mergeCell ref="AG490:AI490"/>
    <mergeCell ref="AK488:AO488"/>
    <mergeCell ref="B489:D489"/>
    <mergeCell ref="H489:J489"/>
    <mergeCell ref="K489:L489"/>
    <mergeCell ref="P489:R489"/>
    <mergeCell ref="AD489:AF489"/>
    <mergeCell ref="AK490:AO490"/>
    <mergeCell ref="K486:L486"/>
    <mergeCell ref="P486:R486"/>
    <mergeCell ref="AD486:AF486"/>
    <mergeCell ref="AG486:AI486"/>
    <mergeCell ref="AK484:AO484"/>
    <mergeCell ref="B485:D485"/>
    <mergeCell ref="H485:J485"/>
    <mergeCell ref="K485:L485"/>
    <mergeCell ref="P485:R485"/>
    <mergeCell ref="AD485:AF485"/>
    <mergeCell ref="AK486:AO486"/>
    <mergeCell ref="B487:D487"/>
    <mergeCell ref="H487:J487"/>
    <mergeCell ref="K487:L487"/>
    <mergeCell ref="P487:R487"/>
    <mergeCell ref="AD487:AF487"/>
    <mergeCell ref="AG487:AI487"/>
    <mergeCell ref="AK487:AO487"/>
    <mergeCell ref="B486:D486"/>
    <mergeCell ref="H486:J486"/>
    <mergeCell ref="B483:D483"/>
    <mergeCell ref="H483:J483"/>
    <mergeCell ref="K483:L483"/>
    <mergeCell ref="P483:R483"/>
    <mergeCell ref="AD483:AF483"/>
    <mergeCell ref="AG483:AI483"/>
    <mergeCell ref="AK483:AO483"/>
    <mergeCell ref="B482:D482"/>
    <mergeCell ref="H482:J482"/>
    <mergeCell ref="AG485:AI485"/>
    <mergeCell ref="AK485:AO485"/>
    <mergeCell ref="B484:D484"/>
    <mergeCell ref="H484:J484"/>
    <mergeCell ref="K484:L484"/>
    <mergeCell ref="P484:R484"/>
    <mergeCell ref="AD484:AF484"/>
    <mergeCell ref="AG484:AI484"/>
    <mergeCell ref="AG481:AI481"/>
    <mergeCell ref="AK481:AO481"/>
    <mergeCell ref="B480:D480"/>
    <mergeCell ref="H480:J480"/>
    <mergeCell ref="K480:L480"/>
    <mergeCell ref="P480:R480"/>
    <mergeCell ref="AD480:AF480"/>
    <mergeCell ref="AG480:AI480"/>
    <mergeCell ref="K482:L482"/>
    <mergeCell ref="P482:R482"/>
    <mergeCell ref="AD482:AF482"/>
    <mergeCell ref="AG482:AI482"/>
    <mergeCell ref="AK480:AO480"/>
    <mergeCell ref="B481:D481"/>
    <mergeCell ref="H481:J481"/>
    <mergeCell ref="K481:L481"/>
    <mergeCell ref="P481:R481"/>
    <mergeCell ref="AD481:AF481"/>
    <mergeCell ref="AK482:AO482"/>
    <mergeCell ref="K478:L478"/>
    <mergeCell ref="P478:R478"/>
    <mergeCell ref="AD478:AF478"/>
    <mergeCell ref="AG478:AI478"/>
    <mergeCell ref="AK476:AO476"/>
    <mergeCell ref="B477:D477"/>
    <mergeCell ref="H477:J477"/>
    <mergeCell ref="K477:L477"/>
    <mergeCell ref="P477:R477"/>
    <mergeCell ref="AD477:AF477"/>
    <mergeCell ref="AK478:AO478"/>
    <mergeCell ref="B479:D479"/>
    <mergeCell ref="H479:J479"/>
    <mergeCell ref="K479:L479"/>
    <mergeCell ref="P479:R479"/>
    <mergeCell ref="AD479:AF479"/>
    <mergeCell ref="AG479:AI479"/>
    <mergeCell ref="AK479:AO479"/>
    <mergeCell ref="B478:D478"/>
    <mergeCell ref="H478:J478"/>
    <mergeCell ref="B475:D475"/>
    <mergeCell ref="H475:J475"/>
    <mergeCell ref="K475:L475"/>
    <mergeCell ref="P475:R475"/>
    <mergeCell ref="AD475:AF475"/>
    <mergeCell ref="AG475:AI475"/>
    <mergeCell ref="AK475:AO475"/>
    <mergeCell ref="B474:D474"/>
    <mergeCell ref="H474:J474"/>
    <mergeCell ref="AG477:AI477"/>
    <mergeCell ref="AK477:AO477"/>
    <mergeCell ref="B476:D476"/>
    <mergeCell ref="H476:J476"/>
    <mergeCell ref="K476:L476"/>
    <mergeCell ref="P476:R476"/>
    <mergeCell ref="AD476:AF476"/>
    <mergeCell ref="AG476:AI476"/>
    <mergeCell ref="AG473:AI473"/>
    <mergeCell ref="AK473:AO473"/>
    <mergeCell ref="B472:D472"/>
    <mergeCell ref="H472:J472"/>
    <mergeCell ref="K472:L472"/>
    <mergeCell ref="P472:R472"/>
    <mergeCell ref="AD472:AF472"/>
    <mergeCell ref="AG472:AI472"/>
    <mergeCell ref="K474:L474"/>
    <mergeCell ref="P474:R474"/>
    <mergeCell ref="AD474:AF474"/>
    <mergeCell ref="AG474:AI474"/>
    <mergeCell ref="AK472:AO472"/>
    <mergeCell ref="B473:D473"/>
    <mergeCell ref="H473:J473"/>
    <mergeCell ref="K473:L473"/>
    <mergeCell ref="P473:R473"/>
    <mergeCell ref="AD473:AF473"/>
    <mergeCell ref="AK474:AO474"/>
    <mergeCell ref="K470:L470"/>
    <mergeCell ref="P470:R470"/>
    <mergeCell ref="AD470:AF470"/>
    <mergeCell ref="AG470:AI470"/>
    <mergeCell ref="AK468:AO468"/>
    <mergeCell ref="B469:D469"/>
    <mergeCell ref="H469:J469"/>
    <mergeCell ref="K469:L469"/>
    <mergeCell ref="P469:R469"/>
    <mergeCell ref="AD469:AF469"/>
    <mergeCell ref="AK470:AO470"/>
    <mergeCell ref="B471:D471"/>
    <mergeCell ref="H471:J471"/>
    <mergeCell ref="K471:L471"/>
    <mergeCell ref="P471:R471"/>
    <mergeCell ref="AD471:AF471"/>
    <mergeCell ref="AG471:AI471"/>
    <mergeCell ref="AK471:AO471"/>
    <mergeCell ref="B470:D470"/>
    <mergeCell ref="H470:J470"/>
    <mergeCell ref="B467:D467"/>
    <mergeCell ref="H467:J467"/>
    <mergeCell ref="K467:L467"/>
    <mergeCell ref="P467:R467"/>
    <mergeCell ref="AD467:AF467"/>
    <mergeCell ref="AG467:AI467"/>
    <mergeCell ref="AK467:AO467"/>
    <mergeCell ref="B466:D466"/>
    <mergeCell ref="H466:J466"/>
    <mergeCell ref="AG469:AI469"/>
    <mergeCell ref="AK469:AO469"/>
    <mergeCell ref="B468:D468"/>
    <mergeCell ref="H468:J468"/>
    <mergeCell ref="K468:L468"/>
    <mergeCell ref="P468:R468"/>
    <mergeCell ref="AD468:AF468"/>
    <mergeCell ref="AG468:AI468"/>
    <mergeCell ref="AG465:AI465"/>
    <mergeCell ref="AK465:AO465"/>
    <mergeCell ref="B464:D464"/>
    <mergeCell ref="H464:J464"/>
    <mergeCell ref="K464:L464"/>
    <mergeCell ref="P464:R464"/>
    <mergeCell ref="AD464:AF464"/>
    <mergeCell ref="AG464:AI464"/>
    <mergeCell ref="K466:L466"/>
    <mergeCell ref="P466:R466"/>
    <mergeCell ref="AD466:AF466"/>
    <mergeCell ref="AG466:AI466"/>
    <mergeCell ref="AK464:AO464"/>
    <mergeCell ref="B465:D465"/>
    <mergeCell ref="H465:J465"/>
    <mergeCell ref="K465:L465"/>
    <mergeCell ref="P465:R465"/>
    <mergeCell ref="AD465:AF465"/>
    <mergeCell ref="AK466:AO466"/>
    <mergeCell ref="K462:L462"/>
    <mergeCell ref="P462:R462"/>
    <mergeCell ref="AD462:AF462"/>
    <mergeCell ref="AG462:AI462"/>
    <mergeCell ref="AK460:AO460"/>
    <mergeCell ref="B461:D461"/>
    <mergeCell ref="H461:J461"/>
    <mergeCell ref="K461:L461"/>
    <mergeCell ref="P461:R461"/>
    <mergeCell ref="AD461:AF461"/>
    <mergeCell ref="AK462:AO462"/>
    <mergeCell ref="B463:D463"/>
    <mergeCell ref="H463:J463"/>
    <mergeCell ref="K463:L463"/>
    <mergeCell ref="P463:R463"/>
    <mergeCell ref="AD463:AF463"/>
    <mergeCell ref="AG463:AI463"/>
    <mergeCell ref="AK463:AO463"/>
    <mergeCell ref="B462:D462"/>
    <mergeCell ref="H462:J462"/>
    <mergeCell ref="B459:D459"/>
    <mergeCell ref="H459:J459"/>
    <mergeCell ref="K459:L459"/>
    <mergeCell ref="P459:R459"/>
    <mergeCell ref="AD459:AF459"/>
    <mergeCell ref="AG459:AI459"/>
    <mergeCell ref="AK459:AO459"/>
    <mergeCell ref="B458:D458"/>
    <mergeCell ref="H458:J458"/>
    <mergeCell ref="AG461:AI461"/>
    <mergeCell ref="AK461:AO461"/>
    <mergeCell ref="B460:D460"/>
    <mergeCell ref="H460:J460"/>
    <mergeCell ref="K460:L460"/>
    <mergeCell ref="P460:R460"/>
    <mergeCell ref="AD460:AF460"/>
    <mergeCell ref="AG460:AI460"/>
    <mergeCell ref="AG457:AI457"/>
    <mergeCell ref="AK457:AO457"/>
    <mergeCell ref="B456:D456"/>
    <mergeCell ref="H456:J456"/>
    <mergeCell ref="K456:L456"/>
    <mergeCell ref="P456:R456"/>
    <mergeCell ref="AD456:AF456"/>
    <mergeCell ref="AG456:AI456"/>
    <mergeCell ref="K458:L458"/>
    <mergeCell ref="P458:R458"/>
    <mergeCell ref="AD458:AF458"/>
    <mergeCell ref="AG458:AI458"/>
    <mergeCell ref="AK456:AO456"/>
    <mergeCell ref="B457:D457"/>
    <mergeCell ref="H457:J457"/>
    <mergeCell ref="K457:L457"/>
    <mergeCell ref="P457:R457"/>
    <mergeCell ref="AD457:AF457"/>
    <mergeCell ref="AK458:AO458"/>
    <mergeCell ref="K454:L454"/>
    <mergeCell ref="P454:R454"/>
    <mergeCell ref="AD454:AF454"/>
    <mergeCell ref="AG454:AI454"/>
    <mergeCell ref="AK452:AO452"/>
    <mergeCell ref="B453:D453"/>
    <mergeCell ref="H453:J453"/>
    <mergeCell ref="K453:L453"/>
    <mergeCell ref="P453:R453"/>
    <mergeCell ref="AD453:AF453"/>
    <mergeCell ref="AK454:AO454"/>
    <mergeCell ref="B455:D455"/>
    <mergeCell ref="H455:J455"/>
    <mergeCell ref="K455:L455"/>
    <mergeCell ref="P455:R455"/>
    <mergeCell ref="AD455:AF455"/>
    <mergeCell ref="AG455:AI455"/>
    <mergeCell ref="AK455:AO455"/>
    <mergeCell ref="B454:D454"/>
    <mergeCell ref="H454:J454"/>
    <mergeCell ref="B451:D451"/>
    <mergeCell ref="H451:J451"/>
    <mergeCell ref="K451:L451"/>
    <mergeCell ref="P451:R451"/>
    <mergeCell ref="AD451:AF451"/>
    <mergeCell ref="AG451:AI451"/>
    <mergeCell ref="AK451:AO451"/>
    <mergeCell ref="B450:D450"/>
    <mergeCell ref="H450:J450"/>
    <mergeCell ref="AG453:AI453"/>
    <mergeCell ref="AK453:AO453"/>
    <mergeCell ref="B452:D452"/>
    <mergeCell ref="H452:J452"/>
    <mergeCell ref="K452:L452"/>
    <mergeCell ref="P452:R452"/>
    <mergeCell ref="AD452:AF452"/>
    <mergeCell ref="AG452:AI452"/>
    <mergeCell ref="AG449:AI449"/>
    <mergeCell ref="AK449:AO449"/>
    <mergeCell ref="B448:D448"/>
    <mergeCell ref="H448:J448"/>
    <mergeCell ref="K448:L448"/>
    <mergeCell ref="P448:R448"/>
    <mergeCell ref="AD448:AF448"/>
    <mergeCell ref="AG448:AI448"/>
    <mergeCell ref="K450:L450"/>
    <mergeCell ref="P450:R450"/>
    <mergeCell ref="AD450:AF450"/>
    <mergeCell ref="AG450:AI450"/>
    <mergeCell ref="AK448:AO448"/>
    <mergeCell ref="B449:D449"/>
    <mergeCell ref="H449:J449"/>
    <mergeCell ref="K449:L449"/>
    <mergeCell ref="P449:R449"/>
    <mergeCell ref="AD449:AF449"/>
    <mergeCell ref="AK450:AO450"/>
    <mergeCell ref="K446:L446"/>
    <mergeCell ref="P446:R446"/>
    <mergeCell ref="AD446:AF446"/>
    <mergeCell ref="AG446:AI446"/>
    <mergeCell ref="AK444:AO444"/>
    <mergeCell ref="B445:D445"/>
    <mergeCell ref="H445:J445"/>
    <mergeCell ref="K445:L445"/>
    <mergeCell ref="P445:R445"/>
    <mergeCell ref="AD445:AF445"/>
    <mergeCell ref="AK446:AO446"/>
    <mergeCell ref="B447:D447"/>
    <mergeCell ref="H447:J447"/>
    <mergeCell ref="K447:L447"/>
    <mergeCell ref="P447:R447"/>
    <mergeCell ref="AD447:AF447"/>
    <mergeCell ref="AG447:AI447"/>
    <mergeCell ref="AK447:AO447"/>
    <mergeCell ref="B446:D446"/>
    <mergeCell ref="H446:J446"/>
    <mergeCell ref="B443:D443"/>
    <mergeCell ref="H443:J443"/>
    <mergeCell ref="K443:L443"/>
    <mergeCell ref="P443:R443"/>
    <mergeCell ref="AD443:AF443"/>
    <mergeCell ref="AG443:AI443"/>
    <mergeCell ref="AK443:AO443"/>
    <mergeCell ref="B442:D442"/>
    <mergeCell ref="H442:J442"/>
    <mergeCell ref="AG445:AI445"/>
    <mergeCell ref="AK445:AO445"/>
    <mergeCell ref="B444:D444"/>
    <mergeCell ref="H444:J444"/>
    <mergeCell ref="K444:L444"/>
    <mergeCell ref="P444:R444"/>
    <mergeCell ref="AD444:AF444"/>
    <mergeCell ref="AG444:AI444"/>
    <mergeCell ref="AG441:AI441"/>
    <mergeCell ref="AK441:AO441"/>
    <mergeCell ref="B440:D440"/>
    <mergeCell ref="H440:J440"/>
    <mergeCell ref="K440:L440"/>
    <mergeCell ref="P440:R440"/>
    <mergeCell ref="AD440:AF440"/>
    <mergeCell ref="AG440:AI440"/>
    <mergeCell ref="K442:L442"/>
    <mergeCell ref="P442:R442"/>
    <mergeCell ref="AD442:AF442"/>
    <mergeCell ref="AG442:AI442"/>
    <mergeCell ref="AK440:AO440"/>
    <mergeCell ref="B441:D441"/>
    <mergeCell ref="H441:J441"/>
    <mergeCell ref="K441:L441"/>
    <mergeCell ref="P441:R441"/>
    <mergeCell ref="AD441:AF441"/>
    <mergeCell ref="AK442:AO442"/>
    <mergeCell ref="K438:L438"/>
    <mergeCell ref="P438:R438"/>
    <mergeCell ref="AD438:AF438"/>
    <mergeCell ref="AG438:AI438"/>
    <mergeCell ref="AK436:AO436"/>
    <mergeCell ref="B437:D437"/>
    <mergeCell ref="H437:J437"/>
    <mergeCell ref="K437:L437"/>
    <mergeCell ref="P437:R437"/>
    <mergeCell ref="AD437:AF437"/>
    <mergeCell ref="AK438:AO438"/>
    <mergeCell ref="B439:D439"/>
    <mergeCell ref="H439:J439"/>
    <mergeCell ref="K439:L439"/>
    <mergeCell ref="P439:R439"/>
    <mergeCell ref="AD439:AF439"/>
    <mergeCell ref="AG439:AI439"/>
    <mergeCell ref="AK439:AO439"/>
    <mergeCell ref="B438:D438"/>
    <mergeCell ref="H438:J438"/>
    <mergeCell ref="B435:D435"/>
    <mergeCell ref="H435:J435"/>
    <mergeCell ref="K435:L435"/>
    <mergeCell ref="P435:R435"/>
    <mergeCell ref="AD435:AF435"/>
    <mergeCell ref="AG435:AI435"/>
    <mergeCell ref="AK435:AO435"/>
    <mergeCell ref="B434:D434"/>
    <mergeCell ref="H434:J434"/>
    <mergeCell ref="AG437:AI437"/>
    <mergeCell ref="AK437:AO437"/>
    <mergeCell ref="B436:D436"/>
    <mergeCell ref="H436:J436"/>
    <mergeCell ref="K436:L436"/>
    <mergeCell ref="P436:R436"/>
    <mergeCell ref="AD436:AF436"/>
    <mergeCell ref="AG436:AI436"/>
    <mergeCell ref="AG433:AI433"/>
    <mergeCell ref="AK433:AO433"/>
    <mergeCell ref="B432:D432"/>
    <mergeCell ref="H432:J432"/>
    <mergeCell ref="K432:L432"/>
    <mergeCell ref="P432:R432"/>
    <mergeCell ref="AD432:AF432"/>
    <mergeCell ref="AG432:AI432"/>
    <mergeCell ref="K434:L434"/>
    <mergeCell ref="P434:R434"/>
    <mergeCell ref="AD434:AF434"/>
    <mergeCell ref="AG434:AI434"/>
    <mergeCell ref="AK432:AO432"/>
    <mergeCell ref="B433:D433"/>
    <mergeCell ref="H433:J433"/>
    <mergeCell ref="K433:L433"/>
    <mergeCell ref="P433:R433"/>
    <mergeCell ref="AD433:AF433"/>
    <mergeCell ref="AK434:AO434"/>
    <mergeCell ref="K430:L430"/>
    <mergeCell ref="P430:R430"/>
    <mergeCell ref="AD430:AF430"/>
    <mergeCell ref="AG430:AI430"/>
    <mergeCell ref="AK428:AO428"/>
    <mergeCell ref="B429:D429"/>
    <mergeCell ref="H429:J429"/>
    <mergeCell ref="K429:L429"/>
    <mergeCell ref="P429:R429"/>
    <mergeCell ref="AD429:AF429"/>
    <mergeCell ref="AK430:AO430"/>
    <mergeCell ref="B431:D431"/>
    <mergeCell ref="H431:J431"/>
    <mergeCell ref="K431:L431"/>
    <mergeCell ref="P431:R431"/>
    <mergeCell ref="AD431:AF431"/>
    <mergeCell ref="AG431:AI431"/>
    <mergeCell ref="AK431:AO431"/>
    <mergeCell ref="B430:D430"/>
    <mergeCell ref="H430:J430"/>
    <mergeCell ref="B427:D427"/>
    <mergeCell ref="H427:J427"/>
    <mergeCell ref="K427:L427"/>
    <mergeCell ref="P427:R427"/>
    <mergeCell ref="AD427:AF427"/>
    <mergeCell ref="AG427:AI427"/>
    <mergeCell ref="AK427:AO427"/>
    <mergeCell ref="B426:D426"/>
    <mergeCell ref="H426:J426"/>
    <mergeCell ref="AG429:AI429"/>
    <mergeCell ref="AK429:AO429"/>
    <mergeCell ref="B428:D428"/>
    <mergeCell ref="H428:J428"/>
    <mergeCell ref="K428:L428"/>
    <mergeCell ref="P428:R428"/>
    <mergeCell ref="AD428:AF428"/>
    <mergeCell ref="AG428:AI428"/>
    <mergeCell ref="AG425:AI425"/>
    <mergeCell ref="AK425:AO425"/>
    <mergeCell ref="B424:D424"/>
    <mergeCell ref="H424:J424"/>
    <mergeCell ref="K424:L424"/>
    <mergeCell ref="P424:R424"/>
    <mergeCell ref="AD424:AF424"/>
    <mergeCell ref="AG424:AI424"/>
    <mergeCell ref="K426:L426"/>
    <mergeCell ref="P426:R426"/>
    <mergeCell ref="AD426:AF426"/>
    <mergeCell ref="AG426:AI426"/>
    <mergeCell ref="AK424:AO424"/>
    <mergeCell ref="B425:D425"/>
    <mergeCell ref="H425:J425"/>
    <mergeCell ref="K425:L425"/>
    <mergeCell ref="P425:R425"/>
    <mergeCell ref="AD425:AF425"/>
    <mergeCell ref="AK426:AO426"/>
    <mergeCell ref="K422:L422"/>
    <mergeCell ref="P422:R422"/>
    <mergeCell ref="AD422:AF422"/>
    <mergeCell ref="AG422:AI422"/>
    <mergeCell ref="AK420:AO420"/>
    <mergeCell ref="B421:D421"/>
    <mergeCell ref="H421:J421"/>
    <mergeCell ref="K421:L421"/>
    <mergeCell ref="P421:R421"/>
    <mergeCell ref="AD421:AF421"/>
    <mergeCell ref="AK422:AO422"/>
    <mergeCell ref="B423:D423"/>
    <mergeCell ref="H423:J423"/>
    <mergeCell ref="K423:L423"/>
    <mergeCell ref="P423:R423"/>
    <mergeCell ref="AD423:AF423"/>
    <mergeCell ref="AG423:AI423"/>
    <mergeCell ref="AK423:AO423"/>
    <mergeCell ref="B422:D422"/>
    <mergeCell ref="H422:J422"/>
    <mergeCell ref="B419:D419"/>
    <mergeCell ref="H419:J419"/>
    <mergeCell ref="K419:L419"/>
    <mergeCell ref="P419:R419"/>
    <mergeCell ref="AD419:AF419"/>
    <mergeCell ref="AG419:AI419"/>
    <mergeCell ref="AK419:AO419"/>
    <mergeCell ref="B418:D418"/>
    <mergeCell ref="H418:J418"/>
    <mergeCell ref="AG421:AI421"/>
    <mergeCell ref="AK421:AO421"/>
    <mergeCell ref="B420:D420"/>
    <mergeCell ref="H420:J420"/>
    <mergeCell ref="K420:L420"/>
    <mergeCell ref="P420:R420"/>
    <mergeCell ref="AD420:AF420"/>
    <mergeCell ref="AG420:AI420"/>
    <mergeCell ref="AG417:AI417"/>
    <mergeCell ref="AK417:AO417"/>
    <mergeCell ref="B416:D416"/>
    <mergeCell ref="H416:J416"/>
    <mergeCell ref="K416:L416"/>
    <mergeCell ref="P416:R416"/>
    <mergeCell ref="AD416:AF416"/>
    <mergeCell ref="AG416:AI416"/>
    <mergeCell ref="K418:L418"/>
    <mergeCell ref="P418:R418"/>
    <mergeCell ref="AD418:AF418"/>
    <mergeCell ref="AG418:AI418"/>
    <mergeCell ref="AK416:AO416"/>
    <mergeCell ref="B417:D417"/>
    <mergeCell ref="H417:J417"/>
    <mergeCell ref="K417:L417"/>
    <mergeCell ref="P417:R417"/>
    <mergeCell ref="AD417:AF417"/>
    <mergeCell ref="AK418:AO418"/>
    <mergeCell ref="K414:L414"/>
    <mergeCell ref="P414:R414"/>
    <mergeCell ref="AD414:AF414"/>
    <mergeCell ref="AG414:AI414"/>
    <mergeCell ref="AK412:AO412"/>
    <mergeCell ref="B413:D413"/>
    <mergeCell ref="H413:J413"/>
    <mergeCell ref="K413:L413"/>
    <mergeCell ref="P413:R413"/>
    <mergeCell ref="AD413:AF413"/>
    <mergeCell ref="AK414:AO414"/>
    <mergeCell ref="B415:D415"/>
    <mergeCell ref="H415:J415"/>
    <mergeCell ref="K415:L415"/>
    <mergeCell ref="P415:R415"/>
    <mergeCell ref="AD415:AF415"/>
    <mergeCell ref="AG415:AI415"/>
    <mergeCell ref="AK415:AO415"/>
    <mergeCell ref="B414:D414"/>
    <mergeCell ref="H414:J414"/>
    <mergeCell ref="B411:D411"/>
    <mergeCell ref="H411:J411"/>
    <mergeCell ref="K411:L411"/>
    <mergeCell ref="P411:R411"/>
    <mergeCell ref="AD411:AF411"/>
    <mergeCell ref="AG411:AI411"/>
    <mergeCell ref="AK411:AO411"/>
    <mergeCell ref="B410:D410"/>
    <mergeCell ref="H410:J410"/>
    <mergeCell ref="AG413:AI413"/>
    <mergeCell ref="AK413:AO413"/>
    <mergeCell ref="B412:D412"/>
    <mergeCell ref="H412:J412"/>
    <mergeCell ref="K412:L412"/>
    <mergeCell ref="P412:R412"/>
    <mergeCell ref="AD412:AF412"/>
    <mergeCell ref="AG412:AI412"/>
    <mergeCell ref="AG409:AI409"/>
    <mergeCell ref="AK409:AO409"/>
    <mergeCell ref="B408:D408"/>
    <mergeCell ref="H408:J408"/>
    <mergeCell ref="K408:L408"/>
    <mergeCell ref="P408:R408"/>
    <mergeCell ref="AD408:AF408"/>
    <mergeCell ref="AG408:AI408"/>
    <mergeCell ref="K410:L410"/>
    <mergeCell ref="P410:R410"/>
    <mergeCell ref="AD410:AF410"/>
    <mergeCell ref="AG410:AI410"/>
    <mergeCell ref="AK408:AO408"/>
    <mergeCell ref="B409:D409"/>
    <mergeCell ref="H409:J409"/>
    <mergeCell ref="K409:L409"/>
    <mergeCell ref="P409:R409"/>
    <mergeCell ref="AD409:AF409"/>
    <mergeCell ref="AK410:AO410"/>
    <mergeCell ref="K406:L406"/>
    <mergeCell ref="P406:R406"/>
    <mergeCell ref="AD406:AF406"/>
    <mergeCell ref="AG406:AI406"/>
    <mergeCell ref="AK404:AO404"/>
    <mergeCell ref="B405:D405"/>
    <mergeCell ref="H405:J405"/>
    <mergeCell ref="K405:L405"/>
    <mergeCell ref="P405:R405"/>
    <mergeCell ref="AD405:AF405"/>
    <mergeCell ref="AK406:AO406"/>
    <mergeCell ref="B407:D407"/>
    <mergeCell ref="H407:J407"/>
    <mergeCell ref="K407:L407"/>
    <mergeCell ref="P407:R407"/>
    <mergeCell ref="AD407:AF407"/>
    <mergeCell ref="AG407:AI407"/>
    <mergeCell ref="AK407:AO407"/>
    <mergeCell ref="B406:D406"/>
    <mergeCell ref="H406:J406"/>
    <mergeCell ref="B403:D403"/>
    <mergeCell ref="H403:J403"/>
    <mergeCell ref="K403:L403"/>
    <mergeCell ref="P403:R403"/>
    <mergeCell ref="AD403:AF403"/>
    <mergeCell ref="AG403:AI403"/>
    <mergeCell ref="AK403:AO403"/>
    <mergeCell ref="B402:D402"/>
    <mergeCell ref="H402:J402"/>
    <mergeCell ref="AG405:AI405"/>
    <mergeCell ref="AK405:AO405"/>
    <mergeCell ref="B404:D404"/>
    <mergeCell ref="H404:J404"/>
    <mergeCell ref="K404:L404"/>
    <mergeCell ref="P404:R404"/>
    <mergeCell ref="AD404:AF404"/>
    <mergeCell ref="AG404:AI404"/>
    <mergeCell ref="AG401:AI401"/>
    <mergeCell ref="AK401:AO401"/>
    <mergeCell ref="B400:D400"/>
    <mergeCell ref="H400:J400"/>
    <mergeCell ref="K400:L400"/>
    <mergeCell ref="P400:R400"/>
    <mergeCell ref="AD400:AF400"/>
    <mergeCell ref="AG400:AI400"/>
    <mergeCell ref="K402:L402"/>
    <mergeCell ref="P402:R402"/>
    <mergeCell ref="AD402:AF402"/>
    <mergeCell ref="AG402:AI402"/>
    <mergeCell ref="AK400:AO400"/>
    <mergeCell ref="B401:D401"/>
    <mergeCell ref="H401:J401"/>
    <mergeCell ref="K401:L401"/>
    <mergeCell ref="P401:R401"/>
    <mergeCell ref="AD401:AF401"/>
    <mergeCell ref="AK402:AO402"/>
    <mergeCell ref="K398:L398"/>
    <mergeCell ref="P398:R398"/>
    <mergeCell ref="AD398:AF398"/>
    <mergeCell ref="AG398:AI398"/>
    <mergeCell ref="AK396:AO396"/>
    <mergeCell ref="B397:D397"/>
    <mergeCell ref="H397:J397"/>
    <mergeCell ref="K397:L397"/>
    <mergeCell ref="P397:R397"/>
    <mergeCell ref="AD397:AF397"/>
    <mergeCell ref="AK398:AO398"/>
    <mergeCell ref="B399:D399"/>
    <mergeCell ref="H399:J399"/>
    <mergeCell ref="K399:L399"/>
    <mergeCell ref="P399:R399"/>
    <mergeCell ref="AD399:AF399"/>
    <mergeCell ref="AG399:AI399"/>
    <mergeCell ref="AK399:AO399"/>
    <mergeCell ref="B398:D398"/>
    <mergeCell ref="H398:J398"/>
    <mergeCell ref="B395:D395"/>
    <mergeCell ref="H395:J395"/>
    <mergeCell ref="K395:L395"/>
    <mergeCell ref="P395:R395"/>
    <mergeCell ref="AD395:AF395"/>
    <mergeCell ref="AG395:AI395"/>
    <mergeCell ref="AK395:AO395"/>
    <mergeCell ref="B394:D394"/>
    <mergeCell ref="H394:J394"/>
    <mergeCell ref="AG397:AI397"/>
    <mergeCell ref="AK397:AO397"/>
    <mergeCell ref="B396:D396"/>
    <mergeCell ref="H396:J396"/>
    <mergeCell ref="K396:L396"/>
    <mergeCell ref="P396:R396"/>
    <mergeCell ref="AD396:AF396"/>
    <mergeCell ref="AG396:AI396"/>
    <mergeCell ref="AG393:AI393"/>
    <mergeCell ref="AK393:AO393"/>
    <mergeCell ref="B392:D392"/>
    <mergeCell ref="H392:J392"/>
    <mergeCell ref="K392:L392"/>
    <mergeCell ref="P392:R392"/>
    <mergeCell ref="AD392:AF392"/>
    <mergeCell ref="AG392:AI392"/>
    <mergeCell ref="K394:L394"/>
    <mergeCell ref="P394:R394"/>
    <mergeCell ref="AD394:AF394"/>
    <mergeCell ref="AG394:AI394"/>
    <mergeCell ref="AK392:AO392"/>
    <mergeCell ref="B393:D393"/>
    <mergeCell ref="H393:J393"/>
    <mergeCell ref="K393:L393"/>
    <mergeCell ref="P393:R393"/>
    <mergeCell ref="AD393:AF393"/>
    <mergeCell ref="AK394:AO394"/>
    <mergeCell ref="K390:L390"/>
    <mergeCell ref="P390:R390"/>
    <mergeCell ref="AD390:AF390"/>
    <mergeCell ref="AG390:AI390"/>
    <mergeCell ref="AK388:AO388"/>
    <mergeCell ref="B389:D389"/>
    <mergeCell ref="H389:J389"/>
    <mergeCell ref="K389:L389"/>
    <mergeCell ref="P389:R389"/>
    <mergeCell ref="AD389:AF389"/>
    <mergeCell ref="AK390:AO390"/>
    <mergeCell ref="B391:D391"/>
    <mergeCell ref="H391:J391"/>
    <mergeCell ref="K391:L391"/>
    <mergeCell ref="P391:R391"/>
    <mergeCell ref="AD391:AF391"/>
    <mergeCell ref="AG391:AI391"/>
    <mergeCell ref="AK391:AO391"/>
    <mergeCell ref="B390:D390"/>
    <mergeCell ref="H390:J390"/>
    <mergeCell ref="B387:D387"/>
    <mergeCell ref="H387:J387"/>
    <mergeCell ref="K387:L387"/>
    <mergeCell ref="P387:R387"/>
    <mergeCell ref="AD387:AF387"/>
    <mergeCell ref="AG387:AI387"/>
    <mergeCell ref="AK387:AO387"/>
    <mergeCell ref="B386:D386"/>
    <mergeCell ref="H386:J386"/>
    <mergeCell ref="AG389:AI389"/>
    <mergeCell ref="AK389:AO389"/>
    <mergeCell ref="B388:D388"/>
    <mergeCell ref="H388:J388"/>
    <mergeCell ref="K388:L388"/>
    <mergeCell ref="P388:R388"/>
    <mergeCell ref="AD388:AF388"/>
    <mergeCell ref="AG388:AI388"/>
    <mergeCell ref="AG385:AI385"/>
    <mergeCell ref="AK385:AO385"/>
    <mergeCell ref="B384:D384"/>
    <mergeCell ref="H384:J384"/>
    <mergeCell ref="K384:L384"/>
    <mergeCell ref="P384:R384"/>
    <mergeCell ref="AD384:AF384"/>
    <mergeCell ref="AG384:AI384"/>
    <mergeCell ref="K386:L386"/>
    <mergeCell ref="P386:R386"/>
    <mergeCell ref="AD386:AF386"/>
    <mergeCell ref="AG386:AI386"/>
    <mergeCell ref="AK384:AO384"/>
    <mergeCell ref="B385:D385"/>
    <mergeCell ref="H385:J385"/>
    <mergeCell ref="K385:L385"/>
    <mergeCell ref="P385:R385"/>
    <mergeCell ref="AD385:AF385"/>
    <mergeCell ref="AK386:AO386"/>
    <mergeCell ref="K382:L382"/>
    <mergeCell ref="P382:R382"/>
    <mergeCell ref="AD382:AF382"/>
    <mergeCell ref="AG382:AI382"/>
    <mergeCell ref="AK380:AO380"/>
    <mergeCell ref="B381:D381"/>
    <mergeCell ref="H381:J381"/>
    <mergeCell ref="K381:L381"/>
    <mergeCell ref="P381:R381"/>
    <mergeCell ref="AD381:AF381"/>
    <mergeCell ref="AK382:AO382"/>
    <mergeCell ref="B383:D383"/>
    <mergeCell ref="H383:J383"/>
    <mergeCell ref="K383:L383"/>
    <mergeCell ref="P383:R383"/>
    <mergeCell ref="AD383:AF383"/>
    <mergeCell ref="AG383:AI383"/>
    <mergeCell ref="AK383:AO383"/>
    <mergeCell ref="B382:D382"/>
    <mergeCell ref="H382:J382"/>
    <mergeCell ref="B379:D379"/>
    <mergeCell ref="H379:J379"/>
    <mergeCell ref="K379:L379"/>
    <mergeCell ref="P379:R379"/>
    <mergeCell ref="AD379:AF379"/>
    <mergeCell ref="AG379:AI379"/>
    <mergeCell ref="AK379:AO379"/>
    <mergeCell ref="B378:D378"/>
    <mergeCell ref="H378:J378"/>
    <mergeCell ref="AG381:AI381"/>
    <mergeCell ref="AK381:AO381"/>
    <mergeCell ref="B380:D380"/>
    <mergeCell ref="H380:J380"/>
    <mergeCell ref="K380:L380"/>
    <mergeCell ref="P380:R380"/>
    <mergeCell ref="AD380:AF380"/>
    <mergeCell ref="AG380:AI380"/>
    <mergeCell ref="AG377:AI377"/>
    <mergeCell ref="AK377:AO377"/>
    <mergeCell ref="B376:D376"/>
    <mergeCell ref="H376:J376"/>
    <mergeCell ref="K376:L376"/>
    <mergeCell ref="P376:R376"/>
    <mergeCell ref="AD376:AF376"/>
    <mergeCell ref="AG376:AI376"/>
    <mergeCell ref="K378:L378"/>
    <mergeCell ref="P378:R378"/>
    <mergeCell ref="AD378:AF378"/>
    <mergeCell ref="AG378:AI378"/>
    <mergeCell ref="AK376:AO376"/>
    <mergeCell ref="B377:D377"/>
    <mergeCell ref="H377:J377"/>
    <mergeCell ref="K377:L377"/>
    <mergeCell ref="P377:R377"/>
    <mergeCell ref="AD377:AF377"/>
    <mergeCell ref="AK378:AO378"/>
    <mergeCell ref="K374:L374"/>
    <mergeCell ref="P374:R374"/>
    <mergeCell ref="AD374:AF374"/>
    <mergeCell ref="AG374:AI374"/>
    <mergeCell ref="AK372:AO372"/>
    <mergeCell ref="B373:D373"/>
    <mergeCell ref="H373:J373"/>
    <mergeCell ref="K373:L373"/>
    <mergeCell ref="P373:R373"/>
    <mergeCell ref="AD373:AF373"/>
    <mergeCell ref="AK374:AO374"/>
    <mergeCell ref="B375:D375"/>
    <mergeCell ref="H375:J375"/>
    <mergeCell ref="K375:L375"/>
    <mergeCell ref="P375:R375"/>
    <mergeCell ref="AD375:AF375"/>
    <mergeCell ref="AG375:AI375"/>
    <mergeCell ref="AK375:AO375"/>
    <mergeCell ref="B374:D374"/>
    <mergeCell ref="H374:J374"/>
    <mergeCell ref="B371:D371"/>
    <mergeCell ref="H371:J371"/>
    <mergeCell ref="K371:L371"/>
    <mergeCell ref="P371:R371"/>
    <mergeCell ref="AD371:AF371"/>
    <mergeCell ref="AG371:AI371"/>
    <mergeCell ref="AK371:AO371"/>
    <mergeCell ref="B370:D370"/>
    <mergeCell ref="H370:J370"/>
    <mergeCell ref="AG373:AI373"/>
    <mergeCell ref="AK373:AO373"/>
    <mergeCell ref="B372:D372"/>
    <mergeCell ref="H372:J372"/>
    <mergeCell ref="K372:L372"/>
    <mergeCell ref="P372:R372"/>
    <mergeCell ref="AD372:AF372"/>
    <mergeCell ref="AG372:AI372"/>
    <mergeCell ref="AG369:AI369"/>
    <mergeCell ref="AK369:AO369"/>
    <mergeCell ref="B368:D368"/>
    <mergeCell ref="H368:J368"/>
    <mergeCell ref="K368:L368"/>
    <mergeCell ref="P368:R368"/>
    <mergeCell ref="AD368:AF368"/>
    <mergeCell ref="AG368:AI368"/>
    <mergeCell ref="K370:L370"/>
    <mergeCell ref="P370:R370"/>
    <mergeCell ref="AD370:AF370"/>
    <mergeCell ref="AG370:AI370"/>
    <mergeCell ref="AK368:AO368"/>
    <mergeCell ref="B369:D369"/>
    <mergeCell ref="H369:J369"/>
    <mergeCell ref="K369:L369"/>
    <mergeCell ref="P369:R369"/>
    <mergeCell ref="AD369:AF369"/>
    <mergeCell ref="AK370:AO370"/>
    <mergeCell ref="K366:L366"/>
    <mergeCell ref="P366:R366"/>
    <mergeCell ref="AD366:AF366"/>
    <mergeCell ref="AG366:AI366"/>
    <mergeCell ref="AK364:AO364"/>
    <mergeCell ref="B365:D365"/>
    <mergeCell ref="H365:J365"/>
    <mergeCell ref="K365:L365"/>
    <mergeCell ref="P365:R365"/>
    <mergeCell ref="AD365:AF365"/>
    <mergeCell ref="AK366:AO366"/>
    <mergeCell ref="B367:D367"/>
    <mergeCell ref="H367:J367"/>
    <mergeCell ref="K367:L367"/>
    <mergeCell ref="P367:R367"/>
    <mergeCell ref="AD367:AF367"/>
    <mergeCell ref="AG367:AI367"/>
    <mergeCell ref="AK367:AO367"/>
    <mergeCell ref="B366:D366"/>
    <mergeCell ref="H366:J366"/>
    <mergeCell ref="B363:D363"/>
    <mergeCell ref="H363:J363"/>
    <mergeCell ref="K363:L363"/>
    <mergeCell ref="P363:R363"/>
    <mergeCell ref="AD363:AF363"/>
    <mergeCell ref="AG363:AI363"/>
    <mergeCell ref="AK363:AO363"/>
    <mergeCell ref="B362:D362"/>
    <mergeCell ref="H362:J362"/>
    <mergeCell ref="AG365:AI365"/>
    <mergeCell ref="AK365:AO365"/>
    <mergeCell ref="B364:D364"/>
    <mergeCell ref="H364:J364"/>
    <mergeCell ref="K364:L364"/>
    <mergeCell ref="P364:R364"/>
    <mergeCell ref="AD364:AF364"/>
    <mergeCell ref="AG364:AI364"/>
    <mergeCell ref="AG361:AI361"/>
    <mergeCell ref="AK361:AO361"/>
    <mergeCell ref="B360:D360"/>
    <mergeCell ref="H360:J360"/>
    <mergeCell ref="K360:L360"/>
    <mergeCell ref="P360:R360"/>
    <mergeCell ref="AD360:AF360"/>
    <mergeCell ref="AG360:AI360"/>
    <mergeCell ref="K362:L362"/>
    <mergeCell ref="P362:R362"/>
    <mergeCell ref="AD362:AF362"/>
    <mergeCell ref="AG362:AI362"/>
    <mergeCell ref="AK360:AO360"/>
    <mergeCell ref="B361:D361"/>
    <mergeCell ref="H361:J361"/>
    <mergeCell ref="K361:L361"/>
    <mergeCell ref="P361:R361"/>
    <mergeCell ref="AD361:AF361"/>
    <mergeCell ref="AK362:AO362"/>
    <mergeCell ref="K358:L358"/>
    <mergeCell ref="P358:R358"/>
    <mergeCell ref="AD358:AF358"/>
    <mergeCell ref="AG358:AI358"/>
    <mergeCell ref="AK356:AO356"/>
    <mergeCell ref="B357:D357"/>
    <mergeCell ref="H357:J357"/>
    <mergeCell ref="K357:L357"/>
    <mergeCell ref="P357:R357"/>
    <mergeCell ref="AD357:AF357"/>
    <mergeCell ref="AK358:AO358"/>
    <mergeCell ref="B359:D359"/>
    <mergeCell ref="H359:J359"/>
    <mergeCell ref="K359:L359"/>
    <mergeCell ref="P359:R359"/>
    <mergeCell ref="AD359:AF359"/>
    <mergeCell ref="AG359:AI359"/>
    <mergeCell ref="AK359:AO359"/>
    <mergeCell ref="B358:D358"/>
    <mergeCell ref="H358:J358"/>
    <mergeCell ref="B355:D355"/>
    <mergeCell ref="H355:J355"/>
    <mergeCell ref="K355:L355"/>
    <mergeCell ref="P355:R355"/>
    <mergeCell ref="AD355:AF355"/>
    <mergeCell ref="AG355:AI355"/>
    <mergeCell ref="AK355:AO355"/>
    <mergeCell ref="B354:D354"/>
    <mergeCell ref="H354:J354"/>
    <mergeCell ref="AG357:AI357"/>
    <mergeCell ref="AK357:AO357"/>
    <mergeCell ref="B356:D356"/>
    <mergeCell ref="H356:J356"/>
    <mergeCell ref="K356:L356"/>
    <mergeCell ref="P356:R356"/>
    <mergeCell ref="AD356:AF356"/>
    <mergeCell ref="AG356:AI356"/>
    <mergeCell ref="AG353:AI353"/>
    <mergeCell ref="AK353:AO353"/>
    <mergeCell ref="B352:D352"/>
    <mergeCell ref="H352:J352"/>
    <mergeCell ref="K352:L352"/>
    <mergeCell ref="P352:R352"/>
    <mergeCell ref="AD352:AF352"/>
    <mergeCell ref="AG352:AI352"/>
    <mergeCell ref="K354:L354"/>
    <mergeCell ref="P354:R354"/>
    <mergeCell ref="AD354:AF354"/>
    <mergeCell ref="AG354:AI354"/>
    <mergeCell ref="AK352:AO352"/>
    <mergeCell ref="B353:D353"/>
    <mergeCell ref="H353:J353"/>
    <mergeCell ref="K353:L353"/>
    <mergeCell ref="P353:R353"/>
    <mergeCell ref="AD353:AF353"/>
    <mergeCell ref="AK354:AO354"/>
    <mergeCell ref="K350:L350"/>
    <mergeCell ref="P350:R350"/>
    <mergeCell ref="AD350:AF350"/>
    <mergeCell ref="AG350:AI350"/>
    <mergeCell ref="AK348:AO348"/>
    <mergeCell ref="B349:D349"/>
    <mergeCell ref="H349:J349"/>
    <mergeCell ref="K349:L349"/>
    <mergeCell ref="P349:R349"/>
    <mergeCell ref="AD349:AF349"/>
    <mergeCell ref="AK350:AO350"/>
    <mergeCell ref="B351:D351"/>
    <mergeCell ref="H351:J351"/>
    <mergeCell ref="K351:L351"/>
    <mergeCell ref="P351:R351"/>
    <mergeCell ref="AD351:AF351"/>
    <mergeCell ref="AG351:AI351"/>
    <mergeCell ref="AK351:AO351"/>
    <mergeCell ref="B350:D350"/>
    <mergeCell ref="H350:J350"/>
    <mergeCell ref="B347:D347"/>
    <mergeCell ref="H347:J347"/>
    <mergeCell ref="K347:L347"/>
    <mergeCell ref="P347:R347"/>
    <mergeCell ref="AD347:AF347"/>
    <mergeCell ref="AG347:AI347"/>
    <mergeCell ref="AK347:AO347"/>
    <mergeCell ref="B346:D346"/>
    <mergeCell ref="H346:J346"/>
    <mergeCell ref="AG349:AI349"/>
    <mergeCell ref="AK349:AO349"/>
    <mergeCell ref="B348:D348"/>
    <mergeCell ref="H348:J348"/>
    <mergeCell ref="K348:L348"/>
    <mergeCell ref="P348:R348"/>
    <mergeCell ref="AD348:AF348"/>
    <mergeCell ref="AG348:AI348"/>
    <mergeCell ref="AG345:AI345"/>
    <mergeCell ref="AK345:AO345"/>
    <mergeCell ref="B344:D344"/>
    <mergeCell ref="H344:J344"/>
    <mergeCell ref="K344:L344"/>
    <mergeCell ref="P344:R344"/>
    <mergeCell ref="AD344:AF344"/>
    <mergeCell ref="AG344:AI344"/>
    <mergeCell ref="K346:L346"/>
    <mergeCell ref="P346:R346"/>
    <mergeCell ref="AD346:AF346"/>
    <mergeCell ref="AG346:AI346"/>
    <mergeCell ref="AK344:AO344"/>
    <mergeCell ref="B345:D345"/>
    <mergeCell ref="H345:J345"/>
    <mergeCell ref="K345:L345"/>
    <mergeCell ref="P345:R345"/>
    <mergeCell ref="AD345:AF345"/>
    <mergeCell ref="AK346:AO346"/>
    <mergeCell ref="K342:L342"/>
    <mergeCell ref="P342:R342"/>
    <mergeCell ref="AD342:AF342"/>
    <mergeCell ref="AG342:AI342"/>
    <mergeCell ref="AK340:AO340"/>
    <mergeCell ref="B341:D341"/>
    <mergeCell ref="H341:J341"/>
    <mergeCell ref="K341:L341"/>
    <mergeCell ref="P341:R341"/>
    <mergeCell ref="AD341:AF341"/>
    <mergeCell ref="AK342:AO342"/>
    <mergeCell ref="B343:D343"/>
    <mergeCell ref="H343:J343"/>
    <mergeCell ref="K343:L343"/>
    <mergeCell ref="P343:R343"/>
    <mergeCell ref="AD343:AF343"/>
    <mergeCell ref="AG343:AI343"/>
    <mergeCell ref="AK343:AO343"/>
    <mergeCell ref="B342:D342"/>
    <mergeCell ref="H342:J342"/>
    <mergeCell ref="B339:D339"/>
    <mergeCell ref="H339:J339"/>
    <mergeCell ref="K339:L339"/>
    <mergeCell ref="P339:R339"/>
    <mergeCell ref="AD339:AF339"/>
    <mergeCell ref="AG339:AI339"/>
    <mergeCell ref="AK339:AO339"/>
    <mergeCell ref="B338:D338"/>
    <mergeCell ref="H338:J338"/>
    <mergeCell ref="AG341:AI341"/>
    <mergeCell ref="AK341:AO341"/>
    <mergeCell ref="B340:D340"/>
    <mergeCell ref="H340:J340"/>
    <mergeCell ref="K340:L340"/>
    <mergeCell ref="P340:R340"/>
    <mergeCell ref="AD340:AF340"/>
    <mergeCell ref="AG340:AI340"/>
    <mergeCell ref="AG337:AI337"/>
    <mergeCell ref="AK337:AO337"/>
    <mergeCell ref="B336:D336"/>
    <mergeCell ref="H336:J336"/>
    <mergeCell ref="K336:L336"/>
    <mergeCell ref="P336:R336"/>
    <mergeCell ref="AD336:AF336"/>
    <mergeCell ref="AG336:AI336"/>
    <mergeCell ref="K338:L338"/>
    <mergeCell ref="P338:R338"/>
    <mergeCell ref="AD338:AF338"/>
    <mergeCell ref="AG338:AI338"/>
    <mergeCell ref="AK336:AO336"/>
    <mergeCell ref="B337:D337"/>
    <mergeCell ref="H337:J337"/>
    <mergeCell ref="K337:L337"/>
    <mergeCell ref="P337:R337"/>
    <mergeCell ref="AD337:AF337"/>
    <mergeCell ref="AK338:AO338"/>
    <mergeCell ref="K334:L334"/>
    <mergeCell ref="P334:R334"/>
    <mergeCell ref="AD334:AF334"/>
    <mergeCell ref="AG334:AI334"/>
    <mergeCell ref="AK332:AO332"/>
    <mergeCell ref="B333:D333"/>
    <mergeCell ref="H333:J333"/>
    <mergeCell ref="K333:L333"/>
    <mergeCell ref="P333:R333"/>
    <mergeCell ref="AD333:AF333"/>
    <mergeCell ref="AK334:AO334"/>
    <mergeCell ref="B335:D335"/>
    <mergeCell ref="H335:J335"/>
    <mergeCell ref="K335:L335"/>
    <mergeCell ref="P335:R335"/>
    <mergeCell ref="AD335:AF335"/>
    <mergeCell ref="AG335:AI335"/>
    <mergeCell ref="AK335:AO335"/>
    <mergeCell ref="B334:D334"/>
    <mergeCell ref="H334:J334"/>
    <mergeCell ref="B331:D331"/>
    <mergeCell ref="H331:J331"/>
    <mergeCell ref="K331:L331"/>
    <mergeCell ref="P331:R331"/>
    <mergeCell ref="AD331:AF331"/>
    <mergeCell ref="AG331:AI331"/>
    <mergeCell ref="AK331:AO331"/>
    <mergeCell ref="B330:D330"/>
    <mergeCell ref="H330:J330"/>
    <mergeCell ref="AG333:AI333"/>
    <mergeCell ref="AK333:AO333"/>
    <mergeCell ref="B332:D332"/>
    <mergeCell ref="H332:J332"/>
    <mergeCell ref="K332:L332"/>
    <mergeCell ref="P332:R332"/>
    <mergeCell ref="AD332:AF332"/>
    <mergeCell ref="AG332:AI332"/>
    <mergeCell ref="AG329:AI329"/>
    <mergeCell ref="AK329:AO329"/>
    <mergeCell ref="B328:D328"/>
    <mergeCell ref="H328:J328"/>
    <mergeCell ref="K328:L328"/>
    <mergeCell ref="P328:R328"/>
    <mergeCell ref="AD328:AF328"/>
    <mergeCell ref="AG328:AI328"/>
    <mergeCell ref="K330:L330"/>
    <mergeCell ref="P330:R330"/>
    <mergeCell ref="AD330:AF330"/>
    <mergeCell ref="AG330:AI330"/>
    <mergeCell ref="AK328:AO328"/>
    <mergeCell ref="B329:D329"/>
    <mergeCell ref="H329:J329"/>
    <mergeCell ref="K329:L329"/>
    <mergeCell ref="P329:R329"/>
    <mergeCell ref="AD329:AF329"/>
    <mergeCell ref="AK330:AO330"/>
    <mergeCell ref="K326:L326"/>
    <mergeCell ref="P326:R326"/>
    <mergeCell ref="AD326:AF326"/>
    <mergeCell ref="AG326:AI326"/>
    <mergeCell ref="AK324:AO324"/>
    <mergeCell ref="B325:D325"/>
    <mergeCell ref="H325:J325"/>
    <mergeCell ref="K325:L325"/>
    <mergeCell ref="P325:R325"/>
    <mergeCell ref="AD325:AF325"/>
    <mergeCell ref="AK326:AO326"/>
    <mergeCell ref="B327:D327"/>
    <mergeCell ref="H327:J327"/>
    <mergeCell ref="K327:L327"/>
    <mergeCell ref="P327:R327"/>
    <mergeCell ref="AD327:AF327"/>
    <mergeCell ref="AG327:AI327"/>
    <mergeCell ref="AK327:AO327"/>
    <mergeCell ref="B326:D326"/>
    <mergeCell ref="H326:J326"/>
    <mergeCell ref="B323:D323"/>
    <mergeCell ref="H323:J323"/>
    <mergeCell ref="K323:L323"/>
    <mergeCell ref="P323:R323"/>
    <mergeCell ref="AD323:AF323"/>
    <mergeCell ref="AG323:AI323"/>
    <mergeCell ref="AK323:AO323"/>
    <mergeCell ref="B322:D322"/>
    <mergeCell ref="H322:J322"/>
    <mergeCell ref="AG325:AI325"/>
    <mergeCell ref="AK325:AO325"/>
    <mergeCell ref="B324:D324"/>
    <mergeCell ref="H324:J324"/>
    <mergeCell ref="K324:L324"/>
    <mergeCell ref="P324:R324"/>
    <mergeCell ref="AD324:AF324"/>
    <mergeCell ref="AG324:AI324"/>
    <mergeCell ref="AG321:AI321"/>
    <mergeCell ref="AK321:AO321"/>
    <mergeCell ref="B320:D320"/>
    <mergeCell ref="H320:J320"/>
    <mergeCell ref="K320:L320"/>
    <mergeCell ref="P320:R320"/>
    <mergeCell ref="AD320:AF320"/>
    <mergeCell ref="AG320:AI320"/>
    <mergeCell ref="K322:L322"/>
    <mergeCell ref="P322:R322"/>
    <mergeCell ref="AD322:AF322"/>
    <mergeCell ref="AG322:AI322"/>
    <mergeCell ref="AK320:AO320"/>
    <mergeCell ref="B321:D321"/>
    <mergeCell ref="H321:J321"/>
    <mergeCell ref="K321:L321"/>
    <mergeCell ref="P321:R321"/>
    <mergeCell ref="AD321:AF321"/>
    <mergeCell ref="AK322:AO322"/>
    <mergeCell ref="K318:L318"/>
    <mergeCell ref="P318:R318"/>
    <mergeCell ref="AD318:AF318"/>
    <mergeCell ref="AG318:AI318"/>
    <mergeCell ref="AK316:AO316"/>
    <mergeCell ref="B317:D317"/>
    <mergeCell ref="H317:J317"/>
    <mergeCell ref="K317:L317"/>
    <mergeCell ref="P317:R317"/>
    <mergeCell ref="AD317:AF317"/>
    <mergeCell ref="AK318:AO318"/>
    <mergeCell ref="B319:D319"/>
    <mergeCell ref="H319:J319"/>
    <mergeCell ref="K319:L319"/>
    <mergeCell ref="P319:R319"/>
    <mergeCell ref="AD319:AF319"/>
    <mergeCell ref="AG319:AI319"/>
    <mergeCell ref="AK319:AO319"/>
    <mergeCell ref="B318:D318"/>
    <mergeCell ref="H318:J318"/>
    <mergeCell ref="B315:D315"/>
    <mergeCell ref="H315:J315"/>
    <mergeCell ref="K315:L315"/>
    <mergeCell ref="P315:R315"/>
    <mergeCell ref="AD315:AF315"/>
    <mergeCell ref="AG315:AI315"/>
    <mergeCell ref="AK315:AO315"/>
    <mergeCell ref="B314:D314"/>
    <mergeCell ref="H314:J314"/>
    <mergeCell ref="AG317:AI317"/>
    <mergeCell ref="AK317:AO317"/>
    <mergeCell ref="B316:D316"/>
    <mergeCell ref="H316:J316"/>
    <mergeCell ref="K316:L316"/>
    <mergeCell ref="P316:R316"/>
    <mergeCell ref="AD316:AF316"/>
    <mergeCell ref="AG316:AI316"/>
    <mergeCell ref="AG313:AI313"/>
    <mergeCell ref="AK313:AO313"/>
    <mergeCell ref="B312:D312"/>
    <mergeCell ref="H312:J312"/>
    <mergeCell ref="K312:L312"/>
    <mergeCell ref="P312:R312"/>
    <mergeCell ref="AD312:AF312"/>
    <mergeCell ref="AG312:AI312"/>
    <mergeCell ref="K314:L314"/>
    <mergeCell ref="P314:R314"/>
    <mergeCell ref="AD314:AF314"/>
    <mergeCell ref="AG314:AI314"/>
    <mergeCell ref="AK312:AO312"/>
    <mergeCell ref="B313:D313"/>
    <mergeCell ref="H313:J313"/>
    <mergeCell ref="K313:L313"/>
    <mergeCell ref="P313:R313"/>
    <mergeCell ref="AD313:AF313"/>
    <mergeCell ref="AK314:AO314"/>
    <mergeCell ref="K310:L310"/>
    <mergeCell ref="P310:R310"/>
    <mergeCell ref="AD310:AF310"/>
    <mergeCell ref="AG310:AI310"/>
    <mergeCell ref="AK308:AO308"/>
    <mergeCell ref="B309:D309"/>
    <mergeCell ref="H309:J309"/>
    <mergeCell ref="K309:L309"/>
    <mergeCell ref="P309:R309"/>
    <mergeCell ref="AD309:AF309"/>
    <mergeCell ref="AK310:AO310"/>
    <mergeCell ref="B311:D311"/>
    <mergeCell ref="H311:J311"/>
    <mergeCell ref="K311:L311"/>
    <mergeCell ref="P311:R311"/>
    <mergeCell ref="AD311:AF311"/>
    <mergeCell ref="AG311:AI311"/>
    <mergeCell ref="AK311:AO311"/>
    <mergeCell ref="B310:D310"/>
    <mergeCell ref="H310:J310"/>
    <mergeCell ref="B307:D307"/>
    <mergeCell ref="H307:J307"/>
    <mergeCell ref="K307:L307"/>
    <mergeCell ref="P307:R307"/>
    <mergeCell ref="AD307:AF307"/>
    <mergeCell ref="AG307:AI307"/>
    <mergeCell ref="AK307:AO307"/>
    <mergeCell ref="B306:D306"/>
    <mergeCell ref="H306:J306"/>
    <mergeCell ref="AG309:AI309"/>
    <mergeCell ref="AK309:AO309"/>
    <mergeCell ref="B308:D308"/>
    <mergeCell ref="H308:J308"/>
    <mergeCell ref="K308:L308"/>
    <mergeCell ref="P308:R308"/>
    <mergeCell ref="AD308:AF308"/>
    <mergeCell ref="AG308:AI308"/>
    <mergeCell ref="AG305:AI305"/>
    <mergeCell ref="AK305:AO305"/>
    <mergeCell ref="B304:D304"/>
    <mergeCell ref="H304:J304"/>
    <mergeCell ref="K304:L304"/>
    <mergeCell ref="P304:R304"/>
    <mergeCell ref="AD304:AF304"/>
    <mergeCell ref="AG304:AI304"/>
    <mergeCell ref="K306:L306"/>
    <mergeCell ref="P306:R306"/>
    <mergeCell ref="AD306:AF306"/>
    <mergeCell ref="AG306:AI306"/>
    <mergeCell ref="AK304:AO304"/>
    <mergeCell ref="B305:D305"/>
    <mergeCell ref="H305:J305"/>
    <mergeCell ref="K305:L305"/>
    <mergeCell ref="P305:R305"/>
    <mergeCell ref="AD305:AF305"/>
    <mergeCell ref="AK306:AO306"/>
    <mergeCell ref="AK293:AO293"/>
    <mergeCell ref="AK294:AO294"/>
    <mergeCell ref="K302:L302"/>
    <mergeCell ref="P302:R302"/>
    <mergeCell ref="AD302:AF302"/>
    <mergeCell ref="AG302:AI302"/>
    <mergeCell ref="AK300:AO300"/>
    <mergeCell ref="B301:D301"/>
    <mergeCell ref="H301:J301"/>
    <mergeCell ref="K301:L301"/>
    <mergeCell ref="P301:R301"/>
    <mergeCell ref="AD301:AF301"/>
    <mergeCell ref="AK302:AO302"/>
    <mergeCell ref="B303:D303"/>
    <mergeCell ref="H303:J303"/>
    <mergeCell ref="K303:L303"/>
    <mergeCell ref="P303:R303"/>
    <mergeCell ref="AD303:AF303"/>
    <mergeCell ref="AG303:AI303"/>
    <mergeCell ref="AK303:AO303"/>
    <mergeCell ref="B302:D302"/>
    <mergeCell ref="H302:J302"/>
    <mergeCell ref="B294:D294"/>
    <mergeCell ref="H294:J294"/>
    <mergeCell ref="K294:L294"/>
    <mergeCell ref="B299:D299"/>
    <mergeCell ref="H299:J299"/>
    <mergeCell ref="K299:L299"/>
    <mergeCell ref="P299:R299"/>
    <mergeCell ref="AD299:AF299"/>
    <mergeCell ref="AG299:AI299"/>
    <mergeCell ref="AK299:AO299"/>
    <mergeCell ref="B298:D298"/>
    <mergeCell ref="H298:J298"/>
    <mergeCell ref="AG301:AI301"/>
    <mergeCell ref="AK301:AO301"/>
    <mergeCell ref="B300:D300"/>
    <mergeCell ref="H300:J300"/>
    <mergeCell ref="K300:L300"/>
    <mergeCell ref="P300:R300"/>
    <mergeCell ref="AD300:AF300"/>
    <mergeCell ref="AG300:AI300"/>
    <mergeCell ref="AG297:AI297"/>
    <mergeCell ref="AK295:AO295"/>
    <mergeCell ref="B296:D296"/>
    <mergeCell ref="H296:J296"/>
    <mergeCell ref="K296:L296"/>
    <mergeCell ref="P296:R296"/>
    <mergeCell ref="AD296:AF296"/>
    <mergeCell ref="AG296:AI296"/>
    <mergeCell ref="K292:L292"/>
    <mergeCell ref="P292:R292"/>
    <mergeCell ref="AD292:AF292"/>
    <mergeCell ref="AG292:AI292"/>
    <mergeCell ref="AK292:AO292"/>
    <mergeCell ref="B291:D291"/>
    <mergeCell ref="H291:J291"/>
    <mergeCell ref="AK296:AO296"/>
    <mergeCell ref="B295:D295"/>
    <mergeCell ref="K298:L298"/>
    <mergeCell ref="P298:R298"/>
    <mergeCell ref="AD298:AF298"/>
    <mergeCell ref="AG298:AI298"/>
    <mergeCell ref="AK297:AO297"/>
    <mergeCell ref="B297:D297"/>
    <mergeCell ref="H297:J297"/>
    <mergeCell ref="K297:L297"/>
    <mergeCell ref="P297:R297"/>
    <mergeCell ref="AD297:AF297"/>
    <mergeCell ref="AK298:AO298"/>
    <mergeCell ref="P294:R294"/>
    <mergeCell ref="AD294:AF294"/>
    <mergeCell ref="AG294:AI294"/>
    <mergeCell ref="H295:J295"/>
    <mergeCell ref="K295:L295"/>
    <mergeCell ref="P295:R295"/>
    <mergeCell ref="AD295:AF295"/>
    <mergeCell ref="AG295:AI295"/>
    <mergeCell ref="K293:L293"/>
    <mergeCell ref="P293:R293"/>
    <mergeCell ref="AD293:AF293"/>
    <mergeCell ref="AG293:AI293"/>
    <mergeCell ref="B293:D293"/>
    <mergeCell ref="H293:J293"/>
    <mergeCell ref="B288:D288"/>
    <mergeCell ref="H288:J288"/>
    <mergeCell ref="K288:L288"/>
    <mergeCell ref="P288:R288"/>
    <mergeCell ref="AD288:AF288"/>
    <mergeCell ref="AG288:AI288"/>
    <mergeCell ref="AK288:AO288"/>
    <mergeCell ref="B287:D287"/>
    <mergeCell ref="H287:J287"/>
    <mergeCell ref="AG290:AI290"/>
    <mergeCell ref="AK290:AO290"/>
    <mergeCell ref="B289:D289"/>
    <mergeCell ref="H289:J289"/>
    <mergeCell ref="K289:L289"/>
    <mergeCell ref="P289:R289"/>
    <mergeCell ref="AD289:AF289"/>
    <mergeCell ref="AG289:AI289"/>
    <mergeCell ref="K291:L291"/>
    <mergeCell ref="P291:R291"/>
    <mergeCell ref="AD291:AF291"/>
    <mergeCell ref="AG291:AI291"/>
    <mergeCell ref="AK289:AO289"/>
    <mergeCell ref="B290:D290"/>
    <mergeCell ref="H290:J290"/>
    <mergeCell ref="K290:L290"/>
    <mergeCell ref="P290:R290"/>
    <mergeCell ref="AD290:AF290"/>
    <mergeCell ref="AK291:AO291"/>
    <mergeCell ref="B292:D292"/>
    <mergeCell ref="H292:J292"/>
    <mergeCell ref="AG286:AI286"/>
    <mergeCell ref="AK286:AO286"/>
    <mergeCell ref="B285:D285"/>
    <mergeCell ref="H285:J285"/>
    <mergeCell ref="K285:L285"/>
    <mergeCell ref="P285:R285"/>
    <mergeCell ref="AD285:AF285"/>
    <mergeCell ref="AG285:AI285"/>
    <mergeCell ref="K287:L287"/>
    <mergeCell ref="P287:R287"/>
    <mergeCell ref="AD287:AF287"/>
    <mergeCell ref="AG287:AI287"/>
    <mergeCell ref="AK285:AO285"/>
    <mergeCell ref="B286:D286"/>
    <mergeCell ref="H286:J286"/>
    <mergeCell ref="K286:L286"/>
    <mergeCell ref="P286:R286"/>
    <mergeCell ref="AD286:AF286"/>
    <mergeCell ref="AK287:AO287"/>
    <mergeCell ref="K283:L283"/>
    <mergeCell ref="P283:R283"/>
    <mergeCell ref="AD283:AF283"/>
    <mergeCell ref="AG283:AI283"/>
    <mergeCell ref="AK281:AO281"/>
    <mergeCell ref="B282:D282"/>
    <mergeCell ref="H282:J282"/>
    <mergeCell ref="K282:L282"/>
    <mergeCell ref="P282:R282"/>
    <mergeCell ref="AD282:AF282"/>
    <mergeCell ref="AK283:AO283"/>
    <mergeCell ref="B284:D284"/>
    <mergeCell ref="H284:J284"/>
    <mergeCell ref="K284:L284"/>
    <mergeCell ref="P284:R284"/>
    <mergeCell ref="AD284:AF284"/>
    <mergeCell ref="AG284:AI284"/>
    <mergeCell ref="AK284:AO284"/>
    <mergeCell ref="B283:D283"/>
    <mergeCell ref="H283:J283"/>
    <mergeCell ref="B280:D280"/>
    <mergeCell ref="H280:J280"/>
    <mergeCell ref="K280:L280"/>
    <mergeCell ref="P280:R280"/>
    <mergeCell ref="AD280:AF280"/>
    <mergeCell ref="AG280:AI280"/>
    <mergeCell ref="AK280:AO280"/>
    <mergeCell ref="B279:D279"/>
    <mergeCell ref="H279:J279"/>
    <mergeCell ref="AG282:AI282"/>
    <mergeCell ref="AK282:AO282"/>
    <mergeCell ref="B281:D281"/>
    <mergeCell ref="H281:J281"/>
    <mergeCell ref="K281:L281"/>
    <mergeCell ref="P281:R281"/>
    <mergeCell ref="AD281:AF281"/>
    <mergeCell ref="AG281:AI281"/>
    <mergeCell ref="AG278:AI278"/>
    <mergeCell ref="AK278:AO278"/>
    <mergeCell ref="B277:D277"/>
    <mergeCell ref="H277:J277"/>
    <mergeCell ref="K277:L277"/>
    <mergeCell ref="P277:R277"/>
    <mergeCell ref="AD277:AF277"/>
    <mergeCell ref="AG277:AI277"/>
    <mergeCell ref="K279:L279"/>
    <mergeCell ref="P279:R279"/>
    <mergeCell ref="AD279:AF279"/>
    <mergeCell ref="AG279:AI279"/>
    <mergeCell ref="AK277:AO277"/>
    <mergeCell ref="B278:D278"/>
    <mergeCell ref="H278:J278"/>
    <mergeCell ref="K278:L278"/>
    <mergeCell ref="P278:R278"/>
    <mergeCell ref="AD278:AF278"/>
    <mergeCell ref="AK279:AO279"/>
    <mergeCell ref="K275:L275"/>
    <mergeCell ref="P275:R275"/>
    <mergeCell ref="AD275:AF275"/>
    <mergeCell ref="AG275:AI275"/>
    <mergeCell ref="AK273:AO273"/>
    <mergeCell ref="B274:D274"/>
    <mergeCell ref="H274:J274"/>
    <mergeCell ref="K274:L274"/>
    <mergeCell ref="P274:R274"/>
    <mergeCell ref="AD274:AF274"/>
    <mergeCell ref="AK275:AO275"/>
    <mergeCell ref="B276:D276"/>
    <mergeCell ref="H276:J276"/>
    <mergeCell ref="K276:L276"/>
    <mergeCell ref="P276:R276"/>
    <mergeCell ref="AD276:AF276"/>
    <mergeCell ref="AG276:AI276"/>
    <mergeCell ref="AK276:AO276"/>
    <mergeCell ref="B275:D275"/>
    <mergeCell ref="H275:J275"/>
    <mergeCell ref="B272:D272"/>
    <mergeCell ref="H272:J272"/>
    <mergeCell ref="K272:L272"/>
    <mergeCell ref="P272:R272"/>
    <mergeCell ref="AD272:AF272"/>
    <mergeCell ref="AG272:AI272"/>
    <mergeCell ref="AK272:AO272"/>
    <mergeCell ref="B271:D271"/>
    <mergeCell ref="H271:J271"/>
    <mergeCell ref="AG274:AI274"/>
    <mergeCell ref="AK274:AO274"/>
    <mergeCell ref="B273:D273"/>
    <mergeCell ref="H273:J273"/>
    <mergeCell ref="K273:L273"/>
    <mergeCell ref="P273:R273"/>
    <mergeCell ref="AD273:AF273"/>
    <mergeCell ref="AG273:AI273"/>
    <mergeCell ref="AG270:AI270"/>
    <mergeCell ref="AK270:AO270"/>
    <mergeCell ref="B269:D269"/>
    <mergeCell ref="H269:J269"/>
    <mergeCell ref="K269:L269"/>
    <mergeCell ref="P269:R269"/>
    <mergeCell ref="AD269:AF269"/>
    <mergeCell ref="AG269:AI269"/>
    <mergeCell ref="K271:L271"/>
    <mergeCell ref="P271:R271"/>
    <mergeCell ref="AD271:AF271"/>
    <mergeCell ref="AG271:AI271"/>
    <mergeCell ref="AK269:AO269"/>
    <mergeCell ref="B270:D270"/>
    <mergeCell ref="H270:J270"/>
    <mergeCell ref="K270:L270"/>
    <mergeCell ref="P270:R270"/>
    <mergeCell ref="AD270:AF270"/>
    <mergeCell ref="AK271:AO271"/>
    <mergeCell ref="K267:L267"/>
    <mergeCell ref="P267:R267"/>
    <mergeCell ref="AD267:AF267"/>
    <mergeCell ref="AG267:AI267"/>
    <mergeCell ref="AK265:AO265"/>
    <mergeCell ref="B266:D266"/>
    <mergeCell ref="H266:J266"/>
    <mergeCell ref="K266:L266"/>
    <mergeCell ref="P266:R266"/>
    <mergeCell ref="AD266:AF266"/>
    <mergeCell ref="AK267:AO267"/>
    <mergeCell ref="B268:D268"/>
    <mergeCell ref="H268:J268"/>
    <mergeCell ref="K268:L268"/>
    <mergeCell ref="P268:R268"/>
    <mergeCell ref="AD268:AF268"/>
    <mergeCell ref="AG268:AI268"/>
    <mergeCell ref="AK268:AO268"/>
    <mergeCell ref="B267:D267"/>
    <mergeCell ref="H267:J267"/>
    <mergeCell ref="B264:D264"/>
    <mergeCell ref="H264:J264"/>
    <mergeCell ref="K264:L264"/>
    <mergeCell ref="P264:R264"/>
    <mergeCell ref="AD264:AF264"/>
    <mergeCell ref="AG264:AI264"/>
    <mergeCell ref="AK264:AO264"/>
    <mergeCell ref="B263:D263"/>
    <mergeCell ref="H263:J263"/>
    <mergeCell ref="AG266:AI266"/>
    <mergeCell ref="AK266:AO266"/>
    <mergeCell ref="B265:D265"/>
    <mergeCell ref="H265:J265"/>
    <mergeCell ref="K265:L265"/>
    <mergeCell ref="P265:R265"/>
    <mergeCell ref="AD265:AF265"/>
    <mergeCell ref="AG265:AI265"/>
    <mergeCell ref="AG262:AI262"/>
    <mergeCell ref="AK262:AO262"/>
    <mergeCell ref="B261:D261"/>
    <mergeCell ref="H261:J261"/>
    <mergeCell ref="K261:L261"/>
    <mergeCell ref="P261:R261"/>
    <mergeCell ref="AD261:AF261"/>
    <mergeCell ref="AG261:AI261"/>
    <mergeCell ref="K263:L263"/>
    <mergeCell ref="P263:R263"/>
    <mergeCell ref="AD263:AF263"/>
    <mergeCell ref="AG263:AI263"/>
    <mergeCell ref="AK261:AO261"/>
    <mergeCell ref="B262:D262"/>
    <mergeCell ref="H262:J262"/>
    <mergeCell ref="K262:L262"/>
    <mergeCell ref="P262:R262"/>
    <mergeCell ref="AD262:AF262"/>
    <mergeCell ref="AK263:AO263"/>
    <mergeCell ref="K259:L259"/>
    <mergeCell ref="P259:R259"/>
    <mergeCell ref="AD259:AF259"/>
    <mergeCell ref="AG259:AI259"/>
    <mergeCell ref="AK257:AO257"/>
    <mergeCell ref="B258:D258"/>
    <mergeCell ref="H258:J258"/>
    <mergeCell ref="K258:L258"/>
    <mergeCell ref="P258:R258"/>
    <mergeCell ref="AD258:AF258"/>
    <mergeCell ref="AK259:AO259"/>
    <mergeCell ref="B260:D260"/>
    <mergeCell ref="H260:J260"/>
    <mergeCell ref="K260:L260"/>
    <mergeCell ref="P260:R260"/>
    <mergeCell ref="AD260:AF260"/>
    <mergeCell ref="AG260:AI260"/>
    <mergeCell ref="AK260:AO260"/>
    <mergeCell ref="B259:D259"/>
    <mergeCell ref="H259:J259"/>
    <mergeCell ref="B256:D256"/>
    <mergeCell ref="H256:J256"/>
    <mergeCell ref="K256:L256"/>
    <mergeCell ref="P256:R256"/>
    <mergeCell ref="AD256:AF256"/>
    <mergeCell ref="AG256:AI256"/>
    <mergeCell ref="AK256:AO256"/>
    <mergeCell ref="B255:D255"/>
    <mergeCell ref="H255:J255"/>
    <mergeCell ref="AG258:AI258"/>
    <mergeCell ref="AK258:AO258"/>
    <mergeCell ref="B257:D257"/>
    <mergeCell ref="H257:J257"/>
    <mergeCell ref="K257:L257"/>
    <mergeCell ref="P257:R257"/>
    <mergeCell ref="AD257:AF257"/>
    <mergeCell ref="AG257:AI257"/>
    <mergeCell ref="AG254:AI254"/>
    <mergeCell ref="AK254:AO254"/>
    <mergeCell ref="B253:D253"/>
    <mergeCell ref="H253:J253"/>
    <mergeCell ref="K253:L253"/>
    <mergeCell ref="P253:R253"/>
    <mergeCell ref="AD253:AF253"/>
    <mergeCell ref="AG253:AI253"/>
    <mergeCell ref="K255:L255"/>
    <mergeCell ref="P255:R255"/>
    <mergeCell ref="AD255:AF255"/>
    <mergeCell ref="AG255:AI255"/>
    <mergeCell ref="AK253:AO253"/>
    <mergeCell ref="B254:D254"/>
    <mergeCell ref="H254:J254"/>
    <mergeCell ref="K254:L254"/>
    <mergeCell ref="P254:R254"/>
    <mergeCell ref="AD254:AF254"/>
    <mergeCell ref="AK255:AO255"/>
    <mergeCell ref="K251:L251"/>
    <mergeCell ref="P251:R251"/>
    <mergeCell ref="AD251:AF251"/>
    <mergeCell ref="AG251:AI251"/>
    <mergeCell ref="AK249:AO249"/>
    <mergeCell ref="B250:D250"/>
    <mergeCell ref="H250:J250"/>
    <mergeCell ref="K250:L250"/>
    <mergeCell ref="P250:R250"/>
    <mergeCell ref="AD250:AF250"/>
    <mergeCell ref="AK251:AO251"/>
    <mergeCell ref="B252:D252"/>
    <mergeCell ref="H252:J252"/>
    <mergeCell ref="K252:L252"/>
    <mergeCell ref="P252:R252"/>
    <mergeCell ref="AD252:AF252"/>
    <mergeCell ref="AG252:AI252"/>
    <mergeCell ref="AK252:AO252"/>
    <mergeCell ref="B251:D251"/>
    <mergeCell ref="H251:J251"/>
    <mergeCell ref="B248:D248"/>
    <mergeCell ref="H248:J248"/>
    <mergeCell ref="K248:L248"/>
    <mergeCell ref="P248:R248"/>
    <mergeCell ref="AD248:AF248"/>
    <mergeCell ref="AG248:AI248"/>
    <mergeCell ref="AK248:AO248"/>
    <mergeCell ref="B247:D247"/>
    <mergeCell ref="H247:J247"/>
    <mergeCell ref="AG250:AI250"/>
    <mergeCell ref="AK250:AO250"/>
    <mergeCell ref="B249:D249"/>
    <mergeCell ref="H249:J249"/>
    <mergeCell ref="K249:L249"/>
    <mergeCell ref="P249:R249"/>
    <mergeCell ref="AD249:AF249"/>
    <mergeCell ref="AG249:AI249"/>
    <mergeCell ref="AG246:AI246"/>
    <mergeCell ref="AK246:AO246"/>
    <mergeCell ref="B245:D245"/>
    <mergeCell ref="H245:J245"/>
    <mergeCell ref="K245:L245"/>
    <mergeCell ref="P245:R245"/>
    <mergeCell ref="AD245:AF245"/>
    <mergeCell ref="AG245:AI245"/>
    <mergeCell ref="K247:L247"/>
    <mergeCell ref="P247:R247"/>
    <mergeCell ref="AD247:AF247"/>
    <mergeCell ref="AG247:AI247"/>
    <mergeCell ref="AK245:AO245"/>
    <mergeCell ref="B246:D246"/>
    <mergeCell ref="H246:J246"/>
    <mergeCell ref="K246:L246"/>
    <mergeCell ref="P246:R246"/>
    <mergeCell ref="AD246:AF246"/>
    <mergeCell ref="AK247:AO247"/>
    <mergeCell ref="K243:L243"/>
    <mergeCell ref="P243:R243"/>
    <mergeCell ref="AD243:AF243"/>
    <mergeCell ref="AG243:AI243"/>
    <mergeCell ref="AK241:AO241"/>
    <mergeCell ref="B242:D242"/>
    <mergeCell ref="H242:J242"/>
    <mergeCell ref="K242:L242"/>
    <mergeCell ref="P242:R242"/>
    <mergeCell ref="AD242:AF242"/>
    <mergeCell ref="AK243:AO243"/>
    <mergeCell ref="B244:D244"/>
    <mergeCell ref="H244:J244"/>
    <mergeCell ref="K244:L244"/>
    <mergeCell ref="P244:R244"/>
    <mergeCell ref="AD244:AF244"/>
    <mergeCell ref="AG244:AI244"/>
    <mergeCell ref="AK244:AO244"/>
    <mergeCell ref="B243:D243"/>
    <mergeCell ref="H243:J243"/>
    <mergeCell ref="B240:D240"/>
    <mergeCell ref="H240:J240"/>
    <mergeCell ref="K240:L240"/>
    <mergeCell ref="P240:R240"/>
    <mergeCell ref="AD240:AF240"/>
    <mergeCell ref="AG240:AI240"/>
    <mergeCell ref="AK240:AO240"/>
    <mergeCell ref="B239:D239"/>
    <mergeCell ref="H239:J239"/>
    <mergeCell ref="AG242:AI242"/>
    <mergeCell ref="AK242:AO242"/>
    <mergeCell ref="B241:D241"/>
    <mergeCell ref="H241:J241"/>
    <mergeCell ref="K241:L241"/>
    <mergeCell ref="P241:R241"/>
    <mergeCell ref="AD241:AF241"/>
    <mergeCell ref="AG241:AI241"/>
    <mergeCell ref="AG238:AI238"/>
    <mergeCell ref="AK238:AO238"/>
    <mergeCell ref="B237:D237"/>
    <mergeCell ref="H237:J237"/>
    <mergeCell ref="K237:L237"/>
    <mergeCell ref="P237:R237"/>
    <mergeCell ref="AD237:AF237"/>
    <mergeCell ref="AG237:AI237"/>
    <mergeCell ref="K239:L239"/>
    <mergeCell ref="P239:R239"/>
    <mergeCell ref="AD239:AF239"/>
    <mergeCell ref="AG239:AI239"/>
    <mergeCell ref="AK237:AO237"/>
    <mergeCell ref="B238:D238"/>
    <mergeCell ref="H238:J238"/>
    <mergeCell ref="K238:L238"/>
    <mergeCell ref="P238:R238"/>
    <mergeCell ref="AD238:AF238"/>
    <mergeCell ref="AK239:AO239"/>
    <mergeCell ref="K235:L235"/>
    <mergeCell ref="P235:R235"/>
    <mergeCell ref="AD235:AF235"/>
    <mergeCell ref="AG235:AI235"/>
    <mergeCell ref="AK233:AO233"/>
    <mergeCell ref="B234:D234"/>
    <mergeCell ref="H234:J234"/>
    <mergeCell ref="K234:L234"/>
    <mergeCell ref="P234:R234"/>
    <mergeCell ref="AD234:AF234"/>
    <mergeCell ref="AK235:AO235"/>
    <mergeCell ref="B236:D236"/>
    <mergeCell ref="H236:J236"/>
    <mergeCell ref="K236:L236"/>
    <mergeCell ref="P236:R236"/>
    <mergeCell ref="AD236:AF236"/>
    <mergeCell ref="AG236:AI236"/>
    <mergeCell ref="AK236:AO236"/>
    <mergeCell ref="B235:D235"/>
    <mergeCell ref="H235:J235"/>
    <mergeCell ref="B232:D232"/>
    <mergeCell ref="H232:J232"/>
    <mergeCell ref="K232:L232"/>
    <mergeCell ref="P232:R232"/>
    <mergeCell ref="AD232:AF232"/>
    <mergeCell ref="AG232:AI232"/>
    <mergeCell ref="AK232:AO232"/>
    <mergeCell ref="B231:D231"/>
    <mergeCell ref="H231:J231"/>
    <mergeCell ref="AG234:AI234"/>
    <mergeCell ref="AK234:AO234"/>
    <mergeCell ref="B233:D233"/>
    <mergeCell ref="H233:J233"/>
    <mergeCell ref="K233:L233"/>
    <mergeCell ref="P233:R233"/>
    <mergeCell ref="AD233:AF233"/>
    <mergeCell ref="AG233:AI233"/>
    <mergeCell ref="AG230:AI230"/>
    <mergeCell ref="AK230:AO230"/>
    <mergeCell ref="B229:D229"/>
    <mergeCell ref="H229:J229"/>
    <mergeCell ref="K229:L229"/>
    <mergeCell ref="P229:R229"/>
    <mergeCell ref="AD229:AF229"/>
    <mergeCell ref="AG229:AI229"/>
    <mergeCell ref="K231:L231"/>
    <mergeCell ref="P231:R231"/>
    <mergeCell ref="AD231:AF231"/>
    <mergeCell ref="AG231:AI231"/>
    <mergeCell ref="AK229:AO229"/>
    <mergeCell ref="B230:D230"/>
    <mergeCell ref="H230:J230"/>
    <mergeCell ref="K230:L230"/>
    <mergeCell ref="P230:R230"/>
    <mergeCell ref="AD230:AF230"/>
    <mergeCell ref="AK231:AO231"/>
    <mergeCell ref="K227:L227"/>
    <mergeCell ref="P227:R227"/>
    <mergeCell ref="AD227:AF227"/>
    <mergeCell ref="AG227:AI227"/>
    <mergeCell ref="AK225:AO225"/>
    <mergeCell ref="B226:D226"/>
    <mergeCell ref="H226:J226"/>
    <mergeCell ref="K226:L226"/>
    <mergeCell ref="P226:R226"/>
    <mergeCell ref="AD226:AF226"/>
    <mergeCell ref="AK227:AO227"/>
    <mergeCell ref="B228:D228"/>
    <mergeCell ref="H228:J228"/>
    <mergeCell ref="K228:L228"/>
    <mergeCell ref="P228:R228"/>
    <mergeCell ref="AD228:AF228"/>
    <mergeCell ref="AG228:AI228"/>
    <mergeCell ref="AK228:AO228"/>
    <mergeCell ref="B227:D227"/>
    <mergeCell ref="H227:J227"/>
    <mergeCell ref="B224:D224"/>
    <mergeCell ref="H224:J224"/>
    <mergeCell ref="K224:L224"/>
    <mergeCell ref="P224:R224"/>
    <mergeCell ref="AD224:AF224"/>
    <mergeCell ref="AG224:AI224"/>
    <mergeCell ref="AK224:AO224"/>
    <mergeCell ref="B223:D223"/>
    <mergeCell ref="H223:J223"/>
    <mergeCell ref="AG226:AI226"/>
    <mergeCell ref="AK226:AO226"/>
    <mergeCell ref="B225:D225"/>
    <mergeCell ref="H225:J225"/>
    <mergeCell ref="K225:L225"/>
    <mergeCell ref="P225:R225"/>
    <mergeCell ref="AD225:AF225"/>
    <mergeCell ref="AG225:AI225"/>
    <mergeCell ref="AG222:AI222"/>
    <mergeCell ref="AK222:AO222"/>
    <mergeCell ref="B221:D221"/>
    <mergeCell ref="H221:J221"/>
    <mergeCell ref="K221:L221"/>
    <mergeCell ref="P221:R221"/>
    <mergeCell ref="AD221:AF221"/>
    <mergeCell ref="AG221:AI221"/>
    <mergeCell ref="K223:L223"/>
    <mergeCell ref="P223:R223"/>
    <mergeCell ref="AD223:AF223"/>
    <mergeCell ref="AG223:AI223"/>
    <mergeCell ref="AK221:AO221"/>
    <mergeCell ref="B222:D222"/>
    <mergeCell ref="H222:J222"/>
    <mergeCell ref="K222:L222"/>
    <mergeCell ref="P222:R222"/>
    <mergeCell ref="AD222:AF222"/>
    <mergeCell ref="AK223:AO223"/>
    <mergeCell ref="K219:L219"/>
    <mergeCell ref="P219:R219"/>
    <mergeCell ref="AD219:AF219"/>
    <mergeCell ref="AG219:AI219"/>
    <mergeCell ref="AK217:AO217"/>
    <mergeCell ref="B218:D218"/>
    <mergeCell ref="H218:J218"/>
    <mergeCell ref="K218:L218"/>
    <mergeCell ref="P218:R218"/>
    <mergeCell ref="AD218:AF218"/>
    <mergeCell ref="AK219:AO219"/>
    <mergeCell ref="B220:D220"/>
    <mergeCell ref="H220:J220"/>
    <mergeCell ref="K220:L220"/>
    <mergeCell ref="P220:R220"/>
    <mergeCell ref="AD220:AF220"/>
    <mergeCell ref="AG220:AI220"/>
    <mergeCell ref="AK220:AO220"/>
    <mergeCell ref="B219:D219"/>
    <mergeCell ref="H219:J219"/>
    <mergeCell ref="B216:D216"/>
    <mergeCell ref="H216:J216"/>
    <mergeCell ref="K216:L216"/>
    <mergeCell ref="P216:R216"/>
    <mergeCell ref="AD216:AF216"/>
    <mergeCell ref="AG216:AI216"/>
    <mergeCell ref="AK216:AO216"/>
    <mergeCell ref="B215:D215"/>
    <mergeCell ref="H215:J215"/>
    <mergeCell ref="AG218:AI218"/>
    <mergeCell ref="AK218:AO218"/>
    <mergeCell ref="B217:D217"/>
    <mergeCell ref="H217:J217"/>
    <mergeCell ref="K217:L217"/>
    <mergeCell ref="P217:R217"/>
    <mergeCell ref="AD217:AF217"/>
    <mergeCell ref="AG217:AI217"/>
    <mergeCell ref="AG214:AI214"/>
    <mergeCell ref="AK214:AO214"/>
    <mergeCell ref="B213:D213"/>
    <mergeCell ref="H213:J213"/>
    <mergeCell ref="K213:L213"/>
    <mergeCell ref="P213:R213"/>
    <mergeCell ref="AD213:AF213"/>
    <mergeCell ref="AG213:AI213"/>
    <mergeCell ref="K215:L215"/>
    <mergeCell ref="P215:R215"/>
    <mergeCell ref="AD215:AF215"/>
    <mergeCell ref="AG215:AI215"/>
    <mergeCell ref="AK213:AO213"/>
    <mergeCell ref="B214:D214"/>
    <mergeCell ref="H214:J214"/>
    <mergeCell ref="K214:L214"/>
    <mergeCell ref="P214:R214"/>
    <mergeCell ref="AD214:AF214"/>
    <mergeCell ref="AK215:AO215"/>
    <mergeCell ref="K211:L211"/>
    <mergeCell ref="P211:R211"/>
    <mergeCell ref="AD211:AF211"/>
    <mergeCell ref="AG211:AI211"/>
    <mergeCell ref="AK209:AO209"/>
    <mergeCell ref="B210:D210"/>
    <mergeCell ref="H210:J210"/>
    <mergeCell ref="K210:L210"/>
    <mergeCell ref="P210:R210"/>
    <mergeCell ref="AD210:AF210"/>
    <mergeCell ref="AK211:AO211"/>
    <mergeCell ref="B212:D212"/>
    <mergeCell ref="H212:J212"/>
    <mergeCell ref="K212:L212"/>
    <mergeCell ref="P212:R212"/>
    <mergeCell ref="AD212:AF212"/>
    <mergeCell ref="AG212:AI212"/>
    <mergeCell ref="AK212:AO212"/>
    <mergeCell ref="B211:D211"/>
    <mergeCell ref="H211:J211"/>
    <mergeCell ref="B208:D208"/>
    <mergeCell ref="H208:J208"/>
    <mergeCell ref="K208:L208"/>
    <mergeCell ref="P208:R208"/>
    <mergeCell ref="AD208:AF208"/>
    <mergeCell ref="AG208:AI208"/>
    <mergeCell ref="AK208:AO208"/>
    <mergeCell ref="B207:D207"/>
    <mergeCell ref="H207:J207"/>
    <mergeCell ref="AG210:AI210"/>
    <mergeCell ref="AK210:AO210"/>
    <mergeCell ref="B209:D209"/>
    <mergeCell ref="H209:J209"/>
    <mergeCell ref="K209:L209"/>
    <mergeCell ref="P209:R209"/>
    <mergeCell ref="AD209:AF209"/>
    <mergeCell ref="AG209:AI209"/>
    <mergeCell ref="AG206:AI206"/>
    <mergeCell ref="AK206:AO206"/>
    <mergeCell ref="B205:D205"/>
    <mergeCell ref="H205:J205"/>
    <mergeCell ref="K205:L205"/>
    <mergeCell ref="P205:R205"/>
    <mergeCell ref="AD205:AF205"/>
    <mergeCell ref="AG205:AI205"/>
    <mergeCell ref="K207:L207"/>
    <mergeCell ref="P207:R207"/>
    <mergeCell ref="AD207:AF207"/>
    <mergeCell ref="AG207:AI207"/>
    <mergeCell ref="AK205:AO205"/>
    <mergeCell ref="B206:D206"/>
    <mergeCell ref="H206:J206"/>
    <mergeCell ref="K206:L206"/>
    <mergeCell ref="P206:R206"/>
    <mergeCell ref="AD206:AF206"/>
    <mergeCell ref="AK207:AO207"/>
    <mergeCell ref="K203:L203"/>
    <mergeCell ref="P203:R203"/>
    <mergeCell ref="AD203:AF203"/>
    <mergeCell ref="AG203:AI203"/>
    <mergeCell ref="AK201:AO201"/>
    <mergeCell ref="B202:D202"/>
    <mergeCell ref="H202:J202"/>
    <mergeCell ref="K202:L202"/>
    <mergeCell ref="P202:R202"/>
    <mergeCell ref="AD202:AF202"/>
    <mergeCell ref="AK203:AO203"/>
    <mergeCell ref="B204:D204"/>
    <mergeCell ref="H204:J204"/>
    <mergeCell ref="K204:L204"/>
    <mergeCell ref="P204:R204"/>
    <mergeCell ref="AD204:AF204"/>
    <mergeCell ref="AG204:AI204"/>
    <mergeCell ref="AK204:AO204"/>
    <mergeCell ref="B203:D203"/>
    <mergeCell ref="H203:J203"/>
    <mergeCell ref="B200:D200"/>
    <mergeCell ref="H200:J200"/>
    <mergeCell ref="K200:L200"/>
    <mergeCell ref="P200:R200"/>
    <mergeCell ref="AD200:AF200"/>
    <mergeCell ref="AG200:AI200"/>
    <mergeCell ref="AK200:AO200"/>
    <mergeCell ref="B199:D199"/>
    <mergeCell ref="H199:J199"/>
    <mergeCell ref="AG202:AI202"/>
    <mergeCell ref="AK202:AO202"/>
    <mergeCell ref="B201:D201"/>
    <mergeCell ref="H201:J201"/>
    <mergeCell ref="K201:L201"/>
    <mergeCell ref="P201:R201"/>
    <mergeCell ref="AD201:AF201"/>
    <mergeCell ref="AG201:AI201"/>
    <mergeCell ref="AG198:AI198"/>
    <mergeCell ref="AK198:AO198"/>
    <mergeCell ref="B197:D197"/>
    <mergeCell ref="H197:J197"/>
    <mergeCell ref="K197:L197"/>
    <mergeCell ref="P197:R197"/>
    <mergeCell ref="AD197:AF197"/>
    <mergeCell ref="AG197:AI197"/>
    <mergeCell ref="K199:L199"/>
    <mergeCell ref="P199:R199"/>
    <mergeCell ref="AD199:AF199"/>
    <mergeCell ref="AG199:AI199"/>
    <mergeCell ref="AK197:AO197"/>
    <mergeCell ref="B198:D198"/>
    <mergeCell ref="H198:J198"/>
    <mergeCell ref="K198:L198"/>
    <mergeCell ref="P198:R198"/>
    <mergeCell ref="AD198:AF198"/>
    <mergeCell ref="AK199:AO199"/>
    <mergeCell ref="K195:L195"/>
    <mergeCell ref="P195:R195"/>
    <mergeCell ref="AD195:AF195"/>
    <mergeCell ref="AG195:AI195"/>
    <mergeCell ref="AK193:AO193"/>
    <mergeCell ref="B194:D194"/>
    <mergeCell ref="H194:J194"/>
    <mergeCell ref="K194:L194"/>
    <mergeCell ref="P194:R194"/>
    <mergeCell ref="AD194:AF194"/>
    <mergeCell ref="AK195:AO195"/>
    <mergeCell ref="B196:D196"/>
    <mergeCell ref="H196:J196"/>
    <mergeCell ref="K196:L196"/>
    <mergeCell ref="P196:R196"/>
    <mergeCell ref="AD196:AF196"/>
    <mergeCell ref="AG196:AI196"/>
    <mergeCell ref="AK196:AO196"/>
    <mergeCell ref="B195:D195"/>
    <mergeCell ref="H195:J195"/>
    <mergeCell ref="B192:D192"/>
    <mergeCell ref="H192:J192"/>
    <mergeCell ref="K192:L192"/>
    <mergeCell ref="P192:R192"/>
    <mergeCell ref="AD192:AF192"/>
    <mergeCell ref="AG192:AI192"/>
    <mergeCell ref="AK192:AO192"/>
    <mergeCell ref="B191:D191"/>
    <mergeCell ref="H191:J191"/>
    <mergeCell ref="AG194:AI194"/>
    <mergeCell ref="AK194:AO194"/>
    <mergeCell ref="B193:D193"/>
    <mergeCell ref="H193:J193"/>
    <mergeCell ref="K193:L193"/>
    <mergeCell ref="P193:R193"/>
    <mergeCell ref="AD193:AF193"/>
    <mergeCell ref="AG193:AI193"/>
    <mergeCell ref="AG190:AI190"/>
    <mergeCell ref="AK190:AO190"/>
    <mergeCell ref="B189:D189"/>
    <mergeCell ref="H189:J189"/>
    <mergeCell ref="K189:L189"/>
    <mergeCell ref="P189:R189"/>
    <mergeCell ref="AD189:AF189"/>
    <mergeCell ref="AG189:AI189"/>
    <mergeCell ref="K191:L191"/>
    <mergeCell ref="P191:R191"/>
    <mergeCell ref="AD191:AF191"/>
    <mergeCell ref="AG191:AI191"/>
    <mergeCell ref="AK189:AO189"/>
    <mergeCell ref="B190:D190"/>
    <mergeCell ref="H190:J190"/>
    <mergeCell ref="K190:L190"/>
    <mergeCell ref="P190:R190"/>
    <mergeCell ref="AD190:AF190"/>
    <mergeCell ref="AK191:AO191"/>
    <mergeCell ref="K187:L187"/>
    <mergeCell ref="P187:R187"/>
    <mergeCell ref="AD187:AF187"/>
    <mergeCell ref="AG187:AI187"/>
    <mergeCell ref="AK185:AO185"/>
    <mergeCell ref="B186:D186"/>
    <mergeCell ref="H186:J186"/>
    <mergeCell ref="K186:L186"/>
    <mergeCell ref="P186:R186"/>
    <mergeCell ref="AD186:AF186"/>
    <mergeCell ref="AK187:AO187"/>
    <mergeCell ref="B188:D188"/>
    <mergeCell ref="H188:J188"/>
    <mergeCell ref="K188:L188"/>
    <mergeCell ref="P188:R188"/>
    <mergeCell ref="AD188:AF188"/>
    <mergeCell ref="AG188:AI188"/>
    <mergeCell ref="AK188:AO188"/>
    <mergeCell ref="B187:D187"/>
    <mergeCell ref="H187:J187"/>
    <mergeCell ref="B184:D184"/>
    <mergeCell ref="H184:J184"/>
    <mergeCell ref="K184:L184"/>
    <mergeCell ref="P184:R184"/>
    <mergeCell ref="AD184:AF184"/>
    <mergeCell ref="AG184:AI184"/>
    <mergeCell ref="AK184:AO184"/>
    <mergeCell ref="B183:D183"/>
    <mergeCell ref="H183:J183"/>
    <mergeCell ref="AG186:AI186"/>
    <mergeCell ref="AK186:AO186"/>
    <mergeCell ref="B185:D185"/>
    <mergeCell ref="H185:J185"/>
    <mergeCell ref="K185:L185"/>
    <mergeCell ref="P185:R185"/>
    <mergeCell ref="AD185:AF185"/>
    <mergeCell ref="AG185:AI185"/>
    <mergeCell ref="AG182:AI182"/>
    <mergeCell ref="AK182:AO182"/>
    <mergeCell ref="B181:D181"/>
    <mergeCell ref="H181:J181"/>
    <mergeCell ref="K181:L181"/>
    <mergeCell ref="P181:R181"/>
    <mergeCell ref="AD181:AF181"/>
    <mergeCell ref="AG181:AI181"/>
    <mergeCell ref="K183:L183"/>
    <mergeCell ref="P183:R183"/>
    <mergeCell ref="AD183:AF183"/>
    <mergeCell ref="AG183:AI183"/>
    <mergeCell ref="AK181:AO181"/>
    <mergeCell ref="B182:D182"/>
    <mergeCell ref="H182:J182"/>
    <mergeCell ref="K182:L182"/>
    <mergeCell ref="P182:R182"/>
    <mergeCell ref="AD182:AF182"/>
    <mergeCell ref="AK183:AO183"/>
    <mergeCell ref="K179:L179"/>
    <mergeCell ref="P179:R179"/>
    <mergeCell ref="AD179:AF179"/>
    <mergeCell ref="AG179:AI179"/>
    <mergeCell ref="AK177:AO177"/>
    <mergeCell ref="B178:D178"/>
    <mergeCell ref="H178:J178"/>
    <mergeCell ref="K178:L178"/>
    <mergeCell ref="P178:R178"/>
    <mergeCell ref="AD178:AF178"/>
    <mergeCell ref="AK179:AO179"/>
    <mergeCell ref="B180:D180"/>
    <mergeCell ref="H180:J180"/>
    <mergeCell ref="K180:L180"/>
    <mergeCell ref="P180:R180"/>
    <mergeCell ref="AD180:AF180"/>
    <mergeCell ref="AG180:AI180"/>
    <mergeCell ref="AK180:AO180"/>
    <mergeCell ref="B179:D179"/>
    <mergeCell ref="H179:J179"/>
    <mergeCell ref="B176:D176"/>
    <mergeCell ref="H176:J176"/>
    <mergeCell ref="K176:L176"/>
    <mergeCell ref="P176:R176"/>
    <mergeCell ref="AD176:AF176"/>
    <mergeCell ref="AG176:AI176"/>
    <mergeCell ref="AK176:AO176"/>
    <mergeCell ref="B175:D175"/>
    <mergeCell ref="H175:J175"/>
    <mergeCell ref="AG178:AI178"/>
    <mergeCell ref="AK178:AO178"/>
    <mergeCell ref="B177:D177"/>
    <mergeCell ref="H177:J177"/>
    <mergeCell ref="K177:L177"/>
    <mergeCell ref="P177:R177"/>
    <mergeCell ref="AD177:AF177"/>
    <mergeCell ref="AG177:AI177"/>
    <mergeCell ref="AG174:AI174"/>
    <mergeCell ref="AK174:AO174"/>
    <mergeCell ref="B173:D173"/>
    <mergeCell ref="H173:J173"/>
    <mergeCell ref="K173:L173"/>
    <mergeCell ref="P173:R173"/>
    <mergeCell ref="AD173:AF173"/>
    <mergeCell ref="AG173:AI173"/>
    <mergeCell ref="K175:L175"/>
    <mergeCell ref="P175:R175"/>
    <mergeCell ref="AD175:AF175"/>
    <mergeCell ref="AG175:AI175"/>
    <mergeCell ref="AK173:AO173"/>
    <mergeCell ref="B174:D174"/>
    <mergeCell ref="H174:J174"/>
    <mergeCell ref="K174:L174"/>
    <mergeCell ref="P174:R174"/>
    <mergeCell ref="AD174:AF174"/>
    <mergeCell ref="AK175:AO175"/>
    <mergeCell ref="K171:L171"/>
    <mergeCell ref="P171:R171"/>
    <mergeCell ref="AD171:AF171"/>
    <mergeCell ref="AG171:AI171"/>
    <mergeCell ref="AK169:AO169"/>
    <mergeCell ref="B170:D170"/>
    <mergeCell ref="H170:J170"/>
    <mergeCell ref="K170:L170"/>
    <mergeCell ref="P170:R170"/>
    <mergeCell ref="AD170:AF170"/>
    <mergeCell ref="AK171:AO171"/>
    <mergeCell ref="B172:D172"/>
    <mergeCell ref="H172:J172"/>
    <mergeCell ref="K172:L172"/>
    <mergeCell ref="P172:R172"/>
    <mergeCell ref="AD172:AF172"/>
    <mergeCell ref="AG172:AI172"/>
    <mergeCell ref="AK172:AO172"/>
    <mergeCell ref="B171:D171"/>
    <mergeCell ref="H171:J171"/>
    <mergeCell ref="B168:D168"/>
    <mergeCell ref="H168:J168"/>
    <mergeCell ref="K168:L168"/>
    <mergeCell ref="P168:R168"/>
    <mergeCell ref="AD168:AF168"/>
    <mergeCell ref="AG168:AI168"/>
    <mergeCell ref="AK168:AO168"/>
    <mergeCell ref="B167:D167"/>
    <mergeCell ref="H167:J167"/>
    <mergeCell ref="AG170:AI170"/>
    <mergeCell ref="AK170:AO170"/>
    <mergeCell ref="B169:D169"/>
    <mergeCell ref="H169:J169"/>
    <mergeCell ref="K169:L169"/>
    <mergeCell ref="P169:R169"/>
    <mergeCell ref="AD169:AF169"/>
    <mergeCell ref="AG169:AI169"/>
    <mergeCell ref="AG166:AI166"/>
    <mergeCell ref="AK166:AO166"/>
    <mergeCell ref="B165:D165"/>
    <mergeCell ref="H165:J165"/>
    <mergeCell ref="K165:L165"/>
    <mergeCell ref="P165:R165"/>
    <mergeCell ref="AD165:AF165"/>
    <mergeCell ref="AG165:AI165"/>
    <mergeCell ref="K167:L167"/>
    <mergeCell ref="P167:R167"/>
    <mergeCell ref="AD167:AF167"/>
    <mergeCell ref="AG167:AI167"/>
    <mergeCell ref="AK165:AO165"/>
    <mergeCell ref="B166:D166"/>
    <mergeCell ref="H166:J166"/>
    <mergeCell ref="K166:L166"/>
    <mergeCell ref="P166:R166"/>
    <mergeCell ref="AD166:AF166"/>
    <mergeCell ref="AK167:AO167"/>
    <mergeCell ref="K163:L163"/>
    <mergeCell ref="P163:R163"/>
    <mergeCell ref="AD163:AF163"/>
    <mergeCell ref="AG163:AI163"/>
    <mergeCell ref="AK161:AO161"/>
    <mergeCell ref="B162:D162"/>
    <mergeCell ref="H162:J162"/>
    <mergeCell ref="K162:L162"/>
    <mergeCell ref="P162:R162"/>
    <mergeCell ref="AD162:AF162"/>
    <mergeCell ref="AK163:AO163"/>
    <mergeCell ref="B164:D164"/>
    <mergeCell ref="H164:J164"/>
    <mergeCell ref="K164:L164"/>
    <mergeCell ref="P164:R164"/>
    <mergeCell ref="AD164:AF164"/>
    <mergeCell ref="AG164:AI164"/>
    <mergeCell ref="AK164:AO164"/>
    <mergeCell ref="B163:D163"/>
    <mergeCell ref="H163:J163"/>
    <mergeCell ref="B160:D160"/>
    <mergeCell ref="H160:J160"/>
    <mergeCell ref="K160:L160"/>
    <mergeCell ref="P160:R160"/>
    <mergeCell ref="AD160:AF160"/>
    <mergeCell ref="AG160:AI160"/>
    <mergeCell ref="AK160:AO160"/>
    <mergeCell ref="B159:D159"/>
    <mergeCell ref="H159:J159"/>
    <mergeCell ref="AG162:AI162"/>
    <mergeCell ref="AK162:AO162"/>
    <mergeCell ref="B161:D161"/>
    <mergeCell ref="H161:J161"/>
    <mergeCell ref="K161:L161"/>
    <mergeCell ref="P161:R161"/>
    <mergeCell ref="AD161:AF161"/>
    <mergeCell ref="AG161:AI161"/>
    <mergeCell ref="AG158:AI158"/>
    <mergeCell ref="AK158:AO158"/>
    <mergeCell ref="B157:D157"/>
    <mergeCell ref="H157:J157"/>
    <mergeCell ref="K157:L157"/>
    <mergeCell ref="P157:R157"/>
    <mergeCell ref="AD157:AF157"/>
    <mergeCell ref="AG157:AI157"/>
    <mergeCell ref="K159:L159"/>
    <mergeCell ref="P159:R159"/>
    <mergeCell ref="AD159:AF159"/>
    <mergeCell ref="AG159:AI159"/>
    <mergeCell ref="AK157:AO157"/>
    <mergeCell ref="B158:D158"/>
    <mergeCell ref="H158:J158"/>
    <mergeCell ref="K158:L158"/>
    <mergeCell ref="P158:R158"/>
    <mergeCell ref="AD158:AF158"/>
    <mergeCell ref="AK159:AO159"/>
    <mergeCell ref="K155:L155"/>
    <mergeCell ref="P155:R155"/>
    <mergeCell ref="AD155:AF155"/>
    <mergeCell ref="AG155:AI155"/>
    <mergeCell ref="AK153:AO153"/>
    <mergeCell ref="B154:D154"/>
    <mergeCell ref="H154:J154"/>
    <mergeCell ref="K154:L154"/>
    <mergeCell ref="P154:R154"/>
    <mergeCell ref="AD154:AF154"/>
    <mergeCell ref="AK155:AO155"/>
    <mergeCell ref="B156:D156"/>
    <mergeCell ref="H156:J156"/>
    <mergeCell ref="K156:L156"/>
    <mergeCell ref="P156:R156"/>
    <mergeCell ref="AD156:AF156"/>
    <mergeCell ref="AG156:AI156"/>
    <mergeCell ref="AK156:AO156"/>
    <mergeCell ref="B155:D155"/>
    <mergeCell ref="H155:J155"/>
    <mergeCell ref="B152:D152"/>
    <mergeCell ref="H152:J152"/>
    <mergeCell ref="K152:L152"/>
    <mergeCell ref="P152:R152"/>
    <mergeCell ref="AD152:AF152"/>
    <mergeCell ref="AG152:AI152"/>
    <mergeCell ref="AK152:AO152"/>
    <mergeCell ref="B151:D151"/>
    <mergeCell ref="H151:J151"/>
    <mergeCell ref="AG154:AI154"/>
    <mergeCell ref="AK154:AO154"/>
    <mergeCell ref="B153:D153"/>
    <mergeCell ref="H153:J153"/>
    <mergeCell ref="K153:L153"/>
    <mergeCell ref="P153:R153"/>
    <mergeCell ref="AD153:AF153"/>
    <mergeCell ref="AG153:AI153"/>
    <mergeCell ref="AG150:AI150"/>
    <mergeCell ref="AK150:AO150"/>
    <mergeCell ref="B149:D149"/>
    <mergeCell ref="H149:J149"/>
    <mergeCell ref="K149:L149"/>
    <mergeCell ref="P149:R149"/>
    <mergeCell ref="AD149:AF149"/>
    <mergeCell ref="AG149:AI149"/>
    <mergeCell ref="K151:L151"/>
    <mergeCell ref="P151:R151"/>
    <mergeCell ref="AD151:AF151"/>
    <mergeCell ref="AG151:AI151"/>
    <mergeCell ref="AK149:AO149"/>
    <mergeCell ref="B150:D150"/>
    <mergeCell ref="H150:J150"/>
    <mergeCell ref="K150:L150"/>
    <mergeCell ref="P150:R150"/>
    <mergeCell ref="AD150:AF150"/>
    <mergeCell ref="AK151:AO151"/>
    <mergeCell ref="K147:L147"/>
    <mergeCell ref="P147:R147"/>
    <mergeCell ref="AD147:AF147"/>
    <mergeCell ref="AG147:AI147"/>
    <mergeCell ref="AK145:AO145"/>
    <mergeCell ref="B146:D146"/>
    <mergeCell ref="H146:J146"/>
    <mergeCell ref="K146:L146"/>
    <mergeCell ref="P146:R146"/>
    <mergeCell ref="AD146:AF146"/>
    <mergeCell ref="AK147:AO147"/>
    <mergeCell ref="B148:D148"/>
    <mergeCell ref="H148:J148"/>
    <mergeCell ref="K148:L148"/>
    <mergeCell ref="P148:R148"/>
    <mergeCell ref="AD148:AF148"/>
    <mergeCell ref="AG148:AI148"/>
    <mergeCell ref="AK148:AO148"/>
    <mergeCell ref="B147:D147"/>
    <mergeCell ref="H147:J147"/>
    <mergeCell ref="B144:D144"/>
    <mergeCell ref="H144:J144"/>
    <mergeCell ref="K144:L144"/>
    <mergeCell ref="P144:R144"/>
    <mergeCell ref="AD144:AF144"/>
    <mergeCell ref="AG144:AI144"/>
    <mergeCell ref="AK144:AO144"/>
    <mergeCell ref="B143:D143"/>
    <mergeCell ref="H143:J143"/>
    <mergeCell ref="AG146:AI146"/>
    <mergeCell ref="AK146:AO146"/>
    <mergeCell ref="B145:D145"/>
    <mergeCell ref="H145:J145"/>
    <mergeCell ref="K145:L145"/>
    <mergeCell ref="P145:R145"/>
    <mergeCell ref="AD145:AF145"/>
    <mergeCell ref="AG145:AI145"/>
    <mergeCell ref="AG142:AI142"/>
    <mergeCell ref="AK142:AO142"/>
    <mergeCell ref="B141:D141"/>
    <mergeCell ref="H141:J141"/>
    <mergeCell ref="K141:L141"/>
    <mergeCell ref="P141:R141"/>
    <mergeCell ref="AD141:AF141"/>
    <mergeCell ref="AG141:AI141"/>
    <mergeCell ref="K143:L143"/>
    <mergeCell ref="P143:R143"/>
    <mergeCell ref="AD143:AF143"/>
    <mergeCell ref="AG143:AI143"/>
    <mergeCell ref="AK141:AO141"/>
    <mergeCell ref="B142:D142"/>
    <mergeCell ref="H142:J142"/>
    <mergeCell ref="K142:L142"/>
    <mergeCell ref="P142:R142"/>
    <mergeCell ref="AD142:AF142"/>
    <mergeCell ref="AK143:AO143"/>
    <mergeCell ref="K139:L139"/>
    <mergeCell ref="P139:R139"/>
    <mergeCell ref="AD139:AF139"/>
    <mergeCell ref="AG139:AI139"/>
    <mergeCell ref="AK137:AO137"/>
    <mergeCell ref="B138:D138"/>
    <mergeCell ref="H138:J138"/>
    <mergeCell ref="K138:L138"/>
    <mergeCell ref="P138:R138"/>
    <mergeCell ref="AD138:AF138"/>
    <mergeCell ref="AK139:AO139"/>
    <mergeCell ref="B140:D140"/>
    <mergeCell ref="H140:J140"/>
    <mergeCell ref="K140:L140"/>
    <mergeCell ref="P140:R140"/>
    <mergeCell ref="AD140:AF140"/>
    <mergeCell ref="AG140:AI140"/>
    <mergeCell ref="AK140:AO140"/>
    <mergeCell ref="B139:D139"/>
    <mergeCell ref="H139:J139"/>
    <mergeCell ref="B136:D136"/>
    <mergeCell ref="H136:J136"/>
    <mergeCell ref="K136:L136"/>
    <mergeCell ref="P136:R136"/>
    <mergeCell ref="AD136:AF136"/>
    <mergeCell ref="AG136:AI136"/>
    <mergeCell ref="AK136:AO136"/>
    <mergeCell ref="B135:D135"/>
    <mergeCell ref="H135:J135"/>
    <mergeCell ref="AG138:AI138"/>
    <mergeCell ref="AK138:AO138"/>
    <mergeCell ref="B137:D137"/>
    <mergeCell ref="H137:J137"/>
    <mergeCell ref="K137:L137"/>
    <mergeCell ref="P137:R137"/>
    <mergeCell ref="AD137:AF137"/>
    <mergeCell ref="AG137:AI137"/>
    <mergeCell ref="AG134:AI134"/>
    <mergeCell ref="AK134:AO134"/>
    <mergeCell ref="B133:D133"/>
    <mergeCell ref="H133:J133"/>
    <mergeCell ref="K133:L133"/>
    <mergeCell ref="P133:R133"/>
    <mergeCell ref="AD133:AF133"/>
    <mergeCell ref="AG133:AI133"/>
    <mergeCell ref="K135:L135"/>
    <mergeCell ref="P135:R135"/>
    <mergeCell ref="AD135:AF135"/>
    <mergeCell ref="AG135:AI135"/>
    <mergeCell ref="AK133:AO133"/>
    <mergeCell ref="B134:D134"/>
    <mergeCell ref="H134:J134"/>
    <mergeCell ref="K134:L134"/>
    <mergeCell ref="P134:R134"/>
    <mergeCell ref="AD134:AF134"/>
    <mergeCell ref="AK135:AO135"/>
    <mergeCell ref="K131:L131"/>
    <mergeCell ref="P131:R131"/>
    <mergeCell ref="AD131:AF131"/>
    <mergeCell ref="AG131:AI131"/>
    <mergeCell ref="AK129:AO129"/>
    <mergeCell ref="B130:D130"/>
    <mergeCell ref="H130:J130"/>
    <mergeCell ref="K130:L130"/>
    <mergeCell ref="P130:R130"/>
    <mergeCell ref="AD130:AF130"/>
    <mergeCell ref="AK131:AO131"/>
    <mergeCell ref="B132:D132"/>
    <mergeCell ref="H132:J132"/>
    <mergeCell ref="K132:L132"/>
    <mergeCell ref="P132:R132"/>
    <mergeCell ref="AD132:AF132"/>
    <mergeCell ref="AG132:AI132"/>
    <mergeCell ref="AK132:AO132"/>
    <mergeCell ref="B131:D131"/>
    <mergeCell ref="H131:J131"/>
    <mergeCell ref="B128:D128"/>
    <mergeCell ref="H128:J128"/>
    <mergeCell ref="K128:L128"/>
    <mergeCell ref="P128:R128"/>
    <mergeCell ref="AD128:AF128"/>
    <mergeCell ref="AG128:AI128"/>
    <mergeCell ref="AK128:AO128"/>
    <mergeCell ref="B127:D127"/>
    <mergeCell ref="H127:J127"/>
    <mergeCell ref="AG130:AI130"/>
    <mergeCell ref="AK130:AO130"/>
    <mergeCell ref="B129:D129"/>
    <mergeCell ref="H129:J129"/>
    <mergeCell ref="K129:L129"/>
    <mergeCell ref="P129:R129"/>
    <mergeCell ref="AD129:AF129"/>
    <mergeCell ref="AG129:AI129"/>
    <mergeCell ref="AG126:AI126"/>
    <mergeCell ref="AK126:AO126"/>
    <mergeCell ref="B125:D125"/>
    <mergeCell ref="H125:J125"/>
    <mergeCell ref="K125:L125"/>
    <mergeCell ref="P125:R125"/>
    <mergeCell ref="AD125:AF125"/>
    <mergeCell ref="AG125:AI125"/>
    <mergeCell ref="K127:L127"/>
    <mergeCell ref="P127:R127"/>
    <mergeCell ref="AD127:AF127"/>
    <mergeCell ref="AG127:AI127"/>
    <mergeCell ref="AK125:AO125"/>
    <mergeCell ref="B126:D126"/>
    <mergeCell ref="H126:J126"/>
    <mergeCell ref="K126:L126"/>
    <mergeCell ref="P126:R126"/>
    <mergeCell ref="AD126:AF126"/>
    <mergeCell ref="AK127:AO127"/>
    <mergeCell ref="K123:L123"/>
    <mergeCell ref="P123:R123"/>
    <mergeCell ref="AD123:AF123"/>
    <mergeCell ref="AG123:AI123"/>
    <mergeCell ref="AK121:AO121"/>
    <mergeCell ref="B122:D122"/>
    <mergeCell ref="H122:J122"/>
    <mergeCell ref="K122:L122"/>
    <mergeCell ref="P122:R122"/>
    <mergeCell ref="AD122:AF122"/>
    <mergeCell ref="AK123:AO123"/>
    <mergeCell ref="B124:D124"/>
    <mergeCell ref="H124:J124"/>
    <mergeCell ref="K124:L124"/>
    <mergeCell ref="P124:R124"/>
    <mergeCell ref="AD124:AF124"/>
    <mergeCell ref="AG124:AI124"/>
    <mergeCell ref="AK124:AO124"/>
    <mergeCell ref="B123:D123"/>
    <mergeCell ref="H123:J123"/>
    <mergeCell ref="B120:D120"/>
    <mergeCell ref="H120:J120"/>
    <mergeCell ref="K120:L120"/>
    <mergeCell ref="P120:R120"/>
    <mergeCell ref="AD120:AF120"/>
    <mergeCell ref="AG120:AI120"/>
    <mergeCell ref="AK120:AO120"/>
    <mergeCell ref="B119:D119"/>
    <mergeCell ref="H119:J119"/>
    <mergeCell ref="AG122:AI122"/>
    <mergeCell ref="AK122:AO122"/>
    <mergeCell ref="B121:D121"/>
    <mergeCell ref="H121:J121"/>
    <mergeCell ref="K121:L121"/>
    <mergeCell ref="P121:R121"/>
    <mergeCell ref="AD121:AF121"/>
    <mergeCell ref="AG121:AI121"/>
    <mergeCell ref="AG118:AI118"/>
    <mergeCell ref="AK118:AO118"/>
    <mergeCell ref="B117:D117"/>
    <mergeCell ref="H117:J117"/>
    <mergeCell ref="K117:L117"/>
    <mergeCell ref="P117:R117"/>
    <mergeCell ref="AD117:AF117"/>
    <mergeCell ref="AG117:AI117"/>
    <mergeCell ref="K119:L119"/>
    <mergeCell ref="P119:R119"/>
    <mergeCell ref="AD119:AF119"/>
    <mergeCell ref="AG119:AI119"/>
    <mergeCell ref="AK117:AO117"/>
    <mergeCell ref="B118:D118"/>
    <mergeCell ref="H118:J118"/>
    <mergeCell ref="K118:L118"/>
    <mergeCell ref="P118:R118"/>
    <mergeCell ref="AD118:AF118"/>
    <mergeCell ref="AK119:AO119"/>
    <mergeCell ref="K115:L115"/>
    <mergeCell ref="P115:R115"/>
    <mergeCell ref="AD115:AF115"/>
    <mergeCell ref="AG115:AI115"/>
    <mergeCell ref="AK113:AO113"/>
    <mergeCell ref="B114:D114"/>
    <mergeCell ref="H114:J114"/>
    <mergeCell ref="K114:L114"/>
    <mergeCell ref="P114:R114"/>
    <mergeCell ref="AD114:AF114"/>
    <mergeCell ref="AK115:AO115"/>
    <mergeCell ref="B116:D116"/>
    <mergeCell ref="H116:J116"/>
    <mergeCell ref="K116:L116"/>
    <mergeCell ref="P116:R116"/>
    <mergeCell ref="AD116:AF116"/>
    <mergeCell ref="AG116:AI116"/>
    <mergeCell ref="AK116:AO116"/>
    <mergeCell ref="B115:D115"/>
    <mergeCell ref="H115:J115"/>
    <mergeCell ref="B112:D112"/>
    <mergeCell ref="H112:J112"/>
    <mergeCell ref="K112:L112"/>
    <mergeCell ref="P112:R112"/>
    <mergeCell ref="AD112:AF112"/>
    <mergeCell ref="AG112:AI112"/>
    <mergeCell ref="AK112:AO112"/>
    <mergeCell ref="B111:D111"/>
    <mergeCell ref="H111:J111"/>
    <mergeCell ref="AG114:AI114"/>
    <mergeCell ref="AK114:AO114"/>
    <mergeCell ref="B113:D113"/>
    <mergeCell ref="H113:J113"/>
    <mergeCell ref="K113:L113"/>
    <mergeCell ref="P113:R113"/>
    <mergeCell ref="AD113:AF113"/>
    <mergeCell ref="AG113:AI113"/>
    <mergeCell ref="AG110:AI110"/>
    <mergeCell ref="AK110:AO110"/>
    <mergeCell ref="B109:D109"/>
    <mergeCell ref="H109:J109"/>
    <mergeCell ref="K109:L109"/>
    <mergeCell ref="P109:R109"/>
    <mergeCell ref="AD109:AF109"/>
    <mergeCell ref="AG109:AI109"/>
    <mergeCell ref="K111:L111"/>
    <mergeCell ref="P111:R111"/>
    <mergeCell ref="AD111:AF111"/>
    <mergeCell ref="AG111:AI111"/>
    <mergeCell ref="AK109:AO109"/>
    <mergeCell ref="B110:D110"/>
    <mergeCell ref="H110:J110"/>
    <mergeCell ref="K110:L110"/>
    <mergeCell ref="P110:R110"/>
    <mergeCell ref="AD110:AF110"/>
    <mergeCell ref="AK111:AO111"/>
    <mergeCell ref="K107:L107"/>
    <mergeCell ref="P107:R107"/>
    <mergeCell ref="AD107:AF107"/>
    <mergeCell ref="AG107:AI107"/>
    <mergeCell ref="AK105:AO105"/>
    <mergeCell ref="B106:D106"/>
    <mergeCell ref="H106:J106"/>
    <mergeCell ref="K106:L106"/>
    <mergeCell ref="P106:R106"/>
    <mergeCell ref="AD106:AF106"/>
    <mergeCell ref="AK107:AO107"/>
    <mergeCell ref="B108:D108"/>
    <mergeCell ref="H108:J108"/>
    <mergeCell ref="K108:L108"/>
    <mergeCell ref="P108:R108"/>
    <mergeCell ref="AD108:AF108"/>
    <mergeCell ref="AG108:AI108"/>
    <mergeCell ref="AK108:AO108"/>
    <mergeCell ref="B107:D107"/>
    <mergeCell ref="H107:J107"/>
    <mergeCell ref="B104:D104"/>
    <mergeCell ref="H104:J104"/>
    <mergeCell ref="K104:L104"/>
    <mergeCell ref="P104:R104"/>
    <mergeCell ref="AD104:AF104"/>
    <mergeCell ref="AG104:AI104"/>
    <mergeCell ref="AK104:AO104"/>
    <mergeCell ref="B103:D103"/>
    <mergeCell ref="H103:J103"/>
    <mergeCell ref="AG106:AI106"/>
    <mergeCell ref="AK106:AO106"/>
    <mergeCell ref="B105:D105"/>
    <mergeCell ref="H105:J105"/>
    <mergeCell ref="K105:L105"/>
    <mergeCell ref="P105:R105"/>
    <mergeCell ref="AD105:AF105"/>
    <mergeCell ref="AG105:AI105"/>
    <mergeCell ref="AG102:AI102"/>
    <mergeCell ref="AK102:AO102"/>
    <mergeCell ref="B101:D101"/>
    <mergeCell ref="H101:J101"/>
    <mergeCell ref="K101:L101"/>
    <mergeCell ref="P101:R101"/>
    <mergeCell ref="AD101:AF101"/>
    <mergeCell ref="AG101:AI101"/>
    <mergeCell ref="K103:L103"/>
    <mergeCell ref="P103:R103"/>
    <mergeCell ref="AD103:AF103"/>
    <mergeCell ref="AG103:AI103"/>
    <mergeCell ref="AK101:AO101"/>
    <mergeCell ref="B102:D102"/>
    <mergeCell ref="H102:J102"/>
    <mergeCell ref="K102:L102"/>
    <mergeCell ref="P102:R102"/>
    <mergeCell ref="AD102:AF102"/>
    <mergeCell ref="AK103:AO103"/>
    <mergeCell ref="K99:L99"/>
    <mergeCell ref="P99:R99"/>
    <mergeCell ref="AD99:AF99"/>
    <mergeCell ref="AG99:AI99"/>
    <mergeCell ref="AK97:AO97"/>
    <mergeCell ref="B98:D98"/>
    <mergeCell ref="H98:J98"/>
    <mergeCell ref="K98:L98"/>
    <mergeCell ref="P98:R98"/>
    <mergeCell ref="AD98:AF98"/>
    <mergeCell ref="AK99:AO99"/>
    <mergeCell ref="B100:D100"/>
    <mergeCell ref="H100:J100"/>
    <mergeCell ref="K100:L100"/>
    <mergeCell ref="P100:R100"/>
    <mergeCell ref="AD100:AF100"/>
    <mergeCell ref="AG100:AI100"/>
    <mergeCell ref="AK100:AO100"/>
    <mergeCell ref="B99:D99"/>
    <mergeCell ref="H99:J99"/>
    <mergeCell ref="B96:D96"/>
    <mergeCell ref="H96:J96"/>
    <mergeCell ref="K96:L96"/>
    <mergeCell ref="P96:R96"/>
    <mergeCell ref="AD96:AF96"/>
    <mergeCell ref="AG96:AI96"/>
    <mergeCell ref="AK96:AO96"/>
    <mergeCell ref="B95:D95"/>
    <mergeCell ref="H95:J95"/>
    <mergeCell ref="AG98:AI98"/>
    <mergeCell ref="AK98:AO98"/>
    <mergeCell ref="B97:D97"/>
    <mergeCell ref="H97:J97"/>
    <mergeCell ref="K97:L97"/>
    <mergeCell ref="P97:R97"/>
    <mergeCell ref="AD97:AF97"/>
    <mergeCell ref="AG97:AI97"/>
    <mergeCell ref="AG94:AI94"/>
    <mergeCell ref="AK94:AO94"/>
    <mergeCell ref="B93:D93"/>
    <mergeCell ref="H93:J93"/>
    <mergeCell ref="K93:L93"/>
    <mergeCell ref="P93:R93"/>
    <mergeCell ref="AD93:AF93"/>
    <mergeCell ref="AG93:AI93"/>
    <mergeCell ref="K95:L95"/>
    <mergeCell ref="P95:R95"/>
    <mergeCell ref="AD95:AF95"/>
    <mergeCell ref="AG95:AI95"/>
    <mergeCell ref="AK93:AO93"/>
    <mergeCell ref="B94:D94"/>
    <mergeCell ref="H94:J94"/>
    <mergeCell ref="K94:L94"/>
    <mergeCell ref="P94:R94"/>
    <mergeCell ref="AD94:AF94"/>
    <mergeCell ref="AK95:AO95"/>
    <mergeCell ref="K91:L91"/>
    <mergeCell ref="P91:R91"/>
    <mergeCell ref="AD91:AF91"/>
    <mergeCell ref="AG91:AI91"/>
    <mergeCell ref="AK89:AO89"/>
    <mergeCell ref="B90:D90"/>
    <mergeCell ref="H90:J90"/>
    <mergeCell ref="K90:L90"/>
    <mergeCell ref="P90:R90"/>
    <mergeCell ref="AD90:AF90"/>
    <mergeCell ref="AK91:AO91"/>
    <mergeCell ref="B92:D92"/>
    <mergeCell ref="H92:J92"/>
    <mergeCell ref="K92:L92"/>
    <mergeCell ref="P92:R92"/>
    <mergeCell ref="AD92:AF92"/>
    <mergeCell ref="AG92:AI92"/>
    <mergeCell ref="AK92:AO92"/>
    <mergeCell ref="B91:D91"/>
    <mergeCell ref="H91:J91"/>
    <mergeCell ref="B88:D88"/>
    <mergeCell ref="H88:J88"/>
    <mergeCell ref="K88:L88"/>
    <mergeCell ref="P88:R88"/>
    <mergeCell ref="AD88:AF88"/>
    <mergeCell ref="AG88:AI88"/>
    <mergeCell ref="AK88:AO88"/>
    <mergeCell ref="B87:D87"/>
    <mergeCell ref="H87:J87"/>
    <mergeCell ref="AG90:AI90"/>
    <mergeCell ref="AK90:AO90"/>
    <mergeCell ref="B89:D89"/>
    <mergeCell ref="H89:J89"/>
    <mergeCell ref="K89:L89"/>
    <mergeCell ref="P89:R89"/>
    <mergeCell ref="AD89:AF89"/>
    <mergeCell ref="AG89:AI89"/>
    <mergeCell ref="AG86:AI86"/>
    <mergeCell ref="AK86:AO86"/>
    <mergeCell ref="B85:D85"/>
    <mergeCell ref="H85:J85"/>
    <mergeCell ref="K85:L85"/>
    <mergeCell ref="P85:R85"/>
    <mergeCell ref="AD85:AF85"/>
    <mergeCell ref="AG85:AI85"/>
    <mergeCell ref="K87:L87"/>
    <mergeCell ref="P87:R87"/>
    <mergeCell ref="AD87:AF87"/>
    <mergeCell ref="AG87:AI87"/>
    <mergeCell ref="AK85:AO85"/>
    <mergeCell ref="B86:D86"/>
    <mergeCell ref="H86:J86"/>
    <mergeCell ref="K86:L86"/>
    <mergeCell ref="P86:R86"/>
    <mergeCell ref="AD86:AF86"/>
    <mergeCell ref="AK87:AO87"/>
    <mergeCell ref="K83:L83"/>
    <mergeCell ref="P83:R83"/>
    <mergeCell ref="AD83:AF83"/>
    <mergeCell ref="AG83:AI83"/>
    <mergeCell ref="AK81:AO81"/>
    <mergeCell ref="B82:D82"/>
    <mergeCell ref="H82:J82"/>
    <mergeCell ref="K82:L82"/>
    <mergeCell ref="P82:R82"/>
    <mergeCell ref="AD82:AF82"/>
    <mergeCell ref="AK83:AO83"/>
    <mergeCell ref="B84:D84"/>
    <mergeCell ref="H84:J84"/>
    <mergeCell ref="K84:L84"/>
    <mergeCell ref="P84:R84"/>
    <mergeCell ref="AD84:AF84"/>
    <mergeCell ref="AG84:AI84"/>
    <mergeCell ref="AK84:AO84"/>
    <mergeCell ref="B83:D83"/>
    <mergeCell ref="H83:J83"/>
    <mergeCell ref="B80:D80"/>
    <mergeCell ref="H80:J80"/>
    <mergeCell ref="K80:L80"/>
    <mergeCell ref="P80:R80"/>
    <mergeCell ref="AD80:AF80"/>
    <mergeCell ref="AG80:AI80"/>
    <mergeCell ref="AK80:AO80"/>
    <mergeCell ref="B79:D79"/>
    <mergeCell ref="H79:J79"/>
    <mergeCell ref="AG82:AI82"/>
    <mergeCell ref="AK82:AO82"/>
    <mergeCell ref="B81:D81"/>
    <mergeCell ref="H81:J81"/>
    <mergeCell ref="K81:L81"/>
    <mergeCell ref="P81:R81"/>
    <mergeCell ref="AD81:AF81"/>
    <mergeCell ref="AG81:AI81"/>
    <mergeCell ref="AG78:AI78"/>
    <mergeCell ref="AK78:AO78"/>
    <mergeCell ref="B77:D77"/>
    <mergeCell ref="H77:J77"/>
    <mergeCell ref="K77:L77"/>
    <mergeCell ref="P77:R77"/>
    <mergeCell ref="AD77:AF77"/>
    <mergeCell ref="AG77:AI77"/>
    <mergeCell ref="K79:L79"/>
    <mergeCell ref="P79:R79"/>
    <mergeCell ref="AD79:AF79"/>
    <mergeCell ref="AG79:AI79"/>
    <mergeCell ref="AK77:AO77"/>
    <mergeCell ref="B78:D78"/>
    <mergeCell ref="H78:J78"/>
    <mergeCell ref="K78:L78"/>
    <mergeCell ref="P78:R78"/>
    <mergeCell ref="AD78:AF78"/>
    <mergeCell ref="AK79:AO79"/>
    <mergeCell ref="K75:L75"/>
    <mergeCell ref="P75:R75"/>
    <mergeCell ref="AD75:AF75"/>
    <mergeCell ref="AG75:AI75"/>
    <mergeCell ref="AK73:AO73"/>
    <mergeCell ref="B74:D74"/>
    <mergeCell ref="H74:J74"/>
    <mergeCell ref="K74:L74"/>
    <mergeCell ref="P74:R74"/>
    <mergeCell ref="AD74:AF74"/>
    <mergeCell ref="AK75:AO75"/>
    <mergeCell ref="B76:D76"/>
    <mergeCell ref="H76:J76"/>
    <mergeCell ref="K76:L76"/>
    <mergeCell ref="P76:R76"/>
    <mergeCell ref="AD76:AF76"/>
    <mergeCell ref="AG76:AI76"/>
    <mergeCell ref="AK76:AO76"/>
    <mergeCell ref="B75:D75"/>
    <mergeCell ref="H75:J75"/>
    <mergeCell ref="B72:D72"/>
    <mergeCell ref="H72:J72"/>
    <mergeCell ref="K72:L72"/>
    <mergeCell ref="P72:R72"/>
    <mergeCell ref="AD72:AF72"/>
    <mergeCell ref="AG72:AI72"/>
    <mergeCell ref="AK72:AO72"/>
    <mergeCell ref="B71:D71"/>
    <mergeCell ref="H71:J71"/>
    <mergeCell ref="AG74:AI74"/>
    <mergeCell ref="AK74:AO74"/>
    <mergeCell ref="B73:D73"/>
    <mergeCell ref="H73:J73"/>
    <mergeCell ref="K73:L73"/>
    <mergeCell ref="P73:R73"/>
    <mergeCell ref="AD73:AF73"/>
    <mergeCell ref="AG73:AI73"/>
    <mergeCell ref="AG70:AI70"/>
    <mergeCell ref="AK70:AO70"/>
    <mergeCell ref="B69:D69"/>
    <mergeCell ref="H69:J69"/>
    <mergeCell ref="K69:L69"/>
    <mergeCell ref="P69:R69"/>
    <mergeCell ref="AD69:AF69"/>
    <mergeCell ref="AG69:AI69"/>
    <mergeCell ref="K71:L71"/>
    <mergeCell ref="P71:R71"/>
    <mergeCell ref="AD71:AF71"/>
    <mergeCell ref="AG71:AI71"/>
    <mergeCell ref="AK69:AO69"/>
    <mergeCell ref="B70:D70"/>
    <mergeCell ref="H70:J70"/>
    <mergeCell ref="K70:L70"/>
    <mergeCell ref="P70:R70"/>
    <mergeCell ref="AD70:AF70"/>
    <mergeCell ref="AK71:AO71"/>
    <mergeCell ref="K67:L67"/>
    <mergeCell ref="P67:R67"/>
    <mergeCell ref="AD67:AF67"/>
    <mergeCell ref="AG67:AI67"/>
    <mergeCell ref="AK65:AO65"/>
    <mergeCell ref="B66:D66"/>
    <mergeCell ref="H66:J66"/>
    <mergeCell ref="K66:L66"/>
    <mergeCell ref="P66:R66"/>
    <mergeCell ref="AD66:AF66"/>
    <mergeCell ref="AK67:AO67"/>
    <mergeCell ref="B68:D68"/>
    <mergeCell ref="H68:J68"/>
    <mergeCell ref="K68:L68"/>
    <mergeCell ref="P68:R68"/>
    <mergeCell ref="AD68:AF68"/>
    <mergeCell ref="AG68:AI68"/>
    <mergeCell ref="AK68:AO68"/>
    <mergeCell ref="B67:D67"/>
    <mergeCell ref="H67:J67"/>
    <mergeCell ref="B64:D64"/>
    <mergeCell ref="H64:J64"/>
    <mergeCell ref="K64:L64"/>
    <mergeCell ref="P64:R64"/>
    <mergeCell ref="AD64:AF64"/>
    <mergeCell ref="AG64:AI64"/>
    <mergeCell ref="AK64:AO64"/>
    <mergeCell ref="B63:D63"/>
    <mergeCell ref="H63:J63"/>
    <mergeCell ref="AG66:AI66"/>
    <mergeCell ref="AK66:AO66"/>
    <mergeCell ref="B65:D65"/>
    <mergeCell ref="H65:J65"/>
    <mergeCell ref="K65:L65"/>
    <mergeCell ref="P65:R65"/>
    <mergeCell ref="AD65:AF65"/>
    <mergeCell ref="AG65:AI65"/>
    <mergeCell ref="AG62:AI62"/>
    <mergeCell ref="AK62:AO62"/>
    <mergeCell ref="B61:D61"/>
    <mergeCell ref="H61:J61"/>
    <mergeCell ref="K61:L61"/>
    <mergeCell ref="P61:R61"/>
    <mergeCell ref="AD61:AF61"/>
    <mergeCell ref="AG61:AI61"/>
    <mergeCell ref="K63:L63"/>
    <mergeCell ref="P63:R63"/>
    <mergeCell ref="AD63:AF63"/>
    <mergeCell ref="AG63:AI63"/>
    <mergeCell ref="AK61:AO61"/>
    <mergeCell ref="B62:D62"/>
    <mergeCell ref="H62:J62"/>
    <mergeCell ref="K62:L62"/>
    <mergeCell ref="P62:R62"/>
    <mergeCell ref="AD62:AF62"/>
    <mergeCell ref="AK63:AO63"/>
    <mergeCell ref="K59:L59"/>
    <mergeCell ref="P59:R59"/>
    <mergeCell ref="AD59:AF59"/>
    <mergeCell ref="AG59:AI59"/>
    <mergeCell ref="AK57:AO57"/>
    <mergeCell ref="B58:D58"/>
    <mergeCell ref="H58:J58"/>
    <mergeCell ref="K58:L58"/>
    <mergeCell ref="P58:R58"/>
    <mergeCell ref="AD58:AF58"/>
    <mergeCell ref="AK59:AO59"/>
    <mergeCell ref="B60:D60"/>
    <mergeCell ref="H60:J60"/>
    <mergeCell ref="K60:L60"/>
    <mergeCell ref="P60:R60"/>
    <mergeCell ref="AD60:AF60"/>
    <mergeCell ref="AG60:AI60"/>
    <mergeCell ref="AK60:AO60"/>
    <mergeCell ref="B59:D59"/>
    <mergeCell ref="H59:J59"/>
    <mergeCell ref="B56:D56"/>
    <mergeCell ref="H56:J56"/>
    <mergeCell ref="K56:L56"/>
    <mergeCell ref="P56:R56"/>
    <mergeCell ref="AD56:AF56"/>
    <mergeCell ref="AG56:AI56"/>
    <mergeCell ref="AK56:AO56"/>
    <mergeCell ref="B55:D55"/>
    <mergeCell ref="H55:J55"/>
    <mergeCell ref="AG58:AI58"/>
    <mergeCell ref="AK58:AO58"/>
    <mergeCell ref="B57:D57"/>
    <mergeCell ref="H57:J57"/>
    <mergeCell ref="K57:L57"/>
    <mergeCell ref="P57:R57"/>
    <mergeCell ref="AD57:AF57"/>
    <mergeCell ref="AG57:AI57"/>
    <mergeCell ref="AG54:AI54"/>
    <mergeCell ref="AK54:AO54"/>
    <mergeCell ref="B53:D53"/>
    <mergeCell ref="H53:J53"/>
    <mergeCell ref="K53:L53"/>
    <mergeCell ref="P53:R53"/>
    <mergeCell ref="AD53:AF53"/>
    <mergeCell ref="AG53:AI53"/>
    <mergeCell ref="K55:L55"/>
    <mergeCell ref="P55:R55"/>
    <mergeCell ref="AD55:AF55"/>
    <mergeCell ref="AG55:AI55"/>
    <mergeCell ref="AK53:AO53"/>
    <mergeCell ref="B54:D54"/>
    <mergeCell ref="H54:J54"/>
    <mergeCell ref="K54:L54"/>
    <mergeCell ref="P54:R54"/>
    <mergeCell ref="AD54:AF54"/>
    <mergeCell ref="AK55:AO55"/>
    <mergeCell ref="K51:L51"/>
    <mergeCell ref="P51:R51"/>
    <mergeCell ref="AD51:AF51"/>
    <mergeCell ref="AG51:AI51"/>
    <mergeCell ref="AK49:AO49"/>
    <mergeCell ref="B50:D50"/>
    <mergeCell ref="H50:J50"/>
    <mergeCell ref="K50:L50"/>
    <mergeCell ref="P50:R50"/>
    <mergeCell ref="AD50:AF50"/>
    <mergeCell ref="AK51:AO51"/>
    <mergeCell ref="B52:D52"/>
    <mergeCell ref="H52:J52"/>
    <mergeCell ref="K52:L52"/>
    <mergeCell ref="P52:R52"/>
    <mergeCell ref="AD52:AF52"/>
    <mergeCell ref="AG52:AI52"/>
    <mergeCell ref="AK52:AO52"/>
    <mergeCell ref="B51:D51"/>
    <mergeCell ref="H51:J51"/>
    <mergeCell ref="B48:D48"/>
    <mergeCell ref="H48:J48"/>
    <mergeCell ref="K48:L48"/>
    <mergeCell ref="P48:R48"/>
    <mergeCell ref="AD48:AF48"/>
    <mergeCell ref="AG48:AI48"/>
    <mergeCell ref="AK48:AO48"/>
    <mergeCell ref="B47:D47"/>
    <mergeCell ref="H47:J47"/>
    <mergeCell ref="AG50:AI50"/>
    <mergeCell ref="AK50:AO50"/>
    <mergeCell ref="B49:D49"/>
    <mergeCell ref="H49:J49"/>
    <mergeCell ref="K49:L49"/>
    <mergeCell ref="P49:R49"/>
    <mergeCell ref="AD49:AF49"/>
    <mergeCell ref="AG49:AI49"/>
    <mergeCell ref="AG46:AI46"/>
    <mergeCell ref="AK46:AO46"/>
    <mergeCell ref="B45:D45"/>
    <mergeCell ref="H45:J45"/>
    <mergeCell ref="K45:L45"/>
    <mergeCell ref="P45:R45"/>
    <mergeCell ref="AD45:AF45"/>
    <mergeCell ref="AG45:AI45"/>
    <mergeCell ref="K47:L47"/>
    <mergeCell ref="P47:R47"/>
    <mergeCell ref="AD47:AF47"/>
    <mergeCell ref="AG47:AI47"/>
    <mergeCell ref="AK45:AO45"/>
    <mergeCell ref="B46:D46"/>
    <mergeCell ref="H46:J46"/>
    <mergeCell ref="K46:L46"/>
    <mergeCell ref="P46:R46"/>
    <mergeCell ref="AD46:AF46"/>
    <mergeCell ref="AK47:AO47"/>
    <mergeCell ref="K43:L43"/>
    <mergeCell ref="P43:R43"/>
    <mergeCell ref="AD43:AF43"/>
    <mergeCell ref="AG43:AI43"/>
    <mergeCell ref="AK41:AO41"/>
    <mergeCell ref="B42:D42"/>
    <mergeCell ref="H42:J42"/>
    <mergeCell ref="K42:L42"/>
    <mergeCell ref="P42:R42"/>
    <mergeCell ref="AD42:AF42"/>
    <mergeCell ref="AK43:AO43"/>
    <mergeCell ref="B44:D44"/>
    <mergeCell ref="H44:J44"/>
    <mergeCell ref="K44:L44"/>
    <mergeCell ref="P44:R44"/>
    <mergeCell ref="AD44:AF44"/>
    <mergeCell ref="AG44:AI44"/>
    <mergeCell ref="AK44:AO44"/>
    <mergeCell ref="B43:D43"/>
    <mergeCell ref="H43:J43"/>
    <mergeCell ref="B40:D40"/>
    <mergeCell ref="H40:J40"/>
    <mergeCell ref="K40:L40"/>
    <mergeCell ref="P40:R40"/>
    <mergeCell ref="AD40:AF40"/>
    <mergeCell ref="AG40:AI40"/>
    <mergeCell ref="AK40:AO40"/>
    <mergeCell ref="B39:D39"/>
    <mergeCell ref="H39:J39"/>
    <mergeCell ref="AG42:AI42"/>
    <mergeCell ref="AK42:AO42"/>
    <mergeCell ref="B41:D41"/>
    <mergeCell ref="H41:J41"/>
    <mergeCell ref="K41:L41"/>
    <mergeCell ref="P41:R41"/>
    <mergeCell ref="AD41:AF41"/>
    <mergeCell ref="AG41:AI41"/>
    <mergeCell ref="AG38:AI38"/>
    <mergeCell ref="AK38:AO38"/>
    <mergeCell ref="B37:D37"/>
    <mergeCell ref="H37:J37"/>
    <mergeCell ref="K37:L37"/>
    <mergeCell ref="P37:R37"/>
    <mergeCell ref="AD37:AF37"/>
    <mergeCell ref="AG37:AI37"/>
    <mergeCell ref="K39:L39"/>
    <mergeCell ref="P39:R39"/>
    <mergeCell ref="AD39:AF39"/>
    <mergeCell ref="AG39:AI39"/>
    <mergeCell ref="AK37:AO37"/>
    <mergeCell ref="B38:D38"/>
    <mergeCell ref="H38:J38"/>
    <mergeCell ref="K38:L38"/>
    <mergeCell ref="P38:R38"/>
    <mergeCell ref="AD38:AF38"/>
    <mergeCell ref="AK39:AO39"/>
    <mergeCell ref="K35:L35"/>
    <mergeCell ref="P35:R35"/>
    <mergeCell ref="AD35:AF35"/>
    <mergeCell ref="AG35:AI35"/>
    <mergeCell ref="AK33:AO33"/>
    <mergeCell ref="B34:D34"/>
    <mergeCell ref="H34:J34"/>
    <mergeCell ref="K34:L34"/>
    <mergeCell ref="P34:R34"/>
    <mergeCell ref="AD34:AF34"/>
    <mergeCell ref="AK35:AO35"/>
    <mergeCell ref="B36:D36"/>
    <mergeCell ref="H36:J36"/>
    <mergeCell ref="K36:L36"/>
    <mergeCell ref="P36:R36"/>
    <mergeCell ref="AD36:AF36"/>
    <mergeCell ref="AG36:AI36"/>
    <mergeCell ref="AK36:AO36"/>
    <mergeCell ref="B35:D35"/>
    <mergeCell ref="H35:J35"/>
    <mergeCell ref="B32:D32"/>
    <mergeCell ref="H32:J32"/>
    <mergeCell ref="K32:L32"/>
    <mergeCell ref="P32:R32"/>
    <mergeCell ref="AD32:AF32"/>
    <mergeCell ref="AG32:AI32"/>
    <mergeCell ref="AK32:AO32"/>
    <mergeCell ref="B31:D31"/>
    <mergeCell ref="H31:J31"/>
    <mergeCell ref="AG34:AI34"/>
    <mergeCell ref="AK34:AO34"/>
    <mergeCell ref="B33:D33"/>
    <mergeCell ref="H33:J33"/>
    <mergeCell ref="K33:L33"/>
    <mergeCell ref="P33:R33"/>
    <mergeCell ref="AD33:AF33"/>
    <mergeCell ref="AG33:AI33"/>
    <mergeCell ref="AG30:AI30"/>
    <mergeCell ref="AK30:AO30"/>
    <mergeCell ref="B29:D29"/>
    <mergeCell ref="H29:J29"/>
    <mergeCell ref="K29:L29"/>
    <mergeCell ref="P29:R29"/>
    <mergeCell ref="AD29:AF29"/>
    <mergeCell ref="AG29:AI29"/>
    <mergeCell ref="K31:L31"/>
    <mergeCell ref="P31:R31"/>
    <mergeCell ref="AD31:AF31"/>
    <mergeCell ref="AG31:AI31"/>
    <mergeCell ref="AK29:AO29"/>
    <mergeCell ref="B30:D30"/>
    <mergeCell ref="H30:J30"/>
    <mergeCell ref="K30:L30"/>
    <mergeCell ref="P30:R30"/>
    <mergeCell ref="AD30:AF30"/>
    <mergeCell ref="AK31:AO31"/>
    <mergeCell ref="K27:L27"/>
    <mergeCell ref="P27:R27"/>
    <mergeCell ref="AD27:AF27"/>
    <mergeCell ref="AG27:AI27"/>
    <mergeCell ref="AK25:AO25"/>
    <mergeCell ref="B26:D26"/>
    <mergeCell ref="H26:J26"/>
    <mergeCell ref="K26:L26"/>
    <mergeCell ref="P26:R26"/>
    <mergeCell ref="AD26:AF26"/>
    <mergeCell ref="AK27:AO27"/>
    <mergeCell ref="B28:D28"/>
    <mergeCell ref="H28:J28"/>
    <mergeCell ref="K28:L28"/>
    <mergeCell ref="P28:R28"/>
    <mergeCell ref="AD28:AF28"/>
    <mergeCell ref="AG28:AI28"/>
    <mergeCell ref="AK28:AO28"/>
    <mergeCell ref="B27:D27"/>
    <mergeCell ref="H27:J27"/>
    <mergeCell ref="B24:D24"/>
    <mergeCell ref="H24:J24"/>
    <mergeCell ref="K24:L24"/>
    <mergeCell ref="P24:R24"/>
    <mergeCell ref="AD24:AF24"/>
    <mergeCell ref="AG24:AI24"/>
    <mergeCell ref="AK24:AO24"/>
    <mergeCell ref="B23:D23"/>
    <mergeCell ref="H23:J23"/>
    <mergeCell ref="AG26:AI26"/>
    <mergeCell ref="AK26:AO26"/>
    <mergeCell ref="B25:D25"/>
    <mergeCell ref="H25:J25"/>
    <mergeCell ref="K25:L25"/>
    <mergeCell ref="P25:R25"/>
    <mergeCell ref="AD25:AF25"/>
    <mergeCell ref="AG25:AI25"/>
    <mergeCell ref="AG22:AI22"/>
    <mergeCell ref="AK22:AO22"/>
    <mergeCell ref="B21:D21"/>
    <mergeCell ref="H21:J21"/>
    <mergeCell ref="K21:L21"/>
    <mergeCell ref="P21:R21"/>
    <mergeCell ref="AD21:AF21"/>
    <mergeCell ref="AG21:AI21"/>
    <mergeCell ref="K23:L23"/>
    <mergeCell ref="P23:R23"/>
    <mergeCell ref="AD23:AF23"/>
    <mergeCell ref="AG23:AI23"/>
    <mergeCell ref="AK21:AO21"/>
    <mergeCell ref="B22:D22"/>
    <mergeCell ref="H22:J22"/>
    <mergeCell ref="K22:L22"/>
    <mergeCell ref="P22:R22"/>
    <mergeCell ref="AD22:AF22"/>
    <mergeCell ref="AK23:AO23"/>
    <mergeCell ref="K19:L19"/>
    <mergeCell ref="P19:R19"/>
    <mergeCell ref="AD19:AF19"/>
    <mergeCell ref="AG19:AI19"/>
    <mergeCell ref="AK17:AO17"/>
    <mergeCell ref="B18:D18"/>
    <mergeCell ref="H18:J18"/>
    <mergeCell ref="K18:L18"/>
    <mergeCell ref="P18:R18"/>
    <mergeCell ref="AD18:AF18"/>
    <mergeCell ref="AK19:AO19"/>
    <mergeCell ref="B20:D20"/>
    <mergeCell ref="H20:J20"/>
    <mergeCell ref="K20:L20"/>
    <mergeCell ref="P20:R20"/>
    <mergeCell ref="AD20:AF20"/>
    <mergeCell ref="AG20:AI20"/>
    <mergeCell ref="AK20:AO20"/>
    <mergeCell ref="B19:D19"/>
    <mergeCell ref="H19:J19"/>
    <mergeCell ref="B16:D16"/>
    <mergeCell ref="H16:J16"/>
    <mergeCell ref="K16:L16"/>
    <mergeCell ref="P16:R16"/>
    <mergeCell ref="AD16:AF16"/>
    <mergeCell ref="AG16:AI16"/>
    <mergeCell ref="AK16:AO16"/>
    <mergeCell ref="B15:D15"/>
    <mergeCell ref="H15:J15"/>
    <mergeCell ref="AG18:AI18"/>
    <mergeCell ref="AK18:AO18"/>
    <mergeCell ref="B17:D17"/>
    <mergeCell ref="H17:J17"/>
    <mergeCell ref="K17:L17"/>
    <mergeCell ref="P17:R17"/>
    <mergeCell ref="AD17:AF17"/>
    <mergeCell ref="AG17:AI17"/>
    <mergeCell ref="AG14:AI14"/>
    <mergeCell ref="AK14:AO14"/>
    <mergeCell ref="B13:D13"/>
    <mergeCell ref="H13:J13"/>
    <mergeCell ref="K13:L13"/>
    <mergeCell ref="P13:R13"/>
    <mergeCell ref="AD13:AF13"/>
    <mergeCell ref="AG13:AI13"/>
    <mergeCell ref="B12:D12"/>
    <mergeCell ref="K15:L15"/>
    <mergeCell ref="P15:R15"/>
    <mergeCell ref="AD15:AF15"/>
    <mergeCell ref="AG15:AI15"/>
    <mergeCell ref="AK13:AO13"/>
    <mergeCell ref="B14:D14"/>
    <mergeCell ref="H14:J14"/>
    <mergeCell ref="K14:L14"/>
    <mergeCell ref="P14:R14"/>
    <mergeCell ref="AD14:AF14"/>
    <mergeCell ref="AK15:AO15"/>
    <mergeCell ref="AF3:AP3"/>
    <mergeCell ref="A4:Q4"/>
    <mergeCell ref="A5:R5"/>
    <mergeCell ref="AJ10:AP10"/>
    <mergeCell ref="B11:D11"/>
    <mergeCell ref="E11:V11"/>
    <mergeCell ref="AD11:AF11"/>
    <mergeCell ref="AG11:AI11"/>
    <mergeCell ref="AJ11:AP11"/>
    <mergeCell ref="H12:J12"/>
    <mergeCell ref="K12:L12"/>
    <mergeCell ref="P12:R12"/>
    <mergeCell ref="AD12:AF12"/>
    <mergeCell ref="AG12:AI12"/>
    <mergeCell ref="B10:D10"/>
    <mergeCell ref="E10:V10"/>
    <mergeCell ref="W10:AI10"/>
    <mergeCell ref="W11:AC11"/>
    <mergeCell ref="AK12:AO12"/>
  </mergeCells>
  <pageMargins left="0.39370078740157483" right="0.39370078740157483" top="0.39370078740157483" bottom="0.74803149606299213" header="0.39370078740157483" footer="0.39370078740157483"/>
  <pageSetup paperSize="17" scale="65" fitToHeight="0" orientation="landscape" r:id="rId1"/>
  <headerFooter alignWithMargins="0">
    <oddFooter>&amp;L&amp;8Printed: &amp;D&amp;T&amp;C&amp;8 &amp;R&amp;8H349000-1000-50-144-0001, Rev.0
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dimension ref="C1:G59"/>
  <sheetViews>
    <sheetView zoomScale="80" zoomScaleNormal="80" workbookViewId="0">
      <selection activeCell="T33" sqref="T33"/>
    </sheetView>
  </sheetViews>
  <sheetFormatPr defaultColWidth="9.1796875" defaultRowHeight="14.15" customHeight="1"/>
  <cols>
    <col min="3" max="3" width="53.453125" customWidth="1"/>
    <col min="4" max="4" width="11" style="818" bestFit="1" customWidth="1"/>
    <col min="5" max="5" width="15.54296875" bestFit="1" customWidth="1"/>
    <col min="6" max="6" width="46.453125" style="7" customWidth="1"/>
    <col min="7" max="7" width="61.26953125" customWidth="1"/>
  </cols>
  <sheetData>
    <row r="1" spans="3:7" ht="14.15" customHeight="1" thickBot="1"/>
    <row r="2" spans="3:7" ht="14.15" customHeight="1" thickBot="1">
      <c r="C2" s="857" t="s">
        <v>5603</v>
      </c>
      <c r="D2" s="881" t="s">
        <v>2944</v>
      </c>
      <c r="E2" s="858" t="s">
        <v>5604</v>
      </c>
      <c r="F2" s="859" t="s">
        <v>5605</v>
      </c>
      <c r="G2" s="859" t="s">
        <v>5606</v>
      </c>
    </row>
    <row r="3" spans="3:7" ht="14.15" customHeight="1" thickBot="1">
      <c r="C3" s="888" t="s">
        <v>5607</v>
      </c>
      <c r="D3" s="889"/>
      <c r="E3" s="889"/>
      <c r="F3" s="890"/>
      <c r="G3" s="860"/>
    </row>
    <row r="4" spans="3:7" ht="14.15" customHeight="1" thickBot="1">
      <c r="C4" s="861" t="s">
        <v>5608</v>
      </c>
      <c r="D4" s="882" t="s">
        <v>2678</v>
      </c>
      <c r="E4" s="862" t="s">
        <v>5609</v>
      </c>
      <c r="F4" s="880" t="s">
        <v>5610</v>
      </c>
      <c r="G4" s="864" t="s">
        <v>173</v>
      </c>
    </row>
    <row r="5" spans="3:7" ht="14.15" customHeight="1" thickBot="1">
      <c r="C5" s="865" t="s">
        <v>2662</v>
      </c>
      <c r="D5" s="883">
        <v>4550.9799999999996</v>
      </c>
      <c r="E5" s="867" t="s">
        <v>136</v>
      </c>
      <c r="F5" s="872"/>
      <c r="G5" s="869" t="s">
        <v>1333</v>
      </c>
    </row>
    <row r="6" spans="3:7" ht="14.15" customHeight="1" thickBot="1">
      <c r="C6" s="870" t="s">
        <v>5611</v>
      </c>
      <c r="D6" s="882">
        <v>6017.14</v>
      </c>
      <c r="E6" s="862" t="s">
        <v>5612</v>
      </c>
      <c r="F6" s="863"/>
      <c r="G6" s="864" t="s">
        <v>1333</v>
      </c>
    </row>
    <row r="7" spans="3:7" ht="14.15" customHeight="1" thickBot="1">
      <c r="C7" s="865" t="s">
        <v>5613</v>
      </c>
      <c r="D7" s="884">
        <v>2400</v>
      </c>
      <c r="E7" s="871" t="s">
        <v>5612</v>
      </c>
      <c r="F7" s="869" t="s">
        <v>1645</v>
      </c>
      <c r="G7" s="869" t="s">
        <v>173</v>
      </c>
    </row>
    <row r="8" spans="3:7" ht="14.15" customHeight="1" thickBot="1">
      <c r="C8" s="873" t="s">
        <v>5614</v>
      </c>
      <c r="D8" s="885">
        <v>9432.14</v>
      </c>
      <c r="E8" s="874" t="s">
        <v>5612</v>
      </c>
      <c r="F8" s="875"/>
      <c r="G8" s="876" t="s">
        <v>1333</v>
      </c>
    </row>
    <row r="9" spans="3:7" ht="14.15" customHeight="1" thickBot="1">
      <c r="C9" s="870" t="s">
        <v>5615</v>
      </c>
      <c r="D9" s="886">
        <v>1</v>
      </c>
      <c r="E9" s="866" t="s">
        <v>2719</v>
      </c>
      <c r="F9" s="864" t="s">
        <v>5616</v>
      </c>
      <c r="G9" s="864" t="s">
        <v>173</v>
      </c>
    </row>
    <row r="10" spans="3:7" ht="14.15" customHeight="1" thickBot="1">
      <c r="C10" s="865" t="s">
        <v>5617</v>
      </c>
      <c r="D10" s="884">
        <v>1799.9</v>
      </c>
      <c r="E10" s="871" t="s">
        <v>5609</v>
      </c>
      <c r="F10" s="868"/>
      <c r="G10" s="869" t="s">
        <v>1333</v>
      </c>
    </row>
    <row r="11" spans="3:7" ht="14.15" customHeight="1" thickBot="1">
      <c r="C11" s="870" t="s">
        <v>1952</v>
      </c>
      <c r="D11" s="882">
        <v>1911.3</v>
      </c>
      <c r="E11" s="862" t="s">
        <v>5612</v>
      </c>
      <c r="F11" s="863"/>
      <c r="G11" s="864" t="s">
        <v>1333</v>
      </c>
    </row>
    <row r="12" spans="3:7" ht="14.15" customHeight="1" thickBot="1">
      <c r="C12" s="877" t="s">
        <v>2595</v>
      </c>
      <c r="D12" s="883">
        <v>1</v>
      </c>
      <c r="E12" s="867" t="s">
        <v>2719</v>
      </c>
      <c r="F12" s="869" t="s">
        <v>2596</v>
      </c>
      <c r="G12" s="869" t="s">
        <v>173</v>
      </c>
    </row>
    <row r="13" spans="3:7" ht="14.15" customHeight="1" thickBot="1">
      <c r="C13" s="870" t="s">
        <v>2663</v>
      </c>
      <c r="D13" s="886">
        <v>7969.14</v>
      </c>
      <c r="E13" s="867" t="s">
        <v>136</v>
      </c>
      <c r="F13" s="872"/>
      <c r="G13" s="864" t="s">
        <v>1333</v>
      </c>
    </row>
    <row r="14" spans="3:7" ht="14.15" customHeight="1" thickBot="1">
      <c r="C14" s="865" t="s">
        <v>1884</v>
      </c>
      <c r="D14" s="884">
        <v>5031.47</v>
      </c>
      <c r="E14" s="871" t="s">
        <v>5612</v>
      </c>
      <c r="F14" s="868"/>
      <c r="G14" s="869" t="s">
        <v>1333</v>
      </c>
    </row>
    <row r="15" spans="3:7" ht="14.15" customHeight="1" thickBot="1">
      <c r="C15" s="870" t="s">
        <v>2664</v>
      </c>
      <c r="D15" s="886" t="s">
        <v>5618</v>
      </c>
      <c r="E15" s="867" t="s">
        <v>3414</v>
      </c>
      <c r="F15" s="872"/>
      <c r="G15" s="864" t="s">
        <v>1333</v>
      </c>
    </row>
    <row r="16" spans="3:7" ht="14.15" customHeight="1" thickBot="1">
      <c r="C16" s="865" t="s">
        <v>5619</v>
      </c>
      <c r="D16" s="884">
        <v>17366.919999999998</v>
      </c>
      <c r="E16" s="871" t="s">
        <v>5612</v>
      </c>
      <c r="F16" s="868"/>
      <c r="G16" s="869" t="s">
        <v>1333</v>
      </c>
    </row>
    <row r="17" spans="3:7" ht="14.15" customHeight="1" thickBot="1">
      <c r="C17" s="870" t="s">
        <v>5620</v>
      </c>
      <c r="D17" s="882">
        <v>5411.65</v>
      </c>
      <c r="E17" s="862" t="s">
        <v>5612</v>
      </c>
      <c r="F17" s="863"/>
      <c r="G17" s="864" t="s">
        <v>1333</v>
      </c>
    </row>
    <row r="18" spans="3:7" ht="14.15" customHeight="1" thickBot="1">
      <c r="C18" s="865" t="s">
        <v>3415</v>
      </c>
      <c r="D18" s="883">
        <v>384.89</v>
      </c>
      <c r="E18" s="867" t="s">
        <v>5621</v>
      </c>
      <c r="F18" s="872"/>
      <c r="G18" s="869" t="s">
        <v>1333</v>
      </c>
    </row>
    <row r="19" spans="3:7" ht="14.15" customHeight="1" thickBot="1">
      <c r="C19" s="870" t="s">
        <v>1492</v>
      </c>
      <c r="D19" s="882">
        <v>6428.69</v>
      </c>
      <c r="E19" s="862" t="s">
        <v>5612</v>
      </c>
      <c r="F19" s="863"/>
      <c r="G19" s="864" t="s">
        <v>1333</v>
      </c>
    </row>
    <row r="20" spans="3:7" ht="14.15" customHeight="1" thickBot="1">
      <c r="C20" s="865" t="s">
        <v>1470</v>
      </c>
      <c r="D20" s="884">
        <v>5100.2299999999996</v>
      </c>
      <c r="E20" s="871" t="s">
        <v>5612</v>
      </c>
      <c r="F20" s="868"/>
      <c r="G20" s="869" t="s">
        <v>1333</v>
      </c>
    </row>
    <row r="21" spans="3:7" ht="14.15" customHeight="1" thickBot="1">
      <c r="C21" s="873" t="s">
        <v>5622</v>
      </c>
      <c r="D21" s="885">
        <v>35269.449999999997</v>
      </c>
      <c r="E21" s="874" t="s">
        <v>5612</v>
      </c>
      <c r="F21" s="875"/>
      <c r="G21" s="876" t="s">
        <v>1333</v>
      </c>
    </row>
    <row r="22" spans="3:7" ht="14.15" customHeight="1" thickBot="1">
      <c r="C22" s="870" t="s">
        <v>1427</v>
      </c>
      <c r="D22" s="882">
        <v>18207.39</v>
      </c>
      <c r="E22" s="862" t="s">
        <v>5612</v>
      </c>
      <c r="F22" s="863" t="s">
        <v>1428</v>
      </c>
      <c r="G22" s="864" t="s">
        <v>1333</v>
      </c>
    </row>
    <row r="23" spans="3:7" ht="14.15" customHeight="1" thickBot="1">
      <c r="C23" s="865" t="s">
        <v>1432</v>
      </c>
      <c r="D23" s="884">
        <v>0</v>
      </c>
      <c r="E23" s="871" t="s">
        <v>5612</v>
      </c>
      <c r="F23" s="868" t="s">
        <v>5623</v>
      </c>
      <c r="G23" s="869" t="s">
        <v>173</v>
      </c>
    </row>
    <row r="24" spans="3:7" ht="14.15" customHeight="1" thickBot="1">
      <c r="C24" s="870" t="s">
        <v>1972</v>
      </c>
      <c r="D24" s="882">
        <v>4300.07</v>
      </c>
      <c r="E24" s="862" t="s">
        <v>5609</v>
      </c>
      <c r="F24" s="863"/>
      <c r="G24" s="864" t="s">
        <v>1333</v>
      </c>
    </row>
    <row r="25" spans="3:7" ht="14.15" customHeight="1" thickBot="1">
      <c r="C25" s="865" t="s">
        <v>3403</v>
      </c>
      <c r="D25" s="884">
        <v>5944.1</v>
      </c>
      <c r="E25" s="871" t="s">
        <v>5612</v>
      </c>
      <c r="F25" s="868"/>
      <c r="G25" s="869" t="s">
        <v>1333</v>
      </c>
    </row>
    <row r="26" spans="3:7" ht="14.15" customHeight="1" thickBot="1">
      <c r="C26" s="873" t="s">
        <v>5624</v>
      </c>
      <c r="D26" s="885">
        <v>182.2</v>
      </c>
      <c r="E26" s="874" t="s">
        <v>5612</v>
      </c>
      <c r="F26" s="875"/>
      <c r="G26" s="876" t="s">
        <v>1333</v>
      </c>
    </row>
    <row r="27" spans="3:7" ht="14.15" customHeight="1" thickBot="1">
      <c r="C27" s="891" t="s">
        <v>5625</v>
      </c>
      <c r="D27" s="892"/>
      <c r="E27" s="892"/>
      <c r="F27" s="893"/>
      <c r="G27" s="878"/>
    </row>
    <row r="28" spans="3:7" ht="14.15" customHeight="1" thickBot="1">
      <c r="C28" s="870" t="s">
        <v>5626</v>
      </c>
      <c r="D28" s="882" t="s">
        <v>2678</v>
      </c>
      <c r="E28" s="862" t="s">
        <v>5609</v>
      </c>
      <c r="F28" s="864" t="s">
        <v>5627</v>
      </c>
      <c r="G28" s="864" t="s">
        <v>173</v>
      </c>
    </row>
    <row r="29" spans="3:7" ht="14.15" customHeight="1" thickBot="1">
      <c r="C29" s="865" t="s">
        <v>5628</v>
      </c>
      <c r="D29" s="884">
        <v>985.34</v>
      </c>
      <c r="E29" s="871" t="s">
        <v>5612</v>
      </c>
      <c r="F29" s="869" t="s">
        <v>2583</v>
      </c>
      <c r="G29" s="869" t="s">
        <v>155</v>
      </c>
    </row>
    <row r="30" spans="3:7" ht="14.15" customHeight="1" thickBot="1">
      <c r="C30" s="870" t="s">
        <v>2589</v>
      </c>
      <c r="D30" s="886">
        <v>1451.9</v>
      </c>
      <c r="E30" s="862" t="s">
        <v>5612</v>
      </c>
      <c r="F30" s="864" t="s">
        <v>154</v>
      </c>
      <c r="G30" s="864" t="s">
        <v>155</v>
      </c>
    </row>
    <row r="31" spans="3:7" ht="14.15" customHeight="1" thickBot="1">
      <c r="C31" s="865" t="s">
        <v>246</v>
      </c>
      <c r="D31" s="883">
        <v>230545.88</v>
      </c>
      <c r="E31" s="871" t="s">
        <v>5612</v>
      </c>
      <c r="F31" s="869" t="s">
        <v>154</v>
      </c>
      <c r="G31" s="869" t="s">
        <v>155</v>
      </c>
    </row>
    <row r="32" spans="3:7" ht="14.15" customHeight="1" thickBot="1">
      <c r="C32" s="870" t="s">
        <v>247</v>
      </c>
      <c r="D32" s="886">
        <v>128865.8</v>
      </c>
      <c r="E32" s="862" t="s">
        <v>5612</v>
      </c>
      <c r="F32" s="864" t="s">
        <v>248</v>
      </c>
      <c r="G32" s="864" t="s">
        <v>155</v>
      </c>
    </row>
    <row r="33" spans="3:7" ht="14.15" customHeight="1" thickBot="1">
      <c r="C33" s="865" t="s">
        <v>257</v>
      </c>
      <c r="D33" s="883">
        <v>11423.76</v>
      </c>
      <c r="E33" s="871" t="s">
        <v>5612</v>
      </c>
      <c r="F33" s="869" t="s">
        <v>258</v>
      </c>
      <c r="G33" s="869" t="s">
        <v>155</v>
      </c>
    </row>
    <row r="34" spans="3:7" ht="14.15" customHeight="1" thickBot="1">
      <c r="C34" s="870" t="s">
        <v>878</v>
      </c>
      <c r="D34" s="886">
        <v>25393</v>
      </c>
      <c r="E34" s="862" t="s">
        <v>5612</v>
      </c>
      <c r="F34" s="864" t="s">
        <v>154</v>
      </c>
      <c r="G34" s="864" t="s">
        <v>155</v>
      </c>
    </row>
    <row r="35" spans="3:7" ht="14.15" customHeight="1" thickBot="1">
      <c r="C35" s="865" t="s">
        <v>2584</v>
      </c>
      <c r="D35" s="883">
        <v>18482.009999999998</v>
      </c>
      <c r="E35" s="871" t="s">
        <v>5612</v>
      </c>
      <c r="F35" s="869" t="s">
        <v>154</v>
      </c>
      <c r="G35" s="869" t="s">
        <v>155</v>
      </c>
    </row>
    <row r="36" spans="3:7" ht="14.15" customHeight="1" thickBot="1">
      <c r="C36" s="870" t="s">
        <v>3394</v>
      </c>
      <c r="D36" s="886">
        <v>928.45</v>
      </c>
      <c r="E36" s="862" t="s">
        <v>5612</v>
      </c>
      <c r="F36" s="864" t="s">
        <v>154</v>
      </c>
      <c r="G36" s="864" t="s">
        <v>155</v>
      </c>
    </row>
    <row r="37" spans="3:7" ht="14.15" customHeight="1" thickBot="1">
      <c r="C37" s="865" t="s">
        <v>2586</v>
      </c>
      <c r="D37" s="883" t="s">
        <v>2587</v>
      </c>
      <c r="E37" s="867" t="s">
        <v>2587</v>
      </c>
      <c r="F37" s="869" t="s">
        <v>5629</v>
      </c>
      <c r="G37" s="869" t="s">
        <v>173</v>
      </c>
    </row>
    <row r="38" spans="3:7" ht="14.15" customHeight="1" thickBot="1">
      <c r="C38" s="870" t="s">
        <v>2427</v>
      </c>
      <c r="D38" s="886">
        <v>5392.34</v>
      </c>
      <c r="E38" s="862" t="s">
        <v>5612</v>
      </c>
      <c r="F38" s="864" t="s">
        <v>154</v>
      </c>
      <c r="G38" s="864" t="s">
        <v>155</v>
      </c>
    </row>
    <row r="39" spans="3:7" ht="14.15" customHeight="1" thickBot="1">
      <c r="C39" s="865" t="s">
        <v>2579</v>
      </c>
      <c r="D39" s="883">
        <v>3281.62</v>
      </c>
      <c r="E39" s="871" t="s">
        <v>5612</v>
      </c>
      <c r="F39" s="869" t="s">
        <v>154</v>
      </c>
      <c r="G39" s="869" t="s">
        <v>155</v>
      </c>
    </row>
    <row r="40" spans="3:7" ht="14.15" customHeight="1" thickBot="1">
      <c r="C40" s="870" t="s">
        <v>2576</v>
      </c>
      <c r="D40" s="886">
        <v>5180.4399999999996</v>
      </c>
      <c r="E40" s="862" t="s">
        <v>5612</v>
      </c>
      <c r="F40" s="864" t="s">
        <v>154</v>
      </c>
      <c r="G40" s="864" t="s">
        <v>155</v>
      </c>
    </row>
    <row r="41" spans="3:7" ht="14.15" customHeight="1" thickBot="1">
      <c r="C41" s="865" t="s">
        <v>5630</v>
      </c>
      <c r="D41" s="883">
        <v>4260.3</v>
      </c>
      <c r="E41" s="871" t="s">
        <v>5612</v>
      </c>
      <c r="F41" s="869" t="s">
        <v>965</v>
      </c>
      <c r="G41" s="869" t="s">
        <v>155</v>
      </c>
    </row>
    <row r="42" spans="3:7" ht="14.15" customHeight="1" thickBot="1">
      <c r="C42" s="870" t="s">
        <v>2585</v>
      </c>
      <c r="D42" s="886">
        <v>979.44</v>
      </c>
      <c r="E42" s="862" t="s">
        <v>5612</v>
      </c>
      <c r="F42" s="864" t="s">
        <v>154</v>
      </c>
      <c r="G42" s="864" t="s">
        <v>155</v>
      </c>
    </row>
    <row r="43" spans="3:7" ht="14.15" customHeight="1" thickBot="1">
      <c r="C43" s="865" t="s">
        <v>822</v>
      </c>
      <c r="D43" s="883">
        <v>1784.35</v>
      </c>
      <c r="E43" s="871" t="s">
        <v>5612</v>
      </c>
      <c r="F43" s="869" t="s">
        <v>154</v>
      </c>
      <c r="G43" s="869" t="s">
        <v>155</v>
      </c>
    </row>
    <row r="44" spans="3:7" ht="14.15" customHeight="1" thickBot="1">
      <c r="C44" s="870" t="s">
        <v>156</v>
      </c>
      <c r="D44" s="886">
        <v>919780</v>
      </c>
      <c r="E44" s="862" t="s">
        <v>5612</v>
      </c>
      <c r="F44" s="880" t="s">
        <v>154</v>
      </c>
      <c r="G44" s="864" t="s">
        <v>155</v>
      </c>
    </row>
    <row r="45" spans="3:7" ht="14.15" customHeight="1" thickBot="1">
      <c r="C45" s="865" t="s">
        <v>820</v>
      </c>
      <c r="D45" s="883">
        <v>5554.73</v>
      </c>
      <c r="E45" s="871" t="s">
        <v>5612</v>
      </c>
      <c r="F45" s="869" t="s">
        <v>154</v>
      </c>
      <c r="G45" s="869" t="s">
        <v>155</v>
      </c>
    </row>
    <row r="46" spans="3:7" ht="14.15" customHeight="1" thickBot="1">
      <c r="C46" s="870" t="s">
        <v>172</v>
      </c>
      <c r="D46" s="886" t="s">
        <v>2678</v>
      </c>
      <c r="E46" s="866" t="s">
        <v>5609</v>
      </c>
      <c r="F46" s="880" t="s">
        <v>5610</v>
      </c>
      <c r="G46" s="864" t="s">
        <v>173</v>
      </c>
    </row>
    <row r="47" spans="3:7" ht="14.15" customHeight="1" thickBot="1">
      <c r="C47" s="865" t="s">
        <v>2433</v>
      </c>
      <c r="D47" s="883">
        <v>250.24</v>
      </c>
      <c r="E47" s="871" t="s">
        <v>5612</v>
      </c>
      <c r="F47" s="869" t="s">
        <v>154</v>
      </c>
      <c r="G47" s="869" t="s">
        <v>155</v>
      </c>
    </row>
    <row r="48" spans="3:7" ht="14.15" customHeight="1" thickBot="1">
      <c r="C48" s="873" t="s">
        <v>2428</v>
      </c>
      <c r="D48" s="887">
        <v>360</v>
      </c>
      <c r="E48" s="874" t="s">
        <v>5612</v>
      </c>
      <c r="F48" s="876" t="s">
        <v>2429</v>
      </c>
      <c r="G48" s="876" t="s">
        <v>173</v>
      </c>
    </row>
    <row r="49" spans="3:7" ht="14.15" customHeight="1" thickBot="1">
      <c r="C49" s="891" t="s">
        <v>5631</v>
      </c>
      <c r="D49" s="892"/>
      <c r="E49" s="892"/>
      <c r="F49" s="893"/>
      <c r="G49" s="878"/>
    </row>
    <row r="50" spans="3:7" ht="14.15" customHeight="1" thickBot="1">
      <c r="C50" s="861" t="s">
        <v>1214</v>
      </c>
      <c r="D50" s="886" t="s">
        <v>2678</v>
      </c>
      <c r="E50" s="862" t="s">
        <v>5612</v>
      </c>
      <c r="F50" s="863" t="s">
        <v>5632</v>
      </c>
      <c r="G50" s="863"/>
    </row>
    <row r="51" spans="3:7" ht="14.15" customHeight="1" thickBot="1">
      <c r="C51" s="877" t="s">
        <v>1244</v>
      </c>
      <c r="D51" s="883" t="s">
        <v>2678</v>
      </c>
      <c r="E51" s="871" t="s">
        <v>5612</v>
      </c>
      <c r="F51" s="868" t="s">
        <v>5632</v>
      </c>
      <c r="G51" s="868"/>
    </row>
    <row r="52" spans="3:7" ht="14.15" customHeight="1" thickBot="1">
      <c r="C52" s="861" t="s">
        <v>1223</v>
      </c>
      <c r="D52" s="886" t="s">
        <v>2678</v>
      </c>
      <c r="E52" s="862" t="s">
        <v>5612</v>
      </c>
      <c r="F52" s="863" t="s">
        <v>5632</v>
      </c>
      <c r="G52" s="863"/>
    </row>
    <row r="53" spans="3:7" ht="14.15" customHeight="1" thickBot="1">
      <c r="C53" s="877" t="s">
        <v>1233</v>
      </c>
      <c r="D53" s="883" t="s">
        <v>2678</v>
      </c>
      <c r="E53" s="871" t="s">
        <v>5612</v>
      </c>
      <c r="F53" s="868" t="s">
        <v>5632</v>
      </c>
      <c r="G53" s="868"/>
    </row>
    <row r="54" spans="3:7" ht="14.15" customHeight="1" thickBot="1">
      <c r="C54" s="861" t="s">
        <v>1371</v>
      </c>
      <c r="D54" s="886" t="s">
        <v>2678</v>
      </c>
      <c r="E54" s="862" t="s">
        <v>5612</v>
      </c>
      <c r="F54" s="863" t="s">
        <v>5632</v>
      </c>
      <c r="G54" s="863"/>
    </row>
    <row r="55" spans="3:7" ht="14.15" customHeight="1" thickBot="1">
      <c r="C55" s="877" t="s">
        <v>1373</v>
      </c>
      <c r="D55" s="883" t="s">
        <v>2678</v>
      </c>
      <c r="E55" s="871" t="s">
        <v>5612</v>
      </c>
      <c r="F55" s="868" t="s">
        <v>5632</v>
      </c>
      <c r="G55" s="868"/>
    </row>
    <row r="56" spans="3:7" ht="14.15" customHeight="1" thickBot="1">
      <c r="C56" s="861" t="s">
        <v>1372</v>
      </c>
      <c r="D56" s="886" t="s">
        <v>2678</v>
      </c>
      <c r="E56" s="862" t="s">
        <v>5612</v>
      </c>
      <c r="F56" s="863" t="s">
        <v>5632</v>
      </c>
      <c r="G56" s="863"/>
    </row>
    <row r="57" spans="3:7" ht="14.15" customHeight="1" thickBot="1">
      <c r="C57" s="877" t="s">
        <v>1171</v>
      </c>
      <c r="D57" s="883" t="s">
        <v>2678</v>
      </c>
      <c r="E57" s="871" t="s">
        <v>5612</v>
      </c>
      <c r="F57" s="868" t="s">
        <v>5632</v>
      </c>
      <c r="G57" s="868"/>
    </row>
    <row r="58" spans="3:7" ht="14.15" customHeight="1" thickBot="1">
      <c r="C58" s="861" t="s">
        <v>1276</v>
      </c>
      <c r="D58" s="886" t="s">
        <v>2678</v>
      </c>
      <c r="E58" s="862" t="s">
        <v>5612</v>
      </c>
      <c r="F58" s="863" t="s">
        <v>5633</v>
      </c>
      <c r="G58" s="863"/>
    </row>
    <row r="59" spans="3:7" ht="14.15" customHeight="1" thickBot="1">
      <c r="C59" s="877" t="s">
        <v>3396</v>
      </c>
      <c r="D59" s="884">
        <v>356</v>
      </c>
      <c r="E59" s="871" t="s">
        <v>3397</v>
      </c>
      <c r="F59" s="868" t="s">
        <v>5634</v>
      </c>
      <c r="G59" s="879" t="s">
        <v>5635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84031-C621-4621-B0E7-CCD29CC6473E}">
  <sheetPr>
    <pageSetUpPr fitToPage="1"/>
  </sheetPr>
  <dimension ref="A1:I92"/>
  <sheetViews>
    <sheetView topLeftCell="A39" zoomScale="85" zoomScaleNormal="85" zoomScaleSheetLayoutView="85" workbookViewId="0">
      <selection activeCell="F31" sqref="F31"/>
    </sheetView>
  </sheetViews>
  <sheetFormatPr defaultColWidth="9.1796875" defaultRowHeight="14.5"/>
  <cols>
    <col min="1" max="1" width="9.1796875" style="1672"/>
    <col min="2" max="2" width="55.1796875" customWidth="1"/>
    <col min="3" max="3" width="28.453125" customWidth="1"/>
    <col min="4" max="4" width="30.81640625" customWidth="1"/>
    <col min="5" max="5" width="19.81640625" customWidth="1"/>
    <col min="6" max="9" width="23.7265625" customWidth="1"/>
  </cols>
  <sheetData>
    <row r="1" spans="1:9" ht="23.5">
      <c r="C1" s="1745" t="s">
        <v>3142</v>
      </c>
      <c r="D1" s="1745" t="s">
        <v>3143</v>
      </c>
      <c r="E1" s="1745"/>
      <c r="F1" s="818"/>
    </row>
    <row r="2" spans="1:9" ht="23.5">
      <c r="C2" s="1745">
        <v>2023</v>
      </c>
      <c r="D2" s="1745" t="s">
        <v>118</v>
      </c>
      <c r="E2" s="1745"/>
      <c r="F2" s="1239"/>
      <c r="G2" s="1239"/>
      <c r="H2" s="1239"/>
      <c r="I2" s="1239"/>
    </row>
    <row r="3" spans="1:9">
      <c r="B3" t="s">
        <v>3144</v>
      </c>
      <c r="C3" s="812">
        <f>(SUMIF('Estimate Details'!AQ9:AQ1622,$C$2,'Estimate Details'!AD9:AD1622))</f>
        <v>127699.45339461004</v>
      </c>
      <c r="D3" s="812">
        <f>((SUMIF('Estimate Details'!AQ9:AQ1622,$D$2,'Estimate Details'!AD9:AD1622)))</f>
        <v>-1603515.565271792</v>
      </c>
      <c r="E3" s="812"/>
      <c r="F3" s="2101"/>
      <c r="G3" s="2101"/>
      <c r="H3" s="2101"/>
      <c r="I3" s="2101"/>
    </row>
    <row r="4" spans="1:9" ht="15" thickBot="1">
      <c r="D4" s="192"/>
      <c r="E4" s="192"/>
      <c r="F4" s="1997" t="s">
        <v>3145</v>
      </c>
      <c r="G4" s="1997" t="s">
        <v>3146</v>
      </c>
      <c r="H4" s="1997" t="s">
        <v>3147</v>
      </c>
      <c r="I4" s="1997" t="s">
        <v>3148</v>
      </c>
    </row>
    <row r="5" spans="1:9" s="1656" customFormat="1" ht="15.5">
      <c r="A5" s="1673"/>
      <c r="B5" s="1998" t="s">
        <v>3149</v>
      </c>
      <c r="C5" s="2174">
        <v>-1475816.111877182</v>
      </c>
      <c r="D5" s="1657"/>
      <c r="E5" s="1657"/>
      <c r="F5" s="2167">
        <v>-927720.86240862624</v>
      </c>
      <c r="G5" s="2165">
        <v>-548095.2494685587</v>
      </c>
      <c r="H5" s="2165">
        <v>60995.479999999996</v>
      </c>
      <c r="I5" s="2165">
        <v>-1536811.591877182</v>
      </c>
    </row>
    <row r="6" spans="1:9" ht="15.5">
      <c r="A6" s="1674"/>
      <c r="B6" s="413" t="s">
        <v>3150</v>
      </c>
      <c r="C6" s="2160">
        <v>-9699.9405796092069</v>
      </c>
      <c r="D6" s="1995"/>
      <c r="E6" s="1657"/>
      <c r="F6" s="2175">
        <v>-5517.8251406407826</v>
      </c>
      <c r="G6" s="2176">
        <v>-4182.1154389684289</v>
      </c>
      <c r="H6" s="2176">
        <v>293</v>
      </c>
      <c r="I6" s="2176">
        <v>-9992.9405796092069</v>
      </c>
    </row>
    <row r="7" spans="1:9" ht="15.5">
      <c r="A7" s="1674"/>
      <c r="B7" s="413" t="s">
        <v>3151</v>
      </c>
      <c r="C7" s="2004">
        <v>-969.99405796092071</v>
      </c>
      <c r="E7" s="1671"/>
      <c r="F7" s="2011">
        <v>-551.78251406407821</v>
      </c>
      <c r="G7" s="2012">
        <v>-418.2115438968429</v>
      </c>
      <c r="H7" s="2012">
        <v>29.3</v>
      </c>
      <c r="I7" s="2012">
        <v>-999.29405796092067</v>
      </c>
    </row>
    <row r="8" spans="1:9" ht="15.5">
      <c r="A8" s="1674"/>
      <c r="B8" s="413"/>
      <c r="C8" s="2005"/>
      <c r="E8" s="1671"/>
      <c r="F8" s="2013"/>
      <c r="G8" s="2014"/>
      <c r="H8" s="2014"/>
      <c r="I8" s="2014"/>
    </row>
    <row r="9" spans="1:9" ht="15.5">
      <c r="A9" s="1674"/>
      <c r="B9" s="1999" t="s">
        <v>2742</v>
      </c>
      <c r="C9" s="2006">
        <v>0</v>
      </c>
      <c r="E9" s="1671"/>
      <c r="F9" s="2015">
        <v>0</v>
      </c>
      <c r="G9" s="2016">
        <v>0</v>
      </c>
      <c r="H9" s="2017">
        <v>0</v>
      </c>
      <c r="I9" s="2016">
        <v>0</v>
      </c>
    </row>
    <row r="10" spans="1:9" ht="15.5">
      <c r="A10" s="1674"/>
      <c r="B10" s="1688" t="s">
        <v>2692</v>
      </c>
      <c r="C10" s="2007">
        <v>-97515.839080807113</v>
      </c>
      <c r="E10" s="1671"/>
      <c r="F10" s="2018">
        <v>-55606.873102453646</v>
      </c>
      <c r="G10" s="2019">
        <v>-41908.965978353495</v>
      </c>
      <c r="H10" s="2020">
        <v>2866.1765559845558</v>
      </c>
      <c r="I10" s="2020">
        <v>-100382.01563679168</v>
      </c>
    </row>
    <row r="11" spans="1:9" ht="15.5">
      <c r="A11" s="1674"/>
      <c r="B11" s="1688" t="s">
        <v>3154</v>
      </c>
      <c r="C11" s="2007">
        <v>0</v>
      </c>
      <c r="E11" s="1671"/>
      <c r="F11" s="2018">
        <v>0</v>
      </c>
      <c r="G11" s="2021">
        <v>0</v>
      </c>
      <c r="H11" s="2020">
        <v>0</v>
      </c>
      <c r="I11" s="2019">
        <v>0</v>
      </c>
    </row>
    <row r="12" spans="1:9" ht="15.5">
      <c r="A12" s="1674"/>
      <c r="B12" s="1688" t="s">
        <v>2686</v>
      </c>
      <c r="C12" s="2007">
        <v>0</v>
      </c>
      <c r="E12" s="1671"/>
      <c r="F12" s="2022">
        <v>0</v>
      </c>
      <c r="G12" s="2021">
        <v>0</v>
      </c>
      <c r="H12" s="2020">
        <v>0</v>
      </c>
      <c r="I12" s="2021">
        <v>0</v>
      </c>
    </row>
    <row r="13" spans="1:9" ht="15.5">
      <c r="A13" s="1674"/>
      <c r="B13" s="2000"/>
      <c r="C13" s="2006"/>
      <c r="E13" s="1671"/>
      <c r="F13" s="2023"/>
      <c r="G13" s="2024"/>
      <c r="H13" s="2025"/>
      <c r="I13" s="2024"/>
    </row>
    <row r="14" spans="1:9" ht="15.5">
      <c r="A14" s="1674"/>
      <c r="B14" s="2000" t="s">
        <v>2696</v>
      </c>
      <c r="C14" s="2006">
        <v>-86565.610406948777</v>
      </c>
      <c r="E14" s="1671"/>
      <c r="F14" s="2026">
        <v>-49242.971902578509</v>
      </c>
      <c r="G14" s="2026">
        <v>-37322.638504370305</v>
      </c>
      <c r="H14" s="2027">
        <v>2614.8329096525094</v>
      </c>
      <c r="I14" s="2026">
        <v>-89180.443316601275</v>
      </c>
    </row>
    <row r="15" spans="1:9" ht="15.5">
      <c r="A15" s="1674"/>
      <c r="B15" s="1688" t="s">
        <v>2743</v>
      </c>
      <c r="C15" s="2007">
        <v>-227714.53169563273</v>
      </c>
      <c r="E15" s="1671"/>
      <c r="F15" s="2018">
        <v>-129535.73865398114</v>
      </c>
      <c r="G15" s="2018">
        <v>-98178.793041651705</v>
      </c>
      <c r="H15" s="2028">
        <v>6878.4295366795368</v>
      </c>
      <c r="I15" s="2018">
        <v>-234592.96123231226</v>
      </c>
    </row>
    <row r="16" spans="1:9" ht="15.5">
      <c r="A16" s="1674"/>
      <c r="B16" s="1688" t="s">
        <v>3156</v>
      </c>
      <c r="C16" s="2007">
        <v>0</v>
      </c>
      <c r="E16" s="1671"/>
      <c r="F16" s="2018">
        <v>0</v>
      </c>
      <c r="G16" s="2018">
        <v>0</v>
      </c>
      <c r="H16" s="2028">
        <v>0</v>
      </c>
      <c r="I16" s="2018">
        <v>0</v>
      </c>
    </row>
    <row r="17" spans="1:9" ht="15.5">
      <c r="A17" s="1674"/>
      <c r="B17" s="1688" t="s">
        <v>3157</v>
      </c>
      <c r="C17" s="2007">
        <v>-150434.04999999996</v>
      </c>
      <c r="E17" s="1671"/>
      <c r="F17" s="2018">
        <v>-150434.04999999996</v>
      </c>
      <c r="G17" s="2018">
        <v>0</v>
      </c>
      <c r="H17" s="2028">
        <v>0</v>
      </c>
      <c r="I17" s="2018">
        <v>-150434.04999999996</v>
      </c>
    </row>
    <row r="18" spans="1:9" ht="15.5">
      <c r="A18" s="1674">
        <v>0.1</v>
      </c>
      <c r="B18" s="1688" t="s">
        <v>2698</v>
      </c>
      <c r="C18" s="2007">
        <v>-147581.6111877182</v>
      </c>
      <c r="E18" s="1671"/>
      <c r="F18" s="2018">
        <v>-92772.086240862627</v>
      </c>
      <c r="G18" s="2018">
        <v>-54809.524946855876</v>
      </c>
      <c r="H18" s="2028">
        <v>6099.5479999999998</v>
      </c>
      <c r="I18" s="2018">
        <v>-153681.15918771821</v>
      </c>
    </row>
    <row r="19" spans="1:9" ht="15.5">
      <c r="A19" s="1674"/>
      <c r="B19" s="1999"/>
      <c r="C19" s="2006"/>
      <c r="E19" s="1671"/>
      <c r="F19" s="2015"/>
      <c r="G19" s="2016"/>
      <c r="H19" s="2017"/>
      <c r="I19" s="2016"/>
    </row>
    <row r="20" spans="1:9" ht="15.5">
      <c r="A20" s="1674"/>
      <c r="B20" s="413" t="s">
        <v>3159</v>
      </c>
      <c r="C20" s="2160">
        <v>49360</v>
      </c>
      <c r="E20" s="1671"/>
      <c r="F20" s="2029">
        <v>49360</v>
      </c>
      <c r="G20" s="2030">
        <v>0</v>
      </c>
      <c r="H20" s="2031"/>
      <c r="I20" s="2030">
        <v>49360</v>
      </c>
    </row>
    <row r="21" spans="1:9" ht="15.5">
      <c r="A21" s="1674"/>
      <c r="B21" s="1999"/>
      <c r="C21" s="2006"/>
      <c r="E21" s="1671"/>
      <c r="F21" s="2015"/>
      <c r="G21" s="2016"/>
      <c r="H21" s="2017"/>
      <c r="I21" s="2016"/>
    </row>
    <row r="22" spans="1:9" ht="15.5">
      <c r="A22" s="1674">
        <v>0.05</v>
      </c>
      <c r="B22" s="2000" t="s">
        <v>2676</v>
      </c>
      <c r="C22" s="2006">
        <v>-73790.805593859099</v>
      </c>
      <c r="E22" s="1671"/>
      <c r="F22" s="2026">
        <v>-46386.043120431314</v>
      </c>
      <c r="G22" s="2026">
        <v>-27404.762473427938</v>
      </c>
      <c r="H22" s="2026">
        <v>3049.7739999999999</v>
      </c>
      <c r="I22" s="2026">
        <v>-76840.579593859104</v>
      </c>
    </row>
    <row r="23" spans="1:9" ht="15.5">
      <c r="A23" s="1674">
        <v>9.4E-2</v>
      </c>
      <c r="B23" s="1688" t="s">
        <v>2680</v>
      </c>
      <c r="C23" s="2007">
        <v>-134086.87451645511</v>
      </c>
      <c r="E23" s="1671"/>
      <c r="F23" s="2032">
        <v>-82565.921066410869</v>
      </c>
      <c r="G23" s="2032">
        <v>-51520.953450044515</v>
      </c>
      <c r="H23" s="2032">
        <v>5733.5751199999995</v>
      </c>
      <c r="I23" s="2032">
        <v>-139820.4496364551</v>
      </c>
    </row>
    <row r="24" spans="1:9" ht="15.5">
      <c r="A24" s="1674"/>
      <c r="B24" s="1999"/>
      <c r="C24" s="2006"/>
      <c r="E24" s="1671"/>
      <c r="F24" s="2015"/>
      <c r="G24" s="2016"/>
      <c r="H24" s="2016"/>
      <c r="I24" s="2016"/>
    </row>
    <row r="25" spans="1:9" ht="29">
      <c r="A25" s="1674">
        <v>0.2</v>
      </c>
      <c r="B25" s="2001" t="s">
        <v>3160</v>
      </c>
      <c r="C25" s="2006">
        <v>-285291.22237543639</v>
      </c>
      <c r="E25" s="1671"/>
      <c r="F25" s="2015">
        <v>-175672.17248172525</v>
      </c>
      <c r="G25" s="2015">
        <v>-109619.04989371175</v>
      </c>
      <c r="H25" s="2015">
        <v>12199.096</v>
      </c>
      <c r="I25" s="2015">
        <v>-297490.31837543641</v>
      </c>
    </row>
    <row r="26" spans="1:9" ht="16" thickBot="1">
      <c r="A26" s="1674"/>
      <c r="B26" s="413"/>
      <c r="C26" s="2161"/>
      <c r="E26" s="1671"/>
      <c r="F26" s="2033"/>
      <c r="G26" s="2034"/>
      <c r="H26" s="2034"/>
      <c r="I26" s="2034"/>
    </row>
    <row r="27" spans="1:9" ht="16" thickBot="1">
      <c r="A27" s="1674"/>
      <c r="B27" s="1313" t="s">
        <v>3161</v>
      </c>
      <c r="C27" s="2162">
        <v>-1153620.5448568573</v>
      </c>
      <c r="E27" s="1671"/>
      <c r="F27" s="2035">
        <v>-732855.85656844324</v>
      </c>
      <c r="G27" s="2036">
        <v>-420764.68828841561</v>
      </c>
      <c r="H27" s="2036">
        <v>39441.432122316597</v>
      </c>
      <c r="I27" s="2036">
        <v>-1193061.976979174</v>
      </c>
    </row>
    <row r="28" spans="1:9" ht="16" thickBot="1">
      <c r="A28" s="1674"/>
      <c r="B28" s="413"/>
      <c r="C28" s="2161"/>
      <c r="D28" s="194"/>
      <c r="E28" s="1671"/>
      <c r="F28" s="2033"/>
      <c r="G28" s="2034"/>
      <c r="H28" s="2034"/>
      <c r="I28" s="2034"/>
    </row>
    <row r="29" spans="1:9" ht="40.5" customHeight="1" thickBot="1">
      <c r="A29" s="1674"/>
      <c r="B29" s="2002" t="s">
        <v>3162</v>
      </c>
      <c r="C29" s="2009">
        <v>-2629436.6567340391</v>
      </c>
      <c r="D29" s="1101"/>
      <c r="E29" s="1671"/>
      <c r="F29" s="2037">
        <v>-1660576.7189770695</v>
      </c>
      <c r="G29" s="2037">
        <v>-968859.93775697425</v>
      </c>
      <c r="H29" s="2037">
        <v>100436.9121223166</v>
      </c>
      <c r="I29" s="2037">
        <v>-2729873.5688563557</v>
      </c>
    </row>
    <row r="30" spans="1:9" ht="15" customHeight="1" thickBot="1">
      <c r="A30" s="1674"/>
      <c r="B30" s="1752" t="s">
        <v>3163</v>
      </c>
      <c r="C30" s="2010">
        <v>0</v>
      </c>
      <c r="E30" s="1671"/>
      <c r="F30" s="2038"/>
      <c r="G30" s="2038"/>
      <c r="H30" s="2038"/>
      <c r="I30" s="2038"/>
    </row>
    <row r="31" spans="1:9" ht="40.5" customHeight="1" thickBot="1">
      <c r="A31" s="1674"/>
      <c r="B31" s="1753" t="s">
        <v>3164</v>
      </c>
      <c r="C31" s="2009">
        <v>-2629436.6567340391</v>
      </c>
      <c r="E31" s="1671"/>
      <c r="F31" s="2037">
        <v>-1660576.7189770695</v>
      </c>
      <c r="G31" s="2037">
        <v>-968859.93775697425</v>
      </c>
      <c r="H31" s="2037">
        <v>100436.9121223166</v>
      </c>
      <c r="I31" s="2037">
        <v>-2729873.5688563557</v>
      </c>
    </row>
    <row r="32" spans="1:9">
      <c r="D32" s="1101"/>
      <c r="F32" s="1043"/>
      <c r="H32" s="1043"/>
    </row>
    <row r="33" spans="1:9">
      <c r="A33" s="1736"/>
      <c r="B33" s="195" t="s">
        <v>3165</v>
      </c>
      <c r="C33" s="818"/>
      <c r="F33" s="1043"/>
      <c r="H33" s="1043"/>
    </row>
    <row r="34" spans="1:9">
      <c r="A34" s="1675"/>
      <c r="B34" s="195" t="s">
        <v>3166</v>
      </c>
      <c r="D34" s="901"/>
      <c r="E34" s="901"/>
      <c r="I34" s="1101"/>
    </row>
    <row r="35" spans="1:9" ht="16" thickBot="1">
      <c r="D35" s="1657"/>
      <c r="E35" s="1657"/>
    </row>
    <row r="36" spans="1:9" ht="15.5">
      <c r="B36" s="1706" t="s">
        <v>3167</v>
      </c>
      <c r="C36" s="1312"/>
      <c r="D36" s="2165">
        <v>-1475816.111877182</v>
      </c>
      <c r="E36" s="2166"/>
      <c r="F36" s="2167">
        <v>-927720.86240862624</v>
      </c>
      <c r="G36" s="2167">
        <v>-548095.2494685587</v>
      </c>
      <c r="H36" s="2167">
        <v>60995.479999999996</v>
      </c>
      <c r="I36" s="2167">
        <v>-1536811.591877182</v>
      </c>
    </row>
    <row r="37" spans="1:9">
      <c r="B37" s="413" t="s">
        <v>3168</v>
      </c>
      <c r="C37" s="2039"/>
      <c r="D37" s="2034">
        <v>-1426456.111877182</v>
      </c>
      <c r="E37" s="1043"/>
      <c r="F37" s="2033">
        <v>-878360.86240862624</v>
      </c>
      <c r="G37" s="2033">
        <v>-548095.2494685587</v>
      </c>
      <c r="H37" s="2033">
        <v>60995.479999999996</v>
      </c>
      <c r="I37" s="2033">
        <v>-1487451.591877182</v>
      </c>
    </row>
    <row r="38" spans="1:9" ht="43.5">
      <c r="B38" s="1683" t="s">
        <v>3169</v>
      </c>
      <c r="C38" s="2040"/>
      <c r="D38" s="2041">
        <v>-2038751.9151674816</v>
      </c>
      <c r="E38" s="1727"/>
      <c r="F38" s="2045">
        <v>-1300345.7092060486</v>
      </c>
      <c r="G38" s="2045">
        <v>-738406.20596143662</v>
      </c>
      <c r="H38" s="2045">
        <v>76588.290446332045</v>
      </c>
      <c r="I38" s="2045">
        <v>-2115340.2056138138</v>
      </c>
    </row>
    <row r="39" spans="1:9" ht="29">
      <c r="B39" s="1685" t="s">
        <v>2698</v>
      </c>
      <c r="C39" s="1686">
        <v>0.1</v>
      </c>
      <c r="D39" s="2042">
        <v>-147581.6111877182</v>
      </c>
      <c r="E39" s="1121"/>
      <c r="F39" s="2033">
        <v>-92772.086240862627</v>
      </c>
      <c r="G39" s="2033">
        <v>-54809.524946855876</v>
      </c>
      <c r="H39" s="2033">
        <v>6099.5479999999998</v>
      </c>
      <c r="I39" s="2033">
        <v>-153681.15918771821</v>
      </c>
    </row>
    <row r="40" spans="1:9">
      <c r="A40"/>
      <c r="B40" s="413" t="s">
        <v>3171</v>
      </c>
      <c r="C40" s="2039"/>
      <c r="D40" s="2034">
        <v>-150434.04999999996</v>
      </c>
      <c r="F40" s="2033">
        <v>-150434.04999999996</v>
      </c>
      <c r="G40" s="2033">
        <v>0</v>
      </c>
      <c r="H40" s="2033">
        <v>0</v>
      </c>
      <c r="I40" s="2033">
        <v>-150434.04999999996</v>
      </c>
    </row>
    <row r="41" spans="1:9">
      <c r="B41" s="1688" t="s">
        <v>3172</v>
      </c>
      <c r="C41" s="1686">
        <v>0.05</v>
      </c>
      <c r="D41" s="2043">
        <v>-73790.805593859099</v>
      </c>
      <c r="E41" s="1121"/>
      <c r="F41" s="2008">
        <v>-46386.043120431314</v>
      </c>
      <c r="G41" s="2008">
        <v>-27404.762473427938</v>
      </c>
      <c r="H41" s="2008">
        <v>3049.7739999999999</v>
      </c>
      <c r="I41" s="2008">
        <v>-76840.579593859104</v>
      </c>
    </row>
    <row r="42" spans="1:9">
      <c r="B42" s="1688" t="s">
        <v>3173</v>
      </c>
      <c r="C42" s="1689">
        <v>9.4E-2</v>
      </c>
      <c r="D42" s="2043">
        <v>-134086.87451645511</v>
      </c>
      <c r="E42" s="1062"/>
      <c r="F42" s="2008">
        <v>-82565.921066410869</v>
      </c>
      <c r="G42" s="2008">
        <v>-51520.953450044515</v>
      </c>
      <c r="H42" s="2008">
        <v>5733.5751199999995</v>
      </c>
      <c r="I42" s="2008">
        <v>-139820.4496364551</v>
      </c>
    </row>
    <row r="43" spans="1:9">
      <c r="B43" s="1688"/>
      <c r="C43" s="1686"/>
      <c r="D43" s="2043"/>
      <c r="E43" s="1121"/>
      <c r="F43" s="2033"/>
      <c r="G43" s="2008"/>
      <c r="H43" s="2008"/>
      <c r="I43" s="2008"/>
    </row>
    <row r="44" spans="1:9" ht="28.5" customHeight="1" thickBot="1">
      <c r="B44" s="1693" t="s">
        <v>2747</v>
      </c>
      <c r="C44" s="1694">
        <v>0.2</v>
      </c>
      <c r="D44" s="2044">
        <v>-285291.22237543639</v>
      </c>
      <c r="E44" s="1758"/>
      <c r="F44" s="2046">
        <v>-175672.17248172525</v>
      </c>
      <c r="G44" s="2046">
        <v>-109619.04989371175</v>
      </c>
      <c r="H44" s="2046">
        <v>12199.096</v>
      </c>
      <c r="I44" s="2046">
        <v>-297490.31837543641</v>
      </c>
    </row>
    <row r="45" spans="1:9" ht="15" thickBot="1">
      <c r="F45" s="390"/>
      <c r="G45" s="390"/>
      <c r="H45" s="390"/>
      <c r="I45" s="390"/>
    </row>
    <row r="46" spans="1:9">
      <c r="B46" s="1696" t="s">
        <v>3174</v>
      </c>
      <c r="C46" s="1707"/>
      <c r="D46" s="413"/>
      <c r="E46" s="2039"/>
      <c r="F46" s="1312"/>
      <c r="G46" s="1750"/>
      <c r="H46" s="1750"/>
      <c r="I46" s="1314"/>
    </row>
    <row r="47" spans="1:9">
      <c r="B47" s="413" t="s">
        <v>3175</v>
      </c>
      <c r="C47" s="1697">
        <v>0</v>
      </c>
      <c r="D47" s="413"/>
      <c r="E47" s="2039"/>
      <c r="F47" s="2177">
        <v>0</v>
      </c>
      <c r="G47" s="1719">
        <v>0</v>
      </c>
      <c r="H47" s="1719">
        <v>0</v>
      </c>
      <c r="I47" s="1697">
        <v>0</v>
      </c>
    </row>
    <row r="48" spans="1:9">
      <c r="B48" s="413" t="s">
        <v>3176</v>
      </c>
      <c r="C48" s="2057">
        <v>0.10841698841698842</v>
      </c>
      <c r="D48" s="413"/>
      <c r="E48" s="2039"/>
      <c r="F48" s="2172">
        <v>0.10841698841698842</v>
      </c>
      <c r="G48" s="2056">
        <v>0.10841698841698842</v>
      </c>
      <c r="H48" s="2056">
        <v>0.10841698841698842</v>
      </c>
      <c r="I48" s="2057">
        <v>0.10841698841698842</v>
      </c>
    </row>
    <row r="49" spans="2:9">
      <c r="B49" s="413"/>
      <c r="C49" s="1708"/>
      <c r="D49" s="413"/>
      <c r="E49" s="2039"/>
      <c r="F49" s="2039"/>
      <c r="G49" s="414"/>
      <c r="H49" s="414"/>
      <c r="I49" s="29"/>
    </row>
    <row r="50" spans="2:9">
      <c r="B50" s="413" t="s">
        <v>3177</v>
      </c>
      <c r="C50" s="2058">
        <v>-112828.59871585057</v>
      </c>
      <c r="D50" s="2168"/>
      <c r="E50" s="2178"/>
      <c r="F50" s="2178">
        <v>-64493.657851520395</v>
      </c>
      <c r="G50" s="2169">
        <v>-48334.940864330187</v>
      </c>
      <c r="H50" s="2169">
        <v>3225</v>
      </c>
      <c r="I50" s="2163">
        <v>-116053.59871585057</v>
      </c>
    </row>
    <row r="51" spans="2:9">
      <c r="B51" s="413" t="s">
        <v>3178</v>
      </c>
      <c r="C51" s="2058">
        <v>-112034.31369448634</v>
      </c>
      <c r="D51" s="2168"/>
      <c r="E51" s="2178"/>
      <c r="F51" s="2179">
        <v>-63730.880374401037</v>
      </c>
      <c r="G51" s="2059">
        <v>-48303.433320085358</v>
      </c>
      <c r="H51" s="2059">
        <v>3384.15</v>
      </c>
      <c r="I51" s="2058">
        <v>-115418.46369448633</v>
      </c>
    </row>
    <row r="52" spans="2:9">
      <c r="B52" s="413" t="s">
        <v>3179</v>
      </c>
      <c r="C52" s="2163">
        <v>-224862.9124103369</v>
      </c>
      <c r="D52" s="2168"/>
      <c r="E52" s="2178"/>
      <c r="F52" s="2178">
        <v>-128224.53822592142</v>
      </c>
      <c r="G52" s="2169">
        <v>-96638.374184415545</v>
      </c>
      <c r="H52" s="2169">
        <v>6609.15</v>
      </c>
      <c r="I52" s="2163">
        <v>-231472.06241033692</v>
      </c>
    </row>
    <row r="53" spans="2:9">
      <c r="B53" s="413"/>
      <c r="C53" s="1677"/>
      <c r="D53" s="2170"/>
      <c r="E53" s="2180"/>
      <c r="F53" s="2180"/>
      <c r="G53" s="2171"/>
      <c r="H53" s="2171"/>
      <c r="I53" s="2164"/>
    </row>
    <row r="54" spans="2:9">
      <c r="B54" s="413" t="s">
        <v>3180</v>
      </c>
      <c r="C54" s="2057">
        <v>0.43366795366795369</v>
      </c>
      <c r="D54" s="413"/>
      <c r="E54" s="2039"/>
      <c r="F54" s="2172">
        <v>0.43366795366795369</v>
      </c>
      <c r="G54" s="2056">
        <v>0.43366795366795369</v>
      </c>
      <c r="H54" s="2056">
        <v>0.43366795366795369</v>
      </c>
      <c r="I54" s="2057">
        <v>0.43366795366795369</v>
      </c>
    </row>
    <row r="55" spans="2:9">
      <c r="B55" s="413"/>
      <c r="C55" s="2052"/>
      <c r="D55" s="413"/>
      <c r="E55" s="2039"/>
      <c r="F55" s="2086"/>
      <c r="G55" s="2033"/>
      <c r="H55" s="2033"/>
      <c r="I55" s="2034"/>
    </row>
    <row r="56" spans="2:9">
      <c r="B56" s="413" t="s">
        <v>3181</v>
      </c>
      <c r="C56" s="2030">
        <v>0</v>
      </c>
      <c r="D56" s="2048"/>
      <c r="E56" s="2086"/>
      <c r="F56" s="2181">
        <v>0</v>
      </c>
      <c r="G56" s="2029">
        <v>0</v>
      </c>
      <c r="H56" s="2029">
        <v>0</v>
      </c>
      <c r="I56" s="2030">
        <v>0</v>
      </c>
    </row>
    <row r="57" spans="2:9">
      <c r="B57" s="413"/>
      <c r="C57" s="2034"/>
      <c r="D57" s="2048"/>
      <c r="E57" s="2086"/>
      <c r="F57" s="2086"/>
      <c r="G57" s="2033"/>
      <c r="H57" s="2033"/>
      <c r="I57" s="2034"/>
    </row>
    <row r="58" spans="2:9">
      <c r="B58" s="413" t="s">
        <v>3182</v>
      </c>
      <c r="C58" s="2030">
        <v>-97515.839080807113</v>
      </c>
      <c r="D58" s="2048"/>
      <c r="E58" s="2086"/>
      <c r="F58" s="2181">
        <v>-55606.873102453646</v>
      </c>
      <c r="G58" s="2029">
        <v>-41908.965978353495</v>
      </c>
      <c r="H58" s="2029">
        <v>2866.1765559845558</v>
      </c>
      <c r="I58" s="2030">
        <v>-100382.01563679168</v>
      </c>
    </row>
    <row r="59" spans="2:9">
      <c r="B59" s="413"/>
      <c r="C59" s="2034"/>
      <c r="D59" s="2048"/>
      <c r="E59" s="2086"/>
      <c r="F59" s="2086"/>
      <c r="G59" s="2033"/>
      <c r="H59" s="2033"/>
      <c r="I59" s="2034"/>
    </row>
    <row r="60" spans="2:9" ht="15" thickBot="1">
      <c r="B60" s="407" t="s">
        <v>3183</v>
      </c>
      <c r="C60" s="2051">
        <v>-97515.839080807113</v>
      </c>
      <c r="D60" s="2048"/>
      <c r="E60" s="2086"/>
      <c r="F60" s="2182">
        <v>-55606.873102453646</v>
      </c>
      <c r="G60" s="2050">
        <v>-41908.965978353495</v>
      </c>
      <c r="H60" s="2050">
        <v>2866.1765559845558</v>
      </c>
      <c r="I60" s="2051">
        <v>-100382.01563679168</v>
      </c>
    </row>
    <row r="61" spans="2:9">
      <c r="B61" s="1717" t="s">
        <v>3184</v>
      </c>
      <c r="C61" s="29"/>
      <c r="D61" s="413"/>
      <c r="E61" s="2039"/>
      <c r="F61" s="1312"/>
      <c r="G61" s="1750"/>
      <c r="H61" s="1750"/>
      <c r="I61" s="1314"/>
    </row>
    <row r="62" spans="2:9">
      <c r="B62" s="2064">
        <v>1732500</v>
      </c>
      <c r="C62" s="29" t="s">
        <v>3185</v>
      </c>
      <c r="D62" s="413"/>
      <c r="E62" s="2039"/>
      <c r="F62" s="2183">
        <v>1732500</v>
      </c>
      <c r="G62" s="2065">
        <v>1732500</v>
      </c>
      <c r="H62" s="2065">
        <v>1732500</v>
      </c>
      <c r="I62" s="2066">
        <v>1732500</v>
      </c>
    </row>
    <row r="63" spans="2:9">
      <c r="B63" s="2064">
        <v>30</v>
      </c>
      <c r="C63" s="29" t="s">
        <v>3186</v>
      </c>
      <c r="D63" s="413"/>
      <c r="E63" s="2039"/>
      <c r="F63" s="2183">
        <v>30</v>
      </c>
      <c r="G63" s="2065">
        <v>30</v>
      </c>
      <c r="H63" s="2065">
        <v>30</v>
      </c>
      <c r="I63" s="2066">
        <v>30</v>
      </c>
    </row>
    <row r="64" spans="2:9">
      <c r="B64" s="2064">
        <v>500</v>
      </c>
      <c r="C64" s="29" t="s">
        <v>3187</v>
      </c>
      <c r="D64" s="413"/>
      <c r="E64" s="2039"/>
      <c r="F64" s="2183">
        <v>500</v>
      </c>
      <c r="G64" s="2065">
        <v>500</v>
      </c>
      <c r="H64" s="2065">
        <v>500</v>
      </c>
      <c r="I64" s="2066">
        <v>500</v>
      </c>
    </row>
    <row r="65" spans="2:9">
      <c r="B65" s="2064"/>
      <c r="C65" s="29"/>
      <c r="D65" s="413"/>
      <c r="E65" s="2039"/>
      <c r="F65" s="2183"/>
      <c r="G65" s="2065"/>
      <c r="H65" s="2065"/>
      <c r="I65" s="2066"/>
    </row>
    <row r="66" spans="2:9">
      <c r="B66" s="2064">
        <v>115.5</v>
      </c>
      <c r="C66" s="29" t="s">
        <v>3188</v>
      </c>
      <c r="D66" s="413"/>
      <c r="E66" s="2039"/>
      <c r="F66" s="2183">
        <v>115.5</v>
      </c>
      <c r="G66" s="2065">
        <v>115.5</v>
      </c>
      <c r="H66" s="2065">
        <v>115.5</v>
      </c>
      <c r="I66" s="2066">
        <v>115.5</v>
      </c>
    </row>
    <row r="67" spans="2:9">
      <c r="B67" s="2064">
        <v>1</v>
      </c>
      <c r="C67" s="29" t="s">
        <v>3189</v>
      </c>
      <c r="D67" s="413"/>
      <c r="E67" s="2039"/>
      <c r="F67" s="2183">
        <v>1</v>
      </c>
      <c r="G67" s="2064">
        <v>1</v>
      </c>
      <c r="H67" s="2064">
        <v>1</v>
      </c>
      <c r="I67" s="2064">
        <v>1</v>
      </c>
    </row>
    <row r="68" spans="2:9" ht="15" thickBot="1">
      <c r="B68" s="413"/>
      <c r="C68" s="29"/>
      <c r="D68" s="413"/>
      <c r="E68" s="2039"/>
      <c r="F68" s="2039"/>
      <c r="G68" s="414"/>
      <c r="H68" s="414"/>
      <c r="I68" s="29"/>
    </row>
    <row r="69" spans="2:9">
      <c r="B69" s="1703" t="s">
        <v>3190</v>
      </c>
      <c r="C69" s="1314"/>
      <c r="D69" s="413"/>
      <c r="E69" s="2039"/>
      <c r="F69" s="1312"/>
      <c r="G69" s="1750"/>
      <c r="H69" s="1750"/>
      <c r="I69" s="1314"/>
    </row>
    <row r="70" spans="2:9">
      <c r="B70" s="413" t="s">
        <v>7819</v>
      </c>
      <c r="C70" s="2086">
        <v>119.25868725868726</v>
      </c>
      <c r="D70" s="2048"/>
      <c r="E70" s="2086"/>
      <c r="F70" s="2086">
        <v>119.25868725868726</v>
      </c>
      <c r="G70" s="2033">
        <v>119.25868725868726</v>
      </c>
      <c r="H70" s="2033">
        <v>119.25868725868726</v>
      </c>
      <c r="I70" s="2034">
        <v>119.25868725868726</v>
      </c>
    </row>
    <row r="71" spans="2:9">
      <c r="B71" s="413" t="s">
        <v>3192</v>
      </c>
      <c r="C71" s="2086">
        <v>115.5</v>
      </c>
      <c r="D71" s="2048"/>
      <c r="E71" s="2086"/>
      <c r="F71" s="2086">
        <v>115.5</v>
      </c>
      <c r="G71" s="2033">
        <v>115.5</v>
      </c>
      <c r="H71" s="2033">
        <v>115.5</v>
      </c>
      <c r="I71" s="2034">
        <v>115.5</v>
      </c>
    </row>
    <row r="72" spans="2:9">
      <c r="B72" s="413"/>
      <c r="C72" s="29"/>
      <c r="D72" s="413"/>
      <c r="E72" s="2039"/>
      <c r="F72" s="2039"/>
      <c r="G72" s="414"/>
      <c r="H72" s="414"/>
      <c r="I72" s="29"/>
    </row>
    <row r="73" spans="2:9">
      <c r="B73" s="413" t="s">
        <v>3193</v>
      </c>
      <c r="C73" s="2030">
        <v>-227714.53169563273</v>
      </c>
      <c r="D73" s="2048"/>
      <c r="E73" s="2086"/>
      <c r="F73" s="2030">
        <v>-129535.73865398114</v>
      </c>
      <c r="G73" s="2030">
        <v>-98178.793041651705</v>
      </c>
      <c r="H73" s="2030">
        <v>6878.4295366795368</v>
      </c>
      <c r="I73" s="2030">
        <v>-234592.96123231226</v>
      </c>
    </row>
    <row r="74" spans="2:9">
      <c r="B74" s="413"/>
      <c r="C74" s="2034"/>
      <c r="D74" s="2048"/>
      <c r="E74" s="2086"/>
      <c r="F74" s="2086"/>
      <c r="G74" s="2033"/>
      <c r="H74" s="2033"/>
      <c r="I74" s="2034"/>
    </row>
    <row r="75" spans="2:9" ht="15" thickBot="1">
      <c r="B75" s="407" t="s">
        <v>3162</v>
      </c>
      <c r="C75" s="2067">
        <v>-227714.53169563273</v>
      </c>
      <c r="D75" s="2048"/>
      <c r="E75" s="2086"/>
      <c r="F75" s="2184">
        <v>-129535.73865398114</v>
      </c>
      <c r="G75" s="2068">
        <v>-98178.793041651705</v>
      </c>
      <c r="H75" s="2068">
        <v>6878.4295366795368</v>
      </c>
      <c r="I75" s="2068">
        <v>-234592.96123231226</v>
      </c>
    </row>
    <row r="76" spans="2:9">
      <c r="B76" s="1748" t="s">
        <v>3194</v>
      </c>
      <c r="C76" s="29"/>
      <c r="D76" s="413"/>
      <c r="E76" s="2039"/>
      <c r="F76" s="2039"/>
      <c r="G76" s="414"/>
      <c r="H76" s="414"/>
      <c r="I76" s="29"/>
    </row>
    <row r="77" spans="2:9">
      <c r="B77" s="1688" t="s">
        <v>3195</v>
      </c>
      <c r="C77" s="1815">
        <v>-969.99405796092071</v>
      </c>
      <c r="D77" s="2061"/>
      <c r="E77" s="2189"/>
      <c r="F77" s="2185">
        <v>-551.78251406407821</v>
      </c>
      <c r="G77" s="2003">
        <v>-418.2115438968429</v>
      </c>
      <c r="H77" s="2003">
        <v>29.3</v>
      </c>
      <c r="I77" s="1815">
        <v>-999.29405796092067</v>
      </c>
    </row>
    <row r="78" spans="2:9">
      <c r="B78" s="1688" t="s">
        <v>3196</v>
      </c>
      <c r="C78" s="2070">
        <v>-678.99584057264451</v>
      </c>
      <c r="D78" s="2061"/>
      <c r="E78" s="2189"/>
      <c r="F78" s="2185">
        <v>-386.24775984485473</v>
      </c>
      <c r="G78" s="2069">
        <v>-292.74808072779001</v>
      </c>
      <c r="H78" s="2069">
        <v>20.509999999999998</v>
      </c>
      <c r="I78" s="2069">
        <v>-699.50584057264439</v>
      </c>
    </row>
    <row r="79" spans="2:9">
      <c r="B79" s="1688" t="s">
        <v>3197</v>
      </c>
      <c r="C79" s="2070">
        <v>-290.9982173882762</v>
      </c>
      <c r="D79" s="2061"/>
      <c r="E79" s="2189"/>
      <c r="F79" s="2185">
        <v>-165.53475421922346</v>
      </c>
      <c r="G79" s="2069">
        <v>-125.46346316905286</v>
      </c>
      <c r="H79" s="2069">
        <v>8.7899999999999991</v>
      </c>
      <c r="I79" s="2069">
        <v>-299.78821738827617</v>
      </c>
    </row>
    <row r="80" spans="2:9">
      <c r="B80" s="1688"/>
      <c r="C80" s="1692"/>
      <c r="D80" s="413"/>
      <c r="E80" s="2190"/>
      <c r="F80" s="2186"/>
      <c r="G80" s="1747"/>
      <c r="H80" s="1747"/>
      <c r="I80" s="1692"/>
    </row>
    <row r="81" spans="2:9">
      <c r="B81" s="1688" t="s">
        <v>3198</v>
      </c>
      <c r="C81" s="2187">
        <v>-62903.747633987019</v>
      </c>
      <c r="D81" s="2048"/>
      <c r="E81" s="2086"/>
      <c r="F81" s="2187">
        <v>-35782.887254482579</v>
      </c>
      <c r="G81" s="2073">
        <v>-27120.860379504462</v>
      </c>
      <c r="H81" s="2073">
        <v>1900.0939135135134</v>
      </c>
      <c r="I81" s="2074">
        <v>-64803.841547500524</v>
      </c>
    </row>
    <row r="82" spans="2:9">
      <c r="B82" s="1688" t="s">
        <v>3199</v>
      </c>
      <c r="C82" s="2187">
        <v>-23661.862772961762</v>
      </c>
      <c r="D82" s="2048"/>
      <c r="E82" s="2086"/>
      <c r="F82" s="2187">
        <v>-13460.084648095932</v>
      </c>
      <c r="G82" s="2073">
        <v>-10201.778124865841</v>
      </c>
      <c r="H82" s="2073">
        <v>714.73899613899596</v>
      </c>
      <c r="I82" s="2074">
        <v>-24376.601769100755</v>
      </c>
    </row>
    <row r="83" spans="2:9">
      <c r="B83" s="413"/>
      <c r="C83" s="2034"/>
      <c r="D83" s="2048"/>
      <c r="E83" s="2086"/>
      <c r="F83" s="2086"/>
      <c r="G83" s="2033"/>
      <c r="H83" s="2033"/>
      <c r="I83" s="2034"/>
    </row>
    <row r="84" spans="2:9" ht="15" thickBot="1">
      <c r="B84" s="1705" t="s">
        <v>3200</v>
      </c>
      <c r="C84" s="2075">
        <v>-86565.610406948777</v>
      </c>
      <c r="D84" s="2048"/>
      <c r="E84" s="2086"/>
      <c r="F84" s="2188">
        <v>-49242.971902578509</v>
      </c>
      <c r="G84" s="2076">
        <v>-37322.638504370305</v>
      </c>
      <c r="H84" s="2076">
        <v>2614.8329096525094</v>
      </c>
      <c r="I84" s="2076">
        <v>-89180.443316601275</v>
      </c>
    </row>
    <row r="85" spans="2:9">
      <c r="C85" s="2039"/>
      <c r="D85" s="2039"/>
      <c r="E85" s="2039"/>
      <c r="F85" s="2039"/>
    </row>
    <row r="86" spans="2:9">
      <c r="C86" s="2039"/>
      <c r="D86" s="2039"/>
      <c r="E86" s="2039"/>
      <c r="F86" s="2039"/>
    </row>
    <row r="88" spans="2:9" ht="28">
      <c r="B88" s="1754"/>
      <c r="C88" s="1755" t="s">
        <v>3201</v>
      </c>
    </row>
    <row r="89" spans="2:9" ht="28">
      <c r="B89" s="1756" t="s">
        <v>2924</v>
      </c>
      <c r="C89" s="1757">
        <v>100</v>
      </c>
    </row>
    <row r="90" spans="2:9" ht="28">
      <c r="B90" s="1756" t="s">
        <v>3202</v>
      </c>
      <c r="C90" s="1757">
        <v>129.5</v>
      </c>
    </row>
    <row r="91" spans="2:9">
      <c r="B91" s="1756" t="s">
        <v>2926</v>
      </c>
      <c r="C91" s="1757">
        <v>140.4</v>
      </c>
      <c r="D91" s="1760" t="s">
        <v>3203</v>
      </c>
      <c r="E91" s="1760"/>
    </row>
    <row r="92" spans="2:9" ht="28">
      <c r="B92" s="1756" t="s">
        <v>2928</v>
      </c>
      <c r="C92" s="1759">
        <f>((C91-C90)/C90)</f>
        <v>8.4169884169884218E-2</v>
      </c>
    </row>
  </sheetData>
  <hyperlinks>
    <hyperlink ref="D91" r:id="rId1" display="https://www150.statcan.gc.ca/t1/tbl1/en/tv.action?pid=1810000402" xr:uid="{E87FD316-BE75-4252-AB78-E6FE28D0762E}"/>
  </hyperlinks>
  <pageMargins left="0.7" right="0.7" top="0.75" bottom="0.75" header="0.3" footer="0.3"/>
  <pageSetup scale="53" fitToHeight="0" orientation="landscape" r:id="rId2"/>
  <rowBreaks count="1" manualBreakCount="1">
    <brk id="31" min="1"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B1:K26"/>
  <sheetViews>
    <sheetView workbookViewId="0">
      <selection activeCell="T33" sqref="T33"/>
    </sheetView>
  </sheetViews>
  <sheetFormatPr defaultRowHeight="14.5"/>
  <cols>
    <col min="2" max="2" width="45.1796875" bestFit="1" customWidth="1"/>
    <col min="3" max="3" width="15.54296875" bestFit="1" customWidth="1"/>
    <col min="4" max="4" width="38.7265625" bestFit="1" customWidth="1"/>
    <col min="5" max="5" width="16.26953125" bestFit="1" customWidth="1"/>
    <col min="9" max="9" width="15.453125" bestFit="1" customWidth="1"/>
  </cols>
  <sheetData>
    <row r="1" spans="2:11" ht="15" thickBot="1"/>
    <row r="2" spans="2:11" ht="15" thickBot="1">
      <c r="B2" s="175" t="s">
        <v>3253</v>
      </c>
      <c r="C2" s="176" t="s">
        <v>5604</v>
      </c>
      <c r="D2" s="176" t="s">
        <v>2790</v>
      </c>
      <c r="E2" s="177" t="s">
        <v>29</v>
      </c>
      <c r="H2" s="158" t="s">
        <v>5636</v>
      </c>
      <c r="I2" s="158" t="s">
        <v>5637</v>
      </c>
      <c r="J2" s="2327" t="s">
        <v>5638</v>
      </c>
      <c r="K2" s="2327"/>
    </row>
    <row r="3" spans="2:11">
      <c r="B3" s="834" t="s">
        <v>5639</v>
      </c>
      <c r="C3" s="174" t="s">
        <v>5640</v>
      </c>
      <c r="D3" s="174" t="s">
        <v>5641</v>
      </c>
      <c r="E3" s="391">
        <v>110</v>
      </c>
      <c r="F3" t="s">
        <v>5642</v>
      </c>
      <c r="H3">
        <v>10</v>
      </c>
      <c r="I3">
        <v>7</v>
      </c>
      <c r="J3" t="s">
        <v>5643</v>
      </c>
      <c r="K3" t="s">
        <v>5644</v>
      </c>
    </row>
    <row r="4" spans="2:11">
      <c r="B4" s="831" t="s">
        <v>5645</v>
      </c>
      <c r="C4" s="172" t="s">
        <v>242</v>
      </c>
      <c r="D4" s="172" t="s">
        <v>5646</v>
      </c>
      <c r="E4" s="392">
        <v>120000</v>
      </c>
    </row>
    <row r="5" spans="2:11">
      <c r="B5" s="831" t="s">
        <v>3676</v>
      </c>
      <c r="C5" s="172" t="s">
        <v>5647</v>
      </c>
      <c r="D5" s="172" t="s">
        <v>5648</v>
      </c>
      <c r="E5" s="392">
        <f>1680000</f>
        <v>1680000</v>
      </c>
    </row>
    <row r="6" spans="2:11">
      <c r="B6" s="831" t="s">
        <v>5649</v>
      </c>
      <c r="C6" s="172" t="s">
        <v>5650</v>
      </c>
      <c r="D6" s="172" t="s">
        <v>5651</v>
      </c>
      <c r="E6" s="392" t="s">
        <v>5652</v>
      </c>
    </row>
    <row r="7" spans="2:11">
      <c r="B7" s="831" t="s">
        <v>5653</v>
      </c>
      <c r="C7" s="172" t="s">
        <v>5654</v>
      </c>
      <c r="D7" s="172" t="s">
        <v>5655</v>
      </c>
      <c r="E7" s="393">
        <f>'Equipment Rates Contractors'!D45</f>
        <v>109551.64</v>
      </c>
      <c r="F7" t="s">
        <v>5656</v>
      </c>
    </row>
    <row r="8" spans="2:11" ht="15" thickBot="1">
      <c r="B8" s="833" t="s">
        <v>5657</v>
      </c>
      <c r="C8" s="173" t="s">
        <v>5640</v>
      </c>
      <c r="D8" s="173" t="s">
        <v>5658</v>
      </c>
      <c r="E8" s="394" t="s">
        <v>5659</v>
      </c>
      <c r="I8" t="s">
        <v>5660</v>
      </c>
    </row>
    <row r="10" spans="2:11">
      <c r="D10" s="395" t="s">
        <v>5661</v>
      </c>
    </row>
    <row r="14" spans="2:11">
      <c r="B14" t="s">
        <v>5662</v>
      </c>
      <c r="C14" s="818" t="e">
        <f>'Cost Summary'!N72</f>
        <v>#REF!</v>
      </c>
    </row>
    <row r="15" spans="2:11">
      <c r="B15" t="s">
        <v>5663</v>
      </c>
      <c r="C15" s="818" t="e">
        <f>C14/10</f>
        <v>#REF!</v>
      </c>
    </row>
    <row r="16" spans="2:11">
      <c r="B16" t="s">
        <v>5664</v>
      </c>
      <c r="C16">
        <v>50</v>
      </c>
      <c r="D16" s="166"/>
    </row>
    <row r="17" spans="2:5">
      <c r="B17" t="s">
        <v>5665</v>
      </c>
      <c r="C17" s="166" t="e">
        <f>(C15/C16)/7</f>
        <v>#REF!</v>
      </c>
      <c r="E17" s="166"/>
    </row>
    <row r="18" spans="2:5">
      <c r="B18" t="s">
        <v>5666</v>
      </c>
      <c r="C18" s="830" t="e">
        <f>C17/4.3</f>
        <v>#REF!</v>
      </c>
    </row>
    <row r="20" spans="2:5">
      <c r="B20" s="843" t="s">
        <v>5667</v>
      </c>
      <c r="C20" s="844" t="e">
        <f>C18*0.75</f>
        <v>#REF!</v>
      </c>
    </row>
    <row r="21" spans="2:5">
      <c r="B21" s="843" t="s">
        <v>5668</v>
      </c>
      <c r="C21" s="845" t="e">
        <f>C18*0.25</f>
        <v>#REF!</v>
      </c>
    </row>
    <row r="23" spans="2:5">
      <c r="B23" s="843" t="s">
        <v>5669</v>
      </c>
      <c r="C23" s="846" t="e">
        <f>C15*0.75</f>
        <v>#REF!</v>
      </c>
    </row>
    <row r="24" spans="2:5">
      <c r="B24" s="843" t="s">
        <v>5670</v>
      </c>
      <c r="C24" s="846" t="e">
        <f>C15*0.25</f>
        <v>#REF!</v>
      </c>
    </row>
    <row r="26" spans="2:5">
      <c r="B26" t="s">
        <v>5671</v>
      </c>
      <c r="C26" s="166" t="e">
        <f>(C17/4)</f>
        <v>#REF!</v>
      </c>
      <c r="D26" t="s">
        <v>5672</v>
      </c>
    </row>
  </sheetData>
  <mergeCells count="1">
    <mergeCell ref="J2:K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dimension ref="A1:BI178"/>
  <sheetViews>
    <sheetView zoomScale="80" zoomScaleNormal="80" workbookViewId="0">
      <selection activeCell="T33" sqref="T33"/>
    </sheetView>
  </sheetViews>
  <sheetFormatPr defaultColWidth="9.1796875" defaultRowHeight="15.5"/>
  <cols>
    <col min="1" max="1" width="4.81640625" style="455" customWidth="1"/>
    <col min="2" max="2" width="8.7265625" style="459" bestFit="1" customWidth="1"/>
    <col min="3" max="3" width="17" style="459" customWidth="1"/>
    <col min="4" max="4" width="26.81640625" style="456" customWidth="1"/>
    <col min="5" max="5" width="35.81640625" style="456" customWidth="1"/>
    <col min="6" max="6" width="19" style="456" customWidth="1"/>
    <col min="7" max="7" width="19.453125" style="456" customWidth="1"/>
    <col min="8" max="8" width="15" style="460" customWidth="1"/>
    <col min="9" max="9" width="29.1796875" style="460" customWidth="1"/>
    <col min="10" max="10" width="48.54296875" style="456" customWidth="1"/>
    <col min="11" max="11" width="45.7265625" style="456" customWidth="1"/>
    <col min="12" max="12" width="19.453125" style="456" customWidth="1"/>
    <col min="13" max="13" width="9.26953125" style="456" customWidth="1"/>
    <col min="14" max="15" width="7.7265625" style="459" customWidth="1"/>
    <col min="16" max="16" width="9" style="456" customWidth="1"/>
    <col min="17" max="17" width="9.54296875" style="456" customWidth="1"/>
    <col min="18" max="18" width="9" style="456" customWidth="1"/>
    <col min="19" max="20" width="10.1796875" style="456" customWidth="1"/>
    <col min="21" max="21" width="10.81640625" style="456" customWidth="1"/>
    <col min="22" max="24" width="9.1796875" style="456" customWidth="1"/>
    <col min="25" max="25" width="7.1796875" style="456" customWidth="1"/>
    <col min="26" max="26" width="6.26953125" style="456" customWidth="1"/>
    <col min="27" max="27" width="7.1796875" style="456" customWidth="1"/>
    <col min="28" max="28" width="6.26953125" style="456" customWidth="1"/>
    <col min="29" max="29" width="6.81640625" style="456" customWidth="1"/>
    <col min="30" max="40" width="7.54296875" style="456" customWidth="1"/>
    <col min="41" max="41" width="8.81640625" style="456" customWidth="1"/>
    <col min="42" max="42" width="12.453125" style="456" customWidth="1"/>
    <col min="43" max="43" width="11.453125" style="456" customWidth="1"/>
    <col min="44" max="44" width="8.1796875" style="456" customWidth="1"/>
    <col min="45" max="45" width="8.54296875" style="457" customWidth="1"/>
    <col min="46" max="46" width="26.1796875" style="458" customWidth="1"/>
    <col min="47" max="48" width="28.453125" style="457" customWidth="1"/>
    <col min="49" max="49" width="48.1796875" style="457" customWidth="1"/>
    <col min="50" max="50" width="9.1796875" style="456"/>
    <col min="51" max="51" width="11.7265625" style="456" customWidth="1"/>
    <col min="52" max="56" width="9.1796875" style="456"/>
    <col min="57" max="57" width="9.1796875" style="456" customWidth="1"/>
    <col min="58" max="58" width="17.54296875" style="456" customWidth="1"/>
    <col min="59" max="59" width="11" style="456" customWidth="1"/>
    <col min="60" max="60" width="12" style="456" customWidth="1"/>
    <col min="61" max="61" width="33.81640625" style="456" bestFit="1" customWidth="1"/>
    <col min="62" max="16384" width="9.1796875" style="455"/>
  </cols>
  <sheetData>
    <row r="1" spans="1:61" s="751" customFormat="1" ht="4.5" customHeight="1">
      <c r="A1" s="771"/>
      <c r="B1" s="742"/>
      <c r="C1" s="739"/>
      <c r="D1" s="739"/>
      <c r="E1" s="739"/>
      <c r="F1" s="739"/>
      <c r="G1" s="739"/>
      <c r="H1" s="770"/>
      <c r="I1" s="770"/>
      <c r="J1" s="770"/>
      <c r="K1" s="770"/>
      <c r="L1" s="770"/>
      <c r="M1" s="748"/>
      <c r="N1" s="748"/>
      <c r="O1" s="748"/>
      <c r="P1" s="748"/>
      <c r="Q1" s="748"/>
      <c r="R1" s="748"/>
      <c r="S1" s="748"/>
      <c r="T1" s="748"/>
      <c r="U1" s="748"/>
      <c r="V1" s="748"/>
      <c r="W1" s="748"/>
      <c r="X1" s="748"/>
      <c r="Y1" s="748"/>
      <c r="Z1" s="748"/>
      <c r="AA1" s="748"/>
      <c r="AB1" s="748"/>
      <c r="AC1" s="752"/>
      <c r="AD1" s="752"/>
      <c r="AE1" s="752"/>
      <c r="AF1" s="752"/>
      <c r="AG1" s="752"/>
      <c r="AH1" s="752"/>
      <c r="AI1" s="752"/>
      <c r="AJ1" s="752"/>
      <c r="AK1" s="752"/>
      <c r="AL1" s="752"/>
      <c r="AM1" s="752"/>
      <c r="AN1" s="752"/>
      <c r="AO1" s="752"/>
      <c r="AP1" s="752"/>
      <c r="AQ1" s="752"/>
      <c r="AR1" s="752"/>
      <c r="AS1" s="768"/>
      <c r="AT1" s="769"/>
      <c r="AU1" s="768"/>
      <c r="AV1" s="768"/>
      <c r="AW1" s="768"/>
      <c r="AX1" s="752"/>
      <c r="AY1" s="752"/>
      <c r="AZ1" s="752"/>
      <c r="BA1" s="752"/>
      <c r="BB1" s="752"/>
      <c r="BC1" s="752"/>
      <c r="BD1" s="752"/>
      <c r="BE1" s="752"/>
      <c r="BF1" s="752"/>
      <c r="BG1" s="752"/>
      <c r="BH1" s="752"/>
      <c r="BI1" s="752"/>
    </row>
    <row r="2" spans="1:61" s="751" customFormat="1" ht="54" hidden="1" customHeight="1">
      <c r="A2" s="2384"/>
      <c r="B2" s="2384"/>
      <c r="C2" s="2384"/>
      <c r="D2" s="2384"/>
      <c r="E2" s="739"/>
      <c r="F2" s="739"/>
      <c r="G2" s="739"/>
      <c r="H2" s="748"/>
      <c r="I2" s="748"/>
      <c r="J2" s="748"/>
      <c r="K2" s="748"/>
      <c r="L2" s="748"/>
      <c r="M2" s="748"/>
      <c r="N2" s="748"/>
      <c r="O2" s="748"/>
      <c r="P2" s="748"/>
      <c r="Q2" s="748"/>
      <c r="R2" s="748"/>
      <c r="S2" s="748"/>
      <c r="T2" s="748"/>
      <c r="U2" s="748"/>
      <c r="V2" s="748"/>
      <c r="W2" s="748"/>
      <c r="X2" s="748"/>
      <c r="Y2" s="748"/>
      <c r="Z2" s="748"/>
      <c r="AA2" s="748"/>
      <c r="AB2" s="748"/>
      <c r="AC2" s="752"/>
      <c r="AD2" s="752"/>
      <c r="AE2" s="752"/>
      <c r="AF2" s="752"/>
      <c r="AG2" s="752"/>
      <c r="AH2" s="752"/>
      <c r="AI2" s="752"/>
      <c r="AJ2" s="752"/>
      <c r="AK2" s="752"/>
      <c r="AL2" s="2385"/>
      <c r="AM2" s="2385"/>
      <c r="AN2" s="2386"/>
      <c r="AO2" s="2386"/>
      <c r="AP2" s="2386"/>
      <c r="AQ2" s="2386"/>
      <c r="AR2" s="2386"/>
      <c r="AS2" s="768"/>
      <c r="AT2" s="769"/>
      <c r="AU2" s="768"/>
      <c r="AV2" s="768"/>
      <c r="AW2" s="768"/>
      <c r="AX2" s="752"/>
      <c r="AY2" s="752"/>
      <c r="AZ2" s="752"/>
      <c r="BA2" s="752"/>
      <c r="BB2" s="752"/>
      <c r="BC2" s="752"/>
      <c r="BD2" s="752"/>
      <c r="BE2" s="752"/>
      <c r="BF2" s="752"/>
      <c r="BG2" s="752"/>
      <c r="BH2" s="752"/>
      <c r="BI2" s="752"/>
    </row>
    <row r="3" spans="1:61" s="751" customFormat="1" ht="31.5" hidden="1" customHeight="1">
      <c r="A3" s="767"/>
      <c r="B3" s="766"/>
      <c r="C3" s="765"/>
      <c r="D3" s="765"/>
      <c r="E3" s="765"/>
      <c r="F3" s="765"/>
      <c r="G3" s="765"/>
      <c r="H3" s="764"/>
      <c r="I3" s="764"/>
      <c r="J3" s="764"/>
      <c r="K3" s="764"/>
      <c r="L3" s="764"/>
      <c r="M3" s="764"/>
      <c r="N3" s="764"/>
      <c r="O3" s="764"/>
      <c r="P3" s="764"/>
      <c r="Q3" s="764"/>
      <c r="R3" s="764"/>
      <c r="S3" s="764"/>
      <c r="T3" s="764"/>
      <c r="U3" s="764"/>
      <c r="V3" s="764"/>
      <c r="W3" s="764"/>
      <c r="X3" s="764"/>
      <c r="Y3" s="764"/>
      <c r="Z3" s="764"/>
      <c r="AA3" s="764"/>
      <c r="AB3" s="764"/>
      <c r="AC3" s="763"/>
      <c r="AD3" s="763"/>
      <c r="AE3" s="763"/>
      <c r="AF3" s="763"/>
      <c r="AG3" s="763"/>
      <c r="AH3" s="763"/>
      <c r="AI3" s="763"/>
      <c r="AJ3" s="763"/>
      <c r="AK3" s="763"/>
      <c r="AL3" s="763"/>
      <c r="AM3" s="763"/>
      <c r="AN3" s="2387" t="s">
        <v>5673</v>
      </c>
      <c r="AO3" s="2387"/>
      <c r="AP3" s="2387"/>
      <c r="AQ3" s="2387"/>
      <c r="AR3" s="2387"/>
      <c r="AS3" s="762"/>
      <c r="AT3" s="761"/>
      <c r="AU3" s="760"/>
      <c r="AV3" s="760"/>
      <c r="AW3" s="760"/>
      <c r="AX3" s="752"/>
      <c r="AY3" s="752"/>
      <c r="AZ3" s="752"/>
      <c r="BA3" s="752"/>
      <c r="BB3" s="752"/>
      <c r="BC3" s="752"/>
      <c r="BD3" s="752"/>
      <c r="BE3" s="752"/>
      <c r="BF3" s="752"/>
      <c r="BG3" s="752"/>
      <c r="BH3" s="752"/>
      <c r="BI3" s="752"/>
    </row>
    <row r="4" spans="1:61" s="751" customFormat="1" ht="20.25" hidden="1" customHeight="1">
      <c r="A4" s="759" t="s">
        <v>5674</v>
      </c>
      <c r="B4" s="758"/>
      <c r="C4" s="757"/>
      <c r="D4" s="757"/>
      <c r="E4" s="739"/>
      <c r="F4" s="739"/>
      <c r="G4" s="739"/>
      <c r="H4" s="748"/>
      <c r="I4" s="748"/>
      <c r="J4" s="748"/>
      <c r="K4" s="748"/>
      <c r="L4" s="748"/>
      <c r="M4" s="748"/>
      <c r="N4" s="748"/>
      <c r="O4" s="748"/>
      <c r="P4" s="748"/>
      <c r="Q4" s="748"/>
      <c r="R4" s="748"/>
      <c r="S4" s="748"/>
      <c r="T4" s="748"/>
      <c r="U4" s="748"/>
      <c r="V4" s="748"/>
      <c r="W4" s="748"/>
      <c r="X4" s="748"/>
      <c r="Y4" s="748"/>
      <c r="Z4" s="748"/>
      <c r="AA4" s="748"/>
      <c r="AB4" s="748"/>
      <c r="AC4" s="752"/>
      <c r="AD4" s="752"/>
      <c r="AE4" s="752"/>
      <c r="AF4" s="752"/>
      <c r="AG4" s="752"/>
      <c r="AH4" s="752"/>
      <c r="AI4" s="752"/>
      <c r="AJ4" s="752"/>
      <c r="AK4" s="752"/>
      <c r="AL4" s="752"/>
      <c r="AM4" s="752"/>
      <c r="AN4" s="2388" t="s">
        <v>5675</v>
      </c>
      <c r="AO4" s="2388"/>
      <c r="AP4" s="2388"/>
      <c r="AQ4" s="2388"/>
      <c r="AR4" s="2388"/>
      <c r="AS4" s="755"/>
      <c r="AT4" s="756"/>
      <c r="AU4" s="755"/>
      <c r="AV4" s="755"/>
      <c r="AW4" s="755"/>
      <c r="AX4" s="752"/>
      <c r="AY4" s="752"/>
      <c r="AZ4" s="752"/>
      <c r="BA4" s="752"/>
      <c r="BB4" s="752"/>
      <c r="BC4" s="752"/>
      <c r="BD4" s="752"/>
      <c r="BE4" s="752"/>
      <c r="BF4" s="752"/>
      <c r="BG4" s="752"/>
      <c r="BH4" s="752"/>
      <c r="BI4" s="752"/>
    </row>
    <row r="5" spans="1:61" s="751" customFormat="1" ht="21.75" hidden="1" customHeight="1">
      <c r="A5" s="1830" t="s">
        <v>3648</v>
      </c>
      <c r="B5" s="1831"/>
      <c r="C5" s="1832"/>
      <c r="D5" s="1832"/>
      <c r="E5" s="1833"/>
      <c r="F5" s="1833"/>
      <c r="G5" s="1833"/>
      <c r="H5" s="1834"/>
      <c r="I5" s="1834"/>
      <c r="J5" s="1834"/>
      <c r="K5" s="1834"/>
      <c r="L5" s="1834"/>
      <c r="M5" s="1834"/>
      <c r="N5" s="1834"/>
      <c r="O5" s="1834"/>
      <c r="P5" s="1834"/>
      <c r="Q5" s="1834"/>
      <c r="R5" s="1834"/>
      <c r="S5" s="1834"/>
      <c r="T5" s="1834"/>
      <c r="U5" s="1834"/>
      <c r="V5" s="1834"/>
      <c r="W5" s="1834"/>
      <c r="X5" s="1834"/>
      <c r="Y5" s="1834"/>
      <c r="Z5" s="1834"/>
      <c r="AA5" s="1834"/>
      <c r="AB5" s="1834"/>
      <c r="AC5" s="1835"/>
      <c r="AD5" s="1836"/>
      <c r="AE5" s="1836"/>
      <c r="AF5" s="1836"/>
      <c r="AG5" s="1836"/>
      <c r="AH5" s="1836"/>
      <c r="AI5" s="1836"/>
      <c r="AJ5" s="1836"/>
      <c r="AK5" s="1836"/>
      <c r="AL5" s="1836"/>
      <c r="AM5" s="1836"/>
      <c r="AN5" s="1836"/>
      <c r="AO5" s="1836"/>
      <c r="AP5" s="1836"/>
      <c r="AQ5" s="1836"/>
      <c r="AR5" s="1837"/>
      <c r="AS5" s="1838"/>
      <c r="AT5" s="754"/>
      <c r="AU5" s="753"/>
      <c r="AV5" s="753"/>
      <c r="AW5" s="753"/>
      <c r="AX5" s="752"/>
      <c r="AY5" s="752"/>
      <c r="AZ5" s="752"/>
      <c r="BA5" s="752"/>
      <c r="BB5" s="752"/>
      <c r="BC5" s="752"/>
      <c r="BD5" s="752"/>
      <c r="BE5" s="752"/>
      <c r="BF5" s="752"/>
      <c r="BG5" s="752"/>
      <c r="BH5" s="752"/>
      <c r="BI5" s="752"/>
    </row>
    <row r="6" spans="1:61" s="732" customFormat="1" ht="18.75" hidden="1" customHeight="1">
      <c r="A6" s="750"/>
      <c r="B6" s="749"/>
      <c r="C6" s="737"/>
      <c r="D6" s="733"/>
      <c r="E6" s="737"/>
      <c r="F6" s="737"/>
      <c r="G6" s="737"/>
      <c r="H6" s="748"/>
      <c r="I6" s="748"/>
      <c r="J6" s="748"/>
      <c r="K6" s="748"/>
      <c r="L6" s="748"/>
      <c r="M6" s="748"/>
      <c r="N6" s="748"/>
      <c r="O6" s="748"/>
      <c r="P6" s="748"/>
      <c r="Q6" s="748"/>
      <c r="R6" s="748"/>
      <c r="S6" s="748"/>
      <c r="T6" s="748"/>
      <c r="U6" s="748"/>
      <c r="V6" s="748"/>
      <c r="W6" s="748"/>
      <c r="X6" s="748"/>
      <c r="Y6" s="748"/>
      <c r="Z6" s="748"/>
      <c r="AA6" s="748"/>
      <c r="AB6" s="748"/>
      <c r="AC6" s="747"/>
      <c r="AD6" s="733"/>
      <c r="AE6" s="733"/>
      <c r="AF6" s="733"/>
      <c r="AG6" s="733"/>
      <c r="AH6" s="733"/>
      <c r="AI6" s="733"/>
      <c r="AJ6" s="733"/>
      <c r="AK6" s="733"/>
      <c r="AL6" s="733"/>
      <c r="AM6" s="733"/>
      <c r="AN6" s="733"/>
      <c r="AO6" s="733"/>
      <c r="AP6" s="733"/>
      <c r="AQ6" s="746"/>
      <c r="AR6" s="746"/>
      <c r="AS6" s="744"/>
      <c r="AT6" s="745"/>
      <c r="AU6" s="744"/>
      <c r="AV6" s="744"/>
      <c r="AW6" s="744"/>
      <c r="AX6" s="733"/>
      <c r="AY6" s="733"/>
      <c r="AZ6" s="733"/>
      <c r="BA6" s="733"/>
      <c r="BB6" s="733"/>
      <c r="BC6" s="733"/>
      <c r="BD6" s="733"/>
      <c r="BE6" s="733"/>
      <c r="BF6" s="733"/>
      <c r="BG6" s="733"/>
      <c r="BH6" s="733"/>
      <c r="BI6" s="733"/>
    </row>
    <row r="7" spans="1:61" s="732" customFormat="1" ht="10.5" customHeight="1">
      <c r="A7" s="743"/>
      <c r="B7" s="733"/>
      <c r="C7" s="739"/>
      <c r="D7" s="738"/>
      <c r="E7" s="739"/>
      <c r="F7" s="739"/>
      <c r="G7" s="739"/>
      <c r="H7" s="738"/>
      <c r="I7" s="736"/>
      <c r="J7" s="739"/>
      <c r="K7" s="739"/>
      <c r="L7" s="739"/>
      <c r="M7" s="739"/>
      <c r="N7" s="738"/>
      <c r="O7" s="738"/>
      <c r="P7" s="742"/>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6"/>
      <c r="AS7" s="740"/>
      <c r="AT7" s="741"/>
      <c r="AU7" s="740"/>
      <c r="AV7" s="740"/>
      <c r="AW7" s="740"/>
      <c r="AX7" s="733"/>
      <c r="AY7" s="733"/>
      <c r="AZ7" s="733"/>
      <c r="BA7" s="733"/>
      <c r="BB7" s="733"/>
      <c r="BC7" s="733"/>
      <c r="BD7" s="733"/>
      <c r="BE7" s="733"/>
      <c r="BF7" s="733"/>
      <c r="BG7" s="733"/>
      <c r="BH7" s="733"/>
      <c r="BI7" s="733"/>
    </row>
    <row r="8" spans="1:61" s="732" customFormat="1" ht="12" customHeight="1" thickBot="1">
      <c r="B8" s="733"/>
      <c r="C8" s="739"/>
      <c r="D8" s="738"/>
      <c r="E8" s="739"/>
      <c r="F8" s="739"/>
      <c r="G8" s="739"/>
      <c r="H8" s="738"/>
      <c r="I8" s="736"/>
      <c r="J8" s="739"/>
      <c r="K8" s="739"/>
      <c r="L8" s="739"/>
      <c r="M8" s="739"/>
      <c r="N8" s="738"/>
      <c r="O8" s="738"/>
      <c r="P8" s="737"/>
      <c r="Q8" s="736"/>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4"/>
      <c r="AT8" s="735"/>
      <c r="AU8" s="734"/>
      <c r="AV8" s="734"/>
      <c r="AW8" s="734"/>
      <c r="AX8" s="733"/>
      <c r="AY8" s="733"/>
      <c r="AZ8" s="733"/>
      <c r="BA8" s="733"/>
      <c r="BB8" s="733"/>
      <c r="BC8" s="733"/>
      <c r="BD8" s="733"/>
      <c r="BE8" s="733"/>
      <c r="BF8" s="733"/>
      <c r="BG8" s="733"/>
      <c r="BH8" s="733"/>
      <c r="BI8" s="733"/>
    </row>
    <row r="9" spans="1:61" s="727" customFormat="1" ht="28.5" customHeight="1" thickBot="1">
      <c r="A9" s="773" t="s">
        <v>5676</v>
      </c>
      <c r="B9" s="774" t="s">
        <v>5677</v>
      </c>
      <c r="C9" s="775"/>
      <c r="D9" s="775"/>
      <c r="E9" s="775"/>
      <c r="F9" s="775"/>
      <c r="G9" s="775"/>
      <c r="H9" s="775"/>
      <c r="I9" s="775"/>
      <c r="J9" s="776"/>
      <c r="K9" s="731"/>
      <c r="L9" s="777" t="s">
        <v>3651</v>
      </c>
      <c r="M9" s="778"/>
      <c r="N9" s="779" t="s">
        <v>5678</v>
      </c>
      <c r="O9" s="780"/>
      <c r="P9" s="781"/>
      <c r="Q9" s="781"/>
      <c r="R9" s="781"/>
      <c r="S9" s="781"/>
      <c r="T9" s="782"/>
      <c r="U9" s="783"/>
      <c r="V9" s="774" t="s">
        <v>2929</v>
      </c>
      <c r="W9" s="775"/>
      <c r="X9" s="776"/>
      <c r="Y9" s="774" t="s">
        <v>5679</v>
      </c>
      <c r="Z9" s="775"/>
      <c r="AA9" s="775"/>
      <c r="AB9" s="775"/>
      <c r="AC9" s="784"/>
      <c r="AD9" s="785" t="s">
        <v>5680</v>
      </c>
      <c r="AE9" s="777"/>
      <c r="AF9" s="777"/>
      <c r="AG9" s="777"/>
      <c r="AH9" s="777"/>
      <c r="AI9" s="777"/>
      <c r="AJ9" s="777"/>
      <c r="AK9" s="777"/>
      <c r="AL9" s="777"/>
      <c r="AM9" s="777"/>
      <c r="AN9" s="777"/>
      <c r="AO9" s="777"/>
      <c r="AP9" s="777"/>
      <c r="AQ9" s="777"/>
      <c r="AR9" s="778"/>
      <c r="AS9" s="730"/>
      <c r="AT9" s="729"/>
      <c r="AU9" s="728"/>
      <c r="AV9" s="728"/>
      <c r="AW9" s="728"/>
      <c r="AX9" s="786" t="s">
        <v>5681</v>
      </c>
      <c r="AY9" s="786"/>
      <c r="AZ9" s="786"/>
      <c r="BA9" s="786"/>
      <c r="BB9" s="786"/>
      <c r="BC9" s="786"/>
      <c r="BD9" s="786"/>
      <c r="BE9" s="786"/>
      <c r="BF9" s="786"/>
      <c r="BG9" s="786"/>
      <c r="BH9" s="786"/>
      <c r="BI9" s="786"/>
    </row>
    <row r="10" spans="1:61" ht="51.75" customHeight="1" thickBot="1">
      <c r="A10" s="787"/>
      <c r="B10" s="725" t="s">
        <v>5682</v>
      </c>
      <c r="C10" s="788" t="s">
        <v>5683</v>
      </c>
      <c r="D10" s="788" t="s">
        <v>3256</v>
      </c>
      <c r="E10" s="789" t="s">
        <v>5684</v>
      </c>
      <c r="F10" s="790" t="s">
        <v>2950</v>
      </c>
      <c r="G10" s="791" t="s">
        <v>2950</v>
      </c>
      <c r="H10" s="726" t="s">
        <v>5685</v>
      </c>
      <c r="I10" s="726" t="s">
        <v>5686</v>
      </c>
      <c r="J10" s="792" t="s">
        <v>5687</v>
      </c>
      <c r="K10" s="793" t="s">
        <v>5688</v>
      </c>
      <c r="L10" s="724" t="s">
        <v>5689</v>
      </c>
      <c r="M10" s="726" t="s">
        <v>5690</v>
      </c>
      <c r="N10" s="725" t="s">
        <v>5691</v>
      </c>
      <c r="O10" s="724" t="s">
        <v>5692</v>
      </c>
      <c r="P10" s="723" t="s">
        <v>5693</v>
      </c>
      <c r="Q10" s="723" t="s">
        <v>5694</v>
      </c>
      <c r="R10" s="723" t="s">
        <v>5695</v>
      </c>
      <c r="S10" s="722" t="s">
        <v>5696</v>
      </c>
      <c r="T10" s="721" t="s">
        <v>5697</v>
      </c>
      <c r="U10" s="720" t="s">
        <v>5698</v>
      </c>
      <c r="V10" s="716" t="s">
        <v>5699</v>
      </c>
      <c r="W10" s="715" t="s">
        <v>5700</v>
      </c>
      <c r="X10" s="719" t="s">
        <v>5701</v>
      </c>
      <c r="Y10" s="716" t="s">
        <v>5702</v>
      </c>
      <c r="Z10" s="718" t="s">
        <v>5703</v>
      </c>
      <c r="AA10" s="715" t="s">
        <v>5704</v>
      </c>
      <c r="AB10" s="715" t="s">
        <v>5705</v>
      </c>
      <c r="AC10" s="717" t="s">
        <v>5706</v>
      </c>
      <c r="AD10" s="716" t="s">
        <v>5707</v>
      </c>
      <c r="AE10" s="715" t="s">
        <v>5708</v>
      </c>
      <c r="AF10" s="715" t="s">
        <v>5709</v>
      </c>
      <c r="AG10" s="715" t="s">
        <v>5710</v>
      </c>
      <c r="AH10" s="715" t="s">
        <v>5711</v>
      </c>
      <c r="AI10" s="715" t="s">
        <v>5712</v>
      </c>
      <c r="AJ10" s="715" t="s">
        <v>5713</v>
      </c>
      <c r="AK10" s="715" t="s">
        <v>5714</v>
      </c>
      <c r="AL10" s="715" t="s">
        <v>5715</v>
      </c>
      <c r="AM10" s="715" t="s">
        <v>5716</v>
      </c>
      <c r="AN10" s="715" t="s">
        <v>5717</v>
      </c>
      <c r="AO10" s="715" t="s">
        <v>5718</v>
      </c>
      <c r="AP10" s="715" t="s">
        <v>5719</v>
      </c>
      <c r="AQ10" s="714" t="s">
        <v>5720</v>
      </c>
      <c r="AR10" s="713" t="s">
        <v>5721</v>
      </c>
      <c r="AS10" s="712" t="s">
        <v>5722</v>
      </c>
      <c r="AT10" s="711" t="s">
        <v>5723</v>
      </c>
      <c r="AU10" s="710" t="s">
        <v>5724</v>
      </c>
      <c r="AV10" s="709" t="s">
        <v>5725</v>
      </c>
      <c r="AW10" s="695" t="s">
        <v>5726</v>
      </c>
      <c r="AX10" s="794" t="s">
        <v>5727</v>
      </c>
      <c r="AY10" s="795"/>
      <c r="AZ10" s="708"/>
      <c r="BA10" s="794" t="s">
        <v>5728</v>
      </c>
      <c r="BB10" s="796"/>
      <c r="BC10" s="796"/>
      <c r="BD10" s="795"/>
      <c r="BE10" s="794" t="s">
        <v>5729</v>
      </c>
      <c r="BF10" s="795"/>
      <c r="BG10" s="794" t="s">
        <v>5730</v>
      </c>
      <c r="BH10" s="795"/>
      <c r="BI10" s="707"/>
    </row>
    <row r="11" spans="1:61" ht="22.5" customHeight="1" thickBot="1">
      <c r="A11" s="706"/>
      <c r="B11" s="705"/>
      <c r="C11" s="797"/>
      <c r="D11" s="797"/>
      <c r="E11" s="1839"/>
      <c r="F11" s="1840"/>
      <c r="G11" s="1841"/>
      <c r="H11" s="704"/>
      <c r="I11" s="704"/>
      <c r="J11" s="798"/>
      <c r="K11" s="799"/>
      <c r="L11" s="1842"/>
      <c r="M11" s="703"/>
      <c r="N11" s="702"/>
      <c r="O11" s="1843"/>
      <c r="P11" s="701"/>
      <c r="Q11" s="701"/>
      <c r="R11" s="701"/>
      <c r="S11" s="701"/>
      <c r="T11" s="701"/>
      <c r="U11" s="700"/>
      <c r="V11" s="698"/>
      <c r="W11" s="697"/>
      <c r="X11" s="696"/>
      <c r="Y11" s="698"/>
      <c r="Z11" s="699"/>
      <c r="AA11" s="697"/>
      <c r="AB11" s="697"/>
      <c r="AC11" s="1844"/>
      <c r="AD11" s="698" t="s">
        <v>1</v>
      </c>
      <c r="AE11" s="697"/>
      <c r="AF11" s="697"/>
      <c r="AG11" s="697"/>
      <c r="AH11" s="697"/>
      <c r="AI11" s="697"/>
      <c r="AJ11" s="697"/>
      <c r="AK11" s="697"/>
      <c r="AL11" s="697"/>
      <c r="AM11" s="697"/>
      <c r="AN11" s="697"/>
      <c r="AO11" s="697"/>
      <c r="AP11" s="697"/>
      <c r="AQ11" s="697"/>
      <c r="AR11" s="696"/>
      <c r="AS11" s="695"/>
      <c r="AT11" s="1842"/>
      <c r="AU11" s="695"/>
      <c r="AV11" s="694"/>
      <c r="AX11" s="693" t="s">
        <v>5731</v>
      </c>
      <c r="AY11" s="693" t="s">
        <v>3013</v>
      </c>
      <c r="AZ11" s="693" t="s">
        <v>5732</v>
      </c>
      <c r="BA11" s="692" t="s">
        <v>5733</v>
      </c>
      <c r="BB11" s="692" t="s">
        <v>5734</v>
      </c>
      <c r="BC11" s="692" t="s">
        <v>5735</v>
      </c>
      <c r="BD11" s="692" t="s">
        <v>5736</v>
      </c>
      <c r="BE11" s="692" t="s">
        <v>5737</v>
      </c>
      <c r="BF11" s="692" t="s">
        <v>5738</v>
      </c>
      <c r="BG11" s="692" t="s">
        <v>5739</v>
      </c>
      <c r="BH11" s="692" t="s">
        <v>5740</v>
      </c>
      <c r="BI11" s="692" t="s">
        <v>5688</v>
      </c>
    </row>
    <row r="12" spans="1:61" s="552" customFormat="1" ht="24" customHeight="1">
      <c r="A12" s="528"/>
      <c r="B12" s="522">
        <v>2110</v>
      </c>
      <c r="C12" s="566" t="s">
        <v>119</v>
      </c>
      <c r="D12" s="565" t="s">
        <v>120</v>
      </c>
      <c r="E12" s="2371" t="s">
        <v>122</v>
      </c>
      <c r="F12" s="2371"/>
      <c r="G12" s="2371"/>
      <c r="H12" s="527">
        <v>1</v>
      </c>
      <c r="I12" s="526" t="str">
        <f>B12&amp;"-BLD-"&amp;TEXT(H12,"000")</f>
        <v>2110-BLD-001</v>
      </c>
      <c r="J12" s="525" t="s">
        <v>5741</v>
      </c>
      <c r="K12" s="525"/>
      <c r="L12" s="519" t="s">
        <v>5742</v>
      </c>
      <c r="M12" s="519" t="s">
        <v>2969</v>
      </c>
      <c r="N12" s="560">
        <v>1</v>
      </c>
      <c r="O12" s="560" t="s">
        <v>154</v>
      </c>
      <c r="P12" s="564">
        <v>8</v>
      </c>
      <c r="Q12" s="564">
        <v>20</v>
      </c>
      <c r="R12" s="563">
        <v>8</v>
      </c>
      <c r="S12" s="498">
        <f>PRODUCT(Q12,P12)</f>
        <v>160</v>
      </c>
      <c r="T12" s="498">
        <f>S12</f>
        <v>160</v>
      </c>
      <c r="U12" s="498"/>
      <c r="V12" s="562" t="s">
        <v>5743</v>
      </c>
      <c r="W12" s="559" t="s">
        <v>5744</v>
      </c>
      <c r="X12" s="559" t="s">
        <v>5745</v>
      </c>
      <c r="Y12" s="561" t="s">
        <v>154</v>
      </c>
      <c r="Z12" s="561" t="s">
        <v>154</v>
      </c>
      <c r="AA12" s="561" t="s">
        <v>154</v>
      </c>
      <c r="AB12" s="561" t="s">
        <v>154</v>
      </c>
      <c r="AC12" s="561" t="s">
        <v>154</v>
      </c>
      <c r="AD12" s="560">
        <v>5</v>
      </c>
      <c r="AE12" s="561" t="s">
        <v>5746</v>
      </c>
      <c r="AF12" s="492" t="s">
        <v>5747</v>
      </c>
      <c r="AG12" s="557" t="s">
        <v>154</v>
      </c>
      <c r="AH12" s="557" t="s">
        <v>154</v>
      </c>
      <c r="AI12" s="559" t="s">
        <v>154</v>
      </c>
      <c r="AJ12" s="559" t="s">
        <v>154</v>
      </c>
      <c r="AK12" s="559" t="s">
        <v>154</v>
      </c>
      <c r="AL12" s="557" t="s">
        <v>154</v>
      </c>
      <c r="AM12" s="557" t="s">
        <v>154</v>
      </c>
      <c r="AN12" s="492" t="s">
        <v>5747</v>
      </c>
      <c r="AO12" s="559" t="s">
        <v>2872</v>
      </c>
      <c r="AP12" s="559" t="s">
        <v>5748</v>
      </c>
      <c r="AQ12" s="559" t="s">
        <v>154</v>
      </c>
      <c r="AR12" s="559" t="s">
        <v>154</v>
      </c>
      <c r="AS12" s="559"/>
      <c r="AT12" s="567"/>
      <c r="AU12" s="559"/>
      <c r="AV12" s="559"/>
      <c r="AW12" s="559"/>
      <c r="AX12" s="556"/>
      <c r="AY12" s="675"/>
      <c r="AZ12" s="675"/>
      <c r="BA12" s="574"/>
      <c r="BB12" s="574"/>
      <c r="BC12" s="574"/>
      <c r="BD12" s="574"/>
      <c r="BE12" s="574"/>
      <c r="BF12" s="574"/>
      <c r="BG12" s="574"/>
      <c r="BH12" s="574"/>
      <c r="BI12" s="574"/>
    </row>
    <row r="13" spans="1:61" s="593" customFormat="1" ht="24" customHeight="1">
      <c r="A13" s="613"/>
      <c r="B13" s="612">
        <v>2110</v>
      </c>
      <c r="C13" s="611" t="s">
        <v>119</v>
      </c>
      <c r="D13" s="610" t="s">
        <v>120</v>
      </c>
      <c r="E13" s="2377" t="s">
        <v>122</v>
      </c>
      <c r="F13" s="2377"/>
      <c r="G13" s="2377"/>
      <c r="H13" s="609">
        <v>2</v>
      </c>
      <c r="I13" s="608" t="str">
        <f>B13&amp;"-BLD-"&amp;TEXT(H13,"000")</f>
        <v>2110-BLD-002</v>
      </c>
      <c r="J13" s="607" t="s">
        <v>5749</v>
      </c>
      <c r="K13" s="607"/>
      <c r="L13" s="601" t="s">
        <v>154</v>
      </c>
      <c r="M13" s="606"/>
      <c r="N13" s="601">
        <v>1</v>
      </c>
      <c r="O13" s="601" t="s">
        <v>154</v>
      </c>
      <c r="P13" s="605">
        <v>8</v>
      </c>
      <c r="Q13" s="605">
        <v>40</v>
      </c>
      <c r="R13" s="604">
        <v>10</v>
      </c>
      <c r="S13" s="603"/>
      <c r="T13" s="603"/>
      <c r="U13" s="603"/>
      <c r="V13" s="602"/>
      <c r="W13" s="596"/>
      <c r="X13" s="596"/>
      <c r="Y13" s="600"/>
      <c r="Z13" s="600"/>
      <c r="AA13" s="600"/>
      <c r="AB13" s="600"/>
      <c r="AC13" s="600"/>
      <c r="AD13" s="601"/>
      <c r="AE13" s="600"/>
      <c r="AF13" s="598"/>
      <c r="AG13" s="599"/>
      <c r="AH13" s="599"/>
      <c r="AI13" s="596"/>
      <c r="AJ13" s="596"/>
      <c r="AK13" s="596"/>
      <c r="AL13" s="599"/>
      <c r="AM13" s="599"/>
      <c r="AN13" s="598" t="s">
        <v>5747</v>
      </c>
      <c r="AO13" s="596" t="s">
        <v>2872</v>
      </c>
      <c r="AP13" s="596" t="s">
        <v>5750</v>
      </c>
      <c r="AQ13" s="596" t="s">
        <v>154</v>
      </c>
      <c r="AR13" s="596" t="s">
        <v>154</v>
      </c>
      <c r="AS13" s="596"/>
      <c r="AT13" s="597" t="s">
        <v>5751</v>
      </c>
      <c r="AU13" s="596"/>
      <c r="AV13" s="596"/>
      <c r="AW13" s="596"/>
      <c r="AX13" s="572" t="s">
        <v>5747</v>
      </c>
      <c r="AY13" s="572" t="s">
        <v>5747</v>
      </c>
      <c r="AZ13" s="595"/>
      <c r="BA13" s="594"/>
      <c r="BB13" s="594"/>
      <c r="BC13" s="594"/>
      <c r="BD13" s="594"/>
      <c r="BE13" s="594"/>
      <c r="BF13" s="594"/>
      <c r="BG13" s="594"/>
      <c r="BH13" s="594"/>
      <c r="BI13" s="594"/>
    </row>
    <row r="14" spans="1:61" s="552" customFormat="1" ht="40.5" customHeight="1">
      <c r="A14" s="528"/>
      <c r="B14" s="522">
        <v>2223</v>
      </c>
      <c r="C14" s="566" t="s">
        <v>119</v>
      </c>
      <c r="D14" s="565" t="s">
        <v>208</v>
      </c>
      <c r="E14" s="2371" t="s">
        <v>210</v>
      </c>
      <c r="F14" s="2371"/>
      <c r="G14" s="2371"/>
      <c r="H14" s="527">
        <v>1</v>
      </c>
      <c r="I14" s="526" t="str">
        <f>B14&amp;"-BLD-"&amp;TEXT(H14,"000")</f>
        <v>2223-BLD-001</v>
      </c>
      <c r="J14" s="525" t="s">
        <v>212</v>
      </c>
      <c r="K14" s="525" t="s">
        <v>5752</v>
      </c>
      <c r="L14" s="519" t="s">
        <v>154</v>
      </c>
      <c r="M14" s="519" t="s">
        <v>2969</v>
      </c>
      <c r="N14" s="560">
        <v>1</v>
      </c>
      <c r="O14" s="560"/>
      <c r="P14" s="564">
        <v>12</v>
      </c>
      <c r="Q14" s="564">
        <v>40</v>
      </c>
      <c r="R14" s="563">
        <v>8</v>
      </c>
      <c r="S14" s="498">
        <f>PRODUCT(Q14,P14)</f>
        <v>480</v>
      </c>
      <c r="T14" s="498">
        <f>S14</f>
        <v>480</v>
      </c>
      <c r="U14" s="498"/>
      <c r="V14" s="562" t="s">
        <v>5753</v>
      </c>
      <c r="W14" s="559" t="s">
        <v>5744</v>
      </c>
      <c r="X14" s="559" t="s">
        <v>5745</v>
      </c>
      <c r="Y14" s="492" t="s">
        <v>5747</v>
      </c>
      <c r="Z14" s="492" t="s">
        <v>5747</v>
      </c>
      <c r="AA14" s="561" t="s">
        <v>154</v>
      </c>
      <c r="AB14" s="561" t="s">
        <v>154</v>
      </c>
      <c r="AC14" s="492" t="s">
        <v>154</v>
      </c>
      <c r="AD14" s="560">
        <v>22</v>
      </c>
      <c r="AE14" s="519" t="s">
        <v>5746</v>
      </c>
      <c r="AF14" s="492" t="s">
        <v>154</v>
      </c>
      <c r="AG14" s="557" t="s">
        <v>154</v>
      </c>
      <c r="AH14" s="557" t="s">
        <v>5754</v>
      </c>
      <c r="AI14" s="559" t="s">
        <v>5755</v>
      </c>
      <c r="AJ14" s="559" t="s">
        <v>5754</v>
      </c>
      <c r="AK14" s="559" t="s">
        <v>154</v>
      </c>
      <c r="AL14" s="557" t="s">
        <v>154</v>
      </c>
      <c r="AM14" s="492" t="s">
        <v>5747</v>
      </c>
      <c r="AN14" s="559"/>
      <c r="AO14" s="559" t="s">
        <v>3454</v>
      </c>
      <c r="AP14" s="559" t="s">
        <v>5756</v>
      </c>
      <c r="AQ14" s="559" t="s">
        <v>154</v>
      </c>
      <c r="AR14" s="559" t="s">
        <v>154</v>
      </c>
      <c r="AS14" s="487">
        <v>2</v>
      </c>
      <c r="AT14" s="488" t="s">
        <v>5757</v>
      </c>
      <c r="AU14" s="487" t="s">
        <v>5758</v>
      </c>
      <c r="AV14" s="487"/>
      <c r="AW14" s="487"/>
      <c r="AX14" s="556" t="s">
        <v>5747</v>
      </c>
      <c r="AY14" s="675"/>
      <c r="AZ14" s="556" t="s">
        <v>5747</v>
      </c>
      <c r="BA14" s="574"/>
      <c r="BB14" s="574">
        <v>1</v>
      </c>
      <c r="BC14" s="574"/>
      <c r="BD14" s="574">
        <v>1</v>
      </c>
      <c r="BE14" s="574">
        <v>3</v>
      </c>
      <c r="BF14" s="574">
        <v>1</v>
      </c>
      <c r="BG14" s="574">
        <v>1</v>
      </c>
      <c r="BH14" s="574">
        <v>1</v>
      </c>
      <c r="BI14" s="574" t="s">
        <v>5759</v>
      </c>
    </row>
    <row r="15" spans="1:61" s="552" customFormat="1" ht="33.75" customHeight="1">
      <c r="A15" s="507"/>
      <c r="B15" s="522">
        <v>2342</v>
      </c>
      <c r="C15" s="566" t="s">
        <v>119</v>
      </c>
      <c r="D15" s="565" t="s">
        <v>222</v>
      </c>
      <c r="E15" s="2381" t="s">
        <v>224</v>
      </c>
      <c r="F15" s="2382"/>
      <c r="G15" s="2383"/>
      <c r="H15" s="527">
        <v>1</v>
      </c>
      <c r="I15" s="526" t="str">
        <f>B15&amp;"-BLD-"&amp;TEXT(H15,"000")</f>
        <v>2342-BLD-001</v>
      </c>
      <c r="J15" s="525" t="s">
        <v>5760</v>
      </c>
      <c r="K15" s="525"/>
      <c r="L15" s="519" t="s">
        <v>4031</v>
      </c>
      <c r="M15" s="519" t="s">
        <v>2969</v>
      </c>
      <c r="N15" s="560">
        <v>1</v>
      </c>
      <c r="O15" s="560" t="s">
        <v>154</v>
      </c>
      <c r="P15" s="564" t="s">
        <v>154</v>
      </c>
      <c r="Q15" s="564" t="s">
        <v>154</v>
      </c>
      <c r="R15" s="563" t="s">
        <v>154</v>
      </c>
      <c r="S15" s="498">
        <f>PRODUCT(Q15,P15)</f>
        <v>0</v>
      </c>
      <c r="T15" s="498">
        <f>S15</f>
        <v>0</v>
      </c>
      <c r="U15" s="498"/>
      <c r="V15" s="562" t="s">
        <v>5761</v>
      </c>
      <c r="W15" s="559" t="s">
        <v>5744</v>
      </c>
      <c r="X15" s="559" t="s">
        <v>5745</v>
      </c>
      <c r="Y15" s="561" t="s">
        <v>154</v>
      </c>
      <c r="Z15" s="561" t="s">
        <v>154</v>
      </c>
      <c r="AA15" s="561" t="s">
        <v>154</v>
      </c>
      <c r="AB15" s="561" t="s">
        <v>154</v>
      </c>
      <c r="AC15" s="561" t="s">
        <v>154</v>
      </c>
      <c r="AD15" s="560">
        <v>22</v>
      </c>
      <c r="AE15" s="561" t="s">
        <v>5746</v>
      </c>
      <c r="AF15" s="492" t="s">
        <v>5747</v>
      </c>
      <c r="AG15" s="557" t="s">
        <v>154</v>
      </c>
      <c r="AH15" s="557" t="s">
        <v>154</v>
      </c>
      <c r="AI15" s="559" t="s">
        <v>154</v>
      </c>
      <c r="AJ15" s="559" t="s">
        <v>154</v>
      </c>
      <c r="AK15" s="559" t="s">
        <v>154</v>
      </c>
      <c r="AL15" s="492" t="s">
        <v>5747</v>
      </c>
      <c r="AM15" s="492" t="s">
        <v>5747</v>
      </c>
      <c r="AN15" s="559" t="s">
        <v>154</v>
      </c>
      <c r="AO15" s="559" t="s">
        <v>3454</v>
      </c>
      <c r="AP15" s="489" t="s">
        <v>5756</v>
      </c>
      <c r="AQ15" s="559" t="s">
        <v>154</v>
      </c>
      <c r="AR15" s="559" t="s">
        <v>154</v>
      </c>
      <c r="AS15" s="530">
        <v>2</v>
      </c>
      <c r="AT15" s="488" t="s">
        <v>5757</v>
      </c>
      <c r="AU15" s="487" t="s">
        <v>5762</v>
      </c>
      <c r="AV15" s="487"/>
      <c r="AW15" s="530"/>
      <c r="AX15" s="556" t="s">
        <v>5747</v>
      </c>
      <c r="AY15" s="555"/>
      <c r="AZ15" s="555"/>
      <c r="BA15" s="554"/>
      <c r="BB15" s="554"/>
      <c r="BC15" s="554"/>
      <c r="BD15" s="554"/>
      <c r="BE15" s="554">
        <v>1</v>
      </c>
      <c r="BF15" s="553"/>
      <c r="BG15" s="553"/>
      <c r="BH15" s="553"/>
      <c r="BI15" s="553"/>
    </row>
    <row r="16" spans="1:61" s="552" customFormat="1" ht="37.5" customHeight="1">
      <c r="A16" s="528"/>
      <c r="B16" s="522">
        <v>2351</v>
      </c>
      <c r="C16" s="566" t="s">
        <v>119</v>
      </c>
      <c r="D16" s="565" t="s">
        <v>222</v>
      </c>
      <c r="E16" s="2381" t="s">
        <v>264</v>
      </c>
      <c r="F16" s="2382"/>
      <c r="G16" s="2383"/>
      <c r="H16" s="527">
        <v>1</v>
      </c>
      <c r="I16" s="526" t="s">
        <v>272</v>
      </c>
      <c r="J16" s="525" t="s">
        <v>5763</v>
      </c>
      <c r="K16" s="525" t="s">
        <v>5764</v>
      </c>
      <c r="L16" s="519" t="s">
        <v>4031</v>
      </c>
      <c r="M16" s="519" t="s">
        <v>2969</v>
      </c>
      <c r="N16" s="560">
        <v>1</v>
      </c>
      <c r="O16" s="560" t="s">
        <v>154</v>
      </c>
      <c r="P16" s="560" t="s">
        <v>5765</v>
      </c>
      <c r="Q16" s="560" t="s">
        <v>5765</v>
      </c>
      <c r="R16" s="560" t="s">
        <v>5765</v>
      </c>
      <c r="S16" s="560" t="s">
        <v>5765</v>
      </c>
      <c r="T16" s="560" t="s">
        <v>5765</v>
      </c>
      <c r="U16" s="560"/>
      <c r="V16" s="560" t="s">
        <v>5765</v>
      </c>
      <c r="W16" s="560" t="s">
        <v>5765</v>
      </c>
      <c r="X16" s="560" t="s">
        <v>5765</v>
      </c>
      <c r="Y16" s="560" t="s">
        <v>154</v>
      </c>
      <c r="Z16" s="560" t="s">
        <v>154</v>
      </c>
      <c r="AA16" s="560" t="s">
        <v>154</v>
      </c>
      <c r="AB16" s="560" t="s">
        <v>154</v>
      </c>
      <c r="AC16" s="560" t="s">
        <v>154</v>
      </c>
      <c r="AD16" s="560"/>
      <c r="AE16" s="561"/>
      <c r="AF16" s="559"/>
      <c r="AG16" s="557"/>
      <c r="AH16" s="559"/>
      <c r="AI16" s="559"/>
      <c r="AJ16" s="559"/>
      <c r="AK16" s="559"/>
      <c r="AL16" s="557"/>
      <c r="AM16" s="559"/>
      <c r="AN16" s="559"/>
      <c r="AO16" s="559"/>
      <c r="AP16" s="559" t="s">
        <v>154</v>
      </c>
      <c r="AQ16" s="559" t="s">
        <v>154</v>
      </c>
      <c r="AR16" s="559" t="s">
        <v>154</v>
      </c>
      <c r="AS16" s="559"/>
      <c r="AT16" s="488" t="s">
        <v>5765</v>
      </c>
      <c r="AU16" s="559"/>
      <c r="AV16" s="559"/>
      <c r="AW16" s="559"/>
      <c r="AX16" s="556"/>
      <c r="AY16" s="675"/>
      <c r="AZ16" s="572" t="s">
        <v>5747</v>
      </c>
      <c r="BA16" s="574"/>
      <c r="BB16" s="574"/>
      <c r="BC16" s="574"/>
      <c r="BD16" s="574"/>
      <c r="BE16" s="574"/>
      <c r="BF16" s="574"/>
      <c r="BG16" s="574"/>
      <c r="BH16" s="574"/>
      <c r="BI16" s="574"/>
    </row>
    <row r="17" spans="1:61" s="552" customFormat="1" ht="37.5" customHeight="1">
      <c r="A17" s="528"/>
      <c r="B17" s="522">
        <v>2351</v>
      </c>
      <c r="C17" s="566" t="s">
        <v>119</v>
      </c>
      <c r="D17" s="565" t="s">
        <v>222</v>
      </c>
      <c r="E17" s="2371" t="s">
        <v>264</v>
      </c>
      <c r="F17" s="2371"/>
      <c r="G17" s="2371"/>
      <c r="H17" s="527">
        <v>2</v>
      </c>
      <c r="I17" s="526" t="s">
        <v>277</v>
      </c>
      <c r="J17" s="525" t="s">
        <v>5766</v>
      </c>
      <c r="K17" s="525" t="s">
        <v>5767</v>
      </c>
      <c r="L17" s="519" t="s">
        <v>4031</v>
      </c>
      <c r="M17" s="519" t="s">
        <v>2969</v>
      </c>
      <c r="N17" s="560">
        <v>1</v>
      </c>
      <c r="O17" s="560" t="s">
        <v>154</v>
      </c>
      <c r="P17" s="560" t="s">
        <v>5765</v>
      </c>
      <c r="Q17" s="560" t="s">
        <v>5765</v>
      </c>
      <c r="R17" s="560" t="s">
        <v>5765</v>
      </c>
      <c r="S17" s="560" t="s">
        <v>5765</v>
      </c>
      <c r="T17" s="560" t="s">
        <v>5765</v>
      </c>
      <c r="U17" s="560"/>
      <c r="V17" s="560" t="s">
        <v>5765</v>
      </c>
      <c r="W17" s="560" t="s">
        <v>5765</v>
      </c>
      <c r="X17" s="560" t="s">
        <v>5765</v>
      </c>
      <c r="Y17" s="560" t="s">
        <v>154</v>
      </c>
      <c r="Z17" s="560" t="s">
        <v>154</v>
      </c>
      <c r="AA17" s="560" t="s">
        <v>154</v>
      </c>
      <c r="AB17" s="560" t="s">
        <v>154</v>
      </c>
      <c r="AC17" s="560" t="s">
        <v>154</v>
      </c>
      <c r="AD17" s="560"/>
      <c r="AE17" s="561"/>
      <c r="AF17" s="559"/>
      <c r="AG17" s="557"/>
      <c r="AH17" s="559"/>
      <c r="AI17" s="559"/>
      <c r="AJ17" s="559"/>
      <c r="AK17" s="559"/>
      <c r="AL17" s="557"/>
      <c r="AM17" s="559"/>
      <c r="AN17" s="559"/>
      <c r="AO17" s="559"/>
      <c r="AP17" s="559" t="s">
        <v>154</v>
      </c>
      <c r="AQ17" s="559" t="s">
        <v>154</v>
      </c>
      <c r="AR17" s="559" t="s">
        <v>154</v>
      </c>
      <c r="AS17" s="559"/>
      <c r="AT17" s="488" t="s">
        <v>5765</v>
      </c>
      <c r="AU17" s="559"/>
      <c r="AV17" s="559"/>
      <c r="AW17" s="559"/>
      <c r="AX17" s="556"/>
      <c r="AY17" s="675"/>
      <c r="AZ17" s="572" t="s">
        <v>5747</v>
      </c>
      <c r="BA17" s="574"/>
      <c r="BB17" s="574"/>
      <c r="BC17" s="574"/>
      <c r="BD17" s="574"/>
      <c r="BE17" s="574"/>
      <c r="BF17" s="574"/>
      <c r="BG17" s="574"/>
      <c r="BH17" s="574"/>
      <c r="BI17" s="574"/>
    </row>
    <row r="18" spans="1:61" s="552" customFormat="1" ht="40.5" customHeight="1">
      <c r="A18" s="528"/>
      <c r="B18" s="691">
        <v>2511</v>
      </c>
      <c r="C18" s="690" t="s">
        <v>119</v>
      </c>
      <c r="D18" s="689" t="s">
        <v>452</v>
      </c>
      <c r="E18" s="2380" t="s">
        <v>454</v>
      </c>
      <c r="F18" s="2380"/>
      <c r="G18" s="2380"/>
      <c r="H18" s="688">
        <v>1</v>
      </c>
      <c r="I18" s="687" t="str">
        <f t="shared" ref="I18:I42" si="0">B18&amp;"-BLD-"&amp;TEXT(H18,"000")</f>
        <v>2511-BLD-001</v>
      </c>
      <c r="J18" s="686" t="s">
        <v>5768</v>
      </c>
      <c r="K18" s="686"/>
      <c r="L18" s="680" t="s">
        <v>5215</v>
      </c>
      <c r="M18" s="680" t="s">
        <v>2969</v>
      </c>
      <c r="N18" s="681">
        <v>1</v>
      </c>
      <c r="O18" s="681" t="s">
        <v>154</v>
      </c>
      <c r="P18" s="685">
        <v>60</v>
      </c>
      <c r="Q18" s="685">
        <v>249</v>
      </c>
      <c r="R18" s="684">
        <v>13</v>
      </c>
      <c r="S18" s="645">
        <f t="shared" ref="S18:S49" si="1">PRODUCT(Q18,P18)</f>
        <v>14940</v>
      </c>
      <c r="T18" s="645">
        <f t="shared" ref="T18:T49" si="2">S18</f>
        <v>14940</v>
      </c>
      <c r="U18" s="645"/>
      <c r="V18" s="683" t="s">
        <v>5761</v>
      </c>
      <c r="W18" s="678" t="s">
        <v>5744</v>
      </c>
      <c r="X18" s="678" t="s">
        <v>5745</v>
      </c>
      <c r="Y18" s="638" t="s">
        <v>5747</v>
      </c>
      <c r="Z18" s="638" t="s">
        <v>5747</v>
      </c>
      <c r="AA18" s="638" t="s">
        <v>5747</v>
      </c>
      <c r="AB18" s="682" t="s">
        <v>154</v>
      </c>
      <c r="AC18" s="638" t="s">
        <v>5747</v>
      </c>
      <c r="AD18" s="681">
        <v>22</v>
      </c>
      <c r="AE18" s="680" t="s">
        <v>3454</v>
      </c>
      <c r="AF18" s="638" t="s">
        <v>5747</v>
      </c>
      <c r="AG18" s="638" t="s">
        <v>5747</v>
      </c>
      <c r="AH18" s="679" t="s">
        <v>154</v>
      </c>
      <c r="AI18" s="678" t="s">
        <v>5769</v>
      </c>
      <c r="AJ18" s="678" t="s">
        <v>5769</v>
      </c>
      <c r="AK18" s="678" t="s">
        <v>5769</v>
      </c>
      <c r="AL18" s="638" t="s">
        <v>5747</v>
      </c>
      <c r="AM18" s="638" t="s">
        <v>5747</v>
      </c>
      <c r="AN18" s="678" t="s">
        <v>154</v>
      </c>
      <c r="AO18" s="678" t="s">
        <v>3454</v>
      </c>
      <c r="AP18" s="678" t="s">
        <v>5770</v>
      </c>
      <c r="AQ18" s="678" t="s">
        <v>5756</v>
      </c>
      <c r="AR18" s="638" t="s">
        <v>5747</v>
      </c>
      <c r="AS18" s="677">
        <v>4</v>
      </c>
      <c r="AT18" s="676" t="s">
        <v>5771</v>
      </c>
      <c r="AU18" s="487" t="s">
        <v>5772</v>
      </c>
      <c r="AV18" s="677"/>
      <c r="AW18" s="677"/>
      <c r="AX18" s="556" t="s">
        <v>5747</v>
      </c>
      <c r="AY18" s="556" t="s">
        <v>5747</v>
      </c>
      <c r="AZ18" s="556" t="s">
        <v>5747</v>
      </c>
      <c r="BA18" s="574">
        <v>3</v>
      </c>
      <c r="BB18" s="574"/>
      <c r="BC18" s="574"/>
      <c r="BD18" s="574">
        <v>2</v>
      </c>
      <c r="BE18" s="574">
        <v>3</v>
      </c>
      <c r="BF18" s="574">
        <v>1</v>
      </c>
      <c r="BG18" s="574"/>
      <c r="BH18" s="574"/>
      <c r="BI18" s="574"/>
    </row>
    <row r="19" spans="1:61" s="552" customFormat="1" ht="40" customHeight="1">
      <c r="A19" s="528"/>
      <c r="B19" s="522">
        <v>2511</v>
      </c>
      <c r="C19" s="566" t="s">
        <v>119</v>
      </c>
      <c r="D19" s="565" t="s">
        <v>452</v>
      </c>
      <c r="E19" s="2371" t="s">
        <v>454</v>
      </c>
      <c r="F19" s="2371"/>
      <c r="G19" s="2371"/>
      <c r="H19" s="527">
        <v>2</v>
      </c>
      <c r="I19" s="526" t="str">
        <f t="shared" si="0"/>
        <v>2511-BLD-002</v>
      </c>
      <c r="J19" s="525" t="s">
        <v>5773</v>
      </c>
      <c r="K19" s="525"/>
      <c r="L19" s="519" t="s">
        <v>5215</v>
      </c>
      <c r="M19" s="519" t="s">
        <v>2969</v>
      </c>
      <c r="N19" s="560">
        <v>1</v>
      </c>
      <c r="O19" s="560">
        <v>33</v>
      </c>
      <c r="P19" s="564">
        <v>60</v>
      </c>
      <c r="Q19" s="564">
        <v>60</v>
      </c>
      <c r="R19" s="563">
        <v>13</v>
      </c>
      <c r="S19" s="498">
        <f t="shared" si="1"/>
        <v>3600</v>
      </c>
      <c r="T19" s="498">
        <f t="shared" si="2"/>
        <v>3600</v>
      </c>
      <c r="U19" s="498"/>
      <c r="V19" s="562" t="s">
        <v>5761</v>
      </c>
      <c r="W19" s="559" t="s">
        <v>5744</v>
      </c>
      <c r="X19" s="559" t="s">
        <v>5745</v>
      </c>
      <c r="Y19" s="492" t="s">
        <v>5747</v>
      </c>
      <c r="Z19" s="492" t="s">
        <v>5747</v>
      </c>
      <c r="AA19" s="561" t="s">
        <v>154</v>
      </c>
      <c r="AB19" s="561" t="s">
        <v>154</v>
      </c>
      <c r="AC19" s="492" t="s">
        <v>5747</v>
      </c>
      <c r="AD19" s="560">
        <v>22</v>
      </c>
      <c r="AE19" s="519" t="s">
        <v>3454</v>
      </c>
      <c r="AF19" s="492" t="s">
        <v>5747</v>
      </c>
      <c r="AG19" s="557" t="s">
        <v>154</v>
      </c>
      <c r="AH19" s="557" t="s">
        <v>154</v>
      </c>
      <c r="AI19" s="559" t="s">
        <v>5769</v>
      </c>
      <c r="AJ19" s="559" t="s">
        <v>5769</v>
      </c>
      <c r="AK19" s="559" t="s">
        <v>154</v>
      </c>
      <c r="AL19" s="557" t="s">
        <v>154</v>
      </c>
      <c r="AM19" s="492" t="s">
        <v>5747</v>
      </c>
      <c r="AN19" s="559" t="s">
        <v>154</v>
      </c>
      <c r="AO19" s="559" t="s">
        <v>3454</v>
      </c>
      <c r="AP19" s="559" t="s">
        <v>5774</v>
      </c>
      <c r="AQ19" s="559" t="s">
        <v>5774</v>
      </c>
      <c r="AR19" s="559" t="s">
        <v>154</v>
      </c>
      <c r="AS19" s="559"/>
      <c r="AT19" s="676" t="s">
        <v>5771</v>
      </c>
      <c r="AU19" s="487" t="s">
        <v>5762</v>
      </c>
      <c r="AV19" s="487"/>
      <c r="AW19" s="559"/>
      <c r="AX19" s="556" t="s">
        <v>5747</v>
      </c>
      <c r="AY19" s="675"/>
      <c r="AZ19" s="675"/>
      <c r="BA19" s="574"/>
      <c r="BB19" s="574">
        <v>3</v>
      </c>
      <c r="BC19" s="574">
        <v>1</v>
      </c>
      <c r="BD19" s="574"/>
      <c r="BE19" s="574" t="s">
        <v>5775</v>
      </c>
      <c r="BF19" s="574" t="s">
        <v>5776</v>
      </c>
      <c r="BG19" s="574"/>
      <c r="BH19" s="574">
        <v>1</v>
      </c>
      <c r="BI19" s="574" t="s">
        <v>5777</v>
      </c>
    </row>
    <row r="20" spans="1:61" s="552" customFormat="1" ht="40" customHeight="1">
      <c r="A20" s="528"/>
      <c r="B20" s="522">
        <v>2511</v>
      </c>
      <c r="C20" s="566" t="s">
        <v>119</v>
      </c>
      <c r="D20" s="565" t="s">
        <v>452</v>
      </c>
      <c r="E20" s="2371" t="s">
        <v>454</v>
      </c>
      <c r="F20" s="2371"/>
      <c r="G20" s="2371"/>
      <c r="H20" s="527">
        <v>3</v>
      </c>
      <c r="I20" s="526" t="str">
        <f t="shared" si="0"/>
        <v>2511-BLD-003</v>
      </c>
      <c r="J20" s="525" t="s">
        <v>5778</v>
      </c>
      <c r="K20" s="525"/>
      <c r="L20" s="519" t="s">
        <v>5215</v>
      </c>
      <c r="M20" s="519" t="s">
        <v>2969</v>
      </c>
      <c r="N20" s="560">
        <v>1</v>
      </c>
      <c r="O20" s="560">
        <v>5</v>
      </c>
      <c r="P20" s="564">
        <v>60</v>
      </c>
      <c r="Q20" s="564">
        <v>76</v>
      </c>
      <c r="R20" s="563">
        <v>13</v>
      </c>
      <c r="S20" s="498">
        <f t="shared" si="1"/>
        <v>4560</v>
      </c>
      <c r="T20" s="498">
        <f t="shared" si="2"/>
        <v>4560</v>
      </c>
      <c r="U20" s="498"/>
      <c r="V20" s="562" t="s">
        <v>5761</v>
      </c>
      <c r="W20" s="559" t="s">
        <v>5744</v>
      </c>
      <c r="X20" s="559" t="s">
        <v>5745</v>
      </c>
      <c r="Y20" s="492" t="s">
        <v>5747</v>
      </c>
      <c r="Z20" s="492" t="s">
        <v>5747</v>
      </c>
      <c r="AA20" s="561" t="s">
        <v>154</v>
      </c>
      <c r="AB20" s="561" t="s">
        <v>154</v>
      </c>
      <c r="AC20" s="492" t="s">
        <v>5747</v>
      </c>
      <c r="AD20" s="560">
        <v>22</v>
      </c>
      <c r="AE20" s="519" t="s">
        <v>3454</v>
      </c>
      <c r="AF20" s="492" t="s">
        <v>5747</v>
      </c>
      <c r="AG20" s="557" t="s">
        <v>154</v>
      </c>
      <c r="AH20" s="557" t="s">
        <v>154</v>
      </c>
      <c r="AI20" s="559" t="s">
        <v>5769</v>
      </c>
      <c r="AJ20" s="559" t="s">
        <v>5769</v>
      </c>
      <c r="AK20" s="559" t="s">
        <v>154</v>
      </c>
      <c r="AL20" s="557" t="s">
        <v>154</v>
      </c>
      <c r="AM20" s="492" t="s">
        <v>5747</v>
      </c>
      <c r="AN20" s="559" t="s">
        <v>154</v>
      </c>
      <c r="AO20" s="559" t="s">
        <v>3454</v>
      </c>
      <c r="AP20" s="559" t="s">
        <v>5774</v>
      </c>
      <c r="AQ20" s="559" t="s">
        <v>5774</v>
      </c>
      <c r="AR20" s="559" t="s">
        <v>154</v>
      </c>
      <c r="AS20" s="559"/>
      <c r="AT20" s="567"/>
      <c r="AU20" s="487" t="s">
        <v>5762</v>
      </c>
      <c r="AV20" s="487"/>
      <c r="AW20" s="559"/>
      <c r="AX20" s="555"/>
      <c r="AY20" s="675"/>
      <c r="AZ20" s="675"/>
      <c r="BA20" s="574"/>
      <c r="BB20" s="574"/>
      <c r="BC20" s="574"/>
      <c r="BD20" s="574"/>
      <c r="BE20" s="574"/>
      <c r="BF20" s="574"/>
      <c r="BG20" s="574"/>
      <c r="BH20" s="574"/>
      <c r="BI20" s="574"/>
    </row>
    <row r="21" spans="1:61" s="552" customFormat="1" ht="40" customHeight="1">
      <c r="A21" s="507"/>
      <c r="B21" s="522">
        <v>2512</v>
      </c>
      <c r="C21" s="566" t="s">
        <v>119</v>
      </c>
      <c r="D21" s="565" t="s">
        <v>452</v>
      </c>
      <c r="E21" s="2371" t="s">
        <v>454</v>
      </c>
      <c r="F21" s="2371"/>
      <c r="G21" s="2371"/>
      <c r="H21" s="527">
        <v>1</v>
      </c>
      <c r="I21" s="526" t="str">
        <f t="shared" si="0"/>
        <v>2512-BLD-001</v>
      </c>
      <c r="J21" s="525" t="s">
        <v>5779</v>
      </c>
      <c r="K21" s="525"/>
      <c r="L21" s="519" t="s">
        <v>5215</v>
      </c>
      <c r="M21" s="519" t="s">
        <v>2969</v>
      </c>
      <c r="N21" s="560">
        <v>1</v>
      </c>
      <c r="O21" s="575">
        <v>30</v>
      </c>
      <c r="P21" s="564">
        <v>29</v>
      </c>
      <c r="Q21" s="564">
        <v>227</v>
      </c>
      <c r="R21" s="563">
        <v>13</v>
      </c>
      <c r="S21" s="498">
        <f t="shared" si="1"/>
        <v>6583</v>
      </c>
      <c r="T21" s="498">
        <f t="shared" si="2"/>
        <v>6583</v>
      </c>
      <c r="U21" s="498"/>
      <c r="V21" s="562" t="s">
        <v>5761</v>
      </c>
      <c r="W21" s="559" t="s">
        <v>5744</v>
      </c>
      <c r="X21" s="559" t="s">
        <v>5745</v>
      </c>
      <c r="Y21" s="561" t="s">
        <v>154</v>
      </c>
      <c r="Z21" s="492" t="s">
        <v>5747</v>
      </c>
      <c r="AA21" s="561" t="s">
        <v>154</v>
      </c>
      <c r="AB21" s="492" t="s">
        <v>5747</v>
      </c>
      <c r="AC21" s="492" t="s">
        <v>5747</v>
      </c>
      <c r="AD21" s="560">
        <v>22</v>
      </c>
      <c r="AE21" s="519" t="s">
        <v>5780</v>
      </c>
      <c r="AF21" s="492" t="s">
        <v>5747</v>
      </c>
      <c r="AG21" s="557" t="s">
        <v>154</v>
      </c>
      <c r="AH21" s="557" t="s">
        <v>154</v>
      </c>
      <c r="AI21" s="559" t="s">
        <v>5769</v>
      </c>
      <c r="AJ21" s="559" t="s">
        <v>5769</v>
      </c>
      <c r="AK21" s="559" t="s">
        <v>5769</v>
      </c>
      <c r="AL21" s="557" t="s">
        <v>154</v>
      </c>
      <c r="AM21" s="492" t="s">
        <v>5747</v>
      </c>
      <c r="AN21" s="559" t="s">
        <v>154</v>
      </c>
      <c r="AO21" s="559" t="s">
        <v>3454</v>
      </c>
      <c r="AP21" s="559" t="s">
        <v>5774</v>
      </c>
      <c r="AQ21" s="559" t="s">
        <v>5774</v>
      </c>
      <c r="AR21" s="492" t="s">
        <v>5747</v>
      </c>
      <c r="AS21" s="492"/>
      <c r="AT21" s="676" t="s">
        <v>5771</v>
      </c>
      <c r="AU21" s="487" t="s">
        <v>5762</v>
      </c>
      <c r="AV21" s="487"/>
      <c r="AW21" s="492"/>
      <c r="AX21" s="556" t="s">
        <v>5747</v>
      </c>
      <c r="AY21" s="675"/>
      <c r="AZ21" s="675"/>
      <c r="BA21" s="574"/>
      <c r="BB21" s="574"/>
      <c r="BC21" s="574"/>
      <c r="BD21" s="574" t="s">
        <v>5781</v>
      </c>
      <c r="BE21" s="574" t="s">
        <v>5781</v>
      </c>
      <c r="BF21" s="574"/>
      <c r="BG21" s="574"/>
      <c r="BH21" s="574"/>
      <c r="BI21" s="574"/>
    </row>
    <row r="22" spans="1:61" s="552" customFormat="1" ht="40" customHeight="1">
      <c r="A22" s="507"/>
      <c r="B22" s="522">
        <v>2512</v>
      </c>
      <c r="C22" s="566" t="s">
        <v>119</v>
      </c>
      <c r="D22" s="565" t="s">
        <v>452</v>
      </c>
      <c r="E22" s="2371" t="s">
        <v>454</v>
      </c>
      <c r="F22" s="2371"/>
      <c r="G22" s="2371"/>
      <c r="H22" s="527">
        <v>2</v>
      </c>
      <c r="I22" s="526" t="str">
        <f t="shared" si="0"/>
        <v>2512-BLD-002</v>
      </c>
      <c r="J22" s="525" t="s">
        <v>5782</v>
      </c>
      <c r="K22" s="525"/>
      <c r="L22" s="519" t="s">
        <v>5215</v>
      </c>
      <c r="M22" s="519" t="s">
        <v>2969</v>
      </c>
      <c r="N22" s="560">
        <v>1</v>
      </c>
      <c r="O22" s="575">
        <v>30</v>
      </c>
      <c r="P22" s="564">
        <v>29</v>
      </c>
      <c r="Q22" s="564">
        <v>227</v>
      </c>
      <c r="R22" s="563">
        <v>13</v>
      </c>
      <c r="S22" s="498">
        <f t="shared" si="1"/>
        <v>6583</v>
      </c>
      <c r="T22" s="498">
        <f t="shared" si="2"/>
        <v>6583</v>
      </c>
      <c r="U22" s="498"/>
      <c r="V22" s="562" t="s">
        <v>5761</v>
      </c>
      <c r="W22" s="559" t="s">
        <v>5744</v>
      </c>
      <c r="X22" s="559" t="s">
        <v>5745</v>
      </c>
      <c r="Y22" s="561" t="s">
        <v>154</v>
      </c>
      <c r="Z22" s="492" t="s">
        <v>5747</v>
      </c>
      <c r="AA22" s="561" t="s">
        <v>154</v>
      </c>
      <c r="AB22" s="492" t="s">
        <v>5747</v>
      </c>
      <c r="AC22" s="492" t="s">
        <v>5747</v>
      </c>
      <c r="AD22" s="560">
        <v>22</v>
      </c>
      <c r="AE22" s="519" t="s">
        <v>5780</v>
      </c>
      <c r="AF22" s="492" t="s">
        <v>5747</v>
      </c>
      <c r="AG22" s="557" t="s">
        <v>154</v>
      </c>
      <c r="AH22" s="557" t="s">
        <v>154</v>
      </c>
      <c r="AI22" s="559" t="s">
        <v>5769</v>
      </c>
      <c r="AJ22" s="559" t="s">
        <v>5769</v>
      </c>
      <c r="AK22" s="559" t="s">
        <v>5769</v>
      </c>
      <c r="AL22" s="557" t="s">
        <v>154</v>
      </c>
      <c r="AM22" s="492" t="s">
        <v>5747</v>
      </c>
      <c r="AN22" s="559" t="s">
        <v>154</v>
      </c>
      <c r="AO22" s="559" t="s">
        <v>3454</v>
      </c>
      <c r="AP22" s="559" t="s">
        <v>5774</v>
      </c>
      <c r="AQ22" s="559" t="s">
        <v>5774</v>
      </c>
      <c r="AR22" s="492" t="s">
        <v>5747</v>
      </c>
      <c r="AS22" s="492"/>
      <c r="AT22" s="676" t="s">
        <v>5771</v>
      </c>
      <c r="AU22" s="487" t="s">
        <v>5762</v>
      </c>
      <c r="AV22" s="487"/>
      <c r="AW22" s="492"/>
      <c r="AX22" s="556" t="s">
        <v>5747</v>
      </c>
      <c r="AY22" s="675"/>
      <c r="AZ22" s="675"/>
      <c r="BA22" s="574"/>
      <c r="BB22" s="574"/>
      <c r="BC22" s="574"/>
      <c r="BD22" s="574" t="s">
        <v>5781</v>
      </c>
      <c r="BE22" s="574" t="s">
        <v>5781</v>
      </c>
      <c r="BF22" s="574"/>
      <c r="BG22" s="574"/>
      <c r="BH22" s="574"/>
      <c r="BI22" s="574"/>
    </row>
    <row r="23" spans="1:61" s="552" customFormat="1" ht="40" customHeight="1">
      <c r="A23" s="507"/>
      <c r="B23" s="522">
        <v>2512</v>
      </c>
      <c r="C23" s="566" t="s">
        <v>119</v>
      </c>
      <c r="D23" s="565" t="s">
        <v>452</v>
      </c>
      <c r="E23" s="2371" t="s">
        <v>454</v>
      </c>
      <c r="F23" s="2371"/>
      <c r="G23" s="2371"/>
      <c r="H23" s="527">
        <v>3</v>
      </c>
      <c r="I23" s="526" t="str">
        <f t="shared" si="0"/>
        <v>2512-BLD-003</v>
      </c>
      <c r="J23" s="525" t="s">
        <v>5783</v>
      </c>
      <c r="K23" s="525" t="s">
        <v>1</v>
      </c>
      <c r="L23" s="519" t="s">
        <v>5215</v>
      </c>
      <c r="M23" s="519" t="s">
        <v>2969</v>
      </c>
      <c r="N23" s="560">
        <v>1</v>
      </c>
      <c r="O23" s="575">
        <v>30</v>
      </c>
      <c r="P23" s="564">
        <v>29</v>
      </c>
      <c r="Q23" s="564">
        <v>227</v>
      </c>
      <c r="R23" s="563">
        <v>13</v>
      </c>
      <c r="S23" s="498">
        <f t="shared" si="1"/>
        <v>6583</v>
      </c>
      <c r="T23" s="498">
        <f t="shared" si="2"/>
        <v>6583</v>
      </c>
      <c r="U23" s="498"/>
      <c r="V23" s="562" t="s">
        <v>5761</v>
      </c>
      <c r="W23" s="559" t="s">
        <v>5744</v>
      </c>
      <c r="X23" s="559" t="s">
        <v>5745</v>
      </c>
      <c r="Y23" s="561" t="s">
        <v>154</v>
      </c>
      <c r="Z23" s="492" t="s">
        <v>5747</v>
      </c>
      <c r="AA23" s="561" t="s">
        <v>154</v>
      </c>
      <c r="AB23" s="492" t="s">
        <v>5747</v>
      </c>
      <c r="AC23" s="492" t="s">
        <v>5747</v>
      </c>
      <c r="AD23" s="560">
        <v>22</v>
      </c>
      <c r="AE23" s="519" t="s">
        <v>5780</v>
      </c>
      <c r="AF23" s="492" t="s">
        <v>5747</v>
      </c>
      <c r="AG23" s="557" t="s">
        <v>154</v>
      </c>
      <c r="AH23" s="557" t="s">
        <v>154</v>
      </c>
      <c r="AI23" s="559" t="s">
        <v>5769</v>
      </c>
      <c r="AJ23" s="559" t="s">
        <v>5769</v>
      </c>
      <c r="AK23" s="559" t="s">
        <v>5769</v>
      </c>
      <c r="AL23" s="557" t="s">
        <v>154</v>
      </c>
      <c r="AM23" s="492" t="s">
        <v>5747</v>
      </c>
      <c r="AN23" s="559" t="s">
        <v>154</v>
      </c>
      <c r="AO23" s="559" t="s">
        <v>3454</v>
      </c>
      <c r="AP23" s="559" t="s">
        <v>5774</v>
      </c>
      <c r="AQ23" s="559" t="s">
        <v>5774</v>
      </c>
      <c r="AR23" s="492" t="s">
        <v>5747</v>
      </c>
      <c r="AS23" s="492"/>
      <c r="AT23" s="676" t="s">
        <v>5771</v>
      </c>
      <c r="AU23" s="487" t="s">
        <v>5762</v>
      </c>
      <c r="AV23" s="487"/>
      <c r="AW23" s="492"/>
      <c r="AX23" s="556" t="s">
        <v>5747</v>
      </c>
      <c r="AY23" s="675"/>
      <c r="AZ23" s="675"/>
      <c r="BA23" s="574"/>
      <c r="BB23" s="574"/>
      <c r="BC23" s="574"/>
      <c r="BD23" s="574" t="s">
        <v>5781</v>
      </c>
      <c r="BE23" s="574" t="s">
        <v>5781</v>
      </c>
      <c r="BF23" s="574"/>
      <c r="BG23" s="574"/>
      <c r="BH23" s="574"/>
      <c r="BI23" s="574"/>
    </row>
    <row r="24" spans="1:61" s="552" customFormat="1" ht="40" customHeight="1">
      <c r="A24" s="507"/>
      <c r="B24" s="522">
        <v>2512</v>
      </c>
      <c r="C24" s="566" t="s">
        <v>119</v>
      </c>
      <c r="D24" s="565" t="s">
        <v>452</v>
      </c>
      <c r="E24" s="2371" t="s">
        <v>454</v>
      </c>
      <c r="F24" s="2371"/>
      <c r="G24" s="2371"/>
      <c r="H24" s="527">
        <v>4</v>
      </c>
      <c r="I24" s="526" t="str">
        <f t="shared" si="0"/>
        <v>2512-BLD-004</v>
      </c>
      <c r="J24" s="525" t="s">
        <v>5784</v>
      </c>
      <c r="K24" s="525"/>
      <c r="L24" s="519" t="s">
        <v>5215</v>
      </c>
      <c r="M24" s="519" t="s">
        <v>2969</v>
      </c>
      <c r="N24" s="560">
        <v>1</v>
      </c>
      <c r="O24" s="575">
        <v>30</v>
      </c>
      <c r="P24" s="564">
        <v>29</v>
      </c>
      <c r="Q24" s="564">
        <v>227</v>
      </c>
      <c r="R24" s="563">
        <v>13</v>
      </c>
      <c r="S24" s="498">
        <f t="shared" si="1"/>
        <v>6583</v>
      </c>
      <c r="T24" s="498">
        <f t="shared" si="2"/>
        <v>6583</v>
      </c>
      <c r="U24" s="498"/>
      <c r="V24" s="562" t="s">
        <v>5761</v>
      </c>
      <c r="W24" s="559" t="s">
        <v>5744</v>
      </c>
      <c r="X24" s="559" t="s">
        <v>5745</v>
      </c>
      <c r="Y24" s="561" t="s">
        <v>154</v>
      </c>
      <c r="Z24" s="492" t="s">
        <v>5747</v>
      </c>
      <c r="AA24" s="561" t="s">
        <v>154</v>
      </c>
      <c r="AB24" s="492" t="s">
        <v>5747</v>
      </c>
      <c r="AC24" s="492" t="s">
        <v>5747</v>
      </c>
      <c r="AD24" s="560">
        <v>22</v>
      </c>
      <c r="AE24" s="519" t="s">
        <v>5780</v>
      </c>
      <c r="AF24" s="492" t="s">
        <v>5747</v>
      </c>
      <c r="AG24" s="557" t="s">
        <v>154</v>
      </c>
      <c r="AH24" s="557" t="s">
        <v>154</v>
      </c>
      <c r="AI24" s="559" t="s">
        <v>5769</v>
      </c>
      <c r="AJ24" s="559" t="s">
        <v>5769</v>
      </c>
      <c r="AK24" s="559" t="s">
        <v>5769</v>
      </c>
      <c r="AL24" s="557" t="s">
        <v>154</v>
      </c>
      <c r="AM24" s="492" t="s">
        <v>5747</v>
      </c>
      <c r="AN24" s="559" t="s">
        <v>154</v>
      </c>
      <c r="AO24" s="559" t="s">
        <v>3454</v>
      </c>
      <c r="AP24" s="559" t="s">
        <v>5774</v>
      </c>
      <c r="AQ24" s="559" t="s">
        <v>5774</v>
      </c>
      <c r="AR24" s="492" t="s">
        <v>5747</v>
      </c>
      <c r="AS24" s="492"/>
      <c r="AT24" s="676" t="s">
        <v>5771</v>
      </c>
      <c r="AU24" s="487" t="s">
        <v>5762</v>
      </c>
      <c r="AV24" s="487"/>
      <c r="AW24" s="492"/>
      <c r="AX24" s="556" t="s">
        <v>5747</v>
      </c>
      <c r="AY24" s="675"/>
      <c r="AZ24" s="675"/>
      <c r="BA24" s="574"/>
      <c r="BB24" s="574"/>
      <c r="BC24" s="574"/>
      <c r="BD24" s="574" t="s">
        <v>5781</v>
      </c>
      <c r="BE24" s="574" t="s">
        <v>5781</v>
      </c>
      <c r="BF24" s="574"/>
      <c r="BG24" s="574"/>
      <c r="BH24" s="574"/>
      <c r="BI24" s="574"/>
    </row>
    <row r="25" spans="1:61" ht="40" customHeight="1">
      <c r="A25" s="528"/>
      <c r="B25" s="506">
        <v>2513</v>
      </c>
      <c r="C25" s="505" t="s">
        <v>119</v>
      </c>
      <c r="D25" s="504" t="s">
        <v>452</v>
      </c>
      <c r="E25" s="2369" t="s">
        <v>454</v>
      </c>
      <c r="F25" s="2369"/>
      <c r="G25" s="2369"/>
      <c r="H25" s="503">
        <v>1</v>
      </c>
      <c r="I25" s="502" t="str">
        <f t="shared" si="0"/>
        <v>2513-BLD-001</v>
      </c>
      <c r="J25" s="501" t="s">
        <v>5785</v>
      </c>
      <c r="K25" s="501"/>
      <c r="L25" s="493" t="s">
        <v>4158</v>
      </c>
      <c r="M25" s="493" t="s">
        <v>2969</v>
      </c>
      <c r="N25" s="494">
        <v>1</v>
      </c>
      <c r="O25" s="494">
        <v>18</v>
      </c>
      <c r="P25" s="500">
        <v>24</v>
      </c>
      <c r="Q25" s="500">
        <v>40</v>
      </c>
      <c r="R25" s="499">
        <v>8</v>
      </c>
      <c r="S25" s="497">
        <f t="shared" si="1"/>
        <v>960</v>
      </c>
      <c r="T25" s="498">
        <f t="shared" si="2"/>
        <v>960</v>
      </c>
      <c r="U25" s="497" t="s">
        <v>3454</v>
      </c>
      <c r="V25" s="496" t="s">
        <v>5786</v>
      </c>
      <c r="W25" s="489" t="s">
        <v>5787</v>
      </c>
      <c r="X25" s="489" t="s">
        <v>5745</v>
      </c>
      <c r="Y25" s="492" t="s">
        <v>5747</v>
      </c>
      <c r="Z25" s="492" t="s">
        <v>5747</v>
      </c>
      <c r="AA25" s="495" t="s">
        <v>154</v>
      </c>
      <c r="AB25" s="495" t="s">
        <v>154</v>
      </c>
      <c r="AC25" s="492" t="s">
        <v>5747</v>
      </c>
      <c r="AD25" s="494">
        <v>22</v>
      </c>
      <c r="AE25" s="495" t="s">
        <v>5746</v>
      </c>
      <c r="AF25" s="491" t="s">
        <v>154</v>
      </c>
      <c r="AG25" s="491" t="s">
        <v>154</v>
      </c>
      <c r="AH25" s="489" t="s">
        <v>5754</v>
      </c>
      <c r="AI25" s="489" t="s">
        <v>5755</v>
      </c>
      <c r="AJ25" s="489" t="s">
        <v>5754</v>
      </c>
      <c r="AK25" s="489" t="s">
        <v>154</v>
      </c>
      <c r="AL25" s="491" t="s">
        <v>154</v>
      </c>
      <c r="AM25" s="492" t="s">
        <v>5747</v>
      </c>
      <c r="AN25" s="491" t="s">
        <v>154</v>
      </c>
      <c r="AO25" s="489" t="s">
        <v>3454</v>
      </c>
      <c r="AP25" s="489" t="s">
        <v>5750</v>
      </c>
      <c r="AQ25" s="489" t="s">
        <v>5788</v>
      </c>
      <c r="AR25" s="489" t="s">
        <v>154</v>
      </c>
      <c r="AS25" s="487">
        <v>6</v>
      </c>
      <c r="AT25" s="488" t="s">
        <v>5789</v>
      </c>
      <c r="AU25" s="487" t="s">
        <v>5762</v>
      </c>
      <c r="AV25" s="487"/>
      <c r="AW25" s="487"/>
      <c r="AX25" s="570" t="s">
        <v>5747</v>
      </c>
      <c r="AY25" s="674"/>
      <c r="AZ25" s="674"/>
      <c r="BA25" s="457"/>
      <c r="BB25" s="457">
        <v>1</v>
      </c>
      <c r="BC25" s="457"/>
      <c r="BD25" s="457"/>
      <c r="BE25" s="457">
        <v>2</v>
      </c>
      <c r="BF25" s="457">
        <v>1</v>
      </c>
      <c r="BG25" s="457">
        <v>1</v>
      </c>
      <c r="BH25" s="457">
        <v>1</v>
      </c>
      <c r="BI25" s="457" t="s">
        <v>5777</v>
      </c>
    </row>
    <row r="26" spans="1:61" ht="40" customHeight="1">
      <c r="A26" s="507"/>
      <c r="B26" s="506">
        <v>2513</v>
      </c>
      <c r="C26" s="505" t="s">
        <v>119</v>
      </c>
      <c r="D26" s="504" t="s">
        <v>452</v>
      </c>
      <c r="E26" s="2369" t="s">
        <v>454</v>
      </c>
      <c r="F26" s="2369"/>
      <c r="G26" s="2369"/>
      <c r="H26" s="503">
        <v>2</v>
      </c>
      <c r="I26" s="502" t="str">
        <f t="shared" si="0"/>
        <v>2513-BLD-002</v>
      </c>
      <c r="J26" s="501" t="s">
        <v>5790</v>
      </c>
      <c r="K26" s="501"/>
      <c r="L26" s="493" t="s">
        <v>4168</v>
      </c>
      <c r="M26" s="493" t="s">
        <v>2969</v>
      </c>
      <c r="N26" s="494">
        <v>1</v>
      </c>
      <c r="O26" s="494">
        <v>5</v>
      </c>
      <c r="P26" s="500">
        <v>50</v>
      </c>
      <c r="Q26" s="500">
        <v>60</v>
      </c>
      <c r="R26" s="499">
        <v>20</v>
      </c>
      <c r="S26" s="497">
        <f t="shared" si="1"/>
        <v>3000</v>
      </c>
      <c r="T26" s="498">
        <f t="shared" si="2"/>
        <v>3000</v>
      </c>
      <c r="U26" s="497" t="s">
        <v>5791</v>
      </c>
      <c r="V26" s="496" t="s">
        <v>5792</v>
      </c>
      <c r="W26" s="489" t="s">
        <v>5793</v>
      </c>
      <c r="X26" s="489" t="s">
        <v>5794</v>
      </c>
      <c r="Y26" s="495" t="s">
        <v>154</v>
      </c>
      <c r="Z26" s="495" t="s">
        <v>154</v>
      </c>
      <c r="AA26" s="495" t="s">
        <v>154</v>
      </c>
      <c r="AB26" s="495" t="s">
        <v>154</v>
      </c>
      <c r="AC26" s="495" t="s">
        <v>154</v>
      </c>
      <c r="AD26" s="494">
        <v>5</v>
      </c>
      <c r="AE26" s="495" t="s">
        <v>3454</v>
      </c>
      <c r="AF26" s="492" t="s">
        <v>5747</v>
      </c>
      <c r="AG26" s="491" t="s">
        <v>154</v>
      </c>
      <c r="AH26" s="491" t="s">
        <v>154</v>
      </c>
      <c r="AI26" s="489" t="s">
        <v>154</v>
      </c>
      <c r="AJ26" s="489" t="s">
        <v>154</v>
      </c>
      <c r="AK26" s="489" t="s">
        <v>154</v>
      </c>
      <c r="AL26" s="491" t="s">
        <v>154</v>
      </c>
      <c r="AM26" s="492" t="s">
        <v>5747</v>
      </c>
      <c r="AN26" s="491" t="s">
        <v>154</v>
      </c>
      <c r="AO26" s="489" t="s">
        <v>3454</v>
      </c>
      <c r="AP26" s="489" t="s">
        <v>5750</v>
      </c>
      <c r="AQ26" s="489" t="s">
        <v>5774</v>
      </c>
      <c r="AR26" s="489" t="s">
        <v>154</v>
      </c>
      <c r="AS26" s="487">
        <v>4</v>
      </c>
      <c r="AT26" s="488" t="s">
        <v>5789</v>
      </c>
      <c r="AU26" s="487" t="s">
        <v>5762</v>
      </c>
      <c r="AV26" s="487"/>
      <c r="AW26" s="487"/>
      <c r="AX26" s="570" t="s">
        <v>5747</v>
      </c>
      <c r="AY26" s="674"/>
      <c r="AZ26" s="674"/>
      <c r="BA26" s="457"/>
      <c r="BB26" s="457"/>
      <c r="BC26" s="457"/>
      <c r="BD26" s="457"/>
      <c r="BE26" s="457">
        <v>1</v>
      </c>
      <c r="BF26" s="457"/>
      <c r="BG26" s="457"/>
      <c r="BH26" s="457">
        <v>1</v>
      </c>
      <c r="BI26" s="457" t="s">
        <v>5795</v>
      </c>
    </row>
    <row r="27" spans="1:61" ht="40" customHeight="1">
      <c r="A27" s="507"/>
      <c r="B27" s="506">
        <v>2521</v>
      </c>
      <c r="C27" s="505" t="s">
        <v>119</v>
      </c>
      <c r="D27" s="504" t="s">
        <v>452</v>
      </c>
      <c r="E27" s="2369" t="s">
        <v>605</v>
      </c>
      <c r="F27" s="2369"/>
      <c r="G27" s="2369"/>
      <c r="H27" s="503">
        <v>1</v>
      </c>
      <c r="I27" s="502" t="str">
        <f t="shared" si="0"/>
        <v>2521-BLD-001</v>
      </c>
      <c r="J27" s="501" t="s">
        <v>5796</v>
      </c>
      <c r="K27" s="501"/>
      <c r="L27" s="493" t="s">
        <v>4168</v>
      </c>
      <c r="M27" s="493" t="s">
        <v>2969</v>
      </c>
      <c r="N27" s="494">
        <v>1</v>
      </c>
      <c r="O27" s="494">
        <v>10</v>
      </c>
      <c r="P27" s="500">
        <v>60</v>
      </c>
      <c r="Q27" s="500">
        <v>160</v>
      </c>
      <c r="R27" s="499">
        <v>25</v>
      </c>
      <c r="S27" s="497">
        <f t="shared" si="1"/>
        <v>9600</v>
      </c>
      <c r="T27" s="498">
        <f t="shared" si="2"/>
        <v>9600</v>
      </c>
      <c r="U27" s="497" t="s">
        <v>5797</v>
      </c>
      <c r="V27" s="496" t="s">
        <v>5792</v>
      </c>
      <c r="W27" s="489" t="s">
        <v>5793</v>
      </c>
      <c r="X27" s="489" t="s">
        <v>5794</v>
      </c>
      <c r="Y27" s="495" t="s">
        <v>154</v>
      </c>
      <c r="Z27" s="495" t="s">
        <v>154</v>
      </c>
      <c r="AA27" s="495" t="s">
        <v>154</v>
      </c>
      <c r="AB27" s="495" t="s">
        <v>154</v>
      </c>
      <c r="AC27" s="495" t="s">
        <v>154</v>
      </c>
      <c r="AD27" s="494">
        <v>22</v>
      </c>
      <c r="AE27" s="493" t="s">
        <v>3454</v>
      </c>
      <c r="AF27" s="492" t="s">
        <v>5747</v>
      </c>
      <c r="AG27" s="491" t="s">
        <v>154</v>
      </c>
      <c r="AH27" s="489" t="s">
        <v>5754</v>
      </c>
      <c r="AI27" s="489" t="s">
        <v>154</v>
      </c>
      <c r="AJ27" s="489" t="s">
        <v>154</v>
      </c>
      <c r="AK27" s="489" t="s">
        <v>154</v>
      </c>
      <c r="AL27" s="491" t="s">
        <v>154</v>
      </c>
      <c r="AM27" s="492" t="s">
        <v>5747</v>
      </c>
      <c r="AN27" s="491" t="s">
        <v>154</v>
      </c>
      <c r="AO27" s="489" t="s">
        <v>3454</v>
      </c>
      <c r="AP27" s="489" t="s">
        <v>5750</v>
      </c>
      <c r="AQ27" s="489" t="s">
        <v>154</v>
      </c>
      <c r="AR27" s="489" t="s">
        <v>154</v>
      </c>
      <c r="AS27" s="530">
        <v>4</v>
      </c>
      <c r="AT27" s="488" t="s">
        <v>5789</v>
      </c>
      <c r="AU27" s="487" t="s">
        <v>5762</v>
      </c>
      <c r="AV27" s="487"/>
      <c r="AW27" s="530"/>
      <c r="AX27" s="570" t="s">
        <v>5747</v>
      </c>
      <c r="AY27" s="674"/>
      <c r="AZ27" s="674"/>
      <c r="BA27" s="457">
        <v>1</v>
      </c>
      <c r="BB27" s="457">
        <v>1</v>
      </c>
      <c r="BC27" s="457"/>
      <c r="BD27" s="457"/>
      <c r="BE27" s="457">
        <v>4</v>
      </c>
      <c r="BF27" s="457"/>
      <c r="BG27" s="457"/>
      <c r="BH27" s="457"/>
      <c r="BI27" s="457" t="s">
        <v>5798</v>
      </c>
    </row>
    <row r="28" spans="1:61" ht="40" customHeight="1">
      <c r="A28" s="507"/>
      <c r="B28" s="506">
        <v>2521</v>
      </c>
      <c r="C28" s="505" t="s">
        <v>119</v>
      </c>
      <c r="D28" s="504" t="s">
        <v>452</v>
      </c>
      <c r="E28" s="2369" t="s">
        <v>605</v>
      </c>
      <c r="F28" s="2369"/>
      <c r="G28" s="2369"/>
      <c r="H28" s="503">
        <v>2</v>
      </c>
      <c r="I28" s="502" t="str">
        <f t="shared" si="0"/>
        <v>2521-BLD-002</v>
      </c>
      <c r="J28" s="501" t="s">
        <v>5799</v>
      </c>
      <c r="K28" s="501"/>
      <c r="L28" s="493" t="s">
        <v>4168</v>
      </c>
      <c r="M28" s="493" t="s">
        <v>2969</v>
      </c>
      <c r="N28" s="494">
        <v>1</v>
      </c>
      <c r="O28" s="529">
        <v>5</v>
      </c>
      <c r="P28" s="500">
        <v>40</v>
      </c>
      <c r="Q28" s="500">
        <v>40</v>
      </c>
      <c r="R28" s="499">
        <v>25</v>
      </c>
      <c r="S28" s="497">
        <f t="shared" si="1"/>
        <v>1600</v>
      </c>
      <c r="T28" s="498">
        <f t="shared" si="2"/>
        <v>1600</v>
      </c>
      <c r="U28" s="497" t="s">
        <v>5797</v>
      </c>
      <c r="V28" s="496" t="s">
        <v>5792</v>
      </c>
      <c r="W28" s="489" t="s">
        <v>5793</v>
      </c>
      <c r="X28" s="489" t="s">
        <v>5800</v>
      </c>
      <c r="Y28" s="495" t="s">
        <v>154</v>
      </c>
      <c r="Z28" s="495" t="s">
        <v>154</v>
      </c>
      <c r="AA28" s="495" t="s">
        <v>154</v>
      </c>
      <c r="AB28" s="495" t="s">
        <v>154</v>
      </c>
      <c r="AC28" s="495" t="s">
        <v>154</v>
      </c>
      <c r="AD28" s="494">
        <v>22</v>
      </c>
      <c r="AE28" s="493" t="s">
        <v>3454</v>
      </c>
      <c r="AF28" s="492" t="s">
        <v>5747</v>
      </c>
      <c r="AG28" s="491" t="s">
        <v>154</v>
      </c>
      <c r="AH28" s="491" t="s">
        <v>154</v>
      </c>
      <c r="AI28" s="489" t="s">
        <v>154</v>
      </c>
      <c r="AJ28" s="489" t="s">
        <v>154</v>
      </c>
      <c r="AK28" s="489" t="s">
        <v>154</v>
      </c>
      <c r="AL28" s="491" t="s">
        <v>154</v>
      </c>
      <c r="AM28" s="492" t="s">
        <v>5747</v>
      </c>
      <c r="AN28" s="491" t="s">
        <v>154</v>
      </c>
      <c r="AO28" s="489" t="s">
        <v>3454</v>
      </c>
      <c r="AP28" s="489" t="s">
        <v>5750</v>
      </c>
      <c r="AQ28" s="489" t="s">
        <v>154</v>
      </c>
      <c r="AR28" s="489" t="s">
        <v>154</v>
      </c>
      <c r="AS28" s="487">
        <v>2</v>
      </c>
      <c r="AT28" s="488" t="s">
        <v>5789</v>
      </c>
      <c r="AU28" s="487" t="s">
        <v>5762</v>
      </c>
      <c r="AV28" s="487"/>
      <c r="AW28" s="487"/>
      <c r="AX28" s="570" t="s">
        <v>5747</v>
      </c>
      <c r="AY28" s="674"/>
      <c r="AZ28" s="674"/>
      <c r="BA28" s="457"/>
      <c r="BB28" s="457"/>
      <c r="BC28" s="457"/>
      <c r="BD28" s="457"/>
      <c r="BE28" s="457">
        <v>1</v>
      </c>
      <c r="BF28" s="457"/>
      <c r="BG28" s="457"/>
      <c r="BH28" s="457"/>
      <c r="BI28" s="457"/>
    </row>
    <row r="29" spans="1:61" ht="40" customHeight="1">
      <c r="A29" s="528"/>
      <c r="B29" s="506">
        <v>2521</v>
      </c>
      <c r="C29" s="505" t="s">
        <v>119</v>
      </c>
      <c r="D29" s="504" t="s">
        <v>452</v>
      </c>
      <c r="E29" s="2369" t="s">
        <v>605</v>
      </c>
      <c r="F29" s="2369"/>
      <c r="G29" s="2369"/>
      <c r="H29" s="503">
        <v>3</v>
      </c>
      <c r="I29" s="502" t="str">
        <f t="shared" si="0"/>
        <v>2521-BLD-003</v>
      </c>
      <c r="J29" s="501" t="s">
        <v>5801</v>
      </c>
      <c r="K29" s="501"/>
      <c r="L29" s="493" t="s">
        <v>4158</v>
      </c>
      <c r="M29" s="493" t="s">
        <v>2969</v>
      </c>
      <c r="N29" s="494">
        <v>1</v>
      </c>
      <c r="O29" s="494">
        <v>32</v>
      </c>
      <c r="P29" s="500">
        <v>48</v>
      </c>
      <c r="Q29" s="500">
        <v>60</v>
      </c>
      <c r="R29" s="499">
        <v>8</v>
      </c>
      <c r="S29" s="497">
        <f t="shared" si="1"/>
        <v>2880</v>
      </c>
      <c r="T29" s="498">
        <f t="shared" si="2"/>
        <v>2880</v>
      </c>
      <c r="U29" s="497" t="s">
        <v>3454</v>
      </c>
      <c r="V29" s="496" t="s">
        <v>5786</v>
      </c>
      <c r="W29" s="489" t="s">
        <v>5787</v>
      </c>
      <c r="X29" s="489" t="s">
        <v>5745</v>
      </c>
      <c r="Y29" s="492" t="s">
        <v>5747</v>
      </c>
      <c r="Z29" s="495" t="s">
        <v>154</v>
      </c>
      <c r="AA29" s="492" t="s">
        <v>5747</v>
      </c>
      <c r="AB29" s="495" t="s">
        <v>154</v>
      </c>
      <c r="AC29" s="492" t="s">
        <v>5747</v>
      </c>
      <c r="AD29" s="494">
        <v>22</v>
      </c>
      <c r="AE29" s="493" t="s">
        <v>5746</v>
      </c>
      <c r="AF29" s="491" t="s">
        <v>154</v>
      </c>
      <c r="AG29" s="489" t="s">
        <v>154</v>
      </c>
      <c r="AH29" s="489" t="s">
        <v>154</v>
      </c>
      <c r="AI29" s="489" t="s">
        <v>5755</v>
      </c>
      <c r="AJ29" s="489" t="s">
        <v>154</v>
      </c>
      <c r="AK29" s="489" t="s">
        <v>154</v>
      </c>
      <c r="AL29" s="491" t="s">
        <v>154</v>
      </c>
      <c r="AM29" s="492" t="s">
        <v>5747</v>
      </c>
      <c r="AN29" s="491" t="s">
        <v>154</v>
      </c>
      <c r="AO29" s="489" t="s">
        <v>3454</v>
      </c>
      <c r="AP29" s="489" t="s">
        <v>5750</v>
      </c>
      <c r="AQ29" s="489" t="s">
        <v>5756</v>
      </c>
      <c r="AR29" s="489" t="s">
        <v>154</v>
      </c>
      <c r="AS29" s="487">
        <v>40</v>
      </c>
      <c r="AT29" s="488" t="s">
        <v>5789</v>
      </c>
      <c r="AU29" s="487" t="s">
        <v>5762</v>
      </c>
      <c r="AV29" s="487"/>
      <c r="AW29" s="487"/>
      <c r="AX29" s="570" t="s">
        <v>5747</v>
      </c>
      <c r="AY29" s="570" t="s">
        <v>5747</v>
      </c>
      <c r="AZ29" s="570"/>
      <c r="BA29" s="457"/>
      <c r="BB29" s="457">
        <v>1</v>
      </c>
      <c r="BC29" s="457"/>
      <c r="BD29" s="457"/>
      <c r="BE29" s="457">
        <v>3</v>
      </c>
      <c r="BF29" s="457"/>
      <c r="BG29" s="457"/>
      <c r="BH29" s="457"/>
      <c r="BI29" s="457" t="s">
        <v>5802</v>
      </c>
    </row>
    <row r="30" spans="1:61" ht="40" customHeight="1">
      <c r="A30" s="528"/>
      <c r="B30" s="506">
        <v>2521</v>
      </c>
      <c r="C30" s="505" t="s">
        <v>119</v>
      </c>
      <c r="D30" s="504" t="s">
        <v>452</v>
      </c>
      <c r="E30" s="2369" t="s">
        <v>605</v>
      </c>
      <c r="F30" s="2369"/>
      <c r="G30" s="2369"/>
      <c r="H30" s="503">
        <v>4</v>
      </c>
      <c r="I30" s="502" t="str">
        <f t="shared" si="0"/>
        <v>2521-BLD-004</v>
      </c>
      <c r="J30" s="501" t="s">
        <v>5803</v>
      </c>
      <c r="K30" s="501"/>
      <c r="L30" s="493" t="s">
        <v>4158</v>
      </c>
      <c r="M30" s="493" t="s">
        <v>2969</v>
      </c>
      <c r="N30" s="494">
        <v>1</v>
      </c>
      <c r="O30" s="529">
        <v>9</v>
      </c>
      <c r="P30" s="500">
        <v>12</v>
      </c>
      <c r="Q30" s="500">
        <v>32</v>
      </c>
      <c r="R30" s="499">
        <v>8</v>
      </c>
      <c r="S30" s="497">
        <f t="shared" si="1"/>
        <v>384</v>
      </c>
      <c r="T30" s="498">
        <f t="shared" si="2"/>
        <v>384</v>
      </c>
      <c r="U30" s="497" t="s">
        <v>5791</v>
      </c>
      <c r="V30" s="496" t="s">
        <v>5753</v>
      </c>
      <c r="W30" s="489" t="s">
        <v>5787</v>
      </c>
      <c r="X30" s="489" t="s">
        <v>5745</v>
      </c>
      <c r="Y30" s="495" t="s">
        <v>154</v>
      </c>
      <c r="Z30" s="492" t="s">
        <v>5747</v>
      </c>
      <c r="AA30" s="495" t="s">
        <v>154</v>
      </c>
      <c r="AB30" s="495" t="s">
        <v>154</v>
      </c>
      <c r="AC30" s="495" t="s">
        <v>154</v>
      </c>
      <c r="AD30" s="494">
        <v>22</v>
      </c>
      <c r="AE30" s="495" t="s">
        <v>5746</v>
      </c>
      <c r="AF30" s="489" t="s">
        <v>154</v>
      </c>
      <c r="AG30" s="489" t="s">
        <v>154</v>
      </c>
      <c r="AH30" s="489" t="s">
        <v>5754</v>
      </c>
      <c r="AI30" s="489" t="s">
        <v>154</v>
      </c>
      <c r="AJ30" s="489" t="s">
        <v>5754</v>
      </c>
      <c r="AK30" s="489" t="s">
        <v>154</v>
      </c>
      <c r="AL30" s="491" t="s">
        <v>154</v>
      </c>
      <c r="AM30" s="491" t="s">
        <v>154</v>
      </c>
      <c r="AN30" s="492" t="s">
        <v>5747</v>
      </c>
      <c r="AO30" s="489" t="s">
        <v>3454</v>
      </c>
      <c r="AP30" s="489" t="s">
        <v>154</v>
      </c>
      <c r="AQ30" s="489" t="s">
        <v>154</v>
      </c>
      <c r="AR30" s="489" t="s">
        <v>154</v>
      </c>
      <c r="AS30" s="487"/>
      <c r="AT30" s="488"/>
      <c r="AU30" s="487"/>
      <c r="AV30" s="487"/>
      <c r="AW30" s="487"/>
      <c r="AX30" s="486"/>
      <c r="AY30" s="674"/>
      <c r="AZ30" s="674"/>
      <c r="BA30" s="457"/>
      <c r="BB30" s="457"/>
      <c r="BC30" s="457"/>
      <c r="BD30" s="457"/>
      <c r="BE30" s="457"/>
      <c r="BF30" s="457"/>
      <c r="BG30" s="457"/>
      <c r="BH30" s="457"/>
      <c r="BI30" s="457"/>
    </row>
    <row r="31" spans="1:61" s="552" customFormat="1" ht="40" customHeight="1">
      <c r="A31" s="528"/>
      <c r="B31" s="522">
        <v>2530</v>
      </c>
      <c r="C31" s="566" t="s">
        <v>119</v>
      </c>
      <c r="D31" s="565" t="s">
        <v>452</v>
      </c>
      <c r="E31" s="2371" t="s">
        <v>701</v>
      </c>
      <c r="F31" s="2371"/>
      <c r="G31" s="2371"/>
      <c r="H31" s="527">
        <v>1</v>
      </c>
      <c r="I31" s="526" t="str">
        <f t="shared" si="0"/>
        <v>2530-BLD-001</v>
      </c>
      <c r="J31" s="525" t="s">
        <v>5804</v>
      </c>
      <c r="K31" s="525"/>
      <c r="L31" s="519" t="s">
        <v>5805</v>
      </c>
      <c r="M31" s="519" t="s">
        <v>2969</v>
      </c>
      <c r="N31" s="560">
        <v>1</v>
      </c>
      <c r="O31" s="560" t="s">
        <v>154</v>
      </c>
      <c r="P31" s="564">
        <v>13</v>
      </c>
      <c r="Q31" s="564">
        <v>43</v>
      </c>
      <c r="R31" s="563">
        <v>14</v>
      </c>
      <c r="S31" s="498">
        <f t="shared" si="1"/>
        <v>559</v>
      </c>
      <c r="T31" s="498">
        <f t="shared" si="2"/>
        <v>559</v>
      </c>
      <c r="U31" s="498"/>
      <c r="V31" s="562" t="s">
        <v>5761</v>
      </c>
      <c r="W31" s="559" t="s">
        <v>5744</v>
      </c>
      <c r="X31" s="559" t="s">
        <v>5745</v>
      </c>
      <c r="Y31" s="561" t="s">
        <v>154</v>
      </c>
      <c r="Z31" s="561" t="s">
        <v>154</v>
      </c>
      <c r="AA31" s="561" t="s">
        <v>154</v>
      </c>
      <c r="AB31" s="561" t="s">
        <v>154</v>
      </c>
      <c r="AC31" s="561" t="s">
        <v>154</v>
      </c>
      <c r="AD31" s="560">
        <v>22</v>
      </c>
      <c r="AE31" s="561" t="s">
        <v>5746</v>
      </c>
      <c r="AF31" s="492" t="s">
        <v>5747</v>
      </c>
      <c r="AG31" s="559" t="s">
        <v>154</v>
      </c>
      <c r="AH31" s="557" t="s">
        <v>154</v>
      </c>
      <c r="AI31" s="559" t="s">
        <v>154</v>
      </c>
      <c r="AJ31" s="559" t="s">
        <v>154</v>
      </c>
      <c r="AK31" s="559" t="s">
        <v>154</v>
      </c>
      <c r="AL31" s="492" t="s">
        <v>5747</v>
      </c>
      <c r="AM31" s="559" t="s">
        <v>154</v>
      </c>
      <c r="AN31" s="559" t="s">
        <v>154</v>
      </c>
      <c r="AO31" s="559" t="s">
        <v>3454</v>
      </c>
      <c r="AP31" s="559" t="s">
        <v>5774</v>
      </c>
      <c r="AQ31" s="559" t="s">
        <v>154</v>
      </c>
      <c r="AR31" s="559" t="s">
        <v>154</v>
      </c>
      <c r="AS31" s="559"/>
      <c r="AT31" s="567"/>
      <c r="AU31" s="559"/>
      <c r="AV31" s="559"/>
      <c r="AW31" s="559"/>
      <c r="AX31" s="573"/>
      <c r="AY31" s="573"/>
      <c r="AZ31" s="573"/>
      <c r="BA31" s="553"/>
      <c r="BB31" s="553"/>
      <c r="BC31" s="553"/>
      <c r="BD31" s="553"/>
      <c r="BE31" s="553"/>
      <c r="BF31" s="553"/>
      <c r="BG31" s="553"/>
      <c r="BH31" s="553"/>
      <c r="BI31" s="553"/>
    </row>
    <row r="32" spans="1:61" s="552" customFormat="1" ht="40" customHeight="1">
      <c r="A32" s="528"/>
      <c r="B32" s="522">
        <v>2530</v>
      </c>
      <c r="C32" s="566" t="s">
        <v>119</v>
      </c>
      <c r="D32" s="565" t="s">
        <v>452</v>
      </c>
      <c r="E32" s="2371" t="s">
        <v>701</v>
      </c>
      <c r="F32" s="2371"/>
      <c r="G32" s="2371"/>
      <c r="H32" s="527">
        <v>2</v>
      </c>
      <c r="I32" s="526" t="str">
        <f t="shared" si="0"/>
        <v>2530-BLD-002</v>
      </c>
      <c r="J32" s="525" t="s">
        <v>5806</v>
      </c>
      <c r="K32" s="525"/>
      <c r="L32" s="519" t="s">
        <v>5805</v>
      </c>
      <c r="M32" s="519" t="s">
        <v>2969</v>
      </c>
      <c r="N32" s="560">
        <v>1</v>
      </c>
      <c r="O32" s="560" t="s">
        <v>154</v>
      </c>
      <c r="P32" s="564">
        <v>13</v>
      </c>
      <c r="Q32" s="564">
        <v>43</v>
      </c>
      <c r="R32" s="563">
        <v>14</v>
      </c>
      <c r="S32" s="498">
        <f t="shared" si="1"/>
        <v>559</v>
      </c>
      <c r="T32" s="498">
        <f t="shared" si="2"/>
        <v>559</v>
      </c>
      <c r="U32" s="498"/>
      <c r="V32" s="562" t="s">
        <v>5761</v>
      </c>
      <c r="W32" s="559" t="s">
        <v>5744</v>
      </c>
      <c r="X32" s="559" t="s">
        <v>5745</v>
      </c>
      <c r="Y32" s="561" t="s">
        <v>154</v>
      </c>
      <c r="Z32" s="561" t="s">
        <v>154</v>
      </c>
      <c r="AA32" s="561" t="s">
        <v>154</v>
      </c>
      <c r="AB32" s="561" t="s">
        <v>154</v>
      </c>
      <c r="AC32" s="561" t="s">
        <v>154</v>
      </c>
      <c r="AD32" s="560">
        <v>22</v>
      </c>
      <c r="AE32" s="561" t="s">
        <v>5746</v>
      </c>
      <c r="AF32" s="492" t="s">
        <v>5747</v>
      </c>
      <c r="AG32" s="559" t="s">
        <v>154</v>
      </c>
      <c r="AH32" s="557" t="s">
        <v>154</v>
      </c>
      <c r="AI32" s="559" t="s">
        <v>154</v>
      </c>
      <c r="AJ32" s="559" t="s">
        <v>154</v>
      </c>
      <c r="AK32" s="559" t="s">
        <v>154</v>
      </c>
      <c r="AL32" s="492" t="s">
        <v>5747</v>
      </c>
      <c r="AM32" s="559" t="s">
        <v>154</v>
      </c>
      <c r="AN32" s="559" t="s">
        <v>154</v>
      </c>
      <c r="AO32" s="559" t="s">
        <v>3454</v>
      </c>
      <c r="AP32" s="559" t="s">
        <v>5774</v>
      </c>
      <c r="AQ32" s="559" t="s">
        <v>154</v>
      </c>
      <c r="AR32" s="559" t="s">
        <v>154</v>
      </c>
      <c r="AS32" s="559"/>
      <c r="AT32" s="567"/>
      <c r="AU32" s="559"/>
      <c r="AV32" s="559"/>
      <c r="AW32" s="559"/>
      <c r="AX32" s="573"/>
      <c r="AY32" s="573"/>
      <c r="AZ32" s="573"/>
      <c r="BA32" s="553"/>
      <c r="BB32" s="553"/>
      <c r="BC32" s="553"/>
      <c r="BD32" s="553"/>
      <c r="BE32" s="553"/>
      <c r="BF32" s="553"/>
      <c r="BG32" s="553"/>
      <c r="BH32" s="553"/>
      <c r="BI32" s="553"/>
    </row>
    <row r="33" spans="1:61" s="552" customFormat="1" ht="40" customHeight="1">
      <c r="A33" s="528"/>
      <c r="B33" s="522">
        <v>2530</v>
      </c>
      <c r="C33" s="566" t="s">
        <v>119</v>
      </c>
      <c r="D33" s="565" t="s">
        <v>452</v>
      </c>
      <c r="E33" s="2371" t="s">
        <v>701</v>
      </c>
      <c r="F33" s="2371"/>
      <c r="G33" s="2371"/>
      <c r="H33" s="527">
        <v>3</v>
      </c>
      <c r="I33" s="526" t="str">
        <f t="shared" si="0"/>
        <v>2530-BLD-003</v>
      </c>
      <c r="J33" s="525" t="s">
        <v>5807</v>
      </c>
      <c r="K33" s="525"/>
      <c r="L33" s="519" t="s">
        <v>5805</v>
      </c>
      <c r="M33" s="519" t="s">
        <v>2969</v>
      </c>
      <c r="N33" s="560">
        <v>1</v>
      </c>
      <c r="O33" s="560" t="s">
        <v>154</v>
      </c>
      <c r="P33" s="564">
        <v>13</v>
      </c>
      <c r="Q33" s="564">
        <v>43</v>
      </c>
      <c r="R33" s="563">
        <v>14</v>
      </c>
      <c r="S33" s="498">
        <f t="shared" si="1"/>
        <v>559</v>
      </c>
      <c r="T33" s="498">
        <f t="shared" si="2"/>
        <v>559</v>
      </c>
      <c r="U33" s="498"/>
      <c r="V33" s="562" t="s">
        <v>5761</v>
      </c>
      <c r="W33" s="559" t="s">
        <v>5744</v>
      </c>
      <c r="X33" s="559" t="s">
        <v>5745</v>
      </c>
      <c r="Y33" s="561" t="s">
        <v>154</v>
      </c>
      <c r="Z33" s="561" t="s">
        <v>154</v>
      </c>
      <c r="AA33" s="561" t="s">
        <v>154</v>
      </c>
      <c r="AB33" s="561" t="s">
        <v>154</v>
      </c>
      <c r="AC33" s="561" t="s">
        <v>154</v>
      </c>
      <c r="AD33" s="560">
        <v>22</v>
      </c>
      <c r="AE33" s="561" t="s">
        <v>5746</v>
      </c>
      <c r="AF33" s="492" t="s">
        <v>5747</v>
      </c>
      <c r="AG33" s="559" t="s">
        <v>154</v>
      </c>
      <c r="AH33" s="557" t="s">
        <v>154</v>
      </c>
      <c r="AI33" s="559" t="s">
        <v>154</v>
      </c>
      <c r="AJ33" s="559" t="s">
        <v>154</v>
      </c>
      <c r="AK33" s="559" t="s">
        <v>154</v>
      </c>
      <c r="AL33" s="492" t="s">
        <v>5747</v>
      </c>
      <c r="AM33" s="559" t="s">
        <v>154</v>
      </c>
      <c r="AN33" s="559" t="s">
        <v>154</v>
      </c>
      <c r="AO33" s="559" t="s">
        <v>3454</v>
      </c>
      <c r="AP33" s="559" t="s">
        <v>5774</v>
      </c>
      <c r="AQ33" s="559" t="s">
        <v>154</v>
      </c>
      <c r="AR33" s="559" t="s">
        <v>154</v>
      </c>
      <c r="AS33" s="559"/>
      <c r="AT33" s="567"/>
      <c r="AU33" s="559"/>
      <c r="AV33" s="559"/>
      <c r="AW33" s="559"/>
      <c r="AX33" s="573"/>
      <c r="AY33" s="573"/>
      <c r="AZ33" s="573"/>
      <c r="BA33" s="553"/>
      <c r="BB33" s="553"/>
      <c r="BC33" s="553"/>
      <c r="BD33" s="553"/>
      <c r="BE33" s="553"/>
      <c r="BF33" s="553"/>
      <c r="BG33" s="553"/>
      <c r="BH33" s="553"/>
      <c r="BI33" s="553"/>
    </row>
    <row r="34" spans="1:61" s="552" customFormat="1" ht="40" customHeight="1">
      <c r="A34" s="528"/>
      <c r="B34" s="522">
        <v>2530</v>
      </c>
      <c r="C34" s="566" t="s">
        <v>119</v>
      </c>
      <c r="D34" s="565" t="s">
        <v>452</v>
      </c>
      <c r="E34" s="2371" t="s">
        <v>701</v>
      </c>
      <c r="F34" s="2371"/>
      <c r="G34" s="2371"/>
      <c r="H34" s="527">
        <v>4</v>
      </c>
      <c r="I34" s="526" t="str">
        <f t="shared" si="0"/>
        <v>2530-BLD-004</v>
      </c>
      <c r="J34" s="525" t="s">
        <v>5808</v>
      </c>
      <c r="K34" s="525"/>
      <c r="L34" s="519" t="s">
        <v>5805</v>
      </c>
      <c r="M34" s="519" t="s">
        <v>2969</v>
      </c>
      <c r="N34" s="560">
        <v>1</v>
      </c>
      <c r="O34" s="560" t="s">
        <v>154</v>
      </c>
      <c r="P34" s="564">
        <v>13</v>
      </c>
      <c r="Q34" s="564">
        <v>43</v>
      </c>
      <c r="R34" s="563">
        <v>14</v>
      </c>
      <c r="S34" s="498">
        <f t="shared" si="1"/>
        <v>559</v>
      </c>
      <c r="T34" s="498">
        <f t="shared" si="2"/>
        <v>559</v>
      </c>
      <c r="U34" s="498"/>
      <c r="V34" s="562" t="s">
        <v>5761</v>
      </c>
      <c r="W34" s="559" t="s">
        <v>5744</v>
      </c>
      <c r="X34" s="559" t="s">
        <v>5745</v>
      </c>
      <c r="Y34" s="561" t="s">
        <v>154</v>
      </c>
      <c r="Z34" s="561" t="s">
        <v>154</v>
      </c>
      <c r="AA34" s="561" t="s">
        <v>154</v>
      </c>
      <c r="AB34" s="561" t="s">
        <v>154</v>
      </c>
      <c r="AC34" s="561" t="s">
        <v>154</v>
      </c>
      <c r="AD34" s="560">
        <v>22</v>
      </c>
      <c r="AE34" s="561" t="s">
        <v>5746</v>
      </c>
      <c r="AF34" s="492" t="s">
        <v>5747</v>
      </c>
      <c r="AG34" s="559" t="s">
        <v>154</v>
      </c>
      <c r="AH34" s="557" t="s">
        <v>154</v>
      </c>
      <c r="AI34" s="559" t="s">
        <v>154</v>
      </c>
      <c r="AJ34" s="559" t="s">
        <v>154</v>
      </c>
      <c r="AK34" s="559" t="s">
        <v>154</v>
      </c>
      <c r="AL34" s="492" t="s">
        <v>5747</v>
      </c>
      <c r="AM34" s="559" t="s">
        <v>154</v>
      </c>
      <c r="AN34" s="559" t="s">
        <v>154</v>
      </c>
      <c r="AO34" s="559" t="s">
        <v>3454</v>
      </c>
      <c r="AP34" s="559" t="s">
        <v>5774</v>
      </c>
      <c r="AQ34" s="559" t="s">
        <v>154</v>
      </c>
      <c r="AR34" s="559" t="s">
        <v>154</v>
      </c>
      <c r="AS34" s="559"/>
      <c r="AT34" s="567"/>
      <c r="AU34" s="559"/>
      <c r="AV34" s="559"/>
      <c r="AW34" s="559"/>
      <c r="AX34" s="573"/>
      <c r="AY34" s="573"/>
      <c r="AZ34" s="573"/>
      <c r="BA34" s="553"/>
      <c r="BB34" s="553"/>
      <c r="BC34" s="553"/>
      <c r="BD34" s="553"/>
      <c r="BE34" s="553"/>
      <c r="BF34" s="553"/>
      <c r="BG34" s="553"/>
      <c r="BH34" s="553"/>
      <c r="BI34" s="553"/>
    </row>
    <row r="35" spans="1:61" s="552" customFormat="1" ht="40" customHeight="1">
      <c r="A35" s="528"/>
      <c r="B35" s="522">
        <v>2530</v>
      </c>
      <c r="C35" s="566" t="s">
        <v>119</v>
      </c>
      <c r="D35" s="565" t="s">
        <v>452</v>
      </c>
      <c r="E35" s="2371" t="s">
        <v>701</v>
      </c>
      <c r="F35" s="2371"/>
      <c r="G35" s="2371"/>
      <c r="H35" s="527">
        <v>5</v>
      </c>
      <c r="I35" s="526" t="str">
        <f t="shared" si="0"/>
        <v>2530-BLD-005</v>
      </c>
      <c r="J35" s="525" t="s">
        <v>5809</v>
      </c>
      <c r="K35" s="525"/>
      <c r="L35" s="519" t="s">
        <v>5805</v>
      </c>
      <c r="M35" s="519" t="s">
        <v>2969</v>
      </c>
      <c r="N35" s="560">
        <v>1</v>
      </c>
      <c r="O35" s="560" t="s">
        <v>154</v>
      </c>
      <c r="P35" s="564">
        <v>13</v>
      </c>
      <c r="Q35" s="564">
        <v>43</v>
      </c>
      <c r="R35" s="563">
        <v>14</v>
      </c>
      <c r="S35" s="498">
        <f t="shared" si="1"/>
        <v>559</v>
      </c>
      <c r="T35" s="498">
        <f t="shared" si="2"/>
        <v>559</v>
      </c>
      <c r="U35" s="498"/>
      <c r="V35" s="562" t="s">
        <v>5761</v>
      </c>
      <c r="W35" s="559" t="s">
        <v>5744</v>
      </c>
      <c r="X35" s="559" t="s">
        <v>5745</v>
      </c>
      <c r="Y35" s="561" t="s">
        <v>154</v>
      </c>
      <c r="Z35" s="561" t="s">
        <v>154</v>
      </c>
      <c r="AA35" s="561" t="s">
        <v>154</v>
      </c>
      <c r="AB35" s="561" t="s">
        <v>154</v>
      </c>
      <c r="AC35" s="561" t="s">
        <v>154</v>
      </c>
      <c r="AD35" s="560">
        <v>22</v>
      </c>
      <c r="AE35" s="561" t="s">
        <v>5746</v>
      </c>
      <c r="AF35" s="492" t="s">
        <v>5747</v>
      </c>
      <c r="AG35" s="557" t="s">
        <v>154</v>
      </c>
      <c r="AH35" s="557" t="s">
        <v>154</v>
      </c>
      <c r="AI35" s="559" t="s">
        <v>154</v>
      </c>
      <c r="AJ35" s="559" t="s">
        <v>154</v>
      </c>
      <c r="AK35" s="559" t="s">
        <v>154</v>
      </c>
      <c r="AL35" s="492" t="s">
        <v>5747</v>
      </c>
      <c r="AM35" s="559" t="s">
        <v>154</v>
      </c>
      <c r="AN35" s="559" t="s">
        <v>154</v>
      </c>
      <c r="AO35" s="559" t="s">
        <v>3454</v>
      </c>
      <c r="AP35" s="559" t="s">
        <v>5774</v>
      </c>
      <c r="AQ35" s="559" t="s">
        <v>154</v>
      </c>
      <c r="AR35" s="559" t="s">
        <v>154</v>
      </c>
      <c r="AS35" s="559"/>
      <c r="AT35" s="567"/>
      <c r="AU35" s="559"/>
      <c r="AV35" s="559"/>
      <c r="AW35" s="559"/>
      <c r="AX35" s="573"/>
      <c r="AY35" s="573"/>
      <c r="AZ35" s="573"/>
      <c r="BA35" s="553"/>
      <c r="BB35" s="553"/>
      <c r="BC35" s="553"/>
      <c r="BD35" s="553"/>
      <c r="BE35" s="553"/>
      <c r="BF35" s="553"/>
      <c r="BG35" s="553"/>
      <c r="BH35" s="553"/>
      <c r="BI35" s="553"/>
    </row>
    <row r="36" spans="1:61" s="552" customFormat="1" ht="40" customHeight="1">
      <c r="A36" s="528"/>
      <c r="B36" s="522">
        <v>2530</v>
      </c>
      <c r="C36" s="566" t="s">
        <v>119</v>
      </c>
      <c r="D36" s="565" t="s">
        <v>452</v>
      </c>
      <c r="E36" s="2371" t="s">
        <v>701</v>
      </c>
      <c r="F36" s="2371"/>
      <c r="G36" s="2371"/>
      <c r="H36" s="527">
        <v>6</v>
      </c>
      <c r="I36" s="526" t="str">
        <f t="shared" si="0"/>
        <v>2530-BLD-006</v>
      </c>
      <c r="J36" s="525" t="s">
        <v>5810</v>
      </c>
      <c r="K36" s="525"/>
      <c r="L36" s="519" t="s">
        <v>5805</v>
      </c>
      <c r="M36" s="519" t="s">
        <v>2969</v>
      </c>
      <c r="N36" s="560">
        <v>1</v>
      </c>
      <c r="O36" s="560" t="s">
        <v>154</v>
      </c>
      <c r="P36" s="564">
        <v>13</v>
      </c>
      <c r="Q36" s="564">
        <v>43</v>
      </c>
      <c r="R36" s="563">
        <v>14</v>
      </c>
      <c r="S36" s="498">
        <f t="shared" si="1"/>
        <v>559</v>
      </c>
      <c r="T36" s="498">
        <f t="shared" si="2"/>
        <v>559</v>
      </c>
      <c r="U36" s="498"/>
      <c r="V36" s="562" t="s">
        <v>5761</v>
      </c>
      <c r="W36" s="559" t="s">
        <v>5744</v>
      </c>
      <c r="X36" s="559" t="s">
        <v>5745</v>
      </c>
      <c r="Y36" s="561" t="s">
        <v>154</v>
      </c>
      <c r="Z36" s="561" t="s">
        <v>154</v>
      </c>
      <c r="AA36" s="561" t="s">
        <v>154</v>
      </c>
      <c r="AB36" s="561" t="s">
        <v>154</v>
      </c>
      <c r="AC36" s="561" t="s">
        <v>154</v>
      </c>
      <c r="AD36" s="560">
        <v>22</v>
      </c>
      <c r="AE36" s="561" t="s">
        <v>5746</v>
      </c>
      <c r="AF36" s="492" t="s">
        <v>5747</v>
      </c>
      <c r="AG36" s="557" t="s">
        <v>154</v>
      </c>
      <c r="AH36" s="557" t="s">
        <v>154</v>
      </c>
      <c r="AI36" s="559" t="s">
        <v>154</v>
      </c>
      <c r="AJ36" s="559" t="s">
        <v>154</v>
      </c>
      <c r="AK36" s="559" t="s">
        <v>154</v>
      </c>
      <c r="AL36" s="492" t="s">
        <v>5747</v>
      </c>
      <c r="AM36" s="559" t="s">
        <v>154</v>
      </c>
      <c r="AN36" s="559" t="s">
        <v>154</v>
      </c>
      <c r="AO36" s="559" t="s">
        <v>3454</v>
      </c>
      <c r="AP36" s="559" t="s">
        <v>5774</v>
      </c>
      <c r="AQ36" s="559" t="s">
        <v>154</v>
      </c>
      <c r="AR36" s="559" t="s">
        <v>154</v>
      </c>
      <c r="AS36" s="559"/>
      <c r="AT36" s="567"/>
      <c r="AU36" s="559"/>
      <c r="AV36" s="559"/>
      <c r="AW36" s="559"/>
      <c r="AX36" s="573"/>
      <c r="AY36" s="573"/>
      <c r="AZ36" s="573"/>
      <c r="BA36" s="553"/>
      <c r="BB36" s="553"/>
      <c r="BC36" s="553"/>
      <c r="BD36" s="553"/>
      <c r="BE36" s="553"/>
      <c r="BF36" s="553"/>
      <c r="BG36" s="553"/>
      <c r="BH36" s="553"/>
      <c r="BI36" s="553"/>
    </row>
    <row r="37" spans="1:61" s="552" customFormat="1" ht="40" customHeight="1">
      <c r="A37" s="528"/>
      <c r="B37" s="522">
        <v>2530</v>
      </c>
      <c r="C37" s="566" t="s">
        <v>119</v>
      </c>
      <c r="D37" s="565" t="s">
        <v>452</v>
      </c>
      <c r="E37" s="2371" t="s">
        <v>701</v>
      </c>
      <c r="F37" s="2371"/>
      <c r="G37" s="2371"/>
      <c r="H37" s="527">
        <v>7</v>
      </c>
      <c r="I37" s="526" t="str">
        <f t="shared" si="0"/>
        <v>2530-BLD-007</v>
      </c>
      <c r="J37" s="525" t="s">
        <v>5811</v>
      </c>
      <c r="K37" s="525"/>
      <c r="L37" s="519" t="s">
        <v>5805</v>
      </c>
      <c r="M37" s="519" t="s">
        <v>2969</v>
      </c>
      <c r="N37" s="560">
        <v>1</v>
      </c>
      <c r="O37" s="560" t="s">
        <v>154</v>
      </c>
      <c r="P37" s="564">
        <v>13</v>
      </c>
      <c r="Q37" s="564">
        <v>43</v>
      </c>
      <c r="R37" s="563">
        <v>14</v>
      </c>
      <c r="S37" s="498">
        <f t="shared" si="1"/>
        <v>559</v>
      </c>
      <c r="T37" s="498">
        <f t="shared" si="2"/>
        <v>559</v>
      </c>
      <c r="U37" s="498"/>
      <c r="V37" s="562" t="s">
        <v>5761</v>
      </c>
      <c r="W37" s="559" t="s">
        <v>5744</v>
      </c>
      <c r="X37" s="559" t="s">
        <v>5745</v>
      </c>
      <c r="Y37" s="561" t="s">
        <v>154</v>
      </c>
      <c r="Z37" s="561" t="s">
        <v>154</v>
      </c>
      <c r="AA37" s="561" t="s">
        <v>154</v>
      </c>
      <c r="AB37" s="561" t="s">
        <v>154</v>
      </c>
      <c r="AC37" s="561" t="s">
        <v>154</v>
      </c>
      <c r="AD37" s="560">
        <v>22</v>
      </c>
      <c r="AE37" s="561" t="s">
        <v>5746</v>
      </c>
      <c r="AF37" s="492" t="s">
        <v>5747</v>
      </c>
      <c r="AG37" s="557" t="s">
        <v>154</v>
      </c>
      <c r="AH37" s="557" t="s">
        <v>154</v>
      </c>
      <c r="AI37" s="559" t="s">
        <v>154</v>
      </c>
      <c r="AJ37" s="559" t="s">
        <v>154</v>
      </c>
      <c r="AK37" s="559" t="s">
        <v>154</v>
      </c>
      <c r="AL37" s="492" t="s">
        <v>5747</v>
      </c>
      <c r="AM37" s="559" t="s">
        <v>154</v>
      </c>
      <c r="AN37" s="559" t="s">
        <v>154</v>
      </c>
      <c r="AO37" s="559" t="s">
        <v>3454</v>
      </c>
      <c r="AP37" s="559" t="s">
        <v>5774</v>
      </c>
      <c r="AQ37" s="559" t="s">
        <v>154</v>
      </c>
      <c r="AR37" s="559" t="s">
        <v>154</v>
      </c>
      <c r="AS37" s="559"/>
      <c r="AT37" s="567"/>
      <c r="AU37" s="559"/>
      <c r="AV37" s="559"/>
      <c r="AW37" s="559"/>
      <c r="AX37" s="573"/>
      <c r="AY37" s="573"/>
      <c r="AZ37" s="573"/>
      <c r="BA37" s="553"/>
      <c r="BB37" s="553"/>
      <c r="BC37" s="553"/>
      <c r="BD37" s="553"/>
      <c r="BE37" s="553"/>
      <c r="BF37" s="553"/>
      <c r="BG37" s="553"/>
      <c r="BH37" s="553"/>
      <c r="BI37" s="553"/>
    </row>
    <row r="38" spans="1:61" s="552" customFormat="1" ht="40" customHeight="1">
      <c r="A38" s="528"/>
      <c r="B38" s="522">
        <v>2530</v>
      </c>
      <c r="C38" s="566" t="s">
        <v>119</v>
      </c>
      <c r="D38" s="565" t="s">
        <v>452</v>
      </c>
      <c r="E38" s="2371" t="s">
        <v>701</v>
      </c>
      <c r="F38" s="2371"/>
      <c r="G38" s="2371"/>
      <c r="H38" s="527">
        <v>8</v>
      </c>
      <c r="I38" s="526" t="str">
        <f t="shared" si="0"/>
        <v>2530-BLD-008</v>
      </c>
      <c r="J38" s="525" t="s">
        <v>5812</v>
      </c>
      <c r="K38" s="525" t="s">
        <v>5813</v>
      </c>
      <c r="L38" s="519" t="s">
        <v>5805</v>
      </c>
      <c r="M38" s="519" t="s">
        <v>2969</v>
      </c>
      <c r="N38" s="560">
        <v>1</v>
      </c>
      <c r="O38" s="560" t="s">
        <v>154</v>
      </c>
      <c r="P38" s="564">
        <v>13</v>
      </c>
      <c r="Q38" s="564">
        <v>43</v>
      </c>
      <c r="R38" s="563">
        <v>14</v>
      </c>
      <c r="S38" s="498">
        <f t="shared" si="1"/>
        <v>559</v>
      </c>
      <c r="T38" s="498">
        <f t="shared" si="2"/>
        <v>559</v>
      </c>
      <c r="U38" s="498"/>
      <c r="V38" s="562" t="s">
        <v>5761</v>
      </c>
      <c r="W38" s="559" t="s">
        <v>5744</v>
      </c>
      <c r="X38" s="559" t="s">
        <v>5745</v>
      </c>
      <c r="Y38" s="561" t="s">
        <v>154</v>
      </c>
      <c r="Z38" s="561" t="s">
        <v>154</v>
      </c>
      <c r="AA38" s="561" t="s">
        <v>154</v>
      </c>
      <c r="AB38" s="561" t="s">
        <v>154</v>
      </c>
      <c r="AC38" s="561" t="s">
        <v>154</v>
      </c>
      <c r="AD38" s="560">
        <v>22</v>
      </c>
      <c r="AE38" s="561" t="s">
        <v>5746</v>
      </c>
      <c r="AF38" s="492" t="s">
        <v>5747</v>
      </c>
      <c r="AG38" s="557" t="s">
        <v>154</v>
      </c>
      <c r="AH38" s="557" t="s">
        <v>154</v>
      </c>
      <c r="AI38" s="559" t="s">
        <v>154</v>
      </c>
      <c r="AJ38" s="559" t="s">
        <v>154</v>
      </c>
      <c r="AK38" s="559" t="s">
        <v>154</v>
      </c>
      <c r="AL38" s="492" t="s">
        <v>5747</v>
      </c>
      <c r="AM38" s="559" t="s">
        <v>154</v>
      </c>
      <c r="AN38" s="559" t="s">
        <v>154</v>
      </c>
      <c r="AO38" s="559" t="s">
        <v>3454</v>
      </c>
      <c r="AP38" s="559" t="s">
        <v>5774</v>
      </c>
      <c r="AQ38" s="559" t="s">
        <v>154</v>
      </c>
      <c r="AR38" s="559" t="s">
        <v>154</v>
      </c>
      <c r="AS38" s="559"/>
      <c r="AT38" s="567"/>
      <c r="AU38" s="559"/>
      <c r="AV38" s="559"/>
      <c r="AW38" s="559"/>
      <c r="AX38" s="573"/>
      <c r="AY38" s="573"/>
      <c r="AZ38" s="573"/>
      <c r="BA38" s="553"/>
      <c r="BB38" s="553"/>
      <c r="BC38" s="553"/>
      <c r="BD38" s="553"/>
      <c r="BE38" s="553"/>
      <c r="BF38" s="553"/>
      <c r="BG38" s="553"/>
      <c r="BH38" s="553"/>
      <c r="BI38" s="553"/>
    </row>
    <row r="39" spans="1:61" s="552" customFormat="1" ht="40" customHeight="1">
      <c r="A39" s="528"/>
      <c r="B39" s="522">
        <v>2530</v>
      </c>
      <c r="C39" s="566" t="s">
        <v>119</v>
      </c>
      <c r="D39" s="565" t="s">
        <v>452</v>
      </c>
      <c r="E39" s="2371" t="s">
        <v>701</v>
      </c>
      <c r="F39" s="2371"/>
      <c r="G39" s="2371"/>
      <c r="H39" s="527">
        <v>9</v>
      </c>
      <c r="I39" s="526" t="str">
        <f t="shared" si="0"/>
        <v>2530-BLD-009</v>
      </c>
      <c r="J39" s="525" t="s">
        <v>5814</v>
      </c>
      <c r="K39" s="525"/>
      <c r="L39" s="519" t="s">
        <v>5805</v>
      </c>
      <c r="M39" s="519" t="s">
        <v>2969</v>
      </c>
      <c r="N39" s="560">
        <v>1</v>
      </c>
      <c r="O39" s="560" t="s">
        <v>154</v>
      </c>
      <c r="P39" s="564">
        <v>18</v>
      </c>
      <c r="Q39" s="564">
        <v>45</v>
      </c>
      <c r="R39" s="563">
        <v>12</v>
      </c>
      <c r="S39" s="498">
        <f t="shared" si="1"/>
        <v>810</v>
      </c>
      <c r="T39" s="498">
        <f t="shared" si="2"/>
        <v>810</v>
      </c>
      <c r="U39" s="498"/>
      <c r="V39" s="562" t="s">
        <v>5761</v>
      </c>
      <c r="W39" s="559" t="s">
        <v>5744</v>
      </c>
      <c r="X39" s="559" t="s">
        <v>5745</v>
      </c>
      <c r="Y39" s="561" t="s">
        <v>154</v>
      </c>
      <c r="Z39" s="561" t="s">
        <v>154</v>
      </c>
      <c r="AA39" s="561" t="s">
        <v>154</v>
      </c>
      <c r="AB39" s="561" t="s">
        <v>154</v>
      </c>
      <c r="AC39" s="561" t="s">
        <v>154</v>
      </c>
      <c r="AD39" s="560">
        <v>22</v>
      </c>
      <c r="AE39" s="561" t="s">
        <v>5746</v>
      </c>
      <c r="AF39" s="492" t="s">
        <v>5747</v>
      </c>
      <c r="AG39" s="557" t="s">
        <v>154</v>
      </c>
      <c r="AH39" s="557" t="s">
        <v>154</v>
      </c>
      <c r="AI39" s="559" t="s">
        <v>154</v>
      </c>
      <c r="AJ39" s="559" t="s">
        <v>154</v>
      </c>
      <c r="AK39" s="559" t="s">
        <v>154</v>
      </c>
      <c r="AL39" s="492" t="s">
        <v>5747</v>
      </c>
      <c r="AM39" s="559" t="s">
        <v>154</v>
      </c>
      <c r="AN39" s="559" t="s">
        <v>154</v>
      </c>
      <c r="AO39" s="559" t="s">
        <v>3454</v>
      </c>
      <c r="AP39" s="559" t="s">
        <v>5815</v>
      </c>
      <c r="AQ39" s="559" t="s">
        <v>154</v>
      </c>
      <c r="AR39" s="559" t="s">
        <v>154</v>
      </c>
      <c r="AS39" s="530">
        <v>2</v>
      </c>
      <c r="AT39" s="488" t="s">
        <v>5816</v>
      </c>
      <c r="AU39" s="530"/>
      <c r="AV39" s="530"/>
      <c r="AW39" s="530"/>
      <c r="AX39" s="556" t="s">
        <v>5747</v>
      </c>
      <c r="AY39" s="555"/>
      <c r="AZ39" s="556" t="s">
        <v>5747</v>
      </c>
      <c r="BA39" s="554"/>
      <c r="BB39" s="554"/>
      <c r="BC39" s="554"/>
      <c r="BD39" s="554"/>
      <c r="BE39" s="554">
        <v>1</v>
      </c>
      <c r="BF39" s="553"/>
      <c r="BG39" s="553"/>
      <c r="BH39" s="553"/>
      <c r="BI39" s="553"/>
    </row>
    <row r="40" spans="1:61" s="552" customFormat="1" ht="40" customHeight="1">
      <c r="A40" s="528"/>
      <c r="B40" s="522">
        <v>2530</v>
      </c>
      <c r="C40" s="566" t="s">
        <v>119</v>
      </c>
      <c r="D40" s="565" t="s">
        <v>452</v>
      </c>
      <c r="E40" s="2371" t="s">
        <v>701</v>
      </c>
      <c r="F40" s="2371"/>
      <c r="G40" s="2371"/>
      <c r="H40" s="527">
        <v>10</v>
      </c>
      <c r="I40" s="526" t="str">
        <f t="shared" si="0"/>
        <v>2530-BLD-010</v>
      </c>
      <c r="J40" s="525" t="s">
        <v>5817</v>
      </c>
      <c r="K40" s="525"/>
      <c r="L40" s="519" t="s">
        <v>5805</v>
      </c>
      <c r="M40" s="519" t="s">
        <v>2969</v>
      </c>
      <c r="N40" s="560">
        <v>1</v>
      </c>
      <c r="O40" s="560" t="s">
        <v>154</v>
      </c>
      <c r="P40" s="564">
        <v>18</v>
      </c>
      <c r="Q40" s="564">
        <v>45</v>
      </c>
      <c r="R40" s="563">
        <v>12</v>
      </c>
      <c r="S40" s="498">
        <f t="shared" si="1"/>
        <v>810</v>
      </c>
      <c r="T40" s="498">
        <f t="shared" si="2"/>
        <v>810</v>
      </c>
      <c r="U40" s="498"/>
      <c r="V40" s="562" t="s">
        <v>5761</v>
      </c>
      <c r="W40" s="559" t="s">
        <v>5744</v>
      </c>
      <c r="X40" s="559" t="s">
        <v>5745</v>
      </c>
      <c r="Y40" s="561" t="s">
        <v>154</v>
      </c>
      <c r="Z40" s="561" t="s">
        <v>154</v>
      </c>
      <c r="AA40" s="561" t="s">
        <v>154</v>
      </c>
      <c r="AB40" s="561" t="s">
        <v>154</v>
      </c>
      <c r="AC40" s="561" t="s">
        <v>154</v>
      </c>
      <c r="AD40" s="560">
        <v>22</v>
      </c>
      <c r="AE40" s="561" t="s">
        <v>5746</v>
      </c>
      <c r="AF40" s="492" t="s">
        <v>5747</v>
      </c>
      <c r="AG40" s="557" t="s">
        <v>154</v>
      </c>
      <c r="AH40" s="557" t="s">
        <v>154</v>
      </c>
      <c r="AI40" s="559" t="s">
        <v>154</v>
      </c>
      <c r="AJ40" s="559" t="s">
        <v>154</v>
      </c>
      <c r="AK40" s="559" t="s">
        <v>154</v>
      </c>
      <c r="AL40" s="492" t="s">
        <v>5747</v>
      </c>
      <c r="AM40" s="559" t="s">
        <v>154</v>
      </c>
      <c r="AN40" s="559" t="s">
        <v>154</v>
      </c>
      <c r="AO40" s="559" t="s">
        <v>3454</v>
      </c>
      <c r="AP40" s="559" t="s">
        <v>5815</v>
      </c>
      <c r="AQ40" s="559" t="s">
        <v>154</v>
      </c>
      <c r="AR40" s="559" t="s">
        <v>154</v>
      </c>
      <c r="AS40" s="530">
        <v>2</v>
      </c>
      <c r="AT40" s="673" t="s">
        <v>5765</v>
      </c>
      <c r="AU40" s="530"/>
      <c r="AV40" s="530"/>
      <c r="AW40" s="530"/>
      <c r="AX40" s="556" t="s">
        <v>5747</v>
      </c>
      <c r="AY40" s="555"/>
      <c r="AZ40" s="556" t="s">
        <v>5747</v>
      </c>
      <c r="BA40" s="554"/>
      <c r="BB40" s="554"/>
      <c r="BC40" s="554"/>
      <c r="BD40" s="554"/>
      <c r="BE40" s="554">
        <v>1</v>
      </c>
      <c r="BF40" s="553"/>
      <c r="BG40" s="553"/>
      <c r="BH40" s="553"/>
      <c r="BI40" s="553"/>
    </row>
    <row r="41" spans="1:61" s="552" customFormat="1" ht="40" customHeight="1">
      <c r="A41" s="528"/>
      <c r="B41" s="522">
        <v>2530</v>
      </c>
      <c r="C41" s="566" t="s">
        <v>119</v>
      </c>
      <c r="D41" s="565" t="s">
        <v>452</v>
      </c>
      <c r="E41" s="2371" t="s">
        <v>701</v>
      </c>
      <c r="F41" s="2371"/>
      <c r="G41" s="2371"/>
      <c r="H41" s="527">
        <v>11</v>
      </c>
      <c r="I41" s="526" t="str">
        <f t="shared" si="0"/>
        <v>2530-BLD-011</v>
      </c>
      <c r="J41" s="525" t="s">
        <v>5818</v>
      </c>
      <c r="K41" s="525"/>
      <c r="L41" s="519" t="s">
        <v>5805</v>
      </c>
      <c r="M41" s="519" t="s">
        <v>2969</v>
      </c>
      <c r="N41" s="560">
        <v>1</v>
      </c>
      <c r="O41" s="560" t="s">
        <v>154</v>
      </c>
      <c r="P41" s="564">
        <v>8</v>
      </c>
      <c r="Q41" s="564">
        <v>40</v>
      </c>
      <c r="R41" s="563">
        <v>10</v>
      </c>
      <c r="S41" s="498">
        <f t="shared" si="1"/>
        <v>320</v>
      </c>
      <c r="T41" s="498">
        <f t="shared" si="2"/>
        <v>320</v>
      </c>
      <c r="U41" s="498"/>
      <c r="V41" s="562" t="s">
        <v>5743</v>
      </c>
      <c r="W41" s="559" t="s">
        <v>5744</v>
      </c>
      <c r="X41" s="559" t="s">
        <v>5745</v>
      </c>
      <c r="Y41" s="561" t="s">
        <v>154</v>
      </c>
      <c r="Z41" s="561" t="s">
        <v>154</v>
      </c>
      <c r="AA41" s="561" t="s">
        <v>154</v>
      </c>
      <c r="AB41" s="561" t="s">
        <v>154</v>
      </c>
      <c r="AC41" s="561" t="s">
        <v>154</v>
      </c>
      <c r="AD41" s="560">
        <v>22</v>
      </c>
      <c r="AE41" s="561" t="s">
        <v>5746</v>
      </c>
      <c r="AF41" s="492" t="s">
        <v>5747</v>
      </c>
      <c r="AG41" s="557" t="s">
        <v>154</v>
      </c>
      <c r="AH41" s="557" t="s">
        <v>154</v>
      </c>
      <c r="AI41" s="559" t="s">
        <v>154</v>
      </c>
      <c r="AJ41" s="559" t="s">
        <v>154</v>
      </c>
      <c r="AK41" s="559" t="s">
        <v>154</v>
      </c>
      <c r="AL41" s="559" t="s">
        <v>154</v>
      </c>
      <c r="AM41" s="559" t="s">
        <v>154</v>
      </c>
      <c r="AN41" s="559" t="s">
        <v>154</v>
      </c>
      <c r="AO41" s="559" t="s">
        <v>3454</v>
      </c>
      <c r="AP41" s="559" t="s">
        <v>154</v>
      </c>
      <c r="AQ41" s="559" t="s">
        <v>154</v>
      </c>
      <c r="AR41" s="559" t="s">
        <v>154</v>
      </c>
      <c r="AS41" s="559"/>
      <c r="AT41" s="567"/>
      <c r="AU41" s="559"/>
      <c r="AV41" s="559"/>
      <c r="AW41" s="559"/>
      <c r="AX41" s="556"/>
      <c r="AY41" s="555"/>
      <c r="AZ41" s="555"/>
      <c r="BA41" s="554"/>
      <c r="BB41" s="554"/>
      <c r="BC41" s="554"/>
      <c r="BD41" s="554"/>
      <c r="BE41" s="554"/>
      <c r="BF41" s="553"/>
      <c r="BG41" s="553"/>
      <c r="BH41" s="553"/>
      <c r="BI41" s="553"/>
    </row>
    <row r="42" spans="1:61" ht="40" customHeight="1">
      <c r="A42" s="507"/>
      <c r="B42" s="506">
        <v>2540</v>
      </c>
      <c r="C42" s="505" t="s">
        <v>119</v>
      </c>
      <c r="D42" s="504" t="s">
        <v>452</v>
      </c>
      <c r="E42" s="2369" t="s">
        <v>1882</v>
      </c>
      <c r="F42" s="2369"/>
      <c r="G42" s="2369"/>
      <c r="H42" s="503">
        <v>1</v>
      </c>
      <c r="I42" s="502" t="str">
        <f t="shared" si="0"/>
        <v>2540-BLD-001</v>
      </c>
      <c r="J42" s="501" t="s">
        <v>5819</v>
      </c>
      <c r="K42" s="501"/>
      <c r="L42" s="493" t="s">
        <v>4168</v>
      </c>
      <c r="M42" s="493" t="s">
        <v>2969</v>
      </c>
      <c r="N42" s="494">
        <v>1</v>
      </c>
      <c r="O42" s="529">
        <v>2</v>
      </c>
      <c r="P42" s="500">
        <v>60</v>
      </c>
      <c r="Q42" s="500">
        <v>80</v>
      </c>
      <c r="R42" s="499">
        <v>20</v>
      </c>
      <c r="S42" s="497">
        <f t="shared" si="1"/>
        <v>4800</v>
      </c>
      <c r="T42" s="498">
        <f t="shared" si="2"/>
        <v>4800</v>
      </c>
      <c r="U42" s="497" t="s">
        <v>5820</v>
      </c>
      <c r="V42" s="496" t="s">
        <v>5792</v>
      </c>
      <c r="W42" s="489" t="s">
        <v>5793</v>
      </c>
      <c r="X42" s="489" t="s">
        <v>5794</v>
      </c>
      <c r="Y42" s="495" t="s">
        <v>154</v>
      </c>
      <c r="Z42" s="495" t="s">
        <v>154</v>
      </c>
      <c r="AA42" s="495" t="s">
        <v>154</v>
      </c>
      <c r="AB42" s="495" t="s">
        <v>154</v>
      </c>
      <c r="AC42" s="495" t="s">
        <v>154</v>
      </c>
      <c r="AD42" s="494">
        <v>5</v>
      </c>
      <c r="AE42" s="495" t="s">
        <v>3454</v>
      </c>
      <c r="AF42" s="492" t="s">
        <v>5747</v>
      </c>
      <c r="AG42" s="491" t="s">
        <v>154</v>
      </c>
      <c r="AH42" s="491" t="s">
        <v>154</v>
      </c>
      <c r="AI42" s="489" t="s">
        <v>154</v>
      </c>
      <c r="AJ42" s="489" t="s">
        <v>154</v>
      </c>
      <c r="AK42" s="489" t="s">
        <v>154</v>
      </c>
      <c r="AL42" s="491" t="s">
        <v>154</v>
      </c>
      <c r="AM42" s="492" t="s">
        <v>5747</v>
      </c>
      <c r="AN42" s="491" t="s">
        <v>154</v>
      </c>
      <c r="AO42" s="489" t="s">
        <v>3454</v>
      </c>
      <c r="AP42" s="489" t="s">
        <v>5815</v>
      </c>
      <c r="AQ42" s="489" t="s">
        <v>154</v>
      </c>
      <c r="AR42" s="489" t="s">
        <v>154</v>
      </c>
      <c r="AS42" s="530">
        <v>4</v>
      </c>
      <c r="AT42" s="488" t="s">
        <v>5789</v>
      </c>
      <c r="AU42" s="487" t="s">
        <v>5762</v>
      </c>
      <c r="AV42" s="487"/>
      <c r="AW42" s="530"/>
      <c r="AX42" s="570" t="s">
        <v>5747</v>
      </c>
      <c r="AY42" s="569"/>
      <c r="AZ42" s="556" t="s">
        <v>5747</v>
      </c>
      <c r="BA42" s="568"/>
      <c r="BB42" s="568"/>
      <c r="BC42" s="568"/>
      <c r="BD42" s="568"/>
      <c r="BE42" s="568">
        <v>1</v>
      </c>
      <c r="BF42" s="568"/>
      <c r="BG42" s="568"/>
      <c r="BH42" s="568"/>
      <c r="BI42" s="457"/>
    </row>
    <row r="43" spans="1:61" s="552" customFormat="1" ht="40" customHeight="1">
      <c r="A43" s="507"/>
      <c r="B43" s="522">
        <v>2540</v>
      </c>
      <c r="C43" s="566" t="s">
        <v>119</v>
      </c>
      <c r="D43" s="565" t="s">
        <v>452</v>
      </c>
      <c r="E43" s="2371" t="s">
        <v>1882</v>
      </c>
      <c r="F43" s="2371"/>
      <c r="G43" s="2371"/>
      <c r="H43" s="527">
        <v>2</v>
      </c>
      <c r="I43" s="526" t="s">
        <v>804</v>
      </c>
      <c r="J43" s="525" t="s">
        <v>5821</v>
      </c>
      <c r="K43" s="525" t="s">
        <v>5822</v>
      </c>
      <c r="L43" s="519" t="s">
        <v>5215</v>
      </c>
      <c r="M43" s="519" t="s">
        <v>2969</v>
      </c>
      <c r="N43" s="560">
        <v>1</v>
      </c>
      <c r="O43" s="560" t="s">
        <v>154</v>
      </c>
      <c r="P43" s="564">
        <v>20</v>
      </c>
      <c r="Q43" s="564">
        <v>28</v>
      </c>
      <c r="R43" s="563">
        <v>10</v>
      </c>
      <c r="S43" s="498">
        <f t="shared" si="1"/>
        <v>560</v>
      </c>
      <c r="T43" s="498">
        <f t="shared" si="2"/>
        <v>560</v>
      </c>
      <c r="U43" s="498"/>
      <c r="V43" s="562" t="s">
        <v>5786</v>
      </c>
      <c r="W43" s="559" t="s">
        <v>5744</v>
      </c>
      <c r="X43" s="559" t="s">
        <v>5745</v>
      </c>
      <c r="Y43" s="561" t="s">
        <v>154</v>
      </c>
      <c r="Z43" s="561" t="s">
        <v>154</v>
      </c>
      <c r="AA43" s="561" t="s">
        <v>154</v>
      </c>
      <c r="AB43" s="561" t="s">
        <v>154</v>
      </c>
      <c r="AC43" s="561" t="s">
        <v>154</v>
      </c>
      <c r="AD43" s="560">
        <v>5</v>
      </c>
      <c r="AE43" s="561" t="s">
        <v>5746</v>
      </c>
      <c r="AF43" s="559"/>
      <c r="AG43" s="557"/>
      <c r="AH43" s="557"/>
      <c r="AI43" s="559"/>
      <c r="AJ43" s="559"/>
      <c r="AK43" s="559"/>
      <c r="AL43" s="557"/>
      <c r="AM43" s="559"/>
      <c r="AN43" s="557"/>
      <c r="AO43" s="559" t="s">
        <v>3454</v>
      </c>
      <c r="AP43" s="559" t="s">
        <v>5774</v>
      </c>
      <c r="AQ43" s="559" t="s">
        <v>154</v>
      </c>
      <c r="AR43" s="559" t="s">
        <v>154</v>
      </c>
      <c r="AS43" s="559"/>
      <c r="AT43" s="567"/>
      <c r="AU43" s="559"/>
      <c r="AV43" s="559"/>
      <c r="AW43" s="559"/>
      <c r="AX43" s="556"/>
      <c r="AY43" s="555"/>
      <c r="AZ43" s="556" t="s">
        <v>5747</v>
      </c>
      <c r="BA43" s="554"/>
      <c r="BB43" s="554"/>
      <c r="BC43" s="554"/>
      <c r="BD43" s="554"/>
      <c r="BE43" s="554"/>
      <c r="BF43" s="554"/>
      <c r="BG43" s="554"/>
      <c r="BH43" s="554"/>
      <c r="BI43" s="574"/>
    </row>
    <row r="44" spans="1:61" s="552" customFormat="1" ht="24" customHeight="1">
      <c r="A44" s="507"/>
      <c r="B44" s="522">
        <v>2613</v>
      </c>
      <c r="C44" s="566" t="s">
        <v>119</v>
      </c>
      <c r="D44" s="565" t="s">
        <v>3520</v>
      </c>
      <c r="E44" s="2371" t="s">
        <v>5823</v>
      </c>
      <c r="F44" s="2371"/>
      <c r="G44" s="2371"/>
      <c r="H44" s="527">
        <v>1</v>
      </c>
      <c r="I44" s="526" t="s">
        <v>866</v>
      </c>
      <c r="J44" s="525" t="s">
        <v>5824</v>
      </c>
      <c r="K44" s="525" t="s">
        <v>5825</v>
      </c>
      <c r="L44" s="519" t="s">
        <v>154</v>
      </c>
      <c r="M44" s="519" t="s">
        <v>2969</v>
      </c>
      <c r="N44" s="560">
        <v>1</v>
      </c>
      <c r="O44" s="560" t="s">
        <v>154</v>
      </c>
      <c r="P44" s="563">
        <v>8</v>
      </c>
      <c r="Q44" s="563">
        <v>20</v>
      </c>
      <c r="R44" s="563">
        <v>8</v>
      </c>
      <c r="S44" s="498">
        <f t="shared" si="1"/>
        <v>160</v>
      </c>
      <c r="T44" s="498">
        <f t="shared" si="2"/>
        <v>160</v>
      </c>
      <c r="U44" s="498"/>
      <c r="V44" s="519" t="s">
        <v>5743</v>
      </c>
      <c r="W44" s="518" t="s">
        <v>5744</v>
      </c>
      <c r="X44" s="518" t="s">
        <v>5745</v>
      </c>
      <c r="Y44" s="561" t="s">
        <v>154</v>
      </c>
      <c r="Z44" s="561" t="s">
        <v>154</v>
      </c>
      <c r="AA44" s="561" t="s">
        <v>154</v>
      </c>
      <c r="AB44" s="561" t="s">
        <v>154</v>
      </c>
      <c r="AC44" s="561" t="s">
        <v>154</v>
      </c>
      <c r="AD44" s="560"/>
      <c r="AE44" s="561"/>
      <c r="AF44" s="559"/>
      <c r="AG44" s="557"/>
      <c r="AH44" s="557"/>
      <c r="AI44" s="559"/>
      <c r="AJ44" s="559"/>
      <c r="AK44" s="559"/>
      <c r="AL44" s="557"/>
      <c r="AM44" s="559"/>
      <c r="AN44" s="557"/>
      <c r="AO44" s="559"/>
      <c r="AP44" s="559" t="s">
        <v>5750</v>
      </c>
      <c r="AQ44" s="559" t="s">
        <v>154</v>
      </c>
      <c r="AR44" s="559" t="s">
        <v>154</v>
      </c>
      <c r="AS44" s="530">
        <v>2</v>
      </c>
      <c r="AT44" s="488" t="s">
        <v>5826</v>
      </c>
      <c r="AU44" s="530"/>
      <c r="AV44" s="530"/>
      <c r="AW44" s="530"/>
      <c r="AX44" s="556"/>
      <c r="AY44" s="555"/>
      <c r="AZ44" s="556" t="s">
        <v>5747</v>
      </c>
      <c r="BA44" s="554"/>
      <c r="BB44" s="554"/>
      <c r="BC44" s="554"/>
      <c r="BD44" s="554"/>
      <c r="BE44" s="554"/>
      <c r="BF44" s="554"/>
      <c r="BG44" s="554"/>
      <c r="BH44" s="554"/>
      <c r="BI44" s="574"/>
    </row>
    <row r="45" spans="1:61" s="552" customFormat="1" ht="24" customHeight="1">
      <c r="A45" s="528"/>
      <c r="B45" s="522">
        <v>2613</v>
      </c>
      <c r="C45" s="566" t="s">
        <v>119</v>
      </c>
      <c r="D45" s="565" t="s">
        <v>3520</v>
      </c>
      <c r="E45" s="2371" t="s">
        <v>5823</v>
      </c>
      <c r="F45" s="2371"/>
      <c r="G45" s="2371"/>
      <c r="H45" s="527">
        <v>2</v>
      </c>
      <c r="I45" s="526" t="s">
        <v>864</v>
      </c>
      <c r="J45" s="525" t="s">
        <v>5824</v>
      </c>
      <c r="K45" s="525"/>
      <c r="L45" s="519" t="s">
        <v>5827</v>
      </c>
      <c r="M45" s="519" t="s">
        <v>2969</v>
      </c>
      <c r="N45" s="560">
        <v>1</v>
      </c>
      <c r="O45" s="560" t="s">
        <v>154</v>
      </c>
      <c r="P45" s="564">
        <v>8</v>
      </c>
      <c r="Q45" s="564">
        <v>40</v>
      </c>
      <c r="R45" s="563">
        <v>8</v>
      </c>
      <c r="S45" s="498">
        <f t="shared" si="1"/>
        <v>320</v>
      </c>
      <c r="T45" s="498">
        <f t="shared" si="2"/>
        <v>320</v>
      </c>
      <c r="U45" s="498"/>
      <c r="V45" s="562" t="s">
        <v>5743</v>
      </c>
      <c r="W45" s="559" t="s">
        <v>5744</v>
      </c>
      <c r="X45" s="559" t="s">
        <v>5745</v>
      </c>
      <c r="Y45" s="561" t="s">
        <v>154</v>
      </c>
      <c r="Z45" s="561" t="s">
        <v>154</v>
      </c>
      <c r="AA45" s="561" t="s">
        <v>154</v>
      </c>
      <c r="AB45" s="561" t="s">
        <v>154</v>
      </c>
      <c r="AC45" s="561" t="s">
        <v>154</v>
      </c>
      <c r="AD45" s="560"/>
      <c r="AE45" s="561"/>
      <c r="AF45" s="559"/>
      <c r="AG45" s="557"/>
      <c r="AH45" s="557"/>
      <c r="AI45" s="559"/>
      <c r="AJ45" s="559"/>
      <c r="AK45" s="559"/>
      <c r="AL45" s="557"/>
      <c r="AM45" s="559"/>
      <c r="AN45" s="557"/>
      <c r="AO45" s="559"/>
      <c r="AP45" s="559" t="s">
        <v>5750</v>
      </c>
      <c r="AQ45" s="559" t="s">
        <v>154</v>
      </c>
      <c r="AR45" s="559" t="s">
        <v>154</v>
      </c>
      <c r="AS45" s="530">
        <v>2</v>
      </c>
      <c r="AT45" s="488" t="s">
        <v>5828</v>
      </c>
      <c r="AU45" s="530"/>
      <c r="AV45" s="530"/>
      <c r="AW45" s="530"/>
      <c r="AX45" s="556"/>
      <c r="AY45" s="555"/>
      <c r="AZ45" s="556" t="s">
        <v>5747</v>
      </c>
      <c r="BA45" s="554"/>
      <c r="BB45" s="554"/>
      <c r="BC45" s="554"/>
      <c r="BD45" s="554"/>
      <c r="BE45" s="554"/>
      <c r="BF45" s="554"/>
      <c r="BG45" s="554"/>
      <c r="BH45" s="554"/>
      <c r="BI45" s="574"/>
    </row>
    <row r="46" spans="1:61" s="552" customFormat="1" ht="24" customHeight="1">
      <c r="A46" s="528"/>
      <c r="B46" s="522">
        <v>2614</v>
      </c>
      <c r="C46" s="566" t="s">
        <v>119</v>
      </c>
      <c r="D46" s="565" t="s">
        <v>3520</v>
      </c>
      <c r="E46" s="2371" t="s">
        <v>5823</v>
      </c>
      <c r="F46" s="2371"/>
      <c r="G46" s="2371"/>
      <c r="H46" s="527">
        <v>1</v>
      </c>
      <c r="I46" s="526" t="s">
        <v>895</v>
      </c>
      <c r="J46" s="525" t="s">
        <v>5829</v>
      </c>
      <c r="K46" s="525"/>
      <c r="L46" s="519" t="s">
        <v>5827</v>
      </c>
      <c r="M46" s="519" t="s">
        <v>2969</v>
      </c>
      <c r="N46" s="560">
        <v>1</v>
      </c>
      <c r="O46" s="560" t="s">
        <v>154</v>
      </c>
      <c r="P46" s="564">
        <v>8</v>
      </c>
      <c r="Q46" s="564">
        <v>20</v>
      </c>
      <c r="R46" s="563">
        <v>8</v>
      </c>
      <c r="S46" s="498">
        <f t="shared" si="1"/>
        <v>160</v>
      </c>
      <c r="T46" s="498">
        <f t="shared" si="2"/>
        <v>160</v>
      </c>
      <c r="U46" s="498"/>
      <c r="V46" s="562" t="s">
        <v>5743</v>
      </c>
      <c r="W46" s="559" t="s">
        <v>5744</v>
      </c>
      <c r="X46" s="559" t="s">
        <v>5745</v>
      </c>
      <c r="Y46" s="561" t="s">
        <v>154</v>
      </c>
      <c r="Z46" s="561" t="s">
        <v>154</v>
      </c>
      <c r="AA46" s="561" t="s">
        <v>154</v>
      </c>
      <c r="AB46" s="561" t="s">
        <v>154</v>
      </c>
      <c r="AC46" s="561" t="s">
        <v>154</v>
      </c>
      <c r="AD46" s="560"/>
      <c r="AE46" s="561"/>
      <c r="AF46" s="559"/>
      <c r="AG46" s="557"/>
      <c r="AH46" s="557"/>
      <c r="AI46" s="559"/>
      <c r="AJ46" s="559"/>
      <c r="AK46" s="559"/>
      <c r="AL46" s="557"/>
      <c r="AM46" s="559"/>
      <c r="AN46" s="557"/>
      <c r="AO46" s="559"/>
      <c r="AP46" s="559" t="s">
        <v>5750</v>
      </c>
      <c r="AQ46" s="559" t="s">
        <v>154</v>
      </c>
      <c r="AR46" s="559" t="s">
        <v>154</v>
      </c>
      <c r="AS46" s="530">
        <v>2</v>
      </c>
      <c r="AT46" s="488" t="s">
        <v>5828</v>
      </c>
      <c r="AU46" s="530"/>
      <c r="AV46" s="530"/>
      <c r="AW46" s="530"/>
      <c r="AX46" s="556"/>
      <c r="AY46" s="555"/>
      <c r="AZ46" s="556" t="s">
        <v>5747</v>
      </c>
      <c r="BA46" s="554"/>
      <c r="BB46" s="554"/>
      <c r="BC46" s="554"/>
      <c r="BD46" s="554"/>
      <c r="BE46" s="554"/>
      <c r="BF46" s="554"/>
      <c r="BG46" s="554"/>
      <c r="BH46" s="554"/>
      <c r="BI46" s="574"/>
    </row>
    <row r="47" spans="1:61" s="552" customFormat="1" ht="24" customHeight="1">
      <c r="A47" s="528"/>
      <c r="B47" s="522">
        <v>2615</v>
      </c>
      <c r="C47" s="566" t="s">
        <v>119</v>
      </c>
      <c r="D47" s="565" t="s">
        <v>3520</v>
      </c>
      <c r="E47" s="2371" t="s">
        <v>5830</v>
      </c>
      <c r="F47" s="2371"/>
      <c r="G47" s="2371"/>
      <c r="H47" s="527">
        <v>1</v>
      </c>
      <c r="I47" s="526" t="str">
        <f>B47&amp;"-BLD-"&amp;TEXT(H47,"000")</f>
        <v>2615-BLD-001</v>
      </c>
      <c r="J47" s="525" t="s">
        <v>5831</v>
      </c>
      <c r="K47" s="525"/>
      <c r="L47" s="519" t="s">
        <v>5832</v>
      </c>
      <c r="M47" s="519" t="s">
        <v>2969</v>
      </c>
      <c r="N47" s="560">
        <v>1</v>
      </c>
      <c r="O47" s="560" t="s">
        <v>154</v>
      </c>
      <c r="P47" s="564">
        <v>17</v>
      </c>
      <c r="Q47" s="564">
        <v>20</v>
      </c>
      <c r="R47" s="563">
        <v>8</v>
      </c>
      <c r="S47" s="498">
        <f t="shared" si="1"/>
        <v>340</v>
      </c>
      <c r="T47" s="498">
        <f t="shared" si="2"/>
        <v>340</v>
      </c>
      <c r="U47" s="498"/>
      <c r="V47" s="562" t="s">
        <v>5792</v>
      </c>
      <c r="W47" s="559" t="s">
        <v>5793</v>
      </c>
      <c r="X47" s="559" t="s">
        <v>5745</v>
      </c>
      <c r="Y47" s="561" t="s">
        <v>154</v>
      </c>
      <c r="Z47" s="561" t="s">
        <v>154</v>
      </c>
      <c r="AA47" s="561" t="s">
        <v>154</v>
      </c>
      <c r="AB47" s="561" t="s">
        <v>154</v>
      </c>
      <c r="AC47" s="561" t="s">
        <v>154</v>
      </c>
      <c r="AD47" s="560" t="s">
        <v>5833</v>
      </c>
      <c r="AE47" s="561" t="s">
        <v>154</v>
      </c>
      <c r="AF47" s="559" t="s">
        <v>154</v>
      </c>
      <c r="AG47" s="559" t="s">
        <v>154</v>
      </c>
      <c r="AH47" s="559" t="s">
        <v>154</v>
      </c>
      <c r="AI47" s="559" t="s">
        <v>154</v>
      </c>
      <c r="AJ47" s="559" t="s">
        <v>154</v>
      </c>
      <c r="AK47" s="559" t="s">
        <v>154</v>
      </c>
      <c r="AL47" s="559" t="s">
        <v>154</v>
      </c>
      <c r="AM47" s="559" t="s">
        <v>154</v>
      </c>
      <c r="AN47" s="559" t="s">
        <v>154</v>
      </c>
      <c r="AO47" s="559" t="s">
        <v>154</v>
      </c>
      <c r="AP47" s="559" t="s">
        <v>154</v>
      </c>
      <c r="AQ47" s="559" t="s">
        <v>154</v>
      </c>
      <c r="AR47" s="559" t="s">
        <v>154</v>
      </c>
      <c r="AS47" s="559"/>
      <c r="AT47" s="567"/>
      <c r="AU47" s="559"/>
      <c r="AV47" s="559"/>
      <c r="AW47" s="559"/>
      <c r="AX47" s="556"/>
      <c r="AY47" s="555"/>
      <c r="AZ47" s="555"/>
      <c r="BA47" s="554"/>
      <c r="BB47" s="554"/>
      <c r="BC47" s="554"/>
      <c r="BD47" s="554"/>
      <c r="BE47" s="554"/>
      <c r="BF47" s="554"/>
      <c r="BG47" s="554"/>
      <c r="BH47" s="554"/>
      <c r="BI47" s="574"/>
    </row>
    <row r="48" spans="1:61" ht="24" customHeight="1">
      <c r="A48" s="507"/>
      <c r="B48" s="506">
        <v>2720</v>
      </c>
      <c r="C48" s="505" t="s">
        <v>119</v>
      </c>
      <c r="D48" s="504" t="s">
        <v>5834</v>
      </c>
      <c r="E48" s="2369" t="s">
        <v>923</v>
      </c>
      <c r="F48" s="2369"/>
      <c r="G48" s="2369"/>
      <c r="H48" s="503">
        <v>1</v>
      </c>
      <c r="I48" s="502" t="str">
        <f>B48&amp;"-BLD-"&amp;TEXT(H48,"000")</f>
        <v>2720-BLD-001</v>
      </c>
      <c r="J48" s="501" t="s">
        <v>5835</v>
      </c>
      <c r="K48" s="501"/>
      <c r="L48" s="493" t="s">
        <v>4168</v>
      </c>
      <c r="M48" s="493" t="s">
        <v>2969</v>
      </c>
      <c r="N48" s="494">
        <v>1</v>
      </c>
      <c r="O48" s="529">
        <v>2</v>
      </c>
      <c r="P48" s="500">
        <v>60</v>
      </c>
      <c r="Q48" s="500">
        <v>70</v>
      </c>
      <c r="R48" s="499">
        <v>20</v>
      </c>
      <c r="S48" s="497">
        <f t="shared" si="1"/>
        <v>4200</v>
      </c>
      <c r="T48" s="498">
        <f t="shared" si="2"/>
        <v>4200</v>
      </c>
      <c r="U48" s="497" t="s">
        <v>5791</v>
      </c>
      <c r="V48" s="496" t="s">
        <v>5792</v>
      </c>
      <c r="W48" s="489" t="s">
        <v>5793</v>
      </c>
      <c r="X48" s="489" t="s">
        <v>5836</v>
      </c>
      <c r="Y48" s="495" t="s">
        <v>154</v>
      </c>
      <c r="Z48" s="495" t="s">
        <v>154</v>
      </c>
      <c r="AA48" s="495" t="s">
        <v>154</v>
      </c>
      <c r="AB48" s="495" t="s">
        <v>154</v>
      </c>
      <c r="AC48" s="495" t="s">
        <v>154</v>
      </c>
      <c r="AD48" s="494">
        <v>5</v>
      </c>
      <c r="AE48" s="495" t="s">
        <v>3454</v>
      </c>
      <c r="AF48" s="492" t="s">
        <v>5747</v>
      </c>
      <c r="AG48" s="491" t="s">
        <v>154</v>
      </c>
      <c r="AH48" s="489" t="s">
        <v>5769</v>
      </c>
      <c r="AI48" s="489" t="s">
        <v>154</v>
      </c>
      <c r="AJ48" s="489" t="s">
        <v>154</v>
      </c>
      <c r="AK48" s="489" t="s">
        <v>154</v>
      </c>
      <c r="AL48" s="491" t="s">
        <v>154</v>
      </c>
      <c r="AM48" s="492" t="s">
        <v>5747</v>
      </c>
      <c r="AN48" s="491" t="s">
        <v>154</v>
      </c>
      <c r="AO48" s="489" t="s">
        <v>3454</v>
      </c>
      <c r="AP48" s="489" t="s">
        <v>5750</v>
      </c>
      <c r="AQ48" s="489" t="s">
        <v>154</v>
      </c>
      <c r="AR48" s="489" t="s">
        <v>154</v>
      </c>
      <c r="AS48" s="530">
        <v>4</v>
      </c>
      <c r="AT48" s="488" t="s">
        <v>5789</v>
      </c>
      <c r="AU48" s="487" t="s">
        <v>5762</v>
      </c>
      <c r="AV48" s="487"/>
      <c r="AW48" s="530"/>
      <c r="AX48" s="570" t="s">
        <v>5747</v>
      </c>
      <c r="AY48" s="569"/>
      <c r="AZ48" s="556" t="s">
        <v>5747</v>
      </c>
      <c r="BA48" s="568"/>
      <c r="BB48" s="568"/>
      <c r="BC48" s="568"/>
      <c r="BD48" s="568"/>
      <c r="BE48" s="568">
        <v>1</v>
      </c>
      <c r="BF48" s="568"/>
      <c r="BG48" s="568"/>
      <c r="BH48" s="568"/>
      <c r="BI48" s="457"/>
    </row>
    <row r="49" spans="1:61" ht="24" customHeight="1">
      <c r="A49" s="507"/>
      <c r="B49" s="506">
        <v>2731</v>
      </c>
      <c r="C49" s="505" t="s">
        <v>119</v>
      </c>
      <c r="D49" s="504" t="s">
        <v>5834</v>
      </c>
      <c r="E49" s="2369" t="s">
        <v>958</v>
      </c>
      <c r="F49" s="2369"/>
      <c r="G49" s="2369"/>
      <c r="H49" s="503">
        <v>1</v>
      </c>
      <c r="I49" s="502" t="str">
        <f>B49&amp;"-BLD-"&amp;TEXT(H49,"000")</f>
        <v>2731-BLD-001</v>
      </c>
      <c r="J49" s="501" t="s">
        <v>5837</v>
      </c>
      <c r="K49" s="501"/>
      <c r="L49" s="493" t="s">
        <v>5838</v>
      </c>
      <c r="M49" s="519" t="s">
        <v>2969</v>
      </c>
      <c r="N49" s="494">
        <v>1</v>
      </c>
      <c r="O49" s="494" t="s">
        <v>154</v>
      </c>
      <c r="P49" s="500">
        <v>8</v>
      </c>
      <c r="Q49" s="500">
        <v>40</v>
      </c>
      <c r="R49" s="499">
        <v>8</v>
      </c>
      <c r="S49" s="497">
        <f t="shared" si="1"/>
        <v>320</v>
      </c>
      <c r="T49" s="498">
        <f t="shared" si="2"/>
        <v>320</v>
      </c>
      <c r="U49" s="497"/>
      <c r="V49" s="496" t="s">
        <v>5743</v>
      </c>
      <c r="W49" s="489" t="s">
        <v>5744</v>
      </c>
      <c r="X49" s="489" t="s">
        <v>5745</v>
      </c>
      <c r="Y49" s="495" t="s">
        <v>154</v>
      </c>
      <c r="Z49" s="495" t="s">
        <v>154</v>
      </c>
      <c r="AA49" s="495" t="s">
        <v>154</v>
      </c>
      <c r="AB49" s="495" t="s">
        <v>154</v>
      </c>
      <c r="AC49" s="495" t="s">
        <v>154</v>
      </c>
      <c r="AD49" s="494">
        <v>5</v>
      </c>
      <c r="AE49" s="495" t="s">
        <v>5746</v>
      </c>
      <c r="AF49" s="492" t="s">
        <v>5747</v>
      </c>
      <c r="AG49" s="489" t="s">
        <v>154</v>
      </c>
      <c r="AH49" s="489" t="s">
        <v>154</v>
      </c>
      <c r="AI49" s="489" t="s">
        <v>154</v>
      </c>
      <c r="AJ49" s="489" t="s">
        <v>154</v>
      </c>
      <c r="AK49" s="489" t="s">
        <v>154</v>
      </c>
      <c r="AL49" s="489" t="s">
        <v>154</v>
      </c>
      <c r="AM49" s="492" t="s">
        <v>5747</v>
      </c>
      <c r="AN49" s="489" t="s">
        <v>154</v>
      </c>
      <c r="AO49" s="489" t="s">
        <v>3454</v>
      </c>
      <c r="AP49" s="489" t="s">
        <v>154</v>
      </c>
      <c r="AQ49" s="489" t="s">
        <v>154</v>
      </c>
      <c r="AR49" s="489" t="s">
        <v>154</v>
      </c>
      <c r="AS49" s="530"/>
      <c r="AT49" s="488"/>
      <c r="AU49" s="487" t="s">
        <v>5839</v>
      </c>
      <c r="AV49" s="487"/>
      <c r="AW49" s="530"/>
      <c r="AX49" s="570"/>
      <c r="AY49" s="569"/>
      <c r="AZ49" s="556"/>
      <c r="BA49" s="568"/>
      <c r="BB49" s="568"/>
      <c r="BC49" s="568"/>
      <c r="BD49" s="568"/>
      <c r="BE49" s="568"/>
      <c r="BF49" s="568"/>
      <c r="BG49" s="568"/>
      <c r="BH49" s="568"/>
      <c r="BI49" s="457"/>
    </row>
    <row r="50" spans="1:61" s="552" customFormat="1" ht="24" customHeight="1">
      <c r="A50" s="507"/>
      <c r="B50" s="522">
        <v>2731</v>
      </c>
      <c r="C50" s="566" t="s">
        <v>119</v>
      </c>
      <c r="D50" s="565" t="s">
        <v>5834</v>
      </c>
      <c r="E50" s="2371" t="s">
        <v>958</v>
      </c>
      <c r="F50" s="2371"/>
      <c r="G50" s="2371"/>
      <c r="H50" s="527">
        <v>5</v>
      </c>
      <c r="I50" s="526" t="s">
        <v>971</v>
      </c>
      <c r="J50" s="525" t="s">
        <v>978</v>
      </c>
      <c r="K50" s="525"/>
      <c r="L50" s="519" t="s">
        <v>5838</v>
      </c>
      <c r="M50" s="515" t="s">
        <v>5840</v>
      </c>
      <c r="N50" s="560">
        <v>1</v>
      </c>
      <c r="O50" s="560" t="s">
        <v>154</v>
      </c>
      <c r="P50" s="564">
        <v>24</v>
      </c>
      <c r="Q50" s="564">
        <v>80</v>
      </c>
      <c r="R50" s="563">
        <v>10</v>
      </c>
      <c r="S50" s="498">
        <f t="shared" ref="S50:S68" si="3">PRODUCT(Q50,P50)</f>
        <v>1920</v>
      </c>
      <c r="T50" s="498">
        <f t="shared" ref="T50:T68" si="4">S50</f>
        <v>1920</v>
      </c>
      <c r="U50" s="498"/>
      <c r="V50" s="562" t="s">
        <v>5786</v>
      </c>
      <c r="W50" s="559" t="s">
        <v>5744</v>
      </c>
      <c r="X50" s="559" t="s">
        <v>5745</v>
      </c>
      <c r="Y50" s="495" t="s">
        <v>154</v>
      </c>
      <c r="Z50" s="495" t="s">
        <v>154</v>
      </c>
      <c r="AA50" s="495" t="s">
        <v>154</v>
      </c>
      <c r="AB50" s="495" t="s">
        <v>154</v>
      </c>
      <c r="AC50" s="495" t="s">
        <v>154</v>
      </c>
      <c r="AD50" s="560"/>
      <c r="AE50" s="561"/>
      <c r="AF50" s="492" t="s">
        <v>5747</v>
      </c>
      <c r="AG50" s="559" t="s">
        <v>154</v>
      </c>
      <c r="AH50" s="559"/>
      <c r="AI50" s="559"/>
      <c r="AJ50" s="559"/>
      <c r="AK50" s="559"/>
      <c r="AL50" s="557"/>
      <c r="AM50" s="559"/>
      <c r="AN50" s="557"/>
      <c r="AO50" s="559"/>
      <c r="AP50" s="559" t="s">
        <v>5774</v>
      </c>
      <c r="AQ50" s="559" t="s">
        <v>154</v>
      </c>
      <c r="AR50" s="559" t="s">
        <v>154</v>
      </c>
      <c r="AS50" s="530"/>
      <c r="AT50" s="488" t="s">
        <v>5757</v>
      </c>
      <c r="AU50" s="530"/>
      <c r="AV50" s="530"/>
      <c r="AW50" s="530"/>
      <c r="AX50" s="556"/>
      <c r="AY50" s="555"/>
      <c r="AZ50" s="556" t="s">
        <v>5747</v>
      </c>
      <c r="BA50" s="554"/>
      <c r="BB50" s="554"/>
      <c r="BC50" s="554"/>
      <c r="BD50" s="554"/>
      <c r="BE50" s="554"/>
      <c r="BF50" s="554"/>
      <c r="BG50" s="554"/>
      <c r="BH50" s="554"/>
      <c r="BI50" s="574"/>
    </row>
    <row r="51" spans="1:61" ht="24" customHeight="1">
      <c r="A51" s="507"/>
      <c r="B51" s="506">
        <v>2732</v>
      </c>
      <c r="C51" s="505" t="s">
        <v>119</v>
      </c>
      <c r="D51" s="504" t="s">
        <v>5834</v>
      </c>
      <c r="E51" s="2369" t="s">
        <v>958</v>
      </c>
      <c r="F51" s="2369"/>
      <c r="G51" s="2369"/>
      <c r="H51" s="503">
        <v>1</v>
      </c>
      <c r="I51" s="502" t="str">
        <f t="shared" ref="I51:I97" si="5">B51&amp;"-BLD-"&amp;TEXT(H51,"000")</f>
        <v>2732-BLD-001</v>
      </c>
      <c r="J51" s="501" t="s">
        <v>998</v>
      </c>
      <c r="K51" s="501"/>
      <c r="L51" s="493" t="s">
        <v>4168</v>
      </c>
      <c r="M51" s="493" t="s">
        <v>2969</v>
      </c>
      <c r="N51" s="494">
        <v>1</v>
      </c>
      <c r="O51" s="529">
        <v>2</v>
      </c>
      <c r="P51" s="500">
        <v>20</v>
      </c>
      <c r="Q51" s="500">
        <v>30</v>
      </c>
      <c r="R51" s="499">
        <v>20</v>
      </c>
      <c r="S51" s="497">
        <f t="shared" si="3"/>
        <v>600</v>
      </c>
      <c r="T51" s="498">
        <f t="shared" si="4"/>
        <v>600</v>
      </c>
      <c r="U51" s="497" t="s">
        <v>5791</v>
      </c>
      <c r="V51" s="496" t="s">
        <v>5792</v>
      </c>
      <c r="W51" s="489" t="s">
        <v>5793</v>
      </c>
      <c r="X51" s="489" t="s">
        <v>5836</v>
      </c>
      <c r="Y51" s="495" t="s">
        <v>154</v>
      </c>
      <c r="Z51" s="495" t="s">
        <v>154</v>
      </c>
      <c r="AA51" s="495" t="s">
        <v>154</v>
      </c>
      <c r="AB51" s="495" t="s">
        <v>154</v>
      </c>
      <c r="AC51" s="495" t="s">
        <v>154</v>
      </c>
      <c r="AD51" s="494">
        <v>5</v>
      </c>
      <c r="AE51" s="495" t="s">
        <v>3454</v>
      </c>
      <c r="AF51" s="492" t="s">
        <v>5747</v>
      </c>
      <c r="AG51" s="491" t="s">
        <v>154</v>
      </c>
      <c r="AH51" s="489" t="s">
        <v>154</v>
      </c>
      <c r="AI51" s="489" t="s">
        <v>154</v>
      </c>
      <c r="AJ51" s="489" t="s">
        <v>5769</v>
      </c>
      <c r="AK51" s="489" t="s">
        <v>154</v>
      </c>
      <c r="AL51" s="491" t="s">
        <v>154</v>
      </c>
      <c r="AM51" s="492" t="s">
        <v>5747</v>
      </c>
      <c r="AN51" s="491" t="s">
        <v>154</v>
      </c>
      <c r="AO51" s="489" t="s">
        <v>3454</v>
      </c>
      <c r="AP51" s="489" t="s">
        <v>5815</v>
      </c>
      <c r="AQ51" s="489" t="s">
        <v>154</v>
      </c>
      <c r="AR51" s="489" t="s">
        <v>154</v>
      </c>
      <c r="AS51" s="530">
        <v>4</v>
      </c>
      <c r="AT51" s="488" t="s">
        <v>5789</v>
      </c>
      <c r="AU51" s="487" t="s">
        <v>5762</v>
      </c>
      <c r="AV51" s="487"/>
      <c r="AW51" s="530"/>
      <c r="AX51" s="570" t="s">
        <v>5747</v>
      </c>
      <c r="AY51" s="569"/>
      <c r="AZ51" s="556" t="s">
        <v>5747</v>
      </c>
      <c r="BA51" s="568"/>
      <c r="BB51" s="568"/>
      <c r="BC51" s="568"/>
      <c r="BD51" s="568"/>
      <c r="BE51" s="568">
        <v>1</v>
      </c>
      <c r="BF51" s="568"/>
      <c r="BG51" s="568"/>
      <c r="BH51" s="568"/>
      <c r="BI51" s="457"/>
    </row>
    <row r="52" spans="1:61" s="552" customFormat="1" ht="24" customHeight="1">
      <c r="A52" s="528"/>
      <c r="B52" s="522">
        <v>2750</v>
      </c>
      <c r="C52" s="566" t="s">
        <v>119</v>
      </c>
      <c r="D52" s="565" t="s">
        <v>5834</v>
      </c>
      <c r="E52" s="2371" t="s">
        <v>913</v>
      </c>
      <c r="F52" s="2371"/>
      <c r="G52" s="2371"/>
      <c r="H52" s="527">
        <v>1</v>
      </c>
      <c r="I52" s="526" t="str">
        <f t="shared" si="5"/>
        <v>2750-BLD-001</v>
      </c>
      <c r="J52" s="525" t="s">
        <v>5841</v>
      </c>
      <c r="K52" s="525"/>
      <c r="L52" s="519" t="s">
        <v>5842</v>
      </c>
      <c r="M52" s="519" t="s">
        <v>2969</v>
      </c>
      <c r="N52" s="560">
        <v>1</v>
      </c>
      <c r="O52" s="560" t="s">
        <v>154</v>
      </c>
      <c r="P52" s="564">
        <v>16</v>
      </c>
      <c r="Q52" s="564">
        <v>40</v>
      </c>
      <c r="R52" s="563">
        <v>11</v>
      </c>
      <c r="S52" s="498">
        <f t="shared" si="3"/>
        <v>640</v>
      </c>
      <c r="T52" s="498">
        <f t="shared" si="4"/>
        <v>640</v>
      </c>
      <c r="U52" s="498"/>
      <c r="V52" s="562" t="s">
        <v>5761</v>
      </c>
      <c r="W52" s="559" t="s">
        <v>5744</v>
      </c>
      <c r="X52" s="559" t="s">
        <v>5745</v>
      </c>
      <c r="Y52" s="561" t="s">
        <v>154</v>
      </c>
      <c r="Z52" s="561" t="s">
        <v>154</v>
      </c>
      <c r="AA52" s="561" t="s">
        <v>154</v>
      </c>
      <c r="AB52" s="561" t="s">
        <v>154</v>
      </c>
      <c r="AC52" s="561" t="s">
        <v>154</v>
      </c>
      <c r="AD52" s="560">
        <v>22</v>
      </c>
      <c r="AE52" s="561" t="s">
        <v>5746</v>
      </c>
      <c r="AF52" s="492" t="s">
        <v>5747</v>
      </c>
      <c r="AG52" s="557" t="s">
        <v>154</v>
      </c>
      <c r="AH52" s="557" t="s">
        <v>154</v>
      </c>
      <c r="AI52" s="559" t="s">
        <v>154</v>
      </c>
      <c r="AJ52" s="559" t="s">
        <v>154</v>
      </c>
      <c r="AK52" s="559" t="s">
        <v>154</v>
      </c>
      <c r="AL52" s="492" t="s">
        <v>5747</v>
      </c>
      <c r="AM52" s="559" t="s">
        <v>154</v>
      </c>
      <c r="AN52" s="559" t="s">
        <v>154</v>
      </c>
      <c r="AO52" s="559" t="s">
        <v>3454</v>
      </c>
      <c r="AP52" s="489" t="s">
        <v>5750</v>
      </c>
      <c r="AQ52" s="559" t="s">
        <v>154</v>
      </c>
      <c r="AR52" s="559" t="s">
        <v>154</v>
      </c>
      <c r="AS52" s="530">
        <v>2</v>
      </c>
      <c r="AT52" s="488" t="s">
        <v>5816</v>
      </c>
      <c r="AU52" s="530"/>
      <c r="AV52" s="530"/>
      <c r="AW52" s="530"/>
      <c r="AX52" s="556" t="s">
        <v>5747</v>
      </c>
      <c r="AY52" s="555"/>
      <c r="AZ52" s="555"/>
      <c r="BA52" s="554"/>
      <c r="BB52" s="554"/>
      <c r="BC52" s="554"/>
      <c r="BD52" s="554"/>
      <c r="BE52" s="554">
        <v>1</v>
      </c>
      <c r="BF52" s="553"/>
      <c r="BG52" s="553"/>
      <c r="BH52" s="553"/>
      <c r="BI52" s="553"/>
    </row>
    <row r="53" spans="1:61" s="552" customFormat="1" ht="24" customHeight="1">
      <c r="A53" s="528"/>
      <c r="B53" s="522">
        <v>2750</v>
      </c>
      <c r="C53" s="566" t="s">
        <v>119</v>
      </c>
      <c r="D53" s="565" t="s">
        <v>5834</v>
      </c>
      <c r="E53" s="2371" t="s">
        <v>913</v>
      </c>
      <c r="F53" s="2371"/>
      <c r="G53" s="2371"/>
      <c r="H53" s="527">
        <v>2</v>
      </c>
      <c r="I53" s="526" t="str">
        <f t="shared" si="5"/>
        <v>2750-BLD-002</v>
      </c>
      <c r="J53" s="525" t="s">
        <v>5843</v>
      </c>
      <c r="K53" s="525"/>
      <c r="L53" s="519" t="s">
        <v>5842</v>
      </c>
      <c r="M53" s="519" t="s">
        <v>2969</v>
      </c>
      <c r="N53" s="560">
        <v>1</v>
      </c>
      <c r="O53" s="560" t="s">
        <v>154</v>
      </c>
      <c r="P53" s="564">
        <v>16</v>
      </c>
      <c r="Q53" s="564">
        <v>25</v>
      </c>
      <c r="R53" s="563">
        <v>11</v>
      </c>
      <c r="S53" s="498">
        <f t="shared" si="3"/>
        <v>400</v>
      </c>
      <c r="T53" s="498">
        <f t="shared" si="4"/>
        <v>400</v>
      </c>
      <c r="U53" s="498"/>
      <c r="V53" s="562" t="s">
        <v>5761</v>
      </c>
      <c r="W53" s="559" t="s">
        <v>5744</v>
      </c>
      <c r="X53" s="559" t="s">
        <v>5745</v>
      </c>
      <c r="Y53" s="561" t="s">
        <v>154</v>
      </c>
      <c r="Z53" s="561" t="s">
        <v>154</v>
      </c>
      <c r="AA53" s="561" t="s">
        <v>154</v>
      </c>
      <c r="AB53" s="561" t="s">
        <v>154</v>
      </c>
      <c r="AC53" s="561" t="s">
        <v>154</v>
      </c>
      <c r="AD53" s="560">
        <v>22</v>
      </c>
      <c r="AE53" s="561" t="s">
        <v>5746</v>
      </c>
      <c r="AF53" s="492" t="s">
        <v>5747</v>
      </c>
      <c r="AG53" s="557" t="s">
        <v>154</v>
      </c>
      <c r="AH53" s="557" t="s">
        <v>154</v>
      </c>
      <c r="AI53" s="559" t="s">
        <v>154</v>
      </c>
      <c r="AJ53" s="559" t="s">
        <v>154</v>
      </c>
      <c r="AK53" s="559" t="s">
        <v>154</v>
      </c>
      <c r="AL53" s="492" t="s">
        <v>5747</v>
      </c>
      <c r="AM53" s="559" t="s">
        <v>154</v>
      </c>
      <c r="AN53" s="559" t="s">
        <v>154</v>
      </c>
      <c r="AO53" s="559" t="s">
        <v>3454</v>
      </c>
      <c r="AP53" s="489" t="s">
        <v>5750</v>
      </c>
      <c r="AQ53" s="559" t="s">
        <v>154</v>
      </c>
      <c r="AR53" s="559" t="s">
        <v>154</v>
      </c>
      <c r="AS53" s="530">
        <v>2</v>
      </c>
      <c r="AT53" s="488" t="s">
        <v>5816</v>
      </c>
      <c r="AU53" s="530"/>
      <c r="AV53" s="530"/>
      <c r="AW53" s="530"/>
      <c r="AX53" s="556" t="s">
        <v>5747</v>
      </c>
      <c r="AY53" s="555"/>
      <c r="AZ53" s="555"/>
      <c r="BA53" s="554"/>
      <c r="BB53" s="554"/>
      <c r="BC53" s="554"/>
      <c r="BD53" s="554"/>
      <c r="BE53" s="554">
        <v>1</v>
      </c>
      <c r="BF53" s="553"/>
      <c r="BG53" s="553"/>
      <c r="BH53" s="553"/>
      <c r="BI53" s="553"/>
    </row>
    <row r="54" spans="1:61" s="552" customFormat="1" ht="24" customHeight="1">
      <c r="A54" s="528"/>
      <c r="B54" s="522">
        <v>2750</v>
      </c>
      <c r="C54" s="566" t="s">
        <v>119</v>
      </c>
      <c r="D54" s="565" t="s">
        <v>5834</v>
      </c>
      <c r="E54" s="2371" t="s">
        <v>913</v>
      </c>
      <c r="F54" s="2371"/>
      <c r="G54" s="2371"/>
      <c r="H54" s="527">
        <v>3</v>
      </c>
      <c r="I54" s="526" t="str">
        <f t="shared" si="5"/>
        <v>2750-BLD-003</v>
      </c>
      <c r="J54" s="525" t="s">
        <v>5844</v>
      </c>
      <c r="K54" s="525"/>
      <c r="L54" s="519" t="s">
        <v>5842</v>
      </c>
      <c r="M54" s="519" t="s">
        <v>2969</v>
      </c>
      <c r="N54" s="560">
        <v>1</v>
      </c>
      <c r="O54" s="560" t="s">
        <v>154</v>
      </c>
      <c r="P54" s="564">
        <v>16</v>
      </c>
      <c r="Q54" s="564">
        <v>25</v>
      </c>
      <c r="R54" s="563">
        <v>11</v>
      </c>
      <c r="S54" s="498">
        <f t="shared" si="3"/>
        <v>400</v>
      </c>
      <c r="T54" s="498">
        <f t="shared" si="4"/>
        <v>400</v>
      </c>
      <c r="U54" s="498"/>
      <c r="V54" s="562" t="s">
        <v>5761</v>
      </c>
      <c r="W54" s="559" t="s">
        <v>5744</v>
      </c>
      <c r="X54" s="559" t="s">
        <v>5745</v>
      </c>
      <c r="Y54" s="561" t="s">
        <v>154</v>
      </c>
      <c r="Z54" s="561" t="s">
        <v>154</v>
      </c>
      <c r="AA54" s="561" t="s">
        <v>154</v>
      </c>
      <c r="AB54" s="561" t="s">
        <v>154</v>
      </c>
      <c r="AC54" s="561" t="s">
        <v>154</v>
      </c>
      <c r="AD54" s="560">
        <v>22</v>
      </c>
      <c r="AE54" s="561" t="s">
        <v>5746</v>
      </c>
      <c r="AF54" s="492" t="s">
        <v>5747</v>
      </c>
      <c r="AG54" s="557" t="s">
        <v>154</v>
      </c>
      <c r="AH54" s="557" t="s">
        <v>154</v>
      </c>
      <c r="AI54" s="559" t="s">
        <v>154</v>
      </c>
      <c r="AJ54" s="559" t="s">
        <v>154</v>
      </c>
      <c r="AK54" s="559" t="s">
        <v>154</v>
      </c>
      <c r="AL54" s="492" t="s">
        <v>5747</v>
      </c>
      <c r="AM54" s="559" t="s">
        <v>154</v>
      </c>
      <c r="AN54" s="559" t="s">
        <v>154</v>
      </c>
      <c r="AO54" s="559" t="s">
        <v>3454</v>
      </c>
      <c r="AP54" s="489" t="s">
        <v>5750</v>
      </c>
      <c r="AQ54" s="559" t="s">
        <v>154</v>
      </c>
      <c r="AR54" s="559" t="s">
        <v>154</v>
      </c>
      <c r="AS54" s="530">
        <v>2</v>
      </c>
      <c r="AT54" s="488" t="s">
        <v>5757</v>
      </c>
      <c r="AU54" s="530"/>
      <c r="AV54" s="530"/>
      <c r="AW54" s="530"/>
      <c r="AX54" s="556" t="s">
        <v>5747</v>
      </c>
      <c r="AY54" s="555"/>
      <c r="AZ54" s="555"/>
      <c r="BA54" s="554"/>
      <c r="BB54" s="554"/>
      <c r="BC54" s="554"/>
      <c r="BD54" s="554"/>
      <c r="BE54" s="554">
        <v>1</v>
      </c>
      <c r="BF54" s="553"/>
      <c r="BG54" s="553"/>
      <c r="BH54" s="553"/>
      <c r="BI54" s="553"/>
    </row>
    <row r="55" spans="1:61" s="552" customFormat="1" ht="24" customHeight="1">
      <c r="A55" s="528"/>
      <c r="B55" s="522">
        <v>2750</v>
      </c>
      <c r="C55" s="566" t="s">
        <v>119</v>
      </c>
      <c r="D55" s="565" t="s">
        <v>5834</v>
      </c>
      <c r="E55" s="2371" t="s">
        <v>913</v>
      </c>
      <c r="F55" s="2371"/>
      <c r="G55" s="2371"/>
      <c r="H55" s="527">
        <v>4</v>
      </c>
      <c r="I55" s="526" t="str">
        <f t="shared" si="5"/>
        <v>2750-BLD-004</v>
      </c>
      <c r="J55" s="525" t="s">
        <v>5845</v>
      </c>
      <c r="K55" s="525"/>
      <c r="L55" s="519" t="s">
        <v>5842</v>
      </c>
      <c r="M55" s="519" t="s">
        <v>2969</v>
      </c>
      <c r="N55" s="560">
        <v>1</v>
      </c>
      <c r="O55" s="560" t="s">
        <v>154</v>
      </c>
      <c r="P55" s="564">
        <v>16</v>
      </c>
      <c r="Q55" s="564">
        <v>25</v>
      </c>
      <c r="R55" s="563">
        <v>11</v>
      </c>
      <c r="S55" s="498">
        <f t="shared" si="3"/>
        <v>400</v>
      </c>
      <c r="T55" s="498">
        <f t="shared" si="4"/>
        <v>400</v>
      </c>
      <c r="U55" s="498"/>
      <c r="V55" s="562" t="s">
        <v>5761</v>
      </c>
      <c r="W55" s="559" t="s">
        <v>5744</v>
      </c>
      <c r="X55" s="559" t="s">
        <v>5745</v>
      </c>
      <c r="Y55" s="561" t="s">
        <v>154</v>
      </c>
      <c r="Z55" s="561" t="s">
        <v>154</v>
      </c>
      <c r="AA55" s="561" t="s">
        <v>154</v>
      </c>
      <c r="AB55" s="561" t="s">
        <v>154</v>
      </c>
      <c r="AC55" s="561" t="s">
        <v>154</v>
      </c>
      <c r="AD55" s="560">
        <v>22</v>
      </c>
      <c r="AE55" s="561" t="s">
        <v>5746</v>
      </c>
      <c r="AF55" s="492" t="s">
        <v>5747</v>
      </c>
      <c r="AG55" s="557" t="s">
        <v>154</v>
      </c>
      <c r="AH55" s="557" t="s">
        <v>154</v>
      </c>
      <c r="AI55" s="559" t="s">
        <v>154</v>
      </c>
      <c r="AJ55" s="559" t="s">
        <v>154</v>
      </c>
      <c r="AK55" s="559" t="s">
        <v>154</v>
      </c>
      <c r="AL55" s="492" t="s">
        <v>5747</v>
      </c>
      <c r="AM55" s="559" t="s">
        <v>154</v>
      </c>
      <c r="AN55" s="559" t="s">
        <v>154</v>
      </c>
      <c r="AO55" s="559" t="s">
        <v>3454</v>
      </c>
      <c r="AP55" s="489" t="s">
        <v>5750</v>
      </c>
      <c r="AQ55" s="559" t="s">
        <v>154</v>
      </c>
      <c r="AR55" s="559" t="s">
        <v>154</v>
      </c>
      <c r="AS55" s="530">
        <v>2</v>
      </c>
      <c r="AT55" s="488" t="s">
        <v>5757</v>
      </c>
      <c r="AU55" s="530"/>
      <c r="AV55" s="530"/>
      <c r="AW55" s="530"/>
      <c r="AX55" s="556" t="s">
        <v>5747</v>
      </c>
      <c r="AY55" s="555"/>
      <c r="AZ55" s="555"/>
      <c r="BA55" s="554"/>
      <c r="BB55" s="554"/>
      <c r="BC55" s="554"/>
      <c r="BD55" s="554"/>
      <c r="BE55" s="554">
        <v>1</v>
      </c>
      <c r="BF55" s="553"/>
      <c r="BG55" s="553"/>
      <c r="BH55" s="553"/>
      <c r="BI55" s="553"/>
    </row>
    <row r="56" spans="1:61" s="552" customFormat="1" ht="24" customHeight="1" thickBot="1">
      <c r="A56" s="672"/>
      <c r="B56" s="671">
        <v>2750</v>
      </c>
      <c r="C56" s="670" t="s">
        <v>119</v>
      </c>
      <c r="D56" s="669" t="s">
        <v>5834</v>
      </c>
      <c r="E56" s="2378" t="s">
        <v>913</v>
      </c>
      <c r="F56" s="2378"/>
      <c r="G56" s="2378"/>
      <c r="H56" s="668">
        <v>5</v>
      </c>
      <c r="I56" s="667" t="str">
        <f t="shared" si="5"/>
        <v>2750-BLD-005</v>
      </c>
      <c r="J56" s="666" t="s">
        <v>5846</v>
      </c>
      <c r="K56" s="666"/>
      <c r="L56" s="665" t="s">
        <v>5842</v>
      </c>
      <c r="M56" s="665" t="s">
        <v>2969</v>
      </c>
      <c r="N56" s="660">
        <v>1</v>
      </c>
      <c r="O56" s="660" t="s">
        <v>154</v>
      </c>
      <c r="P56" s="664" t="s">
        <v>154</v>
      </c>
      <c r="Q56" s="664">
        <v>25</v>
      </c>
      <c r="R56" s="663" t="s">
        <v>154</v>
      </c>
      <c r="S56" s="662">
        <f t="shared" si="3"/>
        <v>25</v>
      </c>
      <c r="T56" s="662">
        <f t="shared" si="4"/>
        <v>25</v>
      </c>
      <c r="U56" s="662"/>
      <c r="V56" s="661" t="s">
        <v>5761</v>
      </c>
      <c r="W56" s="655" t="s">
        <v>5744</v>
      </c>
      <c r="X56" s="655" t="s">
        <v>5745</v>
      </c>
      <c r="Y56" s="659" t="s">
        <v>154</v>
      </c>
      <c r="Z56" s="659" t="s">
        <v>154</v>
      </c>
      <c r="AA56" s="659" t="s">
        <v>154</v>
      </c>
      <c r="AB56" s="659" t="s">
        <v>154</v>
      </c>
      <c r="AC56" s="659" t="s">
        <v>154</v>
      </c>
      <c r="AD56" s="660">
        <v>22</v>
      </c>
      <c r="AE56" s="659" t="s">
        <v>5746</v>
      </c>
      <c r="AF56" s="657" t="s">
        <v>5747</v>
      </c>
      <c r="AG56" s="658" t="s">
        <v>154</v>
      </c>
      <c r="AH56" s="658" t="s">
        <v>154</v>
      </c>
      <c r="AI56" s="655" t="s">
        <v>154</v>
      </c>
      <c r="AJ56" s="655" t="s">
        <v>154</v>
      </c>
      <c r="AK56" s="655" t="s">
        <v>154</v>
      </c>
      <c r="AL56" s="657" t="s">
        <v>5747</v>
      </c>
      <c r="AM56" s="655" t="s">
        <v>154</v>
      </c>
      <c r="AN56" s="655" t="s">
        <v>154</v>
      </c>
      <c r="AO56" s="655" t="s">
        <v>3454</v>
      </c>
      <c r="AP56" s="656" t="s">
        <v>5750</v>
      </c>
      <c r="AQ56" s="655" t="s">
        <v>154</v>
      </c>
      <c r="AR56" s="655" t="s">
        <v>154</v>
      </c>
      <c r="AS56" s="530">
        <v>2</v>
      </c>
      <c r="AT56" s="488" t="s">
        <v>5757</v>
      </c>
      <c r="AU56" s="530"/>
      <c r="AV56" s="530"/>
      <c r="AW56" s="530"/>
      <c r="AX56" s="556" t="s">
        <v>5747</v>
      </c>
      <c r="AY56" s="555"/>
      <c r="AZ56" s="555"/>
      <c r="BA56" s="554"/>
      <c r="BB56" s="554"/>
      <c r="BC56" s="554"/>
      <c r="BD56" s="554"/>
      <c r="BE56" s="554">
        <v>1</v>
      </c>
      <c r="BF56" s="553"/>
      <c r="BG56" s="553"/>
      <c r="BH56" s="553"/>
      <c r="BI56" s="553"/>
    </row>
    <row r="57" spans="1:61" ht="24" customHeight="1" thickTop="1">
      <c r="A57" s="654"/>
      <c r="B57" s="653">
        <v>7231</v>
      </c>
      <c r="C57" s="652" t="s">
        <v>5847</v>
      </c>
      <c r="D57" s="651" t="s">
        <v>119</v>
      </c>
      <c r="E57" s="2379" t="s">
        <v>2430</v>
      </c>
      <c r="F57" s="2379"/>
      <c r="G57" s="2379"/>
      <c r="H57" s="650">
        <v>1</v>
      </c>
      <c r="I57" s="649" t="str">
        <f t="shared" si="5"/>
        <v>7231-BLD-001</v>
      </c>
      <c r="J57" s="648" t="s">
        <v>5848</v>
      </c>
      <c r="K57" s="648"/>
      <c r="L57" s="639" t="s">
        <v>4158</v>
      </c>
      <c r="M57" s="639" t="s">
        <v>2969</v>
      </c>
      <c r="N57" s="640">
        <v>1</v>
      </c>
      <c r="O57" s="640">
        <v>17</v>
      </c>
      <c r="P57" s="647">
        <v>48</v>
      </c>
      <c r="Q57" s="647">
        <v>60</v>
      </c>
      <c r="R57" s="646">
        <v>8</v>
      </c>
      <c r="S57" s="644">
        <f t="shared" si="3"/>
        <v>2880</v>
      </c>
      <c r="T57" s="645">
        <f t="shared" si="4"/>
        <v>2880</v>
      </c>
      <c r="U57" s="644" t="s">
        <v>3454</v>
      </c>
      <c r="V57" s="643" t="s">
        <v>5786</v>
      </c>
      <c r="W57" s="637" t="s">
        <v>5744</v>
      </c>
      <c r="X57" s="637" t="s">
        <v>5745</v>
      </c>
      <c r="Y57" s="641" t="s">
        <v>5747</v>
      </c>
      <c r="Z57" s="642" t="s">
        <v>154</v>
      </c>
      <c r="AA57" s="641" t="s">
        <v>5747</v>
      </c>
      <c r="AB57" s="642" t="s">
        <v>154</v>
      </c>
      <c r="AC57" s="641" t="s">
        <v>5747</v>
      </c>
      <c r="AD57" s="640">
        <v>22</v>
      </c>
      <c r="AE57" s="639" t="s">
        <v>5746</v>
      </c>
      <c r="AF57" s="637" t="s">
        <v>154</v>
      </c>
      <c r="AG57" s="637" t="s">
        <v>154</v>
      </c>
      <c r="AH57" s="637" t="s">
        <v>154</v>
      </c>
      <c r="AI57" s="637" t="s">
        <v>5755</v>
      </c>
      <c r="AJ57" s="637" t="s">
        <v>154</v>
      </c>
      <c r="AK57" s="637" t="s">
        <v>154</v>
      </c>
      <c r="AL57" s="637" t="s">
        <v>154</v>
      </c>
      <c r="AM57" s="637" t="s">
        <v>154</v>
      </c>
      <c r="AN57" s="638" t="s">
        <v>5747</v>
      </c>
      <c r="AO57" s="637" t="s">
        <v>2872</v>
      </c>
      <c r="AP57" s="637" t="s">
        <v>5756</v>
      </c>
      <c r="AQ57" s="637" t="s">
        <v>5756</v>
      </c>
      <c r="AR57" s="636" t="s">
        <v>154</v>
      </c>
      <c r="AS57" s="530">
        <v>40</v>
      </c>
      <c r="AT57" s="488" t="s">
        <v>5789</v>
      </c>
      <c r="AU57" s="530"/>
      <c r="AV57" s="530"/>
      <c r="AW57" s="530"/>
      <c r="AX57" s="570" t="s">
        <v>5747</v>
      </c>
      <c r="AY57" s="570" t="s">
        <v>5747</v>
      </c>
      <c r="AZ57" s="570"/>
      <c r="BA57" s="568">
        <v>2</v>
      </c>
      <c r="BB57" s="568">
        <v>2</v>
      </c>
      <c r="BC57" s="568">
        <v>1</v>
      </c>
      <c r="BD57" s="568">
        <v>1</v>
      </c>
      <c r="BE57" s="568" t="s">
        <v>5775</v>
      </c>
      <c r="BF57" s="568">
        <v>1</v>
      </c>
      <c r="BG57" s="568">
        <v>1</v>
      </c>
      <c r="BH57" s="568"/>
      <c r="BI57" s="457" t="s">
        <v>5849</v>
      </c>
    </row>
    <row r="58" spans="1:61" ht="24" customHeight="1">
      <c r="A58" s="528"/>
      <c r="B58" s="506">
        <v>7231</v>
      </c>
      <c r="C58" s="505" t="s">
        <v>5847</v>
      </c>
      <c r="D58" s="504" t="s">
        <v>119</v>
      </c>
      <c r="E58" s="2369" t="s">
        <v>2430</v>
      </c>
      <c r="F58" s="2369"/>
      <c r="G58" s="2369"/>
      <c r="H58" s="503">
        <v>2</v>
      </c>
      <c r="I58" s="502" t="str">
        <f t="shared" si="5"/>
        <v>7231-BLD-002</v>
      </c>
      <c r="J58" s="501" t="s">
        <v>1515</v>
      </c>
      <c r="K58" s="501"/>
      <c r="L58" s="493" t="s">
        <v>4158</v>
      </c>
      <c r="M58" s="493" t="s">
        <v>2969</v>
      </c>
      <c r="N58" s="494">
        <v>1</v>
      </c>
      <c r="O58" s="529">
        <v>19</v>
      </c>
      <c r="P58" s="500">
        <v>12</v>
      </c>
      <c r="Q58" s="500">
        <v>60</v>
      </c>
      <c r="R58" s="499">
        <v>8</v>
      </c>
      <c r="S58" s="497">
        <f t="shared" si="3"/>
        <v>720</v>
      </c>
      <c r="T58" s="498">
        <f t="shared" si="4"/>
        <v>720</v>
      </c>
      <c r="U58" s="497" t="s">
        <v>5850</v>
      </c>
      <c r="V58" s="496" t="s">
        <v>5753</v>
      </c>
      <c r="W58" s="489" t="s">
        <v>5787</v>
      </c>
      <c r="X58" s="489" t="s">
        <v>5745</v>
      </c>
      <c r="Y58" s="490" t="s">
        <v>5747</v>
      </c>
      <c r="Z58" s="490" t="s">
        <v>5747</v>
      </c>
      <c r="AA58" s="495" t="s">
        <v>154</v>
      </c>
      <c r="AB58" s="495" t="s">
        <v>154</v>
      </c>
      <c r="AC58" s="591" t="s">
        <v>5747</v>
      </c>
      <c r="AD58" s="494">
        <v>22</v>
      </c>
      <c r="AE58" s="493" t="s">
        <v>5746</v>
      </c>
      <c r="AF58" s="489" t="s">
        <v>154</v>
      </c>
      <c r="AG58" s="489" t="s">
        <v>154</v>
      </c>
      <c r="AH58" s="489" t="s">
        <v>5754</v>
      </c>
      <c r="AI58" s="489" t="s">
        <v>5755</v>
      </c>
      <c r="AJ58" s="489" t="s">
        <v>5754</v>
      </c>
      <c r="AK58" s="489" t="s">
        <v>154</v>
      </c>
      <c r="AL58" s="489" t="s">
        <v>154</v>
      </c>
      <c r="AM58" s="492" t="s">
        <v>5747</v>
      </c>
      <c r="AN58" s="491" t="s">
        <v>154</v>
      </c>
      <c r="AO58" s="489" t="s">
        <v>2872</v>
      </c>
      <c r="AP58" s="489" t="s">
        <v>154</v>
      </c>
      <c r="AQ58" s="489" t="s">
        <v>5756</v>
      </c>
      <c r="AR58" s="489" t="s">
        <v>154</v>
      </c>
      <c r="AS58" s="487">
        <v>2</v>
      </c>
      <c r="AT58" s="488" t="s">
        <v>5789</v>
      </c>
      <c r="AU58" s="487" t="s">
        <v>5762</v>
      </c>
      <c r="AV58" s="487"/>
      <c r="AW58" s="487"/>
      <c r="AX58" s="635" t="s">
        <v>5747</v>
      </c>
      <c r="AY58" s="486"/>
      <c r="AZ58" s="634" t="s">
        <v>5747</v>
      </c>
      <c r="BI58" s="457" t="s">
        <v>5849</v>
      </c>
    </row>
    <row r="59" spans="1:61" s="552" customFormat="1" ht="24" customHeight="1">
      <c r="A59" s="528"/>
      <c r="B59" s="581">
        <v>7232</v>
      </c>
      <c r="C59" s="580" t="s">
        <v>5847</v>
      </c>
      <c r="D59" s="579" t="s">
        <v>119</v>
      </c>
      <c r="E59" s="2374" t="s">
        <v>2430</v>
      </c>
      <c r="F59" s="2374"/>
      <c r="G59" s="2374"/>
      <c r="H59" s="578">
        <v>1</v>
      </c>
      <c r="I59" s="577" t="str">
        <f t="shared" si="5"/>
        <v>7232-BLD-001</v>
      </c>
      <c r="J59" s="576" t="s">
        <v>5851</v>
      </c>
      <c r="K59" s="525" t="s">
        <v>5852</v>
      </c>
      <c r="L59" s="523" t="s">
        <v>154</v>
      </c>
      <c r="M59" s="519" t="s">
        <v>2969</v>
      </c>
      <c r="N59" s="560">
        <v>1</v>
      </c>
      <c r="O59" s="575"/>
      <c r="P59" s="563"/>
      <c r="Q59" s="563"/>
      <c r="R59" s="563"/>
      <c r="S59" s="498">
        <f t="shared" si="3"/>
        <v>0</v>
      </c>
      <c r="T59" s="498">
        <f t="shared" si="4"/>
        <v>0</v>
      </c>
      <c r="U59" s="498"/>
      <c r="V59" s="562" t="s">
        <v>5753</v>
      </c>
      <c r="W59" s="559" t="s">
        <v>5744</v>
      </c>
      <c r="X59" s="559" t="s">
        <v>5745</v>
      </c>
      <c r="Y59" s="561"/>
      <c r="Z59" s="561"/>
      <c r="AA59" s="561"/>
      <c r="AB59" s="561"/>
      <c r="AC59" s="561"/>
      <c r="AD59" s="560"/>
      <c r="AE59" s="519"/>
      <c r="AF59" s="559"/>
      <c r="AG59" s="557"/>
      <c r="AH59" s="557"/>
      <c r="AI59" s="559"/>
      <c r="AJ59" s="559"/>
      <c r="AK59" s="559"/>
      <c r="AL59" s="559"/>
      <c r="AM59" s="559"/>
      <c r="AN59" s="559"/>
      <c r="AO59" s="559"/>
      <c r="AP59" s="559" t="s">
        <v>154</v>
      </c>
      <c r="AQ59" s="559" t="s">
        <v>154</v>
      </c>
      <c r="AR59" s="559" t="s">
        <v>154</v>
      </c>
      <c r="AS59" s="559"/>
      <c r="AT59" s="567"/>
      <c r="AU59" s="559"/>
      <c r="AV59" s="559"/>
      <c r="AW59" s="559"/>
      <c r="AX59" s="573"/>
      <c r="AY59" s="573"/>
      <c r="AZ59" s="573"/>
      <c r="BA59" s="553"/>
      <c r="BB59" s="553"/>
      <c r="BC59" s="553"/>
      <c r="BD59" s="553"/>
      <c r="BE59" s="553"/>
      <c r="BF59" s="553"/>
      <c r="BG59" s="553"/>
      <c r="BH59" s="553"/>
      <c r="BI59" s="633" t="s">
        <v>5849</v>
      </c>
    </row>
    <row r="60" spans="1:61" s="552" customFormat="1" ht="24" customHeight="1">
      <c r="A60" s="528"/>
      <c r="B60" s="581">
        <v>7232</v>
      </c>
      <c r="C60" s="580" t="s">
        <v>5847</v>
      </c>
      <c r="D60" s="579" t="s">
        <v>119</v>
      </c>
      <c r="E60" s="2374" t="s">
        <v>2430</v>
      </c>
      <c r="F60" s="2374"/>
      <c r="G60" s="2374"/>
      <c r="H60" s="578">
        <v>2</v>
      </c>
      <c r="I60" s="577" t="str">
        <f t="shared" si="5"/>
        <v>7232-BLD-002</v>
      </c>
      <c r="J60" s="576" t="s">
        <v>5853</v>
      </c>
      <c r="K60" s="525" t="s">
        <v>5852</v>
      </c>
      <c r="L60" s="523" t="s">
        <v>154</v>
      </c>
      <c r="M60" s="519" t="s">
        <v>2969</v>
      </c>
      <c r="N60" s="560">
        <v>1</v>
      </c>
      <c r="O60" s="575"/>
      <c r="P60" s="563"/>
      <c r="Q60" s="563"/>
      <c r="R60" s="563"/>
      <c r="S60" s="498">
        <f t="shared" si="3"/>
        <v>0</v>
      </c>
      <c r="T60" s="498">
        <f t="shared" si="4"/>
        <v>0</v>
      </c>
      <c r="U60" s="498"/>
      <c r="V60" s="562" t="s">
        <v>5753</v>
      </c>
      <c r="W60" s="559" t="s">
        <v>5744</v>
      </c>
      <c r="X60" s="559" t="s">
        <v>5745</v>
      </c>
      <c r="Y60" s="561"/>
      <c r="Z60" s="561"/>
      <c r="AA60" s="561"/>
      <c r="AB60" s="561"/>
      <c r="AC60" s="561"/>
      <c r="AD60" s="560"/>
      <c r="AE60" s="519"/>
      <c r="AF60" s="559"/>
      <c r="AG60" s="557"/>
      <c r="AH60" s="557"/>
      <c r="AI60" s="559"/>
      <c r="AJ60" s="559"/>
      <c r="AK60" s="559"/>
      <c r="AL60" s="559"/>
      <c r="AM60" s="559"/>
      <c r="AN60" s="559"/>
      <c r="AO60" s="559"/>
      <c r="AP60" s="559" t="s">
        <v>154</v>
      </c>
      <c r="AQ60" s="559" t="s">
        <v>154</v>
      </c>
      <c r="AR60" s="559" t="s">
        <v>154</v>
      </c>
      <c r="AS60" s="559"/>
      <c r="AT60" s="567"/>
      <c r="AU60" s="559"/>
      <c r="AV60" s="559"/>
      <c r="AW60" s="559"/>
      <c r="AX60" s="573"/>
      <c r="AY60" s="573"/>
      <c r="AZ60" s="573"/>
      <c r="BA60" s="553"/>
      <c r="BB60" s="553"/>
      <c r="BC60" s="553"/>
      <c r="BD60" s="553"/>
      <c r="BE60" s="553"/>
      <c r="BF60" s="553"/>
      <c r="BG60" s="553"/>
      <c r="BH60" s="553"/>
      <c r="BI60" s="633" t="s">
        <v>5849</v>
      </c>
    </row>
    <row r="61" spans="1:61" ht="24" customHeight="1">
      <c r="A61" s="528"/>
      <c r="B61" s="506">
        <v>7232</v>
      </c>
      <c r="C61" s="505" t="s">
        <v>5847</v>
      </c>
      <c r="D61" s="504" t="s">
        <v>119</v>
      </c>
      <c r="E61" s="2369" t="s">
        <v>2430</v>
      </c>
      <c r="F61" s="2369"/>
      <c r="G61" s="2369"/>
      <c r="H61" s="503">
        <v>3</v>
      </c>
      <c r="I61" s="502" t="str">
        <f t="shared" si="5"/>
        <v>7232-BLD-003</v>
      </c>
      <c r="J61" s="501" t="s">
        <v>5854</v>
      </c>
      <c r="K61" s="501" t="s">
        <v>5855</v>
      </c>
      <c r="L61" s="493" t="s">
        <v>4158</v>
      </c>
      <c r="M61" s="493" t="s">
        <v>2969</v>
      </c>
      <c r="N61" s="494">
        <v>1</v>
      </c>
      <c r="O61" s="529">
        <v>13</v>
      </c>
      <c r="P61" s="500">
        <v>12</v>
      </c>
      <c r="Q61" s="500">
        <v>60</v>
      </c>
      <c r="R61" s="499">
        <v>8</v>
      </c>
      <c r="S61" s="497">
        <f t="shared" si="3"/>
        <v>720</v>
      </c>
      <c r="T61" s="498">
        <f t="shared" si="4"/>
        <v>720</v>
      </c>
      <c r="U61" s="497" t="s">
        <v>5850</v>
      </c>
      <c r="V61" s="496" t="s">
        <v>5753</v>
      </c>
      <c r="W61" s="489" t="s">
        <v>5787</v>
      </c>
      <c r="X61" s="489" t="s">
        <v>5745</v>
      </c>
      <c r="Y61" s="490" t="s">
        <v>5747</v>
      </c>
      <c r="Z61" s="490" t="s">
        <v>5747</v>
      </c>
      <c r="AA61" s="490" t="s">
        <v>5747</v>
      </c>
      <c r="AB61" s="495" t="s">
        <v>154</v>
      </c>
      <c r="AC61" s="495" t="s">
        <v>154</v>
      </c>
      <c r="AD61" s="494">
        <v>22</v>
      </c>
      <c r="AE61" s="493" t="s">
        <v>5746</v>
      </c>
      <c r="AF61" s="489" t="s">
        <v>154</v>
      </c>
      <c r="AG61" s="489" t="s">
        <v>154</v>
      </c>
      <c r="AH61" s="489" t="s">
        <v>5754</v>
      </c>
      <c r="AI61" s="489" t="s">
        <v>5755</v>
      </c>
      <c r="AJ61" s="489" t="s">
        <v>5754</v>
      </c>
      <c r="AK61" s="489" t="s">
        <v>154</v>
      </c>
      <c r="AL61" s="489" t="s">
        <v>154</v>
      </c>
      <c r="AM61" s="491" t="s">
        <v>154</v>
      </c>
      <c r="AN61" s="492" t="s">
        <v>5747</v>
      </c>
      <c r="AO61" s="489" t="s">
        <v>2872</v>
      </c>
      <c r="AP61" s="489" t="s">
        <v>154</v>
      </c>
      <c r="AQ61" s="489" t="s">
        <v>5756</v>
      </c>
      <c r="AR61" s="489" t="s">
        <v>154</v>
      </c>
      <c r="AS61" s="487">
        <v>2</v>
      </c>
      <c r="AT61" s="488"/>
      <c r="AU61" s="487"/>
      <c r="AV61" s="487"/>
      <c r="AW61" s="487"/>
      <c r="AX61" s="486"/>
      <c r="AY61" s="486"/>
      <c r="AZ61" s="486"/>
      <c r="BI61" s="485" t="s">
        <v>5849</v>
      </c>
    </row>
    <row r="62" spans="1:61" s="552" customFormat="1" ht="24" customHeight="1">
      <c r="A62" s="528"/>
      <c r="B62" s="581">
        <v>7232</v>
      </c>
      <c r="C62" s="580" t="s">
        <v>5847</v>
      </c>
      <c r="D62" s="579" t="s">
        <v>119</v>
      </c>
      <c r="E62" s="2374" t="s">
        <v>2430</v>
      </c>
      <c r="F62" s="2374"/>
      <c r="G62" s="2374"/>
      <c r="H62" s="578">
        <v>5</v>
      </c>
      <c r="I62" s="577" t="str">
        <f t="shared" si="5"/>
        <v>7232-BLD-005</v>
      </c>
      <c r="J62" s="576" t="s">
        <v>5856</v>
      </c>
      <c r="K62" s="525" t="s">
        <v>5852</v>
      </c>
      <c r="L62" s="523" t="s">
        <v>154</v>
      </c>
      <c r="M62" s="519" t="s">
        <v>2969</v>
      </c>
      <c r="N62" s="560">
        <v>1</v>
      </c>
      <c r="O62" s="575"/>
      <c r="P62" s="564">
        <v>12</v>
      </c>
      <c r="Q62" s="564">
        <v>40</v>
      </c>
      <c r="R62" s="563"/>
      <c r="S62" s="498">
        <f t="shared" si="3"/>
        <v>480</v>
      </c>
      <c r="T62" s="498">
        <f t="shared" si="4"/>
        <v>480</v>
      </c>
      <c r="U62" s="498"/>
      <c r="V62" s="562" t="s">
        <v>5753</v>
      </c>
      <c r="W62" s="559" t="s">
        <v>5744</v>
      </c>
      <c r="X62" s="559" t="s">
        <v>5745</v>
      </c>
      <c r="Y62" s="561"/>
      <c r="Z62" s="561"/>
      <c r="AA62" s="561"/>
      <c r="AB62" s="561"/>
      <c r="AC62" s="561"/>
      <c r="AD62" s="560"/>
      <c r="AE62" s="519"/>
      <c r="AF62" s="559"/>
      <c r="AG62" s="557"/>
      <c r="AH62" s="557"/>
      <c r="AI62" s="559"/>
      <c r="AJ62" s="559"/>
      <c r="AK62" s="559"/>
      <c r="AL62" s="559"/>
      <c r="AM62" s="559"/>
      <c r="AN62" s="559"/>
      <c r="AO62" s="559"/>
      <c r="AP62" s="559" t="s">
        <v>154</v>
      </c>
      <c r="AQ62" s="559" t="s">
        <v>154</v>
      </c>
      <c r="AR62" s="559" t="s">
        <v>154</v>
      </c>
      <c r="AS62" s="559"/>
      <c r="AT62" s="567"/>
      <c r="AU62" s="559"/>
      <c r="AV62" s="559"/>
      <c r="AW62" s="559"/>
      <c r="AX62" s="573"/>
      <c r="AY62" s="573"/>
      <c r="AZ62" s="573"/>
      <c r="BA62" s="553"/>
      <c r="BB62" s="553"/>
      <c r="BC62" s="553"/>
      <c r="BD62" s="553"/>
      <c r="BE62" s="553"/>
      <c r="BF62" s="553"/>
      <c r="BG62" s="553"/>
      <c r="BH62" s="553"/>
      <c r="BI62" s="633" t="s">
        <v>5849</v>
      </c>
    </row>
    <row r="63" spans="1:61" s="552" customFormat="1" ht="24" customHeight="1">
      <c r="A63" s="528"/>
      <c r="B63" s="581">
        <v>7232</v>
      </c>
      <c r="C63" s="580" t="s">
        <v>5847</v>
      </c>
      <c r="D63" s="579" t="s">
        <v>119</v>
      </c>
      <c r="E63" s="2374" t="s">
        <v>2430</v>
      </c>
      <c r="F63" s="2374"/>
      <c r="G63" s="2374"/>
      <c r="H63" s="578">
        <v>6</v>
      </c>
      <c r="I63" s="577" t="str">
        <f t="shared" si="5"/>
        <v>7232-BLD-006</v>
      </c>
      <c r="J63" s="576" t="s">
        <v>5857</v>
      </c>
      <c r="K63" s="525" t="s">
        <v>5852</v>
      </c>
      <c r="L63" s="523" t="s">
        <v>154</v>
      </c>
      <c r="M63" s="519" t="s">
        <v>2969</v>
      </c>
      <c r="N63" s="560">
        <v>1</v>
      </c>
      <c r="O63" s="575"/>
      <c r="P63" s="564">
        <v>12</v>
      </c>
      <c r="Q63" s="564">
        <v>40</v>
      </c>
      <c r="R63" s="563"/>
      <c r="S63" s="498">
        <f t="shared" si="3"/>
        <v>480</v>
      </c>
      <c r="T63" s="498">
        <f t="shared" si="4"/>
        <v>480</v>
      </c>
      <c r="U63" s="498"/>
      <c r="V63" s="562" t="s">
        <v>5753</v>
      </c>
      <c r="W63" s="559" t="s">
        <v>5744</v>
      </c>
      <c r="X63" s="559" t="s">
        <v>5745</v>
      </c>
      <c r="Y63" s="561"/>
      <c r="Z63" s="561"/>
      <c r="AA63" s="561"/>
      <c r="AB63" s="561"/>
      <c r="AC63" s="561"/>
      <c r="AD63" s="560"/>
      <c r="AE63" s="519"/>
      <c r="AF63" s="559"/>
      <c r="AG63" s="557"/>
      <c r="AH63" s="557"/>
      <c r="AI63" s="559"/>
      <c r="AJ63" s="559"/>
      <c r="AK63" s="559"/>
      <c r="AL63" s="559"/>
      <c r="AM63" s="559"/>
      <c r="AN63" s="559"/>
      <c r="AO63" s="559"/>
      <c r="AP63" s="559" t="s">
        <v>154</v>
      </c>
      <c r="AQ63" s="559" t="s">
        <v>154</v>
      </c>
      <c r="AR63" s="559" t="s">
        <v>154</v>
      </c>
      <c r="AS63" s="559"/>
      <c r="AT63" s="567"/>
      <c r="AU63" s="559"/>
      <c r="AV63" s="559"/>
      <c r="AW63" s="559"/>
      <c r="AX63" s="573"/>
      <c r="AY63" s="573"/>
      <c r="AZ63" s="573"/>
      <c r="BA63" s="553"/>
      <c r="BB63" s="553"/>
      <c r="BC63" s="553"/>
      <c r="BD63" s="553"/>
      <c r="BE63" s="553"/>
      <c r="BF63" s="553"/>
      <c r="BG63" s="553"/>
      <c r="BH63" s="553"/>
      <c r="BI63" s="633" t="s">
        <v>5849</v>
      </c>
    </row>
    <row r="64" spans="1:61" ht="24" customHeight="1">
      <c r="A64" s="528"/>
      <c r="B64" s="506">
        <v>7232</v>
      </c>
      <c r="C64" s="505" t="s">
        <v>5847</v>
      </c>
      <c r="D64" s="504" t="s">
        <v>119</v>
      </c>
      <c r="E64" s="2369" t="s">
        <v>2430</v>
      </c>
      <c r="F64" s="2369"/>
      <c r="G64" s="2369"/>
      <c r="H64" s="503">
        <v>7</v>
      </c>
      <c r="I64" s="502" t="str">
        <f t="shared" si="5"/>
        <v>7232-BLD-007</v>
      </c>
      <c r="J64" s="501" t="s">
        <v>5858</v>
      </c>
      <c r="K64" s="501"/>
      <c r="L64" s="493" t="s">
        <v>4158</v>
      </c>
      <c r="M64" s="493" t="s">
        <v>2969</v>
      </c>
      <c r="N64" s="494">
        <v>1</v>
      </c>
      <c r="O64" s="529">
        <v>30</v>
      </c>
      <c r="P64" s="500">
        <v>12</v>
      </c>
      <c r="Q64" s="500">
        <v>60</v>
      </c>
      <c r="R64" s="499">
        <v>8</v>
      </c>
      <c r="S64" s="497">
        <f t="shared" si="3"/>
        <v>720</v>
      </c>
      <c r="T64" s="498">
        <f t="shared" si="4"/>
        <v>720</v>
      </c>
      <c r="U64" s="497" t="s">
        <v>5859</v>
      </c>
      <c r="V64" s="496" t="s">
        <v>5753</v>
      </c>
      <c r="W64" s="489" t="s">
        <v>5787</v>
      </c>
      <c r="X64" s="489" t="s">
        <v>5745</v>
      </c>
      <c r="Y64" s="495" t="s">
        <v>154</v>
      </c>
      <c r="Z64" s="495" t="s">
        <v>154</v>
      </c>
      <c r="AA64" s="490" t="s">
        <v>5747</v>
      </c>
      <c r="AB64" s="495" t="s">
        <v>154</v>
      </c>
      <c r="AC64" s="495" t="s">
        <v>154</v>
      </c>
      <c r="AD64" s="494">
        <v>22</v>
      </c>
      <c r="AE64" s="493" t="s">
        <v>5746</v>
      </c>
      <c r="AF64" s="489" t="s">
        <v>154</v>
      </c>
      <c r="AG64" s="489" t="s">
        <v>154</v>
      </c>
      <c r="AH64" s="489" t="s">
        <v>154</v>
      </c>
      <c r="AI64" s="489" t="s">
        <v>5755</v>
      </c>
      <c r="AJ64" s="489" t="s">
        <v>154</v>
      </c>
      <c r="AK64" s="489" t="s">
        <v>154</v>
      </c>
      <c r="AL64" s="489" t="s">
        <v>154</v>
      </c>
      <c r="AM64" s="491" t="s">
        <v>154</v>
      </c>
      <c r="AN64" s="492" t="s">
        <v>5747</v>
      </c>
      <c r="AO64" s="489" t="s">
        <v>2872</v>
      </c>
      <c r="AP64" s="489" t="s">
        <v>154</v>
      </c>
      <c r="AQ64" s="489" t="s">
        <v>154</v>
      </c>
      <c r="AR64" s="489" t="s">
        <v>154</v>
      </c>
      <c r="AS64" s="487"/>
      <c r="AT64" s="488"/>
      <c r="AU64" s="487"/>
      <c r="AV64" s="487"/>
      <c r="AW64" s="487"/>
      <c r="AX64" s="486"/>
      <c r="AY64" s="486"/>
      <c r="AZ64" s="486"/>
      <c r="BI64" s="485" t="s">
        <v>5849</v>
      </c>
    </row>
    <row r="65" spans="1:61" ht="24" customHeight="1">
      <c r="A65" s="528"/>
      <c r="B65" s="506">
        <v>7232</v>
      </c>
      <c r="C65" s="505" t="s">
        <v>5847</v>
      </c>
      <c r="D65" s="504" t="s">
        <v>119</v>
      </c>
      <c r="E65" s="2369" t="s">
        <v>2430</v>
      </c>
      <c r="F65" s="2369"/>
      <c r="G65" s="2369"/>
      <c r="H65" s="503">
        <v>8</v>
      </c>
      <c r="I65" s="502" t="str">
        <f t="shared" si="5"/>
        <v>7232-BLD-008</v>
      </c>
      <c r="J65" s="501" t="s">
        <v>5860</v>
      </c>
      <c r="K65" s="501"/>
      <c r="L65" s="493" t="s">
        <v>4158</v>
      </c>
      <c r="M65" s="493" t="s">
        <v>2969</v>
      </c>
      <c r="N65" s="494">
        <v>1</v>
      </c>
      <c r="O65" s="529">
        <v>30</v>
      </c>
      <c r="P65" s="500">
        <v>12</v>
      </c>
      <c r="Q65" s="500">
        <v>60</v>
      </c>
      <c r="R65" s="499">
        <v>8</v>
      </c>
      <c r="S65" s="497">
        <f t="shared" si="3"/>
        <v>720</v>
      </c>
      <c r="T65" s="498">
        <f t="shared" si="4"/>
        <v>720</v>
      </c>
      <c r="U65" s="497" t="s">
        <v>5859</v>
      </c>
      <c r="V65" s="496" t="s">
        <v>5753</v>
      </c>
      <c r="W65" s="489" t="s">
        <v>5787</v>
      </c>
      <c r="X65" s="489" t="s">
        <v>5745</v>
      </c>
      <c r="Y65" s="495" t="s">
        <v>154</v>
      </c>
      <c r="Z65" s="495" t="s">
        <v>154</v>
      </c>
      <c r="AA65" s="490" t="s">
        <v>5747</v>
      </c>
      <c r="AB65" s="495" t="s">
        <v>154</v>
      </c>
      <c r="AC65" s="495" t="s">
        <v>154</v>
      </c>
      <c r="AD65" s="494">
        <v>22</v>
      </c>
      <c r="AE65" s="493" t="s">
        <v>5746</v>
      </c>
      <c r="AF65" s="489" t="s">
        <v>154</v>
      </c>
      <c r="AG65" s="489" t="s">
        <v>154</v>
      </c>
      <c r="AH65" s="489" t="s">
        <v>154</v>
      </c>
      <c r="AI65" s="489" t="s">
        <v>5755</v>
      </c>
      <c r="AJ65" s="489" t="s">
        <v>154</v>
      </c>
      <c r="AK65" s="489" t="s">
        <v>154</v>
      </c>
      <c r="AL65" s="489" t="s">
        <v>154</v>
      </c>
      <c r="AM65" s="491" t="s">
        <v>154</v>
      </c>
      <c r="AN65" s="492" t="s">
        <v>5747</v>
      </c>
      <c r="AO65" s="489" t="s">
        <v>2872</v>
      </c>
      <c r="AP65" s="489" t="s">
        <v>154</v>
      </c>
      <c r="AQ65" s="489" t="s">
        <v>154</v>
      </c>
      <c r="AR65" s="489" t="s">
        <v>154</v>
      </c>
      <c r="AS65" s="487"/>
      <c r="AT65" s="488"/>
      <c r="AU65" s="487"/>
      <c r="AV65" s="487"/>
      <c r="AW65" s="487"/>
      <c r="AX65" s="486"/>
      <c r="AY65" s="486"/>
      <c r="AZ65" s="486"/>
      <c r="BI65" s="485" t="s">
        <v>5849</v>
      </c>
    </row>
    <row r="66" spans="1:61" ht="24" customHeight="1">
      <c r="A66" s="528"/>
      <c r="B66" s="506">
        <v>7232</v>
      </c>
      <c r="C66" s="505" t="s">
        <v>5847</v>
      </c>
      <c r="D66" s="504" t="s">
        <v>119</v>
      </c>
      <c r="E66" s="2369" t="s">
        <v>2430</v>
      </c>
      <c r="F66" s="2369"/>
      <c r="G66" s="2369"/>
      <c r="H66" s="503">
        <v>9</v>
      </c>
      <c r="I66" s="502" t="str">
        <f t="shared" si="5"/>
        <v>7232-BLD-009</v>
      </c>
      <c r="J66" s="501" t="s">
        <v>5861</v>
      </c>
      <c r="K66" s="501"/>
      <c r="L66" s="493" t="s">
        <v>4158</v>
      </c>
      <c r="M66" s="493" t="s">
        <v>2969</v>
      </c>
      <c r="N66" s="494">
        <v>1</v>
      </c>
      <c r="O66" s="529">
        <v>9</v>
      </c>
      <c r="P66" s="500">
        <v>12</v>
      </c>
      <c r="Q66" s="500">
        <v>32</v>
      </c>
      <c r="R66" s="499">
        <v>8</v>
      </c>
      <c r="S66" s="497">
        <f t="shared" si="3"/>
        <v>384</v>
      </c>
      <c r="T66" s="498">
        <f t="shared" si="4"/>
        <v>384</v>
      </c>
      <c r="U66" s="497" t="s">
        <v>5791</v>
      </c>
      <c r="V66" s="496" t="s">
        <v>5753</v>
      </c>
      <c r="W66" s="489" t="s">
        <v>5787</v>
      </c>
      <c r="X66" s="489" t="s">
        <v>5745</v>
      </c>
      <c r="Y66" s="495" t="s">
        <v>154</v>
      </c>
      <c r="Z66" s="490" t="s">
        <v>5747</v>
      </c>
      <c r="AA66" s="495" t="s">
        <v>154</v>
      </c>
      <c r="AB66" s="495" t="s">
        <v>154</v>
      </c>
      <c r="AC66" s="495" t="s">
        <v>154</v>
      </c>
      <c r="AD66" s="494">
        <v>22</v>
      </c>
      <c r="AE66" s="493" t="s">
        <v>5746</v>
      </c>
      <c r="AF66" s="489" t="s">
        <v>154</v>
      </c>
      <c r="AG66" s="489" t="s">
        <v>154</v>
      </c>
      <c r="AH66" s="489" t="s">
        <v>5754</v>
      </c>
      <c r="AI66" s="489" t="s">
        <v>154</v>
      </c>
      <c r="AJ66" s="489" t="s">
        <v>5754</v>
      </c>
      <c r="AK66" s="489" t="s">
        <v>154</v>
      </c>
      <c r="AL66" s="489" t="s">
        <v>154</v>
      </c>
      <c r="AM66" s="491" t="s">
        <v>154</v>
      </c>
      <c r="AN66" s="492" t="s">
        <v>5747</v>
      </c>
      <c r="AO66" s="489" t="s">
        <v>2872</v>
      </c>
      <c r="AP66" s="489" t="s">
        <v>154</v>
      </c>
      <c r="AQ66" s="489" t="s">
        <v>154</v>
      </c>
      <c r="AR66" s="489" t="s">
        <v>154</v>
      </c>
      <c r="AS66" s="487"/>
      <c r="AT66" s="488"/>
      <c r="AU66" s="487"/>
      <c r="AV66" s="487"/>
      <c r="AW66" s="487"/>
      <c r="AX66" s="486"/>
      <c r="AY66" s="486"/>
      <c r="AZ66" s="486"/>
      <c r="BI66" s="485" t="s">
        <v>5849</v>
      </c>
    </row>
    <row r="67" spans="1:61" ht="24" customHeight="1">
      <c r="A67" s="528"/>
      <c r="B67" s="506">
        <v>7232</v>
      </c>
      <c r="C67" s="505" t="s">
        <v>5847</v>
      </c>
      <c r="D67" s="504" t="s">
        <v>119</v>
      </c>
      <c r="E67" s="2369" t="s">
        <v>2430</v>
      </c>
      <c r="F67" s="2369"/>
      <c r="G67" s="2369"/>
      <c r="H67" s="503">
        <v>10</v>
      </c>
      <c r="I67" s="502" t="str">
        <f t="shared" si="5"/>
        <v>7232-BLD-010</v>
      </c>
      <c r="J67" s="501" t="s">
        <v>5862</v>
      </c>
      <c r="K67" s="501"/>
      <c r="L67" s="493" t="s">
        <v>4158</v>
      </c>
      <c r="M67" s="493" t="s">
        <v>2969</v>
      </c>
      <c r="N67" s="494">
        <v>1</v>
      </c>
      <c r="O67" s="529">
        <v>9</v>
      </c>
      <c r="P67" s="500">
        <v>12</v>
      </c>
      <c r="Q67" s="500">
        <v>32</v>
      </c>
      <c r="R67" s="499">
        <v>8</v>
      </c>
      <c r="S67" s="497">
        <f t="shared" si="3"/>
        <v>384</v>
      </c>
      <c r="T67" s="498">
        <f t="shared" si="4"/>
        <v>384</v>
      </c>
      <c r="U67" s="497" t="s">
        <v>5791</v>
      </c>
      <c r="V67" s="496" t="s">
        <v>5753</v>
      </c>
      <c r="W67" s="489" t="s">
        <v>5787</v>
      </c>
      <c r="X67" s="489" t="s">
        <v>5745</v>
      </c>
      <c r="Y67" s="495" t="s">
        <v>154</v>
      </c>
      <c r="Z67" s="490" t="s">
        <v>5747</v>
      </c>
      <c r="AA67" s="495" t="s">
        <v>154</v>
      </c>
      <c r="AB67" s="495" t="s">
        <v>154</v>
      </c>
      <c r="AC67" s="495" t="s">
        <v>154</v>
      </c>
      <c r="AD67" s="494">
        <v>22</v>
      </c>
      <c r="AE67" s="493" t="s">
        <v>5746</v>
      </c>
      <c r="AF67" s="489" t="s">
        <v>154</v>
      </c>
      <c r="AG67" s="489" t="s">
        <v>154</v>
      </c>
      <c r="AH67" s="489" t="s">
        <v>5754</v>
      </c>
      <c r="AI67" s="489" t="s">
        <v>154</v>
      </c>
      <c r="AJ67" s="489" t="s">
        <v>5754</v>
      </c>
      <c r="AK67" s="489" t="s">
        <v>154</v>
      </c>
      <c r="AL67" s="489" t="s">
        <v>154</v>
      </c>
      <c r="AM67" s="491" t="s">
        <v>154</v>
      </c>
      <c r="AN67" s="492" t="s">
        <v>5747</v>
      </c>
      <c r="AO67" s="489" t="s">
        <v>2872</v>
      </c>
      <c r="AP67" s="489" t="s">
        <v>154</v>
      </c>
      <c r="AQ67" s="489" t="s">
        <v>154</v>
      </c>
      <c r="AR67" s="489" t="s">
        <v>154</v>
      </c>
      <c r="AS67" s="487"/>
      <c r="AT67" s="488"/>
      <c r="AU67" s="487"/>
      <c r="AV67" s="487"/>
      <c r="AW67" s="487"/>
      <c r="AX67" s="486"/>
      <c r="AY67" s="486"/>
      <c r="AZ67" s="486"/>
      <c r="BI67" s="485" t="s">
        <v>5849</v>
      </c>
    </row>
    <row r="68" spans="1:61" ht="24" customHeight="1">
      <c r="A68" s="507"/>
      <c r="B68" s="506">
        <v>7232</v>
      </c>
      <c r="C68" s="505" t="s">
        <v>5847</v>
      </c>
      <c r="D68" s="504" t="s">
        <v>119</v>
      </c>
      <c r="E68" s="2369" t="s">
        <v>2430</v>
      </c>
      <c r="F68" s="2369"/>
      <c r="G68" s="2369"/>
      <c r="H68" s="503">
        <v>11</v>
      </c>
      <c r="I68" s="502" t="str">
        <f t="shared" si="5"/>
        <v>7232-BLD-011</v>
      </c>
      <c r="J68" s="501" t="s">
        <v>5863</v>
      </c>
      <c r="K68" s="501"/>
      <c r="L68" s="493" t="s">
        <v>4158</v>
      </c>
      <c r="M68" s="493" t="s">
        <v>2969</v>
      </c>
      <c r="N68" s="494">
        <v>1</v>
      </c>
      <c r="O68" s="529">
        <v>10</v>
      </c>
      <c r="P68" s="500">
        <v>8</v>
      </c>
      <c r="Q68" s="500">
        <v>20</v>
      </c>
      <c r="R68" s="499">
        <v>8</v>
      </c>
      <c r="S68" s="497">
        <f t="shared" si="3"/>
        <v>160</v>
      </c>
      <c r="T68" s="498">
        <f t="shared" si="4"/>
        <v>160</v>
      </c>
      <c r="U68" s="497" t="s">
        <v>5859</v>
      </c>
      <c r="V68" s="496" t="s">
        <v>5743</v>
      </c>
      <c r="W68" s="489" t="s">
        <v>5744</v>
      </c>
      <c r="X68" s="489" t="s">
        <v>5745</v>
      </c>
      <c r="Y68" s="495" t="s">
        <v>154</v>
      </c>
      <c r="Z68" s="495" t="s">
        <v>154</v>
      </c>
      <c r="AA68" s="495" t="s">
        <v>154</v>
      </c>
      <c r="AB68" s="495" t="s">
        <v>154</v>
      </c>
      <c r="AC68" s="495" t="s">
        <v>154</v>
      </c>
      <c r="AD68" s="494">
        <v>22</v>
      </c>
      <c r="AE68" s="495" t="s">
        <v>5746</v>
      </c>
      <c r="AF68" s="492" t="s">
        <v>5747</v>
      </c>
      <c r="AG68" s="491" t="s">
        <v>154</v>
      </c>
      <c r="AH68" s="491" t="s">
        <v>154</v>
      </c>
      <c r="AI68" s="489" t="s">
        <v>154</v>
      </c>
      <c r="AJ68" s="489" t="s">
        <v>154</v>
      </c>
      <c r="AK68" s="489" t="s">
        <v>154</v>
      </c>
      <c r="AL68" s="491" t="s">
        <v>154</v>
      </c>
      <c r="AM68" s="491" t="s">
        <v>154</v>
      </c>
      <c r="AN68" s="491" t="s">
        <v>154</v>
      </c>
      <c r="AO68" s="489" t="s">
        <v>2872</v>
      </c>
      <c r="AP68" s="489" t="s">
        <v>154</v>
      </c>
      <c r="AQ68" s="489" t="s">
        <v>154</v>
      </c>
      <c r="AR68" s="489" t="s">
        <v>154</v>
      </c>
      <c r="AS68" s="487"/>
      <c r="AT68" s="488"/>
      <c r="AU68" s="487"/>
      <c r="AV68" s="487"/>
      <c r="AW68" s="487"/>
      <c r="AX68" s="486"/>
      <c r="AY68" s="486"/>
      <c r="AZ68" s="486"/>
      <c r="BI68" s="485" t="s">
        <v>5849</v>
      </c>
    </row>
    <row r="69" spans="1:61" s="508" customFormat="1" ht="24" customHeight="1">
      <c r="A69" s="528"/>
      <c r="B69" s="522">
        <v>7234</v>
      </c>
      <c r="C69" s="505" t="s">
        <v>5847</v>
      </c>
      <c r="D69" s="504" t="s">
        <v>119</v>
      </c>
      <c r="E69" s="2369" t="s">
        <v>2430</v>
      </c>
      <c r="F69" s="2369"/>
      <c r="G69" s="2369"/>
      <c r="H69" s="527">
        <v>1</v>
      </c>
      <c r="I69" s="526" t="str">
        <f t="shared" si="5"/>
        <v>7234-BLD-001</v>
      </c>
      <c r="J69" s="525" t="s">
        <v>5864</v>
      </c>
      <c r="K69" s="524"/>
      <c r="L69" s="519" t="s">
        <v>5865</v>
      </c>
      <c r="M69" s="523"/>
      <c r="N69" s="522">
        <v>1</v>
      </c>
      <c r="O69" s="522" t="s">
        <v>5765</v>
      </c>
      <c r="P69" s="521"/>
      <c r="Q69" s="521"/>
      <c r="R69" s="521"/>
      <c r="S69" s="520"/>
      <c r="T69" s="520"/>
      <c r="U69" s="520"/>
      <c r="V69" s="519" t="s">
        <v>5866</v>
      </c>
      <c r="W69" s="518" t="s">
        <v>5744</v>
      </c>
      <c r="X69" s="518" t="s">
        <v>5836</v>
      </c>
      <c r="Y69" s="517"/>
      <c r="Z69" s="517"/>
      <c r="AA69" s="517"/>
      <c r="AB69" s="517"/>
      <c r="AC69" s="517"/>
      <c r="AD69" s="516"/>
      <c r="AE69" s="515"/>
      <c r="AF69" s="514"/>
      <c r="AG69" s="512"/>
      <c r="AH69" s="512"/>
      <c r="AI69" s="514"/>
      <c r="AJ69" s="514"/>
      <c r="AK69" s="514"/>
      <c r="AL69" s="514"/>
      <c r="AM69" s="514"/>
      <c r="AN69" s="514"/>
      <c r="AO69" s="514"/>
      <c r="AP69" s="512"/>
      <c r="AQ69" s="514"/>
      <c r="AR69" s="512"/>
      <c r="AS69" s="512"/>
      <c r="AT69" s="513"/>
      <c r="AU69" s="512"/>
      <c r="AV69" s="512"/>
      <c r="AW69" s="512"/>
      <c r="AX69" s="511"/>
      <c r="AY69" s="511"/>
      <c r="AZ69" s="511"/>
      <c r="BA69" s="510"/>
      <c r="BB69" s="510"/>
      <c r="BC69" s="510"/>
      <c r="BD69" s="510"/>
      <c r="BE69" s="510"/>
      <c r="BF69" s="510"/>
      <c r="BG69" s="510"/>
      <c r="BH69" s="510"/>
      <c r="BI69" s="509"/>
    </row>
    <row r="70" spans="1:61" s="508" customFormat="1" ht="35.25" customHeight="1">
      <c r="A70" s="528"/>
      <c r="B70" s="522">
        <v>7234</v>
      </c>
      <c r="C70" s="505" t="s">
        <v>5847</v>
      </c>
      <c r="D70" s="504" t="s">
        <v>119</v>
      </c>
      <c r="E70" s="2369" t="s">
        <v>2430</v>
      </c>
      <c r="F70" s="2369"/>
      <c r="G70" s="2369"/>
      <c r="H70" s="527">
        <v>2</v>
      </c>
      <c r="I70" s="526" t="str">
        <f t="shared" si="5"/>
        <v>7234-BLD-002</v>
      </c>
      <c r="J70" s="525" t="s">
        <v>5867</v>
      </c>
      <c r="K70" s="525" t="s">
        <v>5868</v>
      </c>
      <c r="L70" s="523" t="s">
        <v>154</v>
      </c>
      <c r="M70" s="523"/>
      <c r="N70" s="522">
        <v>1</v>
      </c>
      <c r="O70" s="522" t="s">
        <v>5765</v>
      </c>
      <c r="P70" s="521"/>
      <c r="Q70" s="521"/>
      <c r="R70" s="521"/>
      <c r="S70" s="520"/>
      <c r="T70" s="520"/>
      <c r="U70" s="520"/>
      <c r="V70" s="519" t="s">
        <v>5866</v>
      </c>
      <c r="W70" s="518" t="s">
        <v>5744</v>
      </c>
      <c r="X70" s="518" t="s">
        <v>5836</v>
      </c>
      <c r="Y70" s="517"/>
      <c r="Z70" s="517"/>
      <c r="AA70" s="517"/>
      <c r="AB70" s="517"/>
      <c r="AC70" s="517"/>
      <c r="AD70" s="516"/>
      <c r="AE70" s="515"/>
      <c r="AF70" s="514"/>
      <c r="AG70" s="512"/>
      <c r="AH70" s="512"/>
      <c r="AI70" s="514"/>
      <c r="AJ70" s="514"/>
      <c r="AK70" s="514"/>
      <c r="AL70" s="514"/>
      <c r="AM70" s="514"/>
      <c r="AN70" s="514"/>
      <c r="AO70" s="514"/>
      <c r="AP70" s="512"/>
      <c r="AQ70" s="514"/>
      <c r="AR70" s="512"/>
      <c r="AS70" s="512"/>
      <c r="AT70" s="513"/>
      <c r="AU70" s="512"/>
      <c r="AV70" s="512"/>
      <c r="AW70" s="512"/>
      <c r="AX70" s="511"/>
      <c r="AY70" s="511"/>
      <c r="AZ70" s="511"/>
      <c r="BA70" s="510"/>
      <c r="BB70" s="510"/>
      <c r="BC70" s="510"/>
      <c r="BD70" s="510"/>
      <c r="BE70" s="510"/>
      <c r="BF70" s="510"/>
      <c r="BG70" s="510"/>
      <c r="BH70" s="510"/>
      <c r="BI70" s="509"/>
    </row>
    <row r="71" spans="1:61" s="552" customFormat="1" ht="24" customHeight="1">
      <c r="A71" s="528"/>
      <c r="B71" s="522">
        <v>7235</v>
      </c>
      <c r="C71" s="566" t="s">
        <v>5847</v>
      </c>
      <c r="D71" s="565" t="s">
        <v>119</v>
      </c>
      <c r="E71" s="2371" t="s">
        <v>2430</v>
      </c>
      <c r="F71" s="2371"/>
      <c r="G71" s="2371"/>
      <c r="H71" s="527">
        <v>1</v>
      </c>
      <c r="I71" s="526" t="str">
        <f t="shared" si="5"/>
        <v>7235-BLD-001</v>
      </c>
      <c r="J71" s="525" t="s">
        <v>5869</v>
      </c>
      <c r="K71" s="525" t="s">
        <v>5870</v>
      </c>
      <c r="L71" s="519" t="s">
        <v>5840</v>
      </c>
      <c r="M71" s="523" t="s">
        <v>154</v>
      </c>
      <c r="N71" s="560">
        <v>1</v>
      </c>
      <c r="O71" s="575"/>
      <c r="P71" s="564">
        <v>40</v>
      </c>
      <c r="Q71" s="564">
        <v>60</v>
      </c>
      <c r="R71" s="563"/>
      <c r="S71" s="498">
        <f t="shared" ref="S71:S91" si="6">PRODUCT(Q71,P71)</f>
        <v>2400</v>
      </c>
      <c r="T71" s="498">
        <f t="shared" ref="T71:T91" si="7">S71</f>
        <v>2400</v>
      </c>
      <c r="U71" s="498"/>
      <c r="V71" s="562" t="s">
        <v>5866</v>
      </c>
      <c r="W71" s="559" t="s">
        <v>5793</v>
      </c>
      <c r="X71" s="559" t="s">
        <v>5836</v>
      </c>
      <c r="Y71" s="561"/>
      <c r="Z71" s="561"/>
      <c r="AA71" s="561"/>
      <c r="AB71" s="561"/>
      <c r="AC71" s="561"/>
      <c r="AD71" s="560"/>
      <c r="AE71" s="519"/>
      <c r="AF71" s="559"/>
      <c r="AG71" s="557"/>
      <c r="AH71" s="557"/>
      <c r="AI71" s="559"/>
      <c r="AJ71" s="559"/>
      <c r="AK71" s="559"/>
      <c r="AL71" s="559"/>
      <c r="AM71" s="559"/>
      <c r="AN71" s="559"/>
      <c r="AO71" s="559"/>
      <c r="AP71" s="557"/>
      <c r="AQ71" s="559" t="s">
        <v>154</v>
      </c>
      <c r="AR71" s="557"/>
      <c r="AS71" s="557"/>
      <c r="AT71" s="558"/>
      <c r="AU71" s="557"/>
      <c r="AV71" s="557"/>
      <c r="AW71" s="557"/>
      <c r="AX71" s="573"/>
      <c r="AY71" s="573"/>
      <c r="AZ71" s="573"/>
      <c r="BA71" s="553"/>
      <c r="BB71" s="553"/>
      <c r="BC71" s="553"/>
      <c r="BD71" s="553"/>
      <c r="BE71" s="553"/>
      <c r="BF71" s="553"/>
      <c r="BG71" s="553"/>
      <c r="BH71" s="553"/>
      <c r="BI71" s="633" t="s">
        <v>5849</v>
      </c>
    </row>
    <row r="72" spans="1:61" ht="24" customHeight="1">
      <c r="A72" s="507"/>
      <c r="B72" s="506">
        <v>7235</v>
      </c>
      <c r="C72" s="505" t="s">
        <v>5847</v>
      </c>
      <c r="D72" s="504" t="s">
        <v>119</v>
      </c>
      <c r="E72" s="2369" t="s">
        <v>2430</v>
      </c>
      <c r="F72" s="2369"/>
      <c r="G72" s="2369"/>
      <c r="H72" s="503">
        <v>2</v>
      </c>
      <c r="I72" s="502" t="str">
        <f t="shared" si="5"/>
        <v>7235-BLD-002</v>
      </c>
      <c r="J72" s="501" t="s">
        <v>5871</v>
      </c>
      <c r="K72" s="501"/>
      <c r="L72" s="493" t="s">
        <v>5025</v>
      </c>
      <c r="M72" s="493" t="s">
        <v>2969</v>
      </c>
      <c r="N72" s="494">
        <v>1</v>
      </c>
      <c r="O72" s="529">
        <v>5</v>
      </c>
      <c r="P72" s="500">
        <v>40</v>
      </c>
      <c r="Q72" s="500">
        <v>100</v>
      </c>
      <c r="R72" s="499">
        <v>25</v>
      </c>
      <c r="S72" s="497">
        <f t="shared" si="6"/>
        <v>4000</v>
      </c>
      <c r="T72" s="498">
        <f t="shared" si="7"/>
        <v>4000</v>
      </c>
      <c r="U72" s="497" t="s">
        <v>5791</v>
      </c>
      <c r="V72" s="496" t="s">
        <v>5792</v>
      </c>
      <c r="W72" s="489" t="s">
        <v>5793</v>
      </c>
      <c r="X72" s="489" t="s">
        <v>5836</v>
      </c>
      <c r="Y72" s="495" t="s">
        <v>154</v>
      </c>
      <c r="Z72" s="495" t="s">
        <v>154</v>
      </c>
      <c r="AA72" s="495" t="s">
        <v>154</v>
      </c>
      <c r="AB72" s="495" t="s">
        <v>154</v>
      </c>
      <c r="AC72" s="495" t="s">
        <v>154</v>
      </c>
      <c r="AD72" s="494">
        <v>22</v>
      </c>
      <c r="AE72" s="493" t="s">
        <v>5756</v>
      </c>
      <c r="AF72" s="492" t="s">
        <v>5747</v>
      </c>
      <c r="AG72" s="491" t="s">
        <v>154</v>
      </c>
      <c r="AH72" s="491" t="s">
        <v>154</v>
      </c>
      <c r="AI72" s="489" t="s">
        <v>154</v>
      </c>
      <c r="AJ72" s="489" t="s">
        <v>154</v>
      </c>
      <c r="AK72" s="489" t="s">
        <v>154</v>
      </c>
      <c r="AL72" s="491" t="s">
        <v>154</v>
      </c>
      <c r="AM72" s="491" t="s">
        <v>154</v>
      </c>
      <c r="AN72" s="492" t="s">
        <v>5747</v>
      </c>
      <c r="AO72" s="489" t="s">
        <v>3454</v>
      </c>
      <c r="AP72" s="489" t="s">
        <v>154</v>
      </c>
      <c r="AQ72" s="489" t="s">
        <v>5756</v>
      </c>
      <c r="AR72" s="489" t="s">
        <v>154</v>
      </c>
      <c r="AS72" s="487">
        <v>2</v>
      </c>
      <c r="AT72" s="488"/>
      <c r="AU72" s="487"/>
      <c r="AV72" s="487"/>
      <c r="AW72" s="487"/>
      <c r="AX72" s="486"/>
      <c r="AY72" s="486"/>
      <c r="AZ72" s="486"/>
      <c r="BI72" s="485" t="s">
        <v>5849</v>
      </c>
    </row>
    <row r="73" spans="1:61" ht="24" customHeight="1">
      <c r="A73" s="507"/>
      <c r="B73" s="506">
        <v>7235</v>
      </c>
      <c r="C73" s="505" t="s">
        <v>5847</v>
      </c>
      <c r="D73" s="504" t="s">
        <v>119</v>
      </c>
      <c r="E73" s="2369" t="s">
        <v>2430</v>
      </c>
      <c r="F73" s="2369"/>
      <c r="G73" s="2369"/>
      <c r="H73" s="503">
        <v>3</v>
      </c>
      <c r="I73" s="502" t="str">
        <f t="shared" si="5"/>
        <v>7235-BLD-003</v>
      </c>
      <c r="J73" s="501" t="s">
        <v>5872</v>
      </c>
      <c r="K73" s="501"/>
      <c r="L73" s="493" t="s">
        <v>5025</v>
      </c>
      <c r="M73" s="493" t="s">
        <v>2969</v>
      </c>
      <c r="N73" s="494">
        <v>1</v>
      </c>
      <c r="O73" s="529">
        <v>2</v>
      </c>
      <c r="P73" s="500">
        <v>40</v>
      </c>
      <c r="Q73" s="500">
        <v>100</v>
      </c>
      <c r="R73" s="499">
        <v>25</v>
      </c>
      <c r="S73" s="497">
        <f t="shared" si="6"/>
        <v>4000</v>
      </c>
      <c r="T73" s="498">
        <f t="shared" si="7"/>
        <v>4000</v>
      </c>
      <c r="U73" s="497" t="s">
        <v>5791</v>
      </c>
      <c r="V73" s="496" t="s">
        <v>5792</v>
      </c>
      <c r="W73" s="489" t="s">
        <v>5793</v>
      </c>
      <c r="X73" s="489" t="s">
        <v>5836</v>
      </c>
      <c r="Y73" s="495" t="s">
        <v>154</v>
      </c>
      <c r="Z73" s="495" t="s">
        <v>154</v>
      </c>
      <c r="AA73" s="495" t="s">
        <v>154</v>
      </c>
      <c r="AB73" s="495" t="s">
        <v>154</v>
      </c>
      <c r="AC73" s="495" t="s">
        <v>154</v>
      </c>
      <c r="AD73" s="494" t="s">
        <v>5833</v>
      </c>
      <c r="AE73" s="493" t="s">
        <v>154</v>
      </c>
      <c r="AF73" s="489" t="s">
        <v>154</v>
      </c>
      <c r="AG73" s="491" t="s">
        <v>154</v>
      </c>
      <c r="AH73" s="491" t="s">
        <v>154</v>
      </c>
      <c r="AI73" s="489" t="s">
        <v>154</v>
      </c>
      <c r="AJ73" s="489" t="s">
        <v>154</v>
      </c>
      <c r="AK73" s="489" t="s">
        <v>154</v>
      </c>
      <c r="AL73" s="491" t="s">
        <v>154</v>
      </c>
      <c r="AM73" s="491" t="s">
        <v>154</v>
      </c>
      <c r="AN73" s="492" t="s">
        <v>5747</v>
      </c>
      <c r="AO73" s="489" t="s">
        <v>3454</v>
      </c>
      <c r="AP73" s="489" t="s">
        <v>154</v>
      </c>
      <c r="AQ73" s="489" t="s">
        <v>154</v>
      </c>
      <c r="AR73" s="489" t="s">
        <v>154</v>
      </c>
      <c r="AS73" s="487"/>
      <c r="AT73" s="488"/>
      <c r="AU73" s="487"/>
      <c r="AV73" s="487"/>
      <c r="AW73" s="487"/>
      <c r="AX73" s="486"/>
      <c r="AY73" s="486"/>
      <c r="AZ73" s="486"/>
      <c r="BI73" s="485" t="s">
        <v>5849</v>
      </c>
    </row>
    <row r="74" spans="1:61" ht="24" customHeight="1" thickBot="1">
      <c r="A74" s="1914"/>
      <c r="B74" s="1915">
        <v>7251</v>
      </c>
      <c r="C74" s="1916" t="s">
        <v>5847</v>
      </c>
      <c r="D74" s="1917" t="s">
        <v>119</v>
      </c>
      <c r="E74" s="2375" t="s">
        <v>2569</v>
      </c>
      <c r="F74" s="2375"/>
      <c r="G74" s="2375"/>
      <c r="H74" s="1918">
        <v>1</v>
      </c>
      <c r="I74" s="1919" t="str">
        <f t="shared" si="5"/>
        <v>7251-BLD-001</v>
      </c>
      <c r="J74" s="1920" t="s">
        <v>5873</v>
      </c>
      <c r="K74" s="1920"/>
      <c r="L74" s="1921" t="s">
        <v>5025</v>
      </c>
      <c r="M74" s="1921" t="s">
        <v>2969</v>
      </c>
      <c r="N74" s="1922">
        <v>1</v>
      </c>
      <c r="O74" s="1923">
        <v>5</v>
      </c>
      <c r="P74" s="1924">
        <v>60</v>
      </c>
      <c r="Q74" s="1924">
        <v>120</v>
      </c>
      <c r="R74" s="1925">
        <v>20</v>
      </c>
      <c r="S74" s="1926">
        <f t="shared" si="6"/>
        <v>7200</v>
      </c>
      <c r="T74" s="1927">
        <f t="shared" si="7"/>
        <v>7200</v>
      </c>
      <c r="U74" s="1926" t="s">
        <v>5791</v>
      </c>
      <c r="V74" s="1928" t="s">
        <v>5792</v>
      </c>
      <c r="W74" s="1929" t="s">
        <v>5793</v>
      </c>
      <c r="X74" s="1929" t="s">
        <v>5836</v>
      </c>
      <c r="Y74" s="1930" t="s">
        <v>154</v>
      </c>
      <c r="Z74" s="1930" t="s">
        <v>154</v>
      </c>
      <c r="AA74" s="1930" t="s">
        <v>154</v>
      </c>
      <c r="AB74" s="1930" t="s">
        <v>154</v>
      </c>
      <c r="AC74" s="1930" t="s">
        <v>154</v>
      </c>
      <c r="AD74" s="1922">
        <v>22</v>
      </c>
      <c r="AE74" s="1921" t="s">
        <v>5756</v>
      </c>
      <c r="AF74" s="1931" t="s">
        <v>5747</v>
      </c>
      <c r="AG74" s="1932" t="s">
        <v>154</v>
      </c>
      <c r="AH74" s="1932" t="s">
        <v>154</v>
      </c>
      <c r="AI74" s="1929" t="s">
        <v>154</v>
      </c>
      <c r="AJ74" s="1929" t="s">
        <v>154</v>
      </c>
      <c r="AK74" s="1929" t="s">
        <v>154</v>
      </c>
      <c r="AL74" s="1932" t="s">
        <v>154</v>
      </c>
      <c r="AM74" s="1932" t="s">
        <v>154</v>
      </c>
      <c r="AN74" s="1931" t="s">
        <v>5747</v>
      </c>
      <c r="AO74" s="1929" t="s">
        <v>2872</v>
      </c>
      <c r="AP74" s="1929" t="s">
        <v>154</v>
      </c>
      <c r="AQ74" s="1929" t="s">
        <v>154</v>
      </c>
      <c r="AR74" s="1929" t="s">
        <v>154</v>
      </c>
      <c r="AS74" s="487"/>
      <c r="AT74" s="488"/>
      <c r="AU74" s="487"/>
      <c r="AV74" s="487"/>
      <c r="AW74" s="487"/>
      <c r="AX74" s="486"/>
      <c r="AY74" s="486"/>
      <c r="AZ74" s="486"/>
      <c r="BI74" s="485" t="s">
        <v>5849</v>
      </c>
    </row>
    <row r="75" spans="1:61" s="552" customFormat="1" ht="24" customHeight="1" thickTop="1">
      <c r="A75" s="551"/>
      <c r="B75" s="627">
        <v>3111</v>
      </c>
      <c r="C75" s="626" t="s">
        <v>1072</v>
      </c>
      <c r="D75" s="625" t="s">
        <v>120</v>
      </c>
      <c r="E75" s="2376" t="s">
        <v>122</v>
      </c>
      <c r="F75" s="2376"/>
      <c r="G75" s="2376"/>
      <c r="H75" s="624">
        <v>1</v>
      </c>
      <c r="I75" s="623" t="str">
        <f t="shared" si="5"/>
        <v>3111-BLD-001</v>
      </c>
      <c r="J75" s="622" t="s">
        <v>5874</v>
      </c>
      <c r="K75" s="622"/>
      <c r="L75" s="621" t="s">
        <v>5742</v>
      </c>
      <c r="M75" s="621" t="s">
        <v>2969</v>
      </c>
      <c r="N75" s="617">
        <v>1</v>
      </c>
      <c r="O75" s="617" t="s">
        <v>154</v>
      </c>
      <c r="P75" s="620">
        <v>8</v>
      </c>
      <c r="Q75" s="620">
        <v>20</v>
      </c>
      <c r="R75" s="619">
        <v>8</v>
      </c>
      <c r="S75" s="541">
        <f t="shared" si="6"/>
        <v>160</v>
      </c>
      <c r="T75" s="541">
        <f t="shared" si="7"/>
        <v>160</v>
      </c>
      <c r="U75" s="541"/>
      <c r="V75" s="618" t="s">
        <v>5743</v>
      </c>
      <c r="W75" s="614" t="s">
        <v>5744</v>
      </c>
      <c r="X75" s="614" t="s">
        <v>5745</v>
      </c>
      <c r="Y75" s="616" t="s">
        <v>154</v>
      </c>
      <c r="Z75" s="616" t="s">
        <v>154</v>
      </c>
      <c r="AA75" s="616" t="s">
        <v>154</v>
      </c>
      <c r="AB75" s="616" t="s">
        <v>154</v>
      </c>
      <c r="AC75" s="616" t="s">
        <v>154</v>
      </c>
      <c r="AD75" s="617">
        <v>5</v>
      </c>
      <c r="AE75" s="616" t="s">
        <v>5746</v>
      </c>
      <c r="AF75" s="538" t="s">
        <v>5747</v>
      </c>
      <c r="AG75" s="615" t="s">
        <v>154</v>
      </c>
      <c r="AH75" s="615" t="s">
        <v>154</v>
      </c>
      <c r="AI75" s="614" t="s">
        <v>154</v>
      </c>
      <c r="AJ75" s="614" t="s">
        <v>154</v>
      </c>
      <c r="AK75" s="614" t="s">
        <v>154</v>
      </c>
      <c r="AL75" s="615" t="s">
        <v>154</v>
      </c>
      <c r="AM75" s="615" t="s">
        <v>154</v>
      </c>
      <c r="AN75" s="538" t="s">
        <v>5747</v>
      </c>
      <c r="AO75" s="614" t="s">
        <v>2872</v>
      </c>
      <c r="AP75" s="614" t="s">
        <v>5748</v>
      </c>
      <c r="AQ75" s="614" t="s">
        <v>154</v>
      </c>
      <c r="AR75" s="614" t="s">
        <v>154</v>
      </c>
      <c r="AS75" s="559"/>
      <c r="AT75" s="567"/>
      <c r="AU75" s="559"/>
      <c r="AV75" s="559"/>
      <c r="AW75" s="559"/>
      <c r="AX75" s="555"/>
      <c r="AY75" s="555"/>
      <c r="AZ75" s="555"/>
      <c r="BA75" s="554"/>
      <c r="BB75" s="554"/>
      <c r="BC75" s="554"/>
      <c r="BD75" s="554"/>
      <c r="BE75" s="554"/>
      <c r="BF75" s="554"/>
      <c r="BG75" s="554"/>
      <c r="BH75" s="554">
        <v>1</v>
      </c>
      <c r="BI75" s="574"/>
    </row>
    <row r="76" spans="1:61" s="552" customFormat="1" ht="24" customHeight="1">
      <c r="A76" s="528"/>
      <c r="B76" s="522">
        <v>3111</v>
      </c>
      <c r="C76" s="566" t="s">
        <v>1072</v>
      </c>
      <c r="D76" s="565" t="s">
        <v>120</v>
      </c>
      <c r="E76" s="2371" t="s">
        <v>122</v>
      </c>
      <c r="F76" s="2371"/>
      <c r="G76" s="2371"/>
      <c r="H76" s="527">
        <v>2</v>
      </c>
      <c r="I76" s="526" t="str">
        <f t="shared" si="5"/>
        <v>3111-BLD-002</v>
      </c>
      <c r="J76" s="525" t="s">
        <v>5875</v>
      </c>
      <c r="K76" s="525"/>
      <c r="L76" s="519" t="s">
        <v>5742</v>
      </c>
      <c r="M76" s="519" t="s">
        <v>2969</v>
      </c>
      <c r="N76" s="560">
        <v>1</v>
      </c>
      <c r="O76" s="560" t="s">
        <v>154</v>
      </c>
      <c r="P76" s="564">
        <v>8</v>
      </c>
      <c r="Q76" s="564">
        <v>20</v>
      </c>
      <c r="R76" s="563">
        <v>8</v>
      </c>
      <c r="S76" s="498">
        <f t="shared" si="6"/>
        <v>160</v>
      </c>
      <c r="T76" s="498">
        <f t="shared" si="7"/>
        <v>160</v>
      </c>
      <c r="U76" s="498"/>
      <c r="V76" s="562" t="s">
        <v>5743</v>
      </c>
      <c r="W76" s="559" t="s">
        <v>5744</v>
      </c>
      <c r="X76" s="559" t="s">
        <v>5745</v>
      </c>
      <c r="Y76" s="561" t="s">
        <v>154</v>
      </c>
      <c r="Z76" s="561" t="s">
        <v>154</v>
      </c>
      <c r="AA76" s="561" t="s">
        <v>154</v>
      </c>
      <c r="AB76" s="561" t="s">
        <v>154</v>
      </c>
      <c r="AC76" s="561" t="s">
        <v>154</v>
      </c>
      <c r="AD76" s="560">
        <v>5</v>
      </c>
      <c r="AE76" s="561" t="s">
        <v>5746</v>
      </c>
      <c r="AF76" s="492" t="s">
        <v>5747</v>
      </c>
      <c r="AG76" s="557" t="s">
        <v>154</v>
      </c>
      <c r="AH76" s="557" t="s">
        <v>154</v>
      </c>
      <c r="AI76" s="559" t="s">
        <v>154</v>
      </c>
      <c r="AJ76" s="559" t="s">
        <v>154</v>
      </c>
      <c r="AK76" s="559" t="s">
        <v>154</v>
      </c>
      <c r="AL76" s="557" t="s">
        <v>154</v>
      </c>
      <c r="AM76" s="557" t="s">
        <v>154</v>
      </c>
      <c r="AN76" s="492" t="s">
        <v>5747</v>
      </c>
      <c r="AO76" s="559" t="s">
        <v>2872</v>
      </c>
      <c r="AP76" s="559" t="s">
        <v>5748</v>
      </c>
      <c r="AQ76" s="559" t="s">
        <v>154</v>
      </c>
      <c r="AR76" s="559" t="s">
        <v>154</v>
      </c>
      <c r="AS76" s="559"/>
      <c r="AT76" s="567"/>
      <c r="AU76" s="559"/>
      <c r="AV76" s="559"/>
      <c r="AW76" s="559"/>
      <c r="AX76" s="555"/>
      <c r="AY76" s="555"/>
      <c r="AZ76" s="555"/>
      <c r="BA76" s="554"/>
      <c r="BB76" s="554"/>
      <c r="BC76" s="554"/>
      <c r="BD76" s="554"/>
      <c r="BE76" s="554"/>
      <c r="BF76" s="554"/>
      <c r="BG76" s="554"/>
      <c r="BH76" s="554"/>
      <c r="BI76" s="574"/>
    </row>
    <row r="77" spans="1:61" s="552" customFormat="1" ht="24" customHeight="1">
      <c r="A77" s="528"/>
      <c r="B77" s="522">
        <v>3111</v>
      </c>
      <c r="C77" s="566" t="s">
        <v>1072</v>
      </c>
      <c r="D77" s="565" t="s">
        <v>120</v>
      </c>
      <c r="E77" s="2371" t="s">
        <v>122</v>
      </c>
      <c r="F77" s="2371"/>
      <c r="G77" s="2371"/>
      <c r="H77" s="527">
        <v>3</v>
      </c>
      <c r="I77" s="526" t="str">
        <f t="shared" si="5"/>
        <v>3111-BLD-003</v>
      </c>
      <c r="J77" s="525" t="s">
        <v>5876</v>
      </c>
      <c r="K77" s="525"/>
      <c r="L77" s="519" t="s">
        <v>5742</v>
      </c>
      <c r="M77" s="519" t="s">
        <v>2969</v>
      </c>
      <c r="N77" s="560">
        <v>1</v>
      </c>
      <c r="O77" s="560" t="s">
        <v>154</v>
      </c>
      <c r="P77" s="564">
        <v>8</v>
      </c>
      <c r="Q77" s="564">
        <v>20</v>
      </c>
      <c r="R77" s="563">
        <v>8</v>
      </c>
      <c r="S77" s="498">
        <f t="shared" si="6"/>
        <v>160</v>
      </c>
      <c r="T77" s="498">
        <f t="shared" si="7"/>
        <v>160</v>
      </c>
      <c r="U77" s="498"/>
      <c r="V77" s="562" t="s">
        <v>5743</v>
      </c>
      <c r="W77" s="559" t="s">
        <v>5744</v>
      </c>
      <c r="X77" s="559" t="s">
        <v>5745</v>
      </c>
      <c r="Y77" s="561" t="s">
        <v>154</v>
      </c>
      <c r="Z77" s="561" t="s">
        <v>154</v>
      </c>
      <c r="AA77" s="561" t="s">
        <v>154</v>
      </c>
      <c r="AB77" s="561" t="s">
        <v>154</v>
      </c>
      <c r="AC77" s="561" t="s">
        <v>154</v>
      </c>
      <c r="AD77" s="560">
        <v>5</v>
      </c>
      <c r="AE77" s="561" t="s">
        <v>5746</v>
      </c>
      <c r="AF77" s="492" t="s">
        <v>5747</v>
      </c>
      <c r="AG77" s="557" t="s">
        <v>154</v>
      </c>
      <c r="AH77" s="557" t="s">
        <v>154</v>
      </c>
      <c r="AI77" s="559" t="s">
        <v>154</v>
      </c>
      <c r="AJ77" s="559" t="s">
        <v>154</v>
      </c>
      <c r="AK77" s="559" t="s">
        <v>154</v>
      </c>
      <c r="AL77" s="557" t="s">
        <v>154</v>
      </c>
      <c r="AM77" s="557" t="s">
        <v>154</v>
      </c>
      <c r="AN77" s="492" t="s">
        <v>5747</v>
      </c>
      <c r="AO77" s="559" t="s">
        <v>2872</v>
      </c>
      <c r="AP77" s="559" t="s">
        <v>5748</v>
      </c>
      <c r="AQ77" s="559" t="s">
        <v>154</v>
      </c>
      <c r="AR77" s="559" t="s">
        <v>154</v>
      </c>
      <c r="AS77" s="559"/>
      <c r="AT77" s="567"/>
      <c r="AU77" s="559"/>
      <c r="AV77" s="559"/>
      <c r="AW77" s="559"/>
      <c r="AX77" s="555"/>
      <c r="AY77" s="555"/>
      <c r="AZ77" s="555"/>
      <c r="BA77" s="554"/>
      <c r="BB77" s="554"/>
      <c r="BC77" s="554"/>
      <c r="BD77" s="554"/>
      <c r="BE77" s="554"/>
      <c r="BF77" s="554"/>
      <c r="BG77" s="554"/>
      <c r="BH77" s="554"/>
      <c r="BI77" s="574"/>
    </row>
    <row r="78" spans="1:61" s="552" customFormat="1" ht="24" customHeight="1">
      <c r="A78" s="528"/>
      <c r="B78" s="522">
        <v>3111</v>
      </c>
      <c r="C78" s="566" t="s">
        <v>1072</v>
      </c>
      <c r="D78" s="565" t="s">
        <v>120</v>
      </c>
      <c r="E78" s="2371" t="s">
        <v>122</v>
      </c>
      <c r="F78" s="2371"/>
      <c r="G78" s="2371"/>
      <c r="H78" s="527">
        <v>4</v>
      </c>
      <c r="I78" s="526" t="str">
        <f t="shared" si="5"/>
        <v>3111-BLD-004</v>
      </c>
      <c r="J78" s="525" t="s">
        <v>5877</v>
      </c>
      <c r="K78" s="525" t="s">
        <v>5878</v>
      </c>
      <c r="L78" s="519" t="s">
        <v>5742</v>
      </c>
      <c r="M78" s="519" t="s">
        <v>2969</v>
      </c>
      <c r="N78" s="560">
        <v>1</v>
      </c>
      <c r="O78" s="560" t="s">
        <v>154</v>
      </c>
      <c r="P78" s="564">
        <v>8</v>
      </c>
      <c r="Q78" s="564">
        <v>20</v>
      </c>
      <c r="R78" s="563">
        <v>8</v>
      </c>
      <c r="S78" s="498">
        <f t="shared" si="6"/>
        <v>160</v>
      </c>
      <c r="T78" s="498">
        <f t="shared" si="7"/>
        <v>160</v>
      </c>
      <c r="U78" s="498"/>
      <c r="V78" s="562" t="s">
        <v>5743</v>
      </c>
      <c r="W78" s="559" t="s">
        <v>5744</v>
      </c>
      <c r="X78" s="559" t="s">
        <v>5745</v>
      </c>
      <c r="Y78" s="561" t="s">
        <v>154</v>
      </c>
      <c r="Z78" s="561" t="s">
        <v>154</v>
      </c>
      <c r="AA78" s="561" t="s">
        <v>154</v>
      </c>
      <c r="AB78" s="561" t="s">
        <v>154</v>
      </c>
      <c r="AC78" s="561" t="s">
        <v>154</v>
      </c>
      <c r="AD78" s="560">
        <v>5</v>
      </c>
      <c r="AE78" s="561" t="s">
        <v>5746</v>
      </c>
      <c r="AF78" s="492" t="s">
        <v>5747</v>
      </c>
      <c r="AG78" s="557" t="s">
        <v>154</v>
      </c>
      <c r="AH78" s="557" t="s">
        <v>154</v>
      </c>
      <c r="AI78" s="559" t="s">
        <v>154</v>
      </c>
      <c r="AJ78" s="559" t="s">
        <v>154</v>
      </c>
      <c r="AK78" s="559" t="s">
        <v>154</v>
      </c>
      <c r="AL78" s="557" t="s">
        <v>154</v>
      </c>
      <c r="AM78" s="557" t="s">
        <v>154</v>
      </c>
      <c r="AN78" s="492" t="s">
        <v>5747</v>
      </c>
      <c r="AO78" s="559" t="s">
        <v>2872</v>
      </c>
      <c r="AP78" s="559" t="s">
        <v>5748</v>
      </c>
      <c r="AQ78" s="559" t="s">
        <v>154</v>
      </c>
      <c r="AR78" s="559" t="s">
        <v>154</v>
      </c>
      <c r="AS78" s="559"/>
      <c r="AT78" s="567"/>
      <c r="AU78" s="559"/>
      <c r="AV78" s="559"/>
      <c r="AW78" s="559"/>
      <c r="AX78" s="555"/>
      <c r="AY78" s="555"/>
      <c r="AZ78" s="555"/>
      <c r="BA78" s="554"/>
      <c r="BB78" s="554"/>
      <c r="BC78" s="554"/>
      <c r="BD78" s="554"/>
      <c r="BE78" s="554"/>
      <c r="BF78" s="554"/>
      <c r="BG78" s="554"/>
      <c r="BH78" s="554">
        <v>1</v>
      </c>
      <c r="BI78" s="574"/>
    </row>
    <row r="79" spans="1:61" s="552" customFormat="1" ht="24" customHeight="1">
      <c r="A79" s="528"/>
      <c r="B79" s="522">
        <v>3112</v>
      </c>
      <c r="C79" s="566" t="s">
        <v>1072</v>
      </c>
      <c r="D79" s="565" t="s">
        <v>120</v>
      </c>
      <c r="E79" s="2371" t="s">
        <v>122</v>
      </c>
      <c r="F79" s="2371"/>
      <c r="G79" s="2371"/>
      <c r="H79" s="527">
        <v>1</v>
      </c>
      <c r="I79" s="526" t="str">
        <f t="shared" si="5"/>
        <v>3112-BLD-001</v>
      </c>
      <c r="J79" s="525" t="s">
        <v>5879</v>
      </c>
      <c r="K79" s="525" t="s">
        <v>5880</v>
      </c>
      <c r="L79" s="519" t="s">
        <v>5742</v>
      </c>
      <c r="M79" s="519" t="s">
        <v>2969</v>
      </c>
      <c r="N79" s="560">
        <v>1</v>
      </c>
      <c r="O79" s="560" t="s">
        <v>154</v>
      </c>
      <c r="P79" s="564">
        <v>8</v>
      </c>
      <c r="Q79" s="564">
        <v>20</v>
      </c>
      <c r="R79" s="563">
        <v>8</v>
      </c>
      <c r="S79" s="498">
        <f t="shared" si="6"/>
        <v>160</v>
      </c>
      <c r="T79" s="498">
        <f t="shared" si="7"/>
        <v>160</v>
      </c>
      <c r="U79" s="498"/>
      <c r="V79" s="562" t="s">
        <v>5743</v>
      </c>
      <c r="W79" s="559" t="s">
        <v>5744</v>
      </c>
      <c r="X79" s="559" t="s">
        <v>5745</v>
      </c>
      <c r="Y79" s="561" t="s">
        <v>154</v>
      </c>
      <c r="Z79" s="561" t="s">
        <v>154</v>
      </c>
      <c r="AA79" s="561" t="s">
        <v>154</v>
      </c>
      <c r="AB79" s="561" t="s">
        <v>154</v>
      </c>
      <c r="AC79" s="561" t="s">
        <v>154</v>
      </c>
      <c r="AD79" s="560">
        <v>5</v>
      </c>
      <c r="AE79" s="561" t="s">
        <v>5746</v>
      </c>
      <c r="AF79" s="492" t="s">
        <v>5747</v>
      </c>
      <c r="AG79" s="557" t="s">
        <v>154</v>
      </c>
      <c r="AH79" s="557" t="s">
        <v>154</v>
      </c>
      <c r="AI79" s="559" t="s">
        <v>154</v>
      </c>
      <c r="AJ79" s="559" t="s">
        <v>154</v>
      </c>
      <c r="AK79" s="559" t="s">
        <v>154</v>
      </c>
      <c r="AL79" s="557" t="s">
        <v>154</v>
      </c>
      <c r="AM79" s="557" t="s">
        <v>154</v>
      </c>
      <c r="AN79" s="492" t="s">
        <v>5747</v>
      </c>
      <c r="AO79" s="559" t="s">
        <v>2872</v>
      </c>
      <c r="AP79" s="559" t="s">
        <v>5748</v>
      </c>
      <c r="AQ79" s="559" t="s">
        <v>154</v>
      </c>
      <c r="AR79" s="559" t="s">
        <v>154</v>
      </c>
      <c r="AS79" s="559"/>
      <c r="AT79" s="567"/>
      <c r="AU79" s="559"/>
      <c r="AV79" s="559"/>
      <c r="AW79" s="559"/>
      <c r="AX79" s="555"/>
      <c r="AY79" s="555"/>
      <c r="AZ79" s="555"/>
      <c r="BA79" s="554"/>
      <c r="BB79" s="554"/>
      <c r="BC79" s="554"/>
      <c r="BD79" s="554"/>
      <c r="BE79" s="554"/>
      <c r="BF79" s="554"/>
      <c r="BG79" s="554"/>
      <c r="BH79" s="554">
        <v>1</v>
      </c>
      <c r="BI79" s="574"/>
    </row>
    <row r="80" spans="1:61" s="552" customFormat="1" ht="24" customHeight="1">
      <c r="A80" s="528"/>
      <c r="B80" s="522">
        <v>3112</v>
      </c>
      <c r="C80" s="566" t="s">
        <v>1072</v>
      </c>
      <c r="D80" s="565" t="s">
        <v>120</v>
      </c>
      <c r="E80" s="2371" t="s">
        <v>122</v>
      </c>
      <c r="F80" s="2371"/>
      <c r="G80" s="2371"/>
      <c r="H80" s="527">
        <v>2</v>
      </c>
      <c r="I80" s="526" t="str">
        <f t="shared" si="5"/>
        <v>3112-BLD-002</v>
      </c>
      <c r="J80" s="525" t="s">
        <v>5881</v>
      </c>
      <c r="K80" s="525" t="s">
        <v>5878</v>
      </c>
      <c r="L80" s="519" t="s">
        <v>5742</v>
      </c>
      <c r="M80" s="519" t="s">
        <v>2969</v>
      </c>
      <c r="N80" s="560">
        <v>1</v>
      </c>
      <c r="O80" s="560" t="s">
        <v>154</v>
      </c>
      <c r="P80" s="564">
        <v>8</v>
      </c>
      <c r="Q80" s="564">
        <v>20</v>
      </c>
      <c r="R80" s="563">
        <v>8</v>
      </c>
      <c r="S80" s="498">
        <f t="shared" si="6"/>
        <v>160</v>
      </c>
      <c r="T80" s="498">
        <f t="shared" si="7"/>
        <v>160</v>
      </c>
      <c r="U80" s="498"/>
      <c r="V80" s="562" t="s">
        <v>5743</v>
      </c>
      <c r="W80" s="559" t="s">
        <v>5744</v>
      </c>
      <c r="X80" s="559" t="s">
        <v>5745</v>
      </c>
      <c r="Y80" s="561" t="s">
        <v>154</v>
      </c>
      <c r="Z80" s="561" t="s">
        <v>154</v>
      </c>
      <c r="AA80" s="561" t="s">
        <v>154</v>
      </c>
      <c r="AB80" s="561" t="s">
        <v>154</v>
      </c>
      <c r="AC80" s="561" t="s">
        <v>154</v>
      </c>
      <c r="AD80" s="560">
        <v>5</v>
      </c>
      <c r="AE80" s="561" t="s">
        <v>5746</v>
      </c>
      <c r="AF80" s="492" t="s">
        <v>5747</v>
      </c>
      <c r="AG80" s="557" t="s">
        <v>154</v>
      </c>
      <c r="AH80" s="557" t="s">
        <v>154</v>
      </c>
      <c r="AI80" s="559" t="s">
        <v>154</v>
      </c>
      <c r="AJ80" s="559" t="s">
        <v>154</v>
      </c>
      <c r="AK80" s="559" t="s">
        <v>154</v>
      </c>
      <c r="AL80" s="557" t="s">
        <v>154</v>
      </c>
      <c r="AM80" s="557" t="s">
        <v>154</v>
      </c>
      <c r="AN80" s="492" t="s">
        <v>5747</v>
      </c>
      <c r="AO80" s="559" t="s">
        <v>2872</v>
      </c>
      <c r="AP80" s="559" t="s">
        <v>5748</v>
      </c>
      <c r="AQ80" s="559" t="s">
        <v>154</v>
      </c>
      <c r="AR80" s="559" t="s">
        <v>154</v>
      </c>
      <c r="AS80" s="559"/>
      <c r="AT80" s="567"/>
      <c r="AU80" s="559"/>
      <c r="AV80" s="559"/>
      <c r="AW80" s="559"/>
      <c r="AX80" s="555"/>
      <c r="AY80" s="555"/>
      <c r="AZ80" s="555"/>
      <c r="BA80" s="554"/>
      <c r="BB80" s="554"/>
      <c r="BC80" s="554"/>
      <c r="BD80" s="554"/>
      <c r="BE80" s="554"/>
      <c r="BF80" s="554"/>
      <c r="BG80" s="554"/>
      <c r="BH80" s="554">
        <v>1</v>
      </c>
      <c r="BI80" s="574"/>
    </row>
    <row r="81" spans="1:61" s="552" customFormat="1" ht="24" customHeight="1">
      <c r="A81" s="528"/>
      <c r="B81" s="522">
        <v>3112</v>
      </c>
      <c r="C81" s="566" t="s">
        <v>1072</v>
      </c>
      <c r="D81" s="565" t="s">
        <v>120</v>
      </c>
      <c r="E81" s="2371" t="s">
        <v>122</v>
      </c>
      <c r="F81" s="2371"/>
      <c r="G81" s="2371"/>
      <c r="H81" s="527">
        <v>3</v>
      </c>
      <c r="I81" s="526" t="str">
        <f t="shared" si="5"/>
        <v>3112-BLD-003</v>
      </c>
      <c r="J81" s="525" t="s">
        <v>5882</v>
      </c>
      <c r="K81" s="525"/>
      <c r="L81" s="519" t="s">
        <v>5742</v>
      </c>
      <c r="M81" s="519" t="s">
        <v>2969</v>
      </c>
      <c r="N81" s="560">
        <v>1</v>
      </c>
      <c r="O81" s="560" t="s">
        <v>154</v>
      </c>
      <c r="P81" s="564">
        <v>8</v>
      </c>
      <c r="Q81" s="564">
        <v>20</v>
      </c>
      <c r="R81" s="563">
        <v>8</v>
      </c>
      <c r="S81" s="498">
        <f t="shared" si="6"/>
        <v>160</v>
      </c>
      <c r="T81" s="498">
        <f t="shared" si="7"/>
        <v>160</v>
      </c>
      <c r="U81" s="498"/>
      <c r="V81" s="562" t="s">
        <v>5743</v>
      </c>
      <c r="W81" s="559" t="s">
        <v>5744</v>
      </c>
      <c r="X81" s="559" t="s">
        <v>5745</v>
      </c>
      <c r="Y81" s="561" t="s">
        <v>154</v>
      </c>
      <c r="Z81" s="561" t="s">
        <v>154</v>
      </c>
      <c r="AA81" s="561" t="s">
        <v>154</v>
      </c>
      <c r="AB81" s="561" t="s">
        <v>154</v>
      </c>
      <c r="AC81" s="561" t="s">
        <v>154</v>
      </c>
      <c r="AD81" s="560">
        <v>5</v>
      </c>
      <c r="AE81" s="561" t="s">
        <v>5746</v>
      </c>
      <c r="AF81" s="492" t="s">
        <v>5747</v>
      </c>
      <c r="AG81" s="557" t="s">
        <v>154</v>
      </c>
      <c r="AH81" s="557" t="s">
        <v>154</v>
      </c>
      <c r="AI81" s="559" t="s">
        <v>154</v>
      </c>
      <c r="AJ81" s="559" t="s">
        <v>154</v>
      </c>
      <c r="AK81" s="559" t="s">
        <v>154</v>
      </c>
      <c r="AL81" s="557" t="s">
        <v>154</v>
      </c>
      <c r="AM81" s="557" t="s">
        <v>154</v>
      </c>
      <c r="AN81" s="492" t="s">
        <v>5747</v>
      </c>
      <c r="AO81" s="559" t="s">
        <v>2872</v>
      </c>
      <c r="AP81" s="559" t="s">
        <v>5748</v>
      </c>
      <c r="AQ81" s="559" t="s">
        <v>154</v>
      </c>
      <c r="AR81" s="559" t="s">
        <v>154</v>
      </c>
      <c r="AS81" s="559"/>
      <c r="AT81" s="567"/>
      <c r="AU81" s="559"/>
      <c r="AV81" s="559"/>
      <c r="AW81" s="559"/>
      <c r="AX81" s="555"/>
      <c r="AY81" s="555"/>
      <c r="AZ81" s="555"/>
      <c r="BA81" s="554"/>
      <c r="BB81" s="554"/>
      <c r="BC81" s="554"/>
      <c r="BD81" s="554"/>
      <c r="BE81" s="554"/>
      <c r="BF81" s="554"/>
      <c r="BG81" s="554"/>
      <c r="BH81" s="554">
        <v>1</v>
      </c>
      <c r="BI81" s="574"/>
    </row>
    <row r="82" spans="1:61" s="552" customFormat="1" ht="24" customHeight="1">
      <c r="A82" s="528"/>
      <c r="B82" s="522">
        <v>3112</v>
      </c>
      <c r="C82" s="566" t="s">
        <v>1072</v>
      </c>
      <c r="D82" s="565" t="s">
        <v>120</v>
      </c>
      <c r="E82" s="2371" t="s">
        <v>122</v>
      </c>
      <c r="F82" s="2371"/>
      <c r="G82" s="2371"/>
      <c r="H82" s="527">
        <v>4</v>
      </c>
      <c r="I82" s="526" t="str">
        <f t="shared" si="5"/>
        <v>3112-BLD-004</v>
      </c>
      <c r="J82" s="525" t="s">
        <v>5883</v>
      </c>
      <c r="K82" s="525"/>
      <c r="L82" s="519" t="s">
        <v>5742</v>
      </c>
      <c r="M82" s="519" t="s">
        <v>2969</v>
      </c>
      <c r="N82" s="560">
        <v>1</v>
      </c>
      <c r="O82" s="560" t="s">
        <v>154</v>
      </c>
      <c r="P82" s="564">
        <v>8</v>
      </c>
      <c r="Q82" s="564">
        <v>20</v>
      </c>
      <c r="R82" s="563">
        <v>8</v>
      </c>
      <c r="S82" s="498">
        <f t="shared" si="6"/>
        <v>160</v>
      </c>
      <c r="T82" s="498">
        <f t="shared" si="7"/>
        <v>160</v>
      </c>
      <c r="U82" s="498"/>
      <c r="V82" s="562" t="s">
        <v>5743</v>
      </c>
      <c r="W82" s="559" t="s">
        <v>5744</v>
      </c>
      <c r="X82" s="559" t="s">
        <v>5745</v>
      </c>
      <c r="Y82" s="561" t="s">
        <v>154</v>
      </c>
      <c r="Z82" s="561" t="s">
        <v>154</v>
      </c>
      <c r="AA82" s="561" t="s">
        <v>154</v>
      </c>
      <c r="AB82" s="561" t="s">
        <v>154</v>
      </c>
      <c r="AC82" s="561" t="s">
        <v>154</v>
      </c>
      <c r="AD82" s="560">
        <v>5</v>
      </c>
      <c r="AE82" s="561" t="s">
        <v>5746</v>
      </c>
      <c r="AF82" s="492" t="s">
        <v>5747</v>
      </c>
      <c r="AG82" s="557" t="s">
        <v>154</v>
      </c>
      <c r="AH82" s="557" t="s">
        <v>154</v>
      </c>
      <c r="AI82" s="559" t="s">
        <v>154</v>
      </c>
      <c r="AJ82" s="559" t="s">
        <v>154</v>
      </c>
      <c r="AK82" s="559" t="s">
        <v>154</v>
      </c>
      <c r="AL82" s="557" t="s">
        <v>154</v>
      </c>
      <c r="AM82" s="557" t="s">
        <v>154</v>
      </c>
      <c r="AN82" s="492" t="s">
        <v>5747</v>
      </c>
      <c r="AO82" s="559" t="s">
        <v>2872</v>
      </c>
      <c r="AP82" s="559" t="s">
        <v>5748</v>
      </c>
      <c r="AQ82" s="559" t="s">
        <v>154</v>
      </c>
      <c r="AR82" s="559" t="s">
        <v>154</v>
      </c>
      <c r="AS82" s="559"/>
      <c r="AT82" s="567"/>
      <c r="AU82" s="559"/>
      <c r="AV82" s="559"/>
      <c r="AW82" s="559"/>
      <c r="AX82" s="555"/>
      <c r="AY82" s="555"/>
      <c r="AZ82" s="555"/>
      <c r="BA82" s="554"/>
      <c r="BB82" s="554"/>
      <c r="BC82" s="554"/>
      <c r="BD82" s="554"/>
      <c r="BE82" s="554"/>
      <c r="BF82" s="554"/>
      <c r="BG82" s="554"/>
      <c r="BH82" s="554">
        <v>1</v>
      </c>
      <c r="BI82" s="574"/>
    </row>
    <row r="83" spans="1:61" s="552" customFormat="1" ht="24" customHeight="1">
      <c r="A83" s="528"/>
      <c r="B83" s="522">
        <v>3113</v>
      </c>
      <c r="C83" s="566" t="s">
        <v>1072</v>
      </c>
      <c r="D83" s="565" t="s">
        <v>120</v>
      </c>
      <c r="E83" s="2371" t="s">
        <v>122</v>
      </c>
      <c r="F83" s="2371"/>
      <c r="G83" s="2371"/>
      <c r="H83" s="527">
        <v>1</v>
      </c>
      <c r="I83" s="526" t="str">
        <f t="shared" si="5"/>
        <v>3113-BLD-001</v>
      </c>
      <c r="J83" s="525" t="s">
        <v>5884</v>
      </c>
      <c r="K83" s="525" t="s">
        <v>5878</v>
      </c>
      <c r="L83" s="519" t="s">
        <v>5742</v>
      </c>
      <c r="M83" s="519" t="s">
        <v>2969</v>
      </c>
      <c r="N83" s="560">
        <v>1</v>
      </c>
      <c r="O83" s="560" t="s">
        <v>154</v>
      </c>
      <c r="P83" s="564">
        <v>8</v>
      </c>
      <c r="Q83" s="564">
        <v>20</v>
      </c>
      <c r="R83" s="563">
        <v>8</v>
      </c>
      <c r="S83" s="498">
        <f t="shared" si="6"/>
        <v>160</v>
      </c>
      <c r="T83" s="498">
        <f t="shared" si="7"/>
        <v>160</v>
      </c>
      <c r="U83" s="498"/>
      <c r="V83" s="562" t="s">
        <v>5743</v>
      </c>
      <c r="W83" s="559" t="s">
        <v>5744</v>
      </c>
      <c r="X83" s="559" t="s">
        <v>5745</v>
      </c>
      <c r="Y83" s="561" t="s">
        <v>154</v>
      </c>
      <c r="Z83" s="561" t="s">
        <v>154</v>
      </c>
      <c r="AA83" s="561" t="s">
        <v>154</v>
      </c>
      <c r="AB83" s="561" t="s">
        <v>154</v>
      </c>
      <c r="AC83" s="561" t="s">
        <v>154</v>
      </c>
      <c r="AD83" s="560">
        <v>5</v>
      </c>
      <c r="AE83" s="561" t="s">
        <v>5746</v>
      </c>
      <c r="AF83" s="492" t="s">
        <v>5747</v>
      </c>
      <c r="AG83" s="557" t="s">
        <v>154</v>
      </c>
      <c r="AH83" s="557" t="s">
        <v>154</v>
      </c>
      <c r="AI83" s="559" t="s">
        <v>154</v>
      </c>
      <c r="AJ83" s="559" t="s">
        <v>154</v>
      </c>
      <c r="AK83" s="559" t="s">
        <v>154</v>
      </c>
      <c r="AL83" s="557" t="s">
        <v>154</v>
      </c>
      <c r="AM83" s="557" t="s">
        <v>154</v>
      </c>
      <c r="AN83" s="492" t="s">
        <v>5747</v>
      </c>
      <c r="AO83" s="559" t="s">
        <v>2872</v>
      </c>
      <c r="AP83" s="559" t="s">
        <v>5748</v>
      </c>
      <c r="AQ83" s="559" t="s">
        <v>154</v>
      </c>
      <c r="AR83" s="559" t="s">
        <v>154</v>
      </c>
      <c r="AS83" s="559"/>
      <c r="AT83" s="567"/>
      <c r="AU83" s="559"/>
      <c r="AV83" s="559"/>
      <c r="AW83" s="559"/>
      <c r="AX83" s="555"/>
      <c r="AY83" s="555"/>
      <c r="AZ83" s="555"/>
      <c r="BA83" s="554"/>
      <c r="BB83" s="554"/>
      <c r="BC83" s="554"/>
      <c r="BD83" s="554"/>
      <c r="BE83" s="554"/>
      <c r="BF83" s="554"/>
      <c r="BG83" s="554"/>
      <c r="BH83" s="554">
        <v>1</v>
      </c>
      <c r="BI83" s="574"/>
    </row>
    <row r="84" spans="1:61" s="552" customFormat="1" ht="24" customHeight="1">
      <c r="A84" s="528"/>
      <c r="B84" s="522">
        <v>3113</v>
      </c>
      <c r="C84" s="566" t="s">
        <v>1072</v>
      </c>
      <c r="D84" s="565" t="s">
        <v>120</v>
      </c>
      <c r="E84" s="2371" t="s">
        <v>122</v>
      </c>
      <c r="F84" s="2371"/>
      <c r="G84" s="2371"/>
      <c r="H84" s="527">
        <v>2</v>
      </c>
      <c r="I84" s="526" t="str">
        <f t="shared" si="5"/>
        <v>3113-BLD-002</v>
      </c>
      <c r="J84" s="525" t="s">
        <v>5885</v>
      </c>
      <c r="K84" s="525"/>
      <c r="L84" s="519" t="s">
        <v>5742</v>
      </c>
      <c r="M84" s="519" t="s">
        <v>2969</v>
      </c>
      <c r="N84" s="560">
        <v>1</v>
      </c>
      <c r="O84" s="560" t="s">
        <v>154</v>
      </c>
      <c r="P84" s="564">
        <v>8</v>
      </c>
      <c r="Q84" s="564">
        <v>20</v>
      </c>
      <c r="R84" s="563">
        <v>8</v>
      </c>
      <c r="S84" s="498">
        <f t="shared" si="6"/>
        <v>160</v>
      </c>
      <c r="T84" s="498">
        <f t="shared" si="7"/>
        <v>160</v>
      </c>
      <c r="U84" s="498"/>
      <c r="V84" s="562" t="s">
        <v>5743</v>
      </c>
      <c r="W84" s="559" t="s">
        <v>5744</v>
      </c>
      <c r="X84" s="559" t="s">
        <v>5745</v>
      </c>
      <c r="Y84" s="561" t="s">
        <v>154</v>
      </c>
      <c r="Z84" s="561" t="s">
        <v>154</v>
      </c>
      <c r="AA84" s="561" t="s">
        <v>154</v>
      </c>
      <c r="AB84" s="561" t="s">
        <v>154</v>
      </c>
      <c r="AC84" s="561" t="s">
        <v>154</v>
      </c>
      <c r="AD84" s="560">
        <v>5</v>
      </c>
      <c r="AE84" s="561" t="s">
        <v>5746</v>
      </c>
      <c r="AF84" s="492" t="s">
        <v>5747</v>
      </c>
      <c r="AG84" s="557" t="s">
        <v>154</v>
      </c>
      <c r="AH84" s="557" t="s">
        <v>154</v>
      </c>
      <c r="AI84" s="559" t="s">
        <v>154</v>
      </c>
      <c r="AJ84" s="559" t="s">
        <v>154</v>
      </c>
      <c r="AK84" s="559" t="s">
        <v>154</v>
      </c>
      <c r="AL84" s="557" t="s">
        <v>154</v>
      </c>
      <c r="AM84" s="557" t="s">
        <v>154</v>
      </c>
      <c r="AN84" s="492" t="s">
        <v>5747</v>
      </c>
      <c r="AO84" s="559" t="s">
        <v>2872</v>
      </c>
      <c r="AP84" s="559" t="s">
        <v>5748</v>
      </c>
      <c r="AQ84" s="559" t="s">
        <v>154</v>
      </c>
      <c r="AR84" s="559" t="s">
        <v>154</v>
      </c>
      <c r="AS84" s="559"/>
      <c r="AT84" s="567"/>
      <c r="AU84" s="559"/>
      <c r="AV84" s="559"/>
      <c r="AW84" s="559"/>
      <c r="AX84" s="555"/>
      <c r="AY84" s="555"/>
      <c r="AZ84" s="555"/>
      <c r="BA84" s="554"/>
      <c r="BB84" s="554"/>
      <c r="BC84" s="554"/>
      <c r="BD84" s="554"/>
      <c r="BE84" s="554"/>
      <c r="BF84" s="554"/>
      <c r="BG84" s="554"/>
      <c r="BH84" s="554">
        <v>1</v>
      </c>
      <c r="BI84" s="574"/>
    </row>
    <row r="85" spans="1:61" s="508" customFormat="1" ht="24" customHeight="1">
      <c r="A85" s="528"/>
      <c r="B85" s="632">
        <v>3113</v>
      </c>
      <c r="C85" s="566" t="s">
        <v>1072</v>
      </c>
      <c r="D85" s="565" t="s">
        <v>120</v>
      </c>
      <c r="E85" s="2371" t="s">
        <v>122</v>
      </c>
      <c r="F85" s="2371"/>
      <c r="G85" s="2371"/>
      <c r="H85" s="527">
        <v>3</v>
      </c>
      <c r="I85" s="526" t="str">
        <f t="shared" si="5"/>
        <v>3113-BLD-003</v>
      </c>
      <c r="J85" s="525" t="s">
        <v>5886</v>
      </c>
      <c r="K85" s="525" t="s">
        <v>5887</v>
      </c>
      <c r="L85" s="519" t="s">
        <v>5742</v>
      </c>
      <c r="M85" s="519" t="s">
        <v>2969</v>
      </c>
      <c r="N85" s="522">
        <v>1</v>
      </c>
      <c r="O85" s="522" t="s">
        <v>154</v>
      </c>
      <c r="P85" s="563">
        <v>8</v>
      </c>
      <c r="Q85" s="563">
        <v>20</v>
      </c>
      <c r="R85" s="563">
        <v>8</v>
      </c>
      <c r="S85" s="498">
        <f t="shared" si="6"/>
        <v>160</v>
      </c>
      <c r="T85" s="498">
        <f t="shared" si="7"/>
        <v>160</v>
      </c>
      <c r="U85" s="520"/>
      <c r="V85" s="519" t="s">
        <v>5743</v>
      </c>
      <c r="W85" s="518" t="s">
        <v>5744</v>
      </c>
      <c r="X85" s="518" t="s">
        <v>5745</v>
      </c>
      <c r="Y85" s="590" t="s">
        <v>154</v>
      </c>
      <c r="Z85" s="590" t="s">
        <v>154</v>
      </c>
      <c r="AA85" s="590" t="s">
        <v>154</v>
      </c>
      <c r="AB85" s="590" t="s">
        <v>154</v>
      </c>
      <c r="AC85" s="590" t="s">
        <v>154</v>
      </c>
      <c r="AD85" s="522">
        <v>5</v>
      </c>
      <c r="AE85" s="590" t="s">
        <v>5746</v>
      </c>
      <c r="AF85" s="589" t="s">
        <v>5747</v>
      </c>
      <c r="AG85" s="588" t="s">
        <v>154</v>
      </c>
      <c r="AH85" s="588" t="s">
        <v>154</v>
      </c>
      <c r="AI85" s="518" t="s">
        <v>154</v>
      </c>
      <c r="AJ85" s="518" t="s">
        <v>154</v>
      </c>
      <c r="AK85" s="518" t="s">
        <v>154</v>
      </c>
      <c r="AL85" s="588" t="s">
        <v>154</v>
      </c>
      <c r="AM85" s="588" t="s">
        <v>154</v>
      </c>
      <c r="AN85" s="589" t="s">
        <v>5747</v>
      </c>
      <c r="AO85" s="518" t="s">
        <v>2872</v>
      </c>
      <c r="AP85" s="518" t="s">
        <v>5748</v>
      </c>
      <c r="AQ85" s="518" t="s">
        <v>154</v>
      </c>
      <c r="AR85" s="518" t="s">
        <v>154</v>
      </c>
      <c r="AS85" s="514"/>
      <c r="AT85" s="631"/>
      <c r="AU85" s="514"/>
      <c r="AV85" s="514"/>
      <c r="AW85" s="514"/>
      <c r="AX85" s="630"/>
      <c r="AY85" s="630"/>
      <c r="AZ85" s="630"/>
      <c r="BA85" s="629"/>
      <c r="BB85" s="629"/>
      <c r="BC85" s="629"/>
      <c r="BD85" s="629"/>
      <c r="BE85" s="629"/>
      <c r="BF85" s="629"/>
      <c r="BG85" s="629"/>
      <c r="BH85" s="629">
        <v>1</v>
      </c>
      <c r="BI85" s="628"/>
    </row>
    <row r="86" spans="1:61" ht="24" customHeight="1">
      <c r="A86" s="528"/>
      <c r="B86" s="506">
        <v>3160</v>
      </c>
      <c r="C86" s="505" t="s">
        <v>1072</v>
      </c>
      <c r="D86" s="504" t="s">
        <v>120</v>
      </c>
      <c r="E86" s="2369" t="s">
        <v>1278</v>
      </c>
      <c r="F86" s="2369"/>
      <c r="G86" s="2369"/>
      <c r="H86" s="503">
        <v>1</v>
      </c>
      <c r="I86" s="502" t="str">
        <f t="shared" si="5"/>
        <v>3160-BLD-001</v>
      </c>
      <c r="J86" s="501" t="s">
        <v>5888</v>
      </c>
      <c r="K86" s="501" t="s">
        <v>5889</v>
      </c>
      <c r="L86" s="493" t="s">
        <v>4158</v>
      </c>
      <c r="M86" s="493" t="s">
        <v>2969</v>
      </c>
      <c r="N86" s="494">
        <v>1</v>
      </c>
      <c r="O86" s="494">
        <v>2</v>
      </c>
      <c r="P86" s="500">
        <v>8</v>
      </c>
      <c r="Q86" s="500">
        <v>20</v>
      </c>
      <c r="R86" s="499">
        <v>8</v>
      </c>
      <c r="S86" s="497">
        <f t="shared" si="6"/>
        <v>160</v>
      </c>
      <c r="T86" s="498">
        <f t="shared" si="7"/>
        <v>160</v>
      </c>
      <c r="U86" s="497" t="s">
        <v>5859</v>
      </c>
      <c r="V86" s="496" t="s">
        <v>5743</v>
      </c>
      <c r="W86" s="489" t="s">
        <v>5787</v>
      </c>
      <c r="X86" s="489" t="s">
        <v>5745</v>
      </c>
      <c r="Y86" s="495" t="s">
        <v>154</v>
      </c>
      <c r="Z86" s="495" t="s">
        <v>154</v>
      </c>
      <c r="AA86" s="495" t="s">
        <v>154</v>
      </c>
      <c r="AB86" s="495" t="s">
        <v>154</v>
      </c>
      <c r="AC86" s="490" t="s">
        <v>5747</v>
      </c>
      <c r="AD86" s="494">
        <v>22</v>
      </c>
      <c r="AE86" s="495" t="s">
        <v>5746</v>
      </c>
      <c r="AF86" s="489" t="s">
        <v>154</v>
      </c>
      <c r="AG86" s="491" t="s">
        <v>154</v>
      </c>
      <c r="AH86" s="491" t="s">
        <v>154</v>
      </c>
      <c r="AI86" s="489" t="s">
        <v>154</v>
      </c>
      <c r="AJ86" s="489" t="s">
        <v>154</v>
      </c>
      <c r="AK86" s="489" t="s">
        <v>154</v>
      </c>
      <c r="AL86" s="491" t="s">
        <v>154</v>
      </c>
      <c r="AM86" s="491" t="s">
        <v>154</v>
      </c>
      <c r="AN86" s="492" t="s">
        <v>5747</v>
      </c>
      <c r="AO86" s="489" t="s">
        <v>2872</v>
      </c>
      <c r="AP86" s="489" t="s">
        <v>154</v>
      </c>
      <c r="AQ86" s="489" t="s">
        <v>154</v>
      </c>
      <c r="AR86" s="489" t="s">
        <v>154</v>
      </c>
      <c r="AS86" s="487"/>
      <c r="AT86" s="488"/>
      <c r="AU86" s="487"/>
      <c r="AV86" s="487"/>
      <c r="AW86" s="487"/>
      <c r="AX86" s="569"/>
      <c r="AY86" s="569"/>
      <c r="AZ86" s="569"/>
      <c r="BA86" s="568"/>
      <c r="BB86" s="568"/>
      <c r="BC86" s="568"/>
      <c r="BD86" s="568"/>
      <c r="BE86" s="568"/>
      <c r="BF86" s="568"/>
      <c r="BG86" s="568">
        <v>1</v>
      </c>
      <c r="BH86" s="568">
        <v>1</v>
      </c>
      <c r="BI86" s="457"/>
    </row>
    <row r="87" spans="1:61" ht="24" customHeight="1">
      <c r="A87" s="528"/>
      <c r="B87" s="506">
        <v>3160</v>
      </c>
      <c r="C87" s="505" t="s">
        <v>1072</v>
      </c>
      <c r="D87" s="504" t="s">
        <v>120</v>
      </c>
      <c r="E87" s="2369" t="s">
        <v>1278</v>
      </c>
      <c r="F87" s="2369"/>
      <c r="G87" s="2369"/>
      <c r="H87" s="503">
        <v>2</v>
      </c>
      <c r="I87" s="502" t="str">
        <f t="shared" si="5"/>
        <v>3160-BLD-002</v>
      </c>
      <c r="J87" s="501" t="s">
        <v>5890</v>
      </c>
      <c r="K87" s="501" t="s">
        <v>5891</v>
      </c>
      <c r="L87" s="493" t="s">
        <v>4158</v>
      </c>
      <c r="M87" s="493" t="s">
        <v>2969</v>
      </c>
      <c r="N87" s="494">
        <v>1</v>
      </c>
      <c r="O87" s="494">
        <v>2</v>
      </c>
      <c r="P87" s="500">
        <v>8</v>
      </c>
      <c r="Q87" s="500">
        <v>20</v>
      </c>
      <c r="R87" s="499">
        <v>8</v>
      </c>
      <c r="S87" s="497">
        <f t="shared" si="6"/>
        <v>160</v>
      </c>
      <c r="T87" s="498">
        <f t="shared" si="7"/>
        <v>160</v>
      </c>
      <c r="U87" s="497" t="s">
        <v>5859</v>
      </c>
      <c r="V87" s="496" t="s">
        <v>5743</v>
      </c>
      <c r="W87" s="489" t="s">
        <v>5787</v>
      </c>
      <c r="X87" s="489" t="s">
        <v>5745</v>
      </c>
      <c r="Y87" s="495" t="s">
        <v>154</v>
      </c>
      <c r="Z87" s="495" t="s">
        <v>154</v>
      </c>
      <c r="AA87" s="495" t="s">
        <v>154</v>
      </c>
      <c r="AB87" s="495" t="s">
        <v>154</v>
      </c>
      <c r="AC87" s="490" t="s">
        <v>5747</v>
      </c>
      <c r="AD87" s="494">
        <v>22</v>
      </c>
      <c r="AE87" s="495" t="s">
        <v>5746</v>
      </c>
      <c r="AF87" s="489" t="s">
        <v>154</v>
      </c>
      <c r="AG87" s="491" t="s">
        <v>154</v>
      </c>
      <c r="AH87" s="491" t="s">
        <v>154</v>
      </c>
      <c r="AI87" s="489" t="s">
        <v>154</v>
      </c>
      <c r="AJ87" s="489" t="s">
        <v>154</v>
      </c>
      <c r="AK87" s="489" t="s">
        <v>154</v>
      </c>
      <c r="AL87" s="491" t="s">
        <v>154</v>
      </c>
      <c r="AM87" s="491" t="s">
        <v>154</v>
      </c>
      <c r="AN87" s="492" t="s">
        <v>5747</v>
      </c>
      <c r="AO87" s="489" t="s">
        <v>2872</v>
      </c>
      <c r="AP87" s="489" t="s">
        <v>154</v>
      </c>
      <c r="AQ87" s="489" t="s">
        <v>154</v>
      </c>
      <c r="AR87" s="489" t="s">
        <v>154</v>
      </c>
      <c r="AS87" s="487"/>
      <c r="AT87" s="488"/>
      <c r="AU87" s="487"/>
      <c r="AV87" s="487"/>
      <c r="AW87" s="487"/>
      <c r="AX87" s="569"/>
      <c r="AY87" s="569"/>
      <c r="AZ87" s="569"/>
      <c r="BA87" s="568"/>
      <c r="BB87" s="568"/>
      <c r="BC87" s="568"/>
      <c r="BD87" s="568"/>
      <c r="BE87" s="568"/>
      <c r="BF87" s="568"/>
      <c r="BG87" s="568">
        <v>1</v>
      </c>
      <c r="BH87" s="568">
        <v>1</v>
      </c>
      <c r="BI87" s="457"/>
    </row>
    <row r="88" spans="1:61" ht="24" customHeight="1">
      <c r="A88" s="528"/>
      <c r="B88" s="506">
        <v>3160</v>
      </c>
      <c r="C88" s="505" t="s">
        <v>1072</v>
      </c>
      <c r="D88" s="504" t="s">
        <v>120</v>
      </c>
      <c r="E88" s="2369" t="s">
        <v>1278</v>
      </c>
      <c r="F88" s="2369"/>
      <c r="G88" s="2369"/>
      <c r="H88" s="503">
        <v>3</v>
      </c>
      <c r="I88" s="502" t="str">
        <f t="shared" si="5"/>
        <v>3160-BLD-003</v>
      </c>
      <c r="J88" s="501" t="s">
        <v>5892</v>
      </c>
      <c r="K88" s="501" t="s">
        <v>5893</v>
      </c>
      <c r="L88" s="493" t="s">
        <v>4158</v>
      </c>
      <c r="M88" s="493" t="s">
        <v>2969</v>
      </c>
      <c r="N88" s="494">
        <v>1</v>
      </c>
      <c r="O88" s="494">
        <v>2</v>
      </c>
      <c r="P88" s="500">
        <v>8</v>
      </c>
      <c r="Q88" s="500">
        <v>20</v>
      </c>
      <c r="R88" s="499">
        <v>8</v>
      </c>
      <c r="S88" s="497">
        <f t="shared" si="6"/>
        <v>160</v>
      </c>
      <c r="T88" s="498">
        <f t="shared" si="7"/>
        <v>160</v>
      </c>
      <c r="U88" s="497" t="s">
        <v>5859</v>
      </c>
      <c r="V88" s="496" t="s">
        <v>5743</v>
      </c>
      <c r="W88" s="489" t="s">
        <v>5787</v>
      </c>
      <c r="X88" s="489" t="s">
        <v>5745</v>
      </c>
      <c r="Y88" s="495" t="s">
        <v>154</v>
      </c>
      <c r="Z88" s="495" t="s">
        <v>154</v>
      </c>
      <c r="AA88" s="495" t="s">
        <v>154</v>
      </c>
      <c r="AB88" s="495" t="s">
        <v>154</v>
      </c>
      <c r="AC88" s="490" t="s">
        <v>5747</v>
      </c>
      <c r="AD88" s="494">
        <v>22</v>
      </c>
      <c r="AE88" s="495" t="s">
        <v>5746</v>
      </c>
      <c r="AF88" s="489" t="s">
        <v>154</v>
      </c>
      <c r="AG88" s="491" t="s">
        <v>154</v>
      </c>
      <c r="AH88" s="491" t="s">
        <v>154</v>
      </c>
      <c r="AI88" s="489" t="s">
        <v>154</v>
      </c>
      <c r="AJ88" s="489" t="s">
        <v>154</v>
      </c>
      <c r="AK88" s="489" t="s">
        <v>154</v>
      </c>
      <c r="AL88" s="491" t="s">
        <v>154</v>
      </c>
      <c r="AM88" s="491" t="s">
        <v>154</v>
      </c>
      <c r="AN88" s="492" t="s">
        <v>5747</v>
      </c>
      <c r="AO88" s="489" t="s">
        <v>2872</v>
      </c>
      <c r="AP88" s="489" t="s">
        <v>154</v>
      </c>
      <c r="AQ88" s="489" t="s">
        <v>154</v>
      </c>
      <c r="AR88" s="489" t="s">
        <v>154</v>
      </c>
      <c r="AS88" s="487"/>
      <c r="AT88" s="488"/>
      <c r="AU88" s="487"/>
      <c r="AV88" s="487"/>
      <c r="AW88" s="487"/>
      <c r="AX88" s="569"/>
      <c r="AY88" s="569"/>
      <c r="AZ88" s="569"/>
      <c r="BA88" s="568"/>
      <c r="BB88" s="568"/>
      <c r="BC88" s="568"/>
      <c r="BD88" s="568"/>
      <c r="BE88" s="568"/>
      <c r="BF88" s="568"/>
      <c r="BG88" s="568">
        <v>1</v>
      </c>
      <c r="BH88" s="568">
        <v>1</v>
      </c>
      <c r="BI88" s="457"/>
    </row>
    <row r="89" spans="1:61" ht="24" customHeight="1" thickBot="1">
      <c r="A89" s="528"/>
      <c r="B89" s="1915">
        <v>3160</v>
      </c>
      <c r="C89" s="1916" t="s">
        <v>1072</v>
      </c>
      <c r="D89" s="1917" t="s">
        <v>120</v>
      </c>
      <c r="E89" s="2375" t="s">
        <v>1278</v>
      </c>
      <c r="F89" s="2375"/>
      <c r="G89" s="2375"/>
      <c r="H89" s="1918">
        <v>4</v>
      </c>
      <c r="I89" s="1919" t="str">
        <f t="shared" si="5"/>
        <v>3160-BLD-004</v>
      </c>
      <c r="J89" s="1920" t="s">
        <v>5894</v>
      </c>
      <c r="K89" s="501" t="s">
        <v>5895</v>
      </c>
      <c r="L89" s="1921" t="s">
        <v>4158</v>
      </c>
      <c r="M89" s="1921" t="s">
        <v>2969</v>
      </c>
      <c r="N89" s="1922">
        <v>1</v>
      </c>
      <c r="O89" s="1922">
        <v>2</v>
      </c>
      <c r="P89" s="1924">
        <v>8</v>
      </c>
      <c r="Q89" s="1924">
        <v>20</v>
      </c>
      <c r="R89" s="1925">
        <v>8</v>
      </c>
      <c r="S89" s="1926">
        <f t="shared" si="6"/>
        <v>160</v>
      </c>
      <c r="T89" s="1927">
        <f t="shared" si="7"/>
        <v>160</v>
      </c>
      <c r="U89" s="1926" t="s">
        <v>5859</v>
      </c>
      <c r="V89" s="1928" t="s">
        <v>5743</v>
      </c>
      <c r="W89" s="1929" t="s">
        <v>5787</v>
      </c>
      <c r="X89" s="1929" t="s">
        <v>5745</v>
      </c>
      <c r="Y89" s="1930" t="s">
        <v>154</v>
      </c>
      <c r="Z89" s="1930" t="s">
        <v>154</v>
      </c>
      <c r="AA89" s="1930" t="s">
        <v>154</v>
      </c>
      <c r="AB89" s="1930" t="s">
        <v>154</v>
      </c>
      <c r="AC89" s="1933" t="s">
        <v>5747</v>
      </c>
      <c r="AD89" s="1922">
        <v>22</v>
      </c>
      <c r="AE89" s="1930" t="s">
        <v>5746</v>
      </c>
      <c r="AF89" s="1929" t="s">
        <v>154</v>
      </c>
      <c r="AG89" s="1932" t="s">
        <v>154</v>
      </c>
      <c r="AH89" s="1932" t="s">
        <v>154</v>
      </c>
      <c r="AI89" s="1929" t="s">
        <v>154</v>
      </c>
      <c r="AJ89" s="1929" t="s">
        <v>154</v>
      </c>
      <c r="AK89" s="1929" t="s">
        <v>154</v>
      </c>
      <c r="AL89" s="1932" t="s">
        <v>154</v>
      </c>
      <c r="AM89" s="1932" t="s">
        <v>154</v>
      </c>
      <c r="AN89" s="1931" t="s">
        <v>5747</v>
      </c>
      <c r="AO89" s="1929" t="s">
        <v>2872</v>
      </c>
      <c r="AP89" s="1929" t="s">
        <v>154</v>
      </c>
      <c r="AQ89" s="1929" t="s">
        <v>154</v>
      </c>
      <c r="AR89" s="1929" t="s">
        <v>154</v>
      </c>
      <c r="AS89" s="487"/>
      <c r="AT89" s="488"/>
      <c r="AU89" s="487"/>
      <c r="AV89" s="487"/>
      <c r="AW89" s="487"/>
      <c r="AX89" s="569"/>
      <c r="AY89" s="569"/>
      <c r="AZ89" s="569"/>
      <c r="BA89" s="568"/>
      <c r="BB89" s="568"/>
      <c r="BC89" s="568"/>
      <c r="BD89" s="568"/>
      <c r="BE89" s="568"/>
      <c r="BF89" s="568"/>
      <c r="BG89" s="568">
        <v>1</v>
      </c>
      <c r="BH89" s="568">
        <v>1</v>
      </c>
      <c r="BI89" s="457"/>
    </row>
    <row r="90" spans="1:61" s="552" customFormat="1" ht="24" customHeight="1" thickTop="1">
      <c r="A90" s="528"/>
      <c r="B90" s="627">
        <v>4110</v>
      </c>
      <c r="C90" s="626" t="s">
        <v>1316</v>
      </c>
      <c r="D90" s="625" t="s">
        <v>120</v>
      </c>
      <c r="E90" s="2376" t="s">
        <v>122</v>
      </c>
      <c r="F90" s="2376"/>
      <c r="G90" s="2376"/>
      <c r="H90" s="624">
        <v>1</v>
      </c>
      <c r="I90" s="623" t="str">
        <f t="shared" si="5"/>
        <v>4110-BLD-001</v>
      </c>
      <c r="J90" s="622" t="s">
        <v>5874</v>
      </c>
      <c r="K90" s="622" t="s">
        <v>5896</v>
      </c>
      <c r="L90" s="621" t="s">
        <v>5742</v>
      </c>
      <c r="M90" s="621" t="s">
        <v>2969</v>
      </c>
      <c r="N90" s="617">
        <v>1</v>
      </c>
      <c r="O90" s="617" t="s">
        <v>154</v>
      </c>
      <c r="P90" s="620">
        <v>8</v>
      </c>
      <c r="Q90" s="620">
        <v>20</v>
      </c>
      <c r="R90" s="619">
        <v>8</v>
      </c>
      <c r="S90" s="541">
        <f t="shared" si="6"/>
        <v>160</v>
      </c>
      <c r="T90" s="541">
        <f t="shared" si="7"/>
        <v>160</v>
      </c>
      <c r="U90" s="541"/>
      <c r="V90" s="618" t="s">
        <v>5743</v>
      </c>
      <c r="W90" s="614" t="s">
        <v>5744</v>
      </c>
      <c r="X90" s="614" t="s">
        <v>5745</v>
      </c>
      <c r="Y90" s="616" t="s">
        <v>154</v>
      </c>
      <c r="Z90" s="616" t="s">
        <v>154</v>
      </c>
      <c r="AA90" s="616" t="s">
        <v>154</v>
      </c>
      <c r="AB90" s="616" t="s">
        <v>154</v>
      </c>
      <c r="AC90" s="616" t="s">
        <v>154</v>
      </c>
      <c r="AD90" s="617">
        <v>5</v>
      </c>
      <c r="AE90" s="616" t="s">
        <v>5746</v>
      </c>
      <c r="AF90" s="538" t="s">
        <v>5747</v>
      </c>
      <c r="AG90" s="615" t="s">
        <v>154</v>
      </c>
      <c r="AH90" s="615" t="s">
        <v>154</v>
      </c>
      <c r="AI90" s="614" t="s">
        <v>154</v>
      </c>
      <c r="AJ90" s="614" t="s">
        <v>154</v>
      </c>
      <c r="AK90" s="614" t="s">
        <v>154</v>
      </c>
      <c r="AL90" s="615" t="s">
        <v>154</v>
      </c>
      <c r="AM90" s="615" t="s">
        <v>154</v>
      </c>
      <c r="AN90" s="538" t="s">
        <v>5747</v>
      </c>
      <c r="AO90" s="614" t="s">
        <v>2872</v>
      </c>
      <c r="AP90" s="614" t="s">
        <v>5748</v>
      </c>
      <c r="AQ90" s="614" t="s">
        <v>154</v>
      </c>
      <c r="AR90" s="614" t="s">
        <v>154</v>
      </c>
      <c r="AS90" s="559"/>
      <c r="AT90" s="567"/>
      <c r="AU90" s="559"/>
      <c r="AV90" s="559"/>
      <c r="AW90" s="559"/>
      <c r="AX90" s="555"/>
      <c r="AY90" s="555"/>
      <c r="AZ90" s="555"/>
      <c r="BA90" s="554"/>
      <c r="BB90" s="554"/>
      <c r="BC90" s="554"/>
      <c r="BD90" s="554"/>
      <c r="BE90" s="554"/>
      <c r="BF90" s="554"/>
      <c r="BG90" s="554"/>
      <c r="BH90" s="554">
        <v>1</v>
      </c>
      <c r="BI90" s="574" t="s">
        <v>5897</v>
      </c>
    </row>
    <row r="91" spans="1:61" s="552" customFormat="1" ht="24" customHeight="1">
      <c r="A91" s="528"/>
      <c r="B91" s="522">
        <v>4110</v>
      </c>
      <c r="C91" s="566" t="s">
        <v>1316</v>
      </c>
      <c r="D91" s="565" t="s">
        <v>120</v>
      </c>
      <c r="E91" s="2371" t="s">
        <v>122</v>
      </c>
      <c r="F91" s="2371"/>
      <c r="G91" s="2371"/>
      <c r="H91" s="527">
        <v>2</v>
      </c>
      <c r="I91" s="526" t="str">
        <f t="shared" si="5"/>
        <v>4110-BLD-002</v>
      </c>
      <c r="J91" s="525" t="s">
        <v>5875</v>
      </c>
      <c r="K91" s="525" t="s">
        <v>5898</v>
      </c>
      <c r="L91" s="519" t="s">
        <v>5742</v>
      </c>
      <c r="M91" s="519" t="s">
        <v>2969</v>
      </c>
      <c r="N91" s="560">
        <v>1</v>
      </c>
      <c r="O91" s="560" t="s">
        <v>154</v>
      </c>
      <c r="P91" s="564">
        <v>8</v>
      </c>
      <c r="Q91" s="564">
        <v>20</v>
      </c>
      <c r="R91" s="563">
        <v>8</v>
      </c>
      <c r="S91" s="498">
        <f t="shared" si="6"/>
        <v>160</v>
      </c>
      <c r="T91" s="498">
        <f t="shared" si="7"/>
        <v>160</v>
      </c>
      <c r="U91" s="498"/>
      <c r="V91" s="562" t="s">
        <v>5743</v>
      </c>
      <c r="W91" s="559" t="s">
        <v>5744</v>
      </c>
      <c r="X91" s="559" t="s">
        <v>5745</v>
      </c>
      <c r="Y91" s="561" t="s">
        <v>154</v>
      </c>
      <c r="Z91" s="561" t="s">
        <v>154</v>
      </c>
      <c r="AA91" s="561" t="s">
        <v>154</v>
      </c>
      <c r="AB91" s="561" t="s">
        <v>154</v>
      </c>
      <c r="AC91" s="561" t="s">
        <v>154</v>
      </c>
      <c r="AD91" s="560">
        <v>5</v>
      </c>
      <c r="AE91" s="561" t="s">
        <v>5746</v>
      </c>
      <c r="AF91" s="492" t="s">
        <v>5747</v>
      </c>
      <c r="AG91" s="557" t="s">
        <v>154</v>
      </c>
      <c r="AH91" s="557" t="s">
        <v>154</v>
      </c>
      <c r="AI91" s="559" t="s">
        <v>154</v>
      </c>
      <c r="AJ91" s="559" t="s">
        <v>154</v>
      </c>
      <c r="AK91" s="559" t="s">
        <v>154</v>
      </c>
      <c r="AL91" s="557" t="s">
        <v>154</v>
      </c>
      <c r="AM91" s="557" t="s">
        <v>154</v>
      </c>
      <c r="AN91" s="492" t="s">
        <v>5747</v>
      </c>
      <c r="AO91" s="559" t="s">
        <v>2872</v>
      </c>
      <c r="AP91" s="559" t="s">
        <v>5748</v>
      </c>
      <c r="AQ91" s="559" t="s">
        <v>154</v>
      </c>
      <c r="AR91" s="559" t="s">
        <v>154</v>
      </c>
      <c r="AS91" s="559"/>
      <c r="AT91" s="567"/>
      <c r="AU91" s="559"/>
      <c r="AV91" s="559"/>
      <c r="AW91" s="559"/>
      <c r="AX91" s="555"/>
      <c r="AY91" s="555"/>
      <c r="AZ91" s="555"/>
      <c r="BA91" s="554"/>
      <c r="BB91" s="554"/>
      <c r="BC91" s="554"/>
      <c r="BD91" s="554"/>
      <c r="BE91" s="554"/>
      <c r="BF91" s="554"/>
      <c r="BG91" s="554"/>
      <c r="BH91" s="554"/>
      <c r="BI91" s="574"/>
    </row>
    <row r="92" spans="1:61" s="593" customFormat="1" ht="24" customHeight="1">
      <c r="A92" s="613"/>
      <c r="B92" s="612">
        <v>4110</v>
      </c>
      <c r="C92" s="611" t="s">
        <v>119</v>
      </c>
      <c r="D92" s="610" t="s">
        <v>120</v>
      </c>
      <c r="E92" s="2377" t="s">
        <v>122</v>
      </c>
      <c r="F92" s="2377"/>
      <c r="G92" s="2377"/>
      <c r="H92" s="609">
        <v>3</v>
      </c>
      <c r="I92" s="608" t="str">
        <f t="shared" si="5"/>
        <v>4110-BLD-003</v>
      </c>
      <c r="J92" s="607" t="s">
        <v>5749</v>
      </c>
      <c r="K92" s="607"/>
      <c r="L92" s="601" t="s">
        <v>154</v>
      </c>
      <c r="M92" s="606"/>
      <c r="N92" s="601">
        <v>1</v>
      </c>
      <c r="O92" s="601" t="s">
        <v>154</v>
      </c>
      <c r="P92" s="605">
        <v>8</v>
      </c>
      <c r="Q92" s="605">
        <v>40</v>
      </c>
      <c r="R92" s="604">
        <v>10</v>
      </c>
      <c r="S92" s="603"/>
      <c r="T92" s="603"/>
      <c r="U92" s="603"/>
      <c r="V92" s="602"/>
      <c r="W92" s="596"/>
      <c r="X92" s="596"/>
      <c r="Y92" s="600"/>
      <c r="Z92" s="600"/>
      <c r="AA92" s="600"/>
      <c r="AB92" s="600"/>
      <c r="AC92" s="600"/>
      <c r="AD92" s="601"/>
      <c r="AE92" s="600"/>
      <c r="AF92" s="598"/>
      <c r="AG92" s="599"/>
      <c r="AH92" s="599"/>
      <c r="AI92" s="596"/>
      <c r="AJ92" s="596"/>
      <c r="AK92" s="596"/>
      <c r="AL92" s="599"/>
      <c r="AM92" s="599"/>
      <c r="AN92" s="598" t="s">
        <v>5747</v>
      </c>
      <c r="AO92" s="596" t="s">
        <v>2872</v>
      </c>
      <c r="AP92" s="596" t="s">
        <v>5750</v>
      </c>
      <c r="AQ92" s="596" t="s">
        <v>154</v>
      </c>
      <c r="AR92" s="596" t="s">
        <v>154</v>
      </c>
      <c r="AS92" s="596"/>
      <c r="AT92" s="597"/>
      <c r="AU92" s="596"/>
      <c r="AV92" s="596"/>
      <c r="AW92" s="596"/>
      <c r="AX92" s="572"/>
      <c r="AY92" s="595"/>
      <c r="AZ92" s="595"/>
      <c r="BA92" s="594"/>
      <c r="BB92" s="594"/>
      <c r="BC92" s="594"/>
      <c r="BD92" s="594"/>
      <c r="BE92" s="594"/>
      <c r="BF92" s="594"/>
      <c r="BG92" s="594"/>
      <c r="BH92" s="594"/>
      <c r="BI92" s="594"/>
    </row>
    <row r="93" spans="1:61" s="552" customFormat="1" ht="24" customHeight="1">
      <c r="A93" s="528"/>
      <c r="B93" s="522">
        <v>4211</v>
      </c>
      <c r="C93" s="566" t="s">
        <v>1316</v>
      </c>
      <c r="D93" s="565" t="s">
        <v>1394</v>
      </c>
      <c r="E93" s="2371" t="s">
        <v>1311</v>
      </c>
      <c r="F93" s="2371"/>
      <c r="G93" s="2371"/>
      <c r="H93" s="527">
        <v>1</v>
      </c>
      <c r="I93" s="526" t="str">
        <f t="shared" si="5"/>
        <v>4211-BLD-001</v>
      </c>
      <c r="J93" s="525" t="s">
        <v>1402</v>
      </c>
      <c r="K93" s="525"/>
      <c r="L93" s="519" t="s">
        <v>5899</v>
      </c>
      <c r="M93" s="519" t="s">
        <v>2969</v>
      </c>
      <c r="N93" s="560">
        <v>1</v>
      </c>
      <c r="O93" s="560" t="s">
        <v>154</v>
      </c>
      <c r="P93" s="564">
        <v>40</v>
      </c>
      <c r="Q93" s="564">
        <v>92</v>
      </c>
      <c r="R93" s="563">
        <v>10</v>
      </c>
      <c r="S93" s="498">
        <f t="shared" ref="S93:S124" si="8">PRODUCT(Q93,P93)</f>
        <v>3680</v>
      </c>
      <c r="T93" s="498">
        <f t="shared" ref="T93:T124" si="9">S93</f>
        <v>3680</v>
      </c>
      <c r="U93" s="498"/>
      <c r="V93" s="562" t="s">
        <v>5786</v>
      </c>
      <c r="W93" s="559" t="s">
        <v>5744</v>
      </c>
      <c r="X93" s="559" t="s">
        <v>5745</v>
      </c>
      <c r="Y93" s="561"/>
      <c r="Z93" s="559"/>
      <c r="AA93" s="561"/>
      <c r="AB93" s="561"/>
      <c r="AC93" s="561"/>
      <c r="AD93" s="560"/>
      <c r="AE93" s="519"/>
      <c r="AF93" s="559"/>
      <c r="AG93" s="559"/>
      <c r="AH93" s="559"/>
      <c r="AI93" s="559"/>
      <c r="AJ93" s="559"/>
      <c r="AK93" s="559"/>
      <c r="AL93" s="559"/>
      <c r="AM93" s="559"/>
      <c r="AN93" s="559"/>
      <c r="AO93" s="559" t="s">
        <v>2872</v>
      </c>
      <c r="AP93" s="559" t="s">
        <v>5756</v>
      </c>
      <c r="AQ93" s="559" t="s">
        <v>5756</v>
      </c>
      <c r="AR93" s="559" t="s">
        <v>154</v>
      </c>
      <c r="AS93" s="487">
        <v>2</v>
      </c>
      <c r="AT93" s="488" t="s">
        <v>5757</v>
      </c>
      <c r="AU93" s="487"/>
      <c r="AV93" s="487"/>
      <c r="AW93" s="487"/>
      <c r="AX93" s="570" t="s">
        <v>5747</v>
      </c>
      <c r="AY93" s="555"/>
      <c r="AZ93" s="555"/>
      <c r="BA93" s="554"/>
      <c r="BB93" s="554"/>
      <c r="BC93" s="554"/>
      <c r="BD93" s="554"/>
      <c r="BE93" s="554"/>
      <c r="BF93" s="554"/>
      <c r="BG93" s="554"/>
      <c r="BH93" s="554">
        <v>1</v>
      </c>
      <c r="BI93" s="574" t="s">
        <v>5897</v>
      </c>
    </row>
    <row r="94" spans="1:61" s="552" customFormat="1" ht="24" customHeight="1">
      <c r="A94" s="528"/>
      <c r="B94" s="522">
        <v>4212</v>
      </c>
      <c r="C94" s="566" t="s">
        <v>1316</v>
      </c>
      <c r="D94" s="565" t="s">
        <v>1394</v>
      </c>
      <c r="E94" s="2371" t="s">
        <v>1311</v>
      </c>
      <c r="F94" s="2371"/>
      <c r="G94" s="2371"/>
      <c r="H94" s="527">
        <v>1</v>
      </c>
      <c r="I94" s="526" t="str">
        <f t="shared" si="5"/>
        <v>4212-BLD-001</v>
      </c>
      <c r="J94" s="525" t="s">
        <v>1410</v>
      </c>
      <c r="K94" s="525"/>
      <c r="L94" s="519" t="s">
        <v>5899</v>
      </c>
      <c r="M94" s="519" t="s">
        <v>2969</v>
      </c>
      <c r="N94" s="560">
        <v>1</v>
      </c>
      <c r="O94" s="560" t="s">
        <v>154</v>
      </c>
      <c r="P94" s="564">
        <v>40</v>
      </c>
      <c r="Q94" s="564">
        <v>100</v>
      </c>
      <c r="R94" s="563">
        <v>18</v>
      </c>
      <c r="S94" s="498">
        <f t="shared" si="8"/>
        <v>4000</v>
      </c>
      <c r="T94" s="498">
        <f t="shared" si="9"/>
        <v>4000</v>
      </c>
      <c r="U94" s="498"/>
      <c r="V94" s="562" t="s">
        <v>5792</v>
      </c>
      <c r="W94" s="559" t="s">
        <v>5744</v>
      </c>
      <c r="X94" s="559" t="s">
        <v>5794</v>
      </c>
      <c r="Y94" s="561"/>
      <c r="Z94" s="561"/>
      <c r="AA94" s="561"/>
      <c r="AB94" s="561"/>
      <c r="AC94" s="561"/>
      <c r="AD94" s="560"/>
      <c r="AE94" s="519"/>
      <c r="AF94" s="559"/>
      <c r="AG94" s="559"/>
      <c r="AH94" s="559"/>
      <c r="AI94" s="559"/>
      <c r="AJ94" s="559"/>
      <c r="AK94" s="559"/>
      <c r="AL94" s="559"/>
      <c r="AM94" s="559"/>
      <c r="AN94" s="559"/>
      <c r="AO94" s="559" t="s">
        <v>2872</v>
      </c>
      <c r="AP94" s="559" t="s">
        <v>154</v>
      </c>
      <c r="AQ94" s="559" t="s">
        <v>154</v>
      </c>
      <c r="AR94" s="559" t="s">
        <v>154</v>
      </c>
      <c r="AS94" s="559"/>
      <c r="AT94" s="567"/>
      <c r="AU94" s="559"/>
      <c r="AV94" s="559"/>
      <c r="AW94" s="559"/>
      <c r="AX94" s="555"/>
      <c r="AY94" s="555"/>
      <c r="AZ94" s="555"/>
      <c r="BA94" s="554"/>
      <c r="BB94" s="554"/>
      <c r="BC94" s="554"/>
      <c r="BD94" s="554"/>
      <c r="BE94" s="554"/>
      <c r="BF94" s="554"/>
      <c r="BG94" s="554"/>
      <c r="BH94" s="554">
        <v>1</v>
      </c>
      <c r="BI94" s="574"/>
    </row>
    <row r="95" spans="1:61" s="552" customFormat="1" ht="24" customHeight="1">
      <c r="A95" s="528"/>
      <c r="B95" s="522">
        <v>4213</v>
      </c>
      <c r="C95" s="566" t="s">
        <v>1316</v>
      </c>
      <c r="D95" s="565" t="s">
        <v>1394</v>
      </c>
      <c r="E95" s="2371" t="s">
        <v>1311</v>
      </c>
      <c r="F95" s="2371"/>
      <c r="G95" s="2371"/>
      <c r="H95" s="527">
        <v>1</v>
      </c>
      <c r="I95" s="526" t="str">
        <f t="shared" si="5"/>
        <v>4213-BLD-001</v>
      </c>
      <c r="J95" s="525" t="s">
        <v>1307</v>
      </c>
      <c r="K95" s="525"/>
      <c r="L95" s="519" t="s">
        <v>5899</v>
      </c>
      <c r="M95" s="519" t="s">
        <v>2969</v>
      </c>
      <c r="N95" s="560">
        <v>1</v>
      </c>
      <c r="O95" s="560" t="s">
        <v>154</v>
      </c>
      <c r="P95" s="564">
        <v>12</v>
      </c>
      <c r="Q95" s="564">
        <v>30</v>
      </c>
      <c r="R95" s="563">
        <v>10</v>
      </c>
      <c r="S95" s="498">
        <f t="shared" si="8"/>
        <v>360</v>
      </c>
      <c r="T95" s="498">
        <f t="shared" si="9"/>
        <v>360</v>
      </c>
      <c r="U95" s="498"/>
      <c r="V95" s="562" t="s">
        <v>5753</v>
      </c>
      <c r="W95" s="559" t="s">
        <v>5744</v>
      </c>
      <c r="X95" s="559" t="s">
        <v>5745</v>
      </c>
      <c r="Y95" s="561"/>
      <c r="Z95" s="561"/>
      <c r="AA95" s="561"/>
      <c r="AB95" s="561"/>
      <c r="AC95" s="561"/>
      <c r="AD95" s="560"/>
      <c r="AE95" s="519"/>
      <c r="AF95" s="559"/>
      <c r="AG95" s="559"/>
      <c r="AH95" s="559"/>
      <c r="AI95" s="559"/>
      <c r="AJ95" s="559"/>
      <c r="AK95" s="559"/>
      <c r="AL95" s="559"/>
      <c r="AM95" s="559"/>
      <c r="AN95" s="559"/>
      <c r="AO95" s="557" t="s">
        <v>154</v>
      </c>
      <c r="AP95" s="559" t="s">
        <v>154</v>
      </c>
      <c r="AQ95" s="559" t="s">
        <v>154</v>
      </c>
      <c r="AR95" s="559" t="s">
        <v>154</v>
      </c>
      <c r="AS95" s="559"/>
      <c r="AT95" s="567"/>
      <c r="AU95" s="559"/>
      <c r="AV95" s="559"/>
      <c r="AW95" s="559"/>
      <c r="AX95" s="555"/>
      <c r="AY95" s="555"/>
      <c r="AZ95" s="555"/>
      <c r="BA95" s="554"/>
      <c r="BB95" s="554"/>
      <c r="BC95" s="554"/>
      <c r="BD95" s="554"/>
      <c r="BE95" s="554"/>
      <c r="BF95" s="554"/>
      <c r="BG95" s="554"/>
      <c r="BH95" s="554"/>
      <c r="BI95" s="574"/>
    </row>
    <row r="96" spans="1:61" ht="24" customHeight="1">
      <c r="B96" s="506">
        <v>4281</v>
      </c>
      <c r="C96" s="505" t="s">
        <v>1316</v>
      </c>
      <c r="D96" s="504" t="s">
        <v>1394</v>
      </c>
      <c r="E96" s="2369" t="s">
        <v>1439</v>
      </c>
      <c r="F96" s="2369"/>
      <c r="G96" s="2369"/>
      <c r="H96" s="503">
        <v>1</v>
      </c>
      <c r="I96" s="502" t="str">
        <f t="shared" si="5"/>
        <v>4281-BLD-001</v>
      </c>
      <c r="J96" s="501" t="s">
        <v>1441</v>
      </c>
      <c r="K96" s="592"/>
      <c r="L96" s="493" t="s">
        <v>4158</v>
      </c>
      <c r="M96" s="493" t="s">
        <v>2969</v>
      </c>
      <c r="N96" s="494">
        <v>1</v>
      </c>
      <c r="O96" s="494">
        <v>28</v>
      </c>
      <c r="P96" s="500">
        <v>48</v>
      </c>
      <c r="Q96" s="500">
        <v>60</v>
      </c>
      <c r="R96" s="499">
        <v>8</v>
      </c>
      <c r="S96" s="497">
        <f t="shared" si="8"/>
        <v>2880</v>
      </c>
      <c r="T96" s="498">
        <f t="shared" si="9"/>
        <v>2880</v>
      </c>
      <c r="U96" s="497" t="s">
        <v>3454</v>
      </c>
      <c r="V96" s="496" t="s">
        <v>5786</v>
      </c>
      <c r="W96" s="489" t="s">
        <v>5787</v>
      </c>
      <c r="X96" s="489" t="s">
        <v>5745</v>
      </c>
      <c r="Y96" s="591" t="s">
        <v>5747</v>
      </c>
      <c r="Z96" s="495" t="s">
        <v>154</v>
      </c>
      <c r="AA96" s="591" t="s">
        <v>5747</v>
      </c>
      <c r="AB96" s="495" t="s">
        <v>154</v>
      </c>
      <c r="AC96" s="591" t="s">
        <v>5747</v>
      </c>
      <c r="AD96" s="494">
        <v>22</v>
      </c>
      <c r="AE96" s="493" t="s">
        <v>5746</v>
      </c>
      <c r="AF96" s="489" t="s">
        <v>154</v>
      </c>
      <c r="AG96" s="491" t="s">
        <v>154</v>
      </c>
      <c r="AH96" s="489" t="s">
        <v>154</v>
      </c>
      <c r="AI96" s="491" t="s">
        <v>5755</v>
      </c>
      <c r="AJ96" s="489" t="s">
        <v>154</v>
      </c>
      <c r="AK96" s="489" t="s">
        <v>154</v>
      </c>
      <c r="AL96" s="491" t="s">
        <v>154</v>
      </c>
      <c r="AM96" s="492" t="s">
        <v>5747</v>
      </c>
      <c r="AN96" s="489" t="s">
        <v>154</v>
      </c>
      <c r="AO96" s="489" t="s">
        <v>3454</v>
      </c>
      <c r="AP96" s="489" t="s">
        <v>5750</v>
      </c>
      <c r="AQ96" s="489" t="s">
        <v>5756</v>
      </c>
      <c r="AR96" s="489" t="s">
        <v>154</v>
      </c>
      <c r="AS96" s="487">
        <v>40</v>
      </c>
      <c r="AT96" s="488" t="s">
        <v>5789</v>
      </c>
      <c r="AU96" s="487" t="s">
        <v>5762</v>
      </c>
      <c r="AV96" s="487"/>
      <c r="AW96" s="487"/>
      <c r="AX96" s="570" t="s">
        <v>5747</v>
      </c>
      <c r="AY96" s="570" t="s">
        <v>5747</v>
      </c>
      <c r="AZ96" s="570"/>
      <c r="BA96" s="568"/>
      <c r="BB96" s="568"/>
      <c r="BC96" s="568"/>
      <c r="BD96" s="568"/>
      <c r="BE96" s="568">
        <v>1</v>
      </c>
      <c r="BF96" s="568"/>
      <c r="BG96" s="568"/>
      <c r="BH96" s="568">
        <v>1</v>
      </c>
      <c r="BI96" s="457"/>
    </row>
    <row r="97" spans="1:61" ht="24" customHeight="1">
      <c r="A97" s="528"/>
      <c r="B97" s="506">
        <v>4281</v>
      </c>
      <c r="C97" s="505" t="s">
        <v>1316</v>
      </c>
      <c r="D97" s="504" t="s">
        <v>1394</v>
      </c>
      <c r="E97" s="2369" t="s">
        <v>1439</v>
      </c>
      <c r="F97" s="2369"/>
      <c r="G97" s="2369"/>
      <c r="H97" s="503">
        <v>2</v>
      </c>
      <c r="I97" s="502" t="str">
        <f t="shared" si="5"/>
        <v>4281-BLD-002</v>
      </c>
      <c r="J97" s="501" t="s">
        <v>5900</v>
      </c>
      <c r="K97" s="501" t="s">
        <v>5901</v>
      </c>
      <c r="L97" s="493" t="s">
        <v>4158</v>
      </c>
      <c r="M97" s="493" t="s">
        <v>2969</v>
      </c>
      <c r="N97" s="494">
        <v>1</v>
      </c>
      <c r="O97" s="529">
        <v>9</v>
      </c>
      <c r="P97" s="500">
        <v>12</v>
      </c>
      <c r="Q97" s="500">
        <v>40</v>
      </c>
      <c r="R97" s="499">
        <v>8</v>
      </c>
      <c r="S97" s="497">
        <f t="shared" si="8"/>
        <v>480</v>
      </c>
      <c r="T97" s="498">
        <f t="shared" si="9"/>
        <v>480</v>
      </c>
      <c r="U97" s="497" t="s">
        <v>5791</v>
      </c>
      <c r="V97" s="496" t="s">
        <v>5753</v>
      </c>
      <c r="W97" s="489" t="s">
        <v>5744</v>
      </c>
      <c r="X97" s="489" t="s">
        <v>5745</v>
      </c>
      <c r="Y97" s="495" t="s">
        <v>154</v>
      </c>
      <c r="Z97" s="490" t="s">
        <v>5747</v>
      </c>
      <c r="AA97" s="495" t="s">
        <v>154</v>
      </c>
      <c r="AB97" s="495" t="s">
        <v>154</v>
      </c>
      <c r="AC97" s="495" t="s">
        <v>154</v>
      </c>
      <c r="AD97" s="494">
        <v>22</v>
      </c>
      <c r="AE97" s="493" t="s">
        <v>5746</v>
      </c>
      <c r="AF97" s="489" t="s">
        <v>154</v>
      </c>
      <c r="AG97" s="489" t="s">
        <v>154</v>
      </c>
      <c r="AH97" s="489" t="s">
        <v>5754</v>
      </c>
      <c r="AI97" s="489" t="s">
        <v>154</v>
      </c>
      <c r="AJ97" s="489" t="s">
        <v>5754</v>
      </c>
      <c r="AK97" s="489" t="s">
        <v>154</v>
      </c>
      <c r="AL97" s="489" t="s">
        <v>154</v>
      </c>
      <c r="AM97" s="491" t="s">
        <v>154</v>
      </c>
      <c r="AN97" s="492" t="s">
        <v>5747</v>
      </c>
      <c r="AO97" s="489" t="s">
        <v>3454</v>
      </c>
      <c r="AP97" s="489" t="s">
        <v>154</v>
      </c>
      <c r="AQ97" s="489" t="s">
        <v>154</v>
      </c>
      <c r="AR97" s="489" t="s">
        <v>154</v>
      </c>
      <c r="AS97" s="487"/>
      <c r="AT97" s="488"/>
      <c r="AU97" s="487"/>
      <c r="AV97" s="487"/>
      <c r="AW97" s="487"/>
      <c r="AX97" s="486"/>
      <c r="AY97" s="486"/>
      <c r="AZ97" s="486"/>
    </row>
    <row r="98" spans="1:61" s="583" customFormat="1" ht="34.5" customHeight="1">
      <c r="A98" s="528" t="s">
        <v>5747</v>
      </c>
      <c r="B98" s="522">
        <v>4381</v>
      </c>
      <c r="C98" s="566" t="s">
        <v>1316</v>
      </c>
      <c r="D98" s="565" t="s">
        <v>222</v>
      </c>
      <c r="E98" s="2371" t="s">
        <v>913</v>
      </c>
      <c r="F98" s="2371"/>
      <c r="G98" s="2371"/>
      <c r="H98" s="527">
        <v>1</v>
      </c>
      <c r="I98" s="526" t="s">
        <v>1475</v>
      </c>
      <c r="J98" s="525" t="s">
        <v>5902</v>
      </c>
      <c r="K98" s="524"/>
      <c r="L98" s="519" t="s">
        <v>5903</v>
      </c>
      <c r="M98" s="522">
        <v>1</v>
      </c>
      <c r="N98" s="522">
        <v>1</v>
      </c>
      <c r="O98" s="522" t="s">
        <v>154</v>
      </c>
      <c r="P98" s="563">
        <v>8</v>
      </c>
      <c r="Q98" s="563">
        <v>53</v>
      </c>
      <c r="R98" s="563">
        <v>14</v>
      </c>
      <c r="S98" s="498">
        <f t="shared" si="8"/>
        <v>424</v>
      </c>
      <c r="T98" s="498">
        <f t="shared" si="9"/>
        <v>424</v>
      </c>
      <c r="U98" s="520"/>
      <c r="V98" s="519" t="s">
        <v>5761</v>
      </c>
      <c r="W98" s="518" t="s">
        <v>5744</v>
      </c>
      <c r="X98" s="518" t="s">
        <v>5745</v>
      </c>
      <c r="Y98" s="590" t="s">
        <v>154</v>
      </c>
      <c r="Z98" s="590" t="s">
        <v>154</v>
      </c>
      <c r="AA98" s="590" t="s">
        <v>154</v>
      </c>
      <c r="AB98" s="590" t="s">
        <v>154</v>
      </c>
      <c r="AC98" s="590" t="s">
        <v>154</v>
      </c>
      <c r="AD98" s="522">
        <v>22</v>
      </c>
      <c r="AE98" s="590" t="s">
        <v>5746</v>
      </c>
      <c r="AF98" s="589" t="s">
        <v>5747</v>
      </c>
      <c r="AG98" s="588" t="s">
        <v>154</v>
      </c>
      <c r="AH98" s="588" t="s">
        <v>154</v>
      </c>
      <c r="AI98" s="518" t="s">
        <v>154</v>
      </c>
      <c r="AJ98" s="518" t="s">
        <v>154</v>
      </c>
      <c r="AK98" s="518" t="s">
        <v>154</v>
      </c>
      <c r="AL98" s="518" t="s">
        <v>5839</v>
      </c>
      <c r="AM98" s="518" t="s">
        <v>5839</v>
      </c>
      <c r="AN98" s="518" t="s">
        <v>5839</v>
      </c>
      <c r="AO98" s="518" t="s">
        <v>3454</v>
      </c>
      <c r="AP98" s="518" t="s">
        <v>5774</v>
      </c>
      <c r="AQ98" s="518" t="s">
        <v>154</v>
      </c>
      <c r="AR98" s="518" t="s">
        <v>154</v>
      </c>
      <c r="AS98" s="586">
        <v>2</v>
      </c>
      <c r="AT98" s="587" t="s">
        <v>5765</v>
      </c>
      <c r="AU98" s="586"/>
      <c r="AV98" s="586"/>
      <c r="AW98" s="586"/>
      <c r="AX98" s="585"/>
      <c r="AY98" s="585"/>
      <c r="AZ98" s="572" t="s">
        <v>5747</v>
      </c>
      <c r="BA98" s="584"/>
      <c r="BB98" s="584"/>
      <c r="BC98" s="584"/>
      <c r="BD98" s="584"/>
      <c r="BE98" s="584"/>
      <c r="BF98" s="584"/>
      <c r="BG98" s="584"/>
      <c r="BH98" s="584"/>
      <c r="BI98" s="584"/>
    </row>
    <row r="99" spans="1:61" s="552" customFormat="1" ht="33" customHeight="1">
      <c r="A99" s="528" t="s">
        <v>5747</v>
      </c>
      <c r="B99" s="522">
        <v>4381</v>
      </c>
      <c r="C99" s="566" t="s">
        <v>1316</v>
      </c>
      <c r="D99" s="565" t="s">
        <v>222</v>
      </c>
      <c r="E99" s="2371" t="s">
        <v>913</v>
      </c>
      <c r="F99" s="2371"/>
      <c r="G99" s="2371"/>
      <c r="H99" s="527">
        <v>2</v>
      </c>
      <c r="I99" s="526" t="str">
        <f t="shared" ref="I99:I132" si="10">B99&amp;"-BLD-"&amp;TEXT(H99,"000")</f>
        <v>4381-BLD-002</v>
      </c>
      <c r="J99" s="525" t="s">
        <v>5902</v>
      </c>
      <c r="K99" s="525"/>
      <c r="L99" s="519" t="s">
        <v>5903</v>
      </c>
      <c r="M99" s="519" t="s">
        <v>2969</v>
      </c>
      <c r="N99" s="560">
        <v>1</v>
      </c>
      <c r="O99" s="560" t="s">
        <v>154</v>
      </c>
      <c r="P99" s="564">
        <v>8</v>
      </c>
      <c r="Q99" s="564">
        <v>53</v>
      </c>
      <c r="R99" s="563">
        <v>14</v>
      </c>
      <c r="S99" s="498">
        <f t="shared" si="8"/>
        <v>424</v>
      </c>
      <c r="T99" s="498">
        <f t="shared" si="9"/>
        <v>424</v>
      </c>
      <c r="U99" s="498"/>
      <c r="V99" s="562" t="s">
        <v>5761</v>
      </c>
      <c r="W99" s="559" t="s">
        <v>5744</v>
      </c>
      <c r="X99" s="559" t="s">
        <v>5745</v>
      </c>
      <c r="Y99" s="561" t="s">
        <v>154</v>
      </c>
      <c r="Z99" s="561" t="s">
        <v>154</v>
      </c>
      <c r="AA99" s="561" t="s">
        <v>154</v>
      </c>
      <c r="AB99" s="561" t="s">
        <v>154</v>
      </c>
      <c r="AC99" s="561" t="s">
        <v>154</v>
      </c>
      <c r="AD99" s="560">
        <v>22</v>
      </c>
      <c r="AE99" s="561" t="s">
        <v>5746</v>
      </c>
      <c r="AF99" s="492" t="s">
        <v>5747</v>
      </c>
      <c r="AG99" s="557" t="s">
        <v>154</v>
      </c>
      <c r="AH99" s="557" t="s">
        <v>154</v>
      </c>
      <c r="AI99" s="559" t="s">
        <v>154</v>
      </c>
      <c r="AJ99" s="559" t="s">
        <v>154</v>
      </c>
      <c r="AK99" s="559" t="s">
        <v>154</v>
      </c>
      <c r="AL99" s="559" t="s">
        <v>5839</v>
      </c>
      <c r="AM99" s="559" t="s">
        <v>5839</v>
      </c>
      <c r="AN99" s="559" t="s">
        <v>5839</v>
      </c>
      <c r="AO99" s="559" t="s">
        <v>3454</v>
      </c>
      <c r="AP99" s="559" t="s">
        <v>5774</v>
      </c>
      <c r="AQ99" s="559" t="s">
        <v>154</v>
      </c>
      <c r="AR99" s="559" t="s">
        <v>154</v>
      </c>
      <c r="AS99" s="487">
        <v>2</v>
      </c>
      <c r="AT99" s="488" t="s">
        <v>5765</v>
      </c>
      <c r="AU99" s="487"/>
      <c r="AV99" s="487"/>
      <c r="AW99" s="487"/>
      <c r="AX99" s="573"/>
      <c r="AY99" s="573"/>
      <c r="AZ99" s="572" t="s">
        <v>5747</v>
      </c>
      <c r="BA99" s="553"/>
      <c r="BB99" s="553"/>
      <c r="BC99" s="553"/>
      <c r="BD99" s="553"/>
      <c r="BE99" s="553"/>
      <c r="BF99" s="553"/>
      <c r="BG99" s="553"/>
      <c r="BH99" s="553"/>
      <c r="BI99" s="553"/>
    </row>
    <row r="100" spans="1:61" ht="40" customHeight="1">
      <c r="A100" s="528" t="s">
        <v>5747</v>
      </c>
      <c r="B100" s="506">
        <v>4382</v>
      </c>
      <c r="C100" s="505" t="s">
        <v>1316</v>
      </c>
      <c r="D100" s="504" t="s">
        <v>222</v>
      </c>
      <c r="E100" s="2369" t="s">
        <v>1466</v>
      </c>
      <c r="F100" s="2369"/>
      <c r="G100" s="2369"/>
      <c r="H100" s="503">
        <v>1</v>
      </c>
      <c r="I100" s="502" t="str">
        <f t="shared" si="10"/>
        <v>4382-BLD-001</v>
      </c>
      <c r="J100" s="501" t="s">
        <v>5904</v>
      </c>
      <c r="K100" s="501"/>
      <c r="L100" s="493" t="s">
        <v>5025</v>
      </c>
      <c r="M100" s="493" t="s">
        <v>2969</v>
      </c>
      <c r="N100" s="494">
        <v>1</v>
      </c>
      <c r="O100" s="494">
        <v>1</v>
      </c>
      <c r="P100" s="500">
        <v>30</v>
      </c>
      <c r="Q100" s="500">
        <v>120</v>
      </c>
      <c r="R100" s="499">
        <v>20</v>
      </c>
      <c r="S100" s="497">
        <f t="shared" si="8"/>
        <v>3600</v>
      </c>
      <c r="T100" s="498">
        <f t="shared" si="9"/>
        <v>3600</v>
      </c>
      <c r="U100" s="497" t="s">
        <v>5791</v>
      </c>
      <c r="V100" s="496" t="s">
        <v>5792</v>
      </c>
      <c r="W100" s="489" t="s">
        <v>5793</v>
      </c>
      <c r="X100" s="489" t="s">
        <v>5836</v>
      </c>
      <c r="Y100" s="495" t="s">
        <v>154</v>
      </c>
      <c r="Z100" s="495" t="s">
        <v>154</v>
      </c>
      <c r="AA100" s="495" t="s">
        <v>154</v>
      </c>
      <c r="AB100" s="495" t="s">
        <v>154</v>
      </c>
      <c r="AC100" s="495" t="s">
        <v>154</v>
      </c>
      <c r="AD100" s="495" t="s">
        <v>154</v>
      </c>
      <c r="AE100" s="493" t="s">
        <v>154</v>
      </c>
      <c r="AF100" s="492" t="s">
        <v>5747</v>
      </c>
      <c r="AG100" s="582" t="s">
        <v>154</v>
      </c>
      <c r="AH100" s="491" t="s">
        <v>154</v>
      </c>
      <c r="AI100" s="489" t="s">
        <v>154</v>
      </c>
      <c r="AJ100" s="489" t="s">
        <v>154</v>
      </c>
      <c r="AK100" s="489" t="s">
        <v>154</v>
      </c>
      <c r="AL100" s="491" t="s">
        <v>154</v>
      </c>
      <c r="AM100" s="492"/>
      <c r="AN100" s="489" t="s">
        <v>154</v>
      </c>
      <c r="AO100" s="489" t="s">
        <v>3454</v>
      </c>
      <c r="AP100" s="489" t="s">
        <v>5750</v>
      </c>
      <c r="AQ100" s="489" t="s">
        <v>154</v>
      </c>
      <c r="AR100" s="489" t="s">
        <v>154</v>
      </c>
      <c r="AS100" s="530">
        <v>8</v>
      </c>
      <c r="AT100" s="488" t="s">
        <v>5751</v>
      </c>
      <c r="AU100" s="487" t="s">
        <v>5905</v>
      </c>
      <c r="AV100" s="487"/>
      <c r="AW100" s="530"/>
      <c r="AX100" s="570" t="s">
        <v>5747</v>
      </c>
      <c r="AY100" s="569"/>
      <c r="AZ100" s="556" t="s">
        <v>5747</v>
      </c>
      <c r="BA100" s="568"/>
      <c r="BB100" s="568"/>
      <c r="BC100" s="568"/>
      <c r="BD100" s="568"/>
      <c r="BE100" s="568"/>
      <c r="BF100" s="568"/>
      <c r="BG100" s="568"/>
      <c r="BH100" s="568"/>
      <c r="BI100" s="457"/>
    </row>
    <row r="101" spans="1:61" ht="24" customHeight="1">
      <c r="A101" s="528"/>
      <c r="B101" s="506">
        <v>4431</v>
      </c>
      <c r="C101" s="505" t="s">
        <v>1316</v>
      </c>
      <c r="D101" s="504" t="s">
        <v>451</v>
      </c>
      <c r="E101" s="2369" t="s">
        <v>1511</v>
      </c>
      <c r="F101" s="2369"/>
      <c r="G101" s="2369"/>
      <c r="H101" s="503">
        <v>1</v>
      </c>
      <c r="I101" s="502" t="str">
        <f t="shared" si="10"/>
        <v>4431-BLD-001</v>
      </c>
      <c r="J101" s="501" t="s">
        <v>1515</v>
      </c>
      <c r="K101" s="501"/>
      <c r="L101" s="493" t="s">
        <v>4158</v>
      </c>
      <c r="M101" s="493" t="s">
        <v>2969</v>
      </c>
      <c r="N101" s="494">
        <v>1</v>
      </c>
      <c r="O101" s="529">
        <v>19</v>
      </c>
      <c r="P101" s="500">
        <v>12</v>
      </c>
      <c r="Q101" s="500">
        <v>60</v>
      </c>
      <c r="R101" s="499">
        <v>8</v>
      </c>
      <c r="S101" s="497">
        <f t="shared" si="8"/>
        <v>720</v>
      </c>
      <c r="T101" s="498">
        <f t="shared" si="9"/>
        <v>720</v>
      </c>
      <c r="U101" s="497" t="s">
        <v>5850</v>
      </c>
      <c r="V101" s="496" t="s">
        <v>5753</v>
      </c>
      <c r="W101" s="489" t="s">
        <v>5787</v>
      </c>
      <c r="X101" s="489" t="s">
        <v>5745</v>
      </c>
      <c r="Y101" s="492" t="s">
        <v>5747</v>
      </c>
      <c r="Z101" s="492" t="s">
        <v>5747</v>
      </c>
      <c r="AA101" s="495" t="s">
        <v>154</v>
      </c>
      <c r="AB101" s="495" t="s">
        <v>154</v>
      </c>
      <c r="AC101" s="492" t="s">
        <v>5747</v>
      </c>
      <c r="AD101" s="494">
        <v>22</v>
      </c>
      <c r="AE101" s="493" t="s">
        <v>5746</v>
      </c>
      <c r="AF101" s="489" t="s">
        <v>154</v>
      </c>
      <c r="AG101" s="491" t="s">
        <v>154</v>
      </c>
      <c r="AH101" s="489" t="s">
        <v>5754</v>
      </c>
      <c r="AI101" s="489" t="s">
        <v>5755</v>
      </c>
      <c r="AJ101" s="489" t="s">
        <v>5754</v>
      </c>
      <c r="AK101" s="489" t="s">
        <v>154</v>
      </c>
      <c r="AL101" s="491" t="s">
        <v>154</v>
      </c>
      <c r="AM101" s="492" t="s">
        <v>5747</v>
      </c>
      <c r="AN101" s="489" t="s">
        <v>154</v>
      </c>
      <c r="AO101" s="489" t="s">
        <v>3454</v>
      </c>
      <c r="AP101" s="489" t="s">
        <v>5756</v>
      </c>
      <c r="AQ101" s="489" t="s">
        <v>5756</v>
      </c>
      <c r="AR101" s="489" t="s">
        <v>154</v>
      </c>
      <c r="AS101" s="487">
        <v>2</v>
      </c>
      <c r="AT101" s="488" t="s">
        <v>5789</v>
      </c>
      <c r="AU101" s="487" t="s">
        <v>5762</v>
      </c>
      <c r="AV101" s="487"/>
      <c r="AW101" s="487"/>
      <c r="AX101" s="570" t="s">
        <v>5747</v>
      </c>
      <c r="AY101" s="569"/>
      <c r="AZ101" s="569"/>
      <c r="BA101" s="568"/>
      <c r="BB101" s="568">
        <v>1</v>
      </c>
      <c r="BC101" s="568"/>
      <c r="BD101" s="568"/>
      <c r="BE101" s="568">
        <v>1</v>
      </c>
      <c r="BF101" s="568"/>
      <c r="BG101" s="568"/>
      <c r="BH101" s="568">
        <v>1</v>
      </c>
      <c r="BI101" s="457" t="s">
        <v>5906</v>
      </c>
    </row>
    <row r="102" spans="1:61" s="552" customFormat="1" ht="24" customHeight="1">
      <c r="A102" s="507"/>
      <c r="B102" s="581">
        <v>4432</v>
      </c>
      <c r="C102" s="580" t="s">
        <v>1316</v>
      </c>
      <c r="D102" s="579" t="s">
        <v>451</v>
      </c>
      <c r="E102" s="2374" t="s">
        <v>1511</v>
      </c>
      <c r="F102" s="2374"/>
      <c r="G102" s="2374"/>
      <c r="H102" s="578">
        <v>1</v>
      </c>
      <c r="I102" s="577" t="str">
        <f t="shared" si="10"/>
        <v>4432-BLD-001</v>
      </c>
      <c r="J102" s="576" t="s">
        <v>5907</v>
      </c>
      <c r="K102" s="525" t="s">
        <v>5908</v>
      </c>
      <c r="L102" s="523" t="s">
        <v>154</v>
      </c>
      <c r="M102" s="523" t="s">
        <v>2969</v>
      </c>
      <c r="N102" s="560"/>
      <c r="O102" s="575"/>
      <c r="P102" s="564"/>
      <c r="Q102" s="564"/>
      <c r="R102" s="563"/>
      <c r="S102" s="498">
        <f t="shared" si="8"/>
        <v>0</v>
      </c>
      <c r="T102" s="498">
        <f t="shared" si="9"/>
        <v>0</v>
      </c>
      <c r="U102" s="498"/>
      <c r="V102" s="562"/>
      <c r="W102" s="559"/>
      <c r="X102" s="559"/>
      <c r="Y102" s="561"/>
      <c r="Z102" s="561"/>
      <c r="AA102" s="561"/>
      <c r="AB102" s="561"/>
      <c r="AC102" s="561"/>
      <c r="AD102" s="560"/>
      <c r="AE102" s="519"/>
      <c r="AF102" s="559"/>
      <c r="AG102" s="557"/>
      <c r="AH102" s="557"/>
      <c r="AI102" s="559"/>
      <c r="AJ102" s="559"/>
      <c r="AK102" s="559"/>
      <c r="AL102" s="557"/>
      <c r="AM102" s="559"/>
      <c r="AN102" s="559"/>
      <c r="AO102" s="559"/>
      <c r="AP102" s="559" t="s">
        <v>154</v>
      </c>
      <c r="AQ102" s="559" t="s">
        <v>154</v>
      </c>
      <c r="AR102" s="559" t="s">
        <v>154</v>
      </c>
      <c r="AS102" s="559"/>
      <c r="AT102" s="567"/>
      <c r="AU102" s="559"/>
      <c r="AV102" s="559"/>
      <c r="AW102" s="559"/>
      <c r="AX102" s="573"/>
      <c r="AY102" s="573"/>
      <c r="AZ102" s="573"/>
      <c r="BA102" s="553"/>
      <c r="BB102" s="553"/>
      <c r="BC102" s="553"/>
      <c r="BD102" s="553"/>
      <c r="BE102" s="553"/>
      <c r="BF102" s="553"/>
      <c r="BG102" s="553"/>
      <c r="BH102" s="553"/>
      <c r="BI102" s="553"/>
    </row>
    <row r="103" spans="1:61" s="552" customFormat="1" ht="24" customHeight="1">
      <c r="A103" s="528"/>
      <c r="B103" s="522">
        <v>4435</v>
      </c>
      <c r="C103" s="566" t="s">
        <v>1316</v>
      </c>
      <c r="D103" s="565" t="s">
        <v>451</v>
      </c>
      <c r="E103" s="2371" t="s">
        <v>1511</v>
      </c>
      <c r="F103" s="2371"/>
      <c r="G103" s="2371"/>
      <c r="H103" s="527">
        <v>1</v>
      </c>
      <c r="I103" s="526" t="str">
        <f t="shared" si="10"/>
        <v>4435-BLD-001</v>
      </c>
      <c r="J103" s="525" t="s">
        <v>5909</v>
      </c>
      <c r="K103" s="525"/>
      <c r="L103" s="519" t="s">
        <v>5910</v>
      </c>
      <c r="M103" s="519" t="s">
        <v>2969</v>
      </c>
      <c r="N103" s="560">
        <v>1</v>
      </c>
      <c r="O103" s="560" t="s">
        <v>154</v>
      </c>
      <c r="P103" s="564">
        <v>8</v>
      </c>
      <c r="Q103" s="564">
        <v>20</v>
      </c>
      <c r="R103" s="563">
        <v>10</v>
      </c>
      <c r="S103" s="498">
        <f t="shared" si="8"/>
        <v>160</v>
      </c>
      <c r="T103" s="498">
        <f t="shared" si="9"/>
        <v>160</v>
      </c>
      <c r="U103" s="498"/>
      <c r="V103" s="562" t="s">
        <v>5761</v>
      </c>
      <c r="W103" s="559" t="s">
        <v>5744</v>
      </c>
      <c r="X103" s="559" t="s">
        <v>5745</v>
      </c>
      <c r="Y103" s="561" t="s">
        <v>154</v>
      </c>
      <c r="Z103" s="561" t="s">
        <v>154</v>
      </c>
      <c r="AA103" s="561" t="s">
        <v>154</v>
      </c>
      <c r="AB103" s="561" t="s">
        <v>154</v>
      </c>
      <c r="AC103" s="561" t="s">
        <v>154</v>
      </c>
      <c r="AD103" s="560">
        <v>22</v>
      </c>
      <c r="AE103" s="519" t="s">
        <v>5746</v>
      </c>
      <c r="AF103" s="492" t="s">
        <v>5747</v>
      </c>
      <c r="AG103" s="557" t="s">
        <v>154</v>
      </c>
      <c r="AH103" s="557" t="s">
        <v>154</v>
      </c>
      <c r="AI103" s="559" t="s">
        <v>154</v>
      </c>
      <c r="AJ103" s="559" t="s">
        <v>154</v>
      </c>
      <c r="AK103" s="559" t="s">
        <v>154</v>
      </c>
      <c r="AL103" s="492" t="s">
        <v>5747</v>
      </c>
      <c r="AM103" s="492" t="s">
        <v>5747</v>
      </c>
      <c r="AN103" s="559" t="s">
        <v>154</v>
      </c>
      <c r="AO103" s="559" t="s">
        <v>3454</v>
      </c>
      <c r="AP103" s="559" t="s">
        <v>5750</v>
      </c>
      <c r="AQ103" s="559" t="s">
        <v>154</v>
      </c>
      <c r="AR103" s="559" t="s">
        <v>154</v>
      </c>
      <c r="AS103" s="487">
        <v>2</v>
      </c>
      <c r="AT103" s="488" t="s">
        <v>5765</v>
      </c>
      <c r="AU103" s="487"/>
      <c r="AV103" s="487"/>
      <c r="AW103" s="487"/>
      <c r="AX103" s="556" t="s">
        <v>5747</v>
      </c>
      <c r="AY103" s="555"/>
      <c r="AZ103" s="572" t="s">
        <v>5747</v>
      </c>
      <c r="BA103" s="554"/>
      <c r="BB103" s="554"/>
      <c r="BC103" s="554"/>
      <c r="BD103" s="554"/>
      <c r="BE103" s="554">
        <v>1</v>
      </c>
      <c r="BF103" s="554"/>
      <c r="BG103" s="554"/>
      <c r="BH103" s="554"/>
      <c r="BI103" s="574" t="s">
        <v>5911</v>
      </c>
    </row>
    <row r="104" spans="1:61" s="552" customFormat="1" ht="40" customHeight="1">
      <c r="A104" s="528"/>
      <c r="B104" s="522">
        <v>4511</v>
      </c>
      <c r="C104" s="566" t="s">
        <v>1316</v>
      </c>
      <c r="D104" s="565" t="s">
        <v>452</v>
      </c>
      <c r="E104" s="2371" t="s">
        <v>454</v>
      </c>
      <c r="F104" s="2371"/>
      <c r="G104" s="2371"/>
      <c r="H104" s="527">
        <v>1</v>
      </c>
      <c r="I104" s="526" t="str">
        <f t="shared" si="10"/>
        <v>4511-BLD-001</v>
      </c>
      <c r="J104" s="525" t="s">
        <v>5768</v>
      </c>
      <c r="K104" s="525"/>
      <c r="L104" s="519" t="s">
        <v>5215</v>
      </c>
      <c r="M104" s="519" t="s">
        <v>2969</v>
      </c>
      <c r="N104" s="560">
        <v>1</v>
      </c>
      <c r="O104" s="560" t="s">
        <v>154</v>
      </c>
      <c r="P104" s="564">
        <v>60</v>
      </c>
      <c r="Q104" s="564">
        <v>333</v>
      </c>
      <c r="R104" s="563">
        <v>13</v>
      </c>
      <c r="S104" s="498">
        <f t="shared" si="8"/>
        <v>19980</v>
      </c>
      <c r="T104" s="498">
        <f t="shared" si="9"/>
        <v>19980</v>
      </c>
      <c r="U104" s="498"/>
      <c r="V104" s="562" t="s">
        <v>5761</v>
      </c>
      <c r="W104" s="559" t="s">
        <v>5744</v>
      </c>
      <c r="X104" s="559" t="s">
        <v>5745</v>
      </c>
      <c r="Y104" s="492" t="s">
        <v>5747</v>
      </c>
      <c r="Z104" s="492" t="s">
        <v>5747</v>
      </c>
      <c r="AA104" s="492" t="s">
        <v>5747</v>
      </c>
      <c r="AB104" s="561" t="s">
        <v>154</v>
      </c>
      <c r="AC104" s="492" t="s">
        <v>5747</v>
      </c>
      <c r="AD104" s="560">
        <v>22</v>
      </c>
      <c r="AE104" s="519" t="s">
        <v>3454</v>
      </c>
      <c r="AF104" s="492" t="s">
        <v>5747</v>
      </c>
      <c r="AG104" s="492" t="s">
        <v>5747</v>
      </c>
      <c r="AH104" s="557" t="s">
        <v>154</v>
      </c>
      <c r="AI104" s="559" t="s">
        <v>5769</v>
      </c>
      <c r="AJ104" s="559" t="s">
        <v>5769</v>
      </c>
      <c r="AK104" s="559" t="s">
        <v>5769</v>
      </c>
      <c r="AL104" s="492" t="s">
        <v>5747</v>
      </c>
      <c r="AM104" s="492" t="s">
        <v>5747</v>
      </c>
      <c r="AN104" s="559" t="s">
        <v>154</v>
      </c>
      <c r="AO104" s="559" t="s">
        <v>3454</v>
      </c>
      <c r="AP104" s="559" t="s">
        <v>5912</v>
      </c>
      <c r="AQ104" s="559" t="s">
        <v>5756</v>
      </c>
      <c r="AR104" s="492" t="s">
        <v>5747</v>
      </c>
      <c r="AS104" s="487">
        <v>4</v>
      </c>
      <c r="AT104" s="488" t="s">
        <v>5771</v>
      </c>
      <c r="AU104" s="487" t="s">
        <v>5772</v>
      </c>
      <c r="AV104" s="487"/>
      <c r="AW104" s="487"/>
      <c r="AX104" s="556" t="s">
        <v>5747</v>
      </c>
      <c r="AY104" s="556" t="s">
        <v>5747</v>
      </c>
      <c r="AZ104" s="556" t="s">
        <v>5747</v>
      </c>
      <c r="BA104" s="554">
        <v>3</v>
      </c>
      <c r="BB104" s="554"/>
      <c r="BC104" s="554"/>
      <c r="BD104" s="554">
        <v>2</v>
      </c>
      <c r="BE104" s="554">
        <v>3</v>
      </c>
      <c r="BF104" s="554">
        <v>1</v>
      </c>
      <c r="BG104" s="554"/>
      <c r="BH104" s="554"/>
      <c r="BI104" s="574"/>
    </row>
    <row r="105" spans="1:61" s="552" customFormat="1" ht="40" customHeight="1">
      <c r="A105" s="528"/>
      <c r="B105" s="522">
        <v>4511</v>
      </c>
      <c r="C105" s="566" t="s">
        <v>1316</v>
      </c>
      <c r="D105" s="565" t="s">
        <v>452</v>
      </c>
      <c r="E105" s="2371" t="s">
        <v>454</v>
      </c>
      <c r="F105" s="2371"/>
      <c r="G105" s="2371"/>
      <c r="H105" s="527">
        <v>2</v>
      </c>
      <c r="I105" s="526" t="str">
        <f t="shared" si="10"/>
        <v>4511-BLD-002</v>
      </c>
      <c r="J105" s="525" t="s">
        <v>5773</v>
      </c>
      <c r="K105" s="525"/>
      <c r="L105" s="519" t="s">
        <v>5215</v>
      </c>
      <c r="M105" s="519" t="s">
        <v>2969</v>
      </c>
      <c r="N105" s="560">
        <v>1</v>
      </c>
      <c r="O105" s="560">
        <v>71</v>
      </c>
      <c r="P105" s="564">
        <v>60</v>
      </c>
      <c r="Q105" s="564">
        <v>109</v>
      </c>
      <c r="R105" s="563">
        <v>13</v>
      </c>
      <c r="S105" s="498">
        <f t="shared" si="8"/>
        <v>6540</v>
      </c>
      <c r="T105" s="498">
        <f t="shared" si="9"/>
        <v>6540</v>
      </c>
      <c r="U105" s="498"/>
      <c r="V105" s="562" t="s">
        <v>5761</v>
      </c>
      <c r="W105" s="559" t="s">
        <v>5744</v>
      </c>
      <c r="X105" s="559" t="s">
        <v>5745</v>
      </c>
      <c r="Y105" s="492" t="s">
        <v>5747</v>
      </c>
      <c r="Z105" s="492" t="s">
        <v>5747</v>
      </c>
      <c r="AA105" s="561" t="s">
        <v>154</v>
      </c>
      <c r="AB105" s="561" t="s">
        <v>154</v>
      </c>
      <c r="AC105" s="492" t="s">
        <v>5747</v>
      </c>
      <c r="AD105" s="560">
        <v>22</v>
      </c>
      <c r="AE105" s="519" t="s">
        <v>3454</v>
      </c>
      <c r="AF105" s="492" t="s">
        <v>5747</v>
      </c>
      <c r="AG105" s="557" t="s">
        <v>154</v>
      </c>
      <c r="AH105" s="557" t="s">
        <v>154</v>
      </c>
      <c r="AI105" s="559" t="s">
        <v>5769</v>
      </c>
      <c r="AJ105" s="559" t="s">
        <v>5769</v>
      </c>
      <c r="AK105" s="559" t="s">
        <v>154</v>
      </c>
      <c r="AL105" s="557" t="s">
        <v>154</v>
      </c>
      <c r="AM105" s="492" t="s">
        <v>5747</v>
      </c>
      <c r="AN105" s="559" t="s">
        <v>154</v>
      </c>
      <c r="AO105" s="559" t="s">
        <v>3454</v>
      </c>
      <c r="AP105" s="559" t="s">
        <v>5774</v>
      </c>
      <c r="AQ105" s="559" t="s">
        <v>5774</v>
      </c>
      <c r="AR105" s="492" t="s">
        <v>5747</v>
      </c>
      <c r="AS105" s="492"/>
      <c r="AT105" s="488" t="s">
        <v>5771</v>
      </c>
      <c r="AU105" s="487" t="s">
        <v>5762</v>
      </c>
      <c r="AV105" s="487"/>
      <c r="AW105" s="492"/>
      <c r="AX105" s="556" t="s">
        <v>5747</v>
      </c>
      <c r="AY105" s="555"/>
      <c r="AZ105" s="555"/>
      <c r="BA105" s="554"/>
      <c r="BB105" s="554">
        <v>3</v>
      </c>
      <c r="BC105" s="554">
        <v>1</v>
      </c>
      <c r="BD105" s="554"/>
      <c r="BE105" s="554" t="s">
        <v>5775</v>
      </c>
      <c r="BF105" s="554" t="s">
        <v>5776</v>
      </c>
      <c r="BG105" s="554"/>
      <c r="BH105" s="554">
        <v>1</v>
      </c>
      <c r="BI105" s="574" t="s">
        <v>5777</v>
      </c>
    </row>
    <row r="106" spans="1:61" s="552" customFormat="1" ht="40" customHeight="1">
      <c r="A106" s="528"/>
      <c r="B106" s="522">
        <v>4511</v>
      </c>
      <c r="C106" s="566" t="s">
        <v>1316</v>
      </c>
      <c r="D106" s="565" t="s">
        <v>452</v>
      </c>
      <c r="E106" s="2371" t="s">
        <v>454</v>
      </c>
      <c r="F106" s="2371"/>
      <c r="G106" s="2371"/>
      <c r="H106" s="527">
        <v>3</v>
      </c>
      <c r="I106" s="526" t="str">
        <f t="shared" si="10"/>
        <v>4511-BLD-003</v>
      </c>
      <c r="J106" s="525" t="s">
        <v>5778</v>
      </c>
      <c r="K106" s="525"/>
      <c r="L106" s="519" t="s">
        <v>5215</v>
      </c>
      <c r="M106" s="519" t="s">
        <v>2969</v>
      </c>
      <c r="N106" s="560">
        <v>1</v>
      </c>
      <c r="O106" s="560">
        <v>5</v>
      </c>
      <c r="P106" s="564">
        <v>60</v>
      </c>
      <c r="Q106" s="564">
        <v>76</v>
      </c>
      <c r="R106" s="563">
        <v>13</v>
      </c>
      <c r="S106" s="498">
        <f t="shared" si="8"/>
        <v>4560</v>
      </c>
      <c r="T106" s="498">
        <f t="shared" si="9"/>
        <v>4560</v>
      </c>
      <c r="U106" s="498"/>
      <c r="V106" s="562" t="s">
        <v>5761</v>
      </c>
      <c r="W106" s="559" t="s">
        <v>5744</v>
      </c>
      <c r="X106" s="559" t="s">
        <v>5745</v>
      </c>
      <c r="Y106" s="492" t="s">
        <v>5747</v>
      </c>
      <c r="Z106" s="492" t="s">
        <v>5747</v>
      </c>
      <c r="AA106" s="561" t="s">
        <v>154</v>
      </c>
      <c r="AB106" s="561" t="s">
        <v>154</v>
      </c>
      <c r="AC106" s="492" t="s">
        <v>5747</v>
      </c>
      <c r="AD106" s="560">
        <v>22</v>
      </c>
      <c r="AE106" s="519" t="s">
        <v>3454</v>
      </c>
      <c r="AF106" s="492" t="s">
        <v>5747</v>
      </c>
      <c r="AG106" s="557" t="s">
        <v>154</v>
      </c>
      <c r="AH106" s="557" t="s">
        <v>154</v>
      </c>
      <c r="AI106" s="559" t="s">
        <v>5769</v>
      </c>
      <c r="AJ106" s="559" t="s">
        <v>5769</v>
      </c>
      <c r="AK106" s="559" t="s">
        <v>154</v>
      </c>
      <c r="AL106" s="557" t="s">
        <v>154</v>
      </c>
      <c r="AM106" s="492" t="s">
        <v>5747</v>
      </c>
      <c r="AN106" s="559" t="s">
        <v>154</v>
      </c>
      <c r="AO106" s="559" t="s">
        <v>3454</v>
      </c>
      <c r="AP106" s="559" t="s">
        <v>5774</v>
      </c>
      <c r="AQ106" s="559" t="s">
        <v>5774</v>
      </c>
      <c r="AR106" s="559" t="s">
        <v>154</v>
      </c>
      <c r="AS106" s="559"/>
      <c r="AT106" s="567"/>
      <c r="AU106" s="487" t="s">
        <v>5762</v>
      </c>
      <c r="AV106" s="487"/>
      <c r="AW106" s="559"/>
      <c r="AX106" s="555"/>
      <c r="AY106" s="555"/>
      <c r="AZ106" s="555"/>
      <c r="BA106" s="554"/>
      <c r="BB106" s="554"/>
      <c r="BC106" s="554"/>
      <c r="BD106" s="554"/>
      <c r="BE106" s="554"/>
      <c r="BF106" s="554"/>
      <c r="BG106" s="554"/>
      <c r="BH106" s="554"/>
      <c r="BI106" s="574"/>
    </row>
    <row r="107" spans="1:61" s="552" customFormat="1" ht="40" customHeight="1">
      <c r="A107" s="528"/>
      <c r="B107" s="522">
        <v>4511</v>
      </c>
      <c r="C107" s="566" t="s">
        <v>1316</v>
      </c>
      <c r="D107" s="565" t="s">
        <v>452</v>
      </c>
      <c r="E107" s="2371" t="s">
        <v>454</v>
      </c>
      <c r="F107" s="2371"/>
      <c r="G107" s="2371"/>
      <c r="H107" s="527">
        <v>4</v>
      </c>
      <c r="I107" s="526" t="str">
        <f t="shared" si="10"/>
        <v>4511-BLD-004</v>
      </c>
      <c r="J107" s="525" t="s">
        <v>5913</v>
      </c>
      <c r="K107" s="525"/>
      <c r="L107" s="519" t="s">
        <v>5215</v>
      </c>
      <c r="M107" s="519" t="s">
        <v>2969</v>
      </c>
      <c r="N107" s="560">
        <v>1</v>
      </c>
      <c r="O107" s="560">
        <v>5</v>
      </c>
      <c r="P107" s="564">
        <v>56</v>
      </c>
      <c r="Q107" s="564">
        <v>60</v>
      </c>
      <c r="R107" s="563">
        <v>13</v>
      </c>
      <c r="S107" s="498">
        <f t="shared" si="8"/>
        <v>3360</v>
      </c>
      <c r="T107" s="498">
        <f t="shared" si="9"/>
        <v>3360</v>
      </c>
      <c r="U107" s="498"/>
      <c r="V107" s="562" t="s">
        <v>5761</v>
      </c>
      <c r="W107" s="559" t="s">
        <v>5744</v>
      </c>
      <c r="X107" s="559" t="s">
        <v>5745</v>
      </c>
      <c r="Y107" s="492" t="s">
        <v>5747</v>
      </c>
      <c r="Z107" s="492" t="s">
        <v>5747</v>
      </c>
      <c r="AA107" s="561" t="s">
        <v>154</v>
      </c>
      <c r="AB107" s="561" t="s">
        <v>154</v>
      </c>
      <c r="AC107" s="492" t="s">
        <v>5747</v>
      </c>
      <c r="AD107" s="560">
        <v>22</v>
      </c>
      <c r="AE107" s="519" t="s">
        <v>3454</v>
      </c>
      <c r="AF107" s="492" t="s">
        <v>5747</v>
      </c>
      <c r="AG107" s="557" t="s">
        <v>154</v>
      </c>
      <c r="AH107" s="557" t="s">
        <v>154</v>
      </c>
      <c r="AI107" s="559" t="s">
        <v>5769</v>
      </c>
      <c r="AJ107" s="559" t="s">
        <v>5769</v>
      </c>
      <c r="AK107" s="559" t="s">
        <v>154</v>
      </c>
      <c r="AL107" s="557" t="s">
        <v>154</v>
      </c>
      <c r="AM107" s="492" t="s">
        <v>5747</v>
      </c>
      <c r="AN107" s="559" t="s">
        <v>154</v>
      </c>
      <c r="AO107" s="559" t="s">
        <v>3454</v>
      </c>
      <c r="AP107" s="559" t="s">
        <v>5774</v>
      </c>
      <c r="AQ107" s="559" t="s">
        <v>5774</v>
      </c>
      <c r="AR107" s="559" t="s">
        <v>154</v>
      </c>
      <c r="AS107" s="559"/>
      <c r="AT107" s="567" t="s">
        <v>5751</v>
      </c>
      <c r="AU107" s="487" t="s">
        <v>5762</v>
      </c>
      <c r="AV107" s="487"/>
      <c r="AW107" s="559"/>
      <c r="AX107" s="556" t="s">
        <v>5747</v>
      </c>
      <c r="AY107" s="555"/>
      <c r="AZ107" s="555"/>
      <c r="BA107" s="554">
        <v>1</v>
      </c>
      <c r="BB107" s="554">
        <v>1</v>
      </c>
      <c r="BC107" s="554"/>
      <c r="BD107" s="554"/>
      <c r="BE107" s="554">
        <v>2</v>
      </c>
      <c r="BF107" s="554"/>
      <c r="BG107" s="554"/>
      <c r="BH107" s="554"/>
      <c r="BI107" s="574"/>
    </row>
    <row r="108" spans="1:61" s="552" customFormat="1" ht="40" customHeight="1">
      <c r="A108" s="507"/>
      <c r="B108" s="522">
        <v>4512</v>
      </c>
      <c r="C108" s="566" t="s">
        <v>1316</v>
      </c>
      <c r="D108" s="565" t="s">
        <v>452</v>
      </c>
      <c r="E108" s="2371" t="s">
        <v>454</v>
      </c>
      <c r="F108" s="2371"/>
      <c r="G108" s="2371"/>
      <c r="H108" s="527">
        <v>1</v>
      </c>
      <c r="I108" s="526" t="str">
        <f t="shared" si="10"/>
        <v>4512-BLD-001</v>
      </c>
      <c r="J108" s="525" t="s">
        <v>5914</v>
      </c>
      <c r="K108" s="525"/>
      <c r="L108" s="519" t="s">
        <v>5215</v>
      </c>
      <c r="M108" s="519" t="s">
        <v>2969</v>
      </c>
      <c r="N108" s="560">
        <v>1</v>
      </c>
      <c r="O108" s="575">
        <v>30</v>
      </c>
      <c r="P108" s="564">
        <v>29</v>
      </c>
      <c r="Q108" s="564">
        <v>227</v>
      </c>
      <c r="R108" s="563">
        <v>13</v>
      </c>
      <c r="S108" s="498">
        <f t="shared" si="8"/>
        <v>6583</v>
      </c>
      <c r="T108" s="498">
        <f t="shared" si="9"/>
        <v>6583</v>
      </c>
      <c r="U108" s="498"/>
      <c r="V108" s="562" t="s">
        <v>5761</v>
      </c>
      <c r="W108" s="559" t="s">
        <v>5744</v>
      </c>
      <c r="X108" s="559" t="s">
        <v>5745</v>
      </c>
      <c r="Y108" s="561" t="s">
        <v>154</v>
      </c>
      <c r="Z108" s="492" t="s">
        <v>5747</v>
      </c>
      <c r="AA108" s="561" t="s">
        <v>154</v>
      </c>
      <c r="AB108" s="492" t="s">
        <v>5747</v>
      </c>
      <c r="AC108" s="492" t="s">
        <v>5747</v>
      </c>
      <c r="AD108" s="560">
        <v>22</v>
      </c>
      <c r="AE108" s="519" t="s">
        <v>5780</v>
      </c>
      <c r="AF108" s="492" t="s">
        <v>5747</v>
      </c>
      <c r="AG108" s="557" t="s">
        <v>154</v>
      </c>
      <c r="AH108" s="557" t="s">
        <v>154</v>
      </c>
      <c r="AI108" s="559" t="s">
        <v>5769</v>
      </c>
      <c r="AJ108" s="559" t="s">
        <v>5769</v>
      </c>
      <c r="AK108" s="559" t="s">
        <v>5769</v>
      </c>
      <c r="AL108" s="557" t="s">
        <v>154</v>
      </c>
      <c r="AM108" s="492" t="s">
        <v>5747</v>
      </c>
      <c r="AN108" s="559" t="s">
        <v>154</v>
      </c>
      <c r="AO108" s="559" t="s">
        <v>3454</v>
      </c>
      <c r="AP108" s="559" t="s">
        <v>5774</v>
      </c>
      <c r="AQ108" s="559" t="s">
        <v>5774</v>
      </c>
      <c r="AR108" s="492" t="s">
        <v>5747</v>
      </c>
      <c r="AS108" s="492"/>
      <c r="AT108" s="488" t="s">
        <v>5771</v>
      </c>
      <c r="AU108" s="487" t="s">
        <v>5762</v>
      </c>
      <c r="AV108" s="487"/>
      <c r="AW108" s="492"/>
      <c r="AX108" s="556" t="s">
        <v>5747</v>
      </c>
      <c r="AY108" s="555"/>
      <c r="AZ108" s="555"/>
      <c r="BA108" s="554"/>
      <c r="BB108" s="554"/>
      <c r="BC108" s="554"/>
      <c r="BD108" s="554" t="s">
        <v>5781</v>
      </c>
      <c r="BE108" s="554" t="s">
        <v>5781</v>
      </c>
      <c r="BF108" s="554"/>
      <c r="BG108" s="554"/>
      <c r="BH108" s="554"/>
      <c r="BI108" s="574"/>
    </row>
    <row r="109" spans="1:61" s="552" customFormat="1" ht="40" customHeight="1">
      <c r="A109" s="507"/>
      <c r="B109" s="522">
        <v>4512</v>
      </c>
      <c r="C109" s="566" t="s">
        <v>1316</v>
      </c>
      <c r="D109" s="565" t="s">
        <v>452</v>
      </c>
      <c r="E109" s="2371" t="s">
        <v>454</v>
      </c>
      <c r="F109" s="2371"/>
      <c r="G109" s="2371"/>
      <c r="H109" s="527">
        <v>2</v>
      </c>
      <c r="I109" s="526" t="str">
        <f t="shared" si="10"/>
        <v>4512-BLD-002</v>
      </c>
      <c r="J109" s="525" t="s">
        <v>5915</v>
      </c>
      <c r="K109" s="525"/>
      <c r="L109" s="519" t="s">
        <v>5215</v>
      </c>
      <c r="M109" s="519" t="s">
        <v>2969</v>
      </c>
      <c r="N109" s="560">
        <v>1</v>
      </c>
      <c r="O109" s="575">
        <v>30</v>
      </c>
      <c r="P109" s="564">
        <v>29</v>
      </c>
      <c r="Q109" s="564">
        <v>227</v>
      </c>
      <c r="R109" s="563">
        <v>13</v>
      </c>
      <c r="S109" s="498">
        <f t="shared" si="8"/>
        <v>6583</v>
      </c>
      <c r="T109" s="498">
        <f t="shared" si="9"/>
        <v>6583</v>
      </c>
      <c r="U109" s="498"/>
      <c r="V109" s="562" t="s">
        <v>5761</v>
      </c>
      <c r="W109" s="559" t="s">
        <v>5744</v>
      </c>
      <c r="X109" s="559" t="s">
        <v>5745</v>
      </c>
      <c r="Y109" s="561" t="s">
        <v>154</v>
      </c>
      <c r="Z109" s="492" t="s">
        <v>5747</v>
      </c>
      <c r="AA109" s="561" t="s">
        <v>154</v>
      </c>
      <c r="AB109" s="492" t="s">
        <v>5747</v>
      </c>
      <c r="AC109" s="492" t="s">
        <v>5747</v>
      </c>
      <c r="AD109" s="560">
        <v>22</v>
      </c>
      <c r="AE109" s="519" t="s">
        <v>5780</v>
      </c>
      <c r="AF109" s="492" t="s">
        <v>5747</v>
      </c>
      <c r="AG109" s="557" t="s">
        <v>154</v>
      </c>
      <c r="AH109" s="557" t="s">
        <v>154</v>
      </c>
      <c r="AI109" s="559" t="s">
        <v>5769</v>
      </c>
      <c r="AJ109" s="559" t="s">
        <v>5769</v>
      </c>
      <c r="AK109" s="559" t="s">
        <v>5769</v>
      </c>
      <c r="AL109" s="557" t="s">
        <v>154</v>
      </c>
      <c r="AM109" s="492" t="s">
        <v>5747</v>
      </c>
      <c r="AN109" s="559" t="s">
        <v>154</v>
      </c>
      <c r="AO109" s="559" t="s">
        <v>3454</v>
      </c>
      <c r="AP109" s="559" t="s">
        <v>5774</v>
      </c>
      <c r="AQ109" s="559" t="s">
        <v>5774</v>
      </c>
      <c r="AR109" s="492" t="s">
        <v>5747</v>
      </c>
      <c r="AS109" s="492"/>
      <c r="AT109" s="488" t="s">
        <v>5771</v>
      </c>
      <c r="AU109" s="487" t="s">
        <v>5762</v>
      </c>
      <c r="AV109" s="487"/>
      <c r="AW109" s="492"/>
      <c r="AX109" s="556" t="s">
        <v>5747</v>
      </c>
      <c r="AY109" s="555"/>
      <c r="AZ109" s="555"/>
      <c r="BA109" s="554"/>
      <c r="BB109" s="554"/>
      <c r="BC109" s="554"/>
      <c r="BD109" s="554" t="s">
        <v>5781</v>
      </c>
      <c r="BE109" s="554" t="s">
        <v>5781</v>
      </c>
      <c r="BF109" s="554"/>
      <c r="BG109" s="554"/>
      <c r="BH109" s="554"/>
      <c r="BI109" s="574"/>
    </row>
    <row r="110" spans="1:61" s="552" customFormat="1" ht="40" customHeight="1">
      <c r="A110" s="507"/>
      <c r="B110" s="522">
        <v>4512</v>
      </c>
      <c r="C110" s="566" t="s">
        <v>1316</v>
      </c>
      <c r="D110" s="565" t="s">
        <v>452</v>
      </c>
      <c r="E110" s="2371" t="s">
        <v>454</v>
      </c>
      <c r="F110" s="2371"/>
      <c r="G110" s="2371"/>
      <c r="H110" s="527">
        <v>3</v>
      </c>
      <c r="I110" s="526" t="str">
        <f t="shared" si="10"/>
        <v>4512-BLD-003</v>
      </c>
      <c r="J110" s="525" t="s">
        <v>5916</v>
      </c>
      <c r="K110" s="525"/>
      <c r="L110" s="519" t="s">
        <v>5215</v>
      </c>
      <c r="M110" s="519" t="s">
        <v>2969</v>
      </c>
      <c r="N110" s="560">
        <v>1</v>
      </c>
      <c r="O110" s="575">
        <v>30</v>
      </c>
      <c r="P110" s="564">
        <v>29</v>
      </c>
      <c r="Q110" s="564">
        <v>227</v>
      </c>
      <c r="R110" s="563">
        <v>13</v>
      </c>
      <c r="S110" s="498">
        <f t="shared" si="8"/>
        <v>6583</v>
      </c>
      <c r="T110" s="498">
        <f t="shared" si="9"/>
        <v>6583</v>
      </c>
      <c r="U110" s="498"/>
      <c r="V110" s="562" t="s">
        <v>5761</v>
      </c>
      <c r="W110" s="559" t="s">
        <v>5744</v>
      </c>
      <c r="X110" s="559" t="s">
        <v>5745</v>
      </c>
      <c r="Y110" s="561" t="s">
        <v>154</v>
      </c>
      <c r="Z110" s="492" t="s">
        <v>5747</v>
      </c>
      <c r="AA110" s="561" t="s">
        <v>154</v>
      </c>
      <c r="AB110" s="492" t="s">
        <v>5747</v>
      </c>
      <c r="AC110" s="492" t="s">
        <v>5747</v>
      </c>
      <c r="AD110" s="560">
        <v>22</v>
      </c>
      <c r="AE110" s="519" t="s">
        <v>5780</v>
      </c>
      <c r="AF110" s="492" t="s">
        <v>5747</v>
      </c>
      <c r="AG110" s="557" t="s">
        <v>154</v>
      </c>
      <c r="AH110" s="557" t="s">
        <v>154</v>
      </c>
      <c r="AI110" s="559" t="s">
        <v>5769</v>
      </c>
      <c r="AJ110" s="559" t="s">
        <v>5769</v>
      </c>
      <c r="AK110" s="559" t="s">
        <v>5769</v>
      </c>
      <c r="AL110" s="557" t="s">
        <v>154</v>
      </c>
      <c r="AM110" s="492" t="s">
        <v>5747</v>
      </c>
      <c r="AN110" s="559" t="s">
        <v>154</v>
      </c>
      <c r="AO110" s="559" t="s">
        <v>3454</v>
      </c>
      <c r="AP110" s="559" t="s">
        <v>5774</v>
      </c>
      <c r="AQ110" s="559" t="s">
        <v>5774</v>
      </c>
      <c r="AR110" s="492" t="s">
        <v>5747</v>
      </c>
      <c r="AS110" s="492"/>
      <c r="AT110" s="488" t="s">
        <v>5771</v>
      </c>
      <c r="AU110" s="487" t="s">
        <v>5762</v>
      </c>
      <c r="AV110" s="487"/>
      <c r="AW110" s="492"/>
      <c r="AX110" s="556" t="s">
        <v>5747</v>
      </c>
      <c r="AY110" s="555"/>
      <c r="AZ110" s="555"/>
      <c r="BA110" s="554"/>
      <c r="BB110" s="554"/>
      <c r="BC110" s="554"/>
      <c r="BD110" s="554" t="s">
        <v>5781</v>
      </c>
      <c r="BE110" s="554" t="s">
        <v>5781</v>
      </c>
      <c r="BF110" s="554"/>
      <c r="BG110" s="554"/>
      <c r="BH110" s="554"/>
      <c r="BI110" s="574"/>
    </row>
    <row r="111" spans="1:61" s="552" customFormat="1" ht="40" customHeight="1">
      <c r="A111" s="507"/>
      <c r="B111" s="522">
        <v>4512</v>
      </c>
      <c r="C111" s="566" t="s">
        <v>1316</v>
      </c>
      <c r="D111" s="565" t="s">
        <v>452</v>
      </c>
      <c r="E111" s="2371" t="s">
        <v>454</v>
      </c>
      <c r="F111" s="2371"/>
      <c r="G111" s="2371"/>
      <c r="H111" s="527">
        <v>4</v>
      </c>
      <c r="I111" s="526" t="str">
        <f t="shared" si="10"/>
        <v>4512-BLD-004</v>
      </c>
      <c r="J111" s="525" t="s">
        <v>5917</v>
      </c>
      <c r="K111" s="525"/>
      <c r="L111" s="519" t="s">
        <v>5215</v>
      </c>
      <c r="M111" s="519" t="s">
        <v>2969</v>
      </c>
      <c r="N111" s="560">
        <v>1</v>
      </c>
      <c r="O111" s="575">
        <v>30</v>
      </c>
      <c r="P111" s="564">
        <v>29</v>
      </c>
      <c r="Q111" s="564">
        <v>227</v>
      </c>
      <c r="R111" s="563">
        <v>13</v>
      </c>
      <c r="S111" s="498">
        <f t="shared" si="8"/>
        <v>6583</v>
      </c>
      <c r="T111" s="498">
        <f t="shared" si="9"/>
        <v>6583</v>
      </c>
      <c r="U111" s="498"/>
      <c r="V111" s="562" t="s">
        <v>5761</v>
      </c>
      <c r="W111" s="559" t="s">
        <v>5744</v>
      </c>
      <c r="X111" s="559" t="s">
        <v>5745</v>
      </c>
      <c r="Y111" s="561" t="s">
        <v>154</v>
      </c>
      <c r="Z111" s="492" t="s">
        <v>5747</v>
      </c>
      <c r="AA111" s="561" t="s">
        <v>154</v>
      </c>
      <c r="AB111" s="492" t="s">
        <v>5747</v>
      </c>
      <c r="AC111" s="492" t="s">
        <v>5747</v>
      </c>
      <c r="AD111" s="560">
        <v>22</v>
      </c>
      <c r="AE111" s="519" t="s">
        <v>5780</v>
      </c>
      <c r="AF111" s="492" t="s">
        <v>5747</v>
      </c>
      <c r="AG111" s="557" t="s">
        <v>154</v>
      </c>
      <c r="AH111" s="557" t="s">
        <v>154</v>
      </c>
      <c r="AI111" s="559" t="s">
        <v>5769</v>
      </c>
      <c r="AJ111" s="559" t="s">
        <v>5769</v>
      </c>
      <c r="AK111" s="559" t="s">
        <v>5769</v>
      </c>
      <c r="AL111" s="557" t="s">
        <v>154</v>
      </c>
      <c r="AM111" s="492" t="s">
        <v>5747</v>
      </c>
      <c r="AN111" s="559" t="s">
        <v>154</v>
      </c>
      <c r="AO111" s="559" t="s">
        <v>3454</v>
      </c>
      <c r="AP111" s="559" t="s">
        <v>5774</v>
      </c>
      <c r="AQ111" s="559" t="s">
        <v>5774</v>
      </c>
      <c r="AR111" s="492" t="s">
        <v>5747</v>
      </c>
      <c r="AS111" s="492"/>
      <c r="AT111" s="488" t="s">
        <v>5771</v>
      </c>
      <c r="AU111" s="487" t="s">
        <v>5762</v>
      </c>
      <c r="AV111" s="487"/>
      <c r="AW111" s="492"/>
      <c r="AX111" s="556" t="s">
        <v>5747</v>
      </c>
      <c r="AY111" s="555"/>
      <c r="AZ111" s="555"/>
      <c r="BA111" s="554"/>
      <c r="BB111" s="554"/>
      <c r="BC111" s="554"/>
      <c r="BD111" s="554" t="s">
        <v>5781</v>
      </c>
      <c r="BE111" s="554" t="s">
        <v>5781</v>
      </c>
      <c r="BF111" s="554"/>
      <c r="BG111" s="554"/>
      <c r="BH111" s="554"/>
      <c r="BI111" s="574"/>
    </row>
    <row r="112" spans="1:61" s="552" customFormat="1" ht="40" customHeight="1">
      <c r="A112" s="507"/>
      <c r="B112" s="522">
        <v>4512</v>
      </c>
      <c r="C112" s="566" t="s">
        <v>1316</v>
      </c>
      <c r="D112" s="565" t="s">
        <v>452</v>
      </c>
      <c r="E112" s="2371" t="s">
        <v>454</v>
      </c>
      <c r="F112" s="2371"/>
      <c r="G112" s="2371"/>
      <c r="H112" s="527">
        <v>5</v>
      </c>
      <c r="I112" s="526" t="str">
        <f t="shared" si="10"/>
        <v>4512-BLD-005</v>
      </c>
      <c r="J112" s="525" t="s">
        <v>5918</v>
      </c>
      <c r="K112" s="525"/>
      <c r="L112" s="519" t="s">
        <v>5215</v>
      </c>
      <c r="M112" s="519" t="s">
        <v>2969</v>
      </c>
      <c r="N112" s="560">
        <v>1</v>
      </c>
      <c r="O112" s="575">
        <v>30</v>
      </c>
      <c r="P112" s="564">
        <v>29</v>
      </c>
      <c r="Q112" s="564">
        <v>227</v>
      </c>
      <c r="R112" s="563">
        <v>13</v>
      </c>
      <c r="S112" s="498">
        <f t="shared" si="8"/>
        <v>6583</v>
      </c>
      <c r="T112" s="498">
        <f t="shared" si="9"/>
        <v>6583</v>
      </c>
      <c r="U112" s="498"/>
      <c r="V112" s="562" t="s">
        <v>5761</v>
      </c>
      <c r="W112" s="559" t="s">
        <v>5744</v>
      </c>
      <c r="X112" s="559" t="s">
        <v>5745</v>
      </c>
      <c r="Y112" s="561" t="s">
        <v>154</v>
      </c>
      <c r="Z112" s="492" t="s">
        <v>5747</v>
      </c>
      <c r="AA112" s="561" t="s">
        <v>154</v>
      </c>
      <c r="AB112" s="492" t="s">
        <v>5747</v>
      </c>
      <c r="AC112" s="492" t="s">
        <v>5747</v>
      </c>
      <c r="AD112" s="560">
        <v>22</v>
      </c>
      <c r="AE112" s="519" t="s">
        <v>5780</v>
      </c>
      <c r="AF112" s="492" t="s">
        <v>5747</v>
      </c>
      <c r="AG112" s="557" t="s">
        <v>154</v>
      </c>
      <c r="AH112" s="557" t="s">
        <v>154</v>
      </c>
      <c r="AI112" s="559" t="s">
        <v>5769</v>
      </c>
      <c r="AJ112" s="559" t="s">
        <v>5769</v>
      </c>
      <c r="AK112" s="559" t="s">
        <v>5769</v>
      </c>
      <c r="AL112" s="557" t="s">
        <v>154</v>
      </c>
      <c r="AM112" s="492" t="s">
        <v>5747</v>
      </c>
      <c r="AN112" s="559" t="s">
        <v>154</v>
      </c>
      <c r="AO112" s="559" t="s">
        <v>3454</v>
      </c>
      <c r="AP112" s="559" t="s">
        <v>5774</v>
      </c>
      <c r="AQ112" s="559" t="s">
        <v>5774</v>
      </c>
      <c r="AR112" s="492" t="s">
        <v>5747</v>
      </c>
      <c r="AS112" s="492"/>
      <c r="AT112" s="488" t="s">
        <v>5771</v>
      </c>
      <c r="AU112" s="487" t="s">
        <v>5762</v>
      </c>
      <c r="AV112" s="487"/>
      <c r="AW112" s="492"/>
      <c r="AX112" s="556" t="s">
        <v>5747</v>
      </c>
      <c r="AY112" s="555"/>
      <c r="AZ112" s="555"/>
      <c r="BA112" s="554"/>
      <c r="BB112" s="554"/>
      <c r="BC112" s="554"/>
      <c r="BD112" s="554" t="s">
        <v>5781</v>
      </c>
      <c r="BE112" s="554" t="s">
        <v>5781</v>
      </c>
      <c r="BF112" s="554"/>
      <c r="BG112" s="554"/>
      <c r="BH112" s="554"/>
      <c r="BI112" s="574"/>
    </row>
    <row r="113" spans="1:61" s="552" customFormat="1" ht="40" customHeight="1">
      <c r="A113" s="507"/>
      <c r="B113" s="522">
        <v>4512</v>
      </c>
      <c r="C113" s="566" t="s">
        <v>1316</v>
      </c>
      <c r="D113" s="565" t="s">
        <v>452</v>
      </c>
      <c r="E113" s="2371" t="s">
        <v>454</v>
      </c>
      <c r="F113" s="2371"/>
      <c r="G113" s="2371"/>
      <c r="H113" s="527">
        <v>6</v>
      </c>
      <c r="I113" s="526" t="str">
        <f t="shared" si="10"/>
        <v>4512-BLD-006</v>
      </c>
      <c r="J113" s="525" t="s">
        <v>5919</v>
      </c>
      <c r="K113" s="525"/>
      <c r="L113" s="519" t="s">
        <v>5215</v>
      </c>
      <c r="M113" s="519" t="s">
        <v>2969</v>
      </c>
      <c r="N113" s="560">
        <v>1</v>
      </c>
      <c r="O113" s="575">
        <v>30</v>
      </c>
      <c r="P113" s="564">
        <v>29</v>
      </c>
      <c r="Q113" s="564">
        <v>227</v>
      </c>
      <c r="R113" s="563">
        <v>13</v>
      </c>
      <c r="S113" s="498">
        <f t="shared" si="8"/>
        <v>6583</v>
      </c>
      <c r="T113" s="498">
        <f t="shared" si="9"/>
        <v>6583</v>
      </c>
      <c r="U113" s="498"/>
      <c r="V113" s="562" t="s">
        <v>5761</v>
      </c>
      <c r="W113" s="559" t="s">
        <v>5744</v>
      </c>
      <c r="X113" s="559" t="s">
        <v>5745</v>
      </c>
      <c r="Y113" s="561" t="s">
        <v>154</v>
      </c>
      <c r="Z113" s="492" t="s">
        <v>5747</v>
      </c>
      <c r="AA113" s="561" t="s">
        <v>154</v>
      </c>
      <c r="AB113" s="492" t="s">
        <v>5747</v>
      </c>
      <c r="AC113" s="492" t="s">
        <v>5747</v>
      </c>
      <c r="AD113" s="560">
        <v>22</v>
      </c>
      <c r="AE113" s="519" t="s">
        <v>5780</v>
      </c>
      <c r="AF113" s="492" t="s">
        <v>5747</v>
      </c>
      <c r="AG113" s="557" t="s">
        <v>154</v>
      </c>
      <c r="AH113" s="557" t="s">
        <v>154</v>
      </c>
      <c r="AI113" s="559" t="s">
        <v>5769</v>
      </c>
      <c r="AJ113" s="559" t="s">
        <v>5769</v>
      </c>
      <c r="AK113" s="559" t="s">
        <v>5769</v>
      </c>
      <c r="AL113" s="557" t="s">
        <v>154</v>
      </c>
      <c r="AM113" s="492" t="s">
        <v>5747</v>
      </c>
      <c r="AN113" s="559" t="s">
        <v>154</v>
      </c>
      <c r="AO113" s="559" t="s">
        <v>3454</v>
      </c>
      <c r="AP113" s="559" t="s">
        <v>5774</v>
      </c>
      <c r="AQ113" s="559" t="s">
        <v>5774</v>
      </c>
      <c r="AR113" s="492" t="s">
        <v>5747</v>
      </c>
      <c r="AS113" s="492"/>
      <c r="AT113" s="488" t="s">
        <v>5771</v>
      </c>
      <c r="AU113" s="487" t="s">
        <v>5762</v>
      </c>
      <c r="AV113" s="487"/>
      <c r="AW113" s="492"/>
      <c r="AX113" s="556" t="s">
        <v>5747</v>
      </c>
      <c r="AY113" s="555"/>
      <c r="AZ113" s="555"/>
      <c r="BA113" s="554"/>
      <c r="BB113" s="554"/>
      <c r="BC113" s="554"/>
      <c r="BD113" s="554" t="s">
        <v>5781</v>
      </c>
      <c r="BE113" s="554" t="s">
        <v>5781</v>
      </c>
      <c r="BF113" s="554"/>
      <c r="BG113" s="554"/>
      <c r="BH113" s="554"/>
      <c r="BI113" s="574"/>
    </row>
    <row r="114" spans="1:61" s="552" customFormat="1" ht="40" customHeight="1">
      <c r="A114" s="507"/>
      <c r="B114" s="522">
        <v>4512</v>
      </c>
      <c r="C114" s="566" t="s">
        <v>1316</v>
      </c>
      <c r="D114" s="565" t="s">
        <v>452</v>
      </c>
      <c r="E114" s="2371" t="s">
        <v>454</v>
      </c>
      <c r="F114" s="2371"/>
      <c r="G114" s="2371"/>
      <c r="H114" s="527">
        <v>7</v>
      </c>
      <c r="I114" s="526" t="str">
        <f t="shared" si="10"/>
        <v>4512-BLD-007</v>
      </c>
      <c r="J114" s="525" t="s">
        <v>5920</v>
      </c>
      <c r="K114" s="525"/>
      <c r="L114" s="519" t="s">
        <v>5215</v>
      </c>
      <c r="M114" s="519" t="s">
        <v>2969</v>
      </c>
      <c r="N114" s="560">
        <v>1</v>
      </c>
      <c r="O114" s="575">
        <v>30</v>
      </c>
      <c r="P114" s="564">
        <v>29</v>
      </c>
      <c r="Q114" s="564">
        <v>227</v>
      </c>
      <c r="R114" s="563">
        <v>13</v>
      </c>
      <c r="S114" s="498">
        <f t="shared" si="8"/>
        <v>6583</v>
      </c>
      <c r="T114" s="498">
        <f t="shared" si="9"/>
        <v>6583</v>
      </c>
      <c r="U114" s="498"/>
      <c r="V114" s="562" t="s">
        <v>5761</v>
      </c>
      <c r="W114" s="559" t="s">
        <v>5744</v>
      </c>
      <c r="X114" s="559" t="s">
        <v>5745</v>
      </c>
      <c r="Y114" s="561" t="s">
        <v>154</v>
      </c>
      <c r="Z114" s="492" t="s">
        <v>5747</v>
      </c>
      <c r="AA114" s="561" t="s">
        <v>154</v>
      </c>
      <c r="AB114" s="492" t="s">
        <v>5747</v>
      </c>
      <c r="AC114" s="492" t="s">
        <v>5747</v>
      </c>
      <c r="AD114" s="560">
        <v>22</v>
      </c>
      <c r="AE114" s="519" t="s">
        <v>5780</v>
      </c>
      <c r="AF114" s="492" t="s">
        <v>5747</v>
      </c>
      <c r="AG114" s="557" t="s">
        <v>154</v>
      </c>
      <c r="AH114" s="557" t="s">
        <v>154</v>
      </c>
      <c r="AI114" s="559" t="s">
        <v>5769</v>
      </c>
      <c r="AJ114" s="559" t="s">
        <v>5769</v>
      </c>
      <c r="AK114" s="559" t="s">
        <v>5769</v>
      </c>
      <c r="AL114" s="557" t="s">
        <v>154</v>
      </c>
      <c r="AM114" s="492" t="s">
        <v>5747</v>
      </c>
      <c r="AN114" s="559" t="s">
        <v>154</v>
      </c>
      <c r="AO114" s="559" t="s">
        <v>3454</v>
      </c>
      <c r="AP114" s="559" t="s">
        <v>5774</v>
      </c>
      <c r="AQ114" s="559" t="s">
        <v>5774</v>
      </c>
      <c r="AR114" s="492" t="s">
        <v>5747</v>
      </c>
      <c r="AS114" s="492"/>
      <c r="AT114" s="488" t="s">
        <v>5771</v>
      </c>
      <c r="AU114" s="487" t="s">
        <v>5762</v>
      </c>
      <c r="AV114" s="487"/>
      <c r="AW114" s="492"/>
      <c r="AX114" s="556" t="s">
        <v>5747</v>
      </c>
      <c r="AY114" s="555"/>
      <c r="AZ114" s="555"/>
      <c r="BA114" s="554"/>
      <c r="BB114" s="554"/>
      <c r="BC114" s="554"/>
      <c r="BD114" s="554" t="s">
        <v>5781</v>
      </c>
      <c r="BE114" s="554" t="s">
        <v>5781</v>
      </c>
      <c r="BF114" s="554"/>
      <c r="BG114" s="554"/>
      <c r="BH114" s="554"/>
      <c r="BI114" s="574"/>
    </row>
    <row r="115" spans="1:61" ht="40" customHeight="1">
      <c r="A115" s="528"/>
      <c r="B115" s="506">
        <v>4513</v>
      </c>
      <c r="C115" s="505" t="s">
        <v>1316</v>
      </c>
      <c r="D115" s="504" t="s">
        <v>452</v>
      </c>
      <c r="E115" s="2369" t="s">
        <v>454</v>
      </c>
      <c r="F115" s="2369"/>
      <c r="G115" s="2369"/>
      <c r="H115" s="503">
        <v>1</v>
      </c>
      <c r="I115" s="502" t="str">
        <f t="shared" si="10"/>
        <v>4513-BLD-001</v>
      </c>
      <c r="J115" s="501" t="s">
        <v>5785</v>
      </c>
      <c r="K115" s="501"/>
      <c r="L115" s="493" t="s">
        <v>4158</v>
      </c>
      <c r="M115" s="493" t="s">
        <v>2969</v>
      </c>
      <c r="N115" s="494">
        <v>1</v>
      </c>
      <c r="O115" s="529">
        <v>18</v>
      </c>
      <c r="P115" s="500">
        <v>24</v>
      </c>
      <c r="Q115" s="500">
        <v>40</v>
      </c>
      <c r="R115" s="499">
        <v>8</v>
      </c>
      <c r="S115" s="497">
        <f t="shared" si="8"/>
        <v>960</v>
      </c>
      <c r="T115" s="498">
        <f t="shared" si="9"/>
        <v>960</v>
      </c>
      <c r="U115" s="497" t="s">
        <v>3454</v>
      </c>
      <c r="V115" s="496" t="s">
        <v>5786</v>
      </c>
      <c r="W115" s="489" t="s">
        <v>5787</v>
      </c>
      <c r="X115" s="489" t="s">
        <v>5745</v>
      </c>
      <c r="Y115" s="492" t="s">
        <v>5747</v>
      </c>
      <c r="Z115" s="492" t="s">
        <v>5747</v>
      </c>
      <c r="AA115" s="495" t="s">
        <v>154</v>
      </c>
      <c r="AB115" s="495" t="s">
        <v>154</v>
      </c>
      <c r="AC115" s="492" t="s">
        <v>5747</v>
      </c>
      <c r="AD115" s="494">
        <v>22</v>
      </c>
      <c r="AE115" s="493" t="s">
        <v>5746</v>
      </c>
      <c r="AF115" s="489" t="s">
        <v>154</v>
      </c>
      <c r="AG115" s="491" t="s">
        <v>154</v>
      </c>
      <c r="AH115" s="489" t="s">
        <v>5754</v>
      </c>
      <c r="AI115" s="489" t="s">
        <v>5755</v>
      </c>
      <c r="AJ115" s="489" t="s">
        <v>5754</v>
      </c>
      <c r="AK115" s="489" t="s">
        <v>154</v>
      </c>
      <c r="AL115" s="491" t="s">
        <v>154</v>
      </c>
      <c r="AM115" s="490" t="s">
        <v>5747</v>
      </c>
      <c r="AN115" s="489" t="s">
        <v>154</v>
      </c>
      <c r="AO115" s="489" t="s">
        <v>3454</v>
      </c>
      <c r="AP115" s="489" t="s">
        <v>5750</v>
      </c>
      <c r="AQ115" s="489" t="s">
        <v>5788</v>
      </c>
      <c r="AR115" s="489" t="s">
        <v>154</v>
      </c>
      <c r="AS115" s="487">
        <v>6</v>
      </c>
      <c r="AT115" s="488" t="s">
        <v>5771</v>
      </c>
      <c r="AU115" s="487" t="s">
        <v>5762</v>
      </c>
      <c r="AV115" s="487"/>
      <c r="AW115" s="487"/>
      <c r="AX115" s="570" t="s">
        <v>5747</v>
      </c>
      <c r="AY115" s="569"/>
      <c r="AZ115" s="569"/>
      <c r="BA115" s="568"/>
      <c r="BB115" s="568">
        <v>1</v>
      </c>
      <c r="BC115" s="568"/>
      <c r="BD115" s="568"/>
      <c r="BE115" s="568">
        <v>2</v>
      </c>
      <c r="BF115" s="568">
        <v>1</v>
      </c>
      <c r="BG115" s="568">
        <v>1</v>
      </c>
      <c r="BH115" s="568">
        <v>1</v>
      </c>
      <c r="BI115" s="457" t="s">
        <v>5777</v>
      </c>
    </row>
    <row r="116" spans="1:61" ht="40" customHeight="1">
      <c r="A116" s="507"/>
      <c r="B116" s="506">
        <v>4513</v>
      </c>
      <c r="C116" s="505" t="s">
        <v>1316</v>
      </c>
      <c r="D116" s="504" t="s">
        <v>452</v>
      </c>
      <c r="E116" s="2369" t="s">
        <v>454</v>
      </c>
      <c r="F116" s="2369"/>
      <c r="G116" s="2369"/>
      <c r="H116" s="503">
        <v>2</v>
      </c>
      <c r="I116" s="502" t="str">
        <f t="shared" si="10"/>
        <v>4513-BLD-002</v>
      </c>
      <c r="J116" s="501" t="s">
        <v>5790</v>
      </c>
      <c r="K116" s="501"/>
      <c r="L116" s="493" t="s">
        <v>4168</v>
      </c>
      <c r="M116" s="493" t="s">
        <v>2969</v>
      </c>
      <c r="N116" s="494">
        <v>1</v>
      </c>
      <c r="O116" s="494">
        <v>5</v>
      </c>
      <c r="P116" s="500">
        <v>50</v>
      </c>
      <c r="Q116" s="500">
        <v>60</v>
      </c>
      <c r="R116" s="499">
        <v>20</v>
      </c>
      <c r="S116" s="497">
        <f t="shared" si="8"/>
        <v>3000</v>
      </c>
      <c r="T116" s="498">
        <f t="shared" si="9"/>
        <v>3000</v>
      </c>
      <c r="U116" s="497" t="s">
        <v>5791</v>
      </c>
      <c r="V116" s="496" t="s">
        <v>5792</v>
      </c>
      <c r="W116" s="489" t="s">
        <v>5793</v>
      </c>
      <c r="X116" s="489" t="s">
        <v>5794</v>
      </c>
      <c r="Y116" s="495" t="s">
        <v>154</v>
      </c>
      <c r="Z116" s="495" t="s">
        <v>154</v>
      </c>
      <c r="AA116" s="495" t="s">
        <v>154</v>
      </c>
      <c r="AB116" s="495" t="s">
        <v>154</v>
      </c>
      <c r="AC116" s="495" t="s">
        <v>154</v>
      </c>
      <c r="AD116" s="494">
        <v>5</v>
      </c>
      <c r="AE116" s="495" t="s">
        <v>3454</v>
      </c>
      <c r="AF116" s="492" t="s">
        <v>5747</v>
      </c>
      <c r="AG116" s="491" t="s">
        <v>154</v>
      </c>
      <c r="AH116" s="491" t="s">
        <v>154</v>
      </c>
      <c r="AI116" s="489" t="s">
        <v>154</v>
      </c>
      <c r="AJ116" s="489" t="s">
        <v>154</v>
      </c>
      <c r="AK116" s="489" t="s">
        <v>154</v>
      </c>
      <c r="AL116" s="491" t="s">
        <v>154</v>
      </c>
      <c r="AM116" s="490" t="s">
        <v>5747</v>
      </c>
      <c r="AN116" s="489" t="s">
        <v>154</v>
      </c>
      <c r="AO116" s="489" t="s">
        <v>3454</v>
      </c>
      <c r="AP116" s="489" t="s">
        <v>5750</v>
      </c>
      <c r="AQ116" s="489" t="s">
        <v>5774</v>
      </c>
      <c r="AR116" s="489" t="s">
        <v>154</v>
      </c>
      <c r="AS116" s="530">
        <v>4</v>
      </c>
      <c r="AT116" s="488" t="s">
        <v>5771</v>
      </c>
      <c r="AU116" s="487" t="s">
        <v>5762</v>
      </c>
      <c r="AV116" s="487"/>
      <c r="AW116" s="530"/>
      <c r="AX116" s="570" t="s">
        <v>5747</v>
      </c>
      <c r="AY116" s="569"/>
      <c r="AZ116" s="569"/>
      <c r="BA116" s="568"/>
      <c r="BB116" s="568"/>
      <c r="BC116" s="568"/>
      <c r="BD116" s="568"/>
      <c r="BE116" s="568">
        <v>1</v>
      </c>
      <c r="BF116" s="568"/>
      <c r="BG116" s="568"/>
      <c r="BH116" s="568">
        <v>1</v>
      </c>
      <c r="BI116" s="457" t="s">
        <v>5795</v>
      </c>
    </row>
    <row r="117" spans="1:61" ht="40" customHeight="1">
      <c r="A117" s="507"/>
      <c r="B117" s="506">
        <v>4521</v>
      </c>
      <c r="C117" s="505" t="s">
        <v>1316</v>
      </c>
      <c r="D117" s="504" t="s">
        <v>452</v>
      </c>
      <c r="E117" s="2369" t="s">
        <v>605</v>
      </c>
      <c r="F117" s="2369"/>
      <c r="G117" s="2369"/>
      <c r="H117" s="503">
        <v>1</v>
      </c>
      <c r="I117" s="502" t="str">
        <f t="shared" si="10"/>
        <v>4521-BLD-001</v>
      </c>
      <c r="J117" s="501" t="s">
        <v>5796</v>
      </c>
      <c r="K117" s="501"/>
      <c r="L117" s="493" t="s">
        <v>5025</v>
      </c>
      <c r="M117" s="493" t="s">
        <v>2969</v>
      </c>
      <c r="N117" s="494">
        <v>1</v>
      </c>
      <c r="O117" s="529">
        <v>20</v>
      </c>
      <c r="P117" s="500">
        <v>100</v>
      </c>
      <c r="Q117" s="500">
        <v>260</v>
      </c>
      <c r="R117" s="499">
        <v>35</v>
      </c>
      <c r="S117" s="497">
        <f t="shared" si="8"/>
        <v>26000</v>
      </c>
      <c r="T117" s="498">
        <f t="shared" si="9"/>
        <v>26000</v>
      </c>
      <c r="U117" s="497" t="s">
        <v>5797</v>
      </c>
      <c r="V117" s="496" t="s">
        <v>5792</v>
      </c>
      <c r="W117" s="489" t="s">
        <v>5793</v>
      </c>
      <c r="X117" s="489" t="s">
        <v>5794</v>
      </c>
      <c r="Y117" s="495" t="s">
        <v>154</v>
      </c>
      <c r="Z117" s="495" t="s">
        <v>154</v>
      </c>
      <c r="AA117" s="495" t="s">
        <v>154</v>
      </c>
      <c r="AB117" s="495" t="s">
        <v>154</v>
      </c>
      <c r="AC117" s="495" t="s">
        <v>154</v>
      </c>
      <c r="AD117" s="494">
        <v>22</v>
      </c>
      <c r="AE117" s="493" t="s">
        <v>3454</v>
      </c>
      <c r="AF117" s="492" t="s">
        <v>5747</v>
      </c>
      <c r="AG117" s="491" t="s">
        <v>154</v>
      </c>
      <c r="AH117" s="489" t="s">
        <v>5754</v>
      </c>
      <c r="AI117" s="489" t="s">
        <v>154</v>
      </c>
      <c r="AJ117" s="489" t="s">
        <v>154</v>
      </c>
      <c r="AK117" s="489" t="s">
        <v>154</v>
      </c>
      <c r="AL117" s="491" t="s">
        <v>154</v>
      </c>
      <c r="AM117" s="490" t="s">
        <v>5747</v>
      </c>
      <c r="AN117" s="489" t="s">
        <v>154</v>
      </c>
      <c r="AO117" s="489" t="s">
        <v>3454</v>
      </c>
      <c r="AP117" s="489" t="s">
        <v>5750</v>
      </c>
      <c r="AQ117" s="489" t="s">
        <v>5756</v>
      </c>
      <c r="AR117" s="489" t="s">
        <v>154</v>
      </c>
      <c r="AS117" s="530">
        <v>4</v>
      </c>
      <c r="AT117" s="488" t="s">
        <v>5921</v>
      </c>
      <c r="AU117" s="487" t="s">
        <v>5762</v>
      </c>
      <c r="AV117" s="487"/>
      <c r="AW117" s="530"/>
      <c r="AX117" s="570" t="s">
        <v>5747</v>
      </c>
      <c r="AY117" s="569"/>
      <c r="AZ117" s="569"/>
      <c r="BA117" s="568">
        <v>1</v>
      </c>
      <c r="BB117" s="568">
        <v>1</v>
      </c>
      <c r="BC117" s="568"/>
      <c r="BD117" s="568"/>
      <c r="BE117" s="568">
        <v>2</v>
      </c>
      <c r="BF117" s="568"/>
      <c r="BG117" s="568"/>
      <c r="BH117" s="568"/>
      <c r="BI117" s="457"/>
    </row>
    <row r="118" spans="1:61" ht="40" customHeight="1">
      <c r="A118" s="507"/>
      <c r="B118" s="506">
        <v>4521</v>
      </c>
      <c r="C118" s="505" t="s">
        <v>1316</v>
      </c>
      <c r="D118" s="504" t="s">
        <v>452</v>
      </c>
      <c r="E118" s="2369" t="s">
        <v>605</v>
      </c>
      <c r="F118" s="2369"/>
      <c r="G118" s="2369"/>
      <c r="H118" s="503">
        <v>2</v>
      </c>
      <c r="I118" s="502" t="str">
        <f t="shared" si="10"/>
        <v>4521-BLD-002</v>
      </c>
      <c r="J118" s="501" t="s">
        <v>5922</v>
      </c>
      <c r="K118" s="501"/>
      <c r="L118" s="493" t="s">
        <v>5025</v>
      </c>
      <c r="M118" s="493" t="s">
        <v>2969</v>
      </c>
      <c r="N118" s="494">
        <v>1</v>
      </c>
      <c r="O118" s="529">
        <v>5</v>
      </c>
      <c r="P118" s="500">
        <v>60</v>
      </c>
      <c r="Q118" s="500">
        <v>160</v>
      </c>
      <c r="R118" s="499">
        <v>25</v>
      </c>
      <c r="S118" s="497">
        <f t="shared" si="8"/>
        <v>9600</v>
      </c>
      <c r="T118" s="498">
        <f t="shared" si="9"/>
        <v>9600</v>
      </c>
      <c r="U118" s="497" t="s">
        <v>5791</v>
      </c>
      <c r="V118" s="496" t="s">
        <v>5792</v>
      </c>
      <c r="W118" s="489" t="s">
        <v>5793</v>
      </c>
      <c r="X118" s="489" t="s">
        <v>5794</v>
      </c>
      <c r="Y118" s="495" t="s">
        <v>154</v>
      </c>
      <c r="Z118" s="495" t="s">
        <v>154</v>
      </c>
      <c r="AA118" s="495" t="s">
        <v>154</v>
      </c>
      <c r="AB118" s="495" t="s">
        <v>154</v>
      </c>
      <c r="AC118" s="495" t="s">
        <v>154</v>
      </c>
      <c r="AD118" s="494">
        <v>22</v>
      </c>
      <c r="AE118" s="493" t="s">
        <v>3454</v>
      </c>
      <c r="AF118" s="492" t="s">
        <v>5747</v>
      </c>
      <c r="AG118" s="491" t="s">
        <v>154</v>
      </c>
      <c r="AH118" s="491" t="s">
        <v>154</v>
      </c>
      <c r="AI118" s="489" t="s">
        <v>154</v>
      </c>
      <c r="AJ118" s="489" t="s">
        <v>154</v>
      </c>
      <c r="AK118" s="489" t="s">
        <v>154</v>
      </c>
      <c r="AL118" s="491" t="s">
        <v>154</v>
      </c>
      <c r="AM118" s="490" t="s">
        <v>5747</v>
      </c>
      <c r="AN118" s="489" t="s">
        <v>154</v>
      </c>
      <c r="AO118" s="489" t="s">
        <v>3454</v>
      </c>
      <c r="AP118" s="489" t="s">
        <v>5750</v>
      </c>
      <c r="AQ118" s="489" t="s">
        <v>5756</v>
      </c>
      <c r="AR118" s="489" t="s">
        <v>154</v>
      </c>
      <c r="AS118" s="530">
        <v>4</v>
      </c>
      <c r="AT118" s="488" t="s">
        <v>5757</v>
      </c>
      <c r="AU118" s="487" t="s">
        <v>5762</v>
      </c>
      <c r="AV118" s="487"/>
      <c r="AW118" s="530"/>
      <c r="AX118" s="570" t="s">
        <v>5747</v>
      </c>
      <c r="AY118" s="569"/>
      <c r="AZ118" s="569"/>
      <c r="BA118" s="568"/>
      <c r="BB118" s="568"/>
      <c r="BC118" s="568"/>
      <c r="BD118" s="568"/>
      <c r="BE118" s="568">
        <v>1</v>
      </c>
      <c r="BF118" s="568"/>
      <c r="BG118" s="568"/>
      <c r="BH118" s="568"/>
      <c r="BI118" s="457"/>
    </row>
    <row r="119" spans="1:61" ht="40" customHeight="1">
      <c r="A119" s="507"/>
      <c r="B119" s="506">
        <v>4521</v>
      </c>
      <c r="C119" s="505" t="s">
        <v>1316</v>
      </c>
      <c r="D119" s="504" t="s">
        <v>452</v>
      </c>
      <c r="E119" s="2369" t="s">
        <v>605</v>
      </c>
      <c r="F119" s="2369"/>
      <c r="G119" s="2369"/>
      <c r="H119" s="503">
        <v>3</v>
      </c>
      <c r="I119" s="502" t="str">
        <f t="shared" si="10"/>
        <v>4521-BLD-003</v>
      </c>
      <c r="J119" s="501" t="s">
        <v>5799</v>
      </c>
      <c r="K119" s="501"/>
      <c r="L119" s="493" t="s">
        <v>4168</v>
      </c>
      <c r="M119" s="493" t="s">
        <v>2969</v>
      </c>
      <c r="N119" s="494">
        <v>1</v>
      </c>
      <c r="O119" s="529">
        <v>5</v>
      </c>
      <c r="P119" s="500">
        <v>60</v>
      </c>
      <c r="Q119" s="500">
        <v>70</v>
      </c>
      <c r="R119" s="499">
        <v>25</v>
      </c>
      <c r="S119" s="497">
        <f t="shared" si="8"/>
        <v>4200</v>
      </c>
      <c r="T119" s="498">
        <f t="shared" si="9"/>
        <v>4200</v>
      </c>
      <c r="U119" s="497" t="s">
        <v>5797</v>
      </c>
      <c r="V119" s="496" t="s">
        <v>5792</v>
      </c>
      <c r="W119" s="489" t="s">
        <v>5793</v>
      </c>
      <c r="X119" s="489" t="s">
        <v>5794</v>
      </c>
      <c r="Y119" s="495" t="s">
        <v>154</v>
      </c>
      <c r="Z119" s="495" t="s">
        <v>154</v>
      </c>
      <c r="AA119" s="495" t="s">
        <v>154</v>
      </c>
      <c r="AB119" s="495" t="s">
        <v>154</v>
      </c>
      <c r="AC119" s="495" t="s">
        <v>154</v>
      </c>
      <c r="AD119" s="494">
        <v>22</v>
      </c>
      <c r="AE119" s="493" t="s">
        <v>3454</v>
      </c>
      <c r="AF119" s="492" t="s">
        <v>5747</v>
      </c>
      <c r="AG119" s="491" t="s">
        <v>154</v>
      </c>
      <c r="AH119" s="491" t="s">
        <v>154</v>
      </c>
      <c r="AI119" s="489" t="s">
        <v>154</v>
      </c>
      <c r="AJ119" s="489" t="s">
        <v>154</v>
      </c>
      <c r="AK119" s="489" t="s">
        <v>154</v>
      </c>
      <c r="AL119" s="491" t="s">
        <v>154</v>
      </c>
      <c r="AM119" s="490" t="s">
        <v>5747</v>
      </c>
      <c r="AN119" s="489" t="s">
        <v>154</v>
      </c>
      <c r="AO119" s="489" t="s">
        <v>3454</v>
      </c>
      <c r="AP119" s="489" t="s">
        <v>5750</v>
      </c>
      <c r="AQ119" s="489" t="s">
        <v>154</v>
      </c>
      <c r="AR119" s="489" t="s">
        <v>154</v>
      </c>
      <c r="AS119" s="530">
        <v>4</v>
      </c>
      <c r="AT119" s="488" t="s">
        <v>5789</v>
      </c>
      <c r="AU119" s="487" t="s">
        <v>5762</v>
      </c>
      <c r="AV119" s="487"/>
      <c r="AW119" s="530"/>
      <c r="AX119" s="570" t="s">
        <v>5747</v>
      </c>
      <c r="AY119" s="569"/>
      <c r="AZ119" s="569"/>
      <c r="BA119" s="568"/>
      <c r="BB119" s="568"/>
      <c r="BC119" s="568"/>
      <c r="BD119" s="568"/>
      <c r="BE119" s="568">
        <v>1</v>
      </c>
      <c r="BF119" s="568"/>
      <c r="BG119" s="568"/>
      <c r="BH119" s="568"/>
      <c r="BI119" s="457"/>
    </row>
    <row r="120" spans="1:61" ht="40" customHeight="1">
      <c r="A120" s="528"/>
      <c r="B120" s="506">
        <v>4521</v>
      </c>
      <c r="C120" s="505" t="s">
        <v>1316</v>
      </c>
      <c r="D120" s="504" t="s">
        <v>452</v>
      </c>
      <c r="E120" s="2369" t="s">
        <v>605</v>
      </c>
      <c r="F120" s="2369"/>
      <c r="G120" s="2369"/>
      <c r="H120" s="503">
        <v>4</v>
      </c>
      <c r="I120" s="502" t="str">
        <f t="shared" si="10"/>
        <v>4521-BLD-004</v>
      </c>
      <c r="J120" s="501" t="s">
        <v>5801</v>
      </c>
      <c r="K120" s="501"/>
      <c r="L120" s="493" t="s">
        <v>4158</v>
      </c>
      <c r="M120" s="493" t="s">
        <v>2969</v>
      </c>
      <c r="N120" s="494">
        <v>1</v>
      </c>
      <c r="O120" s="529">
        <v>31</v>
      </c>
      <c r="P120" s="500">
        <v>48</v>
      </c>
      <c r="Q120" s="500">
        <v>60</v>
      </c>
      <c r="R120" s="499">
        <v>8</v>
      </c>
      <c r="S120" s="497">
        <f t="shared" si="8"/>
        <v>2880</v>
      </c>
      <c r="T120" s="498">
        <f t="shared" si="9"/>
        <v>2880</v>
      </c>
      <c r="U120" s="497" t="s">
        <v>3454</v>
      </c>
      <c r="V120" s="496" t="s">
        <v>5786</v>
      </c>
      <c r="W120" s="489" t="s">
        <v>5787</v>
      </c>
      <c r="X120" s="489" t="s">
        <v>5745</v>
      </c>
      <c r="Y120" s="492" t="s">
        <v>5747</v>
      </c>
      <c r="Z120" s="495" t="s">
        <v>154</v>
      </c>
      <c r="AA120" s="492" t="s">
        <v>5747</v>
      </c>
      <c r="AB120" s="495" t="s">
        <v>154</v>
      </c>
      <c r="AC120" s="492" t="s">
        <v>5747</v>
      </c>
      <c r="AD120" s="494">
        <v>22</v>
      </c>
      <c r="AE120" s="493" t="s">
        <v>5746</v>
      </c>
      <c r="AF120" s="489" t="s">
        <v>154</v>
      </c>
      <c r="AG120" s="491" t="s">
        <v>154</v>
      </c>
      <c r="AH120" s="489" t="s">
        <v>154</v>
      </c>
      <c r="AI120" s="489" t="s">
        <v>5755</v>
      </c>
      <c r="AJ120" s="489" t="s">
        <v>154</v>
      </c>
      <c r="AK120" s="489" t="s">
        <v>154</v>
      </c>
      <c r="AL120" s="491" t="s">
        <v>154</v>
      </c>
      <c r="AM120" s="490" t="s">
        <v>5747</v>
      </c>
      <c r="AN120" s="489" t="s">
        <v>154</v>
      </c>
      <c r="AO120" s="489" t="s">
        <v>3454</v>
      </c>
      <c r="AP120" s="489" t="s">
        <v>5750</v>
      </c>
      <c r="AQ120" s="489" t="s">
        <v>5756</v>
      </c>
      <c r="AR120" s="489" t="s">
        <v>154</v>
      </c>
      <c r="AS120" s="487">
        <v>40</v>
      </c>
      <c r="AT120" s="488" t="s">
        <v>5789</v>
      </c>
      <c r="AU120" s="487" t="s">
        <v>5762</v>
      </c>
      <c r="AV120" s="487"/>
      <c r="AW120" s="487"/>
      <c r="AX120" s="570" t="s">
        <v>5747</v>
      </c>
      <c r="AY120" s="570" t="s">
        <v>5747</v>
      </c>
      <c r="AZ120" s="569"/>
      <c r="BA120" s="568"/>
      <c r="BB120" s="568">
        <v>1</v>
      </c>
      <c r="BC120" s="568"/>
      <c r="BD120" s="568"/>
      <c r="BE120" s="568">
        <v>3</v>
      </c>
      <c r="BF120" s="568"/>
      <c r="BG120" s="568"/>
      <c r="BH120" s="568"/>
      <c r="BI120" s="457"/>
    </row>
    <row r="121" spans="1:61" ht="40" customHeight="1">
      <c r="A121" s="528"/>
      <c r="B121" s="506">
        <v>4521</v>
      </c>
      <c r="C121" s="505" t="s">
        <v>1316</v>
      </c>
      <c r="D121" s="504" t="s">
        <v>452</v>
      </c>
      <c r="E121" s="2369" t="s">
        <v>605</v>
      </c>
      <c r="F121" s="2369"/>
      <c r="G121" s="2369"/>
      <c r="H121" s="503">
        <v>5</v>
      </c>
      <c r="I121" s="502" t="str">
        <f t="shared" si="10"/>
        <v>4521-BLD-005</v>
      </c>
      <c r="J121" s="501" t="s">
        <v>5803</v>
      </c>
      <c r="K121" s="501"/>
      <c r="L121" s="493" t="s">
        <v>4158</v>
      </c>
      <c r="M121" s="493" t="s">
        <v>2969</v>
      </c>
      <c r="N121" s="494">
        <v>1</v>
      </c>
      <c r="O121" s="529">
        <v>9</v>
      </c>
      <c r="P121" s="500">
        <v>12</v>
      </c>
      <c r="Q121" s="500">
        <v>32</v>
      </c>
      <c r="R121" s="499">
        <v>8</v>
      </c>
      <c r="S121" s="497">
        <f t="shared" si="8"/>
        <v>384</v>
      </c>
      <c r="T121" s="498">
        <f t="shared" si="9"/>
        <v>384</v>
      </c>
      <c r="U121" s="497" t="s">
        <v>5791</v>
      </c>
      <c r="V121" s="496" t="s">
        <v>5753</v>
      </c>
      <c r="W121" s="489" t="s">
        <v>5787</v>
      </c>
      <c r="X121" s="489" t="s">
        <v>5745</v>
      </c>
      <c r="Y121" s="495" t="s">
        <v>154</v>
      </c>
      <c r="Z121" s="492" t="s">
        <v>5747</v>
      </c>
      <c r="AA121" s="495" t="s">
        <v>154</v>
      </c>
      <c r="AB121" s="495" t="s">
        <v>154</v>
      </c>
      <c r="AC121" s="495" t="s">
        <v>154</v>
      </c>
      <c r="AD121" s="494">
        <v>22</v>
      </c>
      <c r="AE121" s="495" t="s">
        <v>5746</v>
      </c>
      <c r="AF121" s="489" t="s">
        <v>154</v>
      </c>
      <c r="AG121" s="489" t="s">
        <v>154</v>
      </c>
      <c r="AH121" s="489" t="s">
        <v>5754</v>
      </c>
      <c r="AI121" s="489" t="s">
        <v>154</v>
      </c>
      <c r="AJ121" s="489" t="s">
        <v>5754</v>
      </c>
      <c r="AK121" s="489" t="s">
        <v>154</v>
      </c>
      <c r="AL121" s="491" t="s">
        <v>154</v>
      </c>
      <c r="AM121" s="491" t="s">
        <v>154</v>
      </c>
      <c r="AN121" s="490" t="s">
        <v>5747</v>
      </c>
      <c r="AO121" s="489" t="s">
        <v>3454</v>
      </c>
      <c r="AP121" s="489" t="s">
        <v>154</v>
      </c>
      <c r="AQ121" s="489" t="s">
        <v>154</v>
      </c>
      <c r="AR121" s="489" t="s">
        <v>154</v>
      </c>
      <c r="AS121" s="487"/>
      <c r="AT121" s="488"/>
      <c r="AU121" s="487"/>
      <c r="AV121" s="487"/>
      <c r="AW121" s="487"/>
      <c r="AX121" s="569"/>
      <c r="AY121" s="569"/>
      <c r="AZ121" s="569"/>
      <c r="BA121" s="568"/>
      <c r="BB121" s="568"/>
      <c r="BC121" s="568"/>
      <c r="BD121" s="568"/>
      <c r="BE121" s="568"/>
      <c r="BF121" s="568"/>
      <c r="BG121" s="568"/>
      <c r="BH121" s="568"/>
      <c r="BI121" s="457"/>
    </row>
    <row r="122" spans="1:61" ht="40" customHeight="1">
      <c r="A122" s="507"/>
      <c r="B122" s="506">
        <v>4523</v>
      </c>
      <c r="C122" s="505" t="s">
        <v>1316</v>
      </c>
      <c r="D122" s="504" t="s">
        <v>452</v>
      </c>
      <c r="E122" s="2369" t="s">
        <v>605</v>
      </c>
      <c r="F122" s="2369"/>
      <c r="G122" s="2369"/>
      <c r="H122" s="503">
        <v>1</v>
      </c>
      <c r="I122" s="502" t="str">
        <f t="shared" si="10"/>
        <v>4523-BLD-001</v>
      </c>
      <c r="J122" s="501" t="s">
        <v>5923</v>
      </c>
      <c r="K122" s="501"/>
      <c r="L122" s="493" t="s">
        <v>5025</v>
      </c>
      <c r="M122" s="493" t="s">
        <v>2969</v>
      </c>
      <c r="N122" s="494">
        <v>1</v>
      </c>
      <c r="O122" s="494">
        <v>2</v>
      </c>
      <c r="P122" s="500">
        <v>60</v>
      </c>
      <c r="Q122" s="500">
        <v>180</v>
      </c>
      <c r="R122" s="499">
        <v>25</v>
      </c>
      <c r="S122" s="497">
        <f t="shared" si="8"/>
        <v>10800</v>
      </c>
      <c r="T122" s="498">
        <f t="shared" si="9"/>
        <v>10800</v>
      </c>
      <c r="U122" s="497" t="s">
        <v>5791</v>
      </c>
      <c r="V122" s="496" t="s">
        <v>5792</v>
      </c>
      <c r="W122" s="489" t="s">
        <v>5793</v>
      </c>
      <c r="X122" s="489" t="s">
        <v>5836</v>
      </c>
      <c r="Y122" s="495" t="s">
        <v>154</v>
      </c>
      <c r="Z122" s="495" t="s">
        <v>154</v>
      </c>
      <c r="AA122" s="495" t="s">
        <v>154</v>
      </c>
      <c r="AB122" s="495" t="s">
        <v>154</v>
      </c>
      <c r="AC122" s="495" t="s">
        <v>154</v>
      </c>
      <c r="AD122" s="494">
        <v>22</v>
      </c>
      <c r="AE122" s="493" t="s">
        <v>3454</v>
      </c>
      <c r="AF122" s="492" t="s">
        <v>5747</v>
      </c>
      <c r="AG122" s="491" t="s">
        <v>154</v>
      </c>
      <c r="AH122" s="491" t="s">
        <v>154</v>
      </c>
      <c r="AI122" s="489" t="s">
        <v>154</v>
      </c>
      <c r="AJ122" s="489" t="s">
        <v>154</v>
      </c>
      <c r="AK122" s="489" t="s">
        <v>154</v>
      </c>
      <c r="AL122" s="491" t="s">
        <v>154</v>
      </c>
      <c r="AM122" s="490"/>
      <c r="AN122" s="489" t="s">
        <v>154</v>
      </c>
      <c r="AO122" s="489" t="s">
        <v>3454</v>
      </c>
      <c r="AP122" s="489" t="s">
        <v>5750</v>
      </c>
      <c r="AQ122" s="489" t="s">
        <v>154</v>
      </c>
      <c r="AR122" s="489" t="s">
        <v>154</v>
      </c>
      <c r="AS122" s="487">
        <v>2</v>
      </c>
      <c r="AT122" s="488"/>
      <c r="AU122" s="487" t="s">
        <v>5924</v>
      </c>
      <c r="AV122" s="487"/>
      <c r="AW122" s="487"/>
      <c r="AX122" s="569"/>
      <c r="AY122" s="569"/>
      <c r="AZ122" s="569"/>
      <c r="BA122" s="568"/>
      <c r="BB122" s="568"/>
      <c r="BC122" s="568"/>
      <c r="BD122" s="568"/>
      <c r="BE122" s="568"/>
      <c r="BF122" s="568"/>
      <c r="BG122" s="568"/>
      <c r="BH122" s="568"/>
      <c r="BI122" s="457"/>
    </row>
    <row r="123" spans="1:61" s="552" customFormat="1" ht="40" customHeight="1">
      <c r="A123" s="528"/>
      <c r="B123" s="522">
        <v>4530</v>
      </c>
      <c r="C123" s="566" t="s">
        <v>1316</v>
      </c>
      <c r="D123" s="565" t="s">
        <v>452</v>
      </c>
      <c r="E123" s="2371" t="s">
        <v>701</v>
      </c>
      <c r="F123" s="2371"/>
      <c r="G123" s="2371"/>
      <c r="H123" s="527">
        <v>1</v>
      </c>
      <c r="I123" s="526" t="str">
        <f t="shared" si="10"/>
        <v>4530-BLD-001</v>
      </c>
      <c r="J123" s="525" t="s">
        <v>5804</v>
      </c>
      <c r="K123" s="525"/>
      <c r="L123" s="519" t="s">
        <v>5805</v>
      </c>
      <c r="M123" s="519" t="s">
        <v>2969</v>
      </c>
      <c r="N123" s="560">
        <v>1</v>
      </c>
      <c r="O123" s="560" t="s">
        <v>154</v>
      </c>
      <c r="P123" s="564">
        <v>13</v>
      </c>
      <c r="Q123" s="564">
        <v>43</v>
      </c>
      <c r="R123" s="563">
        <v>14</v>
      </c>
      <c r="S123" s="498">
        <f t="shared" si="8"/>
        <v>559</v>
      </c>
      <c r="T123" s="498">
        <f t="shared" si="9"/>
        <v>559</v>
      </c>
      <c r="U123" s="498"/>
      <c r="V123" s="562" t="s">
        <v>5761</v>
      </c>
      <c r="W123" s="559" t="s">
        <v>5744</v>
      </c>
      <c r="X123" s="559" t="s">
        <v>5745</v>
      </c>
      <c r="Y123" s="561" t="s">
        <v>154</v>
      </c>
      <c r="Z123" s="561" t="s">
        <v>154</v>
      </c>
      <c r="AA123" s="561" t="s">
        <v>154</v>
      </c>
      <c r="AB123" s="561" t="s">
        <v>154</v>
      </c>
      <c r="AC123" s="561" t="s">
        <v>154</v>
      </c>
      <c r="AD123" s="560">
        <v>22</v>
      </c>
      <c r="AE123" s="561" t="s">
        <v>5746</v>
      </c>
      <c r="AF123" s="492" t="s">
        <v>5747</v>
      </c>
      <c r="AG123" s="557" t="s">
        <v>154</v>
      </c>
      <c r="AH123" s="557" t="s">
        <v>154</v>
      </c>
      <c r="AI123" s="559" t="s">
        <v>154</v>
      </c>
      <c r="AJ123" s="559" t="s">
        <v>154</v>
      </c>
      <c r="AK123" s="559" t="s">
        <v>154</v>
      </c>
      <c r="AL123" s="492" t="s">
        <v>5747</v>
      </c>
      <c r="AM123" s="559" t="s">
        <v>154</v>
      </c>
      <c r="AN123" s="559" t="s">
        <v>154</v>
      </c>
      <c r="AO123" s="559" t="s">
        <v>3454</v>
      </c>
      <c r="AP123" s="559" t="s">
        <v>5774</v>
      </c>
      <c r="AQ123" s="559" t="s">
        <v>154</v>
      </c>
      <c r="AR123" s="559" t="s">
        <v>154</v>
      </c>
      <c r="AS123" s="559"/>
      <c r="AT123" s="567"/>
      <c r="AU123" s="559"/>
      <c r="AV123" s="559"/>
      <c r="AW123" s="559"/>
      <c r="AX123" s="573"/>
      <c r="AY123" s="573"/>
      <c r="AZ123" s="573"/>
      <c r="BA123" s="553"/>
      <c r="BB123" s="553"/>
      <c r="BC123" s="553"/>
      <c r="BD123" s="553"/>
      <c r="BE123" s="553"/>
      <c r="BF123" s="553"/>
      <c r="BG123" s="553"/>
      <c r="BH123" s="553"/>
      <c r="BI123" s="553"/>
    </row>
    <row r="124" spans="1:61" s="552" customFormat="1" ht="40" customHeight="1">
      <c r="A124" s="528"/>
      <c r="B124" s="522">
        <v>4530</v>
      </c>
      <c r="C124" s="566" t="s">
        <v>1316</v>
      </c>
      <c r="D124" s="565" t="s">
        <v>452</v>
      </c>
      <c r="E124" s="2371" t="s">
        <v>701</v>
      </c>
      <c r="F124" s="2371"/>
      <c r="G124" s="2371"/>
      <c r="H124" s="527">
        <v>2</v>
      </c>
      <c r="I124" s="526" t="str">
        <f t="shared" si="10"/>
        <v>4530-BLD-002</v>
      </c>
      <c r="J124" s="525" t="s">
        <v>5806</v>
      </c>
      <c r="K124" s="525"/>
      <c r="L124" s="519" t="s">
        <v>5805</v>
      </c>
      <c r="M124" s="519" t="s">
        <v>2969</v>
      </c>
      <c r="N124" s="560">
        <v>1</v>
      </c>
      <c r="O124" s="560" t="s">
        <v>154</v>
      </c>
      <c r="P124" s="564">
        <v>13</v>
      </c>
      <c r="Q124" s="564">
        <v>43</v>
      </c>
      <c r="R124" s="563">
        <v>14</v>
      </c>
      <c r="S124" s="498">
        <f t="shared" si="8"/>
        <v>559</v>
      </c>
      <c r="T124" s="498">
        <f t="shared" si="9"/>
        <v>559</v>
      </c>
      <c r="U124" s="498"/>
      <c r="V124" s="562" t="s">
        <v>5761</v>
      </c>
      <c r="W124" s="559" t="s">
        <v>5744</v>
      </c>
      <c r="X124" s="559" t="s">
        <v>5745</v>
      </c>
      <c r="Y124" s="561" t="s">
        <v>154</v>
      </c>
      <c r="Z124" s="561" t="s">
        <v>154</v>
      </c>
      <c r="AA124" s="561" t="s">
        <v>154</v>
      </c>
      <c r="AB124" s="561" t="s">
        <v>154</v>
      </c>
      <c r="AC124" s="561" t="s">
        <v>154</v>
      </c>
      <c r="AD124" s="560">
        <v>22</v>
      </c>
      <c r="AE124" s="561" t="s">
        <v>5746</v>
      </c>
      <c r="AF124" s="492" t="s">
        <v>5747</v>
      </c>
      <c r="AG124" s="557" t="s">
        <v>154</v>
      </c>
      <c r="AH124" s="557" t="s">
        <v>154</v>
      </c>
      <c r="AI124" s="559" t="s">
        <v>154</v>
      </c>
      <c r="AJ124" s="559" t="s">
        <v>154</v>
      </c>
      <c r="AK124" s="559" t="s">
        <v>154</v>
      </c>
      <c r="AL124" s="492" t="s">
        <v>5747</v>
      </c>
      <c r="AM124" s="559" t="s">
        <v>154</v>
      </c>
      <c r="AN124" s="559" t="s">
        <v>154</v>
      </c>
      <c r="AO124" s="559" t="s">
        <v>3454</v>
      </c>
      <c r="AP124" s="559" t="s">
        <v>5774</v>
      </c>
      <c r="AQ124" s="559" t="s">
        <v>154</v>
      </c>
      <c r="AR124" s="559" t="s">
        <v>154</v>
      </c>
      <c r="AS124" s="559"/>
      <c r="AT124" s="567"/>
      <c r="AU124" s="559"/>
      <c r="AV124" s="559"/>
      <c r="AW124" s="559"/>
      <c r="AX124" s="573"/>
      <c r="AY124" s="573"/>
      <c r="AZ124" s="573"/>
      <c r="BA124" s="553"/>
      <c r="BB124" s="553"/>
      <c r="BC124" s="553"/>
      <c r="BD124" s="553"/>
      <c r="BE124" s="553"/>
      <c r="BF124" s="553"/>
      <c r="BG124" s="553"/>
      <c r="BH124" s="553"/>
      <c r="BI124" s="553"/>
    </row>
    <row r="125" spans="1:61" s="552" customFormat="1" ht="40" customHeight="1">
      <c r="A125" s="528"/>
      <c r="B125" s="522">
        <v>4530</v>
      </c>
      <c r="C125" s="566" t="s">
        <v>1316</v>
      </c>
      <c r="D125" s="565" t="s">
        <v>452</v>
      </c>
      <c r="E125" s="2371" t="s">
        <v>701</v>
      </c>
      <c r="F125" s="2371"/>
      <c r="G125" s="2371"/>
      <c r="H125" s="527">
        <v>3</v>
      </c>
      <c r="I125" s="526" t="str">
        <f t="shared" si="10"/>
        <v>4530-BLD-003</v>
      </c>
      <c r="J125" s="525" t="s">
        <v>5807</v>
      </c>
      <c r="K125" s="525"/>
      <c r="L125" s="519" t="s">
        <v>5805</v>
      </c>
      <c r="M125" s="519" t="s">
        <v>2969</v>
      </c>
      <c r="N125" s="560">
        <v>1</v>
      </c>
      <c r="O125" s="560" t="s">
        <v>154</v>
      </c>
      <c r="P125" s="564">
        <v>13</v>
      </c>
      <c r="Q125" s="564">
        <v>43</v>
      </c>
      <c r="R125" s="563">
        <v>14</v>
      </c>
      <c r="S125" s="498">
        <f t="shared" ref="S125:S155" si="11">PRODUCT(Q125,P125)</f>
        <v>559</v>
      </c>
      <c r="T125" s="498">
        <f t="shared" ref="T125:T155" si="12">S125</f>
        <v>559</v>
      </c>
      <c r="U125" s="498"/>
      <c r="V125" s="562" t="s">
        <v>5761</v>
      </c>
      <c r="W125" s="559" t="s">
        <v>5744</v>
      </c>
      <c r="X125" s="559" t="s">
        <v>5745</v>
      </c>
      <c r="Y125" s="561" t="s">
        <v>154</v>
      </c>
      <c r="Z125" s="561" t="s">
        <v>154</v>
      </c>
      <c r="AA125" s="561" t="s">
        <v>154</v>
      </c>
      <c r="AB125" s="561" t="s">
        <v>154</v>
      </c>
      <c r="AC125" s="561" t="s">
        <v>154</v>
      </c>
      <c r="AD125" s="560">
        <v>22</v>
      </c>
      <c r="AE125" s="561" t="s">
        <v>5746</v>
      </c>
      <c r="AF125" s="492" t="s">
        <v>5747</v>
      </c>
      <c r="AG125" s="557" t="s">
        <v>154</v>
      </c>
      <c r="AH125" s="557" t="s">
        <v>154</v>
      </c>
      <c r="AI125" s="559" t="s">
        <v>154</v>
      </c>
      <c r="AJ125" s="559" t="s">
        <v>154</v>
      </c>
      <c r="AK125" s="559" t="s">
        <v>154</v>
      </c>
      <c r="AL125" s="492" t="s">
        <v>5747</v>
      </c>
      <c r="AM125" s="559" t="s">
        <v>154</v>
      </c>
      <c r="AN125" s="559" t="s">
        <v>154</v>
      </c>
      <c r="AO125" s="559" t="s">
        <v>3454</v>
      </c>
      <c r="AP125" s="559" t="s">
        <v>5774</v>
      </c>
      <c r="AQ125" s="559" t="s">
        <v>154</v>
      </c>
      <c r="AR125" s="559" t="s">
        <v>154</v>
      </c>
      <c r="AS125" s="559"/>
      <c r="AT125" s="567"/>
      <c r="AU125" s="559"/>
      <c r="AV125" s="559"/>
      <c r="AW125" s="559"/>
      <c r="AX125" s="573"/>
      <c r="AY125" s="573"/>
      <c r="AZ125" s="573"/>
      <c r="BA125" s="553"/>
      <c r="BB125" s="553"/>
      <c r="BC125" s="553"/>
      <c r="BD125" s="553"/>
      <c r="BE125" s="553"/>
      <c r="BF125" s="553"/>
      <c r="BG125" s="553"/>
      <c r="BH125" s="553"/>
      <c r="BI125" s="553"/>
    </row>
    <row r="126" spans="1:61" s="552" customFormat="1" ht="40" customHeight="1">
      <c r="A126" s="528"/>
      <c r="B126" s="522">
        <v>4530</v>
      </c>
      <c r="C126" s="566" t="s">
        <v>1316</v>
      </c>
      <c r="D126" s="565" t="s">
        <v>452</v>
      </c>
      <c r="E126" s="2371" t="s">
        <v>701</v>
      </c>
      <c r="F126" s="2371"/>
      <c r="G126" s="2371"/>
      <c r="H126" s="527">
        <v>4</v>
      </c>
      <c r="I126" s="526" t="str">
        <f t="shared" si="10"/>
        <v>4530-BLD-004</v>
      </c>
      <c r="J126" s="525" t="s">
        <v>5808</v>
      </c>
      <c r="K126" s="525"/>
      <c r="L126" s="519" t="s">
        <v>5805</v>
      </c>
      <c r="M126" s="519" t="s">
        <v>2969</v>
      </c>
      <c r="N126" s="560">
        <v>1</v>
      </c>
      <c r="O126" s="560" t="s">
        <v>154</v>
      </c>
      <c r="P126" s="564">
        <v>13</v>
      </c>
      <c r="Q126" s="564">
        <v>43</v>
      </c>
      <c r="R126" s="563">
        <v>14</v>
      </c>
      <c r="S126" s="498">
        <f t="shared" si="11"/>
        <v>559</v>
      </c>
      <c r="T126" s="498">
        <f t="shared" si="12"/>
        <v>559</v>
      </c>
      <c r="U126" s="498"/>
      <c r="V126" s="562" t="s">
        <v>5761</v>
      </c>
      <c r="W126" s="559" t="s">
        <v>5744</v>
      </c>
      <c r="X126" s="559" t="s">
        <v>5745</v>
      </c>
      <c r="Y126" s="561" t="s">
        <v>154</v>
      </c>
      <c r="Z126" s="561" t="s">
        <v>154</v>
      </c>
      <c r="AA126" s="561" t="s">
        <v>154</v>
      </c>
      <c r="AB126" s="561" t="s">
        <v>154</v>
      </c>
      <c r="AC126" s="561" t="s">
        <v>154</v>
      </c>
      <c r="AD126" s="560">
        <v>22</v>
      </c>
      <c r="AE126" s="561" t="s">
        <v>5746</v>
      </c>
      <c r="AF126" s="492" t="s">
        <v>5747</v>
      </c>
      <c r="AG126" s="557" t="s">
        <v>154</v>
      </c>
      <c r="AH126" s="557" t="s">
        <v>154</v>
      </c>
      <c r="AI126" s="559" t="s">
        <v>154</v>
      </c>
      <c r="AJ126" s="559" t="s">
        <v>154</v>
      </c>
      <c r="AK126" s="559" t="s">
        <v>154</v>
      </c>
      <c r="AL126" s="492" t="s">
        <v>5747</v>
      </c>
      <c r="AM126" s="559" t="s">
        <v>154</v>
      </c>
      <c r="AN126" s="559" t="s">
        <v>154</v>
      </c>
      <c r="AO126" s="559" t="s">
        <v>3454</v>
      </c>
      <c r="AP126" s="559" t="s">
        <v>5774</v>
      </c>
      <c r="AQ126" s="559" t="s">
        <v>154</v>
      </c>
      <c r="AR126" s="559" t="s">
        <v>154</v>
      </c>
      <c r="AS126" s="559"/>
      <c r="AT126" s="567"/>
      <c r="AU126" s="559"/>
      <c r="AV126" s="559"/>
      <c r="AW126" s="559"/>
      <c r="AX126" s="573"/>
      <c r="AY126" s="573"/>
      <c r="AZ126" s="573"/>
      <c r="BA126" s="553"/>
      <c r="BB126" s="553"/>
      <c r="BC126" s="553"/>
      <c r="BD126" s="553"/>
      <c r="BE126" s="553"/>
      <c r="BF126" s="553"/>
      <c r="BG126" s="553"/>
      <c r="BH126" s="553"/>
      <c r="BI126" s="553"/>
    </row>
    <row r="127" spans="1:61" s="552" customFormat="1" ht="40" customHeight="1">
      <c r="A127" s="528"/>
      <c r="B127" s="522">
        <v>4530</v>
      </c>
      <c r="C127" s="566" t="s">
        <v>1316</v>
      </c>
      <c r="D127" s="565" t="s">
        <v>452</v>
      </c>
      <c r="E127" s="2371" t="s">
        <v>701</v>
      </c>
      <c r="F127" s="2371"/>
      <c r="G127" s="2371"/>
      <c r="H127" s="527">
        <v>5</v>
      </c>
      <c r="I127" s="526" t="str">
        <f t="shared" si="10"/>
        <v>4530-BLD-005</v>
      </c>
      <c r="J127" s="525" t="s">
        <v>5809</v>
      </c>
      <c r="K127" s="525"/>
      <c r="L127" s="519" t="s">
        <v>5805</v>
      </c>
      <c r="M127" s="519" t="s">
        <v>2969</v>
      </c>
      <c r="N127" s="560">
        <v>1</v>
      </c>
      <c r="O127" s="560" t="s">
        <v>154</v>
      </c>
      <c r="P127" s="564">
        <v>13</v>
      </c>
      <c r="Q127" s="564">
        <v>43</v>
      </c>
      <c r="R127" s="563">
        <v>14</v>
      </c>
      <c r="S127" s="498">
        <f t="shared" si="11"/>
        <v>559</v>
      </c>
      <c r="T127" s="498">
        <f t="shared" si="12"/>
        <v>559</v>
      </c>
      <c r="U127" s="498"/>
      <c r="V127" s="562" t="s">
        <v>5761</v>
      </c>
      <c r="W127" s="559" t="s">
        <v>5744</v>
      </c>
      <c r="X127" s="559" t="s">
        <v>5745</v>
      </c>
      <c r="Y127" s="561" t="s">
        <v>154</v>
      </c>
      <c r="Z127" s="561" t="s">
        <v>154</v>
      </c>
      <c r="AA127" s="561" t="s">
        <v>154</v>
      </c>
      <c r="AB127" s="561" t="s">
        <v>154</v>
      </c>
      <c r="AC127" s="561" t="s">
        <v>154</v>
      </c>
      <c r="AD127" s="560">
        <v>22</v>
      </c>
      <c r="AE127" s="561" t="s">
        <v>5746</v>
      </c>
      <c r="AF127" s="492" t="s">
        <v>5747</v>
      </c>
      <c r="AG127" s="557" t="s">
        <v>154</v>
      </c>
      <c r="AH127" s="557" t="s">
        <v>154</v>
      </c>
      <c r="AI127" s="559" t="s">
        <v>154</v>
      </c>
      <c r="AJ127" s="559" t="s">
        <v>154</v>
      </c>
      <c r="AK127" s="559" t="s">
        <v>154</v>
      </c>
      <c r="AL127" s="492" t="s">
        <v>5747</v>
      </c>
      <c r="AM127" s="559" t="s">
        <v>154</v>
      </c>
      <c r="AN127" s="559" t="s">
        <v>154</v>
      </c>
      <c r="AO127" s="559" t="s">
        <v>3454</v>
      </c>
      <c r="AP127" s="559" t="s">
        <v>5774</v>
      </c>
      <c r="AQ127" s="559" t="s">
        <v>154</v>
      </c>
      <c r="AR127" s="559" t="s">
        <v>154</v>
      </c>
      <c r="AS127" s="559"/>
      <c r="AT127" s="567"/>
      <c r="AU127" s="559"/>
      <c r="AV127" s="559"/>
      <c r="AW127" s="559"/>
      <c r="AX127" s="573"/>
      <c r="AY127" s="573"/>
      <c r="AZ127" s="573"/>
      <c r="BA127" s="553"/>
      <c r="BB127" s="553"/>
      <c r="BC127" s="553"/>
      <c r="BD127" s="553"/>
      <c r="BE127" s="553"/>
      <c r="BF127" s="553"/>
      <c r="BG127" s="553"/>
      <c r="BH127" s="553"/>
      <c r="BI127" s="553"/>
    </row>
    <row r="128" spans="1:61" s="552" customFormat="1" ht="40" customHeight="1">
      <c r="A128" s="528"/>
      <c r="B128" s="522">
        <v>4530</v>
      </c>
      <c r="C128" s="566" t="s">
        <v>1316</v>
      </c>
      <c r="D128" s="565" t="s">
        <v>452</v>
      </c>
      <c r="E128" s="2371" t="s">
        <v>701</v>
      </c>
      <c r="F128" s="2371"/>
      <c r="G128" s="2371"/>
      <c r="H128" s="527">
        <v>6</v>
      </c>
      <c r="I128" s="526" t="str">
        <f t="shared" si="10"/>
        <v>4530-BLD-006</v>
      </c>
      <c r="J128" s="525" t="s">
        <v>5810</v>
      </c>
      <c r="K128" s="525"/>
      <c r="L128" s="519" t="s">
        <v>5805</v>
      </c>
      <c r="M128" s="519" t="s">
        <v>2969</v>
      </c>
      <c r="N128" s="560">
        <v>1</v>
      </c>
      <c r="O128" s="560" t="s">
        <v>154</v>
      </c>
      <c r="P128" s="564">
        <v>13</v>
      </c>
      <c r="Q128" s="564">
        <v>43</v>
      </c>
      <c r="R128" s="563">
        <v>14</v>
      </c>
      <c r="S128" s="498">
        <f t="shared" si="11"/>
        <v>559</v>
      </c>
      <c r="T128" s="498">
        <f t="shared" si="12"/>
        <v>559</v>
      </c>
      <c r="U128" s="498"/>
      <c r="V128" s="562" t="s">
        <v>5761</v>
      </c>
      <c r="W128" s="559" t="s">
        <v>5744</v>
      </c>
      <c r="X128" s="559" t="s">
        <v>5745</v>
      </c>
      <c r="Y128" s="561" t="s">
        <v>154</v>
      </c>
      <c r="Z128" s="561" t="s">
        <v>154</v>
      </c>
      <c r="AA128" s="561" t="s">
        <v>154</v>
      </c>
      <c r="AB128" s="561" t="s">
        <v>154</v>
      </c>
      <c r="AC128" s="561" t="s">
        <v>154</v>
      </c>
      <c r="AD128" s="560">
        <v>22</v>
      </c>
      <c r="AE128" s="561" t="s">
        <v>5746</v>
      </c>
      <c r="AF128" s="492" t="s">
        <v>5747</v>
      </c>
      <c r="AG128" s="557" t="s">
        <v>154</v>
      </c>
      <c r="AH128" s="557" t="s">
        <v>154</v>
      </c>
      <c r="AI128" s="559" t="s">
        <v>154</v>
      </c>
      <c r="AJ128" s="559" t="s">
        <v>154</v>
      </c>
      <c r="AK128" s="559" t="s">
        <v>154</v>
      </c>
      <c r="AL128" s="492" t="s">
        <v>5747</v>
      </c>
      <c r="AM128" s="559" t="s">
        <v>154</v>
      </c>
      <c r="AN128" s="559" t="s">
        <v>154</v>
      </c>
      <c r="AO128" s="559" t="s">
        <v>3454</v>
      </c>
      <c r="AP128" s="559" t="s">
        <v>5774</v>
      </c>
      <c r="AQ128" s="559" t="s">
        <v>154</v>
      </c>
      <c r="AR128" s="559" t="s">
        <v>154</v>
      </c>
      <c r="AS128" s="559"/>
      <c r="AT128" s="567"/>
      <c r="AU128" s="559"/>
      <c r="AV128" s="559"/>
      <c r="AW128" s="559"/>
      <c r="AX128" s="573"/>
      <c r="AY128" s="573"/>
      <c r="AZ128" s="573"/>
      <c r="BA128" s="553"/>
      <c r="BB128" s="553"/>
      <c r="BC128" s="553"/>
      <c r="BD128" s="553"/>
      <c r="BE128" s="553"/>
      <c r="BF128" s="553"/>
      <c r="BG128" s="553"/>
      <c r="BH128" s="553"/>
      <c r="BI128" s="553"/>
    </row>
    <row r="129" spans="1:61" s="552" customFormat="1" ht="40" customHeight="1">
      <c r="A129" s="528"/>
      <c r="B129" s="522">
        <v>4530</v>
      </c>
      <c r="C129" s="566" t="s">
        <v>1316</v>
      </c>
      <c r="D129" s="565" t="s">
        <v>452</v>
      </c>
      <c r="E129" s="2371" t="s">
        <v>701</v>
      </c>
      <c r="F129" s="2371"/>
      <c r="G129" s="2371"/>
      <c r="H129" s="527">
        <v>7</v>
      </c>
      <c r="I129" s="526" t="str">
        <f t="shared" si="10"/>
        <v>4530-BLD-007</v>
      </c>
      <c r="J129" s="525" t="s">
        <v>5814</v>
      </c>
      <c r="K129" s="525"/>
      <c r="L129" s="519" t="s">
        <v>5805</v>
      </c>
      <c r="M129" s="519" t="s">
        <v>2969</v>
      </c>
      <c r="N129" s="560">
        <v>1</v>
      </c>
      <c r="O129" s="560" t="s">
        <v>154</v>
      </c>
      <c r="P129" s="564">
        <v>16</v>
      </c>
      <c r="Q129" s="564">
        <v>45</v>
      </c>
      <c r="R129" s="563">
        <v>10</v>
      </c>
      <c r="S129" s="498">
        <f t="shared" si="11"/>
        <v>720</v>
      </c>
      <c r="T129" s="498">
        <f t="shared" si="12"/>
        <v>720</v>
      </c>
      <c r="U129" s="498"/>
      <c r="V129" s="562" t="s">
        <v>5761</v>
      </c>
      <c r="W129" s="559" t="s">
        <v>5744</v>
      </c>
      <c r="X129" s="559" t="s">
        <v>5745</v>
      </c>
      <c r="Y129" s="561" t="s">
        <v>154</v>
      </c>
      <c r="Z129" s="561" t="s">
        <v>154</v>
      </c>
      <c r="AA129" s="561" t="s">
        <v>154</v>
      </c>
      <c r="AB129" s="561" t="s">
        <v>154</v>
      </c>
      <c r="AC129" s="561" t="s">
        <v>154</v>
      </c>
      <c r="AD129" s="560">
        <v>22</v>
      </c>
      <c r="AE129" s="561" t="s">
        <v>5746</v>
      </c>
      <c r="AF129" s="492" t="s">
        <v>5747</v>
      </c>
      <c r="AG129" s="557" t="s">
        <v>154</v>
      </c>
      <c r="AH129" s="557" t="s">
        <v>154</v>
      </c>
      <c r="AI129" s="559" t="s">
        <v>154</v>
      </c>
      <c r="AJ129" s="559" t="s">
        <v>154</v>
      </c>
      <c r="AK129" s="559" t="s">
        <v>154</v>
      </c>
      <c r="AL129" s="492" t="s">
        <v>5747</v>
      </c>
      <c r="AM129" s="559" t="s">
        <v>154</v>
      </c>
      <c r="AN129" s="559" t="s">
        <v>154</v>
      </c>
      <c r="AO129" s="559" t="s">
        <v>3454</v>
      </c>
      <c r="AP129" s="559" t="s">
        <v>5815</v>
      </c>
      <c r="AQ129" s="559" t="s">
        <v>154</v>
      </c>
      <c r="AR129" s="559" t="s">
        <v>154</v>
      </c>
      <c r="AS129" s="487">
        <v>2</v>
      </c>
      <c r="AT129" s="488" t="s">
        <v>5816</v>
      </c>
      <c r="AU129" s="487"/>
      <c r="AV129" s="487"/>
      <c r="AW129" s="487"/>
      <c r="AX129" s="556" t="s">
        <v>5747</v>
      </c>
      <c r="AY129" s="555"/>
      <c r="AZ129" s="556" t="s">
        <v>5747</v>
      </c>
      <c r="BA129" s="554"/>
      <c r="BB129" s="554"/>
      <c r="BC129" s="554"/>
      <c r="BD129" s="554"/>
      <c r="BE129" s="554">
        <v>1</v>
      </c>
      <c r="BF129" s="553"/>
      <c r="BG129" s="553"/>
      <c r="BH129" s="553"/>
      <c r="BI129" s="553"/>
    </row>
    <row r="130" spans="1:61" s="552" customFormat="1" ht="40" customHeight="1">
      <c r="A130" s="528"/>
      <c r="B130" s="522">
        <v>4530</v>
      </c>
      <c r="C130" s="566" t="s">
        <v>1316</v>
      </c>
      <c r="D130" s="565" t="s">
        <v>452</v>
      </c>
      <c r="E130" s="2371" t="s">
        <v>701</v>
      </c>
      <c r="F130" s="2371"/>
      <c r="G130" s="2371"/>
      <c r="H130" s="527">
        <v>8</v>
      </c>
      <c r="I130" s="526" t="str">
        <f t="shared" si="10"/>
        <v>4530-BLD-008</v>
      </c>
      <c r="J130" s="525" t="s">
        <v>5817</v>
      </c>
      <c r="K130" s="525"/>
      <c r="L130" s="519" t="s">
        <v>5805</v>
      </c>
      <c r="M130" s="519" t="s">
        <v>2969</v>
      </c>
      <c r="N130" s="560">
        <v>1</v>
      </c>
      <c r="O130" s="560" t="s">
        <v>154</v>
      </c>
      <c r="P130" s="564">
        <v>16</v>
      </c>
      <c r="Q130" s="564">
        <v>45</v>
      </c>
      <c r="R130" s="563">
        <v>10</v>
      </c>
      <c r="S130" s="498">
        <f t="shared" si="11"/>
        <v>720</v>
      </c>
      <c r="T130" s="498">
        <f t="shared" si="12"/>
        <v>720</v>
      </c>
      <c r="U130" s="498"/>
      <c r="V130" s="562" t="s">
        <v>5761</v>
      </c>
      <c r="W130" s="559" t="s">
        <v>5744</v>
      </c>
      <c r="X130" s="559" t="s">
        <v>5745</v>
      </c>
      <c r="Y130" s="561" t="s">
        <v>154</v>
      </c>
      <c r="Z130" s="561" t="s">
        <v>154</v>
      </c>
      <c r="AA130" s="561" t="s">
        <v>154</v>
      </c>
      <c r="AB130" s="561" t="s">
        <v>154</v>
      </c>
      <c r="AC130" s="561" t="s">
        <v>154</v>
      </c>
      <c r="AD130" s="560">
        <v>22</v>
      </c>
      <c r="AE130" s="561" t="s">
        <v>5746</v>
      </c>
      <c r="AF130" s="492" t="s">
        <v>5747</v>
      </c>
      <c r="AG130" s="557" t="s">
        <v>154</v>
      </c>
      <c r="AH130" s="557" t="s">
        <v>154</v>
      </c>
      <c r="AI130" s="559" t="s">
        <v>154</v>
      </c>
      <c r="AJ130" s="559" t="s">
        <v>154</v>
      </c>
      <c r="AK130" s="559" t="s">
        <v>154</v>
      </c>
      <c r="AL130" s="492" t="s">
        <v>5747</v>
      </c>
      <c r="AM130" s="559" t="s">
        <v>154</v>
      </c>
      <c r="AN130" s="559" t="s">
        <v>154</v>
      </c>
      <c r="AO130" s="559" t="s">
        <v>3454</v>
      </c>
      <c r="AP130" s="559" t="s">
        <v>5815</v>
      </c>
      <c r="AQ130" s="559" t="s">
        <v>154</v>
      </c>
      <c r="AR130" s="559" t="s">
        <v>154</v>
      </c>
      <c r="AS130" s="487">
        <v>2</v>
      </c>
      <c r="AT130" s="488"/>
      <c r="AU130" s="487"/>
      <c r="AV130" s="487"/>
      <c r="AW130" s="487"/>
      <c r="AX130" s="556" t="s">
        <v>5747</v>
      </c>
      <c r="AY130" s="555"/>
      <c r="AZ130" s="556" t="s">
        <v>5747</v>
      </c>
      <c r="BA130" s="554"/>
      <c r="BB130" s="554"/>
      <c r="BC130" s="554"/>
      <c r="BD130" s="554"/>
      <c r="BE130" s="554">
        <v>1</v>
      </c>
      <c r="BF130" s="553"/>
      <c r="BG130" s="553"/>
      <c r="BH130" s="553"/>
      <c r="BI130" s="553"/>
    </row>
    <row r="131" spans="1:61" s="552" customFormat="1" ht="40" customHeight="1">
      <c r="A131" s="528"/>
      <c r="B131" s="522">
        <v>4530</v>
      </c>
      <c r="C131" s="566" t="s">
        <v>1316</v>
      </c>
      <c r="D131" s="565" t="s">
        <v>452</v>
      </c>
      <c r="E131" s="2371" t="s">
        <v>701</v>
      </c>
      <c r="F131" s="2371"/>
      <c r="G131" s="2371"/>
      <c r="H131" s="527">
        <v>9</v>
      </c>
      <c r="I131" s="526" t="str">
        <f t="shared" si="10"/>
        <v>4530-BLD-009</v>
      </c>
      <c r="J131" s="525" t="s">
        <v>5818</v>
      </c>
      <c r="K131" s="525"/>
      <c r="L131" s="519" t="s">
        <v>5805</v>
      </c>
      <c r="M131" s="519" t="s">
        <v>2969</v>
      </c>
      <c r="N131" s="560">
        <v>1</v>
      </c>
      <c r="O131" s="560" t="s">
        <v>154</v>
      </c>
      <c r="P131" s="564">
        <v>8</v>
      </c>
      <c r="Q131" s="564">
        <v>40</v>
      </c>
      <c r="R131" s="563">
        <v>10</v>
      </c>
      <c r="S131" s="498">
        <f t="shared" si="11"/>
        <v>320</v>
      </c>
      <c r="T131" s="498">
        <f t="shared" si="12"/>
        <v>320</v>
      </c>
      <c r="U131" s="498"/>
      <c r="V131" s="562" t="s">
        <v>5743</v>
      </c>
      <c r="W131" s="559" t="s">
        <v>5744</v>
      </c>
      <c r="X131" s="559" t="s">
        <v>5745</v>
      </c>
      <c r="Y131" s="561" t="s">
        <v>154</v>
      </c>
      <c r="Z131" s="561" t="s">
        <v>154</v>
      </c>
      <c r="AA131" s="561" t="s">
        <v>154</v>
      </c>
      <c r="AB131" s="561" t="s">
        <v>154</v>
      </c>
      <c r="AC131" s="561" t="s">
        <v>154</v>
      </c>
      <c r="AD131" s="560">
        <v>22</v>
      </c>
      <c r="AE131" s="561" t="s">
        <v>5746</v>
      </c>
      <c r="AF131" s="492" t="s">
        <v>5747</v>
      </c>
      <c r="AG131" s="557" t="s">
        <v>154</v>
      </c>
      <c r="AH131" s="557" t="s">
        <v>154</v>
      </c>
      <c r="AI131" s="559" t="s">
        <v>154</v>
      </c>
      <c r="AJ131" s="559" t="s">
        <v>154</v>
      </c>
      <c r="AK131" s="559" t="s">
        <v>154</v>
      </c>
      <c r="AL131" s="559" t="s">
        <v>154</v>
      </c>
      <c r="AM131" s="559" t="s">
        <v>154</v>
      </c>
      <c r="AN131" s="559" t="s">
        <v>154</v>
      </c>
      <c r="AO131" s="559" t="s">
        <v>3454</v>
      </c>
      <c r="AP131" s="559" t="s">
        <v>154</v>
      </c>
      <c r="AQ131" s="559" t="s">
        <v>154</v>
      </c>
      <c r="AR131" s="559" t="s">
        <v>154</v>
      </c>
      <c r="AS131" s="559"/>
      <c r="AT131" s="567"/>
      <c r="AU131" s="559"/>
      <c r="AV131" s="559"/>
      <c r="AW131" s="559"/>
      <c r="AX131" s="556"/>
      <c r="AY131" s="555"/>
      <c r="AZ131" s="555"/>
      <c r="BA131" s="554"/>
      <c r="BB131" s="554"/>
      <c r="BC131" s="554"/>
      <c r="BD131" s="554"/>
      <c r="BE131" s="554"/>
      <c r="BF131" s="553"/>
      <c r="BG131" s="553"/>
      <c r="BH131" s="553"/>
      <c r="BI131" s="553"/>
    </row>
    <row r="132" spans="1:61" ht="40" customHeight="1">
      <c r="A132" s="507"/>
      <c r="B132" s="506">
        <v>4540</v>
      </c>
      <c r="C132" s="505" t="s">
        <v>1316</v>
      </c>
      <c r="D132" s="504" t="s">
        <v>452</v>
      </c>
      <c r="E132" s="2369" t="s">
        <v>1882</v>
      </c>
      <c r="F132" s="2369"/>
      <c r="G132" s="2369"/>
      <c r="H132" s="503">
        <v>1</v>
      </c>
      <c r="I132" s="502" t="str">
        <f t="shared" si="10"/>
        <v>4540-BLD-001</v>
      </c>
      <c r="J132" s="501" t="s">
        <v>5819</v>
      </c>
      <c r="K132" s="501"/>
      <c r="L132" s="493" t="s">
        <v>4168</v>
      </c>
      <c r="M132" s="493" t="s">
        <v>2969</v>
      </c>
      <c r="N132" s="494">
        <v>1</v>
      </c>
      <c r="O132" s="529">
        <v>2</v>
      </c>
      <c r="P132" s="500">
        <v>60</v>
      </c>
      <c r="Q132" s="500">
        <v>80</v>
      </c>
      <c r="R132" s="499">
        <v>20</v>
      </c>
      <c r="S132" s="497">
        <f t="shared" si="11"/>
        <v>4800</v>
      </c>
      <c r="T132" s="498">
        <f t="shared" si="12"/>
        <v>4800</v>
      </c>
      <c r="U132" s="497" t="s">
        <v>5820</v>
      </c>
      <c r="V132" s="496" t="s">
        <v>5792</v>
      </c>
      <c r="W132" s="489" t="s">
        <v>5793</v>
      </c>
      <c r="X132" s="489" t="s">
        <v>5794</v>
      </c>
      <c r="Y132" s="495" t="s">
        <v>154</v>
      </c>
      <c r="Z132" s="495" t="s">
        <v>154</v>
      </c>
      <c r="AA132" s="495" t="s">
        <v>154</v>
      </c>
      <c r="AB132" s="495" t="s">
        <v>154</v>
      </c>
      <c r="AC132" s="495" t="s">
        <v>154</v>
      </c>
      <c r="AD132" s="494">
        <v>5</v>
      </c>
      <c r="AE132" s="495" t="s">
        <v>3454</v>
      </c>
      <c r="AF132" s="492" t="s">
        <v>5747</v>
      </c>
      <c r="AG132" s="491" t="s">
        <v>154</v>
      </c>
      <c r="AH132" s="491" t="s">
        <v>154</v>
      </c>
      <c r="AI132" s="489" t="s">
        <v>154</v>
      </c>
      <c r="AJ132" s="489" t="s">
        <v>154</v>
      </c>
      <c r="AK132" s="489" t="s">
        <v>154</v>
      </c>
      <c r="AL132" s="491" t="s">
        <v>154</v>
      </c>
      <c r="AM132" s="490" t="s">
        <v>5747</v>
      </c>
      <c r="AN132" s="489" t="s">
        <v>154</v>
      </c>
      <c r="AO132" s="489" t="s">
        <v>3454</v>
      </c>
      <c r="AP132" s="489" t="s">
        <v>5815</v>
      </c>
      <c r="AQ132" s="489" t="s">
        <v>154</v>
      </c>
      <c r="AR132" s="489" t="s">
        <v>154</v>
      </c>
      <c r="AS132" s="487">
        <v>2</v>
      </c>
      <c r="AT132" s="488" t="s">
        <v>5789</v>
      </c>
      <c r="AU132" s="487" t="s">
        <v>5762</v>
      </c>
      <c r="AV132" s="487"/>
      <c r="AW132" s="487"/>
      <c r="AX132" s="570" t="s">
        <v>5747</v>
      </c>
      <c r="AY132" s="569"/>
      <c r="AZ132" s="556" t="s">
        <v>5747</v>
      </c>
      <c r="BA132" s="568"/>
      <c r="BB132" s="568"/>
      <c r="BC132" s="568"/>
      <c r="BD132" s="568"/>
      <c r="BE132" s="568">
        <v>1</v>
      </c>
    </row>
    <row r="133" spans="1:61" s="552" customFormat="1" ht="40" customHeight="1">
      <c r="A133" s="528"/>
      <c r="B133" s="522">
        <v>4540</v>
      </c>
      <c r="C133" s="566" t="s">
        <v>1316</v>
      </c>
      <c r="D133" s="565" t="s">
        <v>452</v>
      </c>
      <c r="E133" s="2371" t="s">
        <v>1882</v>
      </c>
      <c r="F133" s="2371"/>
      <c r="G133" s="2371"/>
      <c r="H133" s="527">
        <v>2</v>
      </c>
      <c r="I133" s="526" t="s">
        <v>1896</v>
      </c>
      <c r="J133" s="525" t="s">
        <v>5821</v>
      </c>
      <c r="K133" s="525" t="s">
        <v>5822</v>
      </c>
      <c r="L133" s="519" t="s">
        <v>5215</v>
      </c>
      <c r="M133" s="519" t="s">
        <v>2969</v>
      </c>
      <c r="N133" s="560">
        <v>1</v>
      </c>
      <c r="O133" s="560" t="s">
        <v>154</v>
      </c>
      <c r="P133" s="564">
        <v>20</v>
      </c>
      <c r="Q133" s="564">
        <v>28</v>
      </c>
      <c r="R133" s="563">
        <v>10</v>
      </c>
      <c r="S133" s="498">
        <f t="shared" si="11"/>
        <v>560</v>
      </c>
      <c r="T133" s="498">
        <f t="shared" si="12"/>
        <v>560</v>
      </c>
      <c r="U133" s="498"/>
      <c r="V133" s="562" t="s">
        <v>5786</v>
      </c>
      <c r="W133" s="559" t="s">
        <v>5744</v>
      </c>
      <c r="X133" s="559" t="s">
        <v>5745</v>
      </c>
      <c r="Y133" s="561" t="s">
        <v>154</v>
      </c>
      <c r="Z133" s="561" t="s">
        <v>154</v>
      </c>
      <c r="AA133" s="561" t="s">
        <v>154</v>
      </c>
      <c r="AB133" s="561" t="s">
        <v>154</v>
      </c>
      <c r="AC133" s="561" t="s">
        <v>154</v>
      </c>
      <c r="AD133" s="560">
        <v>5</v>
      </c>
      <c r="AE133" s="561" t="s">
        <v>5746</v>
      </c>
      <c r="AF133" s="559"/>
      <c r="AG133" s="557"/>
      <c r="AH133" s="557"/>
      <c r="AI133" s="559"/>
      <c r="AJ133" s="559"/>
      <c r="AK133" s="559"/>
      <c r="AL133" s="557"/>
      <c r="AM133" s="559"/>
      <c r="AN133" s="559"/>
      <c r="AO133" s="559" t="s">
        <v>3454</v>
      </c>
      <c r="AP133" s="559" t="s">
        <v>5774</v>
      </c>
      <c r="AQ133" s="559" t="s">
        <v>154</v>
      </c>
      <c r="AR133" s="559" t="s">
        <v>154</v>
      </c>
      <c r="AS133" s="559"/>
      <c r="AT133" s="567"/>
      <c r="AU133" s="559"/>
      <c r="AV133" s="559"/>
      <c r="AW133" s="559"/>
      <c r="AX133" s="556"/>
      <c r="AY133" s="555"/>
      <c r="AZ133" s="572" t="s">
        <v>5747</v>
      </c>
      <c r="BA133" s="554"/>
      <c r="BB133" s="554"/>
      <c r="BC133" s="554"/>
      <c r="BD133" s="554"/>
      <c r="BE133" s="554"/>
      <c r="BF133" s="553"/>
      <c r="BG133" s="553"/>
      <c r="BH133" s="553"/>
      <c r="BI133" s="553"/>
    </row>
    <row r="134" spans="1:61" s="552" customFormat="1" ht="24" customHeight="1">
      <c r="A134" s="528"/>
      <c r="B134" s="522">
        <v>4613</v>
      </c>
      <c r="C134" s="566" t="s">
        <v>1316</v>
      </c>
      <c r="D134" s="565" t="s">
        <v>3520</v>
      </c>
      <c r="E134" s="2371" t="s">
        <v>5823</v>
      </c>
      <c r="F134" s="2371"/>
      <c r="G134" s="2371"/>
      <c r="H134" s="527">
        <v>1</v>
      </c>
      <c r="I134" s="526" t="s">
        <v>1940</v>
      </c>
      <c r="J134" s="525" t="s">
        <v>5925</v>
      </c>
      <c r="K134" s="525"/>
      <c r="L134" s="519" t="s">
        <v>5827</v>
      </c>
      <c r="M134" s="519" t="s">
        <v>2969</v>
      </c>
      <c r="N134" s="560">
        <v>1</v>
      </c>
      <c r="O134" s="560" t="s">
        <v>154</v>
      </c>
      <c r="P134" s="564">
        <v>8</v>
      </c>
      <c r="Q134" s="564">
        <v>40</v>
      </c>
      <c r="R134" s="563">
        <v>8</v>
      </c>
      <c r="S134" s="498">
        <f t="shared" si="11"/>
        <v>320</v>
      </c>
      <c r="T134" s="498">
        <f t="shared" si="12"/>
        <v>320</v>
      </c>
      <c r="U134" s="498"/>
      <c r="V134" s="562" t="s">
        <v>5743</v>
      </c>
      <c r="W134" s="559" t="s">
        <v>5744</v>
      </c>
      <c r="X134" s="559" t="s">
        <v>5745</v>
      </c>
      <c r="Y134" s="561" t="s">
        <v>154</v>
      </c>
      <c r="Z134" s="561" t="s">
        <v>154</v>
      </c>
      <c r="AA134" s="561" t="s">
        <v>154</v>
      </c>
      <c r="AB134" s="561" t="s">
        <v>154</v>
      </c>
      <c r="AC134" s="561" t="s">
        <v>154</v>
      </c>
      <c r="AD134" s="560"/>
      <c r="AE134" s="561"/>
      <c r="AF134" s="559"/>
      <c r="AG134" s="557"/>
      <c r="AH134" s="557"/>
      <c r="AI134" s="559"/>
      <c r="AJ134" s="559"/>
      <c r="AK134" s="559"/>
      <c r="AL134" s="557"/>
      <c r="AM134" s="559"/>
      <c r="AN134" s="559"/>
      <c r="AO134" s="559"/>
      <c r="AP134" s="559" t="s">
        <v>5750</v>
      </c>
      <c r="AQ134" s="559" t="s">
        <v>154</v>
      </c>
      <c r="AR134" s="559" t="s">
        <v>154</v>
      </c>
      <c r="AS134" s="487">
        <v>2</v>
      </c>
      <c r="AT134" s="488"/>
      <c r="AU134" s="487"/>
      <c r="AV134" s="487"/>
      <c r="AW134" s="487"/>
      <c r="AX134" s="556"/>
      <c r="AY134" s="555"/>
      <c r="AZ134" s="556" t="s">
        <v>5747</v>
      </c>
      <c r="BA134" s="554"/>
      <c r="BB134" s="554"/>
      <c r="BC134" s="554"/>
      <c r="BD134" s="554"/>
      <c r="BE134" s="554"/>
      <c r="BF134" s="553"/>
      <c r="BG134" s="553"/>
      <c r="BH134" s="553"/>
      <c r="BI134" s="553"/>
    </row>
    <row r="135" spans="1:61" s="552" customFormat="1" ht="24" customHeight="1">
      <c r="A135" s="507"/>
      <c r="B135" s="522">
        <v>4712</v>
      </c>
      <c r="C135" s="566" t="s">
        <v>1316</v>
      </c>
      <c r="D135" s="565" t="s">
        <v>912</v>
      </c>
      <c r="E135" s="2371" t="s">
        <v>1956</v>
      </c>
      <c r="F135" s="2371"/>
      <c r="G135" s="2371"/>
      <c r="H135" s="527">
        <v>1</v>
      </c>
      <c r="I135" s="526" t="str">
        <f>B135&amp;"-BLD-"&amp;TEXT(H135,"000")</f>
        <v>4712-BLD-001</v>
      </c>
      <c r="J135" s="525" t="s">
        <v>5926</v>
      </c>
      <c r="K135" s="525"/>
      <c r="L135" s="519" t="s">
        <v>5230</v>
      </c>
      <c r="M135" s="519" t="s">
        <v>2969</v>
      </c>
      <c r="N135" s="560">
        <v>1</v>
      </c>
      <c r="O135" s="560" t="s">
        <v>154</v>
      </c>
      <c r="P135" s="564">
        <v>8</v>
      </c>
      <c r="Q135" s="564">
        <v>20</v>
      </c>
      <c r="R135" s="563">
        <v>8</v>
      </c>
      <c r="S135" s="498">
        <f t="shared" si="11"/>
        <v>160</v>
      </c>
      <c r="T135" s="498">
        <f t="shared" si="12"/>
        <v>160</v>
      </c>
      <c r="U135" s="498"/>
      <c r="V135" s="562" t="s">
        <v>5761</v>
      </c>
      <c r="W135" s="559" t="s">
        <v>5744</v>
      </c>
      <c r="X135" s="559" t="s">
        <v>5745</v>
      </c>
      <c r="Y135" s="561" t="s">
        <v>154</v>
      </c>
      <c r="Z135" s="561" t="s">
        <v>154</v>
      </c>
      <c r="AA135" s="561" t="s">
        <v>154</v>
      </c>
      <c r="AB135" s="561" t="s">
        <v>154</v>
      </c>
      <c r="AC135" s="561" t="s">
        <v>154</v>
      </c>
      <c r="AD135" s="560">
        <v>22</v>
      </c>
      <c r="AE135" s="519" t="s">
        <v>5746</v>
      </c>
      <c r="AF135" s="492" t="s">
        <v>5747</v>
      </c>
      <c r="AG135" s="557" t="s">
        <v>154</v>
      </c>
      <c r="AH135" s="557" t="s">
        <v>154</v>
      </c>
      <c r="AI135" s="559" t="s">
        <v>154</v>
      </c>
      <c r="AJ135" s="559" t="s">
        <v>154</v>
      </c>
      <c r="AK135" s="559" t="s">
        <v>154</v>
      </c>
      <c r="AL135" s="557" t="s">
        <v>154</v>
      </c>
      <c r="AM135" s="492" t="s">
        <v>5747</v>
      </c>
      <c r="AN135" s="559" t="s">
        <v>154</v>
      </c>
      <c r="AO135" s="559" t="s">
        <v>3454</v>
      </c>
      <c r="AP135" s="559" t="s">
        <v>5756</v>
      </c>
      <c r="AQ135" s="559" t="s">
        <v>154</v>
      </c>
      <c r="AR135" s="559" t="s">
        <v>154</v>
      </c>
      <c r="AS135" s="559"/>
      <c r="AT135" s="567" t="s">
        <v>5757</v>
      </c>
      <c r="AU135" s="559"/>
      <c r="AV135" s="559"/>
      <c r="AW135" s="559"/>
      <c r="AX135" s="572" t="s">
        <v>5747</v>
      </c>
      <c r="AY135" s="555"/>
      <c r="AZ135" s="556" t="s">
        <v>5747</v>
      </c>
      <c r="BA135" s="554"/>
      <c r="BB135" s="554"/>
      <c r="BC135" s="554"/>
      <c r="BD135" s="554"/>
      <c r="BE135" s="554">
        <v>1</v>
      </c>
      <c r="BF135" s="553"/>
      <c r="BG135" s="553"/>
      <c r="BH135" s="553"/>
      <c r="BI135" s="553"/>
    </row>
    <row r="136" spans="1:61" ht="24" customHeight="1">
      <c r="A136" s="507"/>
      <c r="B136" s="506">
        <v>4720</v>
      </c>
      <c r="C136" s="505" t="s">
        <v>1316</v>
      </c>
      <c r="D136" s="504" t="s">
        <v>912</v>
      </c>
      <c r="E136" s="2369" t="s">
        <v>923</v>
      </c>
      <c r="F136" s="2369"/>
      <c r="G136" s="2369"/>
      <c r="H136" s="503">
        <v>1</v>
      </c>
      <c r="I136" s="502" t="str">
        <f>B136&amp;"-BLD-"&amp;TEXT(H136,"000")</f>
        <v>4720-BLD-001</v>
      </c>
      <c r="J136" s="501" t="s">
        <v>5835</v>
      </c>
      <c r="K136" s="501"/>
      <c r="L136" s="493" t="s">
        <v>4168</v>
      </c>
      <c r="M136" s="493" t="s">
        <v>2969</v>
      </c>
      <c r="N136" s="494">
        <v>1</v>
      </c>
      <c r="O136" s="529">
        <v>2</v>
      </c>
      <c r="P136" s="500">
        <v>60</v>
      </c>
      <c r="Q136" s="500">
        <v>70</v>
      </c>
      <c r="R136" s="499">
        <v>20</v>
      </c>
      <c r="S136" s="497">
        <f t="shared" si="11"/>
        <v>4200</v>
      </c>
      <c r="T136" s="498">
        <f t="shared" si="12"/>
        <v>4200</v>
      </c>
      <c r="U136" s="497" t="s">
        <v>5791</v>
      </c>
      <c r="V136" s="496" t="s">
        <v>5792</v>
      </c>
      <c r="W136" s="489" t="s">
        <v>5793</v>
      </c>
      <c r="X136" s="489" t="s">
        <v>5836</v>
      </c>
      <c r="Y136" s="495" t="s">
        <v>154</v>
      </c>
      <c r="Z136" s="495" t="s">
        <v>154</v>
      </c>
      <c r="AA136" s="495" t="s">
        <v>154</v>
      </c>
      <c r="AB136" s="495" t="s">
        <v>154</v>
      </c>
      <c r="AC136" s="495" t="s">
        <v>154</v>
      </c>
      <c r="AD136" s="494">
        <v>5</v>
      </c>
      <c r="AE136" s="495" t="s">
        <v>3454</v>
      </c>
      <c r="AF136" s="492" t="s">
        <v>5747</v>
      </c>
      <c r="AG136" s="491" t="s">
        <v>154</v>
      </c>
      <c r="AH136" s="489" t="s">
        <v>5769</v>
      </c>
      <c r="AI136" s="489" t="s">
        <v>154</v>
      </c>
      <c r="AJ136" s="489" t="s">
        <v>154</v>
      </c>
      <c r="AK136" s="489" t="s">
        <v>154</v>
      </c>
      <c r="AL136" s="491" t="s">
        <v>154</v>
      </c>
      <c r="AM136" s="490" t="s">
        <v>5747</v>
      </c>
      <c r="AN136" s="489" t="s">
        <v>154</v>
      </c>
      <c r="AO136" s="489" t="s">
        <v>3454</v>
      </c>
      <c r="AP136" s="489" t="s">
        <v>5750</v>
      </c>
      <c r="AQ136" s="489" t="s">
        <v>5756</v>
      </c>
      <c r="AR136" s="489" t="s">
        <v>154</v>
      </c>
      <c r="AS136" s="487">
        <v>4</v>
      </c>
      <c r="AT136" s="488" t="s">
        <v>5789</v>
      </c>
      <c r="AU136" s="487" t="s">
        <v>5762</v>
      </c>
      <c r="AV136" s="487"/>
      <c r="AW136" s="487"/>
      <c r="AX136" s="570" t="s">
        <v>5747</v>
      </c>
      <c r="AY136" s="569"/>
      <c r="AZ136" s="556" t="s">
        <v>5747</v>
      </c>
      <c r="BA136" s="568"/>
      <c r="BB136" s="568"/>
      <c r="BC136" s="568"/>
      <c r="BD136" s="568"/>
      <c r="BE136" s="568">
        <v>1</v>
      </c>
    </row>
    <row r="137" spans="1:61" ht="24" customHeight="1">
      <c r="A137" s="507"/>
      <c r="B137" s="506">
        <v>4731</v>
      </c>
      <c r="C137" s="505" t="s">
        <v>1316</v>
      </c>
      <c r="D137" s="504" t="s">
        <v>912</v>
      </c>
      <c r="E137" s="2369" t="s">
        <v>958</v>
      </c>
      <c r="F137" s="2369"/>
      <c r="G137" s="2369"/>
      <c r="H137" s="503">
        <v>1</v>
      </c>
      <c r="I137" s="502" t="str">
        <f>B137&amp;"-BLD-"&amp;TEXT(H137,"000")</f>
        <v>4731-BLD-001</v>
      </c>
      <c r="J137" s="501" t="s">
        <v>5837</v>
      </c>
      <c r="K137" s="501"/>
      <c r="L137" s="493" t="s">
        <v>5838</v>
      </c>
      <c r="M137" s="519" t="s">
        <v>2969</v>
      </c>
      <c r="N137" s="494">
        <v>1</v>
      </c>
      <c r="O137" s="494" t="s">
        <v>154</v>
      </c>
      <c r="P137" s="500">
        <v>8</v>
      </c>
      <c r="Q137" s="500">
        <v>40</v>
      </c>
      <c r="R137" s="499">
        <v>8</v>
      </c>
      <c r="S137" s="497">
        <f t="shared" si="11"/>
        <v>320</v>
      </c>
      <c r="T137" s="498">
        <f t="shared" si="12"/>
        <v>320</v>
      </c>
      <c r="U137" s="497"/>
      <c r="V137" s="496" t="s">
        <v>5743</v>
      </c>
      <c r="W137" s="489" t="s">
        <v>5744</v>
      </c>
      <c r="X137" s="489" t="s">
        <v>5745</v>
      </c>
      <c r="Y137" s="495" t="s">
        <v>154</v>
      </c>
      <c r="Z137" s="495" t="s">
        <v>154</v>
      </c>
      <c r="AA137" s="495" t="s">
        <v>154</v>
      </c>
      <c r="AB137" s="495" t="s">
        <v>154</v>
      </c>
      <c r="AC137" s="495" t="s">
        <v>154</v>
      </c>
      <c r="AD137" s="494">
        <v>5</v>
      </c>
      <c r="AE137" s="495" t="s">
        <v>5746</v>
      </c>
      <c r="AF137" s="492" t="s">
        <v>5747</v>
      </c>
      <c r="AG137" s="489" t="s">
        <v>154</v>
      </c>
      <c r="AH137" s="489" t="s">
        <v>154</v>
      </c>
      <c r="AI137" s="489" t="s">
        <v>154</v>
      </c>
      <c r="AJ137" s="489" t="s">
        <v>154</v>
      </c>
      <c r="AK137" s="489" t="s">
        <v>154</v>
      </c>
      <c r="AL137" s="489" t="s">
        <v>154</v>
      </c>
      <c r="AM137" s="492" t="s">
        <v>5747</v>
      </c>
      <c r="AN137" s="489" t="s">
        <v>154</v>
      </c>
      <c r="AO137" s="489" t="s">
        <v>3454</v>
      </c>
      <c r="AP137" s="489" t="s">
        <v>154</v>
      </c>
      <c r="AQ137" s="489" t="s">
        <v>154</v>
      </c>
      <c r="AR137" s="489" t="s">
        <v>154</v>
      </c>
      <c r="AS137" s="530"/>
      <c r="AT137" s="531"/>
      <c r="AU137" s="487" t="s">
        <v>5758</v>
      </c>
      <c r="AV137" s="487"/>
      <c r="AW137" s="530"/>
      <c r="AX137" s="570"/>
      <c r="AY137" s="569"/>
      <c r="AZ137" s="556"/>
      <c r="BA137" s="568"/>
      <c r="BB137" s="568"/>
      <c r="BC137" s="568"/>
      <c r="BD137" s="568"/>
      <c r="BE137" s="568"/>
      <c r="BF137" s="568"/>
      <c r="BG137" s="568"/>
      <c r="BH137" s="568"/>
      <c r="BI137" s="457"/>
    </row>
    <row r="138" spans="1:61" s="552" customFormat="1" ht="24" customHeight="1">
      <c r="A138" s="507"/>
      <c r="B138" s="522">
        <v>4731</v>
      </c>
      <c r="C138" s="566" t="s">
        <v>1316</v>
      </c>
      <c r="D138" s="565" t="s">
        <v>912</v>
      </c>
      <c r="E138" s="2371" t="s">
        <v>958</v>
      </c>
      <c r="F138" s="2371"/>
      <c r="G138" s="2371"/>
      <c r="H138" s="527">
        <v>5</v>
      </c>
      <c r="I138" s="526" t="s">
        <v>2002</v>
      </c>
      <c r="J138" s="525" t="s">
        <v>978</v>
      </c>
      <c r="K138" s="525"/>
      <c r="L138" s="519" t="s">
        <v>5838</v>
      </c>
      <c r="M138" s="519" t="s">
        <v>2969</v>
      </c>
      <c r="N138" s="560">
        <v>1</v>
      </c>
      <c r="O138" s="560" t="s">
        <v>154</v>
      </c>
      <c r="P138" s="564">
        <v>24</v>
      </c>
      <c r="Q138" s="564">
        <v>80</v>
      </c>
      <c r="R138" s="563">
        <v>10</v>
      </c>
      <c r="S138" s="498">
        <f t="shared" si="11"/>
        <v>1920</v>
      </c>
      <c r="T138" s="498">
        <f t="shared" si="12"/>
        <v>1920</v>
      </c>
      <c r="U138" s="498"/>
      <c r="V138" s="562" t="s">
        <v>5786</v>
      </c>
      <c r="W138" s="559" t="s">
        <v>5744</v>
      </c>
      <c r="X138" s="559" t="s">
        <v>5745</v>
      </c>
      <c r="Y138" s="495" t="s">
        <v>154</v>
      </c>
      <c r="Z138" s="495" t="s">
        <v>154</v>
      </c>
      <c r="AA138" s="495" t="s">
        <v>154</v>
      </c>
      <c r="AB138" s="495" t="s">
        <v>154</v>
      </c>
      <c r="AC138" s="495" t="s">
        <v>154</v>
      </c>
      <c r="AD138" s="560"/>
      <c r="AE138" s="561"/>
      <c r="AF138" s="492" t="s">
        <v>5747</v>
      </c>
      <c r="AG138" s="559" t="s">
        <v>154</v>
      </c>
      <c r="AH138" s="559"/>
      <c r="AI138" s="559"/>
      <c r="AJ138" s="559"/>
      <c r="AK138" s="559"/>
      <c r="AL138" s="557"/>
      <c r="AM138" s="559"/>
      <c r="AN138" s="559"/>
      <c r="AO138" s="559"/>
      <c r="AP138" s="559" t="s">
        <v>5774</v>
      </c>
      <c r="AQ138" s="559" t="s">
        <v>154</v>
      </c>
      <c r="AR138" s="559"/>
      <c r="AS138" s="571"/>
      <c r="AT138" s="567"/>
      <c r="AU138" s="571"/>
      <c r="AV138" s="571"/>
      <c r="AW138" s="571"/>
      <c r="AX138" s="556"/>
      <c r="AY138" s="555"/>
      <c r="AZ138" s="556" t="s">
        <v>5747</v>
      </c>
      <c r="BA138" s="554"/>
      <c r="BB138" s="554"/>
      <c r="BC138" s="554"/>
      <c r="BD138" s="554"/>
      <c r="BE138" s="554"/>
      <c r="BF138" s="553"/>
      <c r="BG138" s="553"/>
      <c r="BH138" s="553"/>
      <c r="BI138" s="553"/>
    </row>
    <row r="139" spans="1:61" ht="24" customHeight="1">
      <c r="A139" s="507"/>
      <c r="B139" s="506">
        <v>4732</v>
      </c>
      <c r="C139" s="505" t="s">
        <v>1316</v>
      </c>
      <c r="D139" s="504" t="s">
        <v>912</v>
      </c>
      <c r="E139" s="2369" t="s">
        <v>958</v>
      </c>
      <c r="F139" s="2369"/>
      <c r="G139" s="2369"/>
      <c r="H139" s="503">
        <v>1</v>
      </c>
      <c r="I139" s="502" t="str">
        <f t="shared" ref="I139:I157" si="13">B139&amp;"-BLD-"&amp;TEXT(H139,"000")</f>
        <v>4732-BLD-001</v>
      </c>
      <c r="J139" s="501" t="s">
        <v>998</v>
      </c>
      <c r="K139" s="501"/>
      <c r="L139" s="493" t="s">
        <v>4168</v>
      </c>
      <c r="M139" s="493" t="s">
        <v>2969</v>
      </c>
      <c r="N139" s="494">
        <v>1</v>
      </c>
      <c r="O139" s="529">
        <v>2</v>
      </c>
      <c r="P139" s="500">
        <v>20</v>
      </c>
      <c r="Q139" s="500">
        <v>30</v>
      </c>
      <c r="R139" s="499">
        <v>20</v>
      </c>
      <c r="S139" s="497">
        <f t="shared" si="11"/>
        <v>600</v>
      </c>
      <c r="T139" s="498">
        <f t="shared" si="12"/>
        <v>600</v>
      </c>
      <c r="U139" s="497" t="s">
        <v>5791</v>
      </c>
      <c r="V139" s="496" t="s">
        <v>5792</v>
      </c>
      <c r="W139" s="489" t="s">
        <v>5793</v>
      </c>
      <c r="X139" s="489" t="s">
        <v>5836</v>
      </c>
      <c r="Y139" s="495" t="s">
        <v>154</v>
      </c>
      <c r="Z139" s="495" t="s">
        <v>154</v>
      </c>
      <c r="AA139" s="495" t="s">
        <v>154</v>
      </c>
      <c r="AB139" s="495" t="s">
        <v>154</v>
      </c>
      <c r="AC139" s="495" t="s">
        <v>154</v>
      </c>
      <c r="AD139" s="494">
        <v>5</v>
      </c>
      <c r="AE139" s="495" t="s">
        <v>3454</v>
      </c>
      <c r="AF139" s="492" t="s">
        <v>5747</v>
      </c>
      <c r="AG139" s="491" t="s">
        <v>154</v>
      </c>
      <c r="AH139" s="489" t="s">
        <v>154</v>
      </c>
      <c r="AI139" s="489" t="s">
        <v>154</v>
      </c>
      <c r="AJ139" s="489" t="s">
        <v>5769</v>
      </c>
      <c r="AK139" s="489" t="s">
        <v>154</v>
      </c>
      <c r="AL139" s="491" t="s">
        <v>154</v>
      </c>
      <c r="AM139" s="490" t="s">
        <v>5747</v>
      </c>
      <c r="AN139" s="491" t="s">
        <v>154</v>
      </c>
      <c r="AO139" s="489" t="s">
        <v>3454</v>
      </c>
      <c r="AP139" s="489" t="s">
        <v>5815</v>
      </c>
      <c r="AQ139" s="489" t="s">
        <v>154</v>
      </c>
      <c r="AR139" s="489" t="s">
        <v>154</v>
      </c>
      <c r="AS139" s="487">
        <v>4</v>
      </c>
      <c r="AT139" s="488" t="s">
        <v>5789</v>
      </c>
      <c r="AU139" s="487" t="s">
        <v>5762</v>
      </c>
      <c r="AV139" s="487"/>
      <c r="AW139" s="487"/>
      <c r="AX139" s="570" t="s">
        <v>5747</v>
      </c>
      <c r="AY139" s="569"/>
      <c r="AZ139" s="556" t="s">
        <v>5747</v>
      </c>
      <c r="BA139" s="568"/>
      <c r="BB139" s="568"/>
      <c r="BC139" s="568"/>
      <c r="BD139" s="568"/>
      <c r="BE139" s="568">
        <v>1</v>
      </c>
    </row>
    <row r="140" spans="1:61" s="552" customFormat="1" ht="24" customHeight="1">
      <c r="A140" s="528"/>
      <c r="B140" s="522">
        <v>4750</v>
      </c>
      <c r="C140" s="566" t="s">
        <v>1316</v>
      </c>
      <c r="D140" s="565" t="s">
        <v>912</v>
      </c>
      <c r="E140" s="2371" t="s">
        <v>913</v>
      </c>
      <c r="F140" s="2371"/>
      <c r="G140" s="2371"/>
      <c r="H140" s="527">
        <v>1</v>
      </c>
      <c r="I140" s="526" t="str">
        <f t="shared" si="13"/>
        <v>4750-BLD-001</v>
      </c>
      <c r="J140" s="525" t="s">
        <v>5841</v>
      </c>
      <c r="K140" s="525"/>
      <c r="L140" s="519" t="s">
        <v>5842</v>
      </c>
      <c r="M140" s="519" t="s">
        <v>2969</v>
      </c>
      <c r="N140" s="560">
        <v>1</v>
      </c>
      <c r="O140" s="560" t="s">
        <v>154</v>
      </c>
      <c r="P140" s="564">
        <v>16</v>
      </c>
      <c r="Q140" s="564">
        <v>40</v>
      </c>
      <c r="R140" s="563">
        <v>11</v>
      </c>
      <c r="S140" s="498">
        <f t="shared" si="11"/>
        <v>640</v>
      </c>
      <c r="T140" s="498">
        <f t="shared" si="12"/>
        <v>640</v>
      </c>
      <c r="U140" s="498"/>
      <c r="V140" s="562" t="s">
        <v>5761</v>
      </c>
      <c r="W140" s="559" t="s">
        <v>5744</v>
      </c>
      <c r="X140" s="559" t="s">
        <v>5745</v>
      </c>
      <c r="Y140" s="561" t="s">
        <v>154</v>
      </c>
      <c r="Z140" s="561" t="s">
        <v>154</v>
      </c>
      <c r="AA140" s="561" t="s">
        <v>154</v>
      </c>
      <c r="AB140" s="561" t="s">
        <v>154</v>
      </c>
      <c r="AC140" s="561" t="s">
        <v>154</v>
      </c>
      <c r="AD140" s="560">
        <v>22</v>
      </c>
      <c r="AE140" s="561" t="s">
        <v>5746</v>
      </c>
      <c r="AF140" s="492" t="s">
        <v>5747</v>
      </c>
      <c r="AG140" s="557" t="s">
        <v>154</v>
      </c>
      <c r="AH140" s="557" t="s">
        <v>154</v>
      </c>
      <c r="AI140" s="559" t="s">
        <v>154</v>
      </c>
      <c r="AJ140" s="559" t="s">
        <v>154</v>
      </c>
      <c r="AK140" s="559" t="s">
        <v>154</v>
      </c>
      <c r="AL140" s="492" t="s">
        <v>5747</v>
      </c>
      <c r="AM140" s="559" t="s">
        <v>154</v>
      </c>
      <c r="AN140" s="559" t="s">
        <v>154</v>
      </c>
      <c r="AO140" s="559" t="s">
        <v>3454</v>
      </c>
      <c r="AP140" s="559" t="s">
        <v>5750</v>
      </c>
      <c r="AQ140" s="559" t="s">
        <v>154</v>
      </c>
      <c r="AR140" s="559" t="s">
        <v>154</v>
      </c>
      <c r="AS140" s="487">
        <v>2</v>
      </c>
      <c r="AT140" s="488" t="s">
        <v>5757</v>
      </c>
      <c r="AU140" s="487"/>
      <c r="AV140" s="487"/>
      <c r="AW140" s="487"/>
      <c r="AX140" s="556" t="s">
        <v>5747</v>
      </c>
      <c r="AY140" s="555"/>
      <c r="AZ140" s="555"/>
      <c r="BA140" s="554"/>
      <c r="BB140" s="554"/>
      <c r="BC140" s="554"/>
      <c r="BD140" s="554"/>
      <c r="BE140" s="554">
        <v>1</v>
      </c>
      <c r="BF140" s="553"/>
      <c r="BG140" s="553"/>
      <c r="BH140" s="553"/>
      <c r="BI140" s="553"/>
    </row>
    <row r="141" spans="1:61" s="552" customFormat="1" ht="24" customHeight="1">
      <c r="A141" s="528"/>
      <c r="B141" s="522">
        <v>4750</v>
      </c>
      <c r="C141" s="566" t="s">
        <v>1316</v>
      </c>
      <c r="D141" s="565" t="s">
        <v>912</v>
      </c>
      <c r="E141" s="2371" t="s">
        <v>913</v>
      </c>
      <c r="F141" s="2371"/>
      <c r="G141" s="2371"/>
      <c r="H141" s="527">
        <v>2</v>
      </c>
      <c r="I141" s="526" t="str">
        <f t="shared" si="13"/>
        <v>4750-BLD-002</v>
      </c>
      <c r="J141" s="525" t="s">
        <v>5843</v>
      </c>
      <c r="K141" s="525"/>
      <c r="L141" s="519" t="s">
        <v>5842</v>
      </c>
      <c r="M141" s="519" t="s">
        <v>2969</v>
      </c>
      <c r="N141" s="560">
        <v>1</v>
      </c>
      <c r="O141" s="560" t="s">
        <v>154</v>
      </c>
      <c r="P141" s="564">
        <v>16</v>
      </c>
      <c r="Q141" s="564">
        <v>25</v>
      </c>
      <c r="R141" s="563">
        <v>11</v>
      </c>
      <c r="S141" s="498">
        <f t="shared" si="11"/>
        <v>400</v>
      </c>
      <c r="T141" s="498">
        <f t="shared" si="12"/>
        <v>400</v>
      </c>
      <c r="U141" s="498"/>
      <c r="V141" s="562" t="s">
        <v>5761</v>
      </c>
      <c r="W141" s="559" t="s">
        <v>5744</v>
      </c>
      <c r="X141" s="559" t="s">
        <v>5745</v>
      </c>
      <c r="Y141" s="561" t="s">
        <v>154</v>
      </c>
      <c r="Z141" s="561" t="s">
        <v>154</v>
      </c>
      <c r="AA141" s="561" t="s">
        <v>154</v>
      </c>
      <c r="AB141" s="561" t="s">
        <v>154</v>
      </c>
      <c r="AC141" s="561" t="s">
        <v>154</v>
      </c>
      <c r="AD141" s="560">
        <v>22</v>
      </c>
      <c r="AE141" s="519" t="s">
        <v>5746</v>
      </c>
      <c r="AF141" s="492" t="s">
        <v>5747</v>
      </c>
      <c r="AG141" s="557" t="s">
        <v>154</v>
      </c>
      <c r="AH141" s="557" t="s">
        <v>154</v>
      </c>
      <c r="AI141" s="559" t="s">
        <v>154</v>
      </c>
      <c r="AJ141" s="559" t="s">
        <v>154</v>
      </c>
      <c r="AK141" s="559" t="s">
        <v>154</v>
      </c>
      <c r="AL141" s="492" t="s">
        <v>5747</v>
      </c>
      <c r="AM141" s="559" t="s">
        <v>154</v>
      </c>
      <c r="AN141" s="559" t="s">
        <v>154</v>
      </c>
      <c r="AO141" s="559" t="s">
        <v>3454</v>
      </c>
      <c r="AP141" s="559" t="s">
        <v>5750</v>
      </c>
      <c r="AQ141" s="559" t="s">
        <v>154</v>
      </c>
      <c r="AR141" s="559" t="s">
        <v>154</v>
      </c>
      <c r="AS141" s="487">
        <v>2</v>
      </c>
      <c r="AT141" s="488" t="s">
        <v>5757</v>
      </c>
      <c r="AU141" s="487"/>
      <c r="AV141" s="487"/>
      <c r="AW141" s="487"/>
      <c r="AX141" s="556" t="s">
        <v>5747</v>
      </c>
      <c r="AY141" s="555"/>
      <c r="AZ141" s="555"/>
      <c r="BA141" s="554"/>
      <c r="BB141" s="554"/>
      <c r="BC141" s="554"/>
      <c r="BD141" s="554"/>
      <c r="BE141" s="554">
        <v>1</v>
      </c>
      <c r="BF141" s="553"/>
      <c r="BG141" s="553"/>
      <c r="BH141" s="553"/>
      <c r="BI141" s="553"/>
    </row>
    <row r="142" spans="1:61" s="552" customFormat="1" ht="24" customHeight="1">
      <c r="A142" s="528"/>
      <c r="B142" s="522">
        <v>4750</v>
      </c>
      <c r="C142" s="566" t="s">
        <v>1316</v>
      </c>
      <c r="D142" s="565" t="s">
        <v>912</v>
      </c>
      <c r="E142" s="2371" t="s">
        <v>913</v>
      </c>
      <c r="F142" s="2371"/>
      <c r="G142" s="2371"/>
      <c r="H142" s="527">
        <v>3</v>
      </c>
      <c r="I142" s="526" t="str">
        <f t="shared" si="13"/>
        <v>4750-BLD-003</v>
      </c>
      <c r="J142" s="525" t="s">
        <v>5844</v>
      </c>
      <c r="K142" s="525"/>
      <c r="L142" s="519" t="s">
        <v>5842</v>
      </c>
      <c r="M142" s="519" t="s">
        <v>2969</v>
      </c>
      <c r="N142" s="560">
        <v>1</v>
      </c>
      <c r="O142" s="560" t="s">
        <v>154</v>
      </c>
      <c r="P142" s="564">
        <v>16</v>
      </c>
      <c r="Q142" s="564">
        <v>25</v>
      </c>
      <c r="R142" s="563">
        <v>11</v>
      </c>
      <c r="S142" s="498">
        <f t="shared" si="11"/>
        <v>400</v>
      </c>
      <c r="T142" s="498">
        <f t="shared" si="12"/>
        <v>400</v>
      </c>
      <c r="U142" s="498"/>
      <c r="V142" s="562" t="s">
        <v>5761</v>
      </c>
      <c r="W142" s="559" t="s">
        <v>5744</v>
      </c>
      <c r="X142" s="559" t="s">
        <v>5745</v>
      </c>
      <c r="Y142" s="561" t="s">
        <v>154</v>
      </c>
      <c r="Z142" s="561" t="s">
        <v>154</v>
      </c>
      <c r="AA142" s="561" t="s">
        <v>154</v>
      </c>
      <c r="AB142" s="561" t="s">
        <v>154</v>
      </c>
      <c r="AC142" s="561" t="s">
        <v>154</v>
      </c>
      <c r="AD142" s="560">
        <v>22</v>
      </c>
      <c r="AE142" s="519" t="s">
        <v>5746</v>
      </c>
      <c r="AF142" s="492" t="s">
        <v>5747</v>
      </c>
      <c r="AG142" s="557" t="s">
        <v>154</v>
      </c>
      <c r="AH142" s="557" t="s">
        <v>154</v>
      </c>
      <c r="AI142" s="559" t="s">
        <v>154</v>
      </c>
      <c r="AJ142" s="559" t="s">
        <v>154</v>
      </c>
      <c r="AK142" s="559" t="s">
        <v>154</v>
      </c>
      <c r="AL142" s="492" t="s">
        <v>5747</v>
      </c>
      <c r="AM142" s="559" t="s">
        <v>154</v>
      </c>
      <c r="AN142" s="559" t="s">
        <v>154</v>
      </c>
      <c r="AO142" s="559" t="s">
        <v>3454</v>
      </c>
      <c r="AP142" s="559" t="s">
        <v>5750</v>
      </c>
      <c r="AQ142" s="559" t="s">
        <v>154</v>
      </c>
      <c r="AR142" s="559" t="s">
        <v>154</v>
      </c>
      <c r="AS142" s="487">
        <v>2</v>
      </c>
      <c r="AT142" s="488" t="s">
        <v>5757</v>
      </c>
      <c r="AU142" s="487"/>
      <c r="AV142" s="487"/>
      <c r="AW142" s="487"/>
      <c r="AX142" s="556" t="s">
        <v>5747</v>
      </c>
      <c r="AY142" s="555"/>
      <c r="AZ142" s="555"/>
      <c r="BA142" s="554"/>
      <c r="BB142" s="554"/>
      <c r="BC142" s="554"/>
      <c r="BD142" s="554"/>
      <c r="BE142" s="554">
        <v>1</v>
      </c>
      <c r="BF142" s="553"/>
      <c r="BG142" s="553"/>
      <c r="BH142" s="553"/>
      <c r="BI142" s="553"/>
    </row>
    <row r="143" spans="1:61" s="552" customFormat="1" ht="24" customHeight="1">
      <c r="A143" s="528"/>
      <c r="B143" s="522">
        <v>4750</v>
      </c>
      <c r="C143" s="566" t="s">
        <v>1316</v>
      </c>
      <c r="D143" s="565" t="s">
        <v>912</v>
      </c>
      <c r="E143" s="2371" t="s">
        <v>913</v>
      </c>
      <c r="F143" s="2371"/>
      <c r="G143" s="2371"/>
      <c r="H143" s="527">
        <v>4</v>
      </c>
      <c r="I143" s="526" t="str">
        <f t="shared" si="13"/>
        <v>4750-BLD-004</v>
      </c>
      <c r="J143" s="525" t="s">
        <v>5845</v>
      </c>
      <c r="K143" s="525"/>
      <c r="L143" s="519" t="s">
        <v>5842</v>
      </c>
      <c r="M143" s="519" t="s">
        <v>2969</v>
      </c>
      <c r="N143" s="560">
        <v>1</v>
      </c>
      <c r="O143" s="560" t="s">
        <v>154</v>
      </c>
      <c r="P143" s="564">
        <v>16</v>
      </c>
      <c r="Q143" s="564">
        <v>25</v>
      </c>
      <c r="R143" s="563">
        <v>11</v>
      </c>
      <c r="S143" s="498">
        <f t="shared" si="11"/>
        <v>400</v>
      </c>
      <c r="T143" s="498">
        <f t="shared" si="12"/>
        <v>400</v>
      </c>
      <c r="U143" s="498"/>
      <c r="V143" s="562" t="s">
        <v>5761</v>
      </c>
      <c r="W143" s="559" t="s">
        <v>5744</v>
      </c>
      <c r="X143" s="559" t="s">
        <v>5745</v>
      </c>
      <c r="Y143" s="561" t="s">
        <v>154</v>
      </c>
      <c r="Z143" s="561" t="s">
        <v>154</v>
      </c>
      <c r="AA143" s="561" t="s">
        <v>154</v>
      </c>
      <c r="AB143" s="561" t="s">
        <v>154</v>
      </c>
      <c r="AC143" s="561" t="s">
        <v>154</v>
      </c>
      <c r="AD143" s="560">
        <v>22</v>
      </c>
      <c r="AE143" s="519" t="s">
        <v>5746</v>
      </c>
      <c r="AF143" s="492" t="s">
        <v>5747</v>
      </c>
      <c r="AG143" s="557" t="s">
        <v>154</v>
      </c>
      <c r="AH143" s="557" t="s">
        <v>154</v>
      </c>
      <c r="AI143" s="559" t="s">
        <v>154</v>
      </c>
      <c r="AJ143" s="559" t="s">
        <v>154</v>
      </c>
      <c r="AK143" s="559" t="s">
        <v>154</v>
      </c>
      <c r="AL143" s="492" t="s">
        <v>5747</v>
      </c>
      <c r="AM143" s="559" t="s">
        <v>154</v>
      </c>
      <c r="AN143" s="559" t="s">
        <v>154</v>
      </c>
      <c r="AO143" s="559" t="s">
        <v>3454</v>
      </c>
      <c r="AP143" s="559" t="s">
        <v>5750</v>
      </c>
      <c r="AQ143" s="559" t="s">
        <v>154</v>
      </c>
      <c r="AR143" s="559" t="s">
        <v>154</v>
      </c>
      <c r="AS143" s="487">
        <v>2</v>
      </c>
      <c r="AT143" s="488" t="s">
        <v>5757</v>
      </c>
      <c r="AU143" s="487"/>
      <c r="AV143" s="487"/>
      <c r="AW143" s="487"/>
      <c r="AX143" s="556" t="s">
        <v>5747</v>
      </c>
      <c r="AY143" s="555"/>
      <c r="AZ143" s="555"/>
      <c r="BA143" s="554"/>
      <c r="BB143" s="554"/>
      <c r="BC143" s="554"/>
      <c r="BD143" s="554"/>
      <c r="BE143" s="554">
        <v>1</v>
      </c>
      <c r="BF143" s="553"/>
      <c r="BG143" s="553"/>
      <c r="BH143" s="553"/>
      <c r="BI143" s="553"/>
    </row>
    <row r="144" spans="1:61" s="552" customFormat="1" ht="24" customHeight="1">
      <c r="A144" s="528"/>
      <c r="B144" s="522">
        <v>4750</v>
      </c>
      <c r="C144" s="566" t="s">
        <v>1316</v>
      </c>
      <c r="D144" s="565" t="s">
        <v>912</v>
      </c>
      <c r="E144" s="2371" t="s">
        <v>913</v>
      </c>
      <c r="F144" s="2371"/>
      <c r="G144" s="2371"/>
      <c r="H144" s="527">
        <v>5</v>
      </c>
      <c r="I144" s="526" t="str">
        <f t="shared" si="13"/>
        <v>4750-BLD-005</v>
      </c>
      <c r="J144" s="525" t="s">
        <v>5846</v>
      </c>
      <c r="K144" s="525"/>
      <c r="L144" s="519" t="s">
        <v>5842</v>
      </c>
      <c r="M144" s="519" t="s">
        <v>2969</v>
      </c>
      <c r="N144" s="560">
        <v>1</v>
      </c>
      <c r="O144" s="560" t="s">
        <v>154</v>
      </c>
      <c r="P144" s="564">
        <v>16</v>
      </c>
      <c r="Q144" s="564">
        <v>25</v>
      </c>
      <c r="R144" s="563">
        <v>11</v>
      </c>
      <c r="S144" s="498">
        <f t="shared" si="11"/>
        <v>400</v>
      </c>
      <c r="T144" s="498">
        <f t="shared" si="12"/>
        <v>400</v>
      </c>
      <c r="U144" s="498"/>
      <c r="V144" s="562" t="s">
        <v>5761</v>
      </c>
      <c r="W144" s="559" t="s">
        <v>5744</v>
      </c>
      <c r="X144" s="559" t="s">
        <v>5745</v>
      </c>
      <c r="Y144" s="561" t="s">
        <v>154</v>
      </c>
      <c r="Z144" s="561" t="s">
        <v>154</v>
      </c>
      <c r="AA144" s="561" t="s">
        <v>154</v>
      </c>
      <c r="AB144" s="561" t="s">
        <v>154</v>
      </c>
      <c r="AC144" s="561" t="s">
        <v>154</v>
      </c>
      <c r="AD144" s="560">
        <v>22</v>
      </c>
      <c r="AE144" s="519" t="s">
        <v>5746</v>
      </c>
      <c r="AF144" s="492" t="s">
        <v>5747</v>
      </c>
      <c r="AG144" s="557" t="s">
        <v>154</v>
      </c>
      <c r="AH144" s="557" t="s">
        <v>154</v>
      </c>
      <c r="AI144" s="559" t="s">
        <v>154</v>
      </c>
      <c r="AJ144" s="559" t="s">
        <v>154</v>
      </c>
      <c r="AK144" s="559" t="s">
        <v>154</v>
      </c>
      <c r="AL144" s="492" t="s">
        <v>5747</v>
      </c>
      <c r="AM144" s="559" t="s">
        <v>154</v>
      </c>
      <c r="AN144" s="559" t="s">
        <v>154</v>
      </c>
      <c r="AO144" s="559" t="s">
        <v>3454</v>
      </c>
      <c r="AP144" s="559" t="s">
        <v>5750</v>
      </c>
      <c r="AQ144" s="559" t="s">
        <v>154</v>
      </c>
      <c r="AR144" s="559" t="s">
        <v>154</v>
      </c>
      <c r="AS144" s="487">
        <v>2</v>
      </c>
      <c r="AT144" s="488" t="s">
        <v>5757</v>
      </c>
      <c r="AU144" s="487"/>
      <c r="AV144" s="487"/>
      <c r="AW144" s="487"/>
      <c r="AX144" s="556" t="s">
        <v>5747</v>
      </c>
      <c r="AY144" s="555"/>
      <c r="AZ144" s="555"/>
      <c r="BA144" s="554"/>
      <c r="BB144" s="554"/>
      <c r="BC144" s="554"/>
      <c r="BD144" s="554"/>
      <c r="BE144" s="554">
        <v>1</v>
      </c>
      <c r="BF144" s="553"/>
      <c r="BG144" s="553"/>
      <c r="BH144" s="553"/>
      <c r="BI144" s="553"/>
    </row>
    <row r="145" spans="1:61" s="552" customFormat="1" ht="24" customHeight="1">
      <c r="A145" s="528"/>
      <c r="B145" s="522">
        <v>4750</v>
      </c>
      <c r="C145" s="566" t="s">
        <v>1316</v>
      </c>
      <c r="D145" s="565" t="s">
        <v>912</v>
      </c>
      <c r="E145" s="2371" t="s">
        <v>913</v>
      </c>
      <c r="F145" s="2371"/>
      <c r="G145" s="2371"/>
      <c r="H145" s="527">
        <v>6</v>
      </c>
      <c r="I145" s="526" t="str">
        <f t="shared" si="13"/>
        <v>4750-BLD-006</v>
      </c>
      <c r="J145" s="525" t="s">
        <v>5927</v>
      </c>
      <c r="K145" s="525"/>
      <c r="L145" s="519" t="s">
        <v>5842</v>
      </c>
      <c r="M145" s="519" t="s">
        <v>2969</v>
      </c>
      <c r="N145" s="560">
        <v>1</v>
      </c>
      <c r="O145" s="560" t="s">
        <v>154</v>
      </c>
      <c r="P145" s="564">
        <v>16</v>
      </c>
      <c r="Q145" s="564">
        <v>25</v>
      </c>
      <c r="R145" s="563">
        <v>11</v>
      </c>
      <c r="S145" s="498">
        <f t="shared" si="11"/>
        <v>400</v>
      </c>
      <c r="T145" s="498">
        <f t="shared" si="12"/>
        <v>400</v>
      </c>
      <c r="U145" s="498"/>
      <c r="V145" s="562" t="s">
        <v>5761</v>
      </c>
      <c r="W145" s="559" t="s">
        <v>5744</v>
      </c>
      <c r="X145" s="559" t="s">
        <v>5745</v>
      </c>
      <c r="Y145" s="561" t="s">
        <v>154</v>
      </c>
      <c r="Z145" s="561" t="s">
        <v>154</v>
      </c>
      <c r="AA145" s="561" t="s">
        <v>154</v>
      </c>
      <c r="AB145" s="561" t="s">
        <v>154</v>
      </c>
      <c r="AC145" s="561" t="s">
        <v>154</v>
      </c>
      <c r="AD145" s="560">
        <v>22</v>
      </c>
      <c r="AE145" s="519" t="s">
        <v>5746</v>
      </c>
      <c r="AF145" s="492" t="s">
        <v>5747</v>
      </c>
      <c r="AG145" s="557" t="s">
        <v>154</v>
      </c>
      <c r="AH145" s="557" t="s">
        <v>154</v>
      </c>
      <c r="AI145" s="559" t="s">
        <v>154</v>
      </c>
      <c r="AJ145" s="559" t="s">
        <v>154</v>
      </c>
      <c r="AK145" s="559" t="s">
        <v>154</v>
      </c>
      <c r="AL145" s="492" t="s">
        <v>5747</v>
      </c>
      <c r="AM145" s="559" t="s">
        <v>154</v>
      </c>
      <c r="AN145" s="559" t="s">
        <v>154</v>
      </c>
      <c r="AO145" s="559" t="s">
        <v>3454</v>
      </c>
      <c r="AP145" s="559" t="s">
        <v>154</v>
      </c>
      <c r="AQ145" s="559" t="s">
        <v>154</v>
      </c>
      <c r="AR145" s="559" t="s">
        <v>154</v>
      </c>
      <c r="AS145" s="559"/>
      <c r="AT145" s="567"/>
      <c r="AU145" s="559"/>
      <c r="AV145" s="559"/>
      <c r="AW145" s="559"/>
      <c r="AX145" s="556"/>
      <c r="AY145" s="555"/>
      <c r="AZ145" s="555"/>
      <c r="BA145" s="554"/>
      <c r="BB145" s="554"/>
      <c r="BC145" s="554"/>
      <c r="BD145" s="554"/>
      <c r="BE145" s="554">
        <v>1</v>
      </c>
      <c r="BF145" s="553"/>
      <c r="BG145" s="553"/>
      <c r="BH145" s="553"/>
      <c r="BI145" s="553"/>
    </row>
    <row r="146" spans="1:61" s="552" customFormat="1" ht="24" customHeight="1">
      <c r="A146" s="528"/>
      <c r="B146" s="522">
        <v>4750</v>
      </c>
      <c r="C146" s="566" t="s">
        <v>1316</v>
      </c>
      <c r="D146" s="565" t="s">
        <v>912</v>
      </c>
      <c r="E146" s="2371" t="s">
        <v>913</v>
      </c>
      <c r="F146" s="2371"/>
      <c r="G146" s="2371"/>
      <c r="H146" s="527">
        <v>7</v>
      </c>
      <c r="I146" s="526" t="str">
        <f t="shared" si="13"/>
        <v>4750-BLD-007</v>
      </c>
      <c r="J146" s="525" t="s">
        <v>5928</v>
      </c>
      <c r="K146" s="525"/>
      <c r="L146" s="519" t="s">
        <v>5842</v>
      </c>
      <c r="M146" s="519" t="s">
        <v>2969</v>
      </c>
      <c r="N146" s="560">
        <v>1</v>
      </c>
      <c r="O146" s="560" t="s">
        <v>154</v>
      </c>
      <c r="P146" s="564">
        <v>16</v>
      </c>
      <c r="Q146" s="564">
        <v>25</v>
      </c>
      <c r="R146" s="563">
        <v>11</v>
      </c>
      <c r="S146" s="498">
        <f t="shared" si="11"/>
        <v>400</v>
      </c>
      <c r="T146" s="498">
        <f t="shared" si="12"/>
        <v>400</v>
      </c>
      <c r="U146" s="498"/>
      <c r="V146" s="562" t="s">
        <v>5761</v>
      </c>
      <c r="W146" s="559" t="s">
        <v>5744</v>
      </c>
      <c r="X146" s="559" t="s">
        <v>5745</v>
      </c>
      <c r="Y146" s="561" t="s">
        <v>154</v>
      </c>
      <c r="Z146" s="561" t="s">
        <v>154</v>
      </c>
      <c r="AA146" s="561" t="s">
        <v>154</v>
      </c>
      <c r="AB146" s="561" t="s">
        <v>154</v>
      </c>
      <c r="AC146" s="561" t="s">
        <v>154</v>
      </c>
      <c r="AD146" s="560">
        <v>22</v>
      </c>
      <c r="AE146" s="519" t="s">
        <v>5746</v>
      </c>
      <c r="AF146" s="492" t="s">
        <v>5747</v>
      </c>
      <c r="AG146" s="557" t="s">
        <v>154</v>
      </c>
      <c r="AH146" s="557" t="s">
        <v>154</v>
      </c>
      <c r="AI146" s="559" t="s">
        <v>154</v>
      </c>
      <c r="AJ146" s="559" t="s">
        <v>154</v>
      </c>
      <c r="AK146" s="559" t="s">
        <v>154</v>
      </c>
      <c r="AL146" s="492" t="s">
        <v>5747</v>
      </c>
      <c r="AM146" s="559" t="s">
        <v>154</v>
      </c>
      <c r="AN146" s="559" t="s">
        <v>154</v>
      </c>
      <c r="AO146" s="559" t="s">
        <v>3454</v>
      </c>
      <c r="AP146" s="559" t="s">
        <v>154</v>
      </c>
      <c r="AQ146" s="559" t="s">
        <v>154</v>
      </c>
      <c r="AR146" s="557" t="s">
        <v>154</v>
      </c>
      <c r="AS146" s="557"/>
      <c r="AT146" s="558"/>
      <c r="AU146" s="557"/>
      <c r="AV146" s="557"/>
      <c r="AW146" s="557"/>
      <c r="AX146" s="556"/>
      <c r="AY146" s="555"/>
      <c r="AZ146" s="555"/>
      <c r="BA146" s="554"/>
      <c r="BB146" s="554"/>
      <c r="BC146" s="554"/>
      <c r="BD146" s="554"/>
      <c r="BE146" s="554">
        <v>1</v>
      </c>
      <c r="BF146" s="553"/>
      <c r="BG146" s="553"/>
      <c r="BH146" s="553"/>
      <c r="BI146" s="553"/>
    </row>
    <row r="147" spans="1:61" s="552" customFormat="1" ht="24" customHeight="1" thickBot="1">
      <c r="A147" s="1934"/>
      <c r="B147" s="1935">
        <v>4750</v>
      </c>
      <c r="C147" s="1936" t="s">
        <v>1316</v>
      </c>
      <c r="D147" s="1937" t="s">
        <v>912</v>
      </c>
      <c r="E147" s="2372" t="s">
        <v>913</v>
      </c>
      <c r="F147" s="2372"/>
      <c r="G147" s="2372"/>
      <c r="H147" s="1938">
        <v>8</v>
      </c>
      <c r="I147" s="1939" t="str">
        <f t="shared" si="13"/>
        <v>4750-BLD-008</v>
      </c>
      <c r="J147" s="1940" t="s">
        <v>5929</v>
      </c>
      <c r="K147" s="1940"/>
      <c r="L147" s="1941" t="s">
        <v>5842</v>
      </c>
      <c r="M147" s="1941" t="s">
        <v>2969</v>
      </c>
      <c r="N147" s="1942">
        <v>1</v>
      </c>
      <c r="O147" s="1942" t="s">
        <v>154</v>
      </c>
      <c r="P147" s="1943">
        <v>16</v>
      </c>
      <c r="Q147" s="1943">
        <v>40</v>
      </c>
      <c r="R147" s="1944">
        <v>11</v>
      </c>
      <c r="S147" s="1927">
        <f t="shared" si="11"/>
        <v>640</v>
      </c>
      <c r="T147" s="1927">
        <f t="shared" si="12"/>
        <v>640</v>
      </c>
      <c r="U147" s="1927"/>
      <c r="V147" s="1945" t="s">
        <v>5761</v>
      </c>
      <c r="W147" s="1946" t="s">
        <v>5744</v>
      </c>
      <c r="X147" s="1946" t="s">
        <v>5745</v>
      </c>
      <c r="Y147" s="1947" t="s">
        <v>154</v>
      </c>
      <c r="Z147" s="1947" t="s">
        <v>154</v>
      </c>
      <c r="AA147" s="1947" t="s">
        <v>154</v>
      </c>
      <c r="AB147" s="1947" t="s">
        <v>154</v>
      </c>
      <c r="AC147" s="1947" t="s">
        <v>154</v>
      </c>
      <c r="AD147" s="1942">
        <v>22</v>
      </c>
      <c r="AE147" s="1941" t="s">
        <v>5746</v>
      </c>
      <c r="AF147" s="1931" t="s">
        <v>5747</v>
      </c>
      <c r="AG147" s="1948" t="s">
        <v>154</v>
      </c>
      <c r="AH147" s="1948" t="s">
        <v>154</v>
      </c>
      <c r="AI147" s="1946" t="s">
        <v>154</v>
      </c>
      <c r="AJ147" s="1946" t="s">
        <v>154</v>
      </c>
      <c r="AK147" s="1946" t="s">
        <v>154</v>
      </c>
      <c r="AL147" s="1931" t="s">
        <v>5747</v>
      </c>
      <c r="AM147" s="1946" t="s">
        <v>154</v>
      </c>
      <c r="AN147" s="1946" t="s">
        <v>154</v>
      </c>
      <c r="AO147" s="1946" t="s">
        <v>3454</v>
      </c>
      <c r="AP147" s="1946" t="s">
        <v>5750</v>
      </c>
      <c r="AQ147" s="1946" t="s">
        <v>154</v>
      </c>
      <c r="AR147" s="1948" t="s">
        <v>154</v>
      </c>
      <c r="AS147" s="487">
        <v>2</v>
      </c>
      <c r="AT147" s="488" t="s">
        <v>5757</v>
      </c>
      <c r="AU147" s="487"/>
      <c r="AV147" s="487"/>
      <c r="AW147" s="487"/>
      <c r="AX147" s="556" t="s">
        <v>5747</v>
      </c>
      <c r="AY147" s="555"/>
      <c r="AZ147" s="555"/>
      <c r="BA147" s="554"/>
      <c r="BB147" s="554"/>
      <c r="BC147" s="554"/>
      <c r="BD147" s="554"/>
      <c r="BE147" s="554">
        <v>1</v>
      </c>
      <c r="BF147" s="553"/>
      <c r="BG147" s="553"/>
      <c r="BH147" s="553"/>
      <c r="BI147" s="553" t="s">
        <v>5930</v>
      </c>
    </row>
    <row r="148" spans="1:61" ht="24" customHeight="1" thickTop="1">
      <c r="A148" s="551"/>
      <c r="B148" s="550">
        <v>7432</v>
      </c>
      <c r="C148" s="549" t="s">
        <v>5847</v>
      </c>
      <c r="D148" s="548" t="s">
        <v>1316</v>
      </c>
      <c r="E148" s="2373" t="s">
        <v>2430</v>
      </c>
      <c r="F148" s="2373"/>
      <c r="G148" s="2373"/>
      <c r="H148" s="547">
        <v>1</v>
      </c>
      <c r="I148" s="546" t="str">
        <f t="shared" si="13"/>
        <v>7432-BLD-001</v>
      </c>
      <c r="J148" s="545" t="s">
        <v>5854</v>
      </c>
      <c r="K148" s="545"/>
      <c r="L148" s="535" t="s">
        <v>4158</v>
      </c>
      <c r="M148" s="535" t="s">
        <v>2969</v>
      </c>
      <c r="N148" s="536">
        <v>1</v>
      </c>
      <c r="O148" s="544">
        <v>13</v>
      </c>
      <c r="P148" s="543">
        <v>12</v>
      </c>
      <c r="Q148" s="543">
        <v>60</v>
      </c>
      <c r="R148" s="542">
        <v>8</v>
      </c>
      <c r="S148" s="540">
        <f t="shared" si="11"/>
        <v>720</v>
      </c>
      <c r="T148" s="541">
        <f t="shared" si="12"/>
        <v>720</v>
      </c>
      <c r="U148" s="540" t="s">
        <v>5931</v>
      </c>
      <c r="V148" s="539" t="s">
        <v>5753</v>
      </c>
      <c r="W148" s="533" t="s">
        <v>5787</v>
      </c>
      <c r="X148" s="533" t="s">
        <v>5745</v>
      </c>
      <c r="Y148" s="538" t="s">
        <v>5747</v>
      </c>
      <c r="Z148" s="538" t="s">
        <v>5747</v>
      </c>
      <c r="AA148" s="538" t="s">
        <v>5747</v>
      </c>
      <c r="AB148" s="537" t="s">
        <v>154</v>
      </c>
      <c r="AC148" s="537" t="s">
        <v>154</v>
      </c>
      <c r="AD148" s="536">
        <v>22</v>
      </c>
      <c r="AE148" s="535" t="s">
        <v>5746</v>
      </c>
      <c r="AF148" s="533" t="s">
        <v>154</v>
      </c>
      <c r="AG148" s="532" t="s">
        <v>154</v>
      </c>
      <c r="AH148" s="533" t="s">
        <v>5754</v>
      </c>
      <c r="AI148" s="533" t="s">
        <v>5755</v>
      </c>
      <c r="AJ148" s="533" t="s">
        <v>5754</v>
      </c>
      <c r="AK148" s="533" t="s">
        <v>154</v>
      </c>
      <c r="AL148" s="533" t="s">
        <v>154</v>
      </c>
      <c r="AM148" s="533" t="s">
        <v>154</v>
      </c>
      <c r="AN148" s="534" t="s">
        <v>5747</v>
      </c>
      <c r="AO148" s="533" t="s">
        <v>2872</v>
      </c>
      <c r="AP148" s="533" t="s">
        <v>154</v>
      </c>
      <c r="AQ148" s="533" t="s">
        <v>154</v>
      </c>
      <c r="AR148" s="532" t="s">
        <v>154</v>
      </c>
      <c r="AS148" s="530"/>
      <c r="AT148" s="531"/>
      <c r="AU148" s="530"/>
      <c r="AV148" s="530"/>
      <c r="AW148" s="530"/>
      <c r="AX148" s="486"/>
      <c r="AY148" s="486"/>
      <c r="AZ148" s="486"/>
      <c r="BI148" s="485" t="s">
        <v>5849</v>
      </c>
    </row>
    <row r="149" spans="1:61" ht="24" customHeight="1">
      <c r="A149" s="507"/>
      <c r="B149" s="506">
        <v>7432</v>
      </c>
      <c r="C149" s="505" t="s">
        <v>5847</v>
      </c>
      <c r="D149" s="504" t="s">
        <v>1316</v>
      </c>
      <c r="E149" s="2369" t="s">
        <v>2430</v>
      </c>
      <c r="F149" s="2369"/>
      <c r="G149" s="2369"/>
      <c r="H149" s="503">
        <v>3</v>
      </c>
      <c r="I149" s="502" t="str">
        <f t="shared" si="13"/>
        <v>7432-BLD-003</v>
      </c>
      <c r="J149" s="501" t="s">
        <v>5857</v>
      </c>
      <c r="K149" s="501"/>
      <c r="L149" s="493" t="s">
        <v>4158</v>
      </c>
      <c r="M149" s="493" t="s">
        <v>2969</v>
      </c>
      <c r="N149" s="494">
        <v>1</v>
      </c>
      <c r="O149" s="529">
        <v>30</v>
      </c>
      <c r="P149" s="500">
        <v>12</v>
      </c>
      <c r="Q149" s="500">
        <v>60</v>
      </c>
      <c r="R149" s="499">
        <v>8</v>
      </c>
      <c r="S149" s="497">
        <f t="shared" si="11"/>
        <v>720</v>
      </c>
      <c r="T149" s="498">
        <f t="shared" si="12"/>
        <v>720</v>
      </c>
      <c r="U149" s="497" t="s">
        <v>5859</v>
      </c>
      <c r="V149" s="496" t="s">
        <v>5753</v>
      </c>
      <c r="W149" s="489" t="s">
        <v>5787</v>
      </c>
      <c r="X149" s="489" t="s">
        <v>5745</v>
      </c>
      <c r="Y149" s="495" t="s">
        <v>154</v>
      </c>
      <c r="Z149" s="495" t="s">
        <v>154</v>
      </c>
      <c r="AA149" s="492" t="s">
        <v>5747</v>
      </c>
      <c r="AB149" s="495" t="s">
        <v>154</v>
      </c>
      <c r="AC149" s="495" t="s">
        <v>154</v>
      </c>
      <c r="AD149" s="494">
        <v>22</v>
      </c>
      <c r="AE149" s="493" t="s">
        <v>5746</v>
      </c>
      <c r="AF149" s="489" t="s">
        <v>154</v>
      </c>
      <c r="AG149" s="489" t="s">
        <v>154</v>
      </c>
      <c r="AH149" s="489" t="s">
        <v>154</v>
      </c>
      <c r="AI149" s="489" t="s">
        <v>5755</v>
      </c>
      <c r="AJ149" s="489" t="s">
        <v>154</v>
      </c>
      <c r="AK149" s="489" t="s">
        <v>154</v>
      </c>
      <c r="AL149" s="489" t="s">
        <v>154</v>
      </c>
      <c r="AM149" s="491" t="s">
        <v>154</v>
      </c>
      <c r="AN149" s="490" t="s">
        <v>5747</v>
      </c>
      <c r="AO149" s="489" t="s">
        <v>2872</v>
      </c>
      <c r="AP149" s="489" t="s">
        <v>154</v>
      </c>
      <c r="AQ149" s="489" t="s">
        <v>154</v>
      </c>
      <c r="AR149" s="489" t="s">
        <v>154</v>
      </c>
      <c r="AS149" s="487"/>
      <c r="AT149" s="488"/>
      <c r="AU149" s="487"/>
      <c r="AV149" s="487"/>
      <c r="AW149" s="487"/>
      <c r="AX149" s="486"/>
      <c r="AY149" s="486"/>
      <c r="AZ149" s="486"/>
      <c r="BI149" s="485" t="s">
        <v>5849</v>
      </c>
    </row>
    <row r="150" spans="1:61" ht="24" customHeight="1">
      <c r="A150" s="507"/>
      <c r="B150" s="506">
        <v>7432</v>
      </c>
      <c r="C150" s="505" t="s">
        <v>5847</v>
      </c>
      <c r="D150" s="504" t="s">
        <v>1316</v>
      </c>
      <c r="E150" s="2369" t="s">
        <v>2430</v>
      </c>
      <c r="F150" s="2369"/>
      <c r="G150" s="2369"/>
      <c r="H150" s="503">
        <v>4</v>
      </c>
      <c r="I150" s="502" t="str">
        <f t="shared" si="13"/>
        <v>7432-BLD-004</v>
      </c>
      <c r="J150" s="501" t="s">
        <v>5932</v>
      </c>
      <c r="K150" s="501"/>
      <c r="L150" s="493" t="s">
        <v>4158</v>
      </c>
      <c r="M150" s="493" t="s">
        <v>2969</v>
      </c>
      <c r="N150" s="494">
        <v>1</v>
      </c>
      <c r="O150" s="529">
        <v>9</v>
      </c>
      <c r="P150" s="500">
        <v>12</v>
      </c>
      <c r="Q150" s="500">
        <v>32</v>
      </c>
      <c r="R150" s="499">
        <v>8</v>
      </c>
      <c r="S150" s="497">
        <f t="shared" si="11"/>
        <v>384</v>
      </c>
      <c r="T150" s="498">
        <f t="shared" si="12"/>
        <v>384</v>
      </c>
      <c r="U150" s="497" t="s">
        <v>5791</v>
      </c>
      <c r="V150" s="496" t="s">
        <v>5753</v>
      </c>
      <c r="W150" s="489" t="s">
        <v>5787</v>
      </c>
      <c r="X150" s="489" t="s">
        <v>5745</v>
      </c>
      <c r="Y150" s="495" t="s">
        <v>154</v>
      </c>
      <c r="Z150" s="492" t="s">
        <v>5747</v>
      </c>
      <c r="AA150" s="495" t="s">
        <v>154</v>
      </c>
      <c r="AB150" s="495" t="s">
        <v>154</v>
      </c>
      <c r="AC150" s="495" t="s">
        <v>154</v>
      </c>
      <c r="AD150" s="494">
        <v>22</v>
      </c>
      <c r="AE150" s="493" t="s">
        <v>5746</v>
      </c>
      <c r="AF150" s="489" t="s">
        <v>154</v>
      </c>
      <c r="AG150" s="489" t="s">
        <v>154</v>
      </c>
      <c r="AH150" s="489" t="s">
        <v>5754</v>
      </c>
      <c r="AI150" s="489" t="s">
        <v>154</v>
      </c>
      <c r="AJ150" s="489" t="s">
        <v>5754</v>
      </c>
      <c r="AK150" s="489" t="s">
        <v>154</v>
      </c>
      <c r="AL150" s="489" t="s">
        <v>154</v>
      </c>
      <c r="AM150" s="491" t="s">
        <v>154</v>
      </c>
      <c r="AN150" s="490" t="s">
        <v>5747</v>
      </c>
      <c r="AO150" s="489" t="s">
        <v>2872</v>
      </c>
      <c r="AP150" s="489" t="s">
        <v>154</v>
      </c>
      <c r="AQ150" s="489" t="s">
        <v>154</v>
      </c>
      <c r="AR150" s="489" t="s">
        <v>154</v>
      </c>
      <c r="AS150" s="487"/>
      <c r="AT150" s="488"/>
      <c r="AU150" s="487"/>
      <c r="AV150" s="487"/>
      <c r="AW150" s="487"/>
      <c r="AX150" s="486"/>
      <c r="AY150" s="486"/>
      <c r="AZ150" s="486"/>
      <c r="BI150" s="485" t="s">
        <v>5849</v>
      </c>
    </row>
    <row r="151" spans="1:61" ht="24" customHeight="1">
      <c r="A151" s="507"/>
      <c r="B151" s="506">
        <v>7432</v>
      </c>
      <c r="C151" s="505" t="s">
        <v>5847</v>
      </c>
      <c r="D151" s="504" t="s">
        <v>1316</v>
      </c>
      <c r="E151" s="2369" t="s">
        <v>2430</v>
      </c>
      <c r="F151" s="2369"/>
      <c r="G151" s="2369"/>
      <c r="H151" s="503">
        <v>5</v>
      </c>
      <c r="I151" s="502" t="str">
        <f t="shared" si="13"/>
        <v>7432-BLD-005</v>
      </c>
      <c r="J151" s="501" t="s">
        <v>5858</v>
      </c>
      <c r="K151" s="501"/>
      <c r="L151" s="493" t="s">
        <v>4158</v>
      </c>
      <c r="M151" s="493" t="s">
        <v>2969</v>
      </c>
      <c r="N151" s="494">
        <v>1</v>
      </c>
      <c r="O151" s="529">
        <v>30</v>
      </c>
      <c r="P151" s="500">
        <v>12</v>
      </c>
      <c r="Q151" s="500">
        <v>60</v>
      </c>
      <c r="R151" s="499">
        <v>8</v>
      </c>
      <c r="S151" s="497">
        <f t="shared" si="11"/>
        <v>720</v>
      </c>
      <c r="T151" s="498">
        <f t="shared" si="12"/>
        <v>720</v>
      </c>
      <c r="U151" s="497" t="s">
        <v>5859</v>
      </c>
      <c r="V151" s="496" t="s">
        <v>5753</v>
      </c>
      <c r="W151" s="489" t="s">
        <v>5787</v>
      </c>
      <c r="X151" s="489" t="s">
        <v>5745</v>
      </c>
      <c r="Y151" s="495" t="s">
        <v>154</v>
      </c>
      <c r="Z151" s="495" t="s">
        <v>154</v>
      </c>
      <c r="AA151" s="492" t="s">
        <v>5747</v>
      </c>
      <c r="AB151" s="495" t="s">
        <v>154</v>
      </c>
      <c r="AC151" s="495" t="s">
        <v>154</v>
      </c>
      <c r="AD151" s="494">
        <v>22</v>
      </c>
      <c r="AE151" s="493" t="s">
        <v>5746</v>
      </c>
      <c r="AF151" s="489" t="s">
        <v>154</v>
      </c>
      <c r="AG151" s="489" t="s">
        <v>154</v>
      </c>
      <c r="AH151" s="489" t="s">
        <v>154</v>
      </c>
      <c r="AI151" s="489" t="s">
        <v>5755</v>
      </c>
      <c r="AJ151" s="489" t="s">
        <v>154</v>
      </c>
      <c r="AK151" s="489" t="s">
        <v>154</v>
      </c>
      <c r="AL151" s="489" t="s">
        <v>154</v>
      </c>
      <c r="AM151" s="491" t="s">
        <v>154</v>
      </c>
      <c r="AN151" s="490" t="s">
        <v>5747</v>
      </c>
      <c r="AO151" s="489" t="s">
        <v>2872</v>
      </c>
      <c r="AP151" s="489" t="s">
        <v>154</v>
      </c>
      <c r="AQ151" s="489" t="s">
        <v>154</v>
      </c>
      <c r="AR151" s="489" t="s">
        <v>154</v>
      </c>
      <c r="AS151" s="487"/>
      <c r="AT151" s="488"/>
      <c r="AU151" s="487"/>
      <c r="AV151" s="487"/>
      <c r="AW151" s="487"/>
      <c r="AX151" s="486"/>
      <c r="AY151" s="486"/>
      <c r="AZ151" s="486"/>
      <c r="BI151" s="485" t="s">
        <v>5849</v>
      </c>
    </row>
    <row r="152" spans="1:61" ht="24" customHeight="1">
      <c r="A152" s="507"/>
      <c r="B152" s="506">
        <v>7432</v>
      </c>
      <c r="C152" s="505" t="s">
        <v>5847</v>
      </c>
      <c r="D152" s="504" t="s">
        <v>1316</v>
      </c>
      <c r="E152" s="2369" t="s">
        <v>2430</v>
      </c>
      <c r="F152" s="2369"/>
      <c r="G152" s="2369"/>
      <c r="H152" s="503">
        <v>6</v>
      </c>
      <c r="I152" s="502" t="str">
        <f t="shared" si="13"/>
        <v>7432-BLD-006</v>
      </c>
      <c r="J152" s="501" t="s">
        <v>5860</v>
      </c>
      <c r="K152" s="501"/>
      <c r="L152" s="493" t="s">
        <v>4158</v>
      </c>
      <c r="M152" s="493" t="s">
        <v>2969</v>
      </c>
      <c r="N152" s="494">
        <v>1</v>
      </c>
      <c r="O152" s="529">
        <v>30</v>
      </c>
      <c r="P152" s="500">
        <v>12</v>
      </c>
      <c r="Q152" s="500">
        <v>60</v>
      </c>
      <c r="R152" s="499">
        <v>8</v>
      </c>
      <c r="S152" s="497">
        <f t="shared" si="11"/>
        <v>720</v>
      </c>
      <c r="T152" s="498">
        <f t="shared" si="12"/>
        <v>720</v>
      </c>
      <c r="U152" s="497" t="s">
        <v>5859</v>
      </c>
      <c r="V152" s="496" t="s">
        <v>5753</v>
      </c>
      <c r="W152" s="489" t="s">
        <v>5787</v>
      </c>
      <c r="X152" s="489" t="s">
        <v>5745</v>
      </c>
      <c r="Y152" s="495" t="s">
        <v>154</v>
      </c>
      <c r="Z152" s="495" t="s">
        <v>154</v>
      </c>
      <c r="AA152" s="492" t="s">
        <v>5747</v>
      </c>
      <c r="AB152" s="495" t="s">
        <v>154</v>
      </c>
      <c r="AC152" s="495" t="s">
        <v>154</v>
      </c>
      <c r="AD152" s="494">
        <v>22</v>
      </c>
      <c r="AE152" s="493" t="s">
        <v>5746</v>
      </c>
      <c r="AF152" s="489" t="s">
        <v>154</v>
      </c>
      <c r="AG152" s="489" t="s">
        <v>154</v>
      </c>
      <c r="AH152" s="489" t="s">
        <v>154</v>
      </c>
      <c r="AI152" s="489" t="s">
        <v>5755</v>
      </c>
      <c r="AJ152" s="489" t="s">
        <v>154</v>
      </c>
      <c r="AK152" s="489" t="s">
        <v>154</v>
      </c>
      <c r="AL152" s="489" t="s">
        <v>154</v>
      </c>
      <c r="AM152" s="491" t="s">
        <v>154</v>
      </c>
      <c r="AN152" s="490" t="s">
        <v>5747</v>
      </c>
      <c r="AO152" s="489" t="s">
        <v>2872</v>
      </c>
      <c r="AP152" s="489" t="s">
        <v>154</v>
      </c>
      <c r="AQ152" s="489" t="s">
        <v>154</v>
      </c>
      <c r="AR152" s="489" t="s">
        <v>154</v>
      </c>
      <c r="AS152" s="487"/>
      <c r="AT152" s="488"/>
      <c r="AU152" s="487"/>
      <c r="AV152" s="487"/>
      <c r="AW152" s="487"/>
      <c r="AX152" s="486"/>
      <c r="AY152" s="486"/>
      <c r="AZ152" s="486"/>
      <c r="BI152" s="485" t="s">
        <v>5849</v>
      </c>
    </row>
    <row r="153" spans="1:61" ht="24" customHeight="1">
      <c r="A153" s="507"/>
      <c r="B153" s="506">
        <v>7432</v>
      </c>
      <c r="C153" s="505" t="s">
        <v>5847</v>
      </c>
      <c r="D153" s="504" t="s">
        <v>1316</v>
      </c>
      <c r="E153" s="2369" t="s">
        <v>2430</v>
      </c>
      <c r="F153" s="2369"/>
      <c r="G153" s="2369"/>
      <c r="H153" s="503">
        <v>7</v>
      </c>
      <c r="I153" s="502" t="str">
        <f t="shared" si="13"/>
        <v>7432-BLD-007</v>
      </c>
      <c r="J153" s="501" t="s">
        <v>5861</v>
      </c>
      <c r="K153" s="501"/>
      <c r="L153" s="493" t="s">
        <v>4158</v>
      </c>
      <c r="M153" s="493" t="s">
        <v>2969</v>
      </c>
      <c r="N153" s="494">
        <v>1</v>
      </c>
      <c r="O153" s="529">
        <v>9</v>
      </c>
      <c r="P153" s="500">
        <v>12</v>
      </c>
      <c r="Q153" s="500">
        <v>32</v>
      </c>
      <c r="R153" s="499">
        <v>8</v>
      </c>
      <c r="S153" s="497">
        <f t="shared" si="11"/>
        <v>384</v>
      </c>
      <c r="T153" s="498">
        <f t="shared" si="12"/>
        <v>384</v>
      </c>
      <c r="U153" s="497" t="s">
        <v>5791</v>
      </c>
      <c r="V153" s="496" t="s">
        <v>5753</v>
      </c>
      <c r="W153" s="489" t="s">
        <v>5787</v>
      </c>
      <c r="X153" s="489" t="s">
        <v>5745</v>
      </c>
      <c r="Y153" s="495" t="s">
        <v>154</v>
      </c>
      <c r="Z153" s="492" t="s">
        <v>5747</v>
      </c>
      <c r="AA153" s="495" t="s">
        <v>154</v>
      </c>
      <c r="AB153" s="495" t="s">
        <v>154</v>
      </c>
      <c r="AC153" s="495" t="s">
        <v>154</v>
      </c>
      <c r="AD153" s="494">
        <v>22</v>
      </c>
      <c r="AE153" s="493" t="s">
        <v>5746</v>
      </c>
      <c r="AF153" s="489" t="s">
        <v>154</v>
      </c>
      <c r="AG153" s="489" t="s">
        <v>154</v>
      </c>
      <c r="AH153" s="489" t="s">
        <v>5754</v>
      </c>
      <c r="AI153" s="489" t="s">
        <v>154</v>
      </c>
      <c r="AJ153" s="489" t="s">
        <v>5754</v>
      </c>
      <c r="AK153" s="489" t="s">
        <v>154</v>
      </c>
      <c r="AL153" s="489" t="s">
        <v>154</v>
      </c>
      <c r="AM153" s="491" t="s">
        <v>154</v>
      </c>
      <c r="AN153" s="490" t="s">
        <v>5747</v>
      </c>
      <c r="AO153" s="489" t="s">
        <v>2872</v>
      </c>
      <c r="AP153" s="489" t="s">
        <v>154</v>
      </c>
      <c r="AQ153" s="489" t="s">
        <v>154</v>
      </c>
      <c r="AR153" s="489" t="s">
        <v>154</v>
      </c>
      <c r="AS153" s="487"/>
      <c r="AT153" s="488"/>
      <c r="AU153" s="487"/>
      <c r="AV153" s="487"/>
      <c r="AW153" s="487"/>
      <c r="AX153" s="486"/>
      <c r="AY153" s="486"/>
      <c r="AZ153" s="486"/>
      <c r="BI153" s="485" t="s">
        <v>5849</v>
      </c>
    </row>
    <row r="154" spans="1:61" ht="24" customHeight="1">
      <c r="A154" s="507"/>
      <c r="B154" s="506">
        <v>7432</v>
      </c>
      <c r="C154" s="505" t="s">
        <v>5847</v>
      </c>
      <c r="D154" s="504" t="s">
        <v>1316</v>
      </c>
      <c r="E154" s="2369" t="s">
        <v>2430</v>
      </c>
      <c r="F154" s="2369"/>
      <c r="G154" s="2369"/>
      <c r="H154" s="503">
        <v>8</v>
      </c>
      <c r="I154" s="502" t="str">
        <f t="shared" si="13"/>
        <v>7432-BLD-008</v>
      </c>
      <c r="J154" s="501" t="s">
        <v>5862</v>
      </c>
      <c r="K154" s="501" t="s">
        <v>5933</v>
      </c>
      <c r="L154" s="493" t="s">
        <v>4158</v>
      </c>
      <c r="M154" s="493" t="s">
        <v>2969</v>
      </c>
      <c r="N154" s="494">
        <v>1</v>
      </c>
      <c r="O154" s="529">
        <v>9</v>
      </c>
      <c r="P154" s="500">
        <v>12</v>
      </c>
      <c r="Q154" s="500">
        <v>32</v>
      </c>
      <c r="R154" s="499">
        <v>8</v>
      </c>
      <c r="S154" s="497">
        <f t="shared" si="11"/>
        <v>384</v>
      </c>
      <c r="T154" s="498">
        <f t="shared" si="12"/>
        <v>384</v>
      </c>
      <c r="U154" s="497" t="s">
        <v>5791</v>
      </c>
      <c r="V154" s="496" t="s">
        <v>5753</v>
      </c>
      <c r="W154" s="489" t="s">
        <v>5787</v>
      </c>
      <c r="X154" s="489" t="s">
        <v>5745</v>
      </c>
      <c r="Y154" s="495" t="s">
        <v>154</v>
      </c>
      <c r="Z154" s="492" t="s">
        <v>5747</v>
      </c>
      <c r="AA154" s="495" t="s">
        <v>154</v>
      </c>
      <c r="AB154" s="495" t="s">
        <v>154</v>
      </c>
      <c r="AC154" s="495" t="s">
        <v>154</v>
      </c>
      <c r="AD154" s="494">
        <v>22</v>
      </c>
      <c r="AE154" s="493" t="s">
        <v>5746</v>
      </c>
      <c r="AF154" s="489" t="s">
        <v>154</v>
      </c>
      <c r="AG154" s="489" t="s">
        <v>154</v>
      </c>
      <c r="AH154" s="489" t="s">
        <v>5754</v>
      </c>
      <c r="AI154" s="489" t="s">
        <v>154</v>
      </c>
      <c r="AJ154" s="489" t="s">
        <v>5754</v>
      </c>
      <c r="AK154" s="489" t="s">
        <v>154</v>
      </c>
      <c r="AL154" s="489" t="s">
        <v>154</v>
      </c>
      <c r="AM154" s="491" t="s">
        <v>154</v>
      </c>
      <c r="AN154" s="490" t="s">
        <v>5747</v>
      </c>
      <c r="AO154" s="489" t="s">
        <v>2872</v>
      </c>
      <c r="AP154" s="489" t="s">
        <v>154</v>
      </c>
      <c r="AQ154" s="489" t="s">
        <v>154</v>
      </c>
      <c r="AR154" s="489" t="s">
        <v>154</v>
      </c>
      <c r="AS154" s="487"/>
      <c r="AT154" s="488"/>
      <c r="AU154" s="487"/>
      <c r="AV154" s="487"/>
      <c r="AW154" s="487"/>
      <c r="AX154" s="486"/>
      <c r="AY154" s="486"/>
      <c r="AZ154" s="486"/>
      <c r="BI154" s="485"/>
    </row>
    <row r="155" spans="1:61" ht="24" customHeight="1">
      <c r="A155" s="507"/>
      <c r="B155" s="506">
        <v>7432</v>
      </c>
      <c r="C155" s="505" t="s">
        <v>5847</v>
      </c>
      <c r="D155" s="504" t="s">
        <v>1316</v>
      </c>
      <c r="E155" s="2369" t="s">
        <v>2430</v>
      </c>
      <c r="F155" s="2369"/>
      <c r="G155" s="2369"/>
      <c r="H155" s="503">
        <v>9</v>
      </c>
      <c r="I155" s="502" t="str">
        <f t="shared" si="13"/>
        <v>7432-BLD-009</v>
      </c>
      <c r="J155" s="501" t="s">
        <v>5863</v>
      </c>
      <c r="K155" s="501"/>
      <c r="L155" s="493" t="s">
        <v>4158</v>
      </c>
      <c r="M155" s="493" t="s">
        <v>2969</v>
      </c>
      <c r="N155" s="494">
        <v>1</v>
      </c>
      <c r="O155" s="529">
        <v>10</v>
      </c>
      <c r="P155" s="500">
        <v>8</v>
      </c>
      <c r="Q155" s="500">
        <v>20</v>
      </c>
      <c r="R155" s="499">
        <v>8</v>
      </c>
      <c r="S155" s="497">
        <f t="shared" si="11"/>
        <v>160</v>
      </c>
      <c r="T155" s="498">
        <f t="shared" si="12"/>
        <v>160</v>
      </c>
      <c r="U155" s="497" t="s">
        <v>5859</v>
      </c>
      <c r="V155" s="496" t="s">
        <v>5743</v>
      </c>
      <c r="W155" s="489" t="s">
        <v>5744</v>
      </c>
      <c r="X155" s="489" t="s">
        <v>5745</v>
      </c>
      <c r="Y155" s="495" t="s">
        <v>154</v>
      </c>
      <c r="Z155" s="495" t="s">
        <v>154</v>
      </c>
      <c r="AA155" s="495" t="s">
        <v>154</v>
      </c>
      <c r="AB155" s="495" t="s">
        <v>154</v>
      </c>
      <c r="AC155" s="495" t="s">
        <v>154</v>
      </c>
      <c r="AD155" s="494">
        <v>22</v>
      </c>
      <c r="AE155" s="495" t="s">
        <v>5746</v>
      </c>
      <c r="AF155" s="492" t="s">
        <v>5747</v>
      </c>
      <c r="AG155" s="491" t="s">
        <v>154</v>
      </c>
      <c r="AH155" s="491" t="s">
        <v>154</v>
      </c>
      <c r="AI155" s="489" t="s">
        <v>154</v>
      </c>
      <c r="AJ155" s="489" t="s">
        <v>154</v>
      </c>
      <c r="AK155" s="489" t="s">
        <v>154</v>
      </c>
      <c r="AL155" s="491" t="s">
        <v>154</v>
      </c>
      <c r="AM155" s="491" t="s">
        <v>154</v>
      </c>
      <c r="AN155" s="491" t="s">
        <v>154</v>
      </c>
      <c r="AO155" s="489" t="s">
        <v>2872</v>
      </c>
      <c r="AP155" s="489" t="s">
        <v>154</v>
      </c>
      <c r="AQ155" s="489" t="s">
        <v>154</v>
      </c>
      <c r="AR155" s="489" t="s">
        <v>154</v>
      </c>
      <c r="AS155" s="487"/>
      <c r="AT155" s="488"/>
      <c r="AU155" s="487"/>
      <c r="AV155" s="487"/>
      <c r="AW155" s="487"/>
      <c r="AX155" s="486"/>
      <c r="AY155" s="486"/>
      <c r="AZ155" s="486"/>
      <c r="BI155" s="485" t="s">
        <v>5849</v>
      </c>
    </row>
    <row r="156" spans="1:61" s="508" customFormat="1" ht="24" customHeight="1">
      <c r="A156" s="528"/>
      <c r="B156" s="522">
        <v>7434</v>
      </c>
      <c r="C156" s="505" t="s">
        <v>5847</v>
      </c>
      <c r="D156" s="504" t="s">
        <v>1316</v>
      </c>
      <c r="E156" s="2369" t="s">
        <v>2430</v>
      </c>
      <c r="F156" s="2369"/>
      <c r="G156" s="2369"/>
      <c r="H156" s="527">
        <v>1</v>
      </c>
      <c r="I156" s="526" t="str">
        <f t="shared" si="13"/>
        <v>7434-BLD-001</v>
      </c>
      <c r="J156" s="525" t="s">
        <v>5864</v>
      </c>
      <c r="K156" s="524"/>
      <c r="L156" s="519" t="s">
        <v>5865</v>
      </c>
      <c r="M156" s="523"/>
      <c r="N156" s="522">
        <v>1</v>
      </c>
      <c r="O156" s="522" t="s">
        <v>5765</v>
      </c>
      <c r="P156" s="521"/>
      <c r="Q156" s="521"/>
      <c r="R156" s="521"/>
      <c r="S156" s="520"/>
      <c r="T156" s="520"/>
      <c r="U156" s="520"/>
      <c r="V156" s="519" t="s">
        <v>5866</v>
      </c>
      <c r="W156" s="518" t="s">
        <v>5744</v>
      </c>
      <c r="X156" s="518" t="s">
        <v>5836</v>
      </c>
      <c r="Y156" s="517"/>
      <c r="Z156" s="517"/>
      <c r="AA156" s="517"/>
      <c r="AB156" s="517"/>
      <c r="AC156" s="517"/>
      <c r="AD156" s="516"/>
      <c r="AE156" s="515"/>
      <c r="AF156" s="514"/>
      <c r="AG156" s="512"/>
      <c r="AH156" s="512"/>
      <c r="AI156" s="514"/>
      <c r="AJ156" s="514"/>
      <c r="AK156" s="514"/>
      <c r="AL156" s="514"/>
      <c r="AM156" s="514"/>
      <c r="AN156" s="514"/>
      <c r="AO156" s="514"/>
      <c r="AP156" s="512"/>
      <c r="AQ156" s="514"/>
      <c r="AR156" s="512"/>
      <c r="AS156" s="512"/>
      <c r="AT156" s="513"/>
      <c r="AU156" s="512"/>
      <c r="AV156" s="512"/>
      <c r="AW156" s="512"/>
      <c r="AX156" s="511"/>
      <c r="AY156" s="511"/>
      <c r="AZ156" s="511"/>
      <c r="BA156" s="510"/>
      <c r="BB156" s="510"/>
      <c r="BC156" s="510"/>
      <c r="BD156" s="510"/>
      <c r="BE156" s="510"/>
      <c r="BF156" s="510"/>
      <c r="BG156" s="510"/>
      <c r="BH156" s="510"/>
      <c r="BI156" s="509"/>
    </row>
    <row r="157" spans="1:61" ht="24" customHeight="1">
      <c r="A157" s="507"/>
      <c r="B157" s="506">
        <v>7451</v>
      </c>
      <c r="C157" s="505" t="s">
        <v>5847</v>
      </c>
      <c r="D157" s="504" t="s">
        <v>1316</v>
      </c>
      <c r="E157" s="2369" t="s">
        <v>2569</v>
      </c>
      <c r="F157" s="2369"/>
      <c r="G157" s="2369"/>
      <c r="H157" s="503">
        <v>1</v>
      </c>
      <c r="I157" s="502" t="str">
        <f t="shared" si="13"/>
        <v>7451-BLD-001</v>
      </c>
      <c r="J157" s="501" t="s">
        <v>5873</v>
      </c>
      <c r="K157" s="501"/>
      <c r="L157" s="493" t="s">
        <v>5025</v>
      </c>
      <c r="M157" s="493" t="s">
        <v>2969</v>
      </c>
      <c r="N157" s="494">
        <v>1</v>
      </c>
      <c r="O157" s="494">
        <v>5</v>
      </c>
      <c r="P157" s="500">
        <v>60</v>
      </c>
      <c r="Q157" s="500">
        <v>120</v>
      </c>
      <c r="R157" s="499">
        <v>20</v>
      </c>
      <c r="S157" s="497">
        <f>PRODUCT(Q157,P157)</f>
        <v>7200</v>
      </c>
      <c r="T157" s="498">
        <f>S157</f>
        <v>7200</v>
      </c>
      <c r="U157" s="497" t="s">
        <v>5791</v>
      </c>
      <c r="V157" s="496" t="s">
        <v>5792</v>
      </c>
      <c r="W157" s="489" t="s">
        <v>5793</v>
      </c>
      <c r="X157" s="489" t="s">
        <v>5836</v>
      </c>
      <c r="Y157" s="495" t="s">
        <v>154</v>
      </c>
      <c r="Z157" s="495" t="s">
        <v>154</v>
      </c>
      <c r="AA157" s="495" t="s">
        <v>154</v>
      </c>
      <c r="AB157" s="495" t="s">
        <v>154</v>
      </c>
      <c r="AC157" s="495" t="s">
        <v>154</v>
      </c>
      <c r="AD157" s="494">
        <v>22</v>
      </c>
      <c r="AE157" s="493" t="s">
        <v>5756</v>
      </c>
      <c r="AF157" s="492" t="s">
        <v>5747</v>
      </c>
      <c r="AG157" s="491" t="s">
        <v>154</v>
      </c>
      <c r="AH157" s="491" t="s">
        <v>154</v>
      </c>
      <c r="AI157" s="489" t="s">
        <v>154</v>
      </c>
      <c r="AJ157" s="489" t="s">
        <v>154</v>
      </c>
      <c r="AK157" s="489" t="s">
        <v>154</v>
      </c>
      <c r="AL157" s="491" t="s">
        <v>154</v>
      </c>
      <c r="AM157" s="491" t="s">
        <v>154</v>
      </c>
      <c r="AN157" s="490" t="s">
        <v>5747</v>
      </c>
      <c r="AO157" s="489" t="s">
        <v>2872</v>
      </c>
      <c r="AP157" s="489" t="s">
        <v>154</v>
      </c>
      <c r="AQ157" s="489" t="s">
        <v>154</v>
      </c>
      <c r="AR157" s="489" t="s">
        <v>154</v>
      </c>
      <c r="AS157" s="487"/>
      <c r="AT157" s="488"/>
      <c r="AU157" s="487"/>
      <c r="AV157" s="487"/>
      <c r="AW157" s="487"/>
      <c r="AX157" s="486"/>
      <c r="AY157" s="486"/>
      <c r="AZ157" s="486"/>
      <c r="BI157" s="485" t="s">
        <v>5849</v>
      </c>
    </row>
    <row r="158" spans="1:61" s="463" customFormat="1" ht="12" customHeight="1">
      <c r="B158" s="464"/>
      <c r="C158" s="464"/>
      <c r="D158" s="464"/>
      <c r="E158" s="464"/>
      <c r="F158" s="464"/>
      <c r="G158" s="464"/>
      <c r="H158" s="464"/>
      <c r="I158" s="464"/>
      <c r="J158" s="46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464"/>
      <c r="AL158" s="464"/>
      <c r="AM158" s="464"/>
      <c r="AN158" s="464"/>
      <c r="AO158" s="464"/>
      <c r="AP158" s="464"/>
      <c r="AQ158" s="464"/>
      <c r="AR158" s="464"/>
      <c r="AS158" s="465">
        <f>SUBTOTAL(9,AS25:AS157)</f>
        <v>288</v>
      </c>
      <c r="AT158" s="466"/>
      <c r="AU158" s="465"/>
      <c r="AV158" s="465"/>
      <c r="AW158" s="465"/>
      <c r="AX158" s="464"/>
      <c r="AY158" s="464"/>
      <c r="AZ158" s="464"/>
      <c r="BA158" s="464"/>
      <c r="BB158" s="464"/>
      <c r="BC158" s="464"/>
      <c r="BD158" s="464"/>
      <c r="BE158" s="464"/>
      <c r="BF158" s="464"/>
      <c r="BG158" s="464"/>
      <c r="BH158" s="464"/>
      <c r="BI158" s="464"/>
    </row>
    <row r="159" spans="1:61" s="463" customFormat="1" ht="12.75" customHeight="1" thickBot="1">
      <c r="B159" s="464"/>
      <c r="C159" s="464"/>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464"/>
      <c r="AL159" s="464"/>
      <c r="AM159" s="464"/>
      <c r="AN159" s="464"/>
      <c r="AO159" s="464"/>
      <c r="AP159" s="464"/>
      <c r="AQ159" s="464"/>
      <c r="AR159" s="464"/>
      <c r="AS159" s="465"/>
      <c r="AT159" s="466"/>
      <c r="AU159" s="465"/>
      <c r="AV159" s="465"/>
      <c r="AW159" s="465"/>
      <c r="AX159" s="464"/>
      <c r="AY159" s="464"/>
      <c r="AZ159" s="464"/>
      <c r="BA159" s="464"/>
      <c r="BB159" s="464"/>
      <c r="BC159" s="464"/>
      <c r="BD159" s="464"/>
      <c r="BE159" s="464"/>
      <c r="BF159" s="464"/>
      <c r="BG159" s="464"/>
      <c r="BH159" s="464"/>
      <c r="BI159" s="464"/>
    </row>
    <row r="160" spans="1:61" s="463" customFormat="1" ht="35.15" customHeight="1" thickBot="1">
      <c r="A160" s="464"/>
      <c r="B160" s="2370"/>
      <c r="C160" s="2352"/>
      <c r="D160" s="484"/>
      <c r="E160" s="483"/>
      <c r="F160" s="2370"/>
      <c r="G160" s="2351"/>
      <c r="H160" s="2370"/>
      <c r="I160" s="2352"/>
      <c r="J160" s="482"/>
      <c r="K160" s="482"/>
      <c r="L160" s="481"/>
      <c r="N160" s="2360" t="s">
        <v>3477</v>
      </c>
      <c r="O160" s="2361"/>
      <c r="P160" s="2361"/>
      <c r="Q160" s="2361"/>
      <c r="R160" s="2361"/>
      <c r="S160" s="2361"/>
      <c r="T160" s="2361"/>
      <c r="U160" s="2361"/>
      <c r="V160" s="2362"/>
      <c r="W160" s="456"/>
      <c r="X160" s="2363" t="s">
        <v>5934</v>
      </c>
      <c r="Y160" s="2364"/>
      <c r="Z160" s="2364"/>
      <c r="AA160" s="2364"/>
      <c r="AB160" s="2364"/>
      <c r="AC160" s="2365"/>
      <c r="AD160" s="464"/>
      <c r="AE160" s="2363" t="s">
        <v>5935</v>
      </c>
      <c r="AF160" s="2364"/>
      <c r="AG160" s="2364"/>
      <c r="AH160" s="2364"/>
      <c r="AI160" s="2364"/>
      <c r="AJ160" s="2364"/>
      <c r="AK160" s="2365"/>
      <c r="AL160" s="464"/>
      <c r="AM160" s="2363" t="s">
        <v>5936</v>
      </c>
      <c r="AN160" s="2364"/>
      <c r="AO160" s="2364"/>
      <c r="AP160" s="2364"/>
      <c r="AQ160" s="2364"/>
      <c r="AR160" s="2365"/>
      <c r="AS160" s="465"/>
      <c r="AT160" s="466"/>
      <c r="AU160" s="465"/>
      <c r="AV160" s="465"/>
      <c r="AW160" s="465"/>
      <c r="AX160" s="464"/>
      <c r="AY160" s="464"/>
      <c r="AZ160" s="464"/>
      <c r="BA160" s="464"/>
      <c r="BB160" s="464"/>
      <c r="BC160" s="464"/>
      <c r="BD160" s="464"/>
      <c r="BE160" s="464"/>
      <c r="BF160" s="464"/>
      <c r="BG160" s="464"/>
      <c r="BH160" s="464"/>
      <c r="BI160" s="464"/>
    </row>
    <row r="161" spans="1:61" s="463" customFormat="1" ht="35.15" customHeight="1">
      <c r="A161" s="464"/>
      <c r="B161" s="2333"/>
      <c r="C161" s="2346"/>
      <c r="D161" s="477">
        <v>4</v>
      </c>
      <c r="E161" s="476" t="s">
        <v>5937</v>
      </c>
      <c r="F161" s="2335"/>
      <c r="G161" s="2334"/>
      <c r="H161" s="2335"/>
      <c r="I161" s="2334"/>
      <c r="J161" s="475"/>
      <c r="K161" s="475"/>
      <c r="L161" s="481"/>
      <c r="N161" s="2366" t="s">
        <v>5938</v>
      </c>
      <c r="O161" s="2367"/>
      <c r="P161" s="2367"/>
      <c r="Q161" s="2367"/>
      <c r="R161" s="2367"/>
      <c r="S161" s="2367"/>
      <c r="T161" s="2367"/>
      <c r="U161" s="2367"/>
      <c r="V161" s="2368"/>
      <c r="W161" s="456"/>
      <c r="X161" s="474" t="s">
        <v>5792</v>
      </c>
      <c r="Y161" s="2340" t="s">
        <v>5939</v>
      </c>
      <c r="Z161" s="2340"/>
      <c r="AA161" s="2340"/>
      <c r="AB161" s="2340"/>
      <c r="AC161" s="2341"/>
      <c r="AD161" s="464"/>
      <c r="AE161" s="480" t="s">
        <v>5744</v>
      </c>
      <c r="AF161" s="2350" t="s">
        <v>5940</v>
      </c>
      <c r="AG161" s="2351"/>
      <c r="AH161" s="2351"/>
      <c r="AI161" s="2351"/>
      <c r="AJ161" s="2351"/>
      <c r="AK161" s="2352"/>
      <c r="AL161" s="464"/>
      <c r="AM161" s="480" t="s">
        <v>5800</v>
      </c>
      <c r="AN161" s="2350" t="s">
        <v>5941</v>
      </c>
      <c r="AO161" s="2351"/>
      <c r="AP161" s="2351"/>
      <c r="AQ161" s="2351"/>
      <c r="AR161" s="2352"/>
      <c r="AS161" s="465"/>
      <c r="AT161" s="466"/>
      <c r="AU161" s="465"/>
      <c r="AV161" s="465"/>
      <c r="AW161" s="465"/>
      <c r="AX161" s="464"/>
      <c r="AY161" s="464"/>
      <c r="AZ161" s="464"/>
      <c r="BA161" s="464"/>
      <c r="BB161" s="464"/>
      <c r="BC161" s="464"/>
      <c r="BD161" s="464"/>
      <c r="BE161" s="464"/>
      <c r="BF161" s="464"/>
      <c r="BG161" s="464"/>
      <c r="BH161" s="464"/>
      <c r="BI161" s="464"/>
    </row>
    <row r="162" spans="1:61" s="463" customFormat="1" ht="35.15" customHeight="1">
      <c r="B162" s="2333" t="s">
        <v>5942</v>
      </c>
      <c r="C162" s="2346"/>
      <c r="D162" s="479">
        <v>3</v>
      </c>
      <c r="E162" s="476" t="s">
        <v>5592</v>
      </c>
      <c r="F162" s="2353" t="s">
        <v>5593</v>
      </c>
      <c r="G162" s="2354"/>
      <c r="H162" s="2335" t="s">
        <v>5943</v>
      </c>
      <c r="I162" s="2334"/>
      <c r="J162" s="475" t="s">
        <v>5595</v>
      </c>
      <c r="K162" s="475" t="s">
        <v>5596</v>
      </c>
      <c r="L162" s="464"/>
      <c r="N162" s="2355" t="s">
        <v>5944</v>
      </c>
      <c r="O162" s="2356"/>
      <c r="P162" s="2356"/>
      <c r="Q162" s="2356"/>
      <c r="R162" s="2356"/>
      <c r="S162" s="2356"/>
      <c r="T162" s="2356"/>
      <c r="U162" s="2356"/>
      <c r="V162" s="2357"/>
      <c r="W162" s="456"/>
      <c r="X162" s="478" t="s">
        <v>5866</v>
      </c>
      <c r="Y162" s="2358" t="s">
        <v>5945</v>
      </c>
      <c r="Z162" s="2358"/>
      <c r="AA162" s="2358"/>
      <c r="AB162" s="2358"/>
      <c r="AC162" s="2359"/>
      <c r="AD162" s="464"/>
      <c r="AE162" s="474" t="s">
        <v>5946</v>
      </c>
      <c r="AF162" s="2345" t="s">
        <v>5947</v>
      </c>
      <c r="AG162" s="2336"/>
      <c r="AH162" s="2336"/>
      <c r="AI162" s="2336"/>
      <c r="AJ162" s="2336"/>
      <c r="AK162" s="2334"/>
      <c r="AL162" s="464"/>
      <c r="AM162" s="474" t="s">
        <v>5794</v>
      </c>
      <c r="AN162" s="2345" t="s">
        <v>5948</v>
      </c>
      <c r="AO162" s="2336"/>
      <c r="AP162" s="2336"/>
      <c r="AQ162" s="2336"/>
      <c r="AR162" s="2334"/>
      <c r="AS162" s="465"/>
      <c r="AT162" s="466"/>
      <c r="AU162" s="465"/>
      <c r="AV162" s="465"/>
      <c r="AW162" s="465"/>
      <c r="AX162" s="464"/>
      <c r="AY162" s="464"/>
      <c r="AZ162" s="464"/>
      <c r="BA162" s="464"/>
      <c r="BB162" s="464"/>
      <c r="BC162" s="464"/>
      <c r="BD162" s="464"/>
      <c r="BE162" s="464"/>
      <c r="BF162" s="464"/>
      <c r="BG162" s="464"/>
      <c r="BH162" s="464"/>
      <c r="BI162" s="464"/>
    </row>
    <row r="163" spans="1:61" s="463" customFormat="1" ht="35.15" customHeight="1">
      <c r="B163" s="2333" t="s">
        <v>5949</v>
      </c>
      <c r="C163" s="2346"/>
      <c r="D163" s="477">
        <v>2</v>
      </c>
      <c r="E163" s="476" t="s">
        <v>5592</v>
      </c>
      <c r="F163" s="2335" t="s">
        <v>5950</v>
      </c>
      <c r="G163" s="2334"/>
      <c r="H163" s="2335" t="s">
        <v>5943</v>
      </c>
      <c r="I163" s="2334"/>
      <c r="J163" s="475" t="s">
        <v>5595</v>
      </c>
      <c r="K163" s="475" t="s">
        <v>5596</v>
      </c>
      <c r="L163" s="464"/>
      <c r="N163" s="2347"/>
      <c r="O163" s="2348"/>
      <c r="P163" s="2348"/>
      <c r="Q163" s="2348"/>
      <c r="R163" s="2348"/>
      <c r="S163" s="2348"/>
      <c r="T163" s="2348"/>
      <c r="U163" s="2348"/>
      <c r="V163" s="2349"/>
      <c r="W163" s="456"/>
      <c r="X163" s="474" t="s">
        <v>5743</v>
      </c>
      <c r="Y163" s="2340" t="s">
        <v>5951</v>
      </c>
      <c r="Z163" s="2340"/>
      <c r="AA163" s="2340"/>
      <c r="AB163" s="2340"/>
      <c r="AC163" s="2341"/>
      <c r="AD163" s="464"/>
      <c r="AE163" s="474" t="s">
        <v>5793</v>
      </c>
      <c r="AF163" s="2345" t="s">
        <v>5952</v>
      </c>
      <c r="AG163" s="2336"/>
      <c r="AH163" s="2336"/>
      <c r="AI163" s="2336"/>
      <c r="AJ163" s="2336"/>
      <c r="AK163" s="2334"/>
      <c r="AL163" s="464"/>
      <c r="AM163" s="474" t="s">
        <v>5836</v>
      </c>
      <c r="AN163" s="2345" t="s">
        <v>5953</v>
      </c>
      <c r="AO163" s="2336"/>
      <c r="AP163" s="2336"/>
      <c r="AQ163" s="2336"/>
      <c r="AR163" s="2334"/>
      <c r="AS163" s="465"/>
      <c r="AT163" s="466"/>
      <c r="AU163" s="465"/>
      <c r="AV163" s="465"/>
      <c r="AW163" s="465"/>
      <c r="AX163" s="464"/>
      <c r="AY163" s="464"/>
      <c r="AZ163" s="464"/>
      <c r="BA163" s="464"/>
      <c r="BB163" s="464"/>
      <c r="BC163" s="464"/>
      <c r="BD163" s="464"/>
      <c r="BE163" s="464"/>
      <c r="BF163" s="464"/>
      <c r="BG163" s="464"/>
      <c r="BH163" s="464"/>
      <c r="BI163" s="464"/>
    </row>
    <row r="164" spans="1:61" s="463" customFormat="1" ht="35.15" customHeight="1" thickBot="1">
      <c r="B164" s="2333" t="s">
        <v>5954</v>
      </c>
      <c r="C164" s="2346"/>
      <c r="D164" s="477">
        <v>1</v>
      </c>
      <c r="E164" s="476" t="s">
        <v>5592</v>
      </c>
      <c r="F164" s="2335" t="s">
        <v>5950</v>
      </c>
      <c r="G164" s="2334"/>
      <c r="H164" s="2335" t="s">
        <v>5943</v>
      </c>
      <c r="I164" s="2334"/>
      <c r="J164" s="475" t="s">
        <v>5595</v>
      </c>
      <c r="K164" s="475" t="s">
        <v>5596</v>
      </c>
      <c r="L164" s="464"/>
      <c r="N164" s="2347"/>
      <c r="O164" s="2348"/>
      <c r="P164" s="2348"/>
      <c r="Q164" s="2348"/>
      <c r="R164" s="2348"/>
      <c r="S164" s="2348"/>
      <c r="T164" s="2348"/>
      <c r="U164" s="2348"/>
      <c r="V164" s="2349"/>
      <c r="W164" s="456"/>
      <c r="X164" s="474" t="s">
        <v>5753</v>
      </c>
      <c r="Y164" s="2340" t="s">
        <v>5955</v>
      </c>
      <c r="Z164" s="2340"/>
      <c r="AA164" s="2340"/>
      <c r="AB164" s="2340"/>
      <c r="AC164" s="2341"/>
      <c r="AD164" s="464"/>
      <c r="AE164" s="471" t="s">
        <v>5787</v>
      </c>
      <c r="AF164" s="2342" t="s">
        <v>5956</v>
      </c>
      <c r="AG164" s="2343"/>
      <c r="AH164" s="2343"/>
      <c r="AI164" s="2343"/>
      <c r="AJ164" s="2343"/>
      <c r="AK164" s="2344"/>
      <c r="AL164" s="464"/>
      <c r="AM164" s="474" t="s">
        <v>5745</v>
      </c>
      <c r="AN164" s="2345" t="s">
        <v>5957</v>
      </c>
      <c r="AO164" s="2336"/>
      <c r="AP164" s="2336"/>
      <c r="AQ164" s="2336"/>
      <c r="AR164" s="2334"/>
      <c r="AS164" s="465"/>
      <c r="AT164" s="466"/>
      <c r="AU164" s="465"/>
      <c r="AV164" s="465"/>
      <c r="AW164" s="465"/>
      <c r="AX164" s="464"/>
      <c r="AY164" s="464"/>
      <c r="AZ164" s="464"/>
      <c r="BA164" s="464"/>
      <c r="BB164" s="464"/>
      <c r="BC164" s="464"/>
      <c r="BD164" s="464"/>
      <c r="BE164" s="464"/>
      <c r="BF164" s="464"/>
      <c r="BG164" s="464"/>
      <c r="BH164" s="464"/>
      <c r="BI164" s="464"/>
    </row>
    <row r="165" spans="1:61" s="463" customFormat="1" ht="35.15" customHeight="1" thickBot="1">
      <c r="B165" s="2333" t="s">
        <v>5958</v>
      </c>
      <c r="C165" s="2334"/>
      <c r="D165" s="477">
        <v>0</v>
      </c>
      <c r="E165" s="476" t="s">
        <v>5592</v>
      </c>
      <c r="F165" s="2335" t="s">
        <v>5950</v>
      </c>
      <c r="G165" s="2336"/>
      <c r="H165" s="2335" t="s">
        <v>5959</v>
      </c>
      <c r="I165" s="2334"/>
      <c r="J165" s="475" t="s">
        <v>5595</v>
      </c>
      <c r="K165" s="475" t="s">
        <v>5596</v>
      </c>
      <c r="L165" s="464"/>
      <c r="N165" s="2337"/>
      <c r="O165" s="2338"/>
      <c r="P165" s="2338"/>
      <c r="Q165" s="2338"/>
      <c r="R165" s="2338"/>
      <c r="S165" s="2338"/>
      <c r="T165" s="2338"/>
      <c r="U165" s="2338"/>
      <c r="V165" s="2339"/>
      <c r="W165" s="456"/>
      <c r="X165" s="474" t="s">
        <v>5786</v>
      </c>
      <c r="Y165" s="2340" t="s">
        <v>5960</v>
      </c>
      <c r="Z165" s="2340"/>
      <c r="AA165" s="2340"/>
      <c r="AB165" s="2340"/>
      <c r="AC165" s="2341"/>
      <c r="AD165" s="464"/>
      <c r="AE165" s="464"/>
      <c r="AF165" s="464"/>
      <c r="AG165" s="464"/>
      <c r="AH165" s="464"/>
      <c r="AI165" s="464"/>
      <c r="AJ165" s="464"/>
      <c r="AK165" s="464"/>
      <c r="AL165" s="464"/>
      <c r="AM165" s="471" t="s">
        <v>154</v>
      </c>
      <c r="AN165" s="2342" t="s">
        <v>5961</v>
      </c>
      <c r="AO165" s="2343"/>
      <c r="AP165" s="2343"/>
      <c r="AQ165" s="2343"/>
      <c r="AR165" s="2344"/>
      <c r="AS165" s="465"/>
      <c r="AT165" s="466"/>
      <c r="AU165" s="465"/>
      <c r="AV165" s="465"/>
      <c r="AW165" s="465"/>
      <c r="AX165" s="464"/>
      <c r="AY165" s="464"/>
      <c r="AZ165" s="464"/>
      <c r="BA165" s="464"/>
      <c r="BB165" s="464"/>
      <c r="BC165" s="464"/>
      <c r="BD165" s="464"/>
      <c r="BE165" s="464"/>
      <c r="BF165" s="464"/>
      <c r="BG165" s="464"/>
      <c r="BH165" s="464"/>
      <c r="BI165" s="464"/>
    </row>
    <row r="166" spans="1:61" s="463" customFormat="1" ht="27.75" customHeight="1" thickBot="1">
      <c r="B166" s="2328" t="s">
        <v>5597</v>
      </c>
      <c r="C166" s="2329"/>
      <c r="D166" s="473" t="s">
        <v>3656</v>
      </c>
      <c r="E166" s="472" t="s">
        <v>5599</v>
      </c>
      <c r="F166" s="2328" t="s">
        <v>5600</v>
      </c>
      <c r="G166" s="2330"/>
      <c r="H166" s="2330" t="s">
        <v>5601</v>
      </c>
      <c r="I166" s="2330"/>
      <c r="J166" s="472" t="s">
        <v>5602</v>
      </c>
      <c r="K166" s="472" t="s">
        <v>5602</v>
      </c>
      <c r="L166" s="464"/>
      <c r="M166" s="464"/>
      <c r="N166" s="464"/>
      <c r="O166" s="464"/>
      <c r="P166" s="464"/>
      <c r="Q166" s="464"/>
      <c r="R166" s="464"/>
      <c r="S166" s="464"/>
      <c r="T166" s="464"/>
      <c r="U166" s="464"/>
      <c r="V166" s="456"/>
      <c r="W166" s="469"/>
      <c r="X166" s="471" t="s">
        <v>5761</v>
      </c>
      <c r="Y166" s="2331" t="s">
        <v>5962</v>
      </c>
      <c r="Z166" s="2331"/>
      <c r="AA166" s="2331"/>
      <c r="AB166" s="2331"/>
      <c r="AC166" s="2332"/>
      <c r="AD166" s="456"/>
      <c r="AE166" s="456"/>
      <c r="AF166" s="456"/>
      <c r="AG166" s="456"/>
      <c r="AH166" s="456"/>
      <c r="AI166" s="456"/>
      <c r="AJ166" s="464"/>
      <c r="AK166" s="464"/>
      <c r="AL166" s="464"/>
      <c r="AM166" s="464"/>
      <c r="AN166" s="464"/>
      <c r="AO166" s="464"/>
      <c r="AP166" s="464"/>
      <c r="AQ166" s="464"/>
      <c r="AR166" s="464"/>
      <c r="AS166" s="465"/>
      <c r="AT166" s="466"/>
      <c r="AU166" s="465"/>
      <c r="AV166" s="465"/>
      <c r="AW166" s="465"/>
      <c r="AX166" s="464"/>
      <c r="AY166" s="464"/>
      <c r="AZ166" s="464"/>
      <c r="BA166" s="464"/>
      <c r="BB166" s="464"/>
      <c r="BC166" s="464"/>
      <c r="BD166" s="464"/>
      <c r="BE166" s="464"/>
      <c r="BF166" s="464"/>
      <c r="BG166" s="464"/>
      <c r="BH166" s="464"/>
      <c r="BI166" s="464"/>
    </row>
    <row r="167" spans="1:61" s="463" customFormat="1" ht="1.5" customHeight="1">
      <c r="B167" s="468"/>
      <c r="C167" s="470"/>
      <c r="D167" s="469"/>
      <c r="E167" s="469"/>
      <c r="F167" s="469"/>
      <c r="G167" s="464"/>
      <c r="H167" s="464"/>
      <c r="I167" s="468"/>
      <c r="J167" s="456"/>
      <c r="K167" s="456"/>
      <c r="L167" s="464"/>
      <c r="M167" s="456"/>
      <c r="N167" s="459"/>
      <c r="O167" s="459"/>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64"/>
      <c r="AK167" s="464"/>
      <c r="AL167" s="464"/>
      <c r="AM167" s="464"/>
      <c r="AN167" s="464"/>
      <c r="AO167" s="464"/>
      <c r="AP167" s="464"/>
      <c r="AQ167" s="464"/>
      <c r="AR167" s="464"/>
      <c r="AS167" s="465"/>
      <c r="AT167" s="466"/>
      <c r="AU167" s="465"/>
      <c r="AV167" s="465"/>
      <c r="AW167" s="465"/>
      <c r="AX167" s="464"/>
      <c r="AY167" s="464"/>
      <c r="AZ167" s="464"/>
      <c r="BA167" s="464"/>
      <c r="BB167" s="464"/>
      <c r="BC167" s="464"/>
      <c r="BD167" s="464"/>
      <c r="BE167" s="464"/>
      <c r="BF167" s="464"/>
      <c r="BG167" s="464"/>
      <c r="BH167" s="464"/>
      <c r="BI167" s="464"/>
    </row>
    <row r="168" spans="1:61" s="463" customFormat="1" ht="20.25" hidden="1" customHeight="1">
      <c r="B168" s="468"/>
      <c r="C168" s="470"/>
      <c r="D168" s="469"/>
      <c r="E168" s="469"/>
      <c r="F168" s="469"/>
      <c r="G168" s="464"/>
      <c r="H168" s="464"/>
      <c r="I168" s="468"/>
      <c r="J168" s="456"/>
      <c r="K168" s="456"/>
      <c r="L168" s="456"/>
      <c r="M168" s="456"/>
      <c r="N168" s="459"/>
      <c r="O168" s="459"/>
      <c r="P168" s="456"/>
      <c r="Q168" s="456"/>
      <c r="R168" s="456"/>
      <c r="S168" s="456"/>
      <c r="T168" s="456"/>
      <c r="U168" s="456"/>
      <c r="V168" s="456"/>
      <c r="W168" s="464"/>
      <c r="X168" s="464"/>
      <c r="Y168" s="464"/>
      <c r="Z168" s="464"/>
      <c r="AA168" s="464"/>
      <c r="AB168" s="464"/>
      <c r="AC168" s="464"/>
      <c r="AD168" s="456"/>
      <c r="AE168" s="456"/>
      <c r="AF168" s="456"/>
      <c r="AG168" s="456"/>
      <c r="AH168" s="456"/>
      <c r="AI168" s="456"/>
      <c r="AJ168" s="464"/>
      <c r="AK168" s="464"/>
      <c r="AL168" s="464"/>
      <c r="AM168" s="464"/>
      <c r="AN168" s="464"/>
      <c r="AO168" s="464"/>
      <c r="AP168" s="464"/>
      <c r="AQ168" s="464"/>
      <c r="AR168" s="464"/>
      <c r="AS168" s="465"/>
      <c r="AT168" s="466"/>
      <c r="AU168" s="465"/>
      <c r="AV168" s="465"/>
      <c r="AW168" s="465"/>
      <c r="AX168" s="464"/>
      <c r="AY168" s="464"/>
      <c r="AZ168" s="464"/>
      <c r="BA168" s="464"/>
      <c r="BB168" s="464"/>
      <c r="BC168" s="464"/>
      <c r="BD168" s="464"/>
      <c r="BE168" s="464"/>
      <c r="BF168" s="464"/>
      <c r="BG168" s="464"/>
      <c r="BH168" s="464"/>
      <c r="BI168" s="464"/>
    </row>
    <row r="169" spans="1:61" s="463" customFormat="1" ht="20.25" customHeight="1">
      <c r="B169" s="467"/>
      <c r="C169" s="467"/>
      <c r="D169" s="464"/>
      <c r="E169" s="464"/>
      <c r="F169" s="464"/>
      <c r="G169" s="464"/>
      <c r="H169" s="468"/>
      <c r="I169" s="468"/>
      <c r="J169" s="464"/>
      <c r="K169" s="464"/>
      <c r="L169" s="456"/>
      <c r="M169" s="464"/>
      <c r="N169" s="467"/>
      <c r="O169" s="467"/>
      <c r="P169" s="464"/>
      <c r="Q169" s="464"/>
      <c r="R169" s="464"/>
      <c r="S169" s="464"/>
      <c r="T169" s="464"/>
      <c r="U169" s="464"/>
      <c r="V169" s="464"/>
      <c r="W169" s="456"/>
      <c r="X169" s="456"/>
      <c r="Y169" s="456"/>
      <c r="Z169" s="456"/>
      <c r="AA169" s="456"/>
      <c r="AB169" s="456"/>
      <c r="AC169" s="456"/>
      <c r="AD169" s="464"/>
      <c r="AE169" s="464"/>
      <c r="AF169" s="464"/>
      <c r="AG169" s="464"/>
      <c r="AH169" s="464"/>
      <c r="AI169" s="464"/>
      <c r="AJ169" s="464"/>
      <c r="AK169" s="464"/>
      <c r="AL169" s="464"/>
      <c r="AM169" s="464"/>
      <c r="AN169" s="464"/>
      <c r="AO169" s="464"/>
      <c r="AP169" s="464"/>
      <c r="AQ169" s="464"/>
      <c r="AR169" s="464"/>
      <c r="AS169" s="465"/>
      <c r="AT169" s="466"/>
      <c r="AU169" s="465"/>
      <c r="AV169" s="465"/>
      <c r="AW169" s="465"/>
      <c r="AX169" s="464"/>
      <c r="AY169" s="464"/>
      <c r="AZ169" s="464"/>
      <c r="BA169" s="464"/>
      <c r="BB169" s="464"/>
      <c r="BC169" s="464"/>
      <c r="BD169" s="464"/>
      <c r="BE169" s="464"/>
      <c r="BF169" s="464"/>
      <c r="BG169" s="464"/>
      <c r="BH169" s="464"/>
      <c r="BI169" s="464"/>
    </row>
    <row r="170" spans="1:61" s="463" customFormat="1">
      <c r="B170" s="459"/>
      <c r="C170" s="459"/>
      <c r="D170" s="456"/>
      <c r="E170" s="456"/>
      <c r="F170" s="456"/>
      <c r="G170" s="456"/>
      <c r="H170" s="460"/>
      <c r="I170" s="460"/>
      <c r="J170" s="456"/>
      <c r="K170" s="456"/>
      <c r="L170" s="464"/>
      <c r="M170" s="456"/>
      <c r="N170" s="459"/>
      <c r="O170" s="459"/>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64"/>
      <c r="AS170" s="465"/>
      <c r="AT170" s="466"/>
      <c r="AU170" s="465"/>
      <c r="AV170" s="465"/>
      <c r="AW170" s="465"/>
      <c r="AX170" s="464"/>
      <c r="AY170" s="464"/>
      <c r="AZ170" s="464"/>
      <c r="BA170" s="464"/>
      <c r="BB170" s="464"/>
      <c r="BC170" s="464"/>
      <c r="BD170" s="464"/>
      <c r="BE170" s="464"/>
      <c r="BF170" s="464"/>
      <c r="BG170" s="464"/>
      <c r="BH170" s="464"/>
      <c r="BI170" s="464"/>
    </row>
    <row r="171" spans="1:61">
      <c r="B171" s="462"/>
      <c r="C171" s="462"/>
      <c r="D171" s="462"/>
      <c r="E171" s="462"/>
      <c r="F171" s="462"/>
      <c r="G171" s="462"/>
      <c r="H171" s="462"/>
      <c r="I171" s="462"/>
      <c r="J171" s="462"/>
      <c r="K171" s="461"/>
    </row>
    <row r="172" spans="1:61" ht="35.15" customHeight="1">
      <c r="B172" s="455"/>
      <c r="C172" s="455"/>
      <c r="D172" s="455"/>
      <c r="E172" s="455"/>
      <c r="F172" s="455"/>
      <c r="G172" s="455"/>
      <c r="H172" s="455"/>
      <c r="I172" s="455"/>
      <c r="J172" s="455"/>
      <c r="K172" s="455"/>
    </row>
    <row r="173" spans="1:61" ht="35.15" customHeight="1">
      <c r="B173" s="455"/>
      <c r="C173" s="455"/>
      <c r="D173" s="455"/>
      <c r="E173" s="455"/>
      <c r="F173" s="455"/>
      <c r="G173" s="455"/>
      <c r="H173" s="455"/>
      <c r="I173" s="455"/>
      <c r="J173" s="455"/>
      <c r="K173" s="455"/>
      <c r="M173" s="455"/>
      <c r="N173" s="455"/>
      <c r="O173" s="455"/>
      <c r="P173" s="455"/>
      <c r="Q173" s="455"/>
      <c r="R173" s="455"/>
      <c r="S173" s="455"/>
      <c r="T173" s="455"/>
      <c r="U173" s="455"/>
      <c r="V173" s="455"/>
      <c r="W173" s="455"/>
      <c r="AD173" s="455"/>
      <c r="AE173" s="455"/>
      <c r="AF173" s="455"/>
      <c r="AG173" s="455"/>
      <c r="AH173" s="455"/>
      <c r="AI173" s="455"/>
      <c r="AJ173" s="455"/>
      <c r="AK173" s="455"/>
      <c r="AL173" s="455"/>
      <c r="AM173" s="455"/>
      <c r="AN173" s="455"/>
      <c r="AO173" s="455"/>
      <c r="AP173" s="455"/>
      <c r="AQ173" s="455"/>
    </row>
    <row r="174" spans="1:61" ht="35.15" customHeight="1">
      <c r="B174" s="455"/>
      <c r="C174" s="455"/>
      <c r="D174" s="455"/>
      <c r="E174" s="455"/>
      <c r="F174" s="455"/>
      <c r="G174" s="455"/>
      <c r="H174" s="455"/>
      <c r="I174" s="455"/>
      <c r="J174" s="455"/>
      <c r="K174" s="455"/>
      <c r="M174" s="455"/>
      <c r="N174" s="455"/>
      <c r="O174" s="455"/>
      <c r="P174" s="455"/>
      <c r="Q174" s="455"/>
      <c r="R174" s="455"/>
      <c r="S174" s="455"/>
      <c r="T174" s="455"/>
      <c r="U174" s="455"/>
      <c r="V174" s="455"/>
      <c r="W174" s="455"/>
      <c r="AD174" s="455"/>
      <c r="AE174" s="455"/>
      <c r="AF174" s="455"/>
      <c r="AG174" s="455"/>
      <c r="AH174" s="455"/>
      <c r="AI174" s="455"/>
      <c r="AJ174" s="455"/>
      <c r="AK174" s="455"/>
      <c r="AL174" s="455"/>
      <c r="AM174" s="455"/>
      <c r="AN174" s="455"/>
      <c r="AO174" s="455"/>
      <c r="AP174" s="455"/>
      <c r="AQ174" s="455"/>
    </row>
    <row r="175" spans="1:61" ht="35.15" customHeight="1">
      <c r="B175" s="455"/>
      <c r="C175" s="455"/>
      <c r="D175" s="455"/>
      <c r="E175" s="455"/>
      <c r="F175" s="455"/>
      <c r="G175" s="455"/>
      <c r="H175" s="455"/>
      <c r="I175" s="455"/>
      <c r="J175" s="455"/>
      <c r="K175" s="455"/>
      <c r="M175" s="455"/>
      <c r="N175" s="455"/>
      <c r="O175" s="455"/>
      <c r="P175" s="455"/>
      <c r="Q175" s="455"/>
      <c r="R175" s="455"/>
      <c r="S175" s="455"/>
      <c r="T175" s="455"/>
      <c r="U175" s="455"/>
      <c r="V175" s="455"/>
      <c r="W175" s="455"/>
      <c r="AD175" s="455"/>
      <c r="AE175" s="455"/>
      <c r="AF175" s="455"/>
      <c r="AG175" s="455"/>
      <c r="AH175" s="455"/>
      <c r="AI175" s="455"/>
      <c r="AJ175" s="455"/>
      <c r="AK175" s="455"/>
      <c r="AL175" s="455"/>
      <c r="AM175" s="455"/>
      <c r="AN175" s="455"/>
      <c r="AO175" s="455"/>
      <c r="AP175" s="455"/>
      <c r="AQ175" s="455"/>
    </row>
    <row r="176" spans="1:61" ht="35.15" customHeight="1">
      <c r="B176" s="455"/>
      <c r="C176" s="455"/>
      <c r="D176" s="455"/>
      <c r="E176" s="455"/>
      <c r="F176" s="455"/>
      <c r="G176" s="455"/>
      <c r="H176" s="455"/>
      <c r="I176" s="455"/>
      <c r="J176" s="455"/>
      <c r="K176" s="455"/>
      <c r="M176" s="455"/>
      <c r="N176" s="455"/>
      <c r="O176" s="455"/>
      <c r="P176" s="455"/>
      <c r="Q176" s="455"/>
      <c r="R176" s="455"/>
      <c r="S176" s="455"/>
      <c r="T176" s="455"/>
      <c r="U176" s="455"/>
      <c r="V176" s="455"/>
      <c r="W176" s="455"/>
      <c r="X176" s="455"/>
      <c r="Y176" s="455"/>
      <c r="Z176" s="455"/>
      <c r="AA176" s="455"/>
      <c r="AB176" s="455"/>
      <c r="AC176" s="455"/>
      <c r="AD176" s="455"/>
      <c r="AE176" s="455"/>
      <c r="AF176" s="455"/>
      <c r="AG176" s="455"/>
      <c r="AH176" s="455"/>
      <c r="AI176" s="455"/>
      <c r="AJ176" s="455"/>
      <c r="AK176" s="455"/>
      <c r="AL176" s="455"/>
      <c r="AM176" s="455"/>
      <c r="AN176" s="455"/>
      <c r="AO176" s="455"/>
      <c r="AP176" s="455"/>
      <c r="AQ176" s="455"/>
    </row>
    <row r="177" spans="12:12" s="455" customFormat="1" ht="35.15" customHeight="1">
      <c r="L177" s="456"/>
    </row>
    <row r="178" spans="12:12" s="455" customFormat="1" ht="35.15" customHeight="1">
      <c r="L178" s="456"/>
    </row>
  </sheetData>
  <autoFilter ref="A11:AR158" xr:uid="{00000000-0009-0000-0000-00001B000000}"/>
  <dataConsolidate/>
  <mergeCells count="195">
    <mergeCell ref="E12:G12"/>
    <mergeCell ref="E13:G13"/>
    <mergeCell ref="E14:G14"/>
    <mergeCell ref="E15:G15"/>
    <mergeCell ref="E16:G16"/>
    <mergeCell ref="A2:D2"/>
    <mergeCell ref="AL2:AR2"/>
    <mergeCell ref="AN3:AR3"/>
    <mergeCell ref="AN4:AR4"/>
    <mergeCell ref="E23:G23"/>
    <mergeCell ref="E24:G24"/>
    <mergeCell ref="E25:G25"/>
    <mergeCell ref="E26:G26"/>
    <mergeCell ref="E27:G27"/>
    <mergeCell ref="E28:G28"/>
    <mergeCell ref="E17:G17"/>
    <mergeCell ref="E18:G18"/>
    <mergeCell ref="E19:G19"/>
    <mergeCell ref="E20:G20"/>
    <mergeCell ref="E21:G21"/>
    <mergeCell ref="E22:G22"/>
    <mergeCell ref="E35:G35"/>
    <mergeCell ref="E36:G36"/>
    <mergeCell ref="E37:G37"/>
    <mergeCell ref="E38:G38"/>
    <mergeCell ref="E39:G39"/>
    <mergeCell ref="E40:G40"/>
    <mergeCell ref="E29:G29"/>
    <mergeCell ref="E30:G30"/>
    <mergeCell ref="E31:G31"/>
    <mergeCell ref="E32:G32"/>
    <mergeCell ref="E33:G33"/>
    <mergeCell ref="E34:G34"/>
    <mergeCell ref="E47:G47"/>
    <mergeCell ref="E48:G48"/>
    <mergeCell ref="E49:G49"/>
    <mergeCell ref="E50:G50"/>
    <mergeCell ref="E51:G51"/>
    <mergeCell ref="E52:G52"/>
    <mergeCell ref="E41:G41"/>
    <mergeCell ref="E42:G42"/>
    <mergeCell ref="E43:G43"/>
    <mergeCell ref="E44:G44"/>
    <mergeCell ref="E45:G45"/>
    <mergeCell ref="E46:G46"/>
    <mergeCell ref="E59:G59"/>
    <mergeCell ref="E60:G60"/>
    <mergeCell ref="E61:G61"/>
    <mergeCell ref="E62:G62"/>
    <mergeCell ref="E63:G63"/>
    <mergeCell ref="E64:G64"/>
    <mergeCell ref="E53:G53"/>
    <mergeCell ref="E54:G54"/>
    <mergeCell ref="E55:G55"/>
    <mergeCell ref="E56:G56"/>
    <mergeCell ref="E57:G57"/>
    <mergeCell ref="E58:G58"/>
    <mergeCell ref="E71:G71"/>
    <mergeCell ref="E72:G72"/>
    <mergeCell ref="E73:G73"/>
    <mergeCell ref="E74:G74"/>
    <mergeCell ref="E75:G75"/>
    <mergeCell ref="E76:G76"/>
    <mergeCell ref="E65:G65"/>
    <mergeCell ref="E66:G66"/>
    <mergeCell ref="E67:G67"/>
    <mergeCell ref="E68:G68"/>
    <mergeCell ref="E69:G69"/>
    <mergeCell ref="E70:G70"/>
    <mergeCell ref="E83:G83"/>
    <mergeCell ref="E84:G84"/>
    <mergeCell ref="E85:G85"/>
    <mergeCell ref="E86:G86"/>
    <mergeCell ref="E87:G87"/>
    <mergeCell ref="E88:G88"/>
    <mergeCell ref="E77:G77"/>
    <mergeCell ref="E78:G78"/>
    <mergeCell ref="E79:G79"/>
    <mergeCell ref="E80:G80"/>
    <mergeCell ref="E81:G81"/>
    <mergeCell ref="E82:G82"/>
    <mergeCell ref="E95:G95"/>
    <mergeCell ref="E96:G96"/>
    <mergeCell ref="E97:G97"/>
    <mergeCell ref="E98:G98"/>
    <mergeCell ref="E99:G99"/>
    <mergeCell ref="E100:G100"/>
    <mergeCell ref="E89:G89"/>
    <mergeCell ref="E90:G90"/>
    <mergeCell ref="E91:G91"/>
    <mergeCell ref="E92:G92"/>
    <mergeCell ref="E93:G93"/>
    <mergeCell ref="E94:G94"/>
    <mergeCell ref="E107:G107"/>
    <mergeCell ref="E108:G108"/>
    <mergeCell ref="E109:G109"/>
    <mergeCell ref="E110:G110"/>
    <mergeCell ref="E111:G111"/>
    <mergeCell ref="E112:G112"/>
    <mergeCell ref="E101:G101"/>
    <mergeCell ref="E102:G102"/>
    <mergeCell ref="E103:G103"/>
    <mergeCell ref="E104:G104"/>
    <mergeCell ref="E105:G105"/>
    <mergeCell ref="E106:G106"/>
    <mergeCell ref="E119:G119"/>
    <mergeCell ref="E120:G120"/>
    <mergeCell ref="E121:G121"/>
    <mergeCell ref="E122:G122"/>
    <mergeCell ref="E123:G123"/>
    <mergeCell ref="E124:G124"/>
    <mergeCell ref="E113:G113"/>
    <mergeCell ref="E114:G114"/>
    <mergeCell ref="E115:G115"/>
    <mergeCell ref="E116:G116"/>
    <mergeCell ref="E117:G117"/>
    <mergeCell ref="E118:G118"/>
    <mergeCell ref="E131:G131"/>
    <mergeCell ref="E132:G132"/>
    <mergeCell ref="E133:G133"/>
    <mergeCell ref="E134:G134"/>
    <mergeCell ref="E135:G135"/>
    <mergeCell ref="E136:G136"/>
    <mergeCell ref="E125:G125"/>
    <mergeCell ref="E126:G126"/>
    <mergeCell ref="E127:G127"/>
    <mergeCell ref="E128:G128"/>
    <mergeCell ref="E129:G129"/>
    <mergeCell ref="E130:G130"/>
    <mergeCell ref="E143:G143"/>
    <mergeCell ref="E144:G144"/>
    <mergeCell ref="E145:G145"/>
    <mergeCell ref="E146:G146"/>
    <mergeCell ref="E147:G147"/>
    <mergeCell ref="E148:G148"/>
    <mergeCell ref="E137:G137"/>
    <mergeCell ref="E138:G138"/>
    <mergeCell ref="E139:G139"/>
    <mergeCell ref="E140:G140"/>
    <mergeCell ref="E141:G141"/>
    <mergeCell ref="E142:G142"/>
    <mergeCell ref="E155:G155"/>
    <mergeCell ref="E156:G156"/>
    <mergeCell ref="E157:G157"/>
    <mergeCell ref="B160:C160"/>
    <mergeCell ref="F160:G160"/>
    <mergeCell ref="H160:I160"/>
    <mergeCell ref="E149:G149"/>
    <mergeCell ref="E150:G150"/>
    <mergeCell ref="E151:G151"/>
    <mergeCell ref="E152:G152"/>
    <mergeCell ref="E153:G153"/>
    <mergeCell ref="E154:G154"/>
    <mergeCell ref="AN161:AR161"/>
    <mergeCell ref="B162:C162"/>
    <mergeCell ref="F162:G162"/>
    <mergeCell ref="H162:I162"/>
    <mergeCell ref="N162:V162"/>
    <mergeCell ref="Y162:AC162"/>
    <mergeCell ref="AF162:AK162"/>
    <mergeCell ref="AN162:AR162"/>
    <mergeCell ref="N160:V160"/>
    <mergeCell ref="X160:AC160"/>
    <mergeCell ref="AE160:AK160"/>
    <mergeCell ref="AM160:AR160"/>
    <mergeCell ref="B161:C161"/>
    <mergeCell ref="F161:G161"/>
    <mergeCell ref="H161:I161"/>
    <mergeCell ref="N161:V161"/>
    <mergeCell ref="Y161:AC161"/>
    <mergeCell ref="AF161:AK161"/>
    <mergeCell ref="AN165:AR165"/>
    <mergeCell ref="AN163:AR163"/>
    <mergeCell ref="B164:C164"/>
    <mergeCell ref="F164:G164"/>
    <mergeCell ref="H164:I164"/>
    <mergeCell ref="N164:V164"/>
    <mergeCell ref="Y164:AC164"/>
    <mergeCell ref="AF164:AK164"/>
    <mergeCell ref="AN164:AR164"/>
    <mergeCell ref="B163:C163"/>
    <mergeCell ref="F163:G163"/>
    <mergeCell ref="H163:I163"/>
    <mergeCell ref="N163:V163"/>
    <mergeCell ref="Y163:AC163"/>
    <mergeCell ref="AF163:AK163"/>
    <mergeCell ref="B166:C166"/>
    <mergeCell ref="F166:G166"/>
    <mergeCell ref="H166:I166"/>
    <mergeCell ref="Y166:AC166"/>
    <mergeCell ref="B165:C165"/>
    <mergeCell ref="F165:G165"/>
    <mergeCell ref="H165:I165"/>
    <mergeCell ref="N165:V165"/>
    <mergeCell ref="Y165:AC165"/>
  </mergeCells>
  <conditionalFormatting sqref="V18:AC84 V12:AC15 U98 AD12:AW84 V85:AW157">
    <cfRule type="cellIs" dxfId="481" priority="1" stopIfTrue="1" operator="equal">
      <formula>"•"</formula>
    </cfRule>
  </conditionalFormatting>
  <pageMargins left="0.43307086614173229" right="0.39370078740157483" top="0.35433070866141736" bottom="0.51181102362204722" header="0.31496062992125984" footer="0.31496062992125984"/>
  <pageSetup paperSize="17" scale="37" fitToHeight="2" pageOrder="overThenDown" orientation="landscape" r:id="rId1"/>
  <headerFooter alignWithMargins="0">
    <oddFooter>&amp;L&amp;"Arial,Regular"&amp;14Printed &amp;D&amp;T&amp;R&amp;"Arial,Regular"&amp;14&amp;F, Rev.3
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FF0000"/>
  </sheetPr>
  <dimension ref="A1:J135"/>
  <sheetViews>
    <sheetView showZeros="0" topLeftCell="B1" zoomScale="85" zoomScaleNormal="85" workbookViewId="0">
      <selection activeCell="D29" sqref="D29"/>
    </sheetView>
  </sheetViews>
  <sheetFormatPr defaultColWidth="9.1796875" defaultRowHeight="14.5"/>
  <cols>
    <col min="1" max="1" width="15" hidden="1" customWidth="1"/>
    <col min="2" max="2" width="15.7265625" customWidth="1"/>
    <col min="3" max="3" width="41.7265625" customWidth="1"/>
    <col min="4" max="4" width="47.26953125" bestFit="1" customWidth="1"/>
    <col min="5" max="5" width="10.7265625" style="453" customWidth="1"/>
    <col min="6" max="6" width="16.453125" style="446" customWidth="1"/>
    <col min="7" max="7" width="19.453125" style="398" bestFit="1" customWidth="1"/>
    <col min="8" max="8" width="22.26953125" style="399" customWidth="1"/>
    <col min="9" max="9" width="16.7265625" style="399" customWidth="1"/>
    <col min="10" max="10" width="18" style="398" customWidth="1"/>
  </cols>
  <sheetData>
    <row r="1" spans="1:10">
      <c r="A1" s="2393" t="s">
        <v>5963</v>
      </c>
      <c r="B1" s="2395" t="s">
        <v>5964</v>
      </c>
      <c r="C1" s="2397" t="s">
        <v>5965</v>
      </c>
      <c r="D1" s="2399" t="s">
        <v>5966</v>
      </c>
      <c r="E1" s="2401" t="s">
        <v>5967</v>
      </c>
      <c r="F1" s="2402"/>
      <c r="G1" s="2389" t="s">
        <v>5968</v>
      </c>
      <c r="H1" s="2390"/>
      <c r="I1" s="2391" t="s">
        <v>34</v>
      </c>
      <c r="J1" s="2392"/>
    </row>
    <row r="2" spans="1:10" s="437" customFormat="1">
      <c r="A2" s="2394"/>
      <c r="B2" s="2396"/>
      <c r="C2" s="2398"/>
      <c r="D2" s="2400"/>
      <c r="E2" s="448" t="s">
        <v>5969</v>
      </c>
      <c r="F2" s="443" t="s">
        <v>5970</v>
      </c>
      <c r="G2" s="441" t="s">
        <v>5971</v>
      </c>
      <c r="H2" s="440" t="s">
        <v>5972</v>
      </c>
      <c r="I2" s="439" t="s">
        <v>5971</v>
      </c>
      <c r="J2" s="438" t="s">
        <v>5972</v>
      </c>
    </row>
    <row r="3" spans="1:10">
      <c r="A3" s="414" t="s">
        <v>5973</v>
      </c>
      <c r="B3" s="413" t="s">
        <v>1316</v>
      </c>
      <c r="C3" t="s">
        <v>5974</v>
      </c>
      <c r="D3" s="29" t="s">
        <v>5975</v>
      </c>
      <c r="E3" s="449">
        <v>12</v>
      </c>
      <c r="F3" s="443" t="s">
        <v>991</v>
      </c>
      <c r="G3" s="433" t="s">
        <v>5976</v>
      </c>
      <c r="H3" s="431">
        <v>643.70000000000005</v>
      </c>
      <c r="I3" s="433" t="s">
        <v>5976</v>
      </c>
      <c r="J3" s="409">
        <f>E3*H3</f>
        <v>7724.4000000000005</v>
      </c>
    </row>
    <row r="4" spans="1:10">
      <c r="A4" s="414" t="s">
        <v>5973</v>
      </c>
      <c r="B4" s="413" t="s">
        <v>1316</v>
      </c>
      <c r="C4" t="s">
        <v>5974</v>
      </c>
      <c r="D4" s="29" t="s">
        <v>5977</v>
      </c>
      <c r="E4" s="449">
        <v>35.64</v>
      </c>
      <c r="F4" s="443" t="s">
        <v>991</v>
      </c>
      <c r="G4" s="433" t="s">
        <v>5976</v>
      </c>
      <c r="H4" s="431">
        <f>ROUNDUP(H3/500,0)</f>
        <v>2</v>
      </c>
      <c r="I4" s="433" t="s">
        <v>5976</v>
      </c>
      <c r="J4" s="409">
        <f>E4*H4</f>
        <v>71.28</v>
      </c>
    </row>
    <row r="5" spans="1:10">
      <c r="A5" s="414" t="s">
        <v>5973</v>
      </c>
      <c r="B5" s="413" t="s">
        <v>1316</v>
      </c>
      <c r="C5" t="s">
        <v>5978</v>
      </c>
      <c r="D5" s="29" t="s">
        <v>5979</v>
      </c>
      <c r="E5" s="449">
        <v>10.098000000000001</v>
      </c>
      <c r="F5" s="443" t="s">
        <v>2688</v>
      </c>
      <c r="G5" s="416">
        <v>33546</v>
      </c>
      <c r="H5" s="431" t="s">
        <v>5976</v>
      </c>
      <c r="I5" s="416">
        <f>E5*G5</f>
        <v>338747.50800000003</v>
      </c>
      <c r="J5" s="431" t="s">
        <v>5976</v>
      </c>
    </row>
    <row r="6" spans="1:10">
      <c r="A6" s="414" t="s">
        <v>5973</v>
      </c>
      <c r="B6" s="413" t="s">
        <v>1316</v>
      </c>
      <c r="C6" t="s">
        <v>5980</v>
      </c>
      <c r="D6" s="435" t="s">
        <v>5981</v>
      </c>
      <c r="E6" s="449">
        <v>2.6193</v>
      </c>
      <c r="F6" s="443" t="s">
        <v>136</v>
      </c>
      <c r="G6" s="433" t="s">
        <v>5976</v>
      </c>
      <c r="H6" s="411">
        <v>92000</v>
      </c>
      <c r="I6" s="433" t="s">
        <v>5976</v>
      </c>
      <c r="J6" s="409">
        <f t="shared" ref="J6:J17" si="0">E6*H6</f>
        <v>240975.6</v>
      </c>
    </row>
    <row r="7" spans="1:10">
      <c r="A7" s="414" t="s">
        <v>5973</v>
      </c>
      <c r="B7" s="413" t="s">
        <v>1316</v>
      </c>
      <c r="C7" t="s">
        <v>5980</v>
      </c>
      <c r="D7" s="435" t="s">
        <v>5982</v>
      </c>
      <c r="E7" s="449">
        <v>2.6193</v>
      </c>
      <c r="F7" s="443" t="s">
        <v>136</v>
      </c>
      <c r="G7" s="433" t="s">
        <v>5976</v>
      </c>
      <c r="H7" s="411">
        <v>70000</v>
      </c>
      <c r="I7" s="433" t="s">
        <v>5976</v>
      </c>
      <c r="J7" s="409">
        <f t="shared" si="0"/>
        <v>183351</v>
      </c>
    </row>
    <row r="8" spans="1:10">
      <c r="A8" s="414" t="s">
        <v>5973</v>
      </c>
      <c r="B8" s="413" t="s">
        <v>1316</v>
      </c>
      <c r="C8" t="s">
        <v>5980</v>
      </c>
      <c r="D8" s="435" t="s">
        <v>5983</v>
      </c>
      <c r="E8" s="449">
        <v>2.6193</v>
      </c>
      <c r="F8" s="443" t="s">
        <v>136</v>
      </c>
      <c r="G8" s="433" t="s">
        <v>5976</v>
      </c>
      <c r="H8" s="411">
        <v>14600</v>
      </c>
      <c r="I8" s="433" t="s">
        <v>5976</v>
      </c>
      <c r="J8" s="409">
        <f t="shared" si="0"/>
        <v>38241.78</v>
      </c>
    </row>
    <row r="9" spans="1:10">
      <c r="A9" s="414" t="s">
        <v>5973</v>
      </c>
      <c r="B9" s="413" t="s">
        <v>1316</v>
      </c>
      <c r="C9" t="s">
        <v>5980</v>
      </c>
      <c r="D9" s="435" t="s">
        <v>5984</v>
      </c>
      <c r="E9" s="449">
        <v>2.6193</v>
      </c>
      <c r="F9" s="443" t="s">
        <v>136</v>
      </c>
      <c r="G9" s="433" t="s">
        <v>5976</v>
      </c>
      <c r="H9" s="411">
        <v>17500</v>
      </c>
      <c r="I9" s="433" t="s">
        <v>5976</v>
      </c>
      <c r="J9" s="409">
        <f t="shared" si="0"/>
        <v>45837.75</v>
      </c>
    </row>
    <row r="10" spans="1:10">
      <c r="A10" s="414" t="s">
        <v>5973</v>
      </c>
      <c r="B10" s="413" t="s">
        <v>1316</v>
      </c>
      <c r="C10" t="s">
        <v>5980</v>
      </c>
      <c r="D10" s="435" t="s">
        <v>5985</v>
      </c>
      <c r="E10" s="449">
        <v>2.6193</v>
      </c>
      <c r="F10" s="443" t="s">
        <v>136</v>
      </c>
      <c r="G10" s="433" t="s">
        <v>5976</v>
      </c>
      <c r="H10" s="411">
        <v>55000</v>
      </c>
      <c r="I10" s="433" t="s">
        <v>5976</v>
      </c>
      <c r="J10" s="409">
        <f t="shared" si="0"/>
        <v>144061.5</v>
      </c>
    </row>
    <row r="11" spans="1:10">
      <c r="A11" s="414" t="s">
        <v>5973</v>
      </c>
      <c r="B11" s="413" t="s">
        <v>1316</v>
      </c>
      <c r="C11" t="s">
        <v>5980</v>
      </c>
      <c r="D11" s="435" t="s">
        <v>5986</v>
      </c>
      <c r="E11" s="449">
        <v>2.6193</v>
      </c>
      <c r="F11" s="443" t="s">
        <v>136</v>
      </c>
      <c r="G11" s="433" t="s">
        <v>5976</v>
      </c>
      <c r="H11" s="411">
        <v>14600</v>
      </c>
      <c r="I11" s="433" t="s">
        <v>5976</v>
      </c>
      <c r="J11" s="409">
        <f t="shared" si="0"/>
        <v>38241.78</v>
      </c>
    </row>
    <row r="12" spans="1:10">
      <c r="A12" s="414" t="s">
        <v>5973</v>
      </c>
      <c r="B12" s="413" t="s">
        <v>1316</v>
      </c>
      <c r="C12" t="s">
        <v>5980</v>
      </c>
      <c r="D12" s="435" t="s">
        <v>5987</v>
      </c>
      <c r="E12" s="449">
        <v>2.6193</v>
      </c>
      <c r="F12" s="443" t="s">
        <v>136</v>
      </c>
      <c r="G12" s="433" t="s">
        <v>5976</v>
      </c>
      <c r="H12" s="411">
        <v>27500</v>
      </c>
      <c r="I12" s="433" t="s">
        <v>5976</v>
      </c>
      <c r="J12" s="409">
        <f t="shared" si="0"/>
        <v>72030.75</v>
      </c>
    </row>
    <row r="13" spans="1:10">
      <c r="A13" s="414" t="s">
        <v>5973</v>
      </c>
      <c r="B13" s="413" t="s">
        <v>1316</v>
      </c>
      <c r="C13" t="s">
        <v>5980</v>
      </c>
      <c r="D13" s="435" t="s">
        <v>5988</v>
      </c>
      <c r="E13" s="449">
        <v>2.6193</v>
      </c>
      <c r="F13" s="443" t="s">
        <v>136</v>
      </c>
      <c r="G13" s="433" t="s">
        <v>5976</v>
      </c>
      <c r="H13" s="411">
        <v>22500</v>
      </c>
      <c r="I13" s="433" t="s">
        <v>5976</v>
      </c>
      <c r="J13" s="409">
        <f t="shared" si="0"/>
        <v>58934.25</v>
      </c>
    </row>
    <row r="14" spans="1:10">
      <c r="A14" s="414" t="s">
        <v>5989</v>
      </c>
      <c r="B14" s="413" t="s">
        <v>1316</v>
      </c>
      <c r="C14" t="s">
        <v>5990</v>
      </c>
      <c r="D14" s="435" t="s">
        <v>5991</v>
      </c>
      <c r="E14" s="449">
        <v>200</v>
      </c>
      <c r="F14" s="444" t="s">
        <v>136</v>
      </c>
      <c r="G14" s="433" t="s">
        <v>5976</v>
      </c>
      <c r="H14" s="427">
        <v>132</v>
      </c>
      <c r="I14" s="433" t="s">
        <v>5976</v>
      </c>
      <c r="J14" s="409">
        <f t="shared" si="0"/>
        <v>26400</v>
      </c>
    </row>
    <row r="15" spans="1:10">
      <c r="A15" s="414" t="s">
        <v>5989</v>
      </c>
      <c r="B15" s="413" t="s">
        <v>1316</v>
      </c>
      <c r="C15" t="s">
        <v>5990</v>
      </c>
      <c r="D15" s="435" t="s">
        <v>5992</v>
      </c>
      <c r="E15" s="449">
        <v>200</v>
      </c>
      <c r="F15" s="444" t="s">
        <v>136</v>
      </c>
      <c r="G15" s="433" t="s">
        <v>5976</v>
      </c>
      <c r="H15" s="427">
        <v>669</v>
      </c>
      <c r="I15" s="433" t="s">
        <v>5976</v>
      </c>
      <c r="J15" s="409">
        <f t="shared" si="0"/>
        <v>133800</v>
      </c>
    </row>
    <row r="16" spans="1:10">
      <c r="A16" s="414" t="s">
        <v>5989</v>
      </c>
      <c r="B16" s="413" t="s">
        <v>1316</v>
      </c>
      <c r="C16" t="s">
        <v>5990</v>
      </c>
      <c r="D16" s="435" t="s">
        <v>5993</v>
      </c>
      <c r="E16" s="449">
        <v>200</v>
      </c>
      <c r="F16" s="444" t="s">
        <v>136</v>
      </c>
      <c r="G16" s="436" t="s">
        <v>5976</v>
      </c>
      <c r="H16" s="427">
        <v>5238</v>
      </c>
      <c r="I16" s="433" t="s">
        <v>5976</v>
      </c>
      <c r="J16" s="409">
        <f t="shared" si="0"/>
        <v>1047600</v>
      </c>
    </row>
    <row r="17" spans="1:10">
      <c r="A17" s="414" t="s">
        <v>5989</v>
      </c>
      <c r="B17" s="413" t="s">
        <v>1316</v>
      </c>
      <c r="C17" t="s">
        <v>5990</v>
      </c>
      <c r="D17" s="435" t="s">
        <v>5994</v>
      </c>
      <c r="E17" s="449">
        <v>200</v>
      </c>
      <c r="F17" s="444" t="s">
        <v>136</v>
      </c>
      <c r="G17" s="436">
        <v>30</v>
      </c>
      <c r="H17" s="427">
        <v>787</v>
      </c>
      <c r="I17" s="416">
        <f>E17*G17</f>
        <v>6000</v>
      </c>
      <c r="J17" s="409">
        <f t="shared" si="0"/>
        <v>157400</v>
      </c>
    </row>
    <row r="18" spans="1:10">
      <c r="A18" s="414" t="s">
        <v>5989</v>
      </c>
      <c r="B18" s="413" t="s">
        <v>1316</v>
      </c>
      <c r="C18" t="s">
        <v>5990</v>
      </c>
      <c r="D18" s="435" t="s">
        <v>5995</v>
      </c>
      <c r="E18" s="449">
        <v>200</v>
      </c>
      <c r="F18" s="444" t="s">
        <v>136</v>
      </c>
      <c r="G18" s="436">
        <v>2221.5</v>
      </c>
      <c r="H18" s="427" t="s">
        <v>5976</v>
      </c>
      <c r="I18" s="416">
        <f>E18*G18</f>
        <v>444300</v>
      </c>
      <c r="J18" s="409" t="s">
        <v>5976</v>
      </c>
    </row>
    <row r="19" spans="1:10">
      <c r="A19" s="414" t="s">
        <v>5989</v>
      </c>
      <c r="B19" s="413" t="s">
        <v>1316</v>
      </c>
      <c r="C19" t="s">
        <v>5990</v>
      </c>
      <c r="D19" s="435" t="s">
        <v>5996</v>
      </c>
      <c r="E19" s="449">
        <v>200</v>
      </c>
      <c r="F19" s="444" t="s">
        <v>136</v>
      </c>
      <c r="G19" s="433" t="s">
        <v>5976</v>
      </c>
      <c r="H19" s="427">
        <v>747</v>
      </c>
      <c r="I19" s="433" t="s">
        <v>5976</v>
      </c>
      <c r="J19" s="409">
        <f t="shared" ref="J19:J28" si="1">E19*H19</f>
        <v>149400</v>
      </c>
    </row>
    <row r="20" spans="1:10">
      <c r="A20" s="414" t="s">
        <v>5989</v>
      </c>
      <c r="B20" s="413" t="s">
        <v>1316</v>
      </c>
      <c r="C20" t="s">
        <v>5990</v>
      </c>
      <c r="D20" s="435" t="s">
        <v>5997</v>
      </c>
      <c r="E20" s="449">
        <v>200</v>
      </c>
      <c r="F20" s="444" t="s">
        <v>136</v>
      </c>
      <c r="G20" s="433" t="s">
        <v>5976</v>
      </c>
      <c r="H20" s="427">
        <v>498</v>
      </c>
      <c r="I20" s="433" t="s">
        <v>5976</v>
      </c>
      <c r="J20" s="409">
        <f t="shared" si="1"/>
        <v>99600</v>
      </c>
    </row>
    <row r="21" spans="1:10">
      <c r="A21" s="414" t="s">
        <v>5989</v>
      </c>
      <c r="B21" s="413" t="s">
        <v>1316</v>
      </c>
      <c r="C21" t="s">
        <v>5990</v>
      </c>
      <c r="D21" s="412" t="s">
        <v>5998</v>
      </c>
      <c r="E21" s="449">
        <v>-1</v>
      </c>
      <c r="F21" s="444" t="s">
        <v>136</v>
      </c>
      <c r="G21" s="433" t="s">
        <v>5976</v>
      </c>
      <c r="H21" s="427">
        <v>6000</v>
      </c>
      <c r="I21" s="433" t="s">
        <v>5976</v>
      </c>
      <c r="J21" s="409">
        <f t="shared" si="1"/>
        <v>-6000</v>
      </c>
    </row>
    <row r="22" spans="1:10">
      <c r="A22" s="414" t="s">
        <v>5989</v>
      </c>
      <c r="B22" s="413" t="s">
        <v>5999</v>
      </c>
      <c r="C22" t="s">
        <v>5990</v>
      </c>
      <c r="D22" s="412" t="s">
        <v>5991</v>
      </c>
      <c r="E22" s="449">
        <v>200</v>
      </c>
      <c r="F22" s="419" t="s">
        <v>136</v>
      </c>
      <c r="G22" s="433" t="s">
        <v>5976</v>
      </c>
      <c r="H22" s="411">
        <v>91</v>
      </c>
      <c r="I22" s="433" t="s">
        <v>5976</v>
      </c>
      <c r="J22" s="409">
        <f t="shared" si="1"/>
        <v>18200</v>
      </c>
    </row>
    <row r="23" spans="1:10">
      <c r="A23" s="414" t="s">
        <v>5989</v>
      </c>
      <c r="B23" s="413" t="s">
        <v>5999</v>
      </c>
      <c r="C23" t="s">
        <v>5990</v>
      </c>
      <c r="D23" s="412" t="s">
        <v>5992</v>
      </c>
      <c r="E23" s="449">
        <v>200</v>
      </c>
      <c r="F23" s="419" t="s">
        <v>136</v>
      </c>
      <c r="G23" s="433" t="s">
        <v>5976</v>
      </c>
      <c r="H23" s="411">
        <v>654</v>
      </c>
      <c r="I23" s="433" t="s">
        <v>5976</v>
      </c>
      <c r="J23" s="409">
        <f t="shared" si="1"/>
        <v>130800</v>
      </c>
    </row>
    <row r="24" spans="1:10">
      <c r="A24" s="414" t="s">
        <v>5989</v>
      </c>
      <c r="B24" s="413" t="s">
        <v>5999</v>
      </c>
      <c r="C24" t="s">
        <v>5990</v>
      </c>
      <c r="D24" s="412" t="s">
        <v>5993</v>
      </c>
      <c r="E24" s="449">
        <v>200</v>
      </c>
      <c r="F24" s="419" t="s">
        <v>136</v>
      </c>
      <c r="G24" s="433">
        <v>268</v>
      </c>
      <c r="H24" s="411">
        <v>2024</v>
      </c>
      <c r="I24" s="416">
        <f>E24*G24</f>
        <v>53600</v>
      </c>
      <c r="J24" s="409">
        <f t="shared" si="1"/>
        <v>404800</v>
      </c>
    </row>
    <row r="25" spans="1:10">
      <c r="A25" s="414" t="s">
        <v>5989</v>
      </c>
      <c r="B25" s="413" t="s">
        <v>5999</v>
      </c>
      <c r="C25" t="s">
        <v>5990</v>
      </c>
      <c r="D25" s="412" t="s">
        <v>5994</v>
      </c>
      <c r="E25" s="449">
        <v>200</v>
      </c>
      <c r="F25" s="419" t="s">
        <v>136</v>
      </c>
      <c r="G25" s="433">
        <v>134</v>
      </c>
      <c r="H25" s="411">
        <v>739</v>
      </c>
      <c r="I25" s="416">
        <f>E25*G25</f>
        <v>26800</v>
      </c>
      <c r="J25" s="409">
        <f t="shared" si="1"/>
        <v>147800</v>
      </c>
    </row>
    <row r="26" spans="1:10">
      <c r="A26" s="414" t="s">
        <v>5989</v>
      </c>
      <c r="B26" s="413" t="s">
        <v>5999</v>
      </c>
      <c r="C26" t="s">
        <v>5990</v>
      </c>
      <c r="D26" s="412" t="s">
        <v>6000</v>
      </c>
      <c r="E26" s="449">
        <v>200</v>
      </c>
      <c r="F26" s="419" t="s">
        <v>136</v>
      </c>
      <c r="G26" s="433">
        <f>0.75*22366.09375</f>
        <v>16774.5703125</v>
      </c>
      <c r="H26" s="411">
        <v>937.5</v>
      </c>
      <c r="I26" s="416">
        <f>E26*G26</f>
        <v>3354914.0625</v>
      </c>
      <c r="J26" s="409">
        <f t="shared" si="1"/>
        <v>187500</v>
      </c>
    </row>
    <row r="27" spans="1:10">
      <c r="A27" s="414" t="s">
        <v>5989</v>
      </c>
      <c r="B27" s="413" t="s">
        <v>5999</v>
      </c>
      <c r="C27" t="s">
        <v>5990</v>
      </c>
      <c r="D27" s="412" t="s">
        <v>5997</v>
      </c>
      <c r="E27" s="449">
        <v>200</v>
      </c>
      <c r="F27" s="419" t="s">
        <v>136</v>
      </c>
      <c r="G27" s="433" t="s">
        <v>5976</v>
      </c>
      <c r="H27" s="411">
        <v>446</v>
      </c>
      <c r="I27" s="433" t="s">
        <v>5976</v>
      </c>
      <c r="J27" s="409">
        <f t="shared" si="1"/>
        <v>89200</v>
      </c>
    </row>
    <row r="28" spans="1:10">
      <c r="A28" s="414" t="s">
        <v>5989</v>
      </c>
      <c r="B28" s="413" t="s">
        <v>5999</v>
      </c>
      <c r="C28" t="s">
        <v>5990</v>
      </c>
      <c r="D28" s="412" t="s">
        <v>5998</v>
      </c>
      <c r="E28" s="449">
        <v>-1</v>
      </c>
      <c r="F28" s="444" t="s">
        <v>136</v>
      </c>
      <c r="G28" s="433" t="s">
        <v>5976</v>
      </c>
      <c r="H28" s="427">
        <v>80400</v>
      </c>
      <c r="I28" s="433" t="s">
        <v>5976</v>
      </c>
      <c r="J28" s="409">
        <f t="shared" si="1"/>
        <v>-80400</v>
      </c>
    </row>
    <row r="29" spans="1:10" ht="14.25" customHeight="1">
      <c r="A29" s="414" t="s">
        <v>5989</v>
      </c>
      <c r="B29" s="413" t="s">
        <v>1316</v>
      </c>
      <c r="C29" t="s">
        <v>6001</v>
      </c>
      <c r="D29" s="412" t="s">
        <v>6002</v>
      </c>
      <c r="E29" s="449">
        <v>57.024000000000001</v>
      </c>
      <c r="F29" s="419" t="s">
        <v>136</v>
      </c>
      <c r="G29" s="428">
        <v>557</v>
      </c>
      <c r="H29" s="411" t="s">
        <v>5976</v>
      </c>
      <c r="I29" s="416">
        <f>E29*G29</f>
        <v>31762.368000000002</v>
      </c>
      <c r="J29" s="409" t="s">
        <v>5976</v>
      </c>
    </row>
    <row r="30" spans="1:10">
      <c r="A30" s="414" t="s">
        <v>5989</v>
      </c>
      <c r="B30" s="413" t="s">
        <v>1316</v>
      </c>
      <c r="C30" t="s">
        <v>6001</v>
      </c>
      <c r="D30" s="412" t="s">
        <v>6003</v>
      </c>
      <c r="E30" s="449">
        <v>57.024000000000001</v>
      </c>
      <c r="F30" s="419" t="s">
        <v>136</v>
      </c>
      <c r="G30" s="428">
        <v>11229</v>
      </c>
      <c r="H30" s="434">
        <v>17165</v>
      </c>
      <c r="I30" s="416">
        <f>E30*G30</f>
        <v>640322.49600000004</v>
      </c>
      <c r="J30" s="409">
        <f>E30*H30</f>
        <v>978816.96</v>
      </c>
    </row>
    <row r="31" spans="1:10">
      <c r="A31" s="414" t="s">
        <v>5989</v>
      </c>
      <c r="B31" s="413" t="s">
        <v>1316</v>
      </c>
      <c r="C31" t="s">
        <v>6001</v>
      </c>
      <c r="D31" s="412" t="s">
        <v>6004</v>
      </c>
      <c r="E31" s="449">
        <v>57.024000000000001</v>
      </c>
      <c r="F31" s="419" t="s">
        <v>136</v>
      </c>
      <c r="G31" s="428">
        <v>334</v>
      </c>
      <c r="H31" s="411" t="s">
        <v>5976</v>
      </c>
      <c r="I31" s="416">
        <f>E31*G31</f>
        <v>19046.016</v>
      </c>
      <c r="J31" s="409" t="s">
        <v>5976</v>
      </c>
    </row>
    <row r="32" spans="1:10">
      <c r="A32" s="414" t="s">
        <v>5989</v>
      </c>
      <c r="B32" s="413" t="s">
        <v>1316</v>
      </c>
      <c r="C32" t="s">
        <v>6001</v>
      </c>
      <c r="D32" s="412" t="s">
        <v>6005</v>
      </c>
      <c r="E32" s="449">
        <v>57.024000000000001</v>
      </c>
      <c r="F32" s="419" t="s">
        <v>136</v>
      </c>
      <c r="G32" s="428">
        <v>2500</v>
      </c>
      <c r="H32" s="411" t="s">
        <v>5976</v>
      </c>
      <c r="I32" s="416">
        <f>E32*G32</f>
        <v>142560</v>
      </c>
      <c r="J32" s="409" t="s">
        <v>5976</v>
      </c>
    </row>
    <row r="33" spans="1:10">
      <c r="A33" s="414" t="s">
        <v>5989</v>
      </c>
      <c r="B33" s="413" t="s">
        <v>1316</v>
      </c>
      <c r="C33" t="s">
        <v>6001</v>
      </c>
      <c r="D33" s="412" t="s">
        <v>6006</v>
      </c>
      <c r="E33" s="449">
        <v>-1</v>
      </c>
      <c r="F33" s="444" t="s">
        <v>136</v>
      </c>
      <c r="G33" s="410" t="s">
        <v>5976</v>
      </c>
      <c r="H33" s="411">
        <v>691631</v>
      </c>
      <c r="I33" s="410" t="s">
        <v>5976</v>
      </c>
      <c r="J33" s="409">
        <f>E33*H33</f>
        <v>-691631</v>
      </c>
    </row>
    <row r="34" spans="1:10">
      <c r="A34" s="414" t="s">
        <v>5989</v>
      </c>
      <c r="B34" s="413" t="s">
        <v>5999</v>
      </c>
      <c r="C34" t="s">
        <v>6001</v>
      </c>
      <c r="D34" s="412" t="s">
        <v>6003</v>
      </c>
      <c r="E34" s="449">
        <v>57.024000000000001</v>
      </c>
      <c r="F34" s="419" t="s">
        <v>136</v>
      </c>
      <c r="G34" s="433">
        <v>9297</v>
      </c>
      <c r="H34" s="434">
        <v>16556</v>
      </c>
      <c r="I34" s="416">
        <f>E34*G34</f>
        <v>530152.12800000003</v>
      </c>
      <c r="J34" s="409">
        <f>E34*H34</f>
        <v>944089.34400000004</v>
      </c>
    </row>
    <row r="35" spans="1:10">
      <c r="A35" s="414" t="s">
        <v>5989</v>
      </c>
      <c r="B35" s="413" t="s">
        <v>5999</v>
      </c>
      <c r="C35" t="s">
        <v>6001</v>
      </c>
      <c r="D35" s="412" t="s">
        <v>6004</v>
      </c>
      <c r="E35" s="449">
        <v>57.024000000000001</v>
      </c>
      <c r="F35" s="419" t="s">
        <v>136</v>
      </c>
      <c r="G35" s="433">
        <v>334</v>
      </c>
      <c r="H35" s="427">
        <v>52</v>
      </c>
      <c r="I35" s="416">
        <f>E35*G35</f>
        <v>19046.016</v>
      </c>
      <c r="J35" s="409">
        <f>E35*H35</f>
        <v>2965.248</v>
      </c>
    </row>
    <row r="36" spans="1:10">
      <c r="A36" s="414" t="s">
        <v>5989</v>
      </c>
      <c r="B36" s="413" t="s">
        <v>5999</v>
      </c>
      <c r="C36" t="s">
        <v>6001</v>
      </c>
      <c r="D36" s="412" t="s">
        <v>6002</v>
      </c>
      <c r="E36" s="449">
        <v>57.024000000000001</v>
      </c>
      <c r="F36" s="419" t="s">
        <v>136</v>
      </c>
      <c r="G36" s="433">
        <v>446</v>
      </c>
      <c r="H36" s="411" t="s">
        <v>5976</v>
      </c>
      <c r="I36" s="416">
        <f>E36*G36</f>
        <v>25432.704000000002</v>
      </c>
      <c r="J36" s="409" t="s">
        <v>5976</v>
      </c>
    </row>
    <row r="37" spans="1:10">
      <c r="A37" s="414" t="s">
        <v>5989</v>
      </c>
      <c r="B37" s="413" t="s">
        <v>5999</v>
      </c>
      <c r="C37" t="s">
        <v>6001</v>
      </c>
      <c r="D37" s="412" t="s">
        <v>6005</v>
      </c>
      <c r="E37" s="449">
        <v>57.024000000000001</v>
      </c>
      <c r="F37" s="419" t="s">
        <v>136</v>
      </c>
      <c r="G37" s="433">
        <v>2500</v>
      </c>
      <c r="H37" s="411" t="s">
        <v>5976</v>
      </c>
      <c r="I37" s="433">
        <f>E37*G37</f>
        <v>142560</v>
      </c>
      <c r="J37" s="409" t="s">
        <v>5976</v>
      </c>
    </row>
    <row r="38" spans="1:10">
      <c r="A38" s="414" t="s">
        <v>5989</v>
      </c>
      <c r="B38" s="413" t="s">
        <v>5999</v>
      </c>
      <c r="C38" t="s">
        <v>6001</v>
      </c>
      <c r="D38" s="412" t="s">
        <v>6006</v>
      </c>
      <c r="E38" s="449">
        <v>-1</v>
      </c>
      <c r="F38" s="444" t="s">
        <v>136</v>
      </c>
      <c r="G38" s="410" t="s">
        <v>5976</v>
      </c>
      <c r="H38" s="411">
        <v>574631</v>
      </c>
      <c r="I38" s="410" t="s">
        <v>5976</v>
      </c>
      <c r="J38" s="409">
        <f>E38*H38</f>
        <v>-574631</v>
      </c>
    </row>
    <row r="39" spans="1:10">
      <c r="A39" s="414" t="s">
        <v>5989</v>
      </c>
      <c r="B39" s="413" t="s">
        <v>1072</v>
      </c>
      <c r="C39" t="s">
        <v>6001</v>
      </c>
      <c r="D39" s="412" t="s">
        <v>6003</v>
      </c>
      <c r="E39" s="449">
        <v>57.024000000000001</v>
      </c>
      <c r="F39" s="419" t="s">
        <v>136</v>
      </c>
      <c r="G39" s="433">
        <v>1522</v>
      </c>
      <c r="H39" s="411" t="s">
        <v>5976</v>
      </c>
      <c r="I39" s="433">
        <f>E39*G39</f>
        <v>86790.528000000006</v>
      </c>
      <c r="J39" s="409" t="s">
        <v>5976</v>
      </c>
    </row>
    <row r="40" spans="1:10">
      <c r="A40" s="414" t="s">
        <v>5989</v>
      </c>
      <c r="B40" s="413" t="s">
        <v>1072</v>
      </c>
      <c r="C40" t="s">
        <v>6001</v>
      </c>
      <c r="D40" s="412" t="s">
        <v>6006</v>
      </c>
      <c r="E40" s="449">
        <v>-1</v>
      </c>
      <c r="F40" s="444" t="s">
        <v>136</v>
      </c>
      <c r="G40" s="410" t="s">
        <v>5976</v>
      </c>
      <c r="H40" s="411">
        <v>86791</v>
      </c>
      <c r="I40" s="410" t="s">
        <v>5976</v>
      </c>
      <c r="J40" s="409">
        <f>E40*H40</f>
        <v>-86791</v>
      </c>
    </row>
    <row r="41" spans="1:10">
      <c r="A41" s="414" t="s">
        <v>5989</v>
      </c>
      <c r="B41" s="413" t="s">
        <v>1316</v>
      </c>
      <c r="C41" t="s">
        <v>6007</v>
      </c>
      <c r="D41" s="412" t="s">
        <v>6002</v>
      </c>
      <c r="E41" s="449">
        <v>26.73</v>
      </c>
      <c r="F41" s="419" t="s">
        <v>136</v>
      </c>
      <c r="G41" s="417">
        <v>557</v>
      </c>
      <c r="H41" s="427">
        <v>446</v>
      </c>
      <c r="I41" s="416">
        <f t="shared" ref="I41:I46" si="2">E41*G41</f>
        <v>14888.61</v>
      </c>
      <c r="J41" s="409">
        <f>E41*H41</f>
        <v>11921.58</v>
      </c>
    </row>
    <row r="42" spans="1:10">
      <c r="A42" s="414" t="s">
        <v>5989</v>
      </c>
      <c r="B42" s="413" t="s">
        <v>1316</v>
      </c>
      <c r="C42" t="s">
        <v>6007</v>
      </c>
      <c r="D42" s="412" t="s">
        <v>6008</v>
      </c>
      <c r="E42" s="449">
        <v>26.73</v>
      </c>
      <c r="F42" s="419" t="s">
        <v>136</v>
      </c>
      <c r="G42" s="417">
        <v>1427</v>
      </c>
      <c r="H42" s="427">
        <v>5091</v>
      </c>
      <c r="I42" s="416">
        <f t="shared" si="2"/>
        <v>38143.71</v>
      </c>
      <c r="J42" s="409">
        <f>E42*H42</f>
        <v>136082.43</v>
      </c>
    </row>
    <row r="43" spans="1:10">
      <c r="A43" s="414" t="s">
        <v>5989</v>
      </c>
      <c r="B43" s="413" t="s">
        <v>1316</v>
      </c>
      <c r="C43" t="s">
        <v>6007</v>
      </c>
      <c r="D43" s="412" t="s">
        <v>6009</v>
      </c>
      <c r="E43" s="449">
        <v>26.73</v>
      </c>
      <c r="F43" s="419" t="s">
        <v>136</v>
      </c>
      <c r="G43" s="417">
        <v>30</v>
      </c>
      <c r="H43" s="411" t="s">
        <v>5976</v>
      </c>
      <c r="I43" s="416">
        <f t="shared" si="2"/>
        <v>801.9</v>
      </c>
      <c r="J43" s="411" t="s">
        <v>5976</v>
      </c>
    </row>
    <row r="44" spans="1:10">
      <c r="A44" s="414" t="s">
        <v>5989</v>
      </c>
      <c r="B44" s="413" t="s">
        <v>1316</v>
      </c>
      <c r="C44" t="s">
        <v>6007</v>
      </c>
      <c r="D44" s="412" t="s">
        <v>6010</v>
      </c>
      <c r="E44" s="449">
        <v>26.73</v>
      </c>
      <c r="F44" s="419" t="s">
        <v>136</v>
      </c>
      <c r="G44" s="417">
        <v>2221.5</v>
      </c>
      <c r="H44" s="411" t="s">
        <v>5976</v>
      </c>
      <c r="I44" s="416">
        <f t="shared" si="2"/>
        <v>59380.695</v>
      </c>
      <c r="J44" s="411" t="s">
        <v>5976</v>
      </c>
    </row>
    <row r="45" spans="1:10">
      <c r="A45" s="414" t="s">
        <v>5989</v>
      </c>
      <c r="B45" s="413" t="s">
        <v>1316</v>
      </c>
      <c r="C45" t="s">
        <v>6007</v>
      </c>
      <c r="D45" s="412" t="s">
        <v>6003</v>
      </c>
      <c r="E45" s="449">
        <v>26.73</v>
      </c>
      <c r="F45" s="419" t="s">
        <v>136</v>
      </c>
      <c r="G45" s="417">
        <v>11229</v>
      </c>
      <c r="H45" s="427">
        <v>892</v>
      </c>
      <c r="I45" s="416">
        <f t="shared" si="2"/>
        <v>300151.17</v>
      </c>
      <c r="J45" s="409">
        <f t="shared" ref="J45:J50" si="3">E45*H45</f>
        <v>23843.16</v>
      </c>
    </row>
    <row r="46" spans="1:10">
      <c r="A46" s="414" t="s">
        <v>5989</v>
      </c>
      <c r="B46" s="413" t="s">
        <v>1316</v>
      </c>
      <c r="C46" t="s">
        <v>6007</v>
      </c>
      <c r="D46" s="412" t="s">
        <v>5997</v>
      </c>
      <c r="E46" s="449">
        <v>26.73</v>
      </c>
      <c r="F46" s="419" t="s">
        <v>136</v>
      </c>
      <c r="G46" s="417">
        <v>2834</v>
      </c>
      <c r="H46" s="427">
        <v>446</v>
      </c>
      <c r="I46" s="416">
        <f t="shared" si="2"/>
        <v>75752.820000000007</v>
      </c>
      <c r="J46" s="409">
        <f t="shared" si="3"/>
        <v>11921.58</v>
      </c>
    </row>
    <row r="47" spans="1:10">
      <c r="A47" s="414" t="s">
        <v>5989</v>
      </c>
      <c r="B47" s="413" t="s">
        <v>1316</v>
      </c>
      <c r="C47" t="s">
        <v>6007</v>
      </c>
      <c r="D47" s="432" t="s">
        <v>6011</v>
      </c>
      <c r="E47" s="449">
        <v>-1</v>
      </c>
      <c r="F47" s="444" t="s">
        <v>136</v>
      </c>
      <c r="G47" s="410" t="s">
        <v>5976</v>
      </c>
      <c r="H47" s="411">
        <v>362114</v>
      </c>
      <c r="I47" s="410" t="s">
        <v>5976</v>
      </c>
      <c r="J47" s="409">
        <f t="shared" si="3"/>
        <v>-362114</v>
      </c>
    </row>
    <row r="48" spans="1:10">
      <c r="A48" s="414" t="s">
        <v>5989</v>
      </c>
      <c r="B48" s="413" t="s">
        <v>5999</v>
      </c>
      <c r="C48" t="s">
        <v>6007</v>
      </c>
      <c r="D48" s="412" t="s">
        <v>6012</v>
      </c>
      <c r="E48" s="449">
        <v>26.73</v>
      </c>
      <c r="F48" s="419" t="s">
        <v>136</v>
      </c>
      <c r="G48" s="417" t="s">
        <v>6013</v>
      </c>
      <c r="H48" s="427">
        <v>32</v>
      </c>
      <c r="I48" s="417" t="s">
        <v>6013</v>
      </c>
      <c r="J48" s="409">
        <f t="shared" si="3"/>
        <v>855.36</v>
      </c>
    </row>
    <row r="49" spans="1:10">
      <c r="A49" s="414" t="s">
        <v>5989</v>
      </c>
      <c r="B49" s="413" t="s">
        <v>5999</v>
      </c>
      <c r="C49" t="s">
        <v>6007</v>
      </c>
      <c r="D49" s="412" t="s">
        <v>6002</v>
      </c>
      <c r="E49" s="449">
        <v>26.73</v>
      </c>
      <c r="F49" s="419" t="s">
        <v>136</v>
      </c>
      <c r="G49" s="417">
        <v>446</v>
      </c>
      <c r="H49" s="427">
        <v>446</v>
      </c>
      <c r="I49" s="416">
        <f t="shared" ref="I49:I55" si="4">E49*G49</f>
        <v>11921.58</v>
      </c>
      <c r="J49" s="409">
        <f t="shared" si="3"/>
        <v>11921.58</v>
      </c>
    </row>
    <row r="50" spans="1:10">
      <c r="A50" s="414" t="s">
        <v>5989</v>
      </c>
      <c r="B50" s="413" t="s">
        <v>5999</v>
      </c>
      <c r="C50" t="s">
        <v>6007</v>
      </c>
      <c r="D50" s="412" t="s">
        <v>6014</v>
      </c>
      <c r="E50" s="449">
        <v>26.73</v>
      </c>
      <c r="F50" s="419" t="s">
        <v>136</v>
      </c>
      <c r="G50" s="417">
        <v>268</v>
      </c>
      <c r="H50" s="427">
        <v>1988</v>
      </c>
      <c r="I50" s="416">
        <f t="shared" si="4"/>
        <v>7163.64</v>
      </c>
      <c r="J50" s="409">
        <f t="shared" si="3"/>
        <v>53139.24</v>
      </c>
    </row>
    <row r="51" spans="1:10">
      <c r="A51" s="414" t="s">
        <v>5989</v>
      </c>
      <c r="B51" s="413" t="s">
        <v>5999</v>
      </c>
      <c r="C51" t="s">
        <v>6007</v>
      </c>
      <c r="D51" s="412" t="s">
        <v>6009</v>
      </c>
      <c r="E51" s="449">
        <v>26.73</v>
      </c>
      <c r="F51" s="419" t="s">
        <v>136</v>
      </c>
      <c r="G51" s="417">
        <v>134</v>
      </c>
      <c r="H51" s="415" t="s">
        <v>6013</v>
      </c>
      <c r="I51" s="416">
        <f t="shared" si="4"/>
        <v>3581.82</v>
      </c>
      <c r="J51" s="415" t="s">
        <v>6013</v>
      </c>
    </row>
    <row r="52" spans="1:10">
      <c r="A52" s="414" t="s">
        <v>5989</v>
      </c>
      <c r="B52" s="413" t="s">
        <v>5999</v>
      </c>
      <c r="C52" t="s">
        <v>6007</v>
      </c>
      <c r="D52" s="412" t="s">
        <v>6010</v>
      </c>
      <c r="E52" s="449">
        <v>26.73</v>
      </c>
      <c r="F52" s="419" t="s">
        <v>136</v>
      </c>
      <c r="G52" s="417">
        <v>16774.5703125</v>
      </c>
      <c r="H52" s="415" t="s">
        <v>6013</v>
      </c>
      <c r="I52" s="416">
        <f t="shared" si="4"/>
        <v>448384.26445312501</v>
      </c>
      <c r="J52" s="415" t="s">
        <v>6013</v>
      </c>
    </row>
    <row r="53" spans="1:10">
      <c r="A53" s="414" t="s">
        <v>5989</v>
      </c>
      <c r="B53" s="413" t="s">
        <v>5999</v>
      </c>
      <c r="C53" t="s">
        <v>6007</v>
      </c>
      <c r="D53" s="412" t="s">
        <v>6003</v>
      </c>
      <c r="E53" s="449">
        <v>26.73</v>
      </c>
      <c r="F53" s="419" t="s">
        <v>136</v>
      </c>
      <c r="G53" s="417">
        <v>9297</v>
      </c>
      <c r="H53" s="427">
        <v>966</v>
      </c>
      <c r="I53" s="416">
        <f t="shared" si="4"/>
        <v>248508.81</v>
      </c>
      <c r="J53" s="409">
        <f>E53*H53</f>
        <v>25821.18</v>
      </c>
    </row>
    <row r="54" spans="1:10">
      <c r="A54" s="414" t="s">
        <v>5989</v>
      </c>
      <c r="B54" s="413" t="s">
        <v>5999</v>
      </c>
      <c r="C54" t="s">
        <v>6007</v>
      </c>
      <c r="D54" s="412" t="s">
        <v>5997</v>
      </c>
      <c r="E54" s="449">
        <v>26.73</v>
      </c>
      <c r="F54" s="419" t="s">
        <v>136</v>
      </c>
      <c r="G54" s="417">
        <v>2834</v>
      </c>
      <c r="H54" s="427">
        <v>446</v>
      </c>
      <c r="I54" s="416">
        <f t="shared" si="4"/>
        <v>75752.820000000007</v>
      </c>
      <c r="J54" s="409">
        <f>E54*H54</f>
        <v>11921.58</v>
      </c>
    </row>
    <row r="55" spans="1:10">
      <c r="A55" s="414" t="s">
        <v>5989</v>
      </c>
      <c r="B55" s="413" t="s">
        <v>5999</v>
      </c>
      <c r="C55" t="s">
        <v>6007</v>
      </c>
      <c r="D55" s="412" t="s">
        <v>6003</v>
      </c>
      <c r="E55" s="449">
        <v>26.73</v>
      </c>
      <c r="F55" s="419" t="s">
        <v>136</v>
      </c>
      <c r="G55" s="417">
        <v>1522</v>
      </c>
      <c r="H55" s="415" t="s">
        <v>6013</v>
      </c>
      <c r="I55" s="416">
        <f t="shared" si="4"/>
        <v>40683.06</v>
      </c>
      <c r="J55" s="415" t="s">
        <v>6013</v>
      </c>
    </row>
    <row r="56" spans="1:10">
      <c r="A56" s="414" t="s">
        <v>5989</v>
      </c>
      <c r="B56" s="413" t="s">
        <v>5999</v>
      </c>
      <c r="C56" t="s">
        <v>6007</v>
      </c>
      <c r="D56" s="432" t="s">
        <v>6011</v>
      </c>
      <c r="E56" s="449">
        <v>-1</v>
      </c>
      <c r="F56" s="444" t="s">
        <v>136</v>
      </c>
      <c r="G56" s="410" t="s">
        <v>5976</v>
      </c>
      <c r="H56" s="411">
        <v>280105</v>
      </c>
      <c r="I56" s="410" t="s">
        <v>5976</v>
      </c>
      <c r="J56" s="409">
        <f t="shared" ref="J56:J69" si="5">E56*H56</f>
        <v>-280105</v>
      </c>
    </row>
    <row r="57" spans="1:10">
      <c r="A57" s="414" t="s">
        <v>5989</v>
      </c>
      <c r="B57" s="413" t="s">
        <v>1072</v>
      </c>
      <c r="C57" t="s">
        <v>6007</v>
      </c>
      <c r="D57" s="432" t="s">
        <v>6011</v>
      </c>
      <c r="E57" s="449">
        <v>-1</v>
      </c>
      <c r="F57" s="444" t="s">
        <v>136</v>
      </c>
      <c r="G57" s="410" t="s">
        <v>5976</v>
      </c>
      <c r="H57" s="411">
        <v>40683</v>
      </c>
      <c r="I57" s="410" t="s">
        <v>5976</v>
      </c>
      <c r="J57" s="409">
        <f t="shared" si="5"/>
        <v>-40683</v>
      </c>
    </row>
    <row r="58" spans="1:10">
      <c r="A58" s="414" t="s">
        <v>5989</v>
      </c>
      <c r="B58" s="413" t="s">
        <v>1316</v>
      </c>
      <c r="C58" t="s">
        <v>6015</v>
      </c>
      <c r="D58" s="412" t="s">
        <v>6016</v>
      </c>
      <c r="E58" s="449">
        <v>15.12</v>
      </c>
      <c r="F58" s="443" t="s">
        <v>2688</v>
      </c>
      <c r="G58" s="417" t="s">
        <v>6013</v>
      </c>
      <c r="H58" s="431">
        <f>(7737+17499)*1.5</f>
        <v>37854</v>
      </c>
      <c r="I58" s="417" t="s">
        <v>6013</v>
      </c>
      <c r="J58" s="409">
        <f t="shared" si="5"/>
        <v>572352.48</v>
      </c>
    </row>
    <row r="59" spans="1:10">
      <c r="A59" s="414" t="s">
        <v>5989</v>
      </c>
      <c r="B59" s="413" t="s">
        <v>1316</v>
      </c>
      <c r="C59" t="s">
        <v>6015</v>
      </c>
      <c r="D59" s="424" t="s">
        <v>6017</v>
      </c>
      <c r="E59" s="449">
        <v>-1</v>
      </c>
      <c r="F59" s="444" t="s">
        <v>136</v>
      </c>
      <c r="G59" s="410" t="s">
        <v>5976</v>
      </c>
      <c r="H59" s="411">
        <v>187724</v>
      </c>
      <c r="I59" s="410" t="s">
        <v>5976</v>
      </c>
      <c r="J59" s="409">
        <f t="shared" si="5"/>
        <v>-187724</v>
      </c>
    </row>
    <row r="60" spans="1:10">
      <c r="A60" s="414" t="s">
        <v>5989</v>
      </c>
      <c r="B60" s="413" t="s">
        <v>5999</v>
      </c>
      <c r="C60" t="s">
        <v>6015</v>
      </c>
      <c r="D60" s="412" t="s">
        <v>6016</v>
      </c>
      <c r="E60" s="449">
        <v>15.12</v>
      </c>
      <c r="F60" s="443" t="s">
        <v>2688</v>
      </c>
      <c r="G60" s="417" t="s">
        <v>6013</v>
      </c>
      <c r="H60" s="431">
        <f>(3954+6626+9930+52)*1.5</f>
        <v>30843</v>
      </c>
      <c r="I60" s="417" t="s">
        <v>6013</v>
      </c>
      <c r="J60" s="409">
        <f t="shared" si="5"/>
        <v>466346.16</v>
      </c>
    </row>
    <row r="61" spans="1:10">
      <c r="A61" s="414" t="s">
        <v>5989</v>
      </c>
      <c r="B61" s="413" t="s">
        <v>5999</v>
      </c>
      <c r="C61" t="s">
        <v>6015</v>
      </c>
      <c r="D61" s="430" t="s">
        <v>6017</v>
      </c>
      <c r="E61" s="449">
        <v>-1</v>
      </c>
      <c r="F61" s="444" t="s">
        <v>136</v>
      </c>
      <c r="G61" s="410" t="s">
        <v>5976</v>
      </c>
      <c r="H61" s="411">
        <v>151091</v>
      </c>
      <c r="I61" s="410" t="s">
        <v>5976</v>
      </c>
      <c r="J61" s="409">
        <f t="shared" si="5"/>
        <v>-151091</v>
      </c>
    </row>
    <row r="62" spans="1:10">
      <c r="A62" s="414" t="s">
        <v>5989</v>
      </c>
      <c r="B62" s="413" t="s">
        <v>1316</v>
      </c>
      <c r="C62" t="s">
        <v>6018</v>
      </c>
      <c r="D62" s="412" t="s">
        <v>6012</v>
      </c>
      <c r="E62" s="450">
        <v>2.6193</v>
      </c>
      <c r="F62" s="442" t="s">
        <v>136</v>
      </c>
      <c r="G62" s="417" t="s">
        <v>6013</v>
      </c>
      <c r="H62" s="427">
        <v>132</v>
      </c>
      <c r="I62" s="417" t="s">
        <v>6013</v>
      </c>
      <c r="J62" s="409">
        <f t="shared" si="5"/>
        <v>345.74759999999998</v>
      </c>
    </row>
    <row r="63" spans="1:10">
      <c r="A63" s="414" t="s">
        <v>5989</v>
      </c>
      <c r="B63" s="413" t="s">
        <v>1316</v>
      </c>
      <c r="C63" t="s">
        <v>6018</v>
      </c>
      <c r="D63" s="412" t="s">
        <v>6002</v>
      </c>
      <c r="E63" s="450">
        <v>2.6193</v>
      </c>
      <c r="F63" s="442" t="s">
        <v>136</v>
      </c>
      <c r="G63" s="417" t="s">
        <v>6013</v>
      </c>
      <c r="H63" s="427">
        <v>669</v>
      </c>
      <c r="I63" s="417" t="s">
        <v>6013</v>
      </c>
      <c r="J63" s="409">
        <f t="shared" si="5"/>
        <v>1752.3117</v>
      </c>
    </row>
    <row r="64" spans="1:10">
      <c r="A64" s="414" t="s">
        <v>5989</v>
      </c>
      <c r="B64" s="413" t="s">
        <v>1316</v>
      </c>
      <c r="C64" t="s">
        <v>6018</v>
      </c>
      <c r="D64" s="412" t="s">
        <v>6014</v>
      </c>
      <c r="E64" s="450">
        <v>2.6193</v>
      </c>
      <c r="F64" s="442" t="s">
        <v>136</v>
      </c>
      <c r="G64" s="417" t="s">
        <v>6013</v>
      </c>
      <c r="H64" s="427">
        <v>5238</v>
      </c>
      <c r="I64" s="417" t="s">
        <v>6013</v>
      </c>
      <c r="J64" s="409">
        <f t="shared" si="5"/>
        <v>13719.893399999999</v>
      </c>
    </row>
    <row r="65" spans="1:10">
      <c r="A65" s="414" t="s">
        <v>5989</v>
      </c>
      <c r="B65" s="413" t="s">
        <v>1316</v>
      </c>
      <c r="C65" t="s">
        <v>6018</v>
      </c>
      <c r="D65" s="412" t="s">
        <v>6009</v>
      </c>
      <c r="E65" s="450">
        <v>2.6193</v>
      </c>
      <c r="F65" s="442" t="s">
        <v>136</v>
      </c>
      <c r="G65" s="417" t="s">
        <v>6013</v>
      </c>
      <c r="H65" s="427">
        <v>787</v>
      </c>
      <c r="I65" s="417" t="s">
        <v>6013</v>
      </c>
      <c r="J65" s="409">
        <f t="shared" si="5"/>
        <v>2061.3890999999999</v>
      </c>
    </row>
    <row r="66" spans="1:10">
      <c r="A66" s="414" t="s">
        <v>5989</v>
      </c>
      <c r="B66" s="413" t="s">
        <v>1316</v>
      </c>
      <c r="C66" t="s">
        <v>6018</v>
      </c>
      <c r="D66" s="412" t="s">
        <v>6019</v>
      </c>
      <c r="E66" s="450">
        <v>2.6193</v>
      </c>
      <c r="F66" s="442" t="s">
        <v>136</v>
      </c>
      <c r="G66" s="417" t="s">
        <v>6013</v>
      </c>
      <c r="H66" s="427">
        <v>747</v>
      </c>
      <c r="I66" s="417" t="s">
        <v>6013</v>
      </c>
      <c r="J66" s="409">
        <f t="shared" si="5"/>
        <v>1956.6170999999999</v>
      </c>
    </row>
    <row r="67" spans="1:10">
      <c r="A67" s="414" t="s">
        <v>5989</v>
      </c>
      <c r="B67" s="413" t="s">
        <v>1316</v>
      </c>
      <c r="C67" t="s">
        <v>6018</v>
      </c>
      <c r="D67" s="412" t="s">
        <v>6003</v>
      </c>
      <c r="E67" s="450">
        <v>2.6193</v>
      </c>
      <c r="F67" s="442" t="s">
        <v>136</v>
      </c>
      <c r="G67" s="417" t="s">
        <v>6013</v>
      </c>
      <c r="H67" s="427">
        <v>17165</v>
      </c>
      <c r="I67" s="417" t="s">
        <v>6013</v>
      </c>
      <c r="J67" s="409">
        <f t="shared" si="5"/>
        <v>44960.284500000002</v>
      </c>
    </row>
    <row r="68" spans="1:10">
      <c r="A68" s="414" t="s">
        <v>5989</v>
      </c>
      <c r="B68" s="413" t="s">
        <v>1316</v>
      </c>
      <c r="C68" t="s">
        <v>6018</v>
      </c>
      <c r="D68" s="412" t="s">
        <v>5997</v>
      </c>
      <c r="E68" s="450">
        <v>2.6193</v>
      </c>
      <c r="F68" s="442" t="s">
        <v>136</v>
      </c>
      <c r="G68" s="417" t="s">
        <v>6013</v>
      </c>
      <c r="H68" s="427">
        <v>498</v>
      </c>
      <c r="I68" s="417" t="s">
        <v>6013</v>
      </c>
      <c r="J68" s="409">
        <f t="shared" si="5"/>
        <v>1304.4114</v>
      </c>
    </row>
    <row r="69" spans="1:10">
      <c r="A69" s="414" t="s">
        <v>5989</v>
      </c>
      <c r="B69" s="413" t="s">
        <v>1316</v>
      </c>
      <c r="C69" t="s">
        <v>6018</v>
      </c>
      <c r="D69" s="412" t="s">
        <v>6020</v>
      </c>
      <c r="E69" s="450">
        <v>2.6193</v>
      </c>
      <c r="F69" s="442" t="s">
        <v>136</v>
      </c>
      <c r="G69" s="417" t="s">
        <v>6013</v>
      </c>
      <c r="H69" s="427">
        <v>167602</v>
      </c>
      <c r="I69" s="417" t="s">
        <v>6013</v>
      </c>
      <c r="J69" s="409">
        <f t="shared" si="5"/>
        <v>438999.91859999998</v>
      </c>
    </row>
    <row r="70" spans="1:10">
      <c r="A70" s="414" t="s">
        <v>5989</v>
      </c>
      <c r="B70" s="413" t="s">
        <v>1316</v>
      </c>
      <c r="C70" t="s">
        <v>6018</v>
      </c>
      <c r="D70" s="412" t="s">
        <v>6002</v>
      </c>
      <c r="E70" s="451">
        <v>9.6660000000000004</v>
      </c>
      <c r="F70" s="442" t="s">
        <v>136</v>
      </c>
      <c r="G70" s="428">
        <v>557</v>
      </c>
      <c r="H70" s="415" t="s">
        <v>6013</v>
      </c>
      <c r="I70" s="416">
        <f t="shared" ref="I70:I75" si="6">E70*G70</f>
        <v>5383.9620000000004</v>
      </c>
      <c r="J70" s="415" t="s">
        <v>6013</v>
      </c>
    </row>
    <row r="71" spans="1:10">
      <c r="A71" s="414" t="s">
        <v>5989</v>
      </c>
      <c r="B71" s="413" t="s">
        <v>1316</v>
      </c>
      <c r="C71" t="s">
        <v>6018</v>
      </c>
      <c r="D71" s="412" t="s">
        <v>6014</v>
      </c>
      <c r="E71" s="451">
        <v>9.6660000000000004</v>
      </c>
      <c r="F71" s="442" t="s">
        <v>136</v>
      </c>
      <c r="G71" s="428">
        <v>1427</v>
      </c>
      <c r="H71" s="415" t="s">
        <v>6013</v>
      </c>
      <c r="I71" s="416">
        <f t="shared" si="6"/>
        <v>13793.382000000001</v>
      </c>
      <c r="J71" s="415" t="s">
        <v>6013</v>
      </c>
    </row>
    <row r="72" spans="1:10">
      <c r="A72" s="414" t="s">
        <v>5989</v>
      </c>
      <c r="B72" s="413" t="s">
        <v>1316</v>
      </c>
      <c r="C72" t="s">
        <v>6018</v>
      </c>
      <c r="D72" s="412" t="s">
        <v>6009</v>
      </c>
      <c r="E72" s="451">
        <v>9.6660000000000004</v>
      </c>
      <c r="F72" s="442" t="s">
        <v>136</v>
      </c>
      <c r="G72" s="428">
        <v>30</v>
      </c>
      <c r="H72" s="415" t="s">
        <v>6013</v>
      </c>
      <c r="I72" s="416">
        <f t="shared" si="6"/>
        <v>289.98</v>
      </c>
      <c r="J72" s="415" t="s">
        <v>6013</v>
      </c>
    </row>
    <row r="73" spans="1:10">
      <c r="A73" s="414" t="s">
        <v>5989</v>
      </c>
      <c r="B73" s="413" t="s">
        <v>1316</v>
      </c>
      <c r="C73" t="s">
        <v>6018</v>
      </c>
      <c r="D73" s="412" t="s">
        <v>6010</v>
      </c>
      <c r="E73" s="451">
        <v>9.6660000000000004</v>
      </c>
      <c r="F73" s="442" t="s">
        <v>136</v>
      </c>
      <c r="G73" s="428">
        <v>2221.5</v>
      </c>
      <c r="H73" s="415" t="s">
        <v>6013</v>
      </c>
      <c r="I73" s="416">
        <f t="shared" si="6"/>
        <v>21473.019</v>
      </c>
      <c r="J73" s="415" t="s">
        <v>6013</v>
      </c>
    </row>
    <row r="74" spans="1:10">
      <c r="A74" s="414" t="s">
        <v>5989</v>
      </c>
      <c r="B74" s="413" t="s">
        <v>1316</v>
      </c>
      <c r="C74" t="s">
        <v>6018</v>
      </c>
      <c r="D74" s="412" t="s">
        <v>6003</v>
      </c>
      <c r="E74" s="451">
        <v>9.6660000000000004</v>
      </c>
      <c r="F74" s="442" t="s">
        <v>136</v>
      </c>
      <c r="G74" s="428">
        <v>11229</v>
      </c>
      <c r="H74" s="415" t="s">
        <v>6013</v>
      </c>
      <c r="I74" s="416">
        <f t="shared" si="6"/>
        <v>108539.51400000001</v>
      </c>
      <c r="J74" s="415" t="s">
        <v>6013</v>
      </c>
    </row>
    <row r="75" spans="1:10">
      <c r="A75" s="414" t="s">
        <v>5989</v>
      </c>
      <c r="B75" s="413" t="s">
        <v>1316</v>
      </c>
      <c r="C75" t="s">
        <v>6018</v>
      </c>
      <c r="D75" s="412" t="s">
        <v>6021</v>
      </c>
      <c r="E75" s="451">
        <v>9.6660000000000004</v>
      </c>
      <c r="F75" s="442" t="s">
        <v>136</v>
      </c>
      <c r="G75" s="428">
        <v>2834</v>
      </c>
      <c r="H75" s="415" t="s">
        <v>6013</v>
      </c>
      <c r="I75" s="416">
        <f t="shared" si="6"/>
        <v>27393.444</v>
      </c>
      <c r="J75" s="415" t="s">
        <v>6013</v>
      </c>
    </row>
    <row r="76" spans="1:10">
      <c r="A76" s="414" t="s">
        <v>5989</v>
      </c>
      <c r="B76" s="413" t="s">
        <v>1316</v>
      </c>
      <c r="C76" t="s">
        <v>6018</v>
      </c>
      <c r="D76" s="412" t="s">
        <v>6022</v>
      </c>
      <c r="E76" s="449">
        <v>-1</v>
      </c>
      <c r="F76" s="444" t="s">
        <v>136</v>
      </c>
      <c r="G76" s="410" t="s">
        <v>5976</v>
      </c>
      <c r="H76" s="411">
        <v>131235</v>
      </c>
      <c r="I76" s="410" t="s">
        <v>5976</v>
      </c>
      <c r="J76" s="409">
        <f t="shared" ref="J76:J84" si="7">E76*H76</f>
        <v>-131235</v>
      </c>
    </row>
    <row r="77" spans="1:10">
      <c r="A77" s="414" t="s">
        <v>5989</v>
      </c>
      <c r="B77" s="413" t="s">
        <v>5999</v>
      </c>
      <c r="C77" t="s">
        <v>6018</v>
      </c>
      <c r="D77" s="412" t="s">
        <v>6012</v>
      </c>
      <c r="E77" s="450">
        <v>2.6193</v>
      </c>
      <c r="F77" s="442" t="s">
        <v>136</v>
      </c>
      <c r="G77" s="429" t="s">
        <v>5976</v>
      </c>
      <c r="H77" s="427">
        <v>91</v>
      </c>
      <c r="I77" s="429" t="s">
        <v>5976</v>
      </c>
      <c r="J77" s="409">
        <f t="shared" si="7"/>
        <v>238.3563</v>
      </c>
    </row>
    <row r="78" spans="1:10">
      <c r="A78" s="414" t="s">
        <v>5989</v>
      </c>
      <c r="B78" s="413" t="s">
        <v>5999</v>
      </c>
      <c r="C78" t="s">
        <v>6018</v>
      </c>
      <c r="D78" s="412" t="s">
        <v>6002</v>
      </c>
      <c r="E78" s="450">
        <v>2.6193</v>
      </c>
      <c r="F78" s="442" t="s">
        <v>136</v>
      </c>
      <c r="G78" s="429" t="s">
        <v>5976</v>
      </c>
      <c r="H78" s="427">
        <v>654</v>
      </c>
      <c r="I78" s="429" t="s">
        <v>5976</v>
      </c>
      <c r="J78" s="409">
        <f t="shared" si="7"/>
        <v>1713.0221999999999</v>
      </c>
    </row>
    <row r="79" spans="1:10">
      <c r="A79" s="414" t="s">
        <v>5989</v>
      </c>
      <c r="B79" s="413" t="s">
        <v>5999</v>
      </c>
      <c r="C79" t="s">
        <v>6018</v>
      </c>
      <c r="D79" s="412" t="s">
        <v>6014</v>
      </c>
      <c r="E79" s="450">
        <v>2.6193</v>
      </c>
      <c r="F79" s="442" t="s">
        <v>136</v>
      </c>
      <c r="G79" s="429" t="s">
        <v>5976</v>
      </c>
      <c r="H79" s="427">
        <v>2024</v>
      </c>
      <c r="I79" s="429" t="s">
        <v>5976</v>
      </c>
      <c r="J79" s="409">
        <f t="shared" si="7"/>
        <v>5301.4632000000001</v>
      </c>
    </row>
    <row r="80" spans="1:10">
      <c r="A80" s="414" t="s">
        <v>5989</v>
      </c>
      <c r="B80" s="413" t="s">
        <v>5999</v>
      </c>
      <c r="C80" t="s">
        <v>6018</v>
      </c>
      <c r="D80" s="412" t="s">
        <v>6009</v>
      </c>
      <c r="E80" s="450">
        <v>2.6193</v>
      </c>
      <c r="F80" s="442" t="s">
        <v>136</v>
      </c>
      <c r="G80" s="429" t="s">
        <v>5976</v>
      </c>
      <c r="H80" s="427">
        <v>739</v>
      </c>
      <c r="I80" s="429" t="s">
        <v>5976</v>
      </c>
      <c r="J80" s="409">
        <f t="shared" si="7"/>
        <v>1935.6626999999999</v>
      </c>
    </row>
    <row r="81" spans="1:10">
      <c r="A81" s="414" t="s">
        <v>5989</v>
      </c>
      <c r="B81" s="413" t="s">
        <v>5999</v>
      </c>
      <c r="C81" t="s">
        <v>6018</v>
      </c>
      <c r="D81" s="412" t="s">
        <v>6003</v>
      </c>
      <c r="E81" s="450">
        <v>2.6193</v>
      </c>
      <c r="F81" s="442" t="s">
        <v>136</v>
      </c>
      <c r="G81" s="429" t="s">
        <v>5976</v>
      </c>
      <c r="H81" s="427">
        <v>16556</v>
      </c>
      <c r="I81" s="429" t="s">
        <v>5976</v>
      </c>
      <c r="J81" s="409">
        <f t="shared" si="7"/>
        <v>43365.130799999999</v>
      </c>
    </row>
    <row r="82" spans="1:10">
      <c r="A82" s="414" t="s">
        <v>5989</v>
      </c>
      <c r="B82" s="413" t="s">
        <v>5999</v>
      </c>
      <c r="C82" t="s">
        <v>6018</v>
      </c>
      <c r="D82" s="412" t="s">
        <v>6023</v>
      </c>
      <c r="E82" s="450">
        <v>2.6193</v>
      </c>
      <c r="F82" s="442" t="s">
        <v>136</v>
      </c>
      <c r="G82" s="429" t="s">
        <v>5976</v>
      </c>
      <c r="H82" s="427">
        <v>52</v>
      </c>
      <c r="I82" s="429" t="s">
        <v>5976</v>
      </c>
      <c r="J82" s="409">
        <f t="shared" si="7"/>
        <v>136.20359999999999</v>
      </c>
    </row>
    <row r="83" spans="1:10">
      <c r="A83" s="414" t="s">
        <v>5989</v>
      </c>
      <c r="B83" s="413" t="s">
        <v>5999</v>
      </c>
      <c r="C83" t="s">
        <v>6018</v>
      </c>
      <c r="D83" s="412" t="s">
        <v>6024</v>
      </c>
      <c r="E83" s="450">
        <v>2.6193</v>
      </c>
      <c r="F83" s="442" t="s">
        <v>2688</v>
      </c>
      <c r="G83" s="429" t="s">
        <v>5976</v>
      </c>
      <c r="H83" s="427">
        <v>446</v>
      </c>
      <c r="I83" s="429" t="s">
        <v>5976</v>
      </c>
      <c r="J83" s="409">
        <f t="shared" si="7"/>
        <v>1168.2077999999999</v>
      </c>
    </row>
    <row r="84" spans="1:10">
      <c r="A84" s="414" t="s">
        <v>5989</v>
      </c>
      <c r="B84" s="413" t="s">
        <v>5999</v>
      </c>
      <c r="C84" t="s">
        <v>6018</v>
      </c>
      <c r="D84" s="412" t="s">
        <v>6025</v>
      </c>
      <c r="E84" s="450">
        <v>2.6193</v>
      </c>
      <c r="F84" s="442" t="s">
        <v>136</v>
      </c>
      <c r="G84" s="429" t="s">
        <v>5976</v>
      </c>
      <c r="H84" s="427">
        <v>235241</v>
      </c>
      <c r="I84" s="429" t="s">
        <v>5976</v>
      </c>
      <c r="J84" s="409">
        <f t="shared" si="7"/>
        <v>616166.7513</v>
      </c>
    </row>
    <row r="85" spans="1:10">
      <c r="A85" s="414" t="s">
        <v>5989</v>
      </c>
      <c r="B85" s="413" t="s">
        <v>5999</v>
      </c>
      <c r="C85" t="s">
        <v>6018</v>
      </c>
      <c r="D85" s="412" t="s">
        <v>6002</v>
      </c>
      <c r="E85" s="451">
        <v>9.6660000000000004</v>
      </c>
      <c r="F85" s="442" t="s">
        <v>136</v>
      </c>
      <c r="G85" s="428">
        <v>446</v>
      </c>
      <c r="H85" s="427" t="s">
        <v>5976</v>
      </c>
      <c r="I85" s="416">
        <f t="shared" ref="I85:I90" si="8">E85*G85</f>
        <v>4311.0360000000001</v>
      </c>
      <c r="J85" s="427" t="s">
        <v>5976</v>
      </c>
    </row>
    <row r="86" spans="1:10">
      <c r="A86" s="414" t="s">
        <v>5989</v>
      </c>
      <c r="B86" s="413" t="s">
        <v>5999</v>
      </c>
      <c r="C86" t="s">
        <v>6018</v>
      </c>
      <c r="D86" s="412" t="s">
        <v>6014</v>
      </c>
      <c r="E86" s="451">
        <v>9.6660000000000004</v>
      </c>
      <c r="F86" s="442" t="s">
        <v>136</v>
      </c>
      <c r="G86" s="428">
        <v>268</v>
      </c>
      <c r="H86" s="427" t="s">
        <v>5976</v>
      </c>
      <c r="I86" s="416">
        <f t="shared" si="8"/>
        <v>2590.4880000000003</v>
      </c>
      <c r="J86" s="427" t="s">
        <v>5976</v>
      </c>
    </row>
    <row r="87" spans="1:10">
      <c r="A87" s="414" t="s">
        <v>5989</v>
      </c>
      <c r="B87" s="413" t="s">
        <v>5999</v>
      </c>
      <c r="C87" t="s">
        <v>6018</v>
      </c>
      <c r="D87" s="412" t="s">
        <v>6009</v>
      </c>
      <c r="E87" s="451">
        <v>9.6660000000000004</v>
      </c>
      <c r="F87" s="442" t="s">
        <v>136</v>
      </c>
      <c r="G87" s="428">
        <v>134</v>
      </c>
      <c r="H87" s="427" t="s">
        <v>5976</v>
      </c>
      <c r="I87" s="416">
        <f t="shared" si="8"/>
        <v>1295.2440000000001</v>
      </c>
      <c r="J87" s="427" t="s">
        <v>5976</v>
      </c>
    </row>
    <row r="88" spans="1:10">
      <c r="A88" s="414" t="s">
        <v>5989</v>
      </c>
      <c r="B88" s="413" t="s">
        <v>5999</v>
      </c>
      <c r="C88" t="s">
        <v>6018</v>
      </c>
      <c r="D88" s="412" t="s">
        <v>6010</v>
      </c>
      <c r="E88" s="451">
        <v>9.6660000000000004</v>
      </c>
      <c r="F88" s="442" t="s">
        <v>136</v>
      </c>
      <c r="G88" s="428">
        <v>16774.5703125</v>
      </c>
      <c r="H88" s="427" t="s">
        <v>5976</v>
      </c>
      <c r="I88" s="416">
        <f t="shared" si="8"/>
        <v>162142.996640625</v>
      </c>
      <c r="J88" s="427" t="s">
        <v>5976</v>
      </c>
    </row>
    <row r="89" spans="1:10">
      <c r="A89" s="414" t="s">
        <v>5989</v>
      </c>
      <c r="B89" s="413" t="s">
        <v>5999</v>
      </c>
      <c r="C89" t="s">
        <v>6018</v>
      </c>
      <c r="D89" s="412" t="s">
        <v>6003</v>
      </c>
      <c r="E89" s="451">
        <v>9.6660000000000004</v>
      </c>
      <c r="F89" s="442" t="s">
        <v>136</v>
      </c>
      <c r="G89" s="428">
        <v>9297</v>
      </c>
      <c r="H89" s="427" t="s">
        <v>5976</v>
      </c>
      <c r="I89" s="416">
        <f t="shared" si="8"/>
        <v>89864.802000000011</v>
      </c>
      <c r="J89" s="427" t="s">
        <v>5976</v>
      </c>
    </row>
    <row r="90" spans="1:10">
      <c r="A90" s="414" t="s">
        <v>5989</v>
      </c>
      <c r="B90" s="413" t="s">
        <v>5999</v>
      </c>
      <c r="C90" t="s">
        <v>6018</v>
      </c>
      <c r="D90" s="412" t="s">
        <v>6021</v>
      </c>
      <c r="E90" s="451">
        <v>9.6660000000000004</v>
      </c>
      <c r="F90" s="442" t="s">
        <v>136</v>
      </c>
      <c r="G90" s="428">
        <v>2834</v>
      </c>
      <c r="H90" s="427" t="s">
        <v>5976</v>
      </c>
      <c r="I90" s="416">
        <f t="shared" si="8"/>
        <v>27393.444</v>
      </c>
      <c r="J90" s="427" t="s">
        <v>5976</v>
      </c>
    </row>
    <row r="91" spans="1:10">
      <c r="A91" s="414" t="s">
        <v>5989</v>
      </c>
      <c r="B91" s="413" t="s">
        <v>5999</v>
      </c>
      <c r="C91" t="s">
        <v>6018</v>
      </c>
      <c r="D91" s="412" t="s">
        <v>6022</v>
      </c>
      <c r="E91" s="449">
        <v>-1</v>
      </c>
      <c r="F91" s="444" t="s">
        <v>136</v>
      </c>
      <c r="G91" s="410" t="s">
        <v>5976</v>
      </c>
      <c r="H91" s="411">
        <v>101289</v>
      </c>
      <c r="I91" s="410" t="s">
        <v>5976</v>
      </c>
      <c r="J91" s="409">
        <f>E91*H91</f>
        <v>-101289</v>
      </c>
    </row>
    <row r="92" spans="1:10">
      <c r="A92" s="414" t="s">
        <v>5989</v>
      </c>
      <c r="B92" s="413" t="s">
        <v>1316</v>
      </c>
      <c r="C92" t="s">
        <v>6026</v>
      </c>
      <c r="D92" s="412" t="s">
        <v>6027</v>
      </c>
      <c r="E92" s="449">
        <v>1785</v>
      </c>
      <c r="F92" s="419" t="s">
        <v>3397</v>
      </c>
      <c r="G92" s="417" t="s">
        <v>5976</v>
      </c>
      <c r="H92" s="426">
        <v>14</v>
      </c>
      <c r="I92" s="417" t="s">
        <v>5976</v>
      </c>
      <c r="J92" s="409">
        <f>E92*H92</f>
        <v>24990</v>
      </c>
    </row>
    <row r="93" spans="1:10">
      <c r="A93" s="414" t="s">
        <v>5989</v>
      </c>
      <c r="B93" s="413" t="s">
        <v>1316</v>
      </c>
      <c r="C93" t="s">
        <v>6026</v>
      </c>
      <c r="D93" s="424" t="s">
        <v>6028</v>
      </c>
      <c r="E93" s="450">
        <v>2.6193</v>
      </c>
      <c r="F93" s="442" t="s">
        <v>136</v>
      </c>
      <c r="G93" s="417" t="s">
        <v>5976</v>
      </c>
      <c r="H93" s="411">
        <v>148480</v>
      </c>
      <c r="I93" s="417" t="s">
        <v>5976</v>
      </c>
      <c r="J93" s="409">
        <f>E93*H93</f>
        <v>388913.66399999999</v>
      </c>
    </row>
    <row r="94" spans="1:10">
      <c r="A94" s="414" t="s">
        <v>5989</v>
      </c>
      <c r="B94" s="413" t="s">
        <v>1316</v>
      </c>
      <c r="C94" t="s">
        <v>6026</v>
      </c>
      <c r="D94" s="425" t="s">
        <v>6029</v>
      </c>
      <c r="E94" s="450">
        <v>1000</v>
      </c>
      <c r="F94" s="442" t="s">
        <v>6030</v>
      </c>
      <c r="G94" s="418">
        <v>35.480000000000004</v>
      </c>
      <c r="H94" s="415" t="s">
        <v>6013</v>
      </c>
      <c r="I94" s="416">
        <f>E94*G94</f>
        <v>35480.000000000007</v>
      </c>
      <c r="J94" s="415" t="s">
        <v>6013</v>
      </c>
    </row>
    <row r="95" spans="1:10">
      <c r="A95" s="414" t="s">
        <v>5989</v>
      </c>
      <c r="B95" s="413" t="s">
        <v>1316</v>
      </c>
      <c r="C95" t="s">
        <v>6026</v>
      </c>
      <c r="D95" s="424" t="s">
        <v>6031</v>
      </c>
      <c r="E95" s="450">
        <v>1000</v>
      </c>
      <c r="F95" s="442" t="s">
        <v>6030</v>
      </c>
      <c r="G95" s="423">
        <v>6.07</v>
      </c>
      <c r="H95" s="415" t="s">
        <v>6013</v>
      </c>
      <c r="I95" s="416">
        <f>E95*G95</f>
        <v>6070</v>
      </c>
      <c r="J95" s="415" t="s">
        <v>6013</v>
      </c>
    </row>
    <row r="96" spans="1:10">
      <c r="A96" s="414" t="s">
        <v>5989</v>
      </c>
      <c r="B96" s="413" t="s">
        <v>5999</v>
      </c>
      <c r="C96" t="s">
        <v>6026</v>
      </c>
      <c r="D96" s="412" t="s">
        <v>6027</v>
      </c>
      <c r="E96" s="450">
        <v>1785</v>
      </c>
      <c r="F96" s="419" t="s">
        <v>3397</v>
      </c>
      <c r="G96" s="417" t="s">
        <v>5976</v>
      </c>
      <c r="H96" s="411">
        <v>13</v>
      </c>
      <c r="I96" s="417" t="s">
        <v>5976</v>
      </c>
      <c r="J96" s="409">
        <f>E96*H96</f>
        <v>23205</v>
      </c>
    </row>
    <row r="97" spans="1:10">
      <c r="A97" s="414" t="s">
        <v>5989</v>
      </c>
      <c r="B97" s="413" t="s">
        <v>5999</v>
      </c>
      <c r="C97" t="s">
        <v>6026</v>
      </c>
      <c r="D97" s="424" t="s">
        <v>6032</v>
      </c>
      <c r="E97" s="450">
        <v>2.6193</v>
      </c>
      <c r="F97" s="442" t="s">
        <v>136</v>
      </c>
      <c r="G97" s="417" t="s">
        <v>5976</v>
      </c>
      <c r="H97" s="411">
        <v>5177</v>
      </c>
      <c r="I97" s="417" t="s">
        <v>5976</v>
      </c>
      <c r="J97" s="409">
        <f>E97*H97</f>
        <v>13560.116099999999</v>
      </c>
    </row>
    <row r="98" spans="1:10">
      <c r="A98" s="414" t="s">
        <v>5989</v>
      </c>
      <c r="B98" s="413" t="s">
        <v>5999</v>
      </c>
      <c r="C98" t="s">
        <v>6026</v>
      </c>
      <c r="D98" s="424" t="s">
        <v>6028</v>
      </c>
      <c r="E98" s="450">
        <v>2.6193</v>
      </c>
      <c r="F98" s="442" t="s">
        <v>136</v>
      </c>
      <c r="G98" s="417" t="s">
        <v>5976</v>
      </c>
      <c r="H98" s="411">
        <v>9720</v>
      </c>
      <c r="I98" s="417" t="s">
        <v>5976</v>
      </c>
      <c r="J98" s="409">
        <f>E98*H98</f>
        <v>25459.596000000001</v>
      </c>
    </row>
    <row r="99" spans="1:10">
      <c r="A99" s="414" t="s">
        <v>5989</v>
      </c>
      <c r="B99" s="413" t="s">
        <v>5999</v>
      </c>
      <c r="C99" t="s">
        <v>6026</v>
      </c>
      <c r="D99" s="424" t="s">
        <v>6031</v>
      </c>
      <c r="E99" s="450">
        <v>1000</v>
      </c>
      <c r="F99" s="442" t="s">
        <v>6030</v>
      </c>
      <c r="G99" s="423">
        <v>8.09</v>
      </c>
      <c r="H99" s="415" t="s">
        <v>6013</v>
      </c>
      <c r="I99" s="416">
        <f>E99*G99</f>
        <v>8090</v>
      </c>
      <c r="J99" s="415" t="s">
        <v>6013</v>
      </c>
    </row>
    <row r="100" spans="1:10">
      <c r="A100" s="414" t="s">
        <v>5989</v>
      </c>
      <c r="B100" s="413" t="s">
        <v>1072</v>
      </c>
      <c r="C100" t="s">
        <v>6026</v>
      </c>
      <c r="D100" s="412" t="s">
        <v>6027</v>
      </c>
      <c r="E100" s="450">
        <v>1785</v>
      </c>
      <c r="F100" s="419" t="s">
        <v>3397</v>
      </c>
      <c r="G100" s="417" t="s">
        <v>5976</v>
      </c>
      <c r="H100" s="411">
        <v>35</v>
      </c>
      <c r="I100" s="417" t="s">
        <v>5976</v>
      </c>
      <c r="J100" s="409">
        <f>E100*H100</f>
        <v>62475</v>
      </c>
    </row>
    <row r="101" spans="1:10">
      <c r="A101" s="414" t="s">
        <v>5989</v>
      </c>
      <c r="B101" s="413" t="s">
        <v>1316</v>
      </c>
      <c r="C101" t="s">
        <v>6033</v>
      </c>
      <c r="D101" s="412" t="s">
        <v>6034</v>
      </c>
      <c r="E101" s="449">
        <v>650</v>
      </c>
      <c r="F101" s="419" t="s">
        <v>6035</v>
      </c>
      <c r="G101" s="417" t="s">
        <v>5976</v>
      </c>
      <c r="H101" s="411">
        <v>372</v>
      </c>
      <c r="I101" s="417" t="s">
        <v>5976</v>
      </c>
      <c r="J101" s="409">
        <f>E101*H101</f>
        <v>241800</v>
      </c>
    </row>
    <row r="102" spans="1:10">
      <c r="A102" s="414" t="s">
        <v>5989</v>
      </c>
      <c r="B102" s="413" t="s">
        <v>5999</v>
      </c>
      <c r="C102" t="s">
        <v>6033</v>
      </c>
      <c r="D102" s="412" t="s">
        <v>6036</v>
      </c>
      <c r="E102" s="449">
        <v>14708</v>
      </c>
      <c r="F102" s="419" t="s">
        <v>3397</v>
      </c>
      <c r="G102" s="417" t="s">
        <v>5976</v>
      </c>
      <c r="H102" s="411">
        <v>2</v>
      </c>
      <c r="I102" s="417" t="s">
        <v>5976</v>
      </c>
      <c r="J102" s="409">
        <f>E102*H102</f>
        <v>29416</v>
      </c>
    </row>
    <row r="103" spans="1:10">
      <c r="A103" s="414" t="s">
        <v>5989</v>
      </c>
      <c r="B103" s="413" t="s">
        <v>5999</v>
      </c>
      <c r="C103" t="s">
        <v>6033</v>
      </c>
      <c r="D103" s="412" t="s">
        <v>6037</v>
      </c>
      <c r="E103" s="449">
        <v>-1</v>
      </c>
      <c r="F103" s="444" t="s">
        <v>136</v>
      </c>
      <c r="G103" s="410" t="s">
        <v>5976</v>
      </c>
      <c r="H103" s="411">
        <v>243984</v>
      </c>
      <c r="I103" s="410" t="s">
        <v>5976</v>
      </c>
      <c r="J103" s="409">
        <f>E103*H103</f>
        <v>-243984</v>
      </c>
    </row>
    <row r="104" spans="1:10">
      <c r="A104" s="414" t="s">
        <v>6038</v>
      </c>
      <c r="B104" s="413" t="s">
        <v>120</v>
      </c>
      <c r="C104" t="s">
        <v>6039</v>
      </c>
      <c r="D104" s="412" t="s">
        <v>6040</v>
      </c>
      <c r="E104" s="451">
        <v>2.214</v>
      </c>
      <c r="F104" s="419" t="s">
        <v>6041</v>
      </c>
      <c r="G104" s="417">
        <v>23162.499999999993</v>
      </c>
      <c r="H104" s="415" t="s">
        <v>6013</v>
      </c>
      <c r="I104" s="416">
        <f>E104*G104</f>
        <v>51281.77499999998</v>
      </c>
      <c r="J104" s="415" t="s">
        <v>6013</v>
      </c>
    </row>
    <row r="105" spans="1:10">
      <c r="A105" s="414" t="s">
        <v>6038</v>
      </c>
      <c r="B105" s="413" t="s">
        <v>120</v>
      </c>
      <c r="C105" t="s">
        <v>6039</v>
      </c>
      <c r="D105" s="412" t="s">
        <v>6042</v>
      </c>
      <c r="E105" s="449">
        <v>0.1</v>
      </c>
      <c r="F105" s="419" t="s">
        <v>6041</v>
      </c>
      <c r="G105" s="417">
        <v>27712201</v>
      </c>
      <c r="H105" s="411">
        <v>537462</v>
      </c>
      <c r="I105" s="416">
        <f>E105*G105</f>
        <v>2771220.1</v>
      </c>
      <c r="J105" s="409">
        <f>E105*H105</f>
        <v>53746.200000000004</v>
      </c>
    </row>
    <row r="106" spans="1:10">
      <c r="A106" s="414" t="s">
        <v>6038</v>
      </c>
      <c r="B106" s="413" t="s">
        <v>120</v>
      </c>
      <c r="C106" t="s">
        <v>6039</v>
      </c>
      <c r="D106" s="412" t="s">
        <v>6043</v>
      </c>
      <c r="E106" s="451">
        <v>2.214</v>
      </c>
      <c r="F106" s="419" t="s">
        <v>6044</v>
      </c>
      <c r="G106" s="417">
        <v>1820</v>
      </c>
      <c r="H106" s="415" t="s">
        <v>6013</v>
      </c>
      <c r="I106" s="416">
        <f>E106*G106</f>
        <v>4029.48</v>
      </c>
      <c r="J106" s="415" t="s">
        <v>6013</v>
      </c>
    </row>
    <row r="107" spans="1:10">
      <c r="A107" s="414" t="s">
        <v>6038</v>
      </c>
      <c r="B107" s="413" t="s">
        <v>120</v>
      </c>
      <c r="C107" t="s">
        <v>6039</v>
      </c>
      <c r="D107" s="412" t="s">
        <v>6045</v>
      </c>
      <c r="E107" s="451">
        <v>2.214</v>
      </c>
      <c r="F107" s="419" t="s">
        <v>6044</v>
      </c>
      <c r="G107" s="417">
        <v>10450</v>
      </c>
      <c r="H107" s="415" t="s">
        <v>6013</v>
      </c>
      <c r="I107" s="416">
        <f>E107*G107</f>
        <v>23136.3</v>
      </c>
      <c r="J107" s="415" t="s">
        <v>6013</v>
      </c>
    </row>
    <row r="108" spans="1:10">
      <c r="A108" s="414" t="s">
        <v>6038</v>
      </c>
      <c r="B108" s="413" t="s">
        <v>120</v>
      </c>
      <c r="C108" t="s">
        <v>6039</v>
      </c>
      <c r="D108" s="412" t="s">
        <v>6046</v>
      </c>
      <c r="E108" s="451">
        <v>2.214</v>
      </c>
      <c r="F108" s="419" t="s">
        <v>6044</v>
      </c>
      <c r="G108" s="417">
        <v>4800</v>
      </c>
      <c r="H108" s="415" t="s">
        <v>6013</v>
      </c>
      <c r="I108" s="416">
        <f>E108*G108</f>
        <v>10627.2</v>
      </c>
      <c r="J108" s="415" t="s">
        <v>6013</v>
      </c>
    </row>
    <row r="109" spans="1:10">
      <c r="A109" s="414" t="s">
        <v>6038</v>
      </c>
      <c r="B109" s="413" t="s">
        <v>120</v>
      </c>
      <c r="C109" t="s">
        <v>6047</v>
      </c>
      <c r="D109" s="412" t="s">
        <v>6048</v>
      </c>
      <c r="E109" s="449">
        <v>0.378</v>
      </c>
      <c r="F109" s="419" t="s">
        <v>6044</v>
      </c>
      <c r="G109" s="417" t="s">
        <v>6013</v>
      </c>
      <c r="H109" s="411">
        <v>1447683.7</v>
      </c>
      <c r="I109" s="417" t="s">
        <v>6013</v>
      </c>
      <c r="J109" s="409">
        <f>E109*H109</f>
        <v>547224.43859999999</v>
      </c>
    </row>
    <row r="110" spans="1:10">
      <c r="A110" s="414" t="s">
        <v>6038</v>
      </c>
      <c r="B110" s="413" t="s">
        <v>120</v>
      </c>
      <c r="C110" t="s">
        <v>6047</v>
      </c>
      <c r="D110" s="412" t="s">
        <v>6049</v>
      </c>
      <c r="E110" s="449">
        <v>-1</v>
      </c>
      <c r="F110" s="444" t="s">
        <v>136</v>
      </c>
      <c r="G110" s="410" t="s">
        <v>5976</v>
      </c>
      <c r="H110" s="411">
        <v>1895057</v>
      </c>
      <c r="I110" s="410" t="s">
        <v>5976</v>
      </c>
      <c r="J110" s="409">
        <f>E110*H110</f>
        <v>-1895057</v>
      </c>
    </row>
    <row r="111" spans="1:10">
      <c r="A111" s="414" t="s">
        <v>6038</v>
      </c>
      <c r="B111" s="413" t="s">
        <v>120</v>
      </c>
      <c r="C111" t="s">
        <v>6047</v>
      </c>
      <c r="D111" s="412" t="s">
        <v>6048</v>
      </c>
      <c r="E111" s="451">
        <v>2.3760000000000003</v>
      </c>
      <c r="F111" s="419" t="s">
        <v>6044</v>
      </c>
      <c r="G111" s="417">
        <v>920000</v>
      </c>
      <c r="H111" s="415" t="s">
        <v>6013</v>
      </c>
      <c r="I111" s="416">
        <f>E111*G111</f>
        <v>2185920.0000000005</v>
      </c>
      <c r="J111" s="415" t="s">
        <v>6013</v>
      </c>
    </row>
    <row r="112" spans="1:10">
      <c r="A112" s="414" t="s">
        <v>3147</v>
      </c>
      <c r="B112" s="413" t="s">
        <v>120</v>
      </c>
      <c r="C112" t="s">
        <v>6050</v>
      </c>
      <c r="D112" s="420" t="s">
        <v>6051</v>
      </c>
      <c r="E112" s="449">
        <v>300.5</v>
      </c>
      <c r="F112" s="419" t="s">
        <v>2688</v>
      </c>
      <c r="G112" s="422">
        <v>70</v>
      </c>
      <c r="H112" s="415" t="s">
        <v>6013</v>
      </c>
      <c r="I112" s="416">
        <f>E112*G112</f>
        <v>21035</v>
      </c>
      <c r="J112" s="415" t="s">
        <v>6013</v>
      </c>
    </row>
    <row r="113" spans="1:10">
      <c r="A113" s="414" t="s">
        <v>3147</v>
      </c>
      <c r="B113" s="413" t="s">
        <v>120</v>
      </c>
      <c r="C113" t="s">
        <v>6052</v>
      </c>
      <c r="D113" s="420" t="s">
        <v>6053</v>
      </c>
      <c r="E113" s="449">
        <v>5.4</v>
      </c>
      <c r="F113" s="419" t="s">
        <v>991</v>
      </c>
      <c r="G113" s="418">
        <v>8200</v>
      </c>
      <c r="H113" s="415" t="s">
        <v>6013</v>
      </c>
      <c r="I113" s="416">
        <f>E113*G113</f>
        <v>44280</v>
      </c>
      <c r="J113" s="415" t="s">
        <v>6013</v>
      </c>
    </row>
    <row r="114" spans="1:10">
      <c r="A114" s="414" t="s">
        <v>2694</v>
      </c>
      <c r="B114" s="413" t="s">
        <v>120</v>
      </c>
      <c r="C114" t="s">
        <v>6054</v>
      </c>
      <c r="D114" s="412" t="s">
        <v>6055</v>
      </c>
      <c r="E114" s="451">
        <v>9.0936000000000003</v>
      </c>
      <c r="F114" s="419" t="s">
        <v>6056</v>
      </c>
      <c r="G114" s="417" t="s">
        <v>6013</v>
      </c>
      <c r="H114" s="411">
        <v>14000</v>
      </c>
      <c r="I114" s="417" t="s">
        <v>6013</v>
      </c>
      <c r="J114" s="409">
        <f>E114*H114</f>
        <v>127310.40000000001</v>
      </c>
    </row>
    <row r="115" spans="1:10">
      <c r="A115" s="414" t="s">
        <v>2694</v>
      </c>
      <c r="B115" s="413" t="s">
        <v>5999</v>
      </c>
      <c r="C115" t="s">
        <v>6033</v>
      </c>
      <c r="D115" s="412" t="s">
        <v>6057</v>
      </c>
      <c r="E115" s="449">
        <v>-1</v>
      </c>
      <c r="F115" s="444" t="s">
        <v>136</v>
      </c>
      <c r="G115" s="410" t="s">
        <v>5976</v>
      </c>
      <c r="H115" s="411">
        <v>173688</v>
      </c>
      <c r="I115" s="410" t="s">
        <v>5976</v>
      </c>
      <c r="J115" s="409">
        <f>E115*H115</f>
        <v>-173688</v>
      </c>
    </row>
    <row r="116" spans="1:10">
      <c r="A116" s="414" t="s">
        <v>2694</v>
      </c>
      <c r="B116" s="413" t="s">
        <v>120</v>
      </c>
      <c r="C116" t="s">
        <v>6054</v>
      </c>
      <c r="D116" s="412" t="s">
        <v>6058</v>
      </c>
      <c r="E116" s="451">
        <v>9.0936000000000003</v>
      </c>
      <c r="F116" s="419" t="s">
        <v>6056</v>
      </c>
      <c r="G116" s="417">
        <v>500</v>
      </c>
      <c r="H116" s="415" t="s">
        <v>6013</v>
      </c>
      <c r="I116" s="416">
        <f t="shared" ref="I116:I123" si="9">E116*G116</f>
        <v>4546.8</v>
      </c>
      <c r="J116" s="415" t="s">
        <v>6013</v>
      </c>
    </row>
    <row r="117" spans="1:10">
      <c r="A117" s="414" t="s">
        <v>2694</v>
      </c>
      <c r="B117" s="413" t="s">
        <v>120</v>
      </c>
      <c r="C117" t="s">
        <v>6054</v>
      </c>
      <c r="D117" s="412" t="s">
        <v>6059</v>
      </c>
      <c r="E117" s="451">
        <v>9.0936000000000003</v>
      </c>
      <c r="F117" s="419" t="s">
        <v>6056</v>
      </c>
      <c r="G117" s="417">
        <v>200</v>
      </c>
      <c r="H117" s="415" t="s">
        <v>6013</v>
      </c>
      <c r="I117" s="416">
        <f t="shared" si="9"/>
        <v>1818.72</v>
      </c>
      <c r="J117" s="415" t="s">
        <v>6013</v>
      </c>
    </row>
    <row r="118" spans="1:10">
      <c r="A118" s="414" t="s">
        <v>2694</v>
      </c>
      <c r="B118" s="413" t="s">
        <v>120</v>
      </c>
      <c r="C118" t="s">
        <v>6054</v>
      </c>
      <c r="D118" s="412" t="s">
        <v>6060</v>
      </c>
      <c r="E118" s="451">
        <v>9.0936000000000003</v>
      </c>
      <c r="F118" s="419" t="s">
        <v>6056</v>
      </c>
      <c r="G118" s="417">
        <v>500</v>
      </c>
      <c r="H118" s="415" t="s">
        <v>6013</v>
      </c>
      <c r="I118" s="416">
        <f t="shared" si="9"/>
        <v>4546.8</v>
      </c>
      <c r="J118" s="415" t="s">
        <v>6013</v>
      </c>
    </row>
    <row r="119" spans="1:10">
      <c r="A119" s="414" t="s">
        <v>2694</v>
      </c>
      <c r="B119" s="413" t="s">
        <v>120</v>
      </c>
      <c r="C119" t="s">
        <v>6054</v>
      </c>
      <c r="D119" s="412" t="s">
        <v>2289</v>
      </c>
      <c r="E119" s="451">
        <v>9.0936000000000003</v>
      </c>
      <c r="F119" s="419" t="s">
        <v>6056</v>
      </c>
      <c r="G119" s="417">
        <v>300</v>
      </c>
      <c r="H119" s="415" t="s">
        <v>6013</v>
      </c>
      <c r="I119" s="416">
        <f t="shared" si="9"/>
        <v>2728.08</v>
      </c>
      <c r="J119" s="415" t="s">
        <v>6013</v>
      </c>
    </row>
    <row r="120" spans="1:10">
      <c r="A120" s="414" t="s">
        <v>2694</v>
      </c>
      <c r="B120" s="413" t="s">
        <v>120</v>
      </c>
      <c r="C120" t="s">
        <v>6054</v>
      </c>
      <c r="D120" s="412" t="s">
        <v>6061</v>
      </c>
      <c r="E120" s="451">
        <v>9.0936000000000003</v>
      </c>
      <c r="F120" s="419" t="s">
        <v>6056</v>
      </c>
      <c r="G120" s="417">
        <v>5100</v>
      </c>
      <c r="H120" s="415" t="s">
        <v>6013</v>
      </c>
      <c r="I120" s="416">
        <f t="shared" si="9"/>
        <v>46377.36</v>
      </c>
      <c r="J120" s="415" t="s">
        <v>6013</v>
      </c>
    </row>
    <row r="121" spans="1:10">
      <c r="A121" s="414" t="s">
        <v>2694</v>
      </c>
      <c r="B121" s="413" t="s">
        <v>120</v>
      </c>
      <c r="C121" t="s">
        <v>6054</v>
      </c>
      <c r="D121" s="412" t="s">
        <v>6062</v>
      </c>
      <c r="E121" s="451">
        <v>9.0936000000000003</v>
      </c>
      <c r="F121" s="419" t="s">
        <v>6056</v>
      </c>
      <c r="G121" s="417">
        <v>1800</v>
      </c>
      <c r="H121" s="415" t="s">
        <v>6013</v>
      </c>
      <c r="I121" s="416">
        <f t="shared" si="9"/>
        <v>16368.480000000001</v>
      </c>
      <c r="J121" s="415" t="s">
        <v>6013</v>
      </c>
    </row>
    <row r="122" spans="1:10">
      <c r="A122" s="414" t="s">
        <v>2694</v>
      </c>
      <c r="B122" s="413" t="s">
        <v>120</v>
      </c>
      <c r="C122" t="s">
        <v>6054</v>
      </c>
      <c r="D122" s="412" t="s">
        <v>6063</v>
      </c>
      <c r="E122" s="451">
        <v>9.0936000000000003</v>
      </c>
      <c r="F122" s="419" t="s">
        <v>6056</v>
      </c>
      <c r="G122" s="417">
        <v>10700</v>
      </c>
      <c r="H122" s="415" t="s">
        <v>6013</v>
      </c>
      <c r="I122" s="416">
        <f t="shared" si="9"/>
        <v>97301.52</v>
      </c>
      <c r="J122" s="415" t="s">
        <v>6013</v>
      </c>
    </row>
    <row r="123" spans="1:10">
      <c r="A123" s="414" t="s">
        <v>2694</v>
      </c>
      <c r="B123" s="413" t="s">
        <v>120</v>
      </c>
      <c r="C123" s="421" t="s">
        <v>6064</v>
      </c>
      <c r="D123" s="420" t="s">
        <v>6065</v>
      </c>
      <c r="E123" s="449">
        <v>2300</v>
      </c>
      <c r="F123" s="419" t="s">
        <v>3397</v>
      </c>
      <c r="G123" s="418">
        <v>53</v>
      </c>
      <c r="H123" s="411" t="s">
        <v>5976</v>
      </c>
      <c r="I123" s="416">
        <f t="shared" si="9"/>
        <v>121900</v>
      </c>
      <c r="J123" s="409" t="s">
        <v>5976</v>
      </c>
    </row>
    <row r="124" spans="1:10">
      <c r="A124" s="414" t="s">
        <v>2694</v>
      </c>
      <c r="B124" s="413" t="s">
        <v>120</v>
      </c>
      <c r="C124" t="s">
        <v>6066</v>
      </c>
      <c r="D124" s="412" t="s">
        <v>6067</v>
      </c>
      <c r="E124" s="449">
        <v>115</v>
      </c>
      <c r="F124" s="419" t="s">
        <v>6068</v>
      </c>
      <c r="G124" s="417" t="s">
        <v>6013</v>
      </c>
      <c r="H124" s="411">
        <v>2348.75</v>
      </c>
      <c r="I124" s="417" t="s">
        <v>6013</v>
      </c>
      <c r="J124" s="409">
        <f>E124*H124</f>
        <v>270106.25</v>
      </c>
    </row>
    <row r="125" spans="1:10">
      <c r="A125" s="414" t="s">
        <v>2694</v>
      </c>
      <c r="B125" s="413" t="s">
        <v>120</v>
      </c>
      <c r="C125" t="s">
        <v>6066</v>
      </c>
      <c r="D125" s="412" t="s">
        <v>6067</v>
      </c>
      <c r="E125" s="449">
        <v>1</v>
      </c>
      <c r="F125" s="419" t="s">
        <v>6069</v>
      </c>
      <c r="G125" s="417">
        <v>3000000</v>
      </c>
      <c r="H125" s="415" t="s">
        <v>6013</v>
      </c>
      <c r="I125" s="416">
        <f>E125*G125</f>
        <v>3000000</v>
      </c>
      <c r="J125" s="415" t="s">
        <v>6013</v>
      </c>
    </row>
    <row r="126" spans="1:10">
      <c r="A126" s="414" t="s">
        <v>2694</v>
      </c>
      <c r="B126" s="413" t="s">
        <v>5999</v>
      </c>
      <c r="C126" t="s">
        <v>6033</v>
      </c>
      <c r="D126" s="412" t="s">
        <v>6070</v>
      </c>
      <c r="E126" s="449">
        <v>-1</v>
      </c>
      <c r="F126" s="444" t="s">
        <v>136</v>
      </c>
      <c r="G126" s="410" t="s">
        <v>5976</v>
      </c>
      <c r="H126" s="411">
        <v>3000000</v>
      </c>
      <c r="I126" s="410" t="s">
        <v>5976</v>
      </c>
      <c r="J126" s="409">
        <f>E126*H126</f>
        <v>-3000000</v>
      </c>
    </row>
    <row r="127" spans="1:10" ht="15" thickBot="1">
      <c r="A127" s="408" t="s">
        <v>2694</v>
      </c>
      <c r="B127" s="407" t="s">
        <v>120</v>
      </c>
      <c r="C127" s="406" t="s">
        <v>6066</v>
      </c>
      <c r="D127" s="405" t="s">
        <v>6071</v>
      </c>
      <c r="E127" s="452">
        <v>115</v>
      </c>
      <c r="F127" s="445" t="s">
        <v>6068</v>
      </c>
      <c r="G127" s="403" t="s">
        <v>5976</v>
      </c>
      <c r="H127" s="404">
        <v>8700</v>
      </c>
      <c r="I127" s="403" t="s">
        <v>5976</v>
      </c>
      <c r="J127" s="402">
        <f>E127*H127</f>
        <v>1000500</v>
      </c>
    </row>
    <row r="128" spans="1:10">
      <c r="H128" s="401"/>
      <c r="I128" s="401"/>
    </row>
    <row r="129" spans="6:10">
      <c r="H129" s="401"/>
      <c r="I129" s="401"/>
    </row>
    <row r="130" spans="6:10">
      <c r="H130" s="401"/>
      <c r="I130" s="401">
        <f>SUM(I3:I127)</f>
        <v>16108377.652593756</v>
      </c>
      <c r="J130" s="401">
        <f>SUM(J3:J127)</f>
        <v>2651377.0080000013</v>
      </c>
    </row>
    <row r="135" spans="6:10">
      <c r="F135" s="447"/>
      <c r="G135" s="400"/>
    </row>
  </sheetData>
  <autoFilter ref="A2:J127" xr:uid="{00000000-0009-0000-0000-00001C000000}"/>
  <mergeCells count="7">
    <mergeCell ref="G1:H1"/>
    <mergeCell ref="I1:J1"/>
    <mergeCell ref="A1:A2"/>
    <mergeCell ref="B1:B2"/>
    <mergeCell ref="C1:C2"/>
    <mergeCell ref="D1:D2"/>
    <mergeCell ref="E1:F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dimension ref="A1:D89"/>
  <sheetViews>
    <sheetView workbookViewId="0">
      <selection activeCell="A11" sqref="A11"/>
    </sheetView>
  </sheetViews>
  <sheetFormatPr defaultRowHeight="14.5"/>
  <cols>
    <col min="1" max="1" width="53.7265625" bestFit="1" customWidth="1"/>
    <col min="2" max="4" width="12.81640625" style="19" customWidth="1"/>
  </cols>
  <sheetData>
    <row r="1" spans="1:4" ht="28.5" customHeight="1" thickTop="1" thickBot="1">
      <c r="A1" s="4" t="s">
        <v>6072</v>
      </c>
      <c r="B1" s="9" t="s">
        <v>6073</v>
      </c>
      <c r="C1" s="9" t="s">
        <v>1072</v>
      </c>
      <c r="D1" s="10" t="s">
        <v>6074</v>
      </c>
    </row>
    <row r="2" spans="1:4" ht="15.5" thickTop="1" thickBot="1">
      <c r="A2" s="5" t="s">
        <v>6075</v>
      </c>
      <c r="B2" s="11"/>
      <c r="C2" s="11"/>
      <c r="D2" s="12"/>
    </row>
    <row r="3" spans="1:4" ht="15" thickBot="1">
      <c r="A3" s="5" t="s">
        <v>6076</v>
      </c>
      <c r="B3" s="11"/>
      <c r="C3" s="11"/>
      <c r="D3" s="12"/>
    </row>
    <row r="4" spans="1:4" ht="15" thickBot="1">
      <c r="A4" s="5" t="s">
        <v>148</v>
      </c>
      <c r="B4" s="11"/>
      <c r="C4" s="11"/>
      <c r="D4" s="12"/>
    </row>
    <row r="5" spans="1:4" ht="15" thickBot="1">
      <c r="A5" s="5" t="s">
        <v>6077</v>
      </c>
      <c r="B5" s="11"/>
      <c r="C5" s="11"/>
      <c r="D5" s="12"/>
    </row>
    <row r="6" spans="1:4" ht="15" thickBot="1">
      <c r="A6" s="5" t="s">
        <v>6078</v>
      </c>
      <c r="B6" s="13" t="s">
        <v>6079</v>
      </c>
      <c r="C6" s="11"/>
      <c r="D6" s="12"/>
    </row>
    <row r="7" spans="1:4" ht="15" thickBot="1">
      <c r="A7" s="5" t="s">
        <v>203</v>
      </c>
      <c r="B7" s="11"/>
      <c r="C7" s="11"/>
      <c r="D7" s="12"/>
    </row>
    <row r="8" spans="1:4" ht="15" thickBot="1">
      <c r="A8" s="5" t="s">
        <v>6080</v>
      </c>
      <c r="B8" s="11"/>
      <c r="C8" s="11"/>
      <c r="D8" s="12"/>
    </row>
    <row r="9" spans="1:4" ht="15" thickBot="1">
      <c r="A9" s="5" t="s">
        <v>1511</v>
      </c>
      <c r="B9" s="11"/>
      <c r="C9" s="11"/>
      <c r="D9" s="14" t="s">
        <v>6081</v>
      </c>
    </row>
    <row r="10" spans="1:4" ht="15" thickBot="1">
      <c r="A10" s="5" t="s">
        <v>6082</v>
      </c>
      <c r="B10" s="11"/>
      <c r="C10" s="11"/>
      <c r="D10" s="12"/>
    </row>
    <row r="11" spans="1:4" ht="15" thickBot="1">
      <c r="A11" s="5" t="s">
        <v>6083</v>
      </c>
      <c r="B11" s="13" t="s">
        <v>6079</v>
      </c>
      <c r="C11" s="11"/>
      <c r="D11" s="14" t="s">
        <v>6081</v>
      </c>
    </row>
    <row r="12" spans="1:4" ht="15" thickBot="1">
      <c r="A12" s="5" t="s">
        <v>621</v>
      </c>
      <c r="B12" s="13" t="s">
        <v>6079</v>
      </c>
      <c r="C12" s="11"/>
      <c r="D12" s="14" t="s">
        <v>6081</v>
      </c>
    </row>
    <row r="13" spans="1:4" ht="15" thickBot="1">
      <c r="A13" s="5" t="s">
        <v>701</v>
      </c>
      <c r="B13" s="13" t="s">
        <v>6079</v>
      </c>
      <c r="C13" s="11"/>
      <c r="D13" s="14" t="s">
        <v>6081</v>
      </c>
    </row>
    <row r="14" spans="1:4" ht="15" thickBot="1">
      <c r="A14" s="5" t="s">
        <v>6084</v>
      </c>
      <c r="B14" s="13" t="s">
        <v>6079</v>
      </c>
      <c r="C14" s="11"/>
      <c r="D14" s="14" t="s">
        <v>6081</v>
      </c>
    </row>
    <row r="15" spans="1:4" ht="15" thickBot="1">
      <c r="A15" s="5" t="s">
        <v>6085</v>
      </c>
      <c r="B15" s="15" t="s">
        <v>6081</v>
      </c>
      <c r="C15" s="11"/>
      <c r="D15" s="12"/>
    </row>
    <row r="16" spans="1:4" ht="15" thickBot="1">
      <c r="A16" s="5" t="s">
        <v>3520</v>
      </c>
      <c r="B16" s="15" t="s">
        <v>6081</v>
      </c>
      <c r="C16" s="11"/>
      <c r="D16" s="14" t="s">
        <v>6081</v>
      </c>
    </row>
    <row r="17" spans="1:4" ht="15" thickBot="1">
      <c r="A17" s="5" t="s">
        <v>6086</v>
      </c>
      <c r="B17" s="13" t="s">
        <v>6079</v>
      </c>
      <c r="C17" s="11"/>
      <c r="D17" s="14" t="s">
        <v>6081</v>
      </c>
    </row>
    <row r="18" spans="1:4" ht="15" thickBot="1">
      <c r="A18" s="5" t="s">
        <v>6087</v>
      </c>
      <c r="B18" s="15" t="s">
        <v>6081</v>
      </c>
      <c r="C18" s="11"/>
      <c r="D18" s="14" t="s">
        <v>6081</v>
      </c>
    </row>
    <row r="19" spans="1:4" ht="15" thickBot="1">
      <c r="A19" s="5" t="s">
        <v>6088</v>
      </c>
      <c r="B19" s="11"/>
      <c r="C19" s="11"/>
      <c r="D19" s="12"/>
    </row>
    <row r="20" spans="1:4" ht="15" thickBot="1">
      <c r="A20" s="5" t="s">
        <v>6089</v>
      </c>
      <c r="B20" s="11"/>
      <c r="C20" s="11"/>
      <c r="D20" s="14" t="s">
        <v>6081</v>
      </c>
    </row>
    <row r="21" spans="1:4" ht="15" thickBot="1">
      <c r="A21" s="5" t="s">
        <v>1439</v>
      </c>
      <c r="B21" s="13" t="s">
        <v>6079</v>
      </c>
      <c r="C21" s="11"/>
      <c r="D21" s="14" t="s">
        <v>6081</v>
      </c>
    </row>
    <row r="22" spans="1:4" ht="15" thickBot="1">
      <c r="A22" s="5" t="s">
        <v>222</v>
      </c>
      <c r="B22" s="13" t="s">
        <v>6079</v>
      </c>
      <c r="C22" s="11"/>
      <c r="D22" s="14" t="s">
        <v>6081</v>
      </c>
    </row>
    <row r="23" spans="1:4" ht="15" thickBot="1">
      <c r="A23" s="5" t="s">
        <v>6090</v>
      </c>
      <c r="B23" s="11"/>
      <c r="C23" s="11"/>
      <c r="D23" s="14" t="s">
        <v>6081</v>
      </c>
    </row>
    <row r="24" spans="1:4" ht="15" thickBot="1">
      <c r="A24" s="5" t="s">
        <v>6091</v>
      </c>
      <c r="B24" s="13" t="s">
        <v>6079</v>
      </c>
      <c r="C24" s="11"/>
      <c r="D24" s="12"/>
    </row>
    <row r="25" spans="1:4" ht="15" thickBot="1">
      <c r="A25" s="5" t="s">
        <v>6092</v>
      </c>
      <c r="B25" s="13" t="s">
        <v>6079</v>
      </c>
      <c r="C25" s="11"/>
      <c r="D25" s="12"/>
    </row>
    <row r="26" spans="1:4" ht="15" thickBot="1">
      <c r="A26" s="5" t="s">
        <v>264</v>
      </c>
      <c r="B26" s="13" t="s">
        <v>6079</v>
      </c>
      <c r="C26" s="11"/>
      <c r="D26" s="16" t="s">
        <v>3688</v>
      </c>
    </row>
    <row r="27" spans="1:4" ht="15" thickBot="1">
      <c r="A27" s="5" t="s">
        <v>912</v>
      </c>
      <c r="B27" s="13" t="s">
        <v>6079</v>
      </c>
      <c r="C27" s="11"/>
      <c r="D27" s="14" t="s">
        <v>6081</v>
      </c>
    </row>
    <row r="28" spans="1:4" ht="15" thickBot="1">
      <c r="A28" s="5" t="s">
        <v>923</v>
      </c>
      <c r="B28" s="13" t="s">
        <v>6079</v>
      </c>
      <c r="C28" s="11"/>
      <c r="D28" s="14" t="s">
        <v>6081</v>
      </c>
    </row>
    <row r="29" spans="1:4" ht="15" thickBot="1">
      <c r="A29" s="5" t="s">
        <v>958</v>
      </c>
      <c r="B29" s="13" t="s">
        <v>6079</v>
      </c>
      <c r="C29" s="11"/>
      <c r="D29" s="14" t="s">
        <v>6081</v>
      </c>
    </row>
    <row r="30" spans="1:4" ht="15" thickBot="1">
      <c r="A30" s="5" t="s">
        <v>6093</v>
      </c>
      <c r="B30" s="13" t="s">
        <v>6079</v>
      </c>
      <c r="C30" s="11"/>
      <c r="D30" s="14" t="s">
        <v>6081</v>
      </c>
    </row>
    <row r="31" spans="1:4" ht="15" thickBot="1">
      <c r="A31" s="5" t="s">
        <v>208</v>
      </c>
      <c r="B31" s="15" t="s">
        <v>6081</v>
      </c>
      <c r="C31" s="11"/>
      <c r="D31" s="12"/>
    </row>
    <row r="32" spans="1:4" ht="15" thickBot="1">
      <c r="A32" s="5" t="s">
        <v>6094</v>
      </c>
      <c r="B32" s="11"/>
      <c r="C32" s="11"/>
      <c r="D32" s="12"/>
    </row>
    <row r="33" spans="1:4" ht="15" thickBot="1">
      <c r="A33" s="5" t="s">
        <v>3498</v>
      </c>
      <c r="B33" s="13" t="s">
        <v>6079</v>
      </c>
      <c r="C33" s="11"/>
      <c r="D33" s="12"/>
    </row>
    <row r="34" spans="1:4" ht="15" thickBot="1">
      <c r="A34" s="5" t="s">
        <v>6095</v>
      </c>
      <c r="B34" s="13" t="s">
        <v>6079</v>
      </c>
      <c r="C34" s="11"/>
      <c r="D34" s="12"/>
    </row>
    <row r="35" spans="1:4" ht="15" thickBot="1">
      <c r="A35" s="5" t="s">
        <v>6096</v>
      </c>
      <c r="B35" s="15" t="s">
        <v>6081</v>
      </c>
      <c r="C35" s="11"/>
      <c r="D35" s="14" t="s">
        <v>6081</v>
      </c>
    </row>
    <row r="36" spans="1:4" ht="15" thickBot="1">
      <c r="A36" s="5" t="s">
        <v>148</v>
      </c>
      <c r="B36" s="15" t="s">
        <v>6081</v>
      </c>
      <c r="C36" s="11"/>
      <c r="D36" s="14" t="s">
        <v>6081</v>
      </c>
    </row>
    <row r="37" spans="1:4" ht="15" thickBot="1">
      <c r="A37" s="5" t="s">
        <v>6097</v>
      </c>
      <c r="B37" s="15" t="s">
        <v>6081</v>
      </c>
      <c r="C37" s="11"/>
      <c r="D37" s="12"/>
    </row>
    <row r="38" spans="1:4" ht="15" thickBot="1">
      <c r="A38" s="5" t="s">
        <v>6098</v>
      </c>
      <c r="B38" s="15" t="s">
        <v>6081</v>
      </c>
      <c r="C38" s="11"/>
      <c r="D38" s="14" t="s">
        <v>6081</v>
      </c>
    </row>
    <row r="39" spans="1:4" ht="15" thickBot="1">
      <c r="A39" s="5" t="s">
        <v>6099</v>
      </c>
      <c r="B39" s="15" t="s">
        <v>6081</v>
      </c>
      <c r="C39" s="11"/>
      <c r="D39" s="14" t="s">
        <v>6081</v>
      </c>
    </row>
    <row r="40" spans="1:4" ht="15" thickBot="1">
      <c r="A40" s="5" t="s">
        <v>6100</v>
      </c>
      <c r="B40" s="13" t="s">
        <v>1</v>
      </c>
      <c r="C40" s="11"/>
      <c r="D40" s="14" t="s">
        <v>6081</v>
      </c>
    </row>
    <row r="41" spans="1:4" ht="15" thickBot="1">
      <c r="A41" s="5" t="s">
        <v>6101</v>
      </c>
      <c r="B41" s="15" t="s">
        <v>6081</v>
      </c>
      <c r="C41" s="11"/>
      <c r="D41" s="14" t="s">
        <v>6081</v>
      </c>
    </row>
    <row r="42" spans="1:4" ht="15" thickBot="1">
      <c r="A42" s="5" t="s">
        <v>6102</v>
      </c>
      <c r="B42" s="15" t="s">
        <v>6081</v>
      </c>
      <c r="C42" s="15" t="s">
        <v>6081</v>
      </c>
      <c r="D42" s="14" t="s">
        <v>6081</v>
      </c>
    </row>
    <row r="43" spans="1:4" ht="15" thickBot="1">
      <c r="A43" s="5" t="s">
        <v>6103</v>
      </c>
      <c r="B43" s="15" t="s">
        <v>6081</v>
      </c>
      <c r="C43" s="11"/>
      <c r="D43" s="14" t="s">
        <v>6081</v>
      </c>
    </row>
    <row r="44" spans="1:4" ht="15" thickBot="1">
      <c r="A44" s="5" t="s">
        <v>6104</v>
      </c>
      <c r="B44" s="15" t="s">
        <v>6081</v>
      </c>
      <c r="C44" s="11"/>
      <c r="D44" s="14" t="s">
        <v>6081</v>
      </c>
    </row>
    <row r="45" spans="1:4" ht="15" thickBot="1">
      <c r="A45" s="5" t="s">
        <v>6105</v>
      </c>
      <c r="B45" s="13" t="s">
        <v>6079</v>
      </c>
      <c r="C45" s="11"/>
      <c r="D45" s="14" t="s">
        <v>6081</v>
      </c>
    </row>
    <row r="46" spans="1:4" ht="15" thickBot="1">
      <c r="A46" s="5" t="s">
        <v>6106</v>
      </c>
      <c r="B46" s="11"/>
      <c r="C46" s="11"/>
      <c r="D46" s="14" t="s">
        <v>6081</v>
      </c>
    </row>
    <row r="47" spans="1:4" ht="15" thickBot="1">
      <c r="A47" s="6" t="s">
        <v>6107</v>
      </c>
      <c r="B47" s="17"/>
      <c r="C47" s="17"/>
      <c r="D47" s="18" t="s">
        <v>6081</v>
      </c>
    </row>
    <row r="48" spans="1:4" ht="15.5" thickTop="1" thickBot="1">
      <c r="A48" s="7"/>
    </row>
    <row r="49" spans="1:4" ht="27" thickTop="1" thickBot="1">
      <c r="A49" s="8" t="s">
        <v>6108</v>
      </c>
      <c r="B49" s="9" t="s">
        <v>6073</v>
      </c>
      <c r="C49" s="9" t="s">
        <v>1072</v>
      </c>
      <c r="D49" s="10" t="s">
        <v>6074</v>
      </c>
    </row>
    <row r="50" spans="1:4" ht="15.5" thickTop="1" thickBot="1">
      <c r="A50" s="28" t="s">
        <v>6109</v>
      </c>
      <c r="B50" s="20" t="s">
        <v>6081</v>
      </c>
      <c r="C50" s="21"/>
      <c r="D50" s="22" t="s">
        <v>6081</v>
      </c>
    </row>
    <row r="51" spans="1:4" ht="15" thickBot="1">
      <c r="A51" s="5" t="s">
        <v>6110</v>
      </c>
      <c r="B51" s="20" t="s">
        <v>6081</v>
      </c>
      <c r="C51" s="21"/>
      <c r="D51" s="22" t="s">
        <v>6081</v>
      </c>
    </row>
    <row r="52" spans="1:4" ht="15" thickBot="1">
      <c r="A52" s="5" t="s">
        <v>6111</v>
      </c>
      <c r="B52" s="20" t="s">
        <v>6081</v>
      </c>
      <c r="C52" s="21"/>
      <c r="D52" s="22" t="s">
        <v>6081</v>
      </c>
    </row>
    <row r="53" spans="1:4" ht="15" thickBot="1">
      <c r="A53" s="5" t="s">
        <v>6112</v>
      </c>
      <c r="B53" s="20" t="s">
        <v>6081</v>
      </c>
      <c r="C53" s="21"/>
      <c r="D53" s="22" t="s">
        <v>6081</v>
      </c>
    </row>
    <row r="54" spans="1:4" ht="15" thickBot="1">
      <c r="A54" s="5" t="s">
        <v>6113</v>
      </c>
      <c r="B54" s="20" t="s">
        <v>6081</v>
      </c>
      <c r="C54" s="21"/>
      <c r="D54" s="22" t="s">
        <v>6081</v>
      </c>
    </row>
    <row r="55" spans="1:4" ht="15" thickBot="1">
      <c r="A55" s="5" t="s">
        <v>6114</v>
      </c>
      <c r="B55" s="20" t="s">
        <v>6081</v>
      </c>
      <c r="C55" s="21"/>
      <c r="D55" s="22" t="s">
        <v>6081</v>
      </c>
    </row>
    <row r="56" spans="1:4" ht="15" thickBot="1">
      <c r="A56" s="5" t="s">
        <v>6115</v>
      </c>
      <c r="B56" s="21"/>
      <c r="C56" s="21"/>
      <c r="D56" s="22" t="s">
        <v>6081</v>
      </c>
    </row>
    <row r="57" spans="1:4" ht="15" thickBot="1">
      <c r="A57" s="5" t="s">
        <v>6116</v>
      </c>
      <c r="B57" s="20" t="s">
        <v>6081</v>
      </c>
      <c r="C57" s="21"/>
      <c r="D57" s="23" t="s">
        <v>6079</v>
      </c>
    </row>
    <row r="58" spans="1:4" ht="15" thickBot="1">
      <c r="A58" s="5" t="s">
        <v>6117</v>
      </c>
      <c r="B58" s="20" t="s">
        <v>6081</v>
      </c>
      <c r="C58" s="21"/>
      <c r="D58" s="23" t="s">
        <v>6079</v>
      </c>
    </row>
    <row r="59" spans="1:4" ht="15" thickBot="1">
      <c r="A59" s="5" t="s">
        <v>6118</v>
      </c>
      <c r="B59" s="20" t="s">
        <v>6081</v>
      </c>
      <c r="C59" s="21"/>
      <c r="D59" s="23" t="s">
        <v>3688</v>
      </c>
    </row>
    <row r="60" spans="1:4" ht="15" thickBot="1">
      <c r="A60" s="5" t="s">
        <v>6119</v>
      </c>
      <c r="B60" s="21"/>
      <c r="C60" s="21"/>
      <c r="D60" s="22" t="s">
        <v>6081</v>
      </c>
    </row>
    <row r="61" spans="1:4" ht="15" thickBot="1">
      <c r="A61" s="5" t="s">
        <v>6120</v>
      </c>
      <c r="B61" s="21"/>
      <c r="C61" s="21"/>
      <c r="D61" s="24"/>
    </row>
    <row r="62" spans="1:4" ht="15" thickBot="1">
      <c r="A62" s="5" t="s">
        <v>6121</v>
      </c>
      <c r="B62" s="21"/>
      <c r="C62" s="21"/>
      <c r="D62" s="24"/>
    </row>
    <row r="63" spans="1:4" ht="15" thickBot="1">
      <c r="A63" s="5" t="s">
        <v>6122</v>
      </c>
      <c r="B63" s="21"/>
      <c r="C63" s="21"/>
      <c r="D63" s="24"/>
    </row>
    <row r="64" spans="1:4" ht="15" thickBot="1">
      <c r="A64" s="5" t="s">
        <v>6123</v>
      </c>
      <c r="B64" s="20" t="s">
        <v>6081</v>
      </c>
      <c r="C64" s="21"/>
      <c r="D64" s="24"/>
    </row>
    <row r="65" spans="1:4" ht="15" thickBot="1">
      <c r="A65" s="5" t="s">
        <v>6124</v>
      </c>
      <c r="B65" s="21"/>
      <c r="C65" s="21"/>
      <c r="D65" s="23" t="s">
        <v>6079</v>
      </c>
    </row>
    <row r="66" spans="1:4" ht="15" thickBot="1">
      <c r="A66" s="5" t="s">
        <v>6125</v>
      </c>
      <c r="B66" s="21"/>
      <c r="C66" s="21"/>
      <c r="D66" s="24"/>
    </row>
    <row r="67" spans="1:4" ht="15" thickBot="1">
      <c r="A67" s="5" t="s">
        <v>6126</v>
      </c>
      <c r="B67" s="20" t="s">
        <v>6081</v>
      </c>
      <c r="C67" s="21"/>
      <c r="D67" s="22" t="s">
        <v>6081</v>
      </c>
    </row>
    <row r="68" spans="1:4" ht="15" thickBot="1">
      <c r="A68" s="5" t="s">
        <v>6127</v>
      </c>
      <c r="B68" s="21"/>
      <c r="C68" s="21"/>
      <c r="D68" s="24"/>
    </row>
    <row r="69" spans="1:4" ht="15" thickBot="1">
      <c r="A69" s="5" t="s">
        <v>6128</v>
      </c>
      <c r="B69" s="25" t="s">
        <v>6079</v>
      </c>
      <c r="C69" s="25" t="s">
        <v>3688</v>
      </c>
      <c r="D69" s="23" t="s">
        <v>6079</v>
      </c>
    </row>
    <row r="70" spans="1:4" ht="15" thickBot="1">
      <c r="A70" s="5" t="s">
        <v>6129</v>
      </c>
      <c r="B70" s="25" t="s">
        <v>6079</v>
      </c>
      <c r="C70" s="20" t="s">
        <v>6081</v>
      </c>
      <c r="D70" s="22" t="s">
        <v>6081</v>
      </c>
    </row>
    <row r="71" spans="1:4" ht="15" thickBot="1">
      <c r="A71" s="5" t="s">
        <v>6130</v>
      </c>
      <c r="B71" s="21"/>
      <c r="C71" s="21"/>
      <c r="D71" s="24"/>
    </row>
    <row r="72" spans="1:4" ht="15" thickBot="1">
      <c r="A72" s="5" t="s">
        <v>6088</v>
      </c>
      <c r="B72" s="21"/>
      <c r="C72" s="21"/>
      <c r="D72" s="24"/>
    </row>
    <row r="73" spans="1:4" ht="15" thickBot="1">
      <c r="A73" s="5" t="s">
        <v>1439</v>
      </c>
      <c r="B73" s="21"/>
      <c r="C73" s="21"/>
      <c r="D73" s="24"/>
    </row>
    <row r="74" spans="1:4" ht="15" thickBot="1">
      <c r="A74" s="5" t="s">
        <v>6131</v>
      </c>
      <c r="B74" s="21"/>
      <c r="C74" s="21"/>
      <c r="D74" s="24"/>
    </row>
    <row r="75" spans="1:4" ht="15" thickBot="1">
      <c r="A75" s="5" t="s">
        <v>6092</v>
      </c>
      <c r="B75" s="25" t="s">
        <v>6079</v>
      </c>
      <c r="C75" s="21"/>
      <c r="D75" s="24"/>
    </row>
    <row r="76" spans="1:4" ht="15" thickBot="1">
      <c r="A76" s="5" t="s">
        <v>270</v>
      </c>
      <c r="B76" s="25" t="s">
        <v>6079</v>
      </c>
      <c r="C76" s="21"/>
      <c r="D76" s="24"/>
    </row>
    <row r="77" spans="1:4" ht="15" thickBot="1">
      <c r="A77" s="5" t="s">
        <v>923</v>
      </c>
      <c r="B77" s="25" t="s">
        <v>6079</v>
      </c>
      <c r="C77" s="21"/>
      <c r="D77" s="22" t="s">
        <v>6081</v>
      </c>
    </row>
    <row r="78" spans="1:4" ht="15" thickBot="1">
      <c r="A78" s="5" t="s">
        <v>958</v>
      </c>
      <c r="B78" s="25" t="s">
        <v>6079</v>
      </c>
      <c r="C78" s="21"/>
      <c r="D78" s="22" t="s">
        <v>6081</v>
      </c>
    </row>
    <row r="79" spans="1:4" ht="15" thickBot="1">
      <c r="A79" s="5" t="s">
        <v>6093</v>
      </c>
      <c r="B79" s="25" t="s">
        <v>6079</v>
      </c>
      <c r="C79" s="21"/>
      <c r="D79" s="22" t="s">
        <v>6081</v>
      </c>
    </row>
    <row r="80" spans="1:4" ht="15" thickBot="1">
      <c r="A80" s="5" t="s">
        <v>6132</v>
      </c>
      <c r="B80" s="25" t="s">
        <v>6079</v>
      </c>
      <c r="C80" s="21"/>
      <c r="D80" s="22" t="s">
        <v>6081</v>
      </c>
    </row>
    <row r="81" spans="1:4" ht="15" thickBot="1">
      <c r="A81" s="5" t="s">
        <v>6133</v>
      </c>
      <c r="B81" s="21"/>
      <c r="C81" s="21"/>
      <c r="D81" s="22" t="s">
        <v>6081</v>
      </c>
    </row>
    <row r="82" spans="1:4" ht="15" thickBot="1">
      <c r="A82" s="5" t="s">
        <v>6134</v>
      </c>
      <c r="B82" s="25" t="s">
        <v>6079</v>
      </c>
      <c r="C82" s="21"/>
      <c r="D82" s="22" t="s">
        <v>6081</v>
      </c>
    </row>
    <row r="83" spans="1:4" ht="15" thickBot="1">
      <c r="A83" s="5" t="s">
        <v>6135</v>
      </c>
      <c r="B83" s="25" t="s">
        <v>6079</v>
      </c>
      <c r="C83" s="21"/>
      <c r="D83" s="22" t="s">
        <v>6081</v>
      </c>
    </row>
    <row r="84" spans="1:4" ht="15" thickBot="1">
      <c r="A84" s="5" t="s">
        <v>6136</v>
      </c>
      <c r="B84" s="25" t="s">
        <v>6079</v>
      </c>
      <c r="C84" s="21"/>
      <c r="D84" s="22" t="s">
        <v>6081</v>
      </c>
    </row>
    <row r="85" spans="1:4" ht="15" thickBot="1">
      <c r="A85" s="5" t="s">
        <v>6137</v>
      </c>
      <c r="B85" s="21"/>
      <c r="C85" s="21"/>
      <c r="D85" s="24"/>
    </row>
    <row r="86" spans="1:4" ht="15" thickBot="1">
      <c r="A86" s="5" t="s">
        <v>6138</v>
      </c>
      <c r="B86" s="20" t="s">
        <v>6081</v>
      </c>
      <c r="C86" s="21"/>
      <c r="D86" s="24"/>
    </row>
    <row r="87" spans="1:4" ht="15" thickBot="1">
      <c r="A87" s="5" t="s">
        <v>6139</v>
      </c>
      <c r="B87" s="20" t="s">
        <v>6081</v>
      </c>
      <c r="C87" s="21"/>
      <c r="D87" s="22" t="s">
        <v>6081</v>
      </c>
    </row>
    <row r="88" spans="1:4" ht="15" thickBot="1">
      <c r="A88" s="6" t="s">
        <v>6140</v>
      </c>
      <c r="B88" s="26"/>
      <c r="C88" s="26"/>
      <c r="D88" s="27"/>
    </row>
    <row r="89" spans="1:4" ht="15"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dimension ref="F2:AG68"/>
  <sheetViews>
    <sheetView topLeftCell="C1" zoomScaleNormal="100" workbookViewId="0">
      <selection activeCell="A11" sqref="A11"/>
    </sheetView>
  </sheetViews>
  <sheetFormatPr defaultRowHeight="14.5"/>
  <cols>
    <col min="6" max="6" width="2.1796875" customWidth="1"/>
    <col min="7" max="7" width="48.453125" bestFit="1" customWidth="1"/>
    <col min="8" max="8" width="9.54296875" bestFit="1" customWidth="1"/>
    <col min="9" max="9" width="1.7265625" customWidth="1"/>
    <col min="10" max="10" width="33" bestFit="1" customWidth="1"/>
    <col min="11" max="11" width="12.1796875" style="168" customWidth="1"/>
    <col min="12" max="12" width="11.81640625" style="168" customWidth="1"/>
    <col min="13" max="13" width="17.26953125" style="168" customWidth="1"/>
    <col min="14" max="14" width="10.7265625" style="168" customWidth="1"/>
    <col min="15" max="18" width="11.81640625" style="168" customWidth="1"/>
    <col min="19" max="19" width="1.7265625" customWidth="1"/>
    <col min="25" max="25" width="12.7265625" bestFit="1" customWidth="1"/>
  </cols>
  <sheetData>
    <row r="2" spans="10:17">
      <c r="K2" s="377"/>
      <c r="L2" s="377"/>
      <c r="M2" s="377"/>
      <c r="N2" s="377"/>
      <c r="O2" s="377"/>
      <c r="P2" s="377"/>
      <c r="Q2" s="377"/>
    </row>
    <row r="3" spans="10:17">
      <c r="K3" s="377" t="s">
        <v>5756</v>
      </c>
      <c r="L3" s="377" t="s">
        <v>5754</v>
      </c>
      <c r="M3" s="377" t="s">
        <v>2873</v>
      </c>
      <c r="N3" s="377" t="s">
        <v>6141</v>
      </c>
      <c r="O3" s="377" t="s">
        <v>5750</v>
      </c>
      <c r="P3" s="377" t="s">
        <v>6142</v>
      </c>
      <c r="Q3" s="377" t="s">
        <v>6143</v>
      </c>
    </row>
    <row r="4" spans="10:17">
      <c r="J4" s="161" t="s">
        <v>6144</v>
      </c>
      <c r="K4" s="168">
        <v>8</v>
      </c>
      <c r="L4" s="168">
        <v>8</v>
      </c>
      <c r="M4" s="168">
        <v>8</v>
      </c>
      <c r="N4" s="168">
        <v>8</v>
      </c>
      <c r="O4" s="168">
        <v>8</v>
      </c>
    </row>
    <row r="5" spans="10:17">
      <c r="J5" s="161" t="s">
        <v>6145</v>
      </c>
      <c r="K5" s="168">
        <v>4</v>
      </c>
      <c r="L5" s="168">
        <v>4</v>
      </c>
      <c r="M5" s="168">
        <v>4</v>
      </c>
      <c r="N5" s="168">
        <v>4</v>
      </c>
      <c r="O5" s="168">
        <v>4</v>
      </c>
      <c r="P5" s="168">
        <v>12</v>
      </c>
      <c r="Q5" s="168">
        <v>12</v>
      </c>
    </row>
    <row r="6" spans="10:17">
      <c r="J6" s="161"/>
    </row>
    <row r="8" spans="10:17">
      <c r="J8" s="161" t="s">
        <v>6146</v>
      </c>
      <c r="K8" s="168">
        <f>SUM(K4:Q5)</f>
        <v>84</v>
      </c>
    </row>
    <row r="9" spans="10:17">
      <c r="J9" s="161" t="s">
        <v>6144</v>
      </c>
      <c r="K9" s="168">
        <f>SUM(K4:Q4)*1</f>
        <v>40</v>
      </c>
    </row>
    <row r="10" spans="10:17">
      <c r="J10" s="161" t="s">
        <v>6147</v>
      </c>
      <c r="K10" s="168">
        <f>+SUM(K5:Q5)</f>
        <v>44</v>
      </c>
    </row>
    <row r="12" spans="10:17">
      <c r="K12" s="377" t="s">
        <v>6148</v>
      </c>
    </row>
    <row r="13" spans="10:17">
      <c r="K13" t="s">
        <v>2966</v>
      </c>
      <c r="L13" s="376">
        <f>H45</f>
        <v>69</v>
      </c>
    </row>
    <row r="14" spans="10:17">
      <c r="K14" t="s">
        <v>2967</v>
      </c>
      <c r="L14" s="168">
        <f>((P27*K9)+((SUM(Q27:R27)/2)*K10))/K8</f>
        <v>96.481904761904758</v>
      </c>
    </row>
    <row r="15" spans="10:17">
      <c r="K15" t="s">
        <v>2968</v>
      </c>
      <c r="L15" s="168">
        <f>((P58*K9)+(SUM(P58:Q58)*K10))/K8</f>
        <v>110.99838095238097</v>
      </c>
    </row>
    <row r="16" spans="10:17">
      <c r="K16" t="s">
        <v>6149</v>
      </c>
      <c r="L16" s="168">
        <v>108</v>
      </c>
    </row>
    <row r="17" spans="6:33">
      <c r="K17" t="s">
        <v>6150</v>
      </c>
      <c r="L17" s="168">
        <v>85</v>
      </c>
    </row>
    <row r="18" spans="6:33" ht="15" thickBot="1">
      <c r="K18" t="s">
        <v>6151</v>
      </c>
      <c r="L18" s="168">
        <v>130</v>
      </c>
    </row>
    <row r="19" spans="6:33">
      <c r="K19" s="378" t="s">
        <v>6152</v>
      </c>
      <c r="L19" s="379">
        <f>AVERAGE(L13:L18)</f>
        <v>99.913380952380962</v>
      </c>
    </row>
    <row r="20" spans="6:33" ht="15" thickBot="1">
      <c r="K20" s="380"/>
      <c r="L20" s="811">
        <v>100</v>
      </c>
    </row>
    <row r="22" spans="6:33" ht="7.5" customHeight="1">
      <c r="F22" s="186"/>
      <c r="G22" s="186"/>
      <c r="H22" s="186"/>
      <c r="I22" s="186"/>
      <c r="J22" s="186"/>
      <c r="K22" s="187"/>
      <c r="L22" s="187"/>
      <c r="M22" s="187"/>
      <c r="N22" s="187"/>
      <c r="O22" s="187"/>
      <c r="P22" s="187"/>
      <c r="Q22" s="187"/>
      <c r="R22" s="187"/>
      <c r="S22" s="186"/>
    </row>
    <row r="23" spans="6:33" s="7" customFormat="1">
      <c r="F23" s="188"/>
      <c r="G23" s="159" t="s">
        <v>6153</v>
      </c>
      <c r="H23" s="163" t="s">
        <v>6154</v>
      </c>
      <c r="I23" s="188"/>
      <c r="J23" s="159" t="s">
        <v>6155</v>
      </c>
      <c r="S23" s="188"/>
    </row>
    <row r="24" spans="6:33" ht="29">
      <c r="F24" s="186"/>
      <c r="G24" t="s">
        <v>6156</v>
      </c>
      <c r="H24" s="160">
        <v>137.24</v>
      </c>
      <c r="I24" s="186"/>
      <c r="J24" s="164" t="s">
        <v>21</v>
      </c>
      <c r="K24" s="167" t="s">
        <v>6157</v>
      </c>
      <c r="L24" s="167" t="s">
        <v>6158</v>
      </c>
      <c r="M24" s="167" t="s">
        <v>6159</v>
      </c>
      <c r="N24" s="167" t="s">
        <v>3010</v>
      </c>
      <c r="O24" s="167" t="s">
        <v>6160</v>
      </c>
      <c r="P24" s="167" t="s">
        <v>6161</v>
      </c>
      <c r="Q24" s="167" t="s">
        <v>6162</v>
      </c>
      <c r="R24" s="167" t="s">
        <v>6163</v>
      </c>
      <c r="S24" s="186"/>
      <c r="U24" s="165"/>
      <c r="V24" s="165"/>
      <c r="W24" s="165"/>
      <c r="X24" s="165"/>
      <c r="Y24" s="165"/>
      <c r="Z24" s="165"/>
      <c r="AB24" s="166"/>
      <c r="AC24" s="166"/>
      <c r="AD24" s="166"/>
      <c r="AE24" s="166"/>
      <c r="AF24" s="166"/>
      <c r="AG24" s="166"/>
    </row>
    <row r="25" spans="6:33">
      <c r="F25" s="186"/>
      <c r="G25" t="s">
        <v>6164</v>
      </c>
      <c r="H25" s="160">
        <v>118.84</v>
      </c>
      <c r="I25" s="186"/>
      <c r="J25" t="s">
        <v>6165</v>
      </c>
      <c r="K25" s="168">
        <v>45</v>
      </c>
      <c r="L25" s="168">
        <v>16.2</v>
      </c>
      <c r="M25" s="168">
        <v>1.84</v>
      </c>
      <c r="N25" s="168">
        <v>63.04</v>
      </c>
      <c r="O25" s="168">
        <v>9.4600000000000009</v>
      </c>
      <c r="P25" s="168">
        <v>72.489999999999995</v>
      </c>
      <c r="Q25" s="168">
        <v>108.74</v>
      </c>
      <c r="R25" s="168">
        <v>144.97999999999999</v>
      </c>
      <c r="S25" s="186"/>
      <c r="U25" s="165"/>
      <c r="V25" s="165"/>
      <c r="W25" s="165"/>
      <c r="X25" s="165"/>
      <c r="Y25" s="165"/>
      <c r="Z25" s="165"/>
      <c r="AB25" s="166"/>
      <c r="AC25" s="166"/>
      <c r="AD25" s="166"/>
      <c r="AE25" s="166"/>
      <c r="AF25" s="166"/>
      <c r="AG25" s="166"/>
    </row>
    <row r="26" spans="6:33">
      <c r="F26" s="186"/>
      <c r="G26" t="s">
        <v>6166</v>
      </c>
      <c r="H26" s="160">
        <v>109.01</v>
      </c>
      <c r="I26" s="186"/>
      <c r="J26" t="s">
        <v>6167</v>
      </c>
      <c r="K26" s="168">
        <v>38</v>
      </c>
      <c r="L26" s="168">
        <v>13.68</v>
      </c>
      <c r="M26" s="168">
        <v>1.55</v>
      </c>
      <c r="N26" s="168">
        <v>53.23</v>
      </c>
      <c r="O26" s="168">
        <v>7.98</v>
      </c>
      <c r="P26" s="168">
        <v>61.21</v>
      </c>
      <c r="Q26" s="168">
        <v>91.82</v>
      </c>
      <c r="R26" s="168">
        <v>122.43</v>
      </c>
      <c r="S26" s="186"/>
      <c r="U26" s="165"/>
      <c r="V26" s="165"/>
      <c r="W26" s="165"/>
      <c r="X26" s="165"/>
      <c r="Y26" s="165"/>
      <c r="Z26" s="165"/>
      <c r="AB26" s="166"/>
      <c r="AC26" s="166"/>
      <c r="AD26" s="166"/>
      <c r="AE26" s="166"/>
      <c r="AF26" s="166"/>
      <c r="AG26" s="166"/>
    </row>
    <row r="27" spans="6:33">
      <c r="F27" s="186"/>
      <c r="G27" t="s">
        <v>6168</v>
      </c>
      <c r="H27" s="160">
        <v>134.38</v>
      </c>
      <c r="I27" s="186"/>
      <c r="J27" t="s">
        <v>6169</v>
      </c>
      <c r="K27" s="168">
        <v>43</v>
      </c>
      <c r="L27" s="168">
        <v>15.48</v>
      </c>
      <c r="M27" s="168">
        <v>1.75</v>
      </c>
      <c r="N27" s="168">
        <v>60.23</v>
      </c>
      <c r="O27" s="168">
        <v>9.0399999999999991</v>
      </c>
      <c r="P27" s="168">
        <v>69.27</v>
      </c>
      <c r="Q27" s="168">
        <v>103.9</v>
      </c>
      <c r="R27" s="168">
        <v>138.54</v>
      </c>
      <c r="S27" s="186"/>
      <c r="U27" s="165"/>
      <c r="V27" s="165"/>
      <c r="W27" s="165"/>
      <c r="X27" s="165"/>
      <c r="Y27" s="165"/>
      <c r="Z27" s="165"/>
      <c r="AB27" s="166"/>
      <c r="AC27" s="166"/>
      <c r="AD27" s="166"/>
      <c r="AE27" s="166"/>
      <c r="AF27" s="166"/>
      <c r="AG27" s="166"/>
    </row>
    <row r="28" spans="6:33">
      <c r="F28" s="186"/>
      <c r="G28" t="s">
        <v>6170</v>
      </c>
      <c r="H28" s="160">
        <v>109.44</v>
      </c>
      <c r="I28" s="186"/>
      <c r="J28" t="s">
        <v>6171</v>
      </c>
      <c r="K28" s="168">
        <v>43</v>
      </c>
      <c r="L28" s="168">
        <v>15.48</v>
      </c>
      <c r="M28" s="168">
        <v>1.75</v>
      </c>
      <c r="N28" s="168">
        <v>60.23</v>
      </c>
      <c r="O28" s="168">
        <v>9.0399999999999991</v>
      </c>
      <c r="P28" s="168">
        <v>69.27</v>
      </c>
      <c r="Q28" s="168">
        <v>103.9</v>
      </c>
      <c r="R28" s="168">
        <v>138.54</v>
      </c>
      <c r="S28" s="186"/>
      <c r="U28" s="165"/>
      <c r="V28" s="165"/>
      <c r="W28" s="165"/>
      <c r="X28" s="165"/>
      <c r="Y28" s="165"/>
      <c r="Z28" s="165"/>
      <c r="AB28" s="166"/>
      <c r="AC28" s="166"/>
      <c r="AD28" s="166"/>
      <c r="AE28" s="166"/>
      <c r="AF28" s="166"/>
      <c r="AG28" s="166"/>
    </row>
    <row r="29" spans="6:33">
      <c r="F29" s="186"/>
      <c r="G29" t="s">
        <v>6172</v>
      </c>
      <c r="H29" s="160">
        <v>90.65</v>
      </c>
      <c r="I29" s="186"/>
      <c r="J29" t="s">
        <v>6173</v>
      </c>
      <c r="K29" s="168">
        <v>46</v>
      </c>
      <c r="L29" s="168">
        <v>16.559999999999999</v>
      </c>
      <c r="M29" s="168">
        <v>1.88</v>
      </c>
      <c r="N29" s="168">
        <v>64.44</v>
      </c>
      <c r="O29" s="168">
        <v>9.67</v>
      </c>
      <c r="P29" s="168">
        <v>74.099999999999994</v>
      </c>
      <c r="Q29" s="168">
        <v>111.15</v>
      </c>
      <c r="R29" s="168">
        <v>148.19999999999999</v>
      </c>
      <c r="S29" s="186"/>
      <c r="U29" s="165"/>
      <c r="V29" s="165"/>
      <c r="W29" s="165"/>
      <c r="X29" s="165"/>
      <c r="Y29" s="165"/>
      <c r="Z29" s="165"/>
      <c r="AB29" s="166"/>
      <c r="AC29" s="166"/>
      <c r="AD29" s="166"/>
      <c r="AE29" s="166"/>
      <c r="AF29" s="166"/>
      <c r="AG29" s="166"/>
    </row>
    <row r="30" spans="6:33">
      <c r="F30" s="186"/>
      <c r="G30" t="s">
        <v>6174</v>
      </c>
      <c r="H30" s="160">
        <v>90.89</v>
      </c>
      <c r="I30" s="186"/>
      <c r="J30" t="s">
        <v>6175</v>
      </c>
      <c r="K30" s="168">
        <v>45</v>
      </c>
      <c r="L30" s="168">
        <v>16.2</v>
      </c>
      <c r="M30" s="168">
        <v>1.84</v>
      </c>
      <c r="N30" s="168">
        <v>63.04</v>
      </c>
      <c r="O30" s="168">
        <v>9.4600000000000009</v>
      </c>
      <c r="P30" s="168">
        <v>72.489999999999995</v>
      </c>
      <c r="Q30" s="168">
        <v>108.74</v>
      </c>
      <c r="R30" s="168">
        <v>144.97999999999999</v>
      </c>
      <c r="S30" s="186"/>
      <c r="U30" s="165"/>
      <c r="V30" s="165"/>
      <c r="W30" s="165"/>
      <c r="X30" s="165"/>
      <c r="Y30" s="165"/>
      <c r="Z30" s="165"/>
      <c r="AB30" s="166"/>
      <c r="AC30" s="166"/>
      <c r="AD30" s="166"/>
      <c r="AE30" s="166"/>
      <c r="AF30" s="166"/>
      <c r="AG30" s="166"/>
    </row>
    <row r="31" spans="6:33">
      <c r="F31" s="186"/>
      <c r="G31" t="s">
        <v>6176</v>
      </c>
      <c r="H31" s="160">
        <v>98.58</v>
      </c>
      <c r="I31" s="186"/>
      <c r="J31" t="s">
        <v>6177</v>
      </c>
      <c r="K31" s="168">
        <v>46</v>
      </c>
      <c r="L31" s="168">
        <v>16.559999999999999</v>
      </c>
      <c r="M31" s="168">
        <v>1.88</v>
      </c>
      <c r="N31" s="168">
        <v>64.44</v>
      </c>
      <c r="O31" s="168">
        <v>9.67</v>
      </c>
      <c r="P31" s="168">
        <v>74.099999999999994</v>
      </c>
      <c r="Q31" s="168">
        <v>111.15</v>
      </c>
      <c r="R31" s="168">
        <v>148.19999999999999</v>
      </c>
      <c r="S31" s="186"/>
      <c r="U31" s="165"/>
      <c r="V31" s="165"/>
      <c r="W31" s="165"/>
      <c r="X31" s="165"/>
      <c r="Y31" s="165"/>
      <c r="Z31" s="165"/>
      <c r="AB31" s="166"/>
      <c r="AC31" s="166"/>
      <c r="AD31" s="166"/>
      <c r="AE31" s="166"/>
      <c r="AF31" s="166"/>
      <c r="AG31" s="166"/>
    </row>
    <row r="32" spans="6:33">
      <c r="F32" s="186"/>
      <c r="G32" t="s">
        <v>6178</v>
      </c>
      <c r="H32" s="160">
        <v>87.87</v>
      </c>
      <c r="I32" s="186"/>
      <c r="J32" t="s">
        <v>6179</v>
      </c>
      <c r="K32" s="168">
        <v>49</v>
      </c>
      <c r="L32" s="168">
        <v>17.64</v>
      </c>
      <c r="M32" s="168">
        <v>2</v>
      </c>
      <c r="N32" s="168">
        <v>68.64</v>
      </c>
      <c r="O32" s="168">
        <v>10.3</v>
      </c>
      <c r="P32" s="168">
        <v>78.94</v>
      </c>
      <c r="Q32" s="168">
        <v>118.4</v>
      </c>
      <c r="R32" s="168">
        <v>157.87</v>
      </c>
      <c r="S32" s="186"/>
      <c r="U32" s="165"/>
      <c r="V32" s="165"/>
      <c r="W32" s="165"/>
      <c r="X32" s="165"/>
      <c r="Y32" s="165"/>
      <c r="Z32" s="165"/>
      <c r="AB32" s="166"/>
      <c r="AC32" s="166"/>
      <c r="AD32" s="166"/>
      <c r="AE32" s="166"/>
      <c r="AF32" s="166"/>
      <c r="AG32" s="166"/>
    </row>
    <row r="33" spans="6:33">
      <c r="F33" s="186"/>
      <c r="G33" t="s">
        <v>6180</v>
      </c>
      <c r="H33" s="160">
        <v>90.65</v>
      </c>
      <c r="I33" s="186"/>
      <c r="J33" t="s">
        <v>6181</v>
      </c>
      <c r="K33" s="168">
        <v>46</v>
      </c>
      <c r="L33" s="168">
        <v>16.559999999999999</v>
      </c>
      <c r="M33" s="168">
        <v>1.88</v>
      </c>
      <c r="N33" s="168">
        <v>64.44</v>
      </c>
      <c r="O33" s="168">
        <v>9.67</v>
      </c>
      <c r="P33" s="168">
        <v>74.099999999999994</v>
      </c>
      <c r="Q33" s="168">
        <v>111.15</v>
      </c>
      <c r="R33" s="168">
        <v>148.19999999999999</v>
      </c>
      <c r="S33" s="186"/>
      <c r="U33" s="165"/>
      <c r="V33" s="165"/>
      <c r="W33" s="165"/>
      <c r="X33" s="165"/>
      <c r="Y33" s="165"/>
      <c r="Z33" s="165"/>
      <c r="AB33" s="166"/>
      <c r="AC33" s="166"/>
      <c r="AD33" s="166"/>
      <c r="AE33" s="166"/>
      <c r="AF33" s="166"/>
      <c r="AG33" s="166"/>
    </row>
    <row r="34" spans="6:33">
      <c r="F34" s="186"/>
      <c r="G34" t="s">
        <v>6182</v>
      </c>
      <c r="H34" s="160">
        <v>81.84</v>
      </c>
      <c r="I34" s="186"/>
      <c r="J34" t="s">
        <v>6183</v>
      </c>
      <c r="K34" s="168">
        <v>45</v>
      </c>
      <c r="L34" s="168">
        <v>16.2</v>
      </c>
      <c r="M34" s="168">
        <v>1.84</v>
      </c>
      <c r="N34" s="168">
        <v>63.04</v>
      </c>
      <c r="O34" s="168">
        <v>9.4600000000000009</v>
      </c>
      <c r="P34" s="168">
        <v>72.489999999999995</v>
      </c>
      <c r="Q34" s="168">
        <v>108.74</v>
      </c>
      <c r="R34" s="168">
        <v>144.97999999999999</v>
      </c>
      <c r="S34" s="186"/>
      <c r="U34" s="165"/>
      <c r="V34" s="165"/>
      <c r="W34" s="165"/>
      <c r="X34" s="165"/>
      <c r="Y34" s="165"/>
      <c r="Z34" s="165"/>
      <c r="AB34" s="166"/>
      <c r="AC34" s="166"/>
      <c r="AD34" s="166"/>
      <c r="AE34" s="166"/>
      <c r="AF34" s="166"/>
      <c r="AG34" s="166"/>
    </row>
    <row r="35" spans="6:33">
      <c r="F35" s="186"/>
      <c r="G35" t="s">
        <v>6184</v>
      </c>
      <c r="H35" s="160">
        <v>80.930000000000007</v>
      </c>
      <c r="I35" s="186"/>
      <c r="J35" t="s">
        <v>6185</v>
      </c>
      <c r="K35" s="168">
        <v>45</v>
      </c>
      <c r="L35" s="168">
        <v>16.2</v>
      </c>
      <c r="M35" s="168">
        <v>1.84</v>
      </c>
      <c r="N35" s="168">
        <v>63.04</v>
      </c>
      <c r="O35" s="168">
        <v>9.4600000000000009</v>
      </c>
      <c r="P35" s="168">
        <v>72.489999999999995</v>
      </c>
      <c r="Q35" s="168">
        <v>108.74</v>
      </c>
      <c r="R35" s="168">
        <v>144.97999999999999</v>
      </c>
      <c r="S35" s="186"/>
      <c r="U35" s="165"/>
      <c r="V35" s="165"/>
      <c r="W35" s="165"/>
      <c r="X35" s="165"/>
      <c r="Y35" s="165"/>
      <c r="Z35" s="165"/>
      <c r="AB35" s="166"/>
      <c r="AC35" s="166"/>
      <c r="AD35" s="166"/>
      <c r="AE35" s="166"/>
      <c r="AF35" s="166"/>
      <c r="AG35" s="166"/>
    </row>
    <row r="36" spans="6:33">
      <c r="F36" s="186"/>
      <c r="G36" t="s">
        <v>6186</v>
      </c>
      <c r="H36" s="160">
        <v>87.42</v>
      </c>
      <c r="I36" s="186"/>
      <c r="J36" t="s">
        <v>6187</v>
      </c>
      <c r="K36" s="168">
        <v>44</v>
      </c>
      <c r="L36" s="168">
        <v>15.84</v>
      </c>
      <c r="M36" s="168">
        <v>1.8</v>
      </c>
      <c r="N36" s="168">
        <v>61.64</v>
      </c>
      <c r="O36" s="168">
        <v>9.25</v>
      </c>
      <c r="P36" s="168">
        <v>70.88</v>
      </c>
      <c r="Q36" s="168">
        <v>106.32</v>
      </c>
      <c r="R36" s="168">
        <v>141.76</v>
      </c>
      <c r="S36" s="186"/>
      <c r="U36" s="165"/>
      <c r="V36" s="165"/>
      <c r="W36" s="165"/>
      <c r="X36" s="165"/>
      <c r="Y36" s="165"/>
      <c r="Z36" s="165"/>
      <c r="AB36" s="166"/>
      <c r="AC36" s="166"/>
      <c r="AD36" s="166"/>
      <c r="AE36" s="166"/>
      <c r="AF36" s="166"/>
      <c r="AG36" s="166"/>
    </row>
    <row r="37" spans="6:33">
      <c r="F37" s="186"/>
      <c r="G37" t="s">
        <v>6188</v>
      </c>
      <c r="H37" s="160">
        <v>73.13</v>
      </c>
      <c r="I37" s="186"/>
      <c r="J37" t="s">
        <v>6189</v>
      </c>
      <c r="K37" s="168">
        <v>43</v>
      </c>
      <c r="L37" s="168">
        <v>15.48</v>
      </c>
      <c r="M37" s="168">
        <v>1.75</v>
      </c>
      <c r="N37" s="168">
        <v>60.23</v>
      </c>
      <c r="O37" s="168">
        <v>9.0399999999999991</v>
      </c>
      <c r="P37" s="168">
        <v>69.27</v>
      </c>
      <c r="Q37" s="168">
        <v>103.9</v>
      </c>
      <c r="R37" s="168">
        <v>138.54</v>
      </c>
      <c r="S37" s="186"/>
      <c r="U37" s="165"/>
      <c r="V37" s="165"/>
      <c r="W37" s="165"/>
      <c r="X37" s="165"/>
      <c r="Y37" s="165"/>
      <c r="Z37" s="165"/>
      <c r="AB37" s="166"/>
      <c r="AC37" s="166"/>
      <c r="AD37" s="166"/>
      <c r="AE37" s="166"/>
      <c r="AF37" s="166"/>
      <c r="AG37" s="166"/>
    </row>
    <row r="38" spans="6:33">
      <c r="F38" s="186"/>
      <c r="G38" t="s">
        <v>6190</v>
      </c>
      <c r="H38" s="160">
        <v>67.84</v>
      </c>
      <c r="I38" s="186"/>
      <c r="J38" t="s">
        <v>6191</v>
      </c>
      <c r="K38" s="168">
        <v>35</v>
      </c>
      <c r="L38" s="168">
        <v>12.6</v>
      </c>
      <c r="M38" s="168">
        <v>1.43</v>
      </c>
      <c r="N38" s="168">
        <v>49.03</v>
      </c>
      <c r="O38" s="168">
        <v>7.35</v>
      </c>
      <c r="P38" s="168">
        <v>56.38</v>
      </c>
      <c r="Q38" s="168">
        <v>84.57</v>
      </c>
      <c r="R38" s="168">
        <v>112.76</v>
      </c>
      <c r="S38" s="186"/>
      <c r="U38" s="165"/>
      <c r="V38" s="165"/>
      <c r="W38" s="165"/>
      <c r="X38" s="165"/>
      <c r="Y38" s="165"/>
      <c r="Z38" s="165"/>
      <c r="AB38" s="166"/>
      <c r="AC38" s="166"/>
      <c r="AD38" s="166"/>
      <c r="AE38" s="166"/>
      <c r="AF38" s="166"/>
      <c r="AG38" s="166"/>
    </row>
    <row r="39" spans="6:33">
      <c r="F39" s="186"/>
      <c r="G39" t="s">
        <v>6192</v>
      </c>
      <c r="H39" s="160">
        <v>70.94</v>
      </c>
      <c r="I39" s="186"/>
      <c r="J39" t="s">
        <v>6193</v>
      </c>
      <c r="K39" s="168">
        <v>33</v>
      </c>
      <c r="L39" s="168">
        <v>11.88</v>
      </c>
      <c r="M39" s="168">
        <v>1.35</v>
      </c>
      <c r="N39" s="168">
        <v>46.23</v>
      </c>
      <c r="O39" s="168">
        <v>6.93</v>
      </c>
      <c r="P39" s="168">
        <v>53.16</v>
      </c>
      <c r="Q39" s="168">
        <v>79.739999999999995</v>
      </c>
      <c r="R39" s="168">
        <v>106.32</v>
      </c>
      <c r="S39" s="186"/>
      <c r="U39" s="165"/>
      <c r="V39" s="165"/>
      <c r="W39" s="165"/>
      <c r="X39" s="165"/>
      <c r="Y39" s="165"/>
      <c r="Z39" s="165"/>
      <c r="AB39" s="166"/>
      <c r="AC39" s="166"/>
      <c r="AD39" s="166"/>
      <c r="AE39" s="166"/>
      <c r="AF39" s="166"/>
      <c r="AG39" s="166"/>
    </row>
    <row r="40" spans="6:33">
      <c r="F40" s="186"/>
      <c r="G40" t="s">
        <v>5922</v>
      </c>
      <c r="H40" s="160">
        <v>68.39</v>
      </c>
      <c r="I40" s="186"/>
      <c r="J40" t="s">
        <v>6194</v>
      </c>
      <c r="K40" s="168">
        <v>39</v>
      </c>
      <c r="L40" s="168">
        <v>14.04</v>
      </c>
      <c r="M40" s="168">
        <v>1.59</v>
      </c>
      <c r="N40" s="168">
        <v>54.63</v>
      </c>
      <c r="O40" s="168">
        <v>8.19</v>
      </c>
      <c r="P40" s="168">
        <v>62.83</v>
      </c>
      <c r="Q40" s="168">
        <v>94.24</v>
      </c>
      <c r="R40" s="168">
        <v>125.65</v>
      </c>
      <c r="S40" s="186"/>
      <c r="U40" s="165"/>
      <c r="V40" s="165"/>
      <c r="W40" s="165"/>
      <c r="X40" s="165"/>
      <c r="Y40" s="165"/>
      <c r="Z40" s="165"/>
      <c r="AB40" s="166"/>
      <c r="AC40" s="166"/>
      <c r="AD40" s="166"/>
      <c r="AE40" s="166"/>
      <c r="AF40" s="166"/>
      <c r="AG40" s="166"/>
    </row>
    <row r="41" spans="6:33">
      <c r="F41" s="186"/>
      <c r="G41" t="s">
        <v>6195</v>
      </c>
      <c r="H41" s="160">
        <v>75.400000000000006</v>
      </c>
      <c r="I41" s="186"/>
      <c r="J41" t="s">
        <v>6196</v>
      </c>
      <c r="K41" s="168">
        <v>38</v>
      </c>
      <c r="L41" s="168">
        <v>13.68</v>
      </c>
      <c r="M41" s="168">
        <v>1.55</v>
      </c>
      <c r="N41" s="168">
        <v>53.23</v>
      </c>
      <c r="O41" s="168">
        <v>7.98</v>
      </c>
      <c r="P41" s="168">
        <v>61.21</v>
      </c>
      <c r="Q41" s="168">
        <v>91.82</v>
      </c>
      <c r="R41" s="168">
        <v>122.43</v>
      </c>
      <c r="S41" s="186"/>
    </row>
    <row r="42" spans="6:33">
      <c r="F42" s="186"/>
      <c r="G42" t="s">
        <v>6197</v>
      </c>
      <c r="H42" s="160">
        <v>69</v>
      </c>
      <c r="I42" s="186"/>
      <c r="J42" s="186"/>
      <c r="K42" s="187"/>
      <c r="L42" s="187"/>
      <c r="M42" s="187"/>
      <c r="N42" s="187"/>
      <c r="O42" s="187"/>
      <c r="P42" s="187"/>
      <c r="Q42" s="187"/>
      <c r="R42" s="187"/>
      <c r="S42" s="186"/>
    </row>
    <row r="43" spans="6:33">
      <c r="F43" s="186"/>
      <c r="G43" t="s">
        <v>6198</v>
      </c>
      <c r="H43" s="160">
        <v>85.33</v>
      </c>
      <c r="I43" s="186"/>
      <c r="J43" s="158" t="s">
        <v>2968</v>
      </c>
      <c r="S43" s="186"/>
    </row>
    <row r="44" spans="6:33" ht="29">
      <c r="F44" s="186"/>
      <c r="G44" t="s">
        <v>6199</v>
      </c>
      <c r="H44" s="160">
        <v>72.989999999999995</v>
      </c>
      <c r="I44" s="186"/>
      <c r="J44" s="164" t="s">
        <v>21</v>
      </c>
      <c r="K44" s="167" t="s">
        <v>6157</v>
      </c>
      <c r="L44" s="167" t="s">
        <v>6200</v>
      </c>
      <c r="M44" s="167" t="s">
        <v>6159</v>
      </c>
      <c r="N44" s="167" t="s">
        <v>3010</v>
      </c>
      <c r="O44" s="167" t="s">
        <v>6160</v>
      </c>
      <c r="P44" s="167" t="s">
        <v>6201</v>
      </c>
      <c r="Q44" s="167" t="s">
        <v>6162</v>
      </c>
      <c r="R44" s="167" t="s">
        <v>6163</v>
      </c>
      <c r="S44" s="186"/>
    </row>
    <row r="45" spans="6:33">
      <c r="F45" s="186"/>
      <c r="G45" t="s">
        <v>6202</v>
      </c>
      <c r="H45" s="160">
        <v>69</v>
      </c>
      <c r="I45" s="186"/>
      <c r="J45" t="s">
        <v>6203</v>
      </c>
      <c r="K45" s="168">
        <v>31.9</v>
      </c>
      <c r="L45" s="168">
        <v>35.54</v>
      </c>
      <c r="M45" s="168">
        <v>5.86</v>
      </c>
      <c r="N45" s="168">
        <f>SUM(K45:M45)</f>
        <v>73.3</v>
      </c>
      <c r="O45" s="168">
        <f>N45*0.2</f>
        <v>14.66</v>
      </c>
      <c r="P45" s="168">
        <f>SUM(N45:O45)</f>
        <v>87.96</v>
      </c>
      <c r="Q45" s="168">
        <v>22.74</v>
      </c>
      <c r="S45" s="186"/>
    </row>
    <row r="46" spans="6:33">
      <c r="F46" s="186"/>
      <c r="G46" t="s">
        <v>6204</v>
      </c>
      <c r="H46" s="160">
        <v>69</v>
      </c>
      <c r="I46" s="186"/>
      <c r="J46" t="s">
        <v>6205</v>
      </c>
      <c r="K46" s="168">
        <v>37.08</v>
      </c>
      <c r="L46" s="168">
        <v>39.97</v>
      </c>
      <c r="M46" s="168">
        <v>5.86</v>
      </c>
      <c r="N46" s="168">
        <f t="shared" ref="N46:N63" si="0">SUM(K46:M46)</f>
        <v>82.91</v>
      </c>
      <c r="O46" s="168">
        <f t="shared" ref="O46:O63" si="1">N46*0.2</f>
        <v>16.582000000000001</v>
      </c>
      <c r="P46" s="168">
        <f t="shared" ref="P46:P63" si="2">SUM(N46:O46)</f>
        <v>99.49199999999999</v>
      </c>
      <c r="Q46" s="168">
        <f>25.85</f>
        <v>25.85</v>
      </c>
      <c r="S46" s="186"/>
    </row>
    <row r="47" spans="6:33">
      <c r="F47" s="186"/>
      <c r="G47" t="s">
        <v>6206</v>
      </c>
      <c r="H47" s="160">
        <v>69</v>
      </c>
      <c r="I47" s="186"/>
      <c r="J47" t="s">
        <v>6207</v>
      </c>
      <c r="K47" s="168">
        <v>39.67</v>
      </c>
      <c r="L47" s="168">
        <v>39.590000000000003</v>
      </c>
      <c r="M47" s="168">
        <v>5.86</v>
      </c>
      <c r="N47" s="168">
        <f t="shared" si="0"/>
        <v>85.12</v>
      </c>
      <c r="O47" s="168">
        <f t="shared" si="1"/>
        <v>17.024000000000001</v>
      </c>
      <c r="P47" s="168">
        <f t="shared" si="2"/>
        <v>102.14400000000001</v>
      </c>
      <c r="Q47" s="168">
        <v>27.4</v>
      </c>
      <c r="S47" s="186"/>
    </row>
    <row r="48" spans="6:33">
      <c r="F48" s="186"/>
      <c r="G48" t="s">
        <v>6208</v>
      </c>
      <c r="H48" s="160">
        <v>71.89</v>
      </c>
      <c r="I48" s="186"/>
      <c r="J48" t="s">
        <v>6209</v>
      </c>
      <c r="K48" s="168">
        <v>38</v>
      </c>
      <c r="L48" s="168">
        <v>37.43</v>
      </c>
      <c r="M48" s="168">
        <v>5.86</v>
      </c>
      <c r="N48" s="168">
        <f t="shared" si="0"/>
        <v>81.290000000000006</v>
      </c>
      <c r="O48" s="168">
        <f t="shared" si="1"/>
        <v>16.258000000000003</v>
      </c>
      <c r="P48" s="168">
        <f t="shared" si="2"/>
        <v>97.548000000000002</v>
      </c>
      <c r="Q48" s="168">
        <v>26.4</v>
      </c>
      <c r="S48" s="186"/>
    </row>
    <row r="49" spans="6:19">
      <c r="F49" s="186"/>
      <c r="G49" t="s">
        <v>6210</v>
      </c>
      <c r="H49" s="160">
        <v>71.099999999999994</v>
      </c>
      <c r="I49" s="186"/>
      <c r="J49" t="s">
        <v>6211</v>
      </c>
      <c r="K49" s="168">
        <v>41.53</v>
      </c>
      <c r="L49" s="168">
        <v>40.74</v>
      </c>
      <c r="M49" s="168">
        <v>5.86</v>
      </c>
      <c r="N49" s="168">
        <f t="shared" si="0"/>
        <v>88.13000000000001</v>
      </c>
      <c r="O49" s="168">
        <f t="shared" si="1"/>
        <v>17.626000000000001</v>
      </c>
      <c r="P49" s="168">
        <f t="shared" si="2"/>
        <v>105.75600000000001</v>
      </c>
      <c r="Q49" s="168">
        <v>28.52</v>
      </c>
      <c r="S49" s="186"/>
    </row>
    <row r="50" spans="6:19">
      <c r="F50" s="186"/>
      <c r="G50" t="s">
        <v>6212</v>
      </c>
      <c r="H50" s="160">
        <v>63.17</v>
      </c>
      <c r="I50" s="186"/>
      <c r="J50" t="s">
        <v>6213</v>
      </c>
      <c r="K50" s="168">
        <v>38.86</v>
      </c>
      <c r="L50" s="168">
        <v>34.94</v>
      </c>
      <c r="M50" s="168">
        <v>5.86</v>
      </c>
      <c r="N50" s="168">
        <f t="shared" si="0"/>
        <v>79.66</v>
      </c>
      <c r="O50" s="168">
        <f t="shared" si="1"/>
        <v>15.932</v>
      </c>
      <c r="P50" s="168">
        <f t="shared" si="2"/>
        <v>95.591999999999999</v>
      </c>
      <c r="Q50" s="168">
        <v>26.92</v>
      </c>
      <c r="S50" s="186"/>
    </row>
    <row r="51" spans="6:19">
      <c r="F51" s="186"/>
      <c r="G51" t="s">
        <v>6214</v>
      </c>
      <c r="H51" s="160">
        <v>63.17</v>
      </c>
      <c r="I51" s="186"/>
      <c r="J51" t="s">
        <v>6215</v>
      </c>
      <c r="K51" s="168">
        <v>33.65</v>
      </c>
      <c r="L51" s="168">
        <v>33.880000000000003</v>
      </c>
      <c r="M51" s="168">
        <v>5.86</v>
      </c>
      <c r="N51" s="168">
        <f t="shared" si="0"/>
        <v>73.39</v>
      </c>
      <c r="O51" s="168">
        <f t="shared" si="1"/>
        <v>14.678000000000001</v>
      </c>
      <c r="P51" s="168">
        <f t="shared" si="2"/>
        <v>88.067999999999998</v>
      </c>
      <c r="Q51" s="168">
        <v>23.79</v>
      </c>
      <c r="S51" s="186"/>
    </row>
    <row r="52" spans="6:19">
      <c r="F52" s="186"/>
      <c r="G52" t="s">
        <v>6216</v>
      </c>
      <c r="H52" s="160">
        <v>73.319999999999993</v>
      </c>
      <c r="I52" s="186"/>
      <c r="J52" t="s">
        <v>6174</v>
      </c>
      <c r="K52" s="168">
        <v>43.25</v>
      </c>
      <c r="L52" s="168">
        <v>37.51</v>
      </c>
      <c r="M52" s="168">
        <v>5.86</v>
      </c>
      <c r="N52" s="168">
        <f t="shared" si="0"/>
        <v>86.61999999999999</v>
      </c>
      <c r="O52" s="168">
        <f t="shared" si="1"/>
        <v>17.323999999999998</v>
      </c>
      <c r="P52" s="168">
        <f t="shared" si="2"/>
        <v>103.94399999999999</v>
      </c>
      <c r="Q52" s="168">
        <v>29.55</v>
      </c>
      <c r="S52" s="186"/>
    </row>
    <row r="53" spans="6:19">
      <c r="F53" s="186"/>
      <c r="G53" t="s">
        <v>6217</v>
      </c>
      <c r="H53" s="160">
        <v>60.69</v>
      </c>
      <c r="I53" s="186"/>
      <c r="J53" t="s">
        <v>6218</v>
      </c>
      <c r="K53" s="168">
        <v>36.03</v>
      </c>
      <c r="L53" s="168">
        <v>34.54</v>
      </c>
      <c r="M53" s="168">
        <v>5.86</v>
      </c>
      <c r="N53" s="168">
        <f t="shared" si="0"/>
        <v>76.429999999999993</v>
      </c>
      <c r="O53" s="168">
        <f t="shared" si="1"/>
        <v>15.286</v>
      </c>
      <c r="P53" s="168">
        <f t="shared" si="2"/>
        <v>91.715999999999994</v>
      </c>
      <c r="Q53" s="168">
        <v>25.22</v>
      </c>
      <c r="S53" s="186"/>
    </row>
    <row r="54" spans="6:19">
      <c r="F54" s="186"/>
      <c r="G54" t="s">
        <v>6219</v>
      </c>
      <c r="H54" s="160">
        <v>60.69</v>
      </c>
      <c r="I54" s="186"/>
      <c r="J54" t="s">
        <v>6220</v>
      </c>
      <c r="K54" s="168">
        <v>28.12</v>
      </c>
      <c r="L54" s="168">
        <v>31.8</v>
      </c>
      <c r="M54" s="168">
        <v>5.86</v>
      </c>
      <c r="N54" s="168">
        <f t="shared" si="0"/>
        <v>65.78</v>
      </c>
      <c r="O54" s="168">
        <f t="shared" si="1"/>
        <v>13.156000000000001</v>
      </c>
      <c r="P54" s="168">
        <f t="shared" si="2"/>
        <v>78.936000000000007</v>
      </c>
      <c r="Q54" s="168">
        <v>20.47</v>
      </c>
      <c r="S54" s="186"/>
    </row>
    <row r="55" spans="6:19">
      <c r="F55" s="186"/>
      <c r="G55" t="s">
        <v>6221</v>
      </c>
      <c r="H55" s="160">
        <v>53.81</v>
      </c>
      <c r="I55" s="186"/>
      <c r="J55" t="s">
        <v>6181</v>
      </c>
      <c r="K55" s="168">
        <v>38.61</v>
      </c>
      <c r="L55" s="168">
        <v>35.25</v>
      </c>
      <c r="M55" s="168">
        <v>5.86</v>
      </c>
      <c r="N55" s="168">
        <f t="shared" si="0"/>
        <v>79.72</v>
      </c>
      <c r="O55" s="168">
        <f t="shared" si="1"/>
        <v>15.944000000000001</v>
      </c>
      <c r="P55" s="168">
        <f t="shared" si="2"/>
        <v>95.664000000000001</v>
      </c>
      <c r="Q55" s="168">
        <v>26.77</v>
      </c>
      <c r="S55" s="186"/>
    </row>
    <row r="56" spans="6:19">
      <c r="F56" s="186"/>
      <c r="G56" t="s">
        <v>6181</v>
      </c>
      <c r="H56" s="161" t="s">
        <v>6222</v>
      </c>
      <c r="I56" s="186"/>
      <c r="J56" t="s">
        <v>6223</v>
      </c>
      <c r="K56" s="168">
        <v>38.86</v>
      </c>
      <c r="L56" s="168">
        <v>34.94</v>
      </c>
      <c r="M56" s="168">
        <v>5.86</v>
      </c>
      <c r="N56" s="168">
        <f t="shared" si="0"/>
        <v>79.66</v>
      </c>
      <c r="O56" s="168">
        <f t="shared" si="1"/>
        <v>15.932</v>
      </c>
      <c r="P56" s="168">
        <f t="shared" si="2"/>
        <v>95.591999999999999</v>
      </c>
      <c r="Q56" s="168">
        <v>26.92</v>
      </c>
      <c r="S56" s="186"/>
    </row>
    <row r="57" spans="6:19">
      <c r="F57" s="186"/>
      <c r="G57" t="s">
        <v>6224</v>
      </c>
      <c r="H57" s="162">
        <v>84.59</v>
      </c>
      <c r="I57" s="186"/>
      <c r="J57" t="s">
        <v>6225</v>
      </c>
      <c r="K57" s="168">
        <v>38.25</v>
      </c>
      <c r="L57" s="168">
        <v>35.15</v>
      </c>
      <c r="M57" s="168">
        <v>5.86</v>
      </c>
      <c r="N57" s="168">
        <f t="shared" si="0"/>
        <v>79.260000000000005</v>
      </c>
      <c r="O57" s="168">
        <f t="shared" si="1"/>
        <v>15.852000000000002</v>
      </c>
      <c r="P57" s="168">
        <f t="shared" si="2"/>
        <v>95.112000000000009</v>
      </c>
      <c r="Q57" s="168">
        <v>26.55</v>
      </c>
      <c r="S57" s="186"/>
    </row>
    <row r="58" spans="6:19">
      <c r="F58" s="186"/>
      <c r="G58" t="s">
        <v>6226</v>
      </c>
      <c r="H58" s="162">
        <v>79.239999999999995</v>
      </c>
      <c r="I58" s="186"/>
      <c r="J58" t="s">
        <v>6227</v>
      </c>
      <c r="K58" s="168">
        <v>39.32</v>
      </c>
      <c r="L58" s="168">
        <v>35.450000000000003</v>
      </c>
      <c r="M58" s="168">
        <v>5.86</v>
      </c>
      <c r="N58" s="168">
        <f t="shared" si="0"/>
        <v>80.63000000000001</v>
      </c>
      <c r="O58" s="168">
        <f t="shared" si="1"/>
        <v>16.126000000000001</v>
      </c>
      <c r="P58" s="168">
        <f t="shared" si="2"/>
        <v>96.756000000000014</v>
      </c>
      <c r="Q58" s="168">
        <v>27.19</v>
      </c>
      <c r="S58" s="186"/>
    </row>
    <row r="59" spans="6:19">
      <c r="F59" s="186"/>
      <c r="G59" t="s">
        <v>6228</v>
      </c>
      <c r="H59" s="161" t="s">
        <v>6222</v>
      </c>
      <c r="I59" s="186"/>
      <c r="J59" t="s">
        <v>6229</v>
      </c>
      <c r="K59" s="168">
        <v>35.22</v>
      </c>
      <c r="L59" s="168">
        <v>33.770000000000003</v>
      </c>
      <c r="M59" s="168">
        <v>5.86</v>
      </c>
      <c r="N59" s="168">
        <f t="shared" si="0"/>
        <v>74.850000000000009</v>
      </c>
      <c r="O59" s="168">
        <f t="shared" si="1"/>
        <v>14.970000000000002</v>
      </c>
      <c r="P59" s="168">
        <f t="shared" si="2"/>
        <v>89.820000000000007</v>
      </c>
      <c r="Q59" s="168">
        <v>24.73</v>
      </c>
      <c r="S59" s="186"/>
    </row>
    <row r="60" spans="6:19">
      <c r="F60" s="186"/>
      <c r="G60" t="s">
        <v>6165</v>
      </c>
      <c r="H60" s="160">
        <v>75.47</v>
      </c>
      <c r="I60" s="186"/>
      <c r="J60" t="s">
        <v>6228</v>
      </c>
      <c r="K60" s="168">
        <v>38.35</v>
      </c>
      <c r="L60" s="168">
        <v>34.630000000000003</v>
      </c>
      <c r="M60" s="168">
        <v>5.86</v>
      </c>
      <c r="N60" s="168">
        <f t="shared" si="0"/>
        <v>78.84</v>
      </c>
      <c r="O60" s="168">
        <f t="shared" si="1"/>
        <v>15.768000000000001</v>
      </c>
      <c r="P60" s="168">
        <f t="shared" si="2"/>
        <v>94.608000000000004</v>
      </c>
      <c r="Q60" s="168">
        <v>26.61</v>
      </c>
      <c r="S60" s="186"/>
    </row>
    <row r="61" spans="6:19">
      <c r="F61" s="186"/>
      <c r="G61" t="s">
        <v>6230</v>
      </c>
      <c r="H61" s="160">
        <v>83.99</v>
      </c>
      <c r="I61" s="186"/>
      <c r="J61" t="s">
        <v>6231</v>
      </c>
      <c r="K61" s="168">
        <v>45.22</v>
      </c>
      <c r="L61" s="168">
        <v>38.54</v>
      </c>
      <c r="M61" s="168">
        <v>5.86</v>
      </c>
      <c r="N61" s="168">
        <f t="shared" si="0"/>
        <v>89.61999999999999</v>
      </c>
      <c r="O61" s="168">
        <f t="shared" si="1"/>
        <v>17.923999999999999</v>
      </c>
      <c r="P61" s="168">
        <f t="shared" si="2"/>
        <v>107.54399999999998</v>
      </c>
      <c r="Q61" s="168">
        <v>30.73</v>
      </c>
      <c r="S61" s="186"/>
    </row>
    <row r="62" spans="6:19">
      <c r="F62" s="186"/>
      <c r="G62" t="s">
        <v>6232</v>
      </c>
      <c r="H62" s="160">
        <v>71.599999999999994</v>
      </c>
      <c r="I62" s="186"/>
      <c r="J62" t="s">
        <v>6233</v>
      </c>
      <c r="K62" s="168">
        <v>42.47</v>
      </c>
      <c r="L62" s="168">
        <v>37.29</v>
      </c>
      <c r="M62" s="168">
        <v>5.86</v>
      </c>
      <c r="N62" s="168">
        <f t="shared" si="0"/>
        <v>85.61999999999999</v>
      </c>
      <c r="O62" s="168">
        <f t="shared" si="1"/>
        <v>17.123999999999999</v>
      </c>
      <c r="P62" s="168">
        <f t="shared" si="2"/>
        <v>102.74399999999999</v>
      </c>
      <c r="Q62" s="168">
        <v>29.08</v>
      </c>
      <c r="S62" s="186"/>
    </row>
    <row r="63" spans="6:19">
      <c r="F63" s="186"/>
      <c r="G63" t="s">
        <v>6234</v>
      </c>
      <c r="H63" s="160">
        <v>64.03</v>
      </c>
      <c r="I63" s="186"/>
      <c r="J63" t="s">
        <v>6188</v>
      </c>
      <c r="K63" s="168">
        <v>31.9</v>
      </c>
      <c r="L63" s="168">
        <v>35.54</v>
      </c>
      <c r="M63" s="168">
        <v>5.86</v>
      </c>
      <c r="N63" s="168">
        <f t="shared" si="0"/>
        <v>73.3</v>
      </c>
      <c r="O63" s="168">
        <f t="shared" si="1"/>
        <v>14.66</v>
      </c>
      <c r="P63" s="168">
        <f t="shared" si="2"/>
        <v>87.96</v>
      </c>
      <c r="Q63" s="168">
        <v>22.74</v>
      </c>
      <c r="S63" s="186"/>
    </row>
    <row r="64" spans="6:19">
      <c r="F64" s="186"/>
      <c r="G64" t="s">
        <v>6235</v>
      </c>
      <c r="H64" s="160">
        <v>69.709999999999994</v>
      </c>
      <c r="I64" s="186"/>
      <c r="J64" s="186"/>
      <c r="K64" s="187"/>
      <c r="L64" s="187"/>
      <c r="M64" s="187"/>
      <c r="N64" s="187"/>
      <c r="O64" s="187"/>
      <c r="P64" s="187"/>
      <c r="Q64" s="187"/>
      <c r="R64" s="187"/>
      <c r="S64" s="186"/>
    </row>
    <row r="65" spans="6:9">
      <c r="F65" s="186"/>
      <c r="G65" t="s">
        <v>6236</v>
      </c>
      <c r="I65" s="186"/>
    </row>
    <row r="66" spans="6:9">
      <c r="F66" s="186"/>
      <c r="G66" t="s">
        <v>6181</v>
      </c>
      <c r="H66" s="160">
        <v>103.37</v>
      </c>
      <c r="I66" s="186"/>
    </row>
    <row r="67" spans="6:9">
      <c r="F67" s="186"/>
      <c r="G67" t="s">
        <v>6228</v>
      </c>
      <c r="H67" s="160">
        <v>97.5</v>
      </c>
      <c r="I67" s="186"/>
    </row>
    <row r="68" spans="6:9" ht="6.75" customHeight="1">
      <c r="F68" s="186"/>
      <c r="G68" s="186"/>
      <c r="H68" s="186"/>
      <c r="I68" s="186"/>
    </row>
  </sheetData>
  <autoFilter ref="G23:H55" xr:uid="{00000000-0009-0000-0000-00001E000000}"/>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dimension ref="B2:N60"/>
  <sheetViews>
    <sheetView topLeftCell="A13" zoomScale="85" zoomScaleNormal="85" workbookViewId="0">
      <selection activeCell="A11" sqref="A11"/>
    </sheetView>
  </sheetViews>
  <sheetFormatPr defaultRowHeight="14.5"/>
  <cols>
    <col min="2" max="2" width="43" bestFit="1" customWidth="1"/>
    <col min="3" max="3" width="13.54296875" bestFit="1" customWidth="1"/>
    <col min="4" max="4" width="15.453125" bestFit="1" customWidth="1"/>
    <col min="5" max="5" width="48.81640625" bestFit="1" customWidth="1"/>
    <col min="6" max="6" width="5" bestFit="1" customWidth="1"/>
    <col min="7" max="7" width="23.453125" bestFit="1" customWidth="1"/>
    <col min="8" max="8" width="6.81640625" customWidth="1"/>
    <col min="9" max="9" width="13.1796875" bestFit="1" customWidth="1"/>
    <col min="10" max="10" width="12" bestFit="1" customWidth="1"/>
    <col min="11" max="11" width="14.1796875" bestFit="1" customWidth="1"/>
    <col min="12" max="12" width="6.1796875" bestFit="1" customWidth="1"/>
    <col min="13" max="13" width="12.54296875" bestFit="1" customWidth="1"/>
    <col min="14" max="14" width="14.453125" bestFit="1" customWidth="1"/>
    <col min="136" max="136" width="15.54296875" bestFit="1" customWidth="1"/>
    <col min="137" max="137" width="5" bestFit="1" customWidth="1"/>
    <col min="138" max="138" width="13.1796875" bestFit="1" customWidth="1"/>
    <col min="139" max="139" width="6.7265625" bestFit="1" customWidth="1"/>
    <col min="140" max="140" width="8.453125" bestFit="1" customWidth="1"/>
    <col min="141" max="141" width="6.1796875" bestFit="1" customWidth="1"/>
    <col min="142" max="142" width="12.54296875" bestFit="1" customWidth="1"/>
    <col min="143" max="143" width="14.453125" bestFit="1" customWidth="1"/>
    <col min="145" max="145" width="15.54296875" bestFit="1" customWidth="1"/>
    <col min="147" max="147" width="13.1796875" bestFit="1" customWidth="1"/>
  </cols>
  <sheetData>
    <row r="2" spans="2:14" ht="29">
      <c r="B2" s="158" t="s">
        <v>6237</v>
      </c>
      <c r="C2" s="158" t="s">
        <v>6238</v>
      </c>
      <c r="D2" s="158" t="s">
        <v>6239</v>
      </c>
      <c r="E2" s="158" t="s">
        <v>75</v>
      </c>
      <c r="G2" s="159" t="s">
        <v>6240</v>
      </c>
    </row>
    <row r="3" spans="2:14">
      <c r="B3" s="158"/>
      <c r="C3" s="158"/>
      <c r="D3" s="158"/>
      <c r="E3" s="158"/>
      <c r="G3" s="158" t="s">
        <v>14</v>
      </c>
      <c r="H3" s="158" t="s">
        <v>6241</v>
      </c>
      <c r="I3" s="158" t="s">
        <v>6242</v>
      </c>
      <c r="J3" s="158" t="s">
        <v>6243</v>
      </c>
      <c r="K3" s="158" t="s">
        <v>6244</v>
      </c>
      <c r="L3" s="158" t="s">
        <v>3259</v>
      </c>
      <c r="M3" s="158" t="s">
        <v>6245</v>
      </c>
      <c r="N3" s="158" t="s">
        <v>6246</v>
      </c>
    </row>
    <row r="4" spans="2:14">
      <c r="B4" s="158" t="s">
        <v>6247</v>
      </c>
      <c r="G4" t="s">
        <v>6248</v>
      </c>
      <c r="H4">
        <v>2013</v>
      </c>
      <c r="J4" s="169"/>
      <c r="L4" t="s">
        <v>2678</v>
      </c>
      <c r="M4" t="s">
        <v>6249</v>
      </c>
      <c r="N4" t="s">
        <v>6250</v>
      </c>
    </row>
    <row r="5" spans="2:14">
      <c r="B5" t="s">
        <v>6251</v>
      </c>
      <c r="C5" s="160">
        <v>145.88999999999999</v>
      </c>
      <c r="G5" t="s">
        <v>6252</v>
      </c>
      <c r="H5">
        <v>2013</v>
      </c>
      <c r="J5" s="169"/>
      <c r="L5" t="s">
        <v>2678</v>
      </c>
      <c r="M5" t="s">
        <v>6253</v>
      </c>
      <c r="N5" t="s">
        <v>6254</v>
      </c>
    </row>
    <row r="6" spans="2:14">
      <c r="B6" t="s">
        <v>6255</v>
      </c>
      <c r="C6" s="160">
        <v>145.88999999999999</v>
      </c>
      <c r="G6" t="s">
        <v>6256</v>
      </c>
      <c r="H6">
        <v>2013</v>
      </c>
      <c r="I6" t="s">
        <v>6257</v>
      </c>
      <c r="J6" s="169" t="s">
        <v>6258</v>
      </c>
      <c r="K6" t="s">
        <v>6259</v>
      </c>
      <c r="L6" t="s">
        <v>2678</v>
      </c>
      <c r="M6" t="s">
        <v>6260</v>
      </c>
      <c r="N6" t="s">
        <v>6261</v>
      </c>
    </row>
    <row r="7" spans="2:14">
      <c r="B7" t="s">
        <v>6262</v>
      </c>
      <c r="C7" s="160">
        <v>117.62</v>
      </c>
      <c r="G7" t="s">
        <v>6263</v>
      </c>
      <c r="H7">
        <v>2013</v>
      </c>
      <c r="I7" t="s">
        <v>6257</v>
      </c>
      <c r="J7" s="169">
        <v>740</v>
      </c>
      <c r="K7" t="s">
        <v>6264</v>
      </c>
      <c r="L7" t="s">
        <v>2678</v>
      </c>
      <c r="M7" t="s">
        <v>6265</v>
      </c>
      <c r="N7" t="s">
        <v>6266</v>
      </c>
    </row>
    <row r="8" spans="2:14">
      <c r="B8" t="s">
        <v>6267</v>
      </c>
      <c r="C8" s="160">
        <v>117.62</v>
      </c>
      <c r="G8" t="s">
        <v>6268</v>
      </c>
      <c r="H8">
        <v>2013</v>
      </c>
      <c r="I8" t="s">
        <v>6257</v>
      </c>
      <c r="J8" s="169"/>
      <c r="K8" t="s">
        <v>6269</v>
      </c>
      <c r="L8" t="s">
        <v>2678</v>
      </c>
      <c r="M8" t="s">
        <v>6270</v>
      </c>
      <c r="N8" t="s">
        <v>6271</v>
      </c>
    </row>
    <row r="9" spans="2:14">
      <c r="B9" t="s">
        <v>6272</v>
      </c>
      <c r="C9" s="160">
        <v>145.88999999999999</v>
      </c>
      <c r="G9" t="s">
        <v>6273</v>
      </c>
      <c r="H9">
        <v>2013</v>
      </c>
      <c r="J9" s="169"/>
      <c r="L9" t="s">
        <v>2678</v>
      </c>
      <c r="M9" t="s">
        <v>6274</v>
      </c>
      <c r="N9" t="s">
        <v>6275</v>
      </c>
    </row>
    <row r="10" spans="2:14">
      <c r="B10" t="s">
        <v>6276</v>
      </c>
      <c r="C10" s="160">
        <v>192.27</v>
      </c>
      <c r="G10" t="s">
        <v>6277</v>
      </c>
      <c r="H10">
        <v>2013</v>
      </c>
      <c r="I10" t="s">
        <v>6257</v>
      </c>
      <c r="J10" s="169"/>
      <c r="K10" t="s">
        <v>6278</v>
      </c>
      <c r="L10" t="s">
        <v>2678</v>
      </c>
      <c r="M10" t="s">
        <v>6279</v>
      </c>
      <c r="N10" t="s">
        <v>6280</v>
      </c>
    </row>
    <row r="11" spans="2:14">
      <c r="C11" s="160"/>
      <c r="G11" t="s">
        <v>6281</v>
      </c>
      <c r="H11">
        <v>2013</v>
      </c>
      <c r="I11" t="s">
        <v>6257</v>
      </c>
      <c r="J11" s="169"/>
      <c r="K11" t="s">
        <v>6282</v>
      </c>
      <c r="L11" t="s">
        <v>2678</v>
      </c>
      <c r="M11" t="s">
        <v>6283</v>
      </c>
      <c r="N11" t="s">
        <v>6284</v>
      </c>
    </row>
    <row r="12" spans="2:14">
      <c r="B12" s="158" t="s">
        <v>6285</v>
      </c>
      <c r="G12" t="s">
        <v>6286</v>
      </c>
      <c r="H12">
        <v>2013</v>
      </c>
      <c r="I12" t="s">
        <v>6257</v>
      </c>
      <c r="J12" s="169"/>
      <c r="K12" t="s">
        <v>6287</v>
      </c>
      <c r="L12" t="s">
        <v>2678</v>
      </c>
      <c r="M12" t="s">
        <v>6288</v>
      </c>
      <c r="N12" t="s">
        <v>6289</v>
      </c>
    </row>
    <row r="13" spans="2:14">
      <c r="B13" t="s">
        <v>6290</v>
      </c>
      <c r="C13" s="160">
        <v>175.3</v>
      </c>
      <c r="G13" t="s">
        <v>6291</v>
      </c>
      <c r="H13">
        <v>2013</v>
      </c>
      <c r="I13" t="s">
        <v>6257</v>
      </c>
      <c r="J13" s="169"/>
      <c r="K13" t="s">
        <v>6292</v>
      </c>
      <c r="L13" t="s">
        <v>2678</v>
      </c>
      <c r="M13" t="s">
        <v>6270</v>
      </c>
      <c r="N13" t="s">
        <v>6271</v>
      </c>
    </row>
    <row r="14" spans="2:14">
      <c r="B14" t="s">
        <v>6293</v>
      </c>
      <c r="C14" s="160">
        <v>122.14</v>
      </c>
      <c r="G14" t="s">
        <v>6294</v>
      </c>
      <c r="H14">
        <v>2013</v>
      </c>
      <c r="I14" t="s">
        <v>6295</v>
      </c>
      <c r="J14" s="169"/>
      <c r="L14" t="s">
        <v>2678</v>
      </c>
      <c r="M14" t="s">
        <v>6296</v>
      </c>
      <c r="N14" t="s">
        <v>6297</v>
      </c>
    </row>
    <row r="15" spans="2:14">
      <c r="B15" t="s">
        <v>6298</v>
      </c>
      <c r="C15" s="160">
        <v>236.37</v>
      </c>
      <c r="G15" t="s">
        <v>6299</v>
      </c>
      <c r="H15">
        <v>2013</v>
      </c>
      <c r="J15" s="169"/>
      <c r="K15" t="s">
        <v>6300</v>
      </c>
      <c r="L15" t="s">
        <v>2678</v>
      </c>
      <c r="M15" t="s">
        <v>6301</v>
      </c>
      <c r="N15" t="s">
        <v>6302</v>
      </c>
    </row>
    <row r="16" spans="2:14">
      <c r="B16" t="s">
        <v>6303</v>
      </c>
      <c r="C16" s="160">
        <v>72.39</v>
      </c>
      <c r="G16" t="s">
        <v>6304</v>
      </c>
      <c r="H16">
        <v>2013</v>
      </c>
      <c r="I16" t="s">
        <v>6257</v>
      </c>
      <c r="J16" s="169"/>
      <c r="K16" t="s">
        <v>6305</v>
      </c>
      <c r="L16" t="s">
        <v>2678</v>
      </c>
      <c r="M16" t="s">
        <v>6306</v>
      </c>
      <c r="N16" t="s">
        <v>6307</v>
      </c>
    </row>
    <row r="17" spans="2:14">
      <c r="C17" s="160"/>
      <c r="G17" t="s">
        <v>6308</v>
      </c>
      <c r="H17">
        <v>2013</v>
      </c>
      <c r="J17" s="169"/>
      <c r="K17" t="s">
        <v>6309</v>
      </c>
      <c r="L17" t="s">
        <v>2678</v>
      </c>
      <c r="M17" t="s">
        <v>6310</v>
      </c>
      <c r="N17" t="s">
        <v>6311</v>
      </c>
    </row>
    <row r="18" spans="2:14">
      <c r="B18" s="158" t="s">
        <v>6060</v>
      </c>
      <c r="G18" t="s">
        <v>6312</v>
      </c>
      <c r="H18">
        <v>2013</v>
      </c>
      <c r="I18" t="s">
        <v>6257</v>
      </c>
      <c r="J18" s="169">
        <v>390</v>
      </c>
      <c r="K18" t="s">
        <v>6313</v>
      </c>
      <c r="L18" t="s">
        <v>2678</v>
      </c>
      <c r="M18" t="s">
        <v>6314</v>
      </c>
      <c r="N18" t="s">
        <v>6315</v>
      </c>
    </row>
    <row r="19" spans="2:14">
      <c r="B19" t="s">
        <v>6316</v>
      </c>
      <c r="C19" s="160">
        <v>186.61</v>
      </c>
      <c r="G19" t="s">
        <v>6317</v>
      </c>
      <c r="H19">
        <v>2013</v>
      </c>
      <c r="I19" t="s">
        <v>6257</v>
      </c>
      <c r="J19" s="169" t="s">
        <v>6318</v>
      </c>
      <c r="K19" t="s">
        <v>6319</v>
      </c>
      <c r="L19" t="s">
        <v>2678</v>
      </c>
      <c r="M19" t="s">
        <v>6320</v>
      </c>
      <c r="N19" t="s">
        <v>6321</v>
      </c>
    </row>
    <row r="20" spans="2:14">
      <c r="B20" t="s">
        <v>6322</v>
      </c>
      <c r="C20" s="160">
        <v>124.41</v>
      </c>
      <c r="G20" t="s">
        <v>6323</v>
      </c>
      <c r="H20">
        <v>2013</v>
      </c>
      <c r="I20" t="s">
        <v>6257</v>
      </c>
      <c r="J20" s="169" t="s">
        <v>6324</v>
      </c>
      <c r="K20" t="s">
        <v>6325</v>
      </c>
      <c r="L20" t="s">
        <v>2678</v>
      </c>
      <c r="M20" t="s">
        <v>6265</v>
      </c>
      <c r="N20" t="s">
        <v>6266</v>
      </c>
    </row>
    <row r="21" spans="2:14">
      <c r="B21" t="s">
        <v>6326</v>
      </c>
      <c r="C21" s="160">
        <v>158.34</v>
      </c>
      <c r="G21" t="s">
        <v>6327</v>
      </c>
      <c r="H21">
        <v>2013</v>
      </c>
      <c r="I21" t="s">
        <v>6257</v>
      </c>
      <c r="J21" s="169" t="s">
        <v>6324</v>
      </c>
      <c r="K21" t="s">
        <v>6328</v>
      </c>
      <c r="L21" t="s">
        <v>2678</v>
      </c>
      <c r="M21" t="s">
        <v>6329</v>
      </c>
      <c r="N21" t="s">
        <v>6330</v>
      </c>
    </row>
    <row r="22" spans="2:14">
      <c r="C22" s="160"/>
      <c r="G22" t="s">
        <v>6331</v>
      </c>
      <c r="H22">
        <v>2013</v>
      </c>
      <c r="I22" t="s">
        <v>6257</v>
      </c>
      <c r="J22" s="169" t="s">
        <v>6332</v>
      </c>
      <c r="K22" t="s">
        <v>6333</v>
      </c>
      <c r="L22" t="s">
        <v>2678</v>
      </c>
      <c r="M22" t="s">
        <v>6334</v>
      </c>
      <c r="N22" t="s">
        <v>6335</v>
      </c>
    </row>
    <row r="23" spans="2:14">
      <c r="B23" s="158" t="s">
        <v>3302</v>
      </c>
      <c r="G23" t="s">
        <v>6336</v>
      </c>
      <c r="H23">
        <v>2013</v>
      </c>
      <c r="I23" t="s">
        <v>6257</v>
      </c>
      <c r="J23" s="169" t="s">
        <v>6337</v>
      </c>
      <c r="K23" t="s">
        <v>6338</v>
      </c>
      <c r="L23" t="s">
        <v>2678</v>
      </c>
      <c r="M23" t="s">
        <v>6339</v>
      </c>
      <c r="N23" t="s">
        <v>6340</v>
      </c>
    </row>
    <row r="24" spans="2:14">
      <c r="B24" t="s">
        <v>6341</v>
      </c>
      <c r="C24" s="160">
        <v>126.67</v>
      </c>
      <c r="G24" t="s">
        <v>6342</v>
      </c>
      <c r="H24">
        <v>2013</v>
      </c>
      <c r="I24" t="s">
        <v>6343</v>
      </c>
      <c r="J24" s="169"/>
      <c r="L24" t="s">
        <v>2678</v>
      </c>
      <c r="M24" t="s">
        <v>6344</v>
      </c>
      <c r="N24" t="s">
        <v>6345</v>
      </c>
    </row>
    <row r="25" spans="2:14">
      <c r="B25" t="s">
        <v>6346</v>
      </c>
      <c r="C25" s="160">
        <v>151.55000000000001</v>
      </c>
      <c r="G25" t="s">
        <v>6347</v>
      </c>
      <c r="H25">
        <v>2013</v>
      </c>
      <c r="I25" t="s">
        <v>6343</v>
      </c>
      <c r="J25" s="169"/>
      <c r="L25" t="s">
        <v>2678</v>
      </c>
      <c r="M25" t="s">
        <v>6348</v>
      </c>
      <c r="N25" t="s">
        <v>6270</v>
      </c>
    </row>
    <row r="26" spans="2:14">
      <c r="C26" s="160"/>
    </row>
    <row r="27" spans="2:14">
      <c r="B27" s="158" t="s">
        <v>6058</v>
      </c>
    </row>
    <row r="28" spans="2:14">
      <c r="B28" t="s">
        <v>6349</v>
      </c>
      <c r="C28" s="160">
        <v>230.71</v>
      </c>
      <c r="G28" s="159" t="s">
        <v>2968</v>
      </c>
    </row>
    <row r="29" spans="2:14">
      <c r="C29" s="160"/>
      <c r="G29" s="158" t="s">
        <v>14</v>
      </c>
      <c r="H29" s="158" t="s">
        <v>6241</v>
      </c>
      <c r="I29" s="158" t="s">
        <v>6242</v>
      </c>
      <c r="J29" s="158" t="s">
        <v>6243</v>
      </c>
      <c r="K29" s="158" t="s">
        <v>6244</v>
      </c>
      <c r="L29" s="158" t="s">
        <v>3259</v>
      </c>
      <c r="M29" s="158" t="s">
        <v>6245</v>
      </c>
      <c r="N29" s="158" t="s">
        <v>6246</v>
      </c>
    </row>
    <row r="30" spans="2:14">
      <c r="B30" s="158" t="s">
        <v>176</v>
      </c>
      <c r="G30" t="s">
        <v>6350</v>
      </c>
      <c r="H30">
        <v>2013</v>
      </c>
      <c r="I30" t="s">
        <v>6351</v>
      </c>
      <c r="J30" t="s">
        <v>6352</v>
      </c>
      <c r="M30" t="s">
        <v>2678</v>
      </c>
      <c r="N30">
        <v>261.38</v>
      </c>
    </row>
    <row r="31" spans="2:14">
      <c r="B31" t="s">
        <v>6353</v>
      </c>
      <c r="C31" s="160">
        <v>58.81</v>
      </c>
      <c r="G31" t="s">
        <v>6354</v>
      </c>
      <c r="H31">
        <v>2013</v>
      </c>
      <c r="I31" t="s">
        <v>6355</v>
      </c>
      <c r="J31" t="s">
        <v>6356</v>
      </c>
      <c r="M31" t="s">
        <v>2678</v>
      </c>
      <c r="N31">
        <v>61.74</v>
      </c>
    </row>
    <row r="32" spans="2:14">
      <c r="B32" t="s">
        <v>2181</v>
      </c>
      <c r="C32" s="160">
        <v>29.41</v>
      </c>
      <c r="G32" t="s">
        <v>6357</v>
      </c>
      <c r="H32">
        <v>2012</v>
      </c>
      <c r="I32" t="s">
        <v>6257</v>
      </c>
      <c r="J32" t="s">
        <v>6358</v>
      </c>
      <c r="M32" t="s">
        <v>2678</v>
      </c>
      <c r="N32">
        <v>127.85</v>
      </c>
    </row>
    <row r="33" spans="2:14">
      <c r="B33" t="s">
        <v>6359</v>
      </c>
      <c r="C33" s="160">
        <v>106.31</v>
      </c>
      <c r="G33" t="s">
        <v>6360</v>
      </c>
      <c r="H33">
        <v>2012</v>
      </c>
      <c r="I33" t="s">
        <v>6257</v>
      </c>
      <c r="J33" t="s">
        <v>6361</v>
      </c>
      <c r="M33" t="s">
        <v>2678</v>
      </c>
      <c r="N33">
        <v>211.88</v>
      </c>
    </row>
    <row r="34" spans="2:14">
      <c r="B34" t="s">
        <v>6362</v>
      </c>
      <c r="C34" s="160">
        <v>110.83</v>
      </c>
      <c r="G34" t="s">
        <v>6363</v>
      </c>
      <c r="H34">
        <v>2012</v>
      </c>
      <c r="I34" t="s">
        <v>2678</v>
      </c>
      <c r="J34" t="s">
        <v>2678</v>
      </c>
      <c r="M34" t="s">
        <v>2678</v>
      </c>
      <c r="N34">
        <v>31.25</v>
      </c>
    </row>
    <row r="35" spans="2:14">
      <c r="B35" t="s">
        <v>6364</v>
      </c>
      <c r="C35" s="160">
        <v>87.09</v>
      </c>
      <c r="G35" t="s">
        <v>6365</v>
      </c>
      <c r="H35">
        <v>2012</v>
      </c>
      <c r="I35" t="s">
        <v>6366</v>
      </c>
      <c r="J35" t="s">
        <v>6356</v>
      </c>
      <c r="M35" t="s">
        <v>2678</v>
      </c>
      <c r="N35">
        <v>158.99</v>
      </c>
    </row>
    <row r="36" spans="2:14">
      <c r="B36" t="s">
        <v>6367</v>
      </c>
      <c r="C36" s="160">
        <v>87.09</v>
      </c>
      <c r="G36" t="s">
        <v>6368</v>
      </c>
      <c r="H36">
        <v>2012</v>
      </c>
      <c r="I36" t="s">
        <v>6366</v>
      </c>
      <c r="J36" t="s">
        <v>6356</v>
      </c>
      <c r="M36" t="s">
        <v>2678</v>
      </c>
      <c r="N36">
        <v>122.49</v>
      </c>
    </row>
    <row r="37" spans="2:14">
      <c r="B37" t="s">
        <v>6369</v>
      </c>
      <c r="C37" s="160">
        <v>865.2</v>
      </c>
      <c r="G37" t="s">
        <v>6370</v>
      </c>
      <c r="H37">
        <v>2012</v>
      </c>
      <c r="I37" t="s">
        <v>6371</v>
      </c>
      <c r="J37">
        <v>4800</v>
      </c>
      <c r="M37" t="s">
        <v>2678</v>
      </c>
      <c r="N37">
        <v>69.239999999999995</v>
      </c>
    </row>
    <row r="38" spans="2:14">
      <c r="B38" t="s">
        <v>6365</v>
      </c>
      <c r="C38" s="160">
        <v>76.900000000000006</v>
      </c>
      <c r="G38" t="s">
        <v>6372</v>
      </c>
      <c r="H38">
        <v>2012</v>
      </c>
      <c r="I38" t="s">
        <v>6371</v>
      </c>
      <c r="J38">
        <v>4800</v>
      </c>
      <c r="M38" t="s">
        <v>2678</v>
      </c>
      <c r="N38">
        <v>96.49</v>
      </c>
    </row>
    <row r="39" spans="2:14">
      <c r="B39" t="s">
        <v>6373</v>
      </c>
      <c r="C39" s="160">
        <v>145.88999999999999</v>
      </c>
      <c r="G39" t="s">
        <v>6374</v>
      </c>
      <c r="H39">
        <v>2012</v>
      </c>
      <c r="I39" t="s">
        <v>6371</v>
      </c>
      <c r="J39">
        <v>4800</v>
      </c>
      <c r="M39" t="s">
        <v>2678</v>
      </c>
      <c r="N39">
        <v>169.24</v>
      </c>
    </row>
    <row r="40" spans="2:14">
      <c r="B40" t="s">
        <v>6375</v>
      </c>
      <c r="C40" s="160">
        <v>145.88999999999999</v>
      </c>
      <c r="G40" t="s">
        <v>6376</v>
      </c>
      <c r="H40">
        <v>2012</v>
      </c>
      <c r="I40" t="s">
        <v>6257</v>
      </c>
      <c r="J40" t="s">
        <v>6377</v>
      </c>
      <c r="M40" t="s">
        <v>2678</v>
      </c>
      <c r="N40">
        <v>213.45</v>
      </c>
    </row>
    <row r="41" spans="2:14">
      <c r="B41" t="s">
        <v>6378</v>
      </c>
      <c r="C41" s="160">
        <v>70.13</v>
      </c>
      <c r="G41" t="s">
        <v>6379</v>
      </c>
      <c r="H41">
        <v>2012</v>
      </c>
      <c r="I41" t="s">
        <v>6371</v>
      </c>
      <c r="J41" t="s">
        <v>6380</v>
      </c>
      <c r="M41" t="s">
        <v>2678</v>
      </c>
      <c r="N41">
        <v>229.84</v>
      </c>
    </row>
    <row r="42" spans="2:14">
      <c r="B42" t="s">
        <v>6381</v>
      </c>
      <c r="C42" s="160">
        <v>70.13</v>
      </c>
      <c r="G42" t="s">
        <v>6382</v>
      </c>
      <c r="H42">
        <v>2012</v>
      </c>
      <c r="I42" t="s">
        <v>6371</v>
      </c>
      <c r="J42" t="s">
        <v>6380</v>
      </c>
      <c r="M42" t="s">
        <v>2678</v>
      </c>
      <c r="N42">
        <v>135.08000000000001</v>
      </c>
    </row>
    <row r="43" spans="2:14">
      <c r="G43" t="s">
        <v>6383</v>
      </c>
      <c r="H43">
        <v>2012</v>
      </c>
      <c r="I43" t="s">
        <v>6257</v>
      </c>
      <c r="J43" t="s">
        <v>6384</v>
      </c>
      <c r="M43" t="s">
        <v>2678</v>
      </c>
      <c r="N43">
        <v>160.74</v>
      </c>
    </row>
    <row r="44" spans="2:14">
      <c r="B44" s="158" t="s">
        <v>6385</v>
      </c>
      <c r="G44" t="s">
        <v>6386</v>
      </c>
      <c r="H44">
        <v>2012</v>
      </c>
      <c r="I44" t="s">
        <v>6257</v>
      </c>
      <c r="J44" t="s">
        <v>6384</v>
      </c>
      <c r="M44" t="s">
        <v>2678</v>
      </c>
      <c r="N44">
        <v>185.65</v>
      </c>
    </row>
    <row r="45" spans="2:14">
      <c r="B45" t="s">
        <v>6387</v>
      </c>
      <c r="D45" s="160">
        <v>109551.64</v>
      </c>
      <c r="G45" t="s">
        <v>6388</v>
      </c>
      <c r="H45">
        <v>2012</v>
      </c>
      <c r="I45" t="s">
        <v>6389</v>
      </c>
      <c r="J45" t="s">
        <v>2678</v>
      </c>
      <c r="M45" t="s">
        <v>2678</v>
      </c>
      <c r="N45">
        <v>77.489999999999995</v>
      </c>
    </row>
    <row r="46" spans="2:14">
      <c r="B46" t="s">
        <v>6390</v>
      </c>
      <c r="D46" s="160">
        <v>3511.67</v>
      </c>
      <c r="G46" t="s">
        <v>6391</v>
      </c>
      <c r="H46">
        <v>2012</v>
      </c>
      <c r="I46" t="s">
        <v>6257</v>
      </c>
      <c r="J46" t="s">
        <v>6392</v>
      </c>
      <c r="M46" t="s">
        <v>2678</v>
      </c>
      <c r="N46">
        <v>202.74</v>
      </c>
    </row>
    <row r="47" spans="2:14">
      <c r="B47" t="s">
        <v>6393</v>
      </c>
      <c r="D47" s="160">
        <v>4448.1099999999997</v>
      </c>
      <c r="G47" t="s">
        <v>6394</v>
      </c>
      <c r="H47">
        <v>2012</v>
      </c>
      <c r="I47" t="s">
        <v>6257</v>
      </c>
      <c r="J47" t="s">
        <v>6395</v>
      </c>
      <c r="M47" t="s">
        <v>2678</v>
      </c>
      <c r="N47">
        <v>148.66999999999999</v>
      </c>
    </row>
    <row r="48" spans="2:14">
      <c r="B48" t="s">
        <v>6396</v>
      </c>
      <c r="D48" s="160">
        <v>3745.78</v>
      </c>
      <c r="G48" t="s">
        <v>6397</v>
      </c>
      <c r="H48">
        <v>2012</v>
      </c>
      <c r="I48" t="s">
        <v>6398</v>
      </c>
      <c r="J48" t="s">
        <v>6399</v>
      </c>
      <c r="M48" t="s">
        <v>2678</v>
      </c>
      <c r="N48">
        <v>289.10000000000002</v>
      </c>
    </row>
    <row r="49" spans="2:14">
      <c r="B49" t="s">
        <v>6400</v>
      </c>
      <c r="D49" s="160">
        <v>322.33</v>
      </c>
      <c r="G49" t="s">
        <v>6401</v>
      </c>
      <c r="H49">
        <v>2012</v>
      </c>
      <c r="I49" t="s">
        <v>6402</v>
      </c>
      <c r="M49" t="s">
        <v>2678</v>
      </c>
      <c r="N49">
        <v>18.09</v>
      </c>
    </row>
    <row r="50" spans="2:14">
      <c r="B50" t="s">
        <v>6403</v>
      </c>
      <c r="D50" s="160">
        <v>1697.59</v>
      </c>
      <c r="G50" t="s">
        <v>6404</v>
      </c>
      <c r="H50">
        <v>2012</v>
      </c>
      <c r="I50" t="s">
        <v>6257</v>
      </c>
      <c r="M50" t="s">
        <v>2678</v>
      </c>
      <c r="N50">
        <v>13.06</v>
      </c>
    </row>
    <row r="51" spans="2:14">
      <c r="B51" t="s">
        <v>6405</v>
      </c>
      <c r="D51" s="160">
        <v>292.93</v>
      </c>
      <c r="G51" t="s">
        <v>6406</v>
      </c>
      <c r="H51">
        <v>2012</v>
      </c>
      <c r="I51" t="s">
        <v>6407</v>
      </c>
      <c r="M51" t="s">
        <v>2678</v>
      </c>
      <c r="N51">
        <v>8.91</v>
      </c>
    </row>
    <row r="52" spans="2:14">
      <c r="B52" t="s">
        <v>6408</v>
      </c>
      <c r="D52" s="160">
        <v>585.84</v>
      </c>
      <c r="G52" t="s">
        <v>6409</v>
      </c>
      <c r="H52">
        <v>2012</v>
      </c>
      <c r="I52" t="s">
        <v>6410</v>
      </c>
      <c r="M52" t="s">
        <v>2678</v>
      </c>
      <c r="N52">
        <v>204.24</v>
      </c>
    </row>
    <row r="53" spans="2:14">
      <c r="B53" t="s">
        <v>6411</v>
      </c>
      <c r="D53" s="160">
        <v>13034.46</v>
      </c>
      <c r="G53" t="s">
        <v>6412</v>
      </c>
      <c r="H53">
        <v>2012</v>
      </c>
      <c r="I53" t="s">
        <v>6366</v>
      </c>
      <c r="M53" t="s">
        <v>2678</v>
      </c>
      <c r="N53">
        <v>13.06</v>
      </c>
    </row>
    <row r="54" spans="2:14">
      <c r="B54" t="s">
        <v>6413</v>
      </c>
      <c r="D54" s="160">
        <v>4295.4399999999996</v>
      </c>
      <c r="E54" t="s">
        <v>6414</v>
      </c>
      <c r="G54" t="s">
        <v>2275</v>
      </c>
      <c r="H54">
        <v>2012</v>
      </c>
      <c r="I54" t="s">
        <v>6371</v>
      </c>
      <c r="M54" t="s">
        <v>2678</v>
      </c>
      <c r="N54">
        <v>61.74</v>
      </c>
    </row>
    <row r="55" spans="2:14">
      <c r="B55" t="s">
        <v>6415</v>
      </c>
      <c r="D55" s="160">
        <v>19899.46</v>
      </c>
      <c r="G55" t="s">
        <v>6416</v>
      </c>
      <c r="H55">
        <v>2012</v>
      </c>
      <c r="I55" t="s">
        <v>6257</v>
      </c>
      <c r="M55" t="s">
        <v>2678</v>
      </c>
      <c r="N55">
        <v>89.99</v>
      </c>
    </row>
    <row r="56" spans="2:14">
      <c r="B56" t="s">
        <v>6417</v>
      </c>
      <c r="D56" s="160">
        <v>2341.11</v>
      </c>
      <c r="G56" t="s">
        <v>6418</v>
      </c>
      <c r="H56">
        <v>2012</v>
      </c>
      <c r="I56" t="s">
        <v>6419</v>
      </c>
      <c r="M56" t="s">
        <v>2678</v>
      </c>
      <c r="N56">
        <v>21.11</v>
      </c>
    </row>
    <row r="57" spans="2:14">
      <c r="B57" t="s">
        <v>6420</v>
      </c>
      <c r="D57" s="160">
        <v>1940.75</v>
      </c>
      <c r="E57" t="s">
        <v>6421</v>
      </c>
    </row>
    <row r="58" spans="2:14">
      <c r="B58" t="s">
        <v>6422</v>
      </c>
      <c r="D58" s="160">
        <v>1357.17</v>
      </c>
      <c r="E58" t="s">
        <v>6421</v>
      </c>
    </row>
    <row r="59" spans="2:14">
      <c r="B59" t="s">
        <v>6423</v>
      </c>
      <c r="D59" s="160">
        <v>3161.07</v>
      </c>
    </row>
    <row r="60" spans="2:14">
      <c r="B60" t="s">
        <v>6424</v>
      </c>
      <c r="D60" s="160">
        <v>28274.31</v>
      </c>
    </row>
  </sheetData>
  <autoFilter ref="G29:N56" xr:uid="{00000000-0009-0000-0000-00001F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8">
    <tabColor rgb="FFFFC000"/>
    <pageSetUpPr fitToPage="1"/>
  </sheetPr>
  <dimension ref="A1:V153"/>
  <sheetViews>
    <sheetView view="pageBreakPreview" zoomScale="80" zoomScaleNormal="100" zoomScaleSheetLayoutView="80" workbookViewId="0">
      <pane ySplit="9" topLeftCell="A118" activePane="bottomLeft" state="frozen"/>
      <selection activeCell="A11" sqref="A11"/>
      <selection pane="bottomLeft" activeCell="A11" sqref="A11"/>
    </sheetView>
  </sheetViews>
  <sheetFormatPr defaultRowHeight="12.5"/>
  <cols>
    <col min="1" max="1" width="9.1796875" style="216"/>
    <col min="2" max="2" width="56" style="216" customWidth="1"/>
    <col min="3" max="3" width="17.1796875" style="215" customWidth="1"/>
    <col min="4" max="4" width="9.26953125" style="215" customWidth="1"/>
    <col min="5" max="5" width="11.54296875" style="215" customWidth="1"/>
    <col min="6" max="6" width="13.26953125" style="215" customWidth="1"/>
    <col min="7" max="7" width="18.453125" style="215" customWidth="1"/>
    <col min="8" max="8" width="23.81640625" style="215" customWidth="1"/>
    <col min="9" max="9" width="16.26953125" style="215" customWidth="1"/>
    <col min="10" max="10" width="23" style="215" customWidth="1"/>
    <col min="11" max="11" width="19.54296875" style="215" customWidth="1"/>
    <col min="12" max="12" width="24.26953125" style="215" customWidth="1"/>
    <col min="13" max="13" width="18.81640625" style="215" hidden="1" customWidth="1"/>
    <col min="14" max="14" width="17.453125" style="215" hidden="1" customWidth="1"/>
    <col min="15" max="15" width="16.7265625" style="215" hidden="1" customWidth="1"/>
    <col min="16" max="16" width="14.81640625" style="215" hidden="1" customWidth="1"/>
    <col min="17" max="260" width="9.1796875" style="214"/>
    <col min="261" max="261" width="42.26953125" style="214" customWidth="1"/>
    <col min="262" max="262" width="9.54296875" style="214" bestFit="1" customWidth="1"/>
    <col min="263" max="263" width="9.26953125" style="214" customWidth="1"/>
    <col min="264" max="264" width="11.7265625" style="214" customWidth="1"/>
    <col min="265" max="265" width="13.1796875" style="214" customWidth="1"/>
    <col min="266" max="266" width="11.81640625" style="214" customWidth="1"/>
    <col min="267" max="267" width="13.1796875" style="214" customWidth="1"/>
    <col min="268" max="268" width="12.81640625" style="214" customWidth="1"/>
    <col min="269" max="269" width="15.7265625" style="214" customWidth="1"/>
    <col min="270" max="270" width="14.7265625" style="214" bestFit="1" customWidth="1"/>
    <col min="271" max="271" width="14.1796875" style="214" customWidth="1"/>
    <col min="272" max="272" width="16" style="214" customWidth="1"/>
    <col min="273" max="516" width="9.1796875" style="214"/>
    <col min="517" max="517" width="42.26953125" style="214" customWidth="1"/>
    <col min="518" max="518" width="9.54296875" style="214" bestFit="1" customWidth="1"/>
    <col min="519" max="519" width="9.26953125" style="214" customWidth="1"/>
    <col min="520" max="520" width="11.7265625" style="214" customWidth="1"/>
    <col min="521" max="521" width="13.1796875" style="214" customWidth="1"/>
    <col min="522" max="522" width="11.81640625" style="214" customWidth="1"/>
    <col min="523" max="523" width="13.1796875" style="214" customWidth="1"/>
    <col min="524" max="524" width="12.81640625" style="214" customWidth="1"/>
    <col min="525" max="525" width="15.7265625" style="214" customWidth="1"/>
    <col min="526" max="526" width="14.7265625" style="214" bestFit="1" customWidth="1"/>
    <col min="527" max="527" width="14.1796875" style="214" customWidth="1"/>
    <col min="528" max="528" width="16" style="214" customWidth="1"/>
    <col min="529" max="772" width="9.1796875" style="214"/>
    <col min="773" max="773" width="42.26953125" style="214" customWidth="1"/>
    <col min="774" max="774" width="9.54296875" style="214" bestFit="1" customWidth="1"/>
    <col min="775" max="775" width="9.26953125" style="214" customWidth="1"/>
    <col min="776" max="776" width="11.7265625" style="214" customWidth="1"/>
    <col min="777" max="777" width="13.1796875" style="214" customWidth="1"/>
    <col min="778" max="778" width="11.81640625" style="214" customWidth="1"/>
    <col min="779" max="779" width="13.1796875" style="214" customWidth="1"/>
    <col min="780" max="780" width="12.81640625" style="214" customWidth="1"/>
    <col min="781" max="781" width="15.7265625" style="214" customWidth="1"/>
    <col min="782" max="782" width="14.7265625" style="214" bestFit="1" customWidth="1"/>
    <col min="783" max="783" width="14.1796875" style="214" customWidth="1"/>
    <col min="784" max="784" width="16" style="214" customWidth="1"/>
    <col min="785" max="1028" width="9.1796875" style="214"/>
    <col min="1029" max="1029" width="42.26953125" style="214" customWidth="1"/>
    <col min="1030" max="1030" width="9.54296875" style="214" bestFit="1" customWidth="1"/>
    <col min="1031" max="1031" width="9.26953125" style="214" customWidth="1"/>
    <col min="1032" max="1032" width="11.7265625" style="214" customWidth="1"/>
    <col min="1033" max="1033" width="13.1796875" style="214" customWidth="1"/>
    <col min="1034" max="1034" width="11.81640625" style="214" customWidth="1"/>
    <col min="1035" max="1035" width="13.1796875" style="214" customWidth="1"/>
    <col min="1036" max="1036" width="12.81640625" style="214" customWidth="1"/>
    <col min="1037" max="1037" width="15.7265625" style="214" customWidth="1"/>
    <col min="1038" max="1038" width="14.7265625" style="214" bestFit="1" customWidth="1"/>
    <col min="1039" max="1039" width="14.1796875" style="214" customWidth="1"/>
    <col min="1040" max="1040" width="16" style="214" customWidth="1"/>
    <col min="1041" max="1284" width="9.1796875" style="214"/>
    <col min="1285" max="1285" width="42.26953125" style="214" customWidth="1"/>
    <col min="1286" max="1286" width="9.54296875" style="214" bestFit="1" customWidth="1"/>
    <col min="1287" max="1287" width="9.26953125" style="214" customWidth="1"/>
    <col min="1288" max="1288" width="11.7265625" style="214" customWidth="1"/>
    <col min="1289" max="1289" width="13.1796875" style="214" customWidth="1"/>
    <col min="1290" max="1290" width="11.81640625" style="214" customWidth="1"/>
    <col min="1291" max="1291" width="13.1796875" style="214" customWidth="1"/>
    <col min="1292" max="1292" width="12.81640625" style="214" customWidth="1"/>
    <col min="1293" max="1293" width="15.7265625" style="214" customWidth="1"/>
    <col min="1294" max="1294" width="14.7265625" style="214" bestFit="1" customWidth="1"/>
    <col min="1295" max="1295" width="14.1796875" style="214" customWidth="1"/>
    <col min="1296" max="1296" width="16" style="214" customWidth="1"/>
    <col min="1297" max="1540" width="9.1796875" style="214"/>
    <col min="1541" max="1541" width="42.26953125" style="214" customWidth="1"/>
    <col min="1542" max="1542" width="9.54296875" style="214" bestFit="1" customWidth="1"/>
    <col min="1543" max="1543" width="9.26953125" style="214" customWidth="1"/>
    <col min="1544" max="1544" width="11.7265625" style="214" customWidth="1"/>
    <col min="1545" max="1545" width="13.1796875" style="214" customWidth="1"/>
    <col min="1546" max="1546" width="11.81640625" style="214" customWidth="1"/>
    <col min="1547" max="1547" width="13.1796875" style="214" customWidth="1"/>
    <col min="1548" max="1548" width="12.81640625" style="214" customWidth="1"/>
    <col min="1549" max="1549" width="15.7265625" style="214" customWidth="1"/>
    <col min="1550" max="1550" width="14.7265625" style="214" bestFit="1" customWidth="1"/>
    <col min="1551" max="1551" width="14.1796875" style="214" customWidth="1"/>
    <col min="1552" max="1552" width="16" style="214" customWidth="1"/>
    <col min="1553" max="1796" width="9.1796875" style="214"/>
    <col min="1797" max="1797" width="42.26953125" style="214" customWidth="1"/>
    <col min="1798" max="1798" width="9.54296875" style="214" bestFit="1" customWidth="1"/>
    <col min="1799" max="1799" width="9.26953125" style="214" customWidth="1"/>
    <col min="1800" max="1800" width="11.7265625" style="214" customWidth="1"/>
    <col min="1801" max="1801" width="13.1796875" style="214" customWidth="1"/>
    <col min="1802" max="1802" width="11.81640625" style="214" customWidth="1"/>
    <col min="1803" max="1803" width="13.1796875" style="214" customWidth="1"/>
    <col min="1804" max="1804" width="12.81640625" style="214" customWidth="1"/>
    <col min="1805" max="1805" width="15.7265625" style="214" customWidth="1"/>
    <col min="1806" max="1806" width="14.7265625" style="214" bestFit="1" customWidth="1"/>
    <col min="1807" max="1807" width="14.1796875" style="214" customWidth="1"/>
    <col min="1808" max="1808" width="16" style="214" customWidth="1"/>
    <col min="1809" max="2052" width="9.1796875" style="214"/>
    <col min="2053" max="2053" width="42.26953125" style="214" customWidth="1"/>
    <col min="2054" max="2054" width="9.54296875" style="214" bestFit="1" customWidth="1"/>
    <col min="2055" max="2055" width="9.26953125" style="214" customWidth="1"/>
    <col min="2056" max="2056" width="11.7265625" style="214" customWidth="1"/>
    <col min="2057" max="2057" width="13.1796875" style="214" customWidth="1"/>
    <col min="2058" max="2058" width="11.81640625" style="214" customWidth="1"/>
    <col min="2059" max="2059" width="13.1796875" style="214" customWidth="1"/>
    <col min="2060" max="2060" width="12.81640625" style="214" customWidth="1"/>
    <col min="2061" max="2061" width="15.7265625" style="214" customWidth="1"/>
    <col min="2062" max="2062" width="14.7265625" style="214" bestFit="1" customWidth="1"/>
    <col min="2063" max="2063" width="14.1796875" style="214" customWidth="1"/>
    <col min="2064" max="2064" width="16" style="214" customWidth="1"/>
    <col min="2065" max="2308" width="9.1796875" style="214"/>
    <col min="2309" max="2309" width="42.26953125" style="214" customWidth="1"/>
    <col min="2310" max="2310" width="9.54296875" style="214" bestFit="1" customWidth="1"/>
    <col min="2311" max="2311" width="9.26953125" style="214" customWidth="1"/>
    <col min="2312" max="2312" width="11.7265625" style="214" customWidth="1"/>
    <col min="2313" max="2313" width="13.1796875" style="214" customWidth="1"/>
    <col min="2314" max="2314" width="11.81640625" style="214" customWidth="1"/>
    <col min="2315" max="2315" width="13.1796875" style="214" customWidth="1"/>
    <col min="2316" max="2316" width="12.81640625" style="214" customWidth="1"/>
    <col min="2317" max="2317" width="15.7265625" style="214" customWidth="1"/>
    <col min="2318" max="2318" width="14.7265625" style="214" bestFit="1" customWidth="1"/>
    <col min="2319" max="2319" width="14.1796875" style="214" customWidth="1"/>
    <col min="2320" max="2320" width="16" style="214" customWidth="1"/>
    <col min="2321" max="2564" width="9.1796875" style="214"/>
    <col min="2565" max="2565" width="42.26953125" style="214" customWidth="1"/>
    <col min="2566" max="2566" width="9.54296875" style="214" bestFit="1" customWidth="1"/>
    <col min="2567" max="2567" width="9.26953125" style="214" customWidth="1"/>
    <col min="2568" max="2568" width="11.7265625" style="214" customWidth="1"/>
    <col min="2569" max="2569" width="13.1796875" style="214" customWidth="1"/>
    <col min="2570" max="2570" width="11.81640625" style="214" customWidth="1"/>
    <col min="2571" max="2571" width="13.1796875" style="214" customWidth="1"/>
    <col min="2572" max="2572" width="12.81640625" style="214" customWidth="1"/>
    <col min="2573" max="2573" width="15.7265625" style="214" customWidth="1"/>
    <col min="2574" max="2574" width="14.7265625" style="214" bestFit="1" customWidth="1"/>
    <col min="2575" max="2575" width="14.1796875" style="214" customWidth="1"/>
    <col min="2576" max="2576" width="16" style="214" customWidth="1"/>
    <col min="2577" max="2820" width="9.1796875" style="214"/>
    <col min="2821" max="2821" width="42.26953125" style="214" customWidth="1"/>
    <col min="2822" max="2822" width="9.54296875" style="214" bestFit="1" customWidth="1"/>
    <col min="2823" max="2823" width="9.26953125" style="214" customWidth="1"/>
    <col min="2824" max="2824" width="11.7265625" style="214" customWidth="1"/>
    <col min="2825" max="2825" width="13.1796875" style="214" customWidth="1"/>
    <col min="2826" max="2826" width="11.81640625" style="214" customWidth="1"/>
    <col min="2827" max="2827" width="13.1796875" style="214" customWidth="1"/>
    <col min="2828" max="2828" width="12.81640625" style="214" customWidth="1"/>
    <col min="2829" max="2829" width="15.7265625" style="214" customWidth="1"/>
    <col min="2830" max="2830" width="14.7265625" style="214" bestFit="1" customWidth="1"/>
    <col min="2831" max="2831" width="14.1796875" style="214" customWidth="1"/>
    <col min="2832" max="2832" width="16" style="214" customWidth="1"/>
    <col min="2833" max="3076" width="9.1796875" style="214"/>
    <col min="3077" max="3077" width="42.26953125" style="214" customWidth="1"/>
    <col min="3078" max="3078" width="9.54296875" style="214" bestFit="1" customWidth="1"/>
    <col min="3079" max="3079" width="9.26953125" style="214" customWidth="1"/>
    <col min="3080" max="3080" width="11.7265625" style="214" customWidth="1"/>
    <col min="3081" max="3081" width="13.1796875" style="214" customWidth="1"/>
    <col min="3082" max="3082" width="11.81640625" style="214" customWidth="1"/>
    <col min="3083" max="3083" width="13.1796875" style="214" customWidth="1"/>
    <col min="3084" max="3084" width="12.81640625" style="214" customWidth="1"/>
    <col min="3085" max="3085" width="15.7265625" style="214" customWidth="1"/>
    <col min="3086" max="3086" width="14.7265625" style="214" bestFit="1" customWidth="1"/>
    <col min="3087" max="3087" width="14.1796875" style="214" customWidth="1"/>
    <col min="3088" max="3088" width="16" style="214" customWidth="1"/>
    <col min="3089" max="3332" width="9.1796875" style="214"/>
    <col min="3333" max="3333" width="42.26953125" style="214" customWidth="1"/>
    <col min="3334" max="3334" width="9.54296875" style="214" bestFit="1" customWidth="1"/>
    <col min="3335" max="3335" width="9.26953125" style="214" customWidth="1"/>
    <col min="3336" max="3336" width="11.7265625" style="214" customWidth="1"/>
    <col min="3337" max="3337" width="13.1796875" style="214" customWidth="1"/>
    <col min="3338" max="3338" width="11.81640625" style="214" customWidth="1"/>
    <col min="3339" max="3339" width="13.1796875" style="214" customWidth="1"/>
    <col min="3340" max="3340" width="12.81640625" style="214" customWidth="1"/>
    <col min="3341" max="3341" width="15.7265625" style="214" customWidth="1"/>
    <col min="3342" max="3342" width="14.7265625" style="214" bestFit="1" customWidth="1"/>
    <col min="3343" max="3343" width="14.1796875" style="214" customWidth="1"/>
    <col min="3344" max="3344" width="16" style="214" customWidth="1"/>
    <col min="3345" max="3588" width="9.1796875" style="214"/>
    <col min="3589" max="3589" width="42.26953125" style="214" customWidth="1"/>
    <col min="3590" max="3590" width="9.54296875" style="214" bestFit="1" customWidth="1"/>
    <col min="3591" max="3591" width="9.26953125" style="214" customWidth="1"/>
    <col min="3592" max="3592" width="11.7265625" style="214" customWidth="1"/>
    <col min="3593" max="3593" width="13.1796875" style="214" customWidth="1"/>
    <col min="3594" max="3594" width="11.81640625" style="214" customWidth="1"/>
    <col min="3595" max="3595" width="13.1796875" style="214" customWidth="1"/>
    <col min="3596" max="3596" width="12.81640625" style="214" customWidth="1"/>
    <col min="3597" max="3597" width="15.7265625" style="214" customWidth="1"/>
    <col min="3598" max="3598" width="14.7265625" style="214" bestFit="1" customWidth="1"/>
    <col min="3599" max="3599" width="14.1796875" style="214" customWidth="1"/>
    <col min="3600" max="3600" width="16" style="214" customWidth="1"/>
    <col min="3601" max="3844" width="9.1796875" style="214"/>
    <col min="3845" max="3845" width="42.26953125" style="214" customWidth="1"/>
    <col min="3846" max="3846" width="9.54296875" style="214" bestFit="1" customWidth="1"/>
    <col min="3847" max="3847" width="9.26953125" style="214" customWidth="1"/>
    <col min="3848" max="3848" width="11.7265625" style="214" customWidth="1"/>
    <col min="3849" max="3849" width="13.1796875" style="214" customWidth="1"/>
    <col min="3850" max="3850" width="11.81640625" style="214" customWidth="1"/>
    <col min="3851" max="3851" width="13.1796875" style="214" customWidth="1"/>
    <col min="3852" max="3852" width="12.81640625" style="214" customWidth="1"/>
    <col min="3853" max="3853" width="15.7265625" style="214" customWidth="1"/>
    <col min="3854" max="3854" width="14.7265625" style="214" bestFit="1" customWidth="1"/>
    <col min="3855" max="3855" width="14.1796875" style="214" customWidth="1"/>
    <col min="3856" max="3856" width="16" style="214" customWidth="1"/>
    <col min="3857" max="4100" width="9.1796875" style="214"/>
    <col min="4101" max="4101" width="42.26953125" style="214" customWidth="1"/>
    <col min="4102" max="4102" width="9.54296875" style="214" bestFit="1" customWidth="1"/>
    <col min="4103" max="4103" width="9.26953125" style="214" customWidth="1"/>
    <col min="4104" max="4104" width="11.7265625" style="214" customWidth="1"/>
    <col min="4105" max="4105" width="13.1796875" style="214" customWidth="1"/>
    <col min="4106" max="4106" width="11.81640625" style="214" customWidth="1"/>
    <col min="4107" max="4107" width="13.1796875" style="214" customWidth="1"/>
    <col min="4108" max="4108" width="12.81640625" style="214" customWidth="1"/>
    <col min="4109" max="4109" width="15.7265625" style="214" customWidth="1"/>
    <col min="4110" max="4110" width="14.7265625" style="214" bestFit="1" customWidth="1"/>
    <col min="4111" max="4111" width="14.1796875" style="214" customWidth="1"/>
    <col min="4112" max="4112" width="16" style="214" customWidth="1"/>
    <col min="4113" max="4356" width="9.1796875" style="214"/>
    <col min="4357" max="4357" width="42.26953125" style="214" customWidth="1"/>
    <col min="4358" max="4358" width="9.54296875" style="214" bestFit="1" customWidth="1"/>
    <col min="4359" max="4359" width="9.26953125" style="214" customWidth="1"/>
    <col min="4360" max="4360" width="11.7265625" style="214" customWidth="1"/>
    <col min="4361" max="4361" width="13.1796875" style="214" customWidth="1"/>
    <col min="4362" max="4362" width="11.81640625" style="214" customWidth="1"/>
    <col min="4363" max="4363" width="13.1796875" style="214" customWidth="1"/>
    <col min="4364" max="4364" width="12.81640625" style="214" customWidth="1"/>
    <col min="4365" max="4365" width="15.7265625" style="214" customWidth="1"/>
    <col min="4366" max="4366" width="14.7265625" style="214" bestFit="1" customWidth="1"/>
    <col min="4367" max="4367" width="14.1796875" style="214" customWidth="1"/>
    <col min="4368" max="4368" width="16" style="214" customWidth="1"/>
    <col min="4369" max="4612" width="9.1796875" style="214"/>
    <col min="4613" max="4613" width="42.26953125" style="214" customWidth="1"/>
    <col min="4614" max="4614" width="9.54296875" style="214" bestFit="1" customWidth="1"/>
    <col min="4615" max="4615" width="9.26953125" style="214" customWidth="1"/>
    <col min="4616" max="4616" width="11.7265625" style="214" customWidth="1"/>
    <col min="4617" max="4617" width="13.1796875" style="214" customWidth="1"/>
    <col min="4618" max="4618" width="11.81640625" style="214" customWidth="1"/>
    <col min="4619" max="4619" width="13.1796875" style="214" customWidth="1"/>
    <col min="4620" max="4620" width="12.81640625" style="214" customWidth="1"/>
    <col min="4621" max="4621" width="15.7265625" style="214" customWidth="1"/>
    <col min="4622" max="4622" width="14.7265625" style="214" bestFit="1" customWidth="1"/>
    <col min="4623" max="4623" width="14.1796875" style="214" customWidth="1"/>
    <col min="4624" max="4624" width="16" style="214" customWidth="1"/>
    <col min="4625" max="4868" width="9.1796875" style="214"/>
    <col min="4869" max="4869" width="42.26953125" style="214" customWidth="1"/>
    <col min="4870" max="4870" width="9.54296875" style="214" bestFit="1" customWidth="1"/>
    <col min="4871" max="4871" width="9.26953125" style="214" customWidth="1"/>
    <col min="4872" max="4872" width="11.7265625" style="214" customWidth="1"/>
    <col min="4873" max="4873" width="13.1796875" style="214" customWidth="1"/>
    <col min="4874" max="4874" width="11.81640625" style="214" customWidth="1"/>
    <col min="4875" max="4875" width="13.1796875" style="214" customWidth="1"/>
    <col min="4876" max="4876" width="12.81640625" style="214" customWidth="1"/>
    <col min="4877" max="4877" width="15.7265625" style="214" customWidth="1"/>
    <col min="4878" max="4878" width="14.7265625" style="214" bestFit="1" customWidth="1"/>
    <col min="4879" max="4879" width="14.1796875" style="214" customWidth="1"/>
    <col min="4880" max="4880" width="16" style="214" customWidth="1"/>
    <col min="4881" max="5124" width="9.1796875" style="214"/>
    <col min="5125" max="5125" width="42.26953125" style="214" customWidth="1"/>
    <col min="5126" max="5126" width="9.54296875" style="214" bestFit="1" customWidth="1"/>
    <col min="5127" max="5127" width="9.26953125" style="214" customWidth="1"/>
    <col min="5128" max="5128" width="11.7265625" style="214" customWidth="1"/>
    <col min="5129" max="5129" width="13.1796875" style="214" customWidth="1"/>
    <col min="5130" max="5130" width="11.81640625" style="214" customWidth="1"/>
    <col min="5131" max="5131" width="13.1796875" style="214" customWidth="1"/>
    <col min="5132" max="5132" width="12.81640625" style="214" customWidth="1"/>
    <col min="5133" max="5133" width="15.7265625" style="214" customWidth="1"/>
    <col min="5134" max="5134" width="14.7265625" style="214" bestFit="1" customWidth="1"/>
    <col min="5135" max="5135" width="14.1796875" style="214" customWidth="1"/>
    <col min="5136" max="5136" width="16" style="214" customWidth="1"/>
    <col min="5137" max="5380" width="9.1796875" style="214"/>
    <col min="5381" max="5381" width="42.26953125" style="214" customWidth="1"/>
    <col min="5382" max="5382" width="9.54296875" style="214" bestFit="1" customWidth="1"/>
    <col min="5383" max="5383" width="9.26953125" style="214" customWidth="1"/>
    <col min="5384" max="5384" width="11.7265625" style="214" customWidth="1"/>
    <col min="5385" max="5385" width="13.1796875" style="214" customWidth="1"/>
    <col min="5386" max="5386" width="11.81640625" style="214" customWidth="1"/>
    <col min="5387" max="5387" width="13.1796875" style="214" customWidth="1"/>
    <col min="5388" max="5388" width="12.81640625" style="214" customWidth="1"/>
    <col min="5389" max="5389" width="15.7265625" style="214" customWidth="1"/>
    <col min="5390" max="5390" width="14.7265625" style="214" bestFit="1" customWidth="1"/>
    <col min="5391" max="5391" width="14.1796875" style="214" customWidth="1"/>
    <col min="5392" max="5392" width="16" style="214" customWidth="1"/>
    <col min="5393" max="5636" width="9.1796875" style="214"/>
    <col min="5637" max="5637" width="42.26953125" style="214" customWidth="1"/>
    <col min="5638" max="5638" width="9.54296875" style="214" bestFit="1" customWidth="1"/>
    <col min="5639" max="5639" width="9.26953125" style="214" customWidth="1"/>
    <col min="5640" max="5640" width="11.7265625" style="214" customWidth="1"/>
    <col min="5641" max="5641" width="13.1796875" style="214" customWidth="1"/>
    <col min="5642" max="5642" width="11.81640625" style="214" customWidth="1"/>
    <col min="5643" max="5643" width="13.1796875" style="214" customWidth="1"/>
    <col min="5644" max="5644" width="12.81640625" style="214" customWidth="1"/>
    <col min="5645" max="5645" width="15.7265625" style="214" customWidth="1"/>
    <col min="5646" max="5646" width="14.7265625" style="214" bestFit="1" customWidth="1"/>
    <col min="5647" max="5647" width="14.1796875" style="214" customWidth="1"/>
    <col min="5648" max="5648" width="16" style="214" customWidth="1"/>
    <col min="5649" max="5892" width="9.1796875" style="214"/>
    <col min="5893" max="5893" width="42.26953125" style="214" customWidth="1"/>
    <col min="5894" max="5894" width="9.54296875" style="214" bestFit="1" customWidth="1"/>
    <col min="5895" max="5895" width="9.26953125" style="214" customWidth="1"/>
    <col min="5896" max="5896" width="11.7265625" style="214" customWidth="1"/>
    <col min="5897" max="5897" width="13.1796875" style="214" customWidth="1"/>
    <col min="5898" max="5898" width="11.81640625" style="214" customWidth="1"/>
    <col min="5899" max="5899" width="13.1796875" style="214" customWidth="1"/>
    <col min="5900" max="5900" width="12.81640625" style="214" customWidth="1"/>
    <col min="5901" max="5901" width="15.7265625" style="214" customWidth="1"/>
    <col min="5902" max="5902" width="14.7265625" style="214" bestFit="1" customWidth="1"/>
    <col min="5903" max="5903" width="14.1796875" style="214" customWidth="1"/>
    <col min="5904" max="5904" width="16" style="214" customWidth="1"/>
    <col min="5905" max="6148" width="9.1796875" style="214"/>
    <col min="6149" max="6149" width="42.26953125" style="214" customWidth="1"/>
    <col min="6150" max="6150" width="9.54296875" style="214" bestFit="1" customWidth="1"/>
    <col min="6151" max="6151" width="9.26953125" style="214" customWidth="1"/>
    <col min="6152" max="6152" width="11.7265625" style="214" customWidth="1"/>
    <col min="6153" max="6153" width="13.1796875" style="214" customWidth="1"/>
    <col min="6154" max="6154" width="11.81640625" style="214" customWidth="1"/>
    <col min="6155" max="6155" width="13.1796875" style="214" customWidth="1"/>
    <col min="6156" max="6156" width="12.81640625" style="214" customWidth="1"/>
    <col min="6157" max="6157" width="15.7265625" style="214" customWidth="1"/>
    <col min="6158" max="6158" width="14.7265625" style="214" bestFit="1" customWidth="1"/>
    <col min="6159" max="6159" width="14.1796875" style="214" customWidth="1"/>
    <col min="6160" max="6160" width="16" style="214" customWidth="1"/>
    <col min="6161" max="6404" width="9.1796875" style="214"/>
    <col min="6405" max="6405" width="42.26953125" style="214" customWidth="1"/>
    <col min="6406" max="6406" width="9.54296875" style="214" bestFit="1" customWidth="1"/>
    <col min="6407" max="6407" width="9.26953125" style="214" customWidth="1"/>
    <col min="6408" max="6408" width="11.7265625" style="214" customWidth="1"/>
    <col min="6409" max="6409" width="13.1796875" style="214" customWidth="1"/>
    <col min="6410" max="6410" width="11.81640625" style="214" customWidth="1"/>
    <col min="6411" max="6411" width="13.1796875" style="214" customWidth="1"/>
    <col min="6412" max="6412" width="12.81640625" style="214" customWidth="1"/>
    <col min="6413" max="6413" width="15.7265625" style="214" customWidth="1"/>
    <col min="6414" max="6414" width="14.7265625" style="214" bestFit="1" customWidth="1"/>
    <col min="6415" max="6415" width="14.1796875" style="214" customWidth="1"/>
    <col min="6416" max="6416" width="16" style="214" customWidth="1"/>
    <col min="6417" max="6660" width="9.1796875" style="214"/>
    <col min="6661" max="6661" width="42.26953125" style="214" customWidth="1"/>
    <col min="6662" max="6662" width="9.54296875" style="214" bestFit="1" customWidth="1"/>
    <col min="6663" max="6663" width="9.26953125" style="214" customWidth="1"/>
    <col min="6664" max="6664" width="11.7265625" style="214" customWidth="1"/>
    <col min="6665" max="6665" width="13.1796875" style="214" customWidth="1"/>
    <col min="6666" max="6666" width="11.81640625" style="214" customWidth="1"/>
    <col min="6667" max="6667" width="13.1796875" style="214" customWidth="1"/>
    <col min="6668" max="6668" width="12.81640625" style="214" customWidth="1"/>
    <col min="6669" max="6669" width="15.7265625" style="214" customWidth="1"/>
    <col min="6670" max="6670" width="14.7265625" style="214" bestFit="1" customWidth="1"/>
    <col min="6671" max="6671" width="14.1796875" style="214" customWidth="1"/>
    <col min="6672" max="6672" width="16" style="214" customWidth="1"/>
    <col min="6673" max="6916" width="9.1796875" style="214"/>
    <col min="6917" max="6917" width="42.26953125" style="214" customWidth="1"/>
    <col min="6918" max="6918" width="9.54296875" style="214" bestFit="1" customWidth="1"/>
    <col min="6919" max="6919" width="9.26953125" style="214" customWidth="1"/>
    <col min="6920" max="6920" width="11.7265625" style="214" customWidth="1"/>
    <col min="6921" max="6921" width="13.1796875" style="214" customWidth="1"/>
    <col min="6922" max="6922" width="11.81640625" style="214" customWidth="1"/>
    <col min="6923" max="6923" width="13.1796875" style="214" customWidth="1"/>
    <col min="6924" max="6924" width="12.81640625" style="214" customWidth="1"/>
    <col min="6925" max="6925" width="15.7265625" style="214" customWidth="1"/>
    <col min="6926" max="6926" width="14.7265625" style="214" bestFit="1" customWidth="1"/>
    <col min="6927" max="6927" width="14.1796875" style="214" customWidth="1"/>
    <col min="6928" max="6928" width="16" style="214" customWidth="1"/>
    <col min="6929" max="7172" width="9.1796875" style="214"/>
    <col min="7173" max="7173" width="42.26953125" style="214" customWidth="1"/>
    <col min="7174" max="7174" width="9.54296875" style="214" bestFit="1" customWidth="1"/>
    <col min="7175" max="7175" width="9.26953125" style="214" customWidth="1"/>
    <col min="7176" max="7176" width="11.7265625" style="214" customWidth="1"/>
    <col min="7177" max="7177" width="13.1796875" style="214" customWidth="1"/>
    <col min="7178" max="7178" width="11.81640625" style="214" customWidth="1"/>
    <col min="7179" max="7179" width="13.1796875" style="214" customWidth="1"/>
    <col min="7180" max="7180" width="12.81640625" style="214" customWidth="1"/>
    <col min="7181" max="7181" width="15.7265625" style="214" customWidth="1"/>
    <col min="7182" max="7182" width="14.7265625" style="214" bestFit="1" customWidth="1"/>
    <col min="7183" max="7183" width="14.1796875" style="214" customWidth="1"/>
    <col min="7184" max="7184" width="16" style="214" customWidth="1"/>
    <col min="7185" max="7428" width="9.1796875" style="214"/>
    <col min="7429" max="7429" width="42.26953125" style="214" customWidth="1"/>
    <col min="7430" max="7430" width="9.54296875" style="214" bestFit="1" customWidth="1"/>
    <col min="7431" max="7431" width="9.26953125" style="214" customWidth="1"/>
    <col min="7432" max="7432" width="11.7265625" style="214" customWidth="1"/>
    <col min="7433" max="7433" width="13.1796875" style="214" customWidth="1"/>
    <col min="7434" max="7434" width="11.81640625" style="214" customWidth="1"/>
    <col min="7435" max="7435" width="13.1796875" style="214" customWidth="1"/>
    <col min="7436" max="7436" width="12.81640625" style="214" customWidth="1"/>
    <col min="7437" max="7437" width="15.7265625" style="214" customWidth="1"/>
    <col min="7438" max="7438" width="14.7265625" style="214" bestFit="1" customWidth="1"/>
    <col min="7439" max="7439" width="14.1796875" style="214" customWidth="1"/>
    <col min="7440" max="7440" width="16" style="214" customWidth="1"/>
    <col min="7441" max="7684" width="9.1796875" style="214"/>
    <col min="7685" max="7685" width="42.26953125" style="214" customWidth="1"/>
    <col min="7686" max="7686" width="9.54296875" style="214" bestFit="1" customWidth="1"/>
    <col min="7687" max="7687" width="9.26953125" style="214" customWidth="1"/>
    <col min="7688" max="7688" width="11.7265625" style="214" customWidth="1"/>
    <col min="7689" max="7689" width="13.1796875" style="214" customWidth="1"/>
    <col min="7690" max="7690" width="11.81640625" style="214" customWidth="1"/>
    <col min="7691" max="7691" width="13.1796875" style="214" customWidth="1"/>
    <col min="7692" max="7692" width="12.81640625" style="214" customWidth="1"/>
    <col min="7693" max="7693" width="15.7265625" style="214" customWidth="1"/>
    <col min="7694" max="7694" width="14.7265625" style="214" bestFit="1" customWidth="1"/>
    <col min="7695" max="7695" width="14.1796875" style="214" customWidth="1"/>
    <col min="7696" max="7696" width="16" style="214" customWidth="1"/>
    <col min="7697" max="7940" width="9.1796875" style="214"/>
    <col min="7941" max="7941" width="42.26953125" style="214" customWidth="1"/>
    <col min="7942" max="7942" width="9.54296875" style="214" bestFit="1" customWidth="1"/>
    <col min="7943" max="7943" width="9.26953125" style="214" customWidth="1"/>
    <col min="7944" max="7944" width="11.7265625" style="214" customWidth="1"/>
    <col min="7945" max="7945" width="13.1796875" style="214" customWidth="1"/>
    <col min="7946" max="7946" width="11.81640625" style="214" customWidth="1"/>
    <col min="7947" max="7947" width="13.1796875" style="214" customWidth="1"/>
    <col min="7948" max="7948" width="12.81640625" style="214" customWidth="1"/>
    <col min="7949" max="7949" width="15.7265625" style="214" customWidth="1"/>
    <col min="7950" max="7950" width="14.7265625" style="214" bestFit="1" customWidth="1"/>
    <col min="7951" max="7951" width="14.1796875" style="214" customWidth="1"/>
    <col min="7952" max="7952" width="16" style="214" customWidth="1"/>
    <col min="7953" max="8196" width="9.1796875" style="214"/>
    <col min="8197" max="8197" width="42.26953125" style="214" customWidth="1"/>
    <col min="8198" max="8198" width="9.54296875" style="214" bestFit="1" customWidth="1"/>
    <col min="8199" max="8199" width="9.26953125" style="214" customWidth="1"/>
    <col min="8200" max="8200" width="11.7265625" style="214" customWidth="1"/>
    <col min="8201" max="8201" width="13.1796875" style="214" customWidth="1"/>
    <col min="8202" max="8202" width="11.81640625" style="214" customWidth="1"/>
    <col min="8203" max="8203" width="13.1796875" style="214" customWidth="1"/>
    <col min="8204" max="8204" width="12.81640625" style="214" customWidth="1"/>
    <col min="8205" max="8205" width="15.7265625" style="214" customWidth="1"/>
    <col min="8206" max="8206" width="14.7265625" style="214" bestFit="1" customWidth="1"/>
    <col min="8207" max="8207" width="14.1796875" style="214" customWidth="1"/>
    <col min="8208" max="8208" width="16" style="214" customWidth="1"/>
    <col min="8209" max="8452" width="9.1796875" style="214"/>
    <col min="8453" max="8453" width="42.26953125" style="214" customWidth="1"/>
    <col min="8454" max="8454" width="9.54296875" style="214" bestFit="1" customWidth="1"/>
    <col min="8455" max="8455" width="9.26953125" style="214" customWidth="1"/>
    <col min="8456" max="8456" width="11.7265625" style="214" customWidth="1"/>
    <col min="8457" max="8457" width="13.1796875" style="214" customWidth="1"/>
    <col min="8458" max="8458" width="11.81640625" style="214" customWidth="1"/>
    <col min="8459" max="8459" width="13.1796875" style="214" customWidth="1"/>
    <col min="8460" max="8460" width="12.81640625" style="214" customWidth="1"/>
    <col min="8461" max="8461" width="15.7265625" style="214" customWidth="1"/>
    <col min="8462" max="8462" width="14.7265625" style="214" bestFit="1" customWidth="1"/>
    <col min="8463" max="8463" width="14.1796875" style="214" customWidth="1"/>
    <col min="8464" max="8464" width="16" style="214" customWidth="1"/>
    <col min="8465" max="8708" width="9.1796875" style="214"/>
    <col min="8709" max="8709" width="42.26953125" style="214" customWidth="1"/>
    <col min="8710" max="8710" width="9.54296875" style="214" bestFit="1" customWidth="1"/>
    <col min="8711" max="8711" width="9.26953125" style="214" customWidth="1"/>
    <col min="8712" max="8712" width="11.7265625" style="214" customWidth="1"/>
    <col min="8713" max="8713" width="13.1796875" style="214" customWidth="1"/>
    <col min="8714" max="8714" width="11.81640625" style="214" customWidth="1"/>
    <col min="8715" max="8715" width="13.1796875" style="214" customWidth="1"/>
    <col min="8716" max="8716" width="12.81640625" style="214" customWidth="1"/>
    <col min="8717" max="8717" width="15.7265625" style="214" customWidth="1"/>
    <col min="8718" max="8718" width="14.7265625" style="214" bestFit="1" customWidth="1"/>
    <col min="8719" max="8719" width="14.1796875" style="214" customWidth="1"/>
    <col min="8720" max="8720" width="16" style="214" customWidth="1"/>
    <col min="8721" max="8964" width="9.1796875" style="214"/>
    <col min="8965" max="8965" width="42.26953125" style="214" customWidth="1"/>
    <col min="8966" max="8966" width="9.54296875" style="214" bestFit="1" customWidth="1"/>
    <col min="8967" max="8967" width="9.26953125" style="214" customWidth="1"/>
    <col min="8968" max="8968" width="11.7265625" style="214" customWidth="1"/>
    <col min="8969" max="8969" width="13.1796875" style="214" customWidth="1"/>
    <col min="8970" max="8970" width="11.81640625" style="214" customWidth="1"/>
    <col min="8971" max="8971" width="13.1796875" style="214" customWidth="1"/>
    <col min="8972" max="8972" width="12.81640625" style="214" customWidth="1"/>
    <col min="8973" max="8973" width="15.7265625" style="214" customWidth="1"/>
    <col min="8974" max="8974" width="14.7265625" style="214" bestFit="1" customWidth="1"/>
    <col min="8975" max="8975" width="14.1796875" style="214" customWidth="1"/>
    <col min="8976" max="8976" width="16" style="214" customWidth="1"/>
    <col min="8977" max="9220" width="9.1796875" style="214"/>
    <col min="9221" max="9221" width="42.26953125" style="214" customWidth="1"/>
    <col min="9222" max="9222" width="9.54296875" style="214" bestFit="1" customWidth="1"/>
    <col min="9223" max="9223" width="9.26953125" style="214" customWidth="1"/>
    <col min="9224" max="9224" width="11.7265625" style="214" customWidth="1"/>
    <col min="9225" max="9225" width="13.1796875" style="214" customWidth="1"/>
    <col min="9226" max="9226" width="11.81640625" style="214" customWidth="1"/>
    <col min="9227" max="9227" width="13.1796875" style="214" customWidth="1"/>
    <col min="9228" max="9228" width="12.81640625" style="214" customWidth="1"/>
    <col min="9229" max="9229" width="15.7265625" style="214" customWidth="1"/>
    <col min="9230" max="9230" width="14.7265625" style="214" bestFit="1" customWidth="1"/>
    <col min="9231" max="9231" width="14.1796875" style="214" customWidth="1"/>
    <col min="9232" max="9232" width="16" style="214" customWidth="1"/>
    <col min="9233" max="9476" width="9.1796875" style="214"/>
    <col min="9477" max="9477" width="42.26953125" style="214" customWidth="1"/>
    <col min="9478" max="9478" width="9.54296875" style="214" bestFit="1" customWidth="1"/>
    <col min="9479" max="9479" width="9.26953125" style="214" customWidth="1"/>
    <col min="9480" max="9480" width="11.7265625" style="214" customWidth="1"/>
    <col min="9481" max="9481" width="13.1796875" style="214" customWidth="1"/>
    <col min="9482" max="9482" width="11.81640625" style="214" customWidth="1"/>
    <col min="9483" max="9483" width="13.1796875" style="214" customWidth="1"/>
    <col min="9484" max="9484" width="12.81640625" style="214" customWidth="1"/>
    <col min="9485" max="9485" width="15.7265625" style="214" customWidth="1"/>
    <col min="9486" max="9486" width="14.7265625" style="214" bestFit="1" customWidth="1"/>
    <col min="9487" max="9487" width="14.1796875" style="214" customWidth="1"/>
    <col min="9488" max="9488" width="16" style="214" customWidth="1"/>
    <col min="9489" max="9732" width="9.1796875" style="214"/>
    <col min="9733" max="9733" width="42.26953125" style="214" customWidth="1"/>
    <col min="9734" max="9734" width="9.54296875" style="214" bestFit="1" customWidth="1"/>
    <col min="9735" max="9735" width="9.26953125" style="214" customWidth="1"/>
    <col min="9736" max="9736" width="11.7265625" style="214" customWidth="1"/>
    <col min="9737" max="9737" width="13.1796875" style="214" customWidth="1"/>
    <col min="9738" max="9738" width="11.81640625" style="214" customWidth="1"/>
    <col min="9739" max="9739" width="13.1796875" style="214" customWidth="1"/>
    <col min="9740" max="9740" width="12.81640625" style="214" customWidth="1"/>
    <col min="9741" max="9741" width="15.7265625" style="214" customWidth="1"/>
    <col min="9742" max="9742" width="14.7265625" style="214" bestFit="1" customWidth="1"/>
    <col min="9743" max="9743" width="14.1796875" style="214" customWidth="1"/>
    <col min="9744" max="9744" width="16" style="214" customWidth="1"/>
    <col min="9745" max="9988" width="9.1796875" style="214"/>
    <col min="9989" max="9989" width="42.26953125" style="214" customWidth="1"/>
    <col min="9990" max="9990" width="9.54296875" style="214" bestFit="1" customWidth="1"/>
    <col min="9991" max="9991" width="9.26953125" style="214" customWidth="1"/>
    <col min="9992" max="9992" width="11.7265625" style="214" customWidth="1"/>
    <col min="9993" max="9993" width="13.1796875" style="214" customWidth="1"/>
    <col min="9994" max="9994" width="11.81640625" style="214" customWidth="1"/>
    <col min="9995" max="9995" width="13.1796875" style="214" customWidth="1"/>
    <col min="9996" max="9996" width="12.81640625" style="214" customWidth="1"/>
    <col min="9997" max="9997" width="15.7265625" style="214" customWidth="1"/>
    <col min="9998" max="9998" width="14.7265625" style="214" bestFit="1" customWidth="1"/>
    <col min="9999" max="9999" width="14.1796875" style="214" customWidth="1"/>
    <col min="10000" max="10000" width="16" style="214" customWidth="1"/>
    <col min="10001" max="10244" width="9.1796875" style="214"/>
    <col min="10245" max="10245" width="42.26953125" style="214" customWidth="1"/>
    <col min="10246" max="10246" width="9.54296875" style="214" bestFit="1" customWidth="1"/>
    <col min="10247" max="10247" width="9.26953125" style="214" customWidth="1"/>
    <col min="10248" max="10248" width="11.7265625" style="214" customWidth="1"/>
    <col min="10249" max="10249" width="13.1796875" style="214" customWidth="1"/>
    <col min="10250" max="10250" width="11.81640625" style="214" customWidth="1"/>
    <col min="10251" max="10251" width="13.1796875" style="214" customWidth="1"/>
    <col min="10252" max="10252" width="12.81640625" style="214" customWidth="1"/>
    <col min="10253" max="10253" width="15.7265625" style="214" customWidth="1"/>
    <col min="10254" max="10254" width="14.7265625" style="214" bestFit="1" customWidth="1"/>
    <col min="10255" max="10255" width="14.1796875" style="214" customWidth="1"/>
    <col min="10256" max="10256" width="16" style="214" customWidth="1"/>
    <col min="10257" max="10500" width="9.1796875" style="214"/>
    <col min="10501" max="10501" width="42.26953125" style="214" customWidth="1"/>
    <col min="10502" max="10502" width="9.54296875" style="214" bestFit="1" customWidth="1"/>
    <col min="10503" max="10503" width="9.26953125" style="214" customWidth="1"/>
    <col min="10504" max="10504" width="11.7265625" style="214" customWidth="1"/>
    <col min="10505" max="10505" width="13.1796875" style="214" customWidth="1"/>
    <col min="10506" max="10506" width="11.81640625" style="214" customWidth="1"/>
    <col min="10507" max="10507" width="13.1796875" style="214" customWidth="1"/>
    <col min="10508" max="10508" width="12.81640625" style="214" customWidth="1"/>
    <col min="10509" max="10509" width="15.7265625" style="214" customWidth="1"/>
    <col min="10510" max="10510" width="14.7265625" style="214" bestFit="1" customWidth="1"/>
    <col min="10511" max="10511" width="14.1796875" style="214" customWidth="1"/>
    <col min="10512" max="10512" width="16" style="214" customWidth="1"/>
    <col min="10513" max="10756" width="9.1796875" style="214"/>
    <col min="10757" max="10757" width="42.26953125" style="214" customWidth="1"/>
    <col min="10758" max="10758" width="9.54296875" style="214" bestFit="1" customWidth="1"/>
    <col min="10759" max="10759" width="9.26953125" style="214" customWidth="1"/>
    <col min="10760" max="10760" width="11.7265625" style="214" customWidth="1"/>
    <col min="10761" max="10761" width="13.1796875" style="214" customWidth="1"/>
    <col min="10762" max="10762" width="11.81640625" style="214" customWidth="1"/>
    <col min="10763" max="10763" width="13.1796875" style="214" customWidth="1"/>
    <col min="10764" max="10764" width="12.81640625" style="214" customWidth="1"/>
    <col min="10765" max="10765" width="15.7265625" style="214" customWidth="1"/>
    <col min="10766" max="10766" width="14.7265625" style="214" bestFit="1" customWidth="1"/>
    <col min="10767" max="10767" width="14.1796875" style="214" customWidth="1"/>
    <col min="10768" max="10768" width="16" style="214" customWidth="1"/>
    <col min="10769" max="11012" width="9.1796875" style="214"/>
    <col min="11013" max="11013" width="42.26953125" style="214" customWidth="1"/>
    <col min="11014" max="11014" width="9.54296875" style="214" bestFit="1" customWidth="1"/>
    <col min="11015" max="11015" width="9.26953125" style="214" customWidth="1"/>
    <col min="11016" max="11016" width="11.7265625" style="214" customWidth="1"/>
    <col min="11017" max="11017" width="13.1796875" style="214" customWidth="1"/>
    <col min="11018" max="11018" width="11.81640625" style="214" customWidth="1"/>
    <col min="11019" max="11019" width="13.1796875" style="214" customWidth="1"/>
    <col min="11020" max="11020" width="12.81640625" style="214" customWidth="1"/>
    <col min="11021" max="11021" width="15.7265625" style="214" customWidth="1"/>
    <col min="11022" max="11022" width="14.7265625" style="214" bestFit="1" customWidth="1"/>
    <col min="11023" max="11023" width="14.1796875" style="214" customWidth="1"/>
    <col min="11024" max="11024" width="16" style="214" customWidth="1"/>
    <col min="11025" max="11268" width="9.1796875" style="214"/>
    <col min="11269" max="11269" width="42.26953125" style="214" customWidth="1"/>
    <col min="11270" max="11270" width="9.54296875" style="214" bestFit="1" customWidth="1"/>
    <col min="11271" max="11271" width="9.26953125" style="214" customWidth="1"/>
    <col min="11272" max="11272" width="11.7265625" style="214" customWidth="1"/>
    <col min="11273" max="11273" width="13.1796875" style="214" customWidth="1"/>
    <col min="11274" max="11274" width="11.81640625" style="214" customWidth="1"/>
    <col min="11275" max="11275" width="13.1796875" style="214" customWidth="1"/>
    <col min="11276" max="11276" width="12.81640625" style="214" customWidth="1"/>
    <col min="11277" max="11277" width="15.7265625" style="214" customWidth="1"/>
    <col min="11278" max="11278" width="14.7265625" style="214" bestFit="1" customWidth="1"/>
    <col min="11279" max="11279" width="14.1796875" style="214" customWidth="1"/>
    <col min="11280" max="11280" width="16" style="214" customWidth="1"/>
    <col min="11281" max="11524" width="9.1796875" style="214"/>
    <col min="11525" max="11525" width="42.26953125" style="214" customWidth="1"/>
    <col min="11526" max="11526" width="9.54296875" style="214" bestFit="1" customWidth="1"/>
    <col min="11527" max="11527" width="9.26953125" style="214" customWidth="1"/>
    <col min="11528" max="11528" width="11.7265625" style="214" customWidth="1"/>
    <col min="11529" max="11529" width="13.1796875" style="214" customWidth="1"/>
    <col min="11530" max="11530" width="11.81640625" style="214" customWidth="1"/>
    <col min="11531" max="11531" width="13.1796875" style="214" customWidth="1"/>
    <col min="11532" max="11532" width="12.81640625" style="214" customWidth="1"/>
    <col min="11533" max="11533" width="15.7265625" style="214" customWidth="1"/>
    <col min="11534" max="11534" width="14.7265625" style="214" bestFit="1" customWidth="1"/>
    <col min="11535" max="11535" width="14.1796875" style="214" customWidth="1"/>
    <col min="11536" max="11536" width="16" style="214" customWidth="1"/>
    <col min="11537" max="11780" width="9.1796875" style="214"/>
    <col min="11781" max="11781" width="42.26953125" style="214" customWidth="1"/>
    <col min="11782" max="11782" width="9.54296875" style="214" bestFit="1" customWidth="1"/>
    <col min="11783" max="11783" width="9.26953125" style="214" customWidth="1"/>
    <col min="11784" max="11784" width="11.7265625" style="214" customWidth="1"/>
    <col min="11785" max="11785" width="13.1796875" style="214" customWidth="1"/>
    <col min="11786" max="11786" width="11.81640625" style="214" customWidth="1"/>
    <col min="11787" max="11787" width="13.1796875" style="214" customWidth="1"/>
    <col min="11788" max="11788" width="12.81640625" style="214" customWidth="1"/>
    <col min="11789" max="11789" width="15.7265625" style="214" customWidth="1"/>
    <col min="11790" max="11790" width="14.7265625" style="214" bestFit="1" customWidth="1"/>
    <col min="11791" max="11791" width="14.1796875" style="214" customWidth="1"/>
    <col min="11792" max="11792" width="16" style="214" customWidth="1"/>
    <col min="11793" max="12036" width="9.1796875" style="214"/>
    <col min="12037" max="12037" width="42.26953125" style="214" customWidth="1"/>
    <col min="12038" max="12038" width="9.54296875" style="214" bestFit="1" customWidth="1"/>
    <col min="12039" max="12039" width="9.26953125" style="214" customWidth="1"/>
    <col min="12040" max="12040" width="11.7265625" style="214" customWidth="1"/>
    <col min="12041" max="12041" width="13.1796875" style="214" customWidth="1"/>
    <col min="12042" max="12042" width="11.81640625" style="214" customWidth="1"/>
    <col min="12043" max="12043" width="13.1796875" style="214" customWidth="1"/>
    <col min="12044" max="12044" width="12.81640625" style="214" customWidth="1"/>
    <col min="12045" max="12045" width="15.7265625" style="214" customWidth="1"/>
    <col min="12046" max="12046" width="14.7265625" style="214" bestFit="1" customWidth="1"/>
    <col min="12047" max="12047" width="14.1796875" style="214" customWidth="1"/>
    <col min="12048" max="12048" width="16" style="214" customWidth="1"/>
    <col min="12049" max="12292" width="9.1796875" style="214"/>
    <col min="12293" max="12293" width="42.26953125" style="214" customWidth="1"/>
    <col min="12294" max="12294" width="9.54296875" style="214" bestFit="1" customWidth="1"/>
    <col min="12295" max="12295" width="9.26953125" style="214" customWidth="1"/>
    <col min="12296" max="12296" width="11.7265625" style="214" customWidth="1"/>
    <col min="12297" max="12297" width="13.1796875" style="214" customWidth="1"/>
    <col min="12298" max="12298" width="11.81640625" style="214" customWidth="1"/>
    <col min="12299" max="12299" width="13.1796875" style="214" customWidth="1"/>
    <col min="12300" max="12300" width="12.81640625" style="214" customWidth="1"/>
    <col min="12301" max="12301" width="15.7265625" style="214" customWidth="1"/>
    <col min="12302" max="12302" width="14.7265625" style="214" bestFit="1" customWidth="1"/>
    <col min="12303" max="12303" width="14.1796875" style="214" customWidth="1"/>
    <col min="12304" max="12304" width="16" style="214" customWidth="1"/>
    <col min="12305" max="12548" width="9.1796875" style="214"/>
    <col min="12549" max="12549" width="42.26953125" style="214" customWidth="1"/>
    <col min="12550" max="12550" width="9.54296875" style="214" bestFit="1" customWidth="1"/>
    <col min="12551" max="12551" width="9.26953125" style="214" customWidth="1"/>
    <col min="12552" max="12552" width="11.7265625" style="214" customWidth="1"/>
    <col min="12553" max="12553" width="13.1796875" style="214" customWidth="1"/>
    <col min="12554" max="12554" width="11.81640625" style="214" customWidth="1"/>
    <col min="12555" max="12555" width="13.1796875" style="214" customWidth="1"/>
    <col min="12556" max="12556" width="12.81640625" style="214" customWidth="1"/>
    <col min="12557" max="12557" width="15.7265625" style="214" customWidth="1"/>
    <col min="12558" max="12558" width="14.7265625" style="214" bestFit="1" customWidth="1"/>
    <col min="12559" max="12559" width="14.1796875" style="214" customWidth="1"/>
    <col min="12560" max="12560" width="16" style="214" customWidth="1"/>
    <col min="12561" max="12804" width="9.1796875" style="214"/>
    <col min="12805" max="12805" width="42.26953125" style="214" customWidth="1"/>
    <col min="12806" max="12806" width="9.54296875" style="214" bestFit="1" customWidth="1"/>
    <col min="12807" max="12807" width="9.26953125" style="214" customWidth="1"/>
    <col min="12808" max="12808" width="11.7265625" style="214" customWidth="1"/>
    <col min="12809" max="12809" width="13.1796875" style="214" customWidth="1"/>
    <col min="12810" max="12810" width="11.81640625" style="214" customWidth="1"/>
    <col min="12811" max="12811" width="13.1796875" style="214" customWidth="1"/>
    <col min="12812" max="12812" width="12.81640625" style="214" customWidth="1"/>
    <col min="12813" max="12813" width="15.7265625" style="214" customWidth="1"/>
    <col min="12814" max="12814" width="14.7265625" style="214" bestFit="1" customWidth="1"/>
    <col min="12815" max="12815" width="14.1796875" style="214" customWidth="1"/>
    <col min="12816" max="12816" width="16" style="214" customWidth="1"/>
    <col min="12817" max="13060" width="9.1796875" style="214"/>
    <col min="13061" max="13061" width="42.26953125" style="214" customWidth="1"/>
    <col min="13062" max="13062" width="9.54296875" style="214" bestFit="1" customWidth="1"/>
    <col min="13063" max="13063" width="9.26953125" style="214" customWidth="1"/>
    <col min="13064" max="13064" width="11.7265625" style="214" customWidth="1"/>
    <col min="13065" max="13065" width="13.1796875" style="214" customWidth="1"/>
    <col min="13066" max="13066" width="11.81640625" style="214" customWidth="1"/>
    <col min="13067" max="13067" width="13.1796875" style="214" customWidth="1"/>
    <col min="13068" max="13068" width="12.81640625" style="214" customWidth="1"/>
    <col min="13069" max="13069" width="15.7265625" style="214" customWidth="1"/>
    <col min="13070" max="13070" width="14.7265625" style="214" bestFit="1" customWidth="1"/>
    <col min="13071" max="13071" width="14.1796875" style="214" customWidth="1"/>
    <col min="13072" max="13072" width="16" style="214" customWidth="1"/>
    <col min="13073" max="13316" width="9.1796875" style="214"/>
    <col min="13317" max="13317" width="42.26953125" style="214" customWidth="1"/>
    <col min="13318" max="13318" width="9.54296875" style="214" bestFit="1" customWidth="1"/>
    <col min="13319" max="13319" width="9.26953125" style="214" customWidth="1"/>
    <col min="13320" max="13320" width="11.7265625" style="214" customWidth="1"/>
    <col min="13321" max="13321" width="13.1796875" style="214" customWidth="1"/>
    <col min="13322" max="13322" width="11.81640625" style="214" customWidth="1"/>
    <col min="13323" max="13323" width="13.1796875" style="214" customWidth="1"/>
    <col min="13324" max="13324" width="12.81640625" style="214" customWidth="1"/>
    <col min="13325" max="13325" width="15.7265625" style="214" customWidth="1"/>
    <col min="13326" max="13326" width="14.7265625" style="214" bestFit="1" customWidth="1"/>
    <col min="13327" max="13327" width="14.1796875" style="214" customWidth="1"/>
    <col min="13328" max="13328" width="16" style="214" customWidth="1"/>
    <col min="13329" max="13572" width="9.1796875" style="214"/>
    <col min="13573" max="13573" width="42.26953125" style="214" customWidth="1"/>
    <col min="13574" max="13574" width="9.54296875" style="214" bestFit="1" customWidth="1"/>
    <col min="13575" max="13575" width="9.26953125" style="214" customWidth="1"/>
    <col min="13576" max="13576" width="11.7265625" style="214" customWidth="1"/>
    <col min="13577" max="13577" width="13.1796875" style="214" customWidth="1"/>
    <col min="13578" max="13578" width="11.81640625" style="214" customWidth="1"/>
    <col min="13579" max="13579" width="13.1796875" style="214" customWidth="1"/>
    <col min="13580" max="13580" width="12.81640625" style="214" customWidth="1"/>
    <col min="13581" max="13581" width="15.7265625" style="214" customWidth="1"/>
    <col min="13582" max="13582" width="14.7265625" style="214" bestFit="1" customWidth="1"/>
    <col min="13583" max="13583" width="14.1796875" style="214" customWidth="1"/>
    <col min="13584" max="13584" width="16" style="214" customWidth="1"/>
    <col min="13585" max="13828" width="9.1796875" style="214"/>
    <col min="13829" max="13829" width="42.26953125" style="214" customWidth="1"/>
    <col min="13830" max="13830" width="9.54296875" style="214" bestFit="1" customWidth="1"/>
    <col min="13831" max="13831" width="9.26953125" style="214" customWidth="1"/>
    <col min="13832" max="13832" width="11.7265625" style="214" customWidth="1"/>
    <col min="13833" max="13833" width="13.1796875" style="214" customWidth="1"/>
    <col min="13834" max="13834" width="11.81640625" style="214" customWidth="1"/>
    <col min="13835" max="13835" width="13.1796875" style="214" customWidth="1"/>
    <col min="13836" max="13836" width="12.81640625" style="214" customWidth="1"/>
    <col min="13837" max="13837" width="15.7265625" style="214" customWidth="1"/>
    <col min="13838" max="13838" width="14.7265625" style="214" bestFit="1" customWidth="1"/>
    <col min="13839" max="13839" width="14.1796875" style="214" customWidth="1"/>
    <col min="13840" max="13840" width="16" style="214" customWidth="1"/>
    <col min="13841" max="14084" width="9.1796875" style="214"/>
    <col min="14085" max="14085" width="42.26953125" style="214" customWidth="1"/>
    <col min="14086" max="14086" width="9.54296875" style="214" bestFit="1" customWidth="1"/>
    <col min="14087" max="14087" width="9.26953125" style="214" customWidth="1"/>
    <col min="14088" max="14088" width="11.7265625" style="214" customWidth="1"/>
    <col min="14089" max="14089" width="13.1796875" style="214" customWidth="1"/>
    <col min="14090" max="14090" width="11.81640625" style="214" customWidth="1"/>
    <col min="14091" max="14091" width="13.1796875" style="214" customWidth="1"/>
    <col min="14092" max="14092" width="12.81640625" style="214" customWidth="1"/>
    <col min="14093" max="14093" width="15.7265625" style="214" customWidth="1"/>
    <col min="14094" max="14094" width="14.7265625" style="214" bestFit="1" customWidth="1"/>
    <col min="14095" max="14095" width="14.1796875" style="214" customWidth="1"/>
    <col min="14096" max="14096" width="16" style="214" customWidth="1"/>
    <col min="14097" max="14340" width="9.1796875" style="214"/>
    <col min="14341" max="14341" width="42.26953125" style="214" customWidth="1"/>
    <col min="14342" max="14342" width="9.54296875" style="214" bestFit="1" customWidth="1"/>
    <col min="14343" max="14343" width="9.26953125" style="214" customWidth="1"/>
    <col min="14344" max="14344" width="11.7265625" style="214" customWidth="1"/>
    <col min="14345" max="14345" width="13.1796875" style="214" customWidth="1"/>
    <col min="14346" max="14346" width="11.81640625" style="214" customWidth="1"/>
    <col min="14347" max="14347" width="13.1796875" style="214" customWidth="1"/>
    <col min="14348" max="14348" width="12.81640625" style="214" customWidth="1"/>
    <col min="14349" max="14349" width="15.7265625" style="214" customWidth="1"/>
    <col min="14350" max="14350" width="14.7265625" style="214" bestFit="1" customWidth="1"/>
    <col min="14351" max="14351" width="14.1796875" style="214" customWidth="1"/>
    <col min="14352" max="14352" width="16" style="214" customWidth="1"/>
    <col min="14353" max="14596" width="9.1796875" style="214"/>
    <col min="14597" max="14597" width="42.26953125" style="214" customWidth="1"/>
    <col min="14598" max="14598" width="9.54296875" style="214" bestFit="1" customWidth="1"/>
    <col min="14599" max="14599" width="9.26953125" style="214" customWidth="1"/>
    <col min="14600" max="14600" width="11.7265625" style="214" customWidth="1"/>
    <col min="14601" max="14601" width="13.1796875" style="214" customWidth="1"/>
    <col min="14602" max="14602" width="11.81640625" style="214" customWidth="1"/>
    <col min="14603" max="14603" width="13.1796875" style="214" customWidth="1"/>
    <col min="14604" max="14604" width="12.81640625" style="214" customWidth="1"/>
    <col min="14605" max="14605" width="15.7265625" style="214" customWidth="1"/>
    <col min="14606" max="14606" width="14.7265625" style="214" bestFit="1" customWidth="1"/>
    <col min="14607" max="14607" width="14.1796875" style="214" customWidth="1"/>
    <col min="14608" max="14608" width="16" style="214" customWidth="1"/>
    <col min="14609" max="14852" width="9.1796875" style="214"/>
    <col min="14853" max="14853" width="42.26953125" style="214" customWidth="1"/>
    <col min="14854" max="14854" width="9.54296875" style="214" bestFit="1" customWidth="1"/>
    <col min="14855" max="14855" width="9.26953125" style="214" customWidth="1"/>
    <col min="14856" max="14856" width="11.7265625" style="214" customWidth="1"/>
    <col min="14857" max="14857" width="13.1796875" style="214" customWidth="1"/>
    <col min="14858" max="14858" width="11.81640625" style="214" customWidth="1"/>
    <col min="14859" max="14859" width="13.1796875" style="214" customWidth="1"/>
    <col min="14860" max="14860" width="12.81640625" style="214" customWidth="1"/>
    <col min="14861" max="14861" width="15.7265625" style="214" customWidth="1"/>
    <col min="14862" max="14862" width="14.7265625" style="214" bestFit="1" customWidth="1"/>
    <col min="14863" max="14863" width="14.1796875" style="214" customWidth="1"/>
    <col min="14864" max="14864" width="16" style="214" customWidth="1"/>
    <col min="14865" max="15108" width="9.1796875" style="214"/>
    <col min="15109" max="15109" width="42.26953125" style="214" customWidth="1"/>
    <col min="15110" max="15110" width="9.54296875" style="214" bestFit="1" customWidth="1"/>
    <col min="15111" max="15111" width="9.26953125" style="214" customWidth="1"/>
    <col min="15112" max="15112" width="11.7265625" style="214" customWidth="1"/>
    <col min="15113" max="15113" width="13.1796875" style="214" customWidth="1"/>
    <col min="15114" max="15114" width="11.81640625" style="214" customWidth="1"/>
    <col min="15115" max="15115" width="13.1796875" style="214" customWidth="1"/>
    <col min="15116" max="15116" width="12.81640625" style="214" customWidth="1"/>
    <col min="15117" max="15117" width="15.7265625" style="214" customWidth="1"/>
    <col min="15118" max="15118" width="14.7265625" style="214" bestFit="1" customWidth="1"/>
    <col min="15119" max="15119" width="14.1796875" style="214" customWidth="1"/>
    <col min="15120" max="15120" width="16" style="214" customWidth="1"/>
    <col min="15121" max="15364" width="9.1796875" style="214"/>
    <col min="15365" max="15365" width="42.26953125" style="214" customWidth="1"/>
    <col min="15366" max="15366" width="9.54296875" style="214" bestFit="1" customWidth="1"/>
    <col min="15367" max="15367" width="9.26953125" style="214" customWidth="1"/>
    <col min="15368" max="15368" width="11.7265625" style="214" customWidth="1"/>
    <col min="15369" max="15369" width="13.1796875" style="214" customWidth="1"/>
    <col min="15370" max="15370" width="11.81640625" style="214" customWidth="1"/>
    <col min="15371" max="15371" width="13.1796875" style="214" customWidth="1"/>
    <col min="15372" max="15372" width="12.81640625" style="214" customWidth="1"/>
    <col min="15373" max="15373" width="15.7265625" style="214" customWidth="1"/>
    <col min="15374" max="15374" width="14.7265625" style="214" bestFit="1" customWidth="1"/>
    <col min="15375" max="15375" width="14.1796875" style="214" customWidth="1"/>
    <col min="15376" max="15376" width="16" style="214" customWidth="1"/>
    <col min="15377" max="15620" width="9.1796875" style="214"/>
    <col min="15621" max="15621" width="42.26953125" style="214" customWidth="1"/>
    <col min="15622" max="15622" width="9.54296875" style="214" bestFit="1" customWidth="1"/>
    <col min="15623" max="15623" width="9.26953125" style="214" customWidth="1"/>
    <col min="15624" max="15624" width="11.7265625" style="214" customWidth="1"/>
    <col min="15625" max="15625" width="13.1796875" style="214" customWidth="1"/>
    <col min="15626" max="15626" width="11.81640625" style="214" customWidth="1"/>
    <col min="15627" max="15627" width="13.1796875" style="214" customWidth="1"/>
    <col min="15628" max="15628" width="12.81640625" style="214" customWidth="1"/>
    <col min="15629" max="15629" width="15.7265625" style="214" customWidth="1"/>
    <col min="15630" max="15630" width="14.7265625" style="214" bestFit="1" customWidth="1"/>
    <col min="15631" max="15631" width="14.1796875" style="214" customWidth="1"/>
    <col min="15632" max="15632" width="16" style="214" customWidth="1"/>
    <col min="15633" max="15876" width="9.1796875" style="214"/>
    <col min="15877" max="15877" width="42.26953125" style="214" customWidth="1"/>
    <col min="15878" max="15878" width="9.54296875" style="214" bestFit="1" customWidth="1"/>
    <col min="15879" max="15879" width="9.26953125" style="214" customWidth="1"/>
    <col min="15880" max="15880" width="11.7265625" style="214" customWidth="1"/>
    <col min="15881" max="15881" width="13.1796875" style="214" customWidth="1"/>
    <col min="15882" max="15882" width="11.81640625" style="214" customWidth="1"/>
    <col min="15883" max="15883" width="13.1796875" style="214" customWidth="1"/>
    <col min="15884" max="15884" width="12.81640625" style="214" customWidth="1"/>
    <col min="15885" max="15885" width="15.7265625" style="214" customWidth="1"/>
    <col min="15886" max="15886" width="14.7265625" style="214" bestFit="1" customWidth="1"/>
    <col min="15887" max="15887" width="14.1796875" style="214" customWidth="1"/>
    <col min="15888" max="15888" width="16" style="214" customWidth="1"/>
    <col min="15889" max="16132" width="9.1796875" style="214"/>
    <col min="16133" max="16133" width="42.26953125" style="214" customWidth="1"/>
    <col min="16134" max="16134" width="9.54296875" style="214" bestFit="1" customWidth="1"/>
    <col min="16135" max="16135" width="9.26953125" style="214" customWidth="1"/>
    <col min="16136" max="16136" width="11.7265625" style="214" customWidth="1"/>
    <col min="16137" max="16137" width="13.1796875" style="214" customWidth="1"/>
    <col min="16138" max="16138" width="11.81640625" style="214" customWidth="1"/>
    <col min="16139" max="16139" width="13.1796875" style="214" customWidth="1"/>
    <col min="16140" max="16140" width="12.81640625" style="214" customWidth="1"/>
    <col min="16141" max="16141" width="15.7265625" style="214" customWidth="1"/>
    <col min="16142" max="16142" width="14.7265625" style="214" bestFit="1" customWidth="1"/>
    <col min="16143" max="16143" width="14.1796875" style="214" customWidth="1"/>
    <col min="16144" max="16144" width="16" style="214" customWidth="1"/>
    <col min="16145" max="16384" width="9.1796875" style="214"/>
  </cols>
  <sheetData>
    <row r="1" spans="1:22" s="340" customFormat="1" ht="16" customHeight="1">
      <c r="A1" s="2405" t="s">
        <v>6425</v>
      </c>
      <c r="B1" s="2405"/>
      <c r="C1" s="2405"/>
      <c r="D1" s="2405"/>
      <c r="E1" s="2405"/>
      <c r="F1" s="2405"/>
      <c r="G1" s="2405"/>
      <c r="H1" s="2405"/>
      <c r="I1" s="2405"/>
      <c r="J1" s="2405"/>
      <c r="K1" s="2405"/>
      <c r="L1" s="2405"/>
      <c r="M1" s="2405"/>
      <c r="N1" s="2405"/>
      <c r="O1" s="2405"/>
      <c r="P1" s="2405"/>
      <c r="Q1" s="363"/>
      <c r="R1" s="363"/>
      <c r="S1" s="363"/>
    </row>
    <row r="2" spans="1:22" s="340" customFormat="1" ht="16" customHeight="1">
      <c r="A2" s="2405"/>
      <c r="B2" s="2405"/>
      <c r="C2" s="2405"/>
      <c r="D2" s="2405"/>
      <c r="E2" s="2405"/>
      <c r="F2" s="2405"/>
      <c r="G2" s="2405"/>
      <c r="H2" s="2405"/>
      <c r="I2" s="2405"/>
      <c r="J2" s="2405"/>
      <c r="K2" s="2405"/>
      <c r="L2" s="2405"/>
      <c r="M2" s="2405"/>
      <c r="N2" s="2405"/>
      <c r="O2" s="2405"/>
      <c r="P2" s="2405"/>
      <c r="Q2" s="356"/>
      <c r="R2" s="356"/>
      <c r="S2" s="356"/>
    </row>
    <row r="3" spans="1:22" s="340" customFormat="1" ht="16" customHeight="1">
      <c r="A3" s="2406"/>
      <c r="B3" s="2406"/>
      <c r="C3" s="2406"/>
      <c r="D3" s="2406"/>
      <c r="E3" s="2406"/>
      <c r="F3" s="2406"/>
      <c r="G3" s="2406"/>
      <c r="H3" s="2406"/>
      <c r="I3" s="2406"/>
      <c r="J3" s="2406"/>
      <c r="K3" s="2406"/>
      <c r="L3" s="2406"/>
      <c r="M3" s="2406"/>
      <c r="N3" s="2406"/>
      <c r="O3" s="2406"/>
      <c r="P3" s="2406"/>
      <c r="Q3" s="356"/>
      <c r="R3" s="356"/>
      <c r="S3" s="356"/>
    </row>
    <row r="4" spans="1:22" s="340" customFormat="1" ht="16" customHeight="1">
      <c r="A4" s="362" t="s">
        <v>6426</v>
      </c>
      <c r="B4" s="361"/>
      <c r="C4" s="361"/>
      <c r="D4" s="361"/>
      <c r="E4" s="361"/>
      <c r="F4" s="361"/>
      <c r="G4" s="361"/>
      <c r="H4" s="361"/>
      <c r="I4" s="361"/>
      <c r="J4" s="361"/>
      <c r="K4" s="361"/>
      <c r="L4" s="361"/>
      <c r="M4" s="361"/>
      <c r="N4" s="361"/>
      <c r="O4" s="361"/>
      <c r="P4" s="361"/>
      <c r="Q4" s="356"/>
      <c r="R4" s="356"/>
      <c r="S4" s="356"/>
    </row>
    <row r="5" spans="1:22" s="340" customFormat="1" ht="16" customHeight="1">
      <c r="A5" s="360" t="s">
        <v>6427</v>
      </c>
      <c r="B5" s="359"/>
      <c r="C5" s="359"/>
      <c r="D5" s="359"/>
      <c r="E5" s="359"/>
      <c r="F5" s="359"/>
      <c r="G5" s="359"/>
      <c r="H5" s="359"/>
      <c r="I5" s="359"/>
      <c r="J5" s="359"/>
      <c r="K5" s="359"/>
      <c r="L5" s="359"/>
      <c r="M5" s="359"/>
      <c r="N5" s="359"/>
      <c r="O5" s="359"/>
      <c r="P5" s="359"/>
      <c r="Q5" s="359"/>
      <c r="R5" s="359"/>
      <c r="S5" s="359"/>
      <c r="T5" s="359"/>
      <c r="U5" s="359"/>
      <c r="V5" s="359"/>
    </row>
    <row r="6" spans="1:22" s="340" customFormat="1" ht="16" customHeight="1">
      <c r="A6" s="358" t="s">
        <v>6128</v>
      </c>
      <c r="B6" s="357"/>
      <c r="C6" s="357"/>
      <c r="D6" s="357"/>
      <c r="E6" s="357"/>
      <c r="F6" s="357"/>
      <c r="G6" s="357"/>
      <c r="H6" s="357"/>
      <c r="I6" s="357"/>
      <c r="J6" s="357"/>
      <c r="K6" s="357"/>
      <c r="L6" s="357"/>
      <c r="M6" s="357"/>
      <c r="N6" s="357"/>
      <c r="O6" s="357"/>
      <c r="P6" s="357"/>
      <c r="Q6" s="356"/>
      <c r="R6" s="356"/>
      <c r="S6" s="356"/>
    </row>
    <row r="7" spans="1:22" s="340" customFormat="1" ht="16" customHeight="1" thickBot="1">
      <c r="A7" s="355"/>
      <c r="B7" s="354"/>
      <c r="C7" s="215"/>
      <c r="D7" s="215"/>
      <c r="E7" s="215"/>
      <c r="F7" s="215"/>
      <c r="G7" s="215"/>
      <c r="H7" s="215"/>
      <c r="I7" s="215"/>
      <c r="J7" s="215"/>
      <c r="K7" s="215"/>
      <c r="L7" s="215"/>
      <c r="M7" s="215"/>
      <c r="N7" s="215"/>
      <c r="O7" s="215"/>
      <c r="P7" s="215"/>
      <c r="Q7" s="353"/>
      <c r="R7" s="353"/>
      <c r="S7" s="352"/>
    </row>
    <row r="8" spans="1:22" s="340" customFormat="1" ht="16" thickBot="1">
      <c r="A8" s="2403" t="s">
        <v>6428</v>
      </c>
      <c r="B8" s="2407"/>
      <c r="C8" s="2407"/>
      <c r="D8" s="2407"/>
      <c r="E8" s="2407"/>
      <c r="F8" s="2407"/>
      <c r="G8" s="2407"/>
      <c r="H8" s="2407"/>
      <c r="I8" s="2407"/>
      <c r="J8" s="2407"/>
      <c r="K8" s="2407"/>
      <c r="L8" s="2407"/>
      <c r="M8" s="2407"/>
      <c r="N8" s="2407"/>
      <c r="O8" s="2407"/>
      <c r="P8" s="2407"/>
      <c r="Q8" s="353"/>
      <c r="R8" s="353"/>
      <c r="S8" s="352"/>
    </row>
    <row r="9" spans="1:22" s="351" customFormat="1" ht="39.5" thickBot="1">
      <c r="A9" s="275" t="s">
        <v>6429</v>
      </c>
      <c r="B9" s="271" t="s">
        <v>21</v>
      </c>
      <c r="C9" s="274" t="s">
        <v>6430</v>
      </c>
      <c r="D9" s="273" t="s">
        <v>6431</v>
      </c>
      <c r="E9" s="272" t="s">
        <v>2944</v>
      </c>
      <c r="F9" s="271" t="s">
        <v>5604</v>
      </c>
      <c r="G9" s="270" t="s">
        <v>6432</v>
      </c>
      <c r="H9" s="269" t="s">
        <v>6433</v>
      </c>
      <c r="I9" s="268" t="s">
        <v>6434</v>
      </c>
      <c r="J9" s="267" t="s">
        <v>6435</v>
      </c>
      <c r="K9" s="266" t="s">
        <v>6436</v>
      </c>
      <c r="L9" s="265" t="s">
        <v>6437</v>
      </c>
      <c r="M9" s="264" t="s">
        <v>6438</v>
      </c>
      <c r="N9" s="263" t="s">
        <v>6439</v>
      </c>
      <c r="O9" s="263" t="s">
        <v>6440</v>
      </c>
      <c r="P9" s="263" t="s">
        <v>6441</v>
      </c>
    </row>
    <row r="10" spans="1:22" s="340" customFormat="1" ht="13">
      <c r="A10" s="262" t="s">
        <v>6442</v>
      </c>
      <c r="B10" s="1845" t="s">
        <v>6443</v>
      </c>
      <c r="C10" s="1846"/>
      <c r="D10" s="249"/>
      <c r="E10" s="1847"/>
      <c r="F10" s="261"/>
      <c r="G10" s="350"/>
      <c r="H10" s="1848"/>
      <c r="I10" s="350"/>
      <c r="J10" s="1848"/>
      <c r="K10" s="350"/>
      <c r="L10" s="1848"/>
      <c r="M10" s="350"/>
      <c r="N10" s="1848"/>
      <c r="O10" s="350"/>
      <c r="P10" s="1848"/>
    </row>
    <row r="11" spans="1:22" ht="13">
      <c r="A11" s="240" t="s">
        <v>6444</v>
      </c>
      <c r="B11" s="1949" t="s">
        <v>6445</v>
      </c>
      <c r="C11" s="1950"/>
      <c r="D11" s="252" t="s">
        <v>6444</v>
      </c>
      <c r="E11" s="1951" t="s">
        <v>6446</v>
      </c>
      <c r="F11" s="305" t="s">
        <v>6447</v>
      </c>
      <c r="G11" s="242">
        <v>8173831.8499999996</v>
      </c>
      <c r="H11" s="1848">
        <f>$E11*G11</f>
        <v>8173831.8499999996</v>
      </c>
      <c r="I11" s="242">
        <v>7920000</v>
      </c>
      <c r="J11" s="1848">
        <f>$E11*I11</f>
        <v>7920000</v>
      </c>
      <c r="K11" s="242">
        <v>6687053.0199999996</v>
      </c>
      <c r="L11" s="1848">
        <f>$E11*K11</f>
        <v>6687053.0199999996</v>
      </c>
      <c r="M11" s="242">
        <f>SUM($G11,$I11,$K11)/3</f>
        <v>7593628.2899999991</v>
      </c>
      <c r="N11" s="1848">
        <f>$M11-G11</f>
        <v>-580203.56000000052</v>
      </c>
      <c r="O11" s="1848">
        <f>$M11-I11</f>
        <v>-326371.71000000089</v>
      </c>
      <c r="P11" s="1848">
        <f>$M11-K11</f>
        <v>906575.26999999955</v>
      </c>
    </row>
    <row r="12" spans="1:22" ht="13">
      <c r="A12" s="240" t="s">
        <v>6448</v>
      </c>
      <c r="B12" s="1949" t="s">
        <v>6449</v>
      </c>
      <c r="C12" s="1950"/>
      <c r="D12" s="252" t="s">
        <v>6448</v>
      </c>
      <c r="E12" s="1951" t="s">
        <v>6446</v>
      </c>
      <c r="F12" s="305" t="s">
        <v>6447</v>
      </c>
      <c r="G12" s="242">
        <v>5378811.3700000001</v>
      </c>
      <c r="H12" s="1848">
        <f>$E12*G12</f>
        <v>5378811.3700000001</v>
      </c>
      <c r="I12" s="242">
        <v>1080000</v>
      </c>
      <c r="J12" s="1848">
        <f>$E12*I12</f>
        <v>1080000</v>
      </c>
      <c r="K12" s="242">
        <v>1043020.13</v>
      </c>
      <c r="L12" s="1848">
        <f>$E12*K12</f>
        <v>1043020.13</v>
      </c>
      <c r="M12" s="242">
        <f>SUM($G12,$I12,$K12)/3</f>
        <v>2500610.5</v>
      </c>
      <c r="N12" s="1848">
        <f>$M12-G12</f>
        <v>-2878200.87</v>
      </c>
      <c r="O12" s="1848">
        <f>$M12-I12</f>
        <v>1420610.5</v>
      </c>
      <c r="P12" s="1848">
        <f>$M12-K12</f>
        <v>1457590.37</v>
      </c>
    </row>
    <row r="13" spans="1:22" ht="13">
      <c r="A13" s="240" t="s">
        <v>6450</v>
      </c>
      <c r="B13" s="1949" t="s">
        <v>6451</v>
      </c>
      <c r="C13" s="1950"/>
      <c r="D13" s="252" t="s">
        <v>6450</v>
      </c>
      <c r="E13" s="1951" t="s">
        <v>6446</v>
      </c>
      <c r="F13" s="305" t="s">
        <v>6447</v>
      </c>
      <c r="G13" s="242">
        <v>0</v>
      </c>
      <c r="H13" s="1848">
        <f>$E13*G13</f>
        <v>0</v>
      </c>
      <c r="I13" s="349">
        <v>269000</v>
      </c>
      <c r="J13" s="1848">
        <f>$E13*I13</f>
        <v>269000</v>
      </c>
      <c r="K13" s="242">
        <v>60191.48</v>
      </c>
      <c r="L13" s="1848">
        <f>$E13*K13</f>
        <v>60191.48</v>
      </c>
      <c r="M13" s="242">
        <f>SUM($G13,$I13,$K13)/3</f>
        <v>109730.49333333333</v>
      </c>
      <c r="N13" s="1848">
        <f>$M13-G13</f>
        <v>109730.49333333333</v>
      </c>
      <c r="O13" s="1848">
        <f>$M13-I13</f>
        <v>-159269.50666666665</v>
      </c>
      <c r="P13" s="1848">
        <f>$M13-K13</f>
        <v>49539.013333333329</v>
      </c>
    </row>
    <row r="14" spans="1:22" ht="13">
      <c r="A14" s="240" t="s">
        <v>6452</v>
      </c>
      <c r="B14" s="1949" t="s">
        <v>6453</v>
      </c>
      <c r="C14" s="1950" t="s">
        <v>6454</v>
      </c>
      <c r="D14" s="252" t="s">
        <v>6452</v>
      </c>
      <c r="E14" s="1951" t="s">
        <v>6446</v>
      </c>
      <c r="F14" s="305" t="s">
        <v>6447</v>
      </c>
      <c r="G14" s="242">
        <v>6766905.2400000002</v>
      </c>
      <c r="H14" s="1848">
        <f>$E14*G14</f>
        <v>6766905.2400000002</v>
      </c>
      <c r="I14" s="242">
        <v>3770000</v>
      </c>
      <c r="J14" s="1848">
        <f>$E14*I14</f>
        <v>3770000</v>
      </c>
      <c r="K14" s="242">
        <v>1291153.8899999999</v>
      </c>
      <c r="L14" s="1848">
        <f>$E14*K14</f>
        <v>1291153.8899999999</v>
      </c>
      <c r="M14" s="242">
        <f>SUM($G14,$I14,$K14)/3</f>
        <v>3942686.3766666669</v>
      </c>
      <c r="N14" s="1848">
        <f>$M14-G14</f>
        <v>-2824218.8633333333</v>
      </c>
      <c r="O14" s="1848">
        <f>$M14-I14</f>
        <v>172686.37666666694</v>
      </c>
      <c r="P14" s="1848">
        <f>$M14-K14</f>
        <v>2651532.4866666673</v>
      </c>
    </row>
    <row r="15" spans="1:22" ht="13">
      <c r="A15" s="240" t="s">
        <v>6455</v>
      </c>
      <c r="B15" s="1949" t="s">
        <v>6456</v>
      </c>
      <c r="C15" s="1950"/>
      <c r="D15" s="252" t="s">
        <v>6455</v>
      </c>
      <c r="E15" s="1951" t="s">
        <v>6446</v>
      </c>
      <c r="F15" s="305" t="s">
        <v>6447</v>
      </c>
      <c r="G15" s="242">
        <v>0</v>
      </c>
      <c r="H15" s="1848">
        <f>$E15*G15</f>
        <v>0</v>
      </c>
      <c r="I15" s="242">
        <v>215000</v>
      </c>
      <c r="J15" s="1848">
        <f>$E15*I15</f>
        <v>215000</v>
      </c>
      <c r="K15" s="242">
        <v>1</v>
      </c>
      <c r="L15" s="1848">
        <f>$E15*K15</f>
        <v>1</v>
      </c>
      <c r="M15" s="242">
        <f>SUM($G15,$I15,$K15)/3</f>
        <v>71667</v>
      </c>
      <c r="N15" s="1848">
        <f>$M15-G15</f>
        <v>71667</v>
      </c>
      <c r="O15" s="1848">
        <f>$M15-I15</f>
        <v>-143333</v>
      </c>
      <c r="P15" s="1848">
        <f>$M15-K15</f>
        <v>71666</v>
      </c>
    </row>
    <row r="16" spans="1:22" ht="13.5" thickBot="1">
      <c r="A16" s="348"/>
      <c r="B16" s="347"/>
      <c r="C16" s="346"/>
      <c r="D16" s="345"/>
      <c r="E16" s="344"/>
      <c r="F16" s="343"/>
      <c r="G16" s="342"/>
      <c r="H16" s="341"/>
      <c r="I16" s="342"/>
      <c r="J16" s="341"/>
      <c r="K16" s="342"/>
      <c r="L16" s="341"/>
      <c r="M16" s="342"/>
      <c r="N16" s="341"/>
      <c r="O16" s="342"/>
      <c r="P16" s="341"/>
    </row>
    <row r="17" spans="1:16" s="340" customFormat="1" ht="13.5" thickBot="1">
      <c r="A17" s="237"/>
      <c r="B17" s="236" t="s">
        <v>6457</v>
      </c>
      <c r="C17" s="235"/>
      <c r="D17" s="235"/>
      <c r="E17" s="233"/>
      <c r="F17" s="234"/>
      <c r="G17" s="233"/>
      <c r="H17" s="232">
        <f>SUM(H11:H16)</f>
        <v>20319548.460000001</v>
      </c>
      <c r="I17" s="233"/>
      <c r="J17" s="232">
        <f>SUM(J11:J16)</f>
        <v>13254000</v>
      </c>
      <c r="K17" s="233"/>
      <c r="L17" s="232">
        <f>SUM(L11:L16)</f>
        <v>9081419.5199999996</v>
      </c>
      <c r="M17" s="232"/>
      <c r="N17" s="232"/>
      <c r="O17" s="233"/>
      <c r="P17" s="232"/>
    </row>
    <row r="18" spans="1:16" s="340" customFormat="1" ht="16" thickBot="1">
      <c r="A18" s="2408"/>
      <c r="B18" s="2409"/>
      <c r="C18" s="2409"/>
      <c r="D18" s="2409"/>
      <c r="E18" s="2409"/>
      <c r="F18" s="2409"/>
      <c r="G18" s="2409"/>
      <c r="H18" s="2409"/>
      <c r="I18" s="2409"/>
      <c r="J18" s="2409"/>
      <c r="K18" s="2409"/>
      <c r="L18" s="2409"/>
      <c r="M18" s="2409"/>
      <c r="N18" s="2409"/>
      <c r="O18" s="2409"/>
      <c r="P18" s="2409"/>
    </row>
    <row r="19" spans="1:16" s="340" customFormat="1" ht="16" thickBot="1">
      <c r="A19" s="2403" t="s">
        <v>6458</v>
      </c>
      <c r="B19" s="2407"/>
      <c r="C19" s="2407"/>
      <c r="D19" s="2407"/>
      <c r="E19" s="2407"/>
      <c r="F19" s="2407"/>
      <c r="G19" s="2407"/>
      <c r="H19" s="2407"/>
      <c r="I19" s="2407"/>
      <c r="J19" s="2407"/>
      <c r="K19" s="2407"/>
      <c r="L19" s="2407"/>
      <c r="M19" s="2407"/>
      <c r="N19" s="2407"/>
      <c r="O19" s="2407"/>
      <c r="P19" s="2407"/>
    </row>
    <row r="20" spans="1:16" s="217" customFormat="1" ht="39.5" thickBot="1">
      <c r="A20" s="275" t="s">
        <v>6429</v>
      </c>
      <c r="B20" s="271" t="s">
        <v>21</v>
      </c>
      <c r="C20" s="274" t="s">
        <v>6430</v>
      </c>
      <c r="D20" s="273" t="s">
        <v>6431</v>
      </c>
      <c r="E20" s="272" t="s">
        <v>2944</v>
      </c>
      <c r="F20" s="271" t="s">
        <v>5604</v>
      </c>
      <c r="G20" s="270" t="s">
        <v>6432</v>
      </c>
      <c r="H20" s="269" t="s">
        <v>6433</v>
      </c>
      <c r="I20" s="268" t="s">
        <v>6434</v>
      </c>
      <c r="J20" s="267" t="s">
        <v>6435</v>
      </c>
      <c r="K20" s="266" t="s">
        <v>6436</v>
      </c>
      <c r="L20" s="265" t="s">
        <v>6437</v>
      </c>
      <c r="M20" s="264" t="s">
        <v>6438</v>
      </c>
      <c r="N20" s="263" t="s">
        <v>6439</v>
      </c>
      <c r="O20" s="263" t="s">
        <v>6440</v>
      </c>
      <c r="P20" s="263" t="s">
        <v>6441</v>
      </c>
    </row>
    <row r="21" spans="1:16" s="241" customFormat="1" ht="13.5" thickBot="1">
      <c r="A21" s="339" t="s">
        <v>6459</v>
      </c>
      <c r="B21" s="1845" t="s">
        <v>6460</v>
      </c>
      <c r="C21" s="1846"/>
      <c r="D21" s="249"/>
      <c r="E21" s="1849"/>
      <c r="F21" s="261"/>
      <c r="G21" s="260"/>
      <c r="H21" s="1848"/>
      <c r="I21" s="260"/>
      <c r="J21" s="1848"/>
      <c r="K21" s="260"/>
      <c r="L21" s="1848"/>
      <c r="M21" s="260"/>
      <c r="N21" s="1848"/>
      <c r="O21" s="260"/>
      <c r="P21" s="1848"/>
    </row>
    <row r="22" spans="1:16" s="241" customFormat="1" ht="13.5" thickBot="1">
      <c r="A22" s="327"/>
      <c r="B22" s="258" t="s">
        <v>6461</v>
      </c>
      <c r="C22" s="338" t="s">
        <v>6430</v>
      </c>
      <c r="D22" s="337"/>
      <c r="E22" s="336"/>
      <c r="F22" s="323"/>
      <c r="G22" s="335"/>
      <c r="H22" s="321"/>
      <c r="I22" s="335"/>
      <c r="J22" s="321"/>
      <c r="K22" s="335"/>
      <c r="L22" s="321"/>
      <c r="M22" s="335"/>
      <c r="N22" s="321"/>
      <c r="O22" s="335"/>
      <c r="P22" s="321"/>
    </row>
    <row r="23" spans="1:16" s="241" customFormat="1" ht="13">
      <c r="A23" s="334" t="s">
        <v>6462</v>
      </c>
      <c r="B23" s="308" t="s">
        <v>6463</v>
      </c>
      <c r="C23" s="297"/>
      <c r="D23" s="296"/>
      <c r="E23" s="1952"/>
      <c r="F23" s="300"/>
      <c r="G23" s="1850"/>
      <c r="H23" s="1848"/>
      <c r="I23" s="1850"/>
      <c r="J23" s="1848"/>
      <c r="K23" s="1850"/>
      <c r="L23" s="1848"/>
      <c r="M23" s="1850"/>
      <c r="N23" s="1848"/>
      <c r="O23" s="1850"/>
      <c r="P23" s="1848"/>
    </row>
    <row r="24" spans="1:16" s="241" customFormat="1" ht="13">
      <c r="A24" s="302"/>
      <c r="B24" s="308" t="s">
        <v>6464</v>
      </c>
      <c r="C24" s="297" t="s">
        <v>6465</v>
      </c>
      <c r="D24" s="296"/>
      <c r="E24" s="1952"/>
      <c r="F24" s="300"/>
      <c r="G24" s="1851"/>
      <c r="H24" s="1848"/>
      <c r="I24" s="1851"/>
      <c r="J24" s="1848"/>
      <c r="K24" s="1851"/>
      <c r="L24" s="1848"/>
      <c r="M24" s="1851"/>
      <c r="N24" s="1848"/>
      <c r="O24" s="1851"/>
      <c r="P24" s="1848"/>
    </row>
    <row r="25" spans="1:16" s="241" customFormat="1" ht="14.5">
      <c r="A25" s="302"/>
      <c r="B25" s="298" t="s">
        <v>6466</v>
      </c>
      <c r="C25" s="297"/>
      <c r="D25" s="296" t="s">
        <v>6462</v>
      </c>
      <c r="E25" s="1953">
        <v>4700</v>
      </c>
      <c r="F25" s="295" t="s">
        <v>6467</v>
      </c>
      <c r="G25" s="1852">
        <v>48.71</v>
      </c>
      <c r="H25" s="1848">
        <f t="shared" ref="H25:H30" si="0">$E25*G25</f>
        <v>228937</v>
      </c>
      <c r="I25" s="1853">
        <v>23.1</v>
      </c>
      <c r="J25" s="1848">
        <f t="shared" ref="J25:J30" si="1">$E25*I25</f>
        <v>108570</v>
      </c>
      <c r="K25" s="1852">
        <v>28.02</v>
      </c>
      <c r="L25" s="1848">
        <f t="shared" ref="L25:L30" si="2">$E25*K25</f>
        <v>131694</v>
      </c>
      <c r="M25" s="242">
        <f t="shared" ref="M25:M30" si="3">SUM($G25,$I25,$K25)/3</f>
        <v>33.276666666666664</v>
      </c>
      <c r="N25" s="1848">
        <f t="shared" ref="N25:N30" si="4">$M25-G25</f>
        <v>-15.433333333333337</v>
      </c>
      <c r="O25" s="1848">
        <f t="shared" ref="O25:O30" si="5">$M25-I25</f>
        <v>10.176666666666662</v>
      </c>
      <c r="P25" s="1848">
        <f t="shared" ref="P25:P30" si="6">$M25-K25</f>
        <v>5.2566666666666642</v>
      </c>
    </row>
    <row r="26" spans="1:16" s="241" customFormat="1" ht="14.5">
      <c r="A26" s="302"/>
      <c r="B26" s="298" t="s">
        <v>6468</v>
      </c>
      <c r="C26" s="297"/>
      <c r="D26" s="296" t="s">
        <v>6469</v>
      </c>
      <c r="E26" s="1953">
        <v>12800</v>
      </c>
      <c r="F26" s="295" t="s">
        <v>6467</v>
      </c>
      <c r="G26" s="1852">
        <v>44.04</v>
      </c>
      <c r="H26" s="1848">
        <f t="shared" si="0"/>
        <v>563712</v>
      </c>
      <c r="I26" s="1852">
        <v>63.7</v>
      </c>
      <c r="J26" s="1848">
        <f t="shared" si="1"/>
        <v>815360</v>
      </c>
      <c r="K26" s="1852">
        <v>26.92</v>
      </c>
      <c r="L26" s="1848">
        <f t="shared" si="2"/>
        <v>344576</v>
      </c>
      <c r="M26" s="242">
        <f t="shared" si="3"/>
        <v>44.886666666666677</v>
      </c>
      <c r="N26" s="1848">
        <f t="shared" si="4"/>
        <v>0.84666666666667822</v>
      </c>
      <c r="O26" s="1848">
        <f t="shared" si="5"/>
        <v>-18.813333333333325</v>
      </c>
      <c r="P26" s="1848">
        <f t="shared" si="6"/>
        <v>17.966666666666676</v>
      </c>
    </row>
    <row r="27" spans="1:16" s="241" customFormat="1" ht="14.5">
      <c r="A27" s="302"/>
      <c r="B27" s="304" t="s">
        <v>6470</v>
      </c>
      <c r="C27" s="297"/>
      <c r="D27" s="296">
        <v>2.4</v>
      </c>
      <c r="E27" s="1954">
        <f>12800+20900+8800</f>
        <v>42500</v>
      </c>
      <c r="F27" s="295" t="s">
        <v>6467</v>
      </c>
      <c r="G27" s="1852">
        <v>52.45</v>
      </c>
      <c r="H27" s="1848">
        <f t="shared" si="0"/>
        <v>2229125</v>
      </c>
      <c r="I27" s="1852">
        <v>40.5</v>
      </c>
      <c r="J27" s="1848">
        <f t="shared" si="1"/>
        <v>1721250</v>
      </c>
      <c r="K27" s="1852">
        <v>45.84</v>
      </c>
      <c r="L27" s="1848">
        <f t="shared" si="2"/>
        <v>1948200.0000000002</v>
      </c>
      <c r="M27" s="242">
        <f t="shared" si="3"/>
        <v>46.263333333333343</v>
      </c>
      <c r="N27" s="1848">
        <f t="shared" si="4"/>
        <v>-6.1866666666666603</v>
      </c>
      <c r="O27" s="1848">
        <f t="shared" si="5"/>
        <v>5.7633333333333425</v>
      </c>
      <c r="P27" s="1848">
        <f t="shared" si="6"/>
        <v>0.42333333333333911</v>
      </c>
    </row>
    <row r="28" spans="1:16" s="241" customFormat="1" ht="14.5">
      <c r="A28" s="302"/>
      <c r="B28" s="333" t="s">
        <v>6471</v>
      </c>
      <c r="C28" s="297"/>
      <c r="D28" s="296" t="s">
        <v>6472</v>
      </c>
      <c r="E28" s="1955">
        <f>0.5*17600</f>
        <v>8800</v>
      </c>
      <c r="F28" s="295" t="s">
        <v>6467</v>
      </c>
      <c r="G28" s="1852">
        <v>20.58</v>
      </c>
      <c r="H28" s="1848">
        <f t="shared" si="0"/>
        <v>181103.99999999997</v>
      </c>
      <c r="I28" s="1852">
        <v>42.6</v>
      </c>
      <c r="J28" s="1848">
        <f t="shared" si="1"/>
        <v>374880</v>
      </c>
      <c r="K28" s="1852">
        <v>45.84</v>
      </c>
      <c r="L28" s="1848">
        <f t="shared" si="2"/>
        <v>403392.00000000006</v>
      </c>
      <c r="M28" s="242">
        <f t="shared" si="3"/>
        <v>36.340000000000003</v>
      </c>
      <c r="N28" s="1848">
        <f t="shared" si="4"/>
        <v>15.760000000000005</v>
      </c>
      <c r="O28" s="1848">
        <f t="shared" si="5"/>
        <v>-6.259999999999998</v>
      </c>
      <c r="P28" s="1848">
        <f t="shared" si="6"/>
        <v>-9.5</v>
      </c>
    </row>
    <row r="29" spans="1:16" s="241" customFormat="1" ht="14.5">
      <c r="A29" s="302"/>
      <c r="B29" s="332" t="s">
        <v>6473</v>
      </c>
      <c r="C29" s="297"/>
      <c r="D29" s="296">
        <v>2.7</v>
      </c>
      <c r="E29" s="1953">
        <v>128000</v>
      </c>
      <c r="F29" s="295" t="s">
        <v>6474</v>
      </c>
      <c r="G29" s="1852">
        <v>0.4</v>
      </c>
      <c r="H29" s="1848">
        <f t="shared" si="0"/>
        <v>51200</v>
      </c>
      <c r="I29" s="1852">
        <v>3.8</v>
      </c>
      <c r="J29" s="1848">
        <f t="shared" si="1"/>
        <v>486400</v>
      </c>
      <c r="K29" s="1852">
        <v>2.4300000000000002</v>
      </c>
      <c r="L29" s="1848">
        <f t="shared" si="2"/>
        <v>311040</v>
      </c>
      <c r="M29" s="242">
        <f t="shared" si="3"/>
        <v>2.2100000000000004</v>
      </c>
      <c r="N29" s="1848">
        <f t="shared" si="4"/>
        <v>1.8100000000000005</v>
      </c>
      <c r="O29" s="1848">
        <f t="shared" si="5"/>
        <v>-1.5899999999999994</v>
      </c>
      <c r="P29" s="1848">
        <f t="shared" si="6"/>
        <v>-0.21999999999999975</v>
      </c>
    </row>
    <row r="30" spans="1:16" s="241" customFormat="1" ht="14.5">
      <c r="A30" s="302"/>
      <c r="B30" s="301" t="s">
        <v>6475</v>
      </c>
      <c r="C30" s="297"/>
      <c r="D30" s="296" t="s">
        <v>6476</v>
      </c>
      <c r="E30" s="1953">
        <v>17500</v>
      </c>
      <c r="F30" s="300" t="s">
        <v>6467</v>
      </c>
      <c r="G30" s="1852">
        <v>2.96</v>
      </c>
      <c r="H30" s="1848">
        <f t="shared" si="0"/>
        <v>51800</v>
      </c>
      <c r="I30" s="1852">
        <v>3.9</v>
      </c>
      <c r="J30" s="1848">
        <f t="shared" si="1"/>
        <v>68250</v>
      </c>
      <c r="K30" s="1852">
        <v>2.72</v>
      </c>
      <c r="L30" s="1848">
        <f t="shared" si="2"/>
        <v>47600</v>
      </c>
      <c r="M30" s="242">
        <f t="shared" si="3"/>
        <v>3.1933333333333334</v>
      </c>
      <c r="N30" s="1848">
        <f t="shared" si="4"/>
        <v>0.23333333333333339</v>
      </c>
      <c r="O30" s="1848">
        <f t="shared" si="5"/>
        <v>-0.70666666666666655</v>
      </c>
      <c r="P30" s="1848">
        <f t="shared" si="6"/>
        <v>0.47333333333333316</v>
      </c>
    </row>
    <row r="31" spans="1:16" s="241" customFormat="1" ht="13">
      <c r="A31" s="302"/>
      <c r="B31" s="301"/>
      <c r="C31" s="297"/>
      <c r="D31" s="296"/>
      <c r="E31" s="1952"/>
      <c r="F31" s="300"/>
      <c r="G31" s="1852"/>
      <c r="H31" s="1848"/>
      <c r="I31" s="1852"/>
      <c r="J31" s="1848"/>
      <c r="K31" s="1852"/>
      <c r="L31" s="1848"/>
      <c r="M31" s="1852"/>
      <c r="N31" s="1848"/>
      <c r="O31" s="1852"/>
      <c r="P31" s="1848"/>
    </row>
    <row r="32" spans="1:16" s="241" customFormat="1" ht="13">
      <c r="A32" s="299"/>
      <c r="B32" s="308" t="s">
        <v>6477</v>
      </c>
      <c r="C32" s="297" t="s">
        <v>6478</v>
      </c>
      <c r="D32" s="296"/>
      <c r="E32" s="1952"/>
      <c r="F32" s="300"/>
      <c r="G32" s="1852"/>
      <c r="H32" s="1848"/>
      <c r="I32" s="1852"/>
      <c r="J32" s="1848"/>
      <c r="K32" s="1852"/>
      <c r="L32" s="1848"/>
      <c r="M32" s="1852"/>
      <c r="N32" s="1848"/>
      <c r="O32" s="1852"/>
      <c r="P32" s="1848"/>
    </row>
    <row r="33" spans="1:16" s="241" customFormat="1" ht="14.5">
      <c r="A33" s="302"/>
      <c r="B33" s="298" t="s">
        <v>6479</v>
      </c>
      <c r="C33" s="297"/>
      <c r="D33" s="296"/>
      <c r="E33" s="1953" t="s">
        <v>6480</v>
      </c>
      <c r="F33" s="295" t="s">
        <v>6467</v>
      </c>
      <c r="G33" s="1852"/>
      <c r="H33" s="1848"/>
      <c r="I33" s="1852"/>
      <c r="J33" s="1848"/>
      <c r="K33" s="1852"/>
      <c r="L33" s="1848"/>
      <c r="M33" s="1852"/>
      <c r="N33" s="1848"/>
      <c r="O33" s="1852"/>
      <c r="P33" s="1848"/>
    </row>
    <row r="34" spans="1:16" s="241" customFormat="1" ht="15.5">
      <c r="A34" s="302"/>
      <c r="B34" s="298" t="s">
        <v>6481</v>
      </c>
      <c r="C34" s="297"/>
      <c r="D34" s="296">
        <v>2.4</v>
      </c>
      <c r="E34" s="1953">
        <v>7000</v>
      </c>
      <c r="F34" s="312" t="s">
        <v>6467</v>
      </c>
      <c r="G34" s="1852">
        <v>75.37</v>
      </c>
      <c r="H34" s="1848">
        <f>$E34*G34</f>
        <v>527590</v>
      </c>
      <c r="I34" s="1852">
        <v>97.9</v>
      </c>
      <c r="J34" s="1848">
        <f>$E34*I34</f>
        <v>685300</v>
      </c>
      <c r="K34" s="1852">
        <v>61.31</v>
      </c>
      <c r="L34" s="1848">
        <f>$E34*K34</f>
        <v>429170</v>
      </c>
      <c r="M34" s="242">
        <f>SUM($G34,$I34,$K34)/3</f>
        <v>78.193333333333342</v>
      </c>
      <c r="N34" s="1848">
        <f>$M34-G34</f>
        <v>2.8233333333333377</v>
      </c>
      <c r="O34" s="1848">
        <f>$M34-I34</f>
        <v>-19.706666666666663</v>
      </c>
      <c r="P34" s="1848">
        <f>$M34-K34</f>
        <v>16.88333333333334</v>
      </c>
    </row>
    <row r="35" spans="1:16" s="241" customFormat="1" ht="14.5">
      <c r="A35" s="299"/>
      <c r="B35" s="303" t="s">
        <v>6482</v>
      </c>
      <c r="C35" s="297"/>
      <c r="D35" s="311" t="s">
        <v>6483</v>
      </c>
      <c r="E35" s="310">
        <f>2*10*150</f>
        <v>3000</v>
      </c>
      <c r="F35" s="309" t="s">
        <v>6474</v>
      </c>
      <c r="G35" s="1956">
        <v>35.520000000000003</v>
      </c>
      <c r="H35" s="1848">
        <f>$E35*G35</f>
        <v>106560.00000000001</v>
      </c>
      <c r="I35" s="1956">
        <v>21.1</v>
      </c>
      <c r="J35" s="1848">
        <f>$E35*I35</f>
        <v>63300.000000000007</v>
      </c>
      <c r="K35" s="1956">
        <v>69.11</v>
      </c>
      <c r="L35" s="1848">
        <f>$E35*K35</f>
        <v>207330</v>
      </c>
      <c r="M35" s="242">
        <f>SUM($G35,$I35,$K35)/3</f>
        <v>41.910000000000004</v>
      </c>
      <c r="N35" s="1848">
        <f>$M35-G35</f>
        <v>6.3900000000000006</v>
      </c>
      <c r="O35" s="1848">
        <f>$M35-I35</f>
        <v>20.810000000000002</v>
      </c>
      <c r="P35" s="1848">
        <f>$M35-K35</f>
        <v>-27.199999999999996</v>
      </c>
    </row>
    <row r="36" spans="1:16" s="241" customFormat="1" ht="15.5">
      <c r="A36" s="302"/>
      <c r="B36" s="1957"/>
      <c r="C36" s="331"/>
      <c r="D36" s="306"/>
      <c r="E36" s="1854"/>
      <c r="F36" s="1958"/>
      <c r="G36" s="1852"/>
      <c r="H36" s="1848"/>
      <c r="I36" s="1852"/>
      <c r="J36" s="1848"/>
      <c r="K36" s="1852"/>
      <c r="L36" s="1848"/>
      <c r="M36" s="1852"/>
      <c r="N36" s="1848"/>
      <c r="O36" s="1852"/>
      <c r="P36" s="1848"/>
    </row>
    <row r="37" spans="1:16" s="241" customFormat="1" ht="13">
      <c r="A37" s="240" t="s">
        <v>6469</v>
      </c>
      <c r="B37" s="1959" t="s">
        <v>6484</v>
      </c>
      <c r="C37" s="250" t="s">
        <v>6485</v>
      </c>
      <c r="D37" s="249"/>
      <c r="E37" s="1855"/>
      <c r="F37" s="305"/>
      <c r="G37" s="242"/>
      <c r="H37" s="1848"/>
      <c r="I37" s="242"/>
      <c r="J37" s="1848"/>
      <c r="L37" s="1848"/>
      <c r="M37" s="242"/>
      <c r="N37" s="1848"/>
      <c r="O37" s="242"/>
      <c r="P37" s="1848"/>
    </row>
    <row r="38" spans="1:16" s="241" customFormat="1" ht="14.5">
      <c r="A38" s="302"/>
      <c r="B38" s="298" t="s">
        <v>6468</v>
      </c>
      <c r="C38" s="297"/>
      <c r="D38" s="296" t="s">
        <v>6469</v>
      </c>
      <c r="E38" s="1953">
        <v>600</v>
      </c>
      <c r="F38" s="295" t="s">
        <v>6467</v>
      </c>
      <c r="G38" s="1852">
        <v>44.07</v>
      </c>
      <c r="H38" s="1848">
        <f>$E38*G38</f>
        <v>26442</v>
      </c>
      <c r="I38" s="1852">
        <v>12.9</v>
      </c>
      <c r="J38" s="1848">
        <f>$E38*I38</f>
        <v>7740</v>
      </c>
      <c r="K38" s="242">
        <v>37.33</v>
      </c>
      <c r="L38" s="1848">
        <f>$E38*K38</f>
        <v>22398</v>
      </c>
      <c r="M38" s="242">
        <f>SUM($G38,$I38,$K39)/3</f>
        <v>35.306666666666665</v>
      </c>
      <c r="N38" s="1848">
        <f>$M38-G38</f>
        <v>-8.7633333333333354</v>
      </c>
      <c r="O38" s="1848">
        <f>$M38-I38</f>
        <v>22.406666666666666</v>
      </c>
      <c r="P38" s="1848">
        <f>$M38-K39</f>
        <v>-13.643333333333338</v>
      </c>
    </row>
    <row r="39" spans="1:16" s="241" customFormat="1" ht="14.5">
      <c r="A39" s="299"/>
      <c r="B39" s="303" t="s">
        <v>6470</v>
      </c>
      <c r="C39" s="297"/>
      <c r="D39" s="296">
        <v>2.4</v>
      </c>
      <c r="E39" s="1954">
        <v>3000</v>
      </c>
      <c r="F39" s="295" t="s">
        <v>6467</v>
      </c>
      <c r="G39" s="1852">
        <v>49.21</v>
      </c>
      <c r="H39" s="1848">
        <f>$E39*G39</f>
        <v>147630</v>
      </c>
      <c r="I39" s="1852">
        <v>25.9</v>
      </c>
      <c r="J39" s="1848">
        <f>$E39*I39</f>
        <v>77700</v>
      </c>
      <c r="K39" s="1852">
        <v>48.95</v>
      </c>
      <c r="L39" s="1848">
        <f>$E39*K39</f>
        <v>146850</v>
      </c>
      <c r="M39" s="242">
        <f>SUM($G39,$I39,$K40)/3</f>
        <v>47.626666666666665</v>
      </c>
      <c r="N39" s="1848">
        <f>$M39-G39</f>
        <v>-1.5833333333333357</v>
      </c>
      <c r="O39" s="1848">
        <f>$M39-I39</f>
        <v>21.726666666666667</v>
      </c>
      <c r="P39" s="1848">
        <f>$M39-K40</f>
        <v>-20.143333333333331</v>
      </c>
    </row>
    <row r="40" spans="1:16" s="241" customFormat="1" ht="14.5">
      <c r="A40" s="299"/>
      <c r="B40" s="298" t="s">
        <v>6481</v>
      </c>
      <c r="C40" s="297"/>
      <c r="D40" s="296">
        <v>2.4</v>
      </c>
      <c r="E40" s="1953">
        <v>300</v>
      </c>
      <c r="F40" s="295" t="s">
        <v>6467</v>
      </c>
      <c r="G40" s="1852">
        <v>78.489999999999995</v>
      </c>
      <c r="H40" s="1848">
        <f>$E40*G40</f>
        <v>23547</v>
      </c>
      <c r="I40" s="1852">
        <v>59.3</v>
      </c>
      <c r="J40" s="1848">
        <f>$E40*I40</f>
        <v>17790</v>
      </c>
      <c r="K40" s="1852">
        <v>67.77</v>
      </c>
      <c r="L40" s="1848">
        <f>$E40*K40</f>
        <v>20331</v>
      </c>
      <c r="M40" s="242">
        <f>SUM($G40,$I40,$K41)/3</f>
        <v>47.199999999999996</v>
      </c>
      <c r="N40" s="1848">
        <f>$M40-G40</f>
        <v>-31.29</v>
      </c>
      <c r="O40" s="1848">
        <f>$M40-I40</f>
        <v>-12.100000000000001</v>
      </c>
      <c r="P40" s="1848" t="e">
        <f>$M40-#REF!</f>
        <v>#REF!</v>
      </c>
    </row>
    <row r="41" spans="1:16" s="241" customFormat="1" ht="14.5">
      <c r="A41" s="302"/>
      <c r="B41" s="301" t="s">
        <v>6475</v>
      </c>
      <c r="C41" s="297"/>
      <c r="D41" s="296" t="s">
        <v>6476</v>
      </c>
      <c r="E41" s="1953">
        <v>600</v>
      </c>
      <c r="F41" s="300" t="s">
        <v>6467</v>
      </c>
      <c r="G41" s="1852">
        <v>2.96</v>
      </c>
      <c r="H41" s="1848">
        <f>$E41*G41</f>
        <v>1776</v>
      </c>
      <c r="I41" s="1852">
        <v>3.5</v>
      </c>
      <c r="J41" s="1848">
        <f>$E41*I41</f>
        <v>2100</v>
      </c>
      <c r="K41" s="1852">
        <v>3.81</v>
      </c>
      <c r="L41" s="1848">
        <f>$E41*K41</f>
        <v>2286</v>
      </c>
      <c r="M41" s="242">
        <f>SUM($G41,$I41,$K41)/3</f>
        <v>3.4233333333333333</v>
      </c>
      <c r="N41" s="1848">
        <f>$M41-G41</f>
        <v>0.46333333333333337</v>
      </c>
      <c r="O41" s="1848">
        <f>$M41-I41</f>
        <v>-7.6666666666666661E-2</v>
      </c>
      <c r="P41" s="1848">
        <f>$M41-K41</f>
        <v>-0.38666666666666671</v>
      </c>
    </row>
    <row r="42" spans="1:16" s="241" customFormat="1" ht="13.5" thickBot="1">
      <c r="A42" s="302"/>
      <c r="B42" s="1856"/>
      <c r="C42" s="331"/>
      <c r="D42" s="306"/>
      <c r="E42" s="1857"/>
      <c r="F42" s="330"/>
      <c r="G42" s="1851"/>
      <c r="H42" s="1848"/>
      <c r="I42" s="1851"/>
      <c r="J42" s="1848"/>
      <c r="K42" s="1851"/>
      <c r="L42" s="1848"/>
      <c r="M42" s="242"/>
      <c r="N42" s="1848"/>
      <c r="O42" s="1851"/>
      <c r="P42" s="1848"/>
    </row>
    <row r="43" spans="1:16" s="241" customFormat="1" ht="13.5" thickBot="1">
      <c r="A43" s="327"/>
      <c r="B43" s="258" t="s">
        <v>6486</v>
      </c>
      <c r="C43" s="326"/>
      <c r="D43" s="325"/>
      <c r="E43" s="324"/>
      <c r="F43" s="323"/>
      <c r="G43" s="322"/>
      <c r="H43" s="321"/>
      <c r="I43" s="322"/>
      <c r="J43" s="321"/>
      <c r="K43" s="322"/>
      <c r="L43" s="321"/>
      <c r="M43" s="322"/>
      <c r="N43" s="321"/>
      <c r="O43" s="322"/>
      <c r="P43" s="321"/>
    </row>
    <row r="44" spans="1:16" s="241" customFormat="1" ht="13">
      <c r="A44" s="299"/>
      <c r="B44" s="1960"/>
      <c r="C44" s="297"/>
      <c r="D44" s="296"/>
      <c r="E44" s="1952"/>
      <c r="F44" s="300"/>
      <c r="G44" s="1851"/>
      <c r="H44" s="1848"/>
      <c r="I44" s="1851"/>
      <c r="J44" s="1848"/>
      <c r="K44" s="1851"/>
      <c r="L44" s="1848"/>
      <c r="M44" s="1851"/>
      <c r="N44" s="1848"/>
      <c r="O44" s="1851"/>
      <c r="P44" s="1848"/>
    </row>
    <row r="45" spans="1:16" s="217" customFormat="1" ht="13">
      <c r="A45" s="320" t="s">
        <v>6487</v>
      </c>
      <c r="B45" s="308" t="s">
        <v>6463</v>
      </c>
      <c r="C45" s="297"/>
      <c r="D45" s="296"/>
      <c r="E45" s="1952"/>
      <c r="F45" s="300"/>
      <c r="G45" s="1851"/>
      <c r="H45" s="1848"/>
      <c r="I45" s="1851"/>
      <c r="J45" s="1848"/>
      <c r="K45" s="1851"/>
      <c r="L45" s="1848"/>
      <c r="M45" s="1851"/>
      <c r="N45" s="1848"/>
      <c r="O45" s="1851"/>
      <c r="P45" s="1848"/>
    </row>
    <row r="46" spans="1:16" s="241" customFormat="1" ht="13">
      <c r="A46" s="299"/>
      <c r="B46" s="308" t="s">
        <v>6488</v>
      </c>
      <c r="C46" s="297" t="s">
        <v>6489</v>
      </c>
      <c r="D46" s="296"/>
      <c r="E46" s="1952"/>
      <c r="F46" s="300"/>
      <c r="G46" s="1851"/>
      <c r="H46" s="1848"/>
      <c r="I46" s="1851"/>
      <c r="J46" s="1848"/>
      <c r="K46" s="1851"/>
      <c r="L46" s="1848"/>
      <c r="M46" s="1851"/>
      <c r="N46" s="1848"/>
      <c r="O46" s="1851"/>
      <c r="P46" s="1848"/>
    </row>
    <row r="47" spans="1:16" s="241" customFormat="1" ht="14.5">
      <c r="A47" s="299"/>
      <c r="B47" s="298" t="s">
        <v>6466</v>
      </c>
      <c r="C47" s="297"/>
      <c r="D47" s="296" t="s">
        <v>6462</v>
      </c>
      <c r="E47" s="1953">
        <v>20000</v>
      </c>
      <c r="F47" s="295" t="s">
        <v>6467</v>
      </c>
      <c r="G47" s="1852">
        <v>54.07</v>
      </c>
      <c r="H47" s="1848">
        <f t="shared" ref="H47:H62" si="7">$E47*G47</f>
        <v>1081400</v>
      </c>
      <c r="I47" s="1852">
        <v>24.8</v>
      </c>
      <c r="J47" s="1848">
        <f t="shared" ref="J47:J62" si="8">$E47*I47</f>
        <v>496000</v>
      </c>
      <c r="K47" s="1852">
        <v>33.47</v>
      </c>
      <c r="L47" s="1848">
        <f t="shared" ref="L47:L62" si="9">$E47*K47</f>
        <v>669400</v>
      </c>
      <c r="M47" s="242">
        <f t="shared" ref="M47:M62" si="10">SUM($G47,$I47,$K47)/3</f>
        <v>37.446666666666665</v>
      </c>
      <c r="N47" s="1848">
        <f t="shared" ref="N47:N62" si="11">$M47-G47</f>
        <v>-16.623333333333335</v>
      </c>
      <c r="O47" s="1848">
        <f t="shared" ref="O47:O62" si="12">$M47-I47</f>
        <v>12.646666666666665</v>
      </c>
      <c r="P47" s="1848">
        <f t="shared" ref="P47:P62" si="13">$M47-K47</f>
        <v>3.9766666666666666</v>
      </c>
    </row>
    <row r="48" spans="1:16" s="241" customFormat="1" ht="14.5">
      <c r="A48" s="299"/>
      <c r="B48" s="298" t="s">
        <v>6468</v>
      </c>
      <c r="C48" s="297"/>
      <c r="D48" s="296" t="s">
        <v>6469</v>
      </c>
      <c r="E48" s="1953">
        <v>60000</v>
      </c>
      <c r="F48" s="295" t="s">
        <v>6467</v>
      </c>
      <c r="G48" s="1852">
        <v>49.4</v>
      </c>
      <c r="H48" s="1848">
        <f t="shared" si="7"/>
        <v>2964000</v>
      </c>
      <c r="I48" s="1852">
        <v>67.400000000000006</v>
      </c>
      <c r="J48" s="1848">
        <f t="shared" si="8"/>
        <v>4044000.0000000005</v>
      </c>
      <c r="K48" s="1852">
        <v>33.47</v>
      </c>
      <c r="L48" s="1848">
        <f t="shared" si="9"/>
        <v>2008200</v>
      </c>
      <c r="M48" s="242">
        <f t="shared" si="10"/>
        <v>50.09</v>
      </c>
      <c r="N48" s="1848">
        <f t="shared" si="11"/>
        <v>0.69000000000000483</v>
      </c>
      <c r="O48" s="1848">
        <f t="shared" si="12"/>
        <v>-17.310000000000002</v>
      </c>
      <c r="P48" s="1848">
        <f t="shared" si="13"/>
        <v>16.620000000000005</v>
      </c>
    </row>
    <row r="49" spans="1:16" s="241" customFormat="1" ht="14.5">
      <c r="A49" s="299"/>
      <c r="B49" s="303" t="s">
        <v>6490</v>
      </c>
      <c r="C49" s="297"/>
      <c r="D49" s="296">
        <v>2.4</v>
      </c>
      <c r="E49" s="1953">
        <v>198740</v>
      </c>
      <c r="F49" s="295" t="s">
        <v>6467</v>
      </c>
      <c r="G49" s="1852">
        <v>65.75</v>
      </c>
      <c r="H49" s="1848">
        <f t="shared" si="7"/>
        <v>13067155</v>
      </c>
      <c r="I49" s="1852">
        <v>81.599999999999994</v>
      </c>
      <c r="J49" s="1848">
        <f t="shared" si="8"/>
        <v>16217183.999999998</v>
      </c>
      <c r="K49" s="1852">
        <v>76.7</v>
      </c>
      <c r="L49" s="1848">
        <f t="shared" si="9"/>
        <v>15243358</v>
      </c>
      <c r="M49" s="242">
        <f t="shared" si="10"/>
        <v>74.683333333333337</v>
      </c>
      <c r="N49" s="1848">
        <f t="shared" si="11"/>
        <v>8.9333333333333371</v>
      </c>
      <c r="O49" s="1848">
        <f t="shared" si="12"/>
        <v>-6.9166666666666572</v>
      </c>
      <c r="P49" s="1848">
        <f t="shared" si="13"/>
        <v>-2.0166666666666657</v>
      </c>
    </row>
    <row r="50" spans="1:16" s="241" customFormat="1" ht="14.5">
      <c r="A50" s="299"/>
      <c r="B50" s="303" t="s">
        <v>6470</v>
      </c>
      <c r="C50" s="297"/>
      <c r="D50" s="296">
        <v>2.4</v>
      </c>
      <c r="E50" s="1954">
        <f>220875</f>
        <v>220875</v>
      </c>
      <c r="F50" s="295" t="s">
        <v>6467</v>
      </c>
      <c r="G50" s="1852">
        <v>54.12</v>
      </c>
      <c r="H50" s="1848">
        <f t="shared" si="7"/>
        <v>11953755</v>
      </c>
      <c r="I50" s="1852">
        <v>58.1</v>
      </c>
      <c r="J50" s="1848">
        <f t="shared" si="8"/>
        <v>12832837.5</v>
      </c>
      <c r="K50" s="1852">
        <v>57.89</v>
      </c>
      <c r="L50" s="1848">
        <f t="shared" si="9"/>
        <v>12786453.75</v>
      </c>
      <c r="M50" s="242">
        <f t="shared" si="10"/>
        <v>56.70333333333334</v>
      </c>
      <c r="N50" s="1848">
        <f t="shared" si="11"/>
        <v>2.5833333333333428</v>
      </c>
      <c r="O50" s="1848">
        <f t="shared" si="12"/>
        <v>-1.3966666666666612</v>
      </c>
      <c r="P50" s="1848">
        <f t="shared" si="13"/>
        <v>-1.1866666666666603</v>
      </c>
    </row>
    <row r="51" spans="1:16" s="241" customFormat="1" ht="14.5">
      <c r="A51" s="299"/>
      <c r="B51" s="303" t="s">
        <v>6491</v>
      </c>
      <c r="C51" s="297"/>
      <c r="D51" s="296">
        <v>2.4</v>
      </c>
      <c r="E51" s="1954">
        <f>299500+80000</f>
        <v>379500</v>
      </c>
      <c r="F51" s="295" t="s">
        <v>6467</v>
      </c>
      <c r="G51" s="1852">
        <v>25.18</v>
      </c>
      <c r="H51" s="1848">
        <f t="shared" si="7"/>
        <v>9555810</v>
      </c>
      <c r="I51" s="1852">
        <v>31.6</v>
      </c>
      <c r="J51" s="1848">
        <f t="shared" si="8"/>
        <v>11992200</v>
      </c>
      <c r="K51" s="1852">
        <v>35.520000000000003</v>
      </c>
      <c r="L51" s="1848">
        <f t="shared" si="9"/>
        <v>13479840.000000002</v>
      </c>
      <c r="M51" s="242">
        <f t="shared" si="10"/>
        <v>30.766666666666669</v>
      </c>
      <c r="N51" s="1848">
        <f t="shared" si="11"/>
        <v>5.5866666666666696</v>
      </c>
      <c r="O51" s="1848">
        <f t="shared" si="12"/>
        <v>-0.83333333333333215</v>
      </c>
      <c r="P51" s="1848">
        <f t="shared" si="13"/>
        <v>-4.7533333333333339</v>
      </c>
    </row>
    <row r="52" spans="1:16" s="241" customFormat="1" ht="14.5">
      <c r="A52" s="299"/>
      <c r="B52" s="298" t="s">
        <v>6481</v>
      </c>
      <c r="C52" s="297"/>
      <c r="D52" s="296">
        <v>2.4</v>
      </c>
      <c r="E52" s="1954">
        <v>6000</v>
      </c>
      <c r="F52" s="295" t="s">
        <v>6467</v>
      </c>
      <c r="G52" s="1852">
        <v>75.45</v>
      </c>
      <c r="H52" s="1848">
        <f t="shared" si="7"/>
        <v>452700</v>
      </c>
      <c r="I52" s="1852">
        <v>125</v>
      </c>
      <c r="J52" s="1848">
        <f t="shared" si="8"/>
        <v>750000</v>
      </c>
      <c r="K52" s="1852">
        <v>60.36</v>
      </c>
      <c r="L52" s="1848">
        <f t="shared" si="9"/>
        <v>362160</v>
      </c>
      <c r="M52" s="242">
        <f t="shared" si="10"/>
        <v>86.936666666666667</v>
      </c>
      <c r="N52" s="1848">
        <f t="shared" si="11"/>
        <v>11.486666666666665</v>
      </c>
      <c r="O52" s="1848">
        <f t="shared" si="12"/>
        <v>-38.063333333333333</v>
      </c>
      <c r="P52" s="1848">
        <f t="shared" si="13"/>
        <v>26.576666666666668</v>
      </c>
    </row>
    <row r="53" spans="1:16" s="241" customFormat="1" ht="14.5">
      <c r="A53" s="299"/>
      <c r="B53" s="304" t="s">
        <v>6492</v>
      </c>
      <c r="C53" s="297"/>
      <c r="D53" s="311" t="s">
        <v>6493</v>
      </c>
      <c r="E53" s="1954">
        <v>4400</v>
      </c>
      <c r="F53" s="309" t="s">
        <v>6467</v>
      </c>
      <c r="G53" s="1852">
        <v>93.88</v>
      </c>
      <c r="H53" s="1848">
        <f t="shared" si="7"/>
        <v>413072</v>
      </c>
      <c r="I53" s="1852">
        <v>35.700000000000003</v>
      </c>
      <c r="J53" s="1848">
        <f t="shared" si="8"/>
        <v>157080</v>
      </c>
      <c r="K53" s="1852">
        <v>47.38</v>
      </c>
      <c r="L53" s="1848">
        <f t="shared" si="9"/>
        <v>208472</v>
      </c>
      <c r="M53" s="242">
        <f t="shared" si="10"/>
        <v>58.986666666666657</v>
      </c>
      <c r="N53" s="1848">
        <f t="shared" si="11"/>
        <v>-34.893333333333338</v>
      </c>
      <c r="O53" s="1848">
        <f t="shared" si="12"/>
        <v>23.286666666666655</v>
      </c>
      <c r="P53" s="1848">
        <f t="shared" si="13"/>
        <v>11.606666666666655</v>
      </c>
    </row>
    <row r="54" spans="1:16" s="241" customFormat="1" ht="14.5">
      <c r="A54" s="299"/>
      <c r="B54" s="298" t="s">
        <v>6494</v>
      </c>
      <c r="C54" s="297"/>
      <c r="D54" s="296" t="s">
        <v>6495</v>
      </c>
      <c r="E54" s="1953">
        <v>100000</v>
      </c>
      <c r="F54" s="295" t="s">
        <v>6474</v>
      </c>
      <c r="G54" s="1852">
        <v>6.01</v>
      </c>
      <c r="H54" s="1848">
        <f t="shared" si="7"/>
        <v>601000</v>
      </c>
      <c r="I54" s="1852">
        <v>4.0599999999999996</v>
      </c>
      <c r="J54" s="1848">
        <f t="shared" si="8"/>
        <v>405999.99999999994</v>
      </c>
      <c r="K54" s="1852">
        <v>2.75</v>
      </c>
      <c r="L54" s="1848">
        <f t="shared" si="9"/>
        <v>275000</v>
      </c>
      <c r="M54" s="242">
        <f t="shared" si="10"/>
        <v>4.2733333333333334</v>
      </c>
      <c r="N54" s="1848">
        <f t="shared" si="11"/>
        <v>-1.7366666666666664</v>
      </c>
      <c r="O54" s="1848">
        <f t="shared" si="12"/>
        <v>0.21333333333333382</v>
      </c>
      <c r="P54" s="1848">
        <f t="shared" si="13"/>
        <v>1.5233333333333334</v>
      </c>
    </row>
    <row r="55" spans="1:16" s="241" customFormat="1" ht="14.5">
      <c r="A55" s="299"/>
      <c r="B55" s="298" t="s">
        <v>6496</v>
      </c>
      <c r="C55" s="297"/>
      <c r="D55" s="296" t="s">
        <v>6497</v>
      </c>
      <c r="E55" s="1953">
        <v>75000</v>
      </c>
      <c r="F55" s="295" t="s">
        <v>6474</v>
      </c>
      <c r="G55" s="1852">
        <v>8.43</v>
      </c>
      <c r="H55" s="1848">
        <f t="shared" si="7"/>
        <v>632250</v>
      </c>
      <c r="I55" s="1852">
        <v>10.199999999999999</v>
      </c>
      <c r="J55" s="1848">
        <f t="shared" si="8"/>
        <v>765000</v>
      </c>
      <c r="K55" s="1852">
        <v>3.9</v>
      </c>
      <c r="L55" s="1848">
        <f t="shared" si="9"/>
        <v>292500</v>
      </c>
      <c r="M55" s="242">
        <f t="shared" si="10"/>
        <v>7.5099999999999989</v>
      </c>
      <c r="N55" s="1848">
        <f t="shared" si="11"/>
        <v>-0.92000000000000082</v>
      </c>
      <c r="O55" s="1848">
        <f t="shared" si="12"/>
        <v>-2.6900000000000004</v>
      </c>
      <c r="P55" s="1848">
        <f t="shared" si="13"/>
        <v>3.609999999999999</v>
      </c>
    </row>
    <row r="56" spans="1:16" s="241" customFormat="1" ht="14.5">
      <c r="A56" s="299"/>
      <c r="B56" s="298" t="s">
        <v>6498</v>
      </c>
      <c r="C56" s="297"/>
      <c r="D56" s="296">
        <v>2.5</v>
      </c>
      <c r="E56" s="1953">
        <v>600</v>
      </c>
      <c r="F56" s="295" t="s">
        <v>6499</v>
      </c>
      <c r="G56" s="1852">
        <v>941.61</v>
      </c>
      <c r="H56" s="1848">
        <f t="shared" si="7"/>
        <v>564966</v>
      </c>
      <c r="I56" s="1852">
        <v>1710</v>
      </c>
      <c r="J56" s="1848">
        <f t="shared" si="8"/>
        <v>1026000</v>
      </c>
      <c r="K56" s="1852">
        <v>2515.4499999999998</v>
      </c>
      <c r="L56" s="1848">
        <f t="shared" si="9"/>
        <v>1509270</v>
      </c>
      <c r="M56" s="242">
        <f t="shared" si="10"/>
        <v>1722.3533333333332</v>
      </c>
      <c r="N56" s="1848">
        <f t="shared" si="11"/>
        <v>780.74333333333323</v>
      </c>
      <c r="O56" s="1848">
        <f t="shared" si="12"/>
        <v>12.353333333333239</v>
      </c>
      <c r="P56" s="1848">
        <f t="shared" si="13"/>
        <v>-793.09666666666658</v>
      </c>
    </row>
    <row r="57" spans="1:16" s="241" customFormat="1" ht="14.5">
      <c r="A57" s="299"/>
      <c r="B57" s="298" t="s">
        <v>6500</v>
      </c>
      <c r="C57" s="297"/>
      <c r="D57" s="296">
        <v>2.5</v>
      </c>
      <c r="E57" s="1953">
        <v>525</v>
      </c>
      <c r="F57" s="295" t="s">
        <v>6499</v>
      </c>
      <c r="G57" s="1852">
        <v>831.56</v>
      </c>
      <c r="H57" s="1848">
        <f t="shared" si="7"/>
        <v>436569</v>
      </c>
      <c r="I57" s="1852">
        <v>1940</v>
      </c>
      <c r="J57" s="1848">
        <f t="shared" si="8"/>
        <v>1018500</v>
      </c>
      <c r="K57" s="1852">
        <v>2773.39</v>
      </c>
      <c r="L57" s="1848">
        <f t="shared" si="9"/>
        <v>1456029.75</v>
      </c>
      <c r="M57" s="242">
        <f t="shared" si="10"/>
        <v>1848.3166666666666</v>
      </c>
      <c r="N57" s="1848">
        <f t="shared" si="11"/>
        <v>1016.7566666666667</v>
      </c>
      <c r="O57" s="1848">
        <f t="shared" si="12"/>
        <v>-91.683333333333394</v>
      </c>
      <c r="P57" s="1848">
        <f t="shared" si="13"/>
        <v>-925.07333333333327</v>
      </c>
    </row>
    <row r="58" spans="1:16" s="241" customFormat="1" ht="14.5">
      <c r="A58" s="299"/>
      <c r="B58" s="298" t="s">
        <v>6501</v>
      </c>
      <c r="C58" s="297"/>
      <c r="D58" s="296">
        <v>2.5</v>
      </c>
      <c r="E58" s="1953">
        <v>400</v>
      </c>
      <c r="F58" s="295" t="s">
        <v>6499</v>
      </c>
      <c r="G58" s="1852">
        <v>1112.8800000000001</v>
      </c>
      <c r="H58" s="1848">
        <f t="shared" si="7"/>
        <v>445152.00000000006</v>
      </c>
      <c r="I58" s="1852">
        <v>2330</v>
      </c>
      <c r="J58" s="1848">
        <f t="shared" si="8"/>
        <v>932000</v>
      </c>
      <c r="K58" s="1852">
        <v>3998.76</v>
      </c>
      <c r="L58" s="1848">
        <f t="shared" si="9"/>
        <v>1599504</v>
      </c>
      <c r="M58" s="242">
        <f t="shared" si="10"/>
        <v>2480.5466666666666</v>
      </c>
      <c r="N58" s="1848">
        <f t="shared" si="11"/>
        <v>1367.6666666666665</v>
      </c>
      <c r="O58" s="1848">
        <f t="shared" si="12"/>
        <v>150.54666666666662</v>
      </c>
      <c r="P58" s="1848">
        <f t="shared" si="13"/>
        <v>-1518.2133333333336</v>
      </c>
    </row>
    <row r="59" spans="1:16" s="241" customFormat="1" ht="14.5">
      <c r="A59" s="299"/>
      <c r="B59" s="298" t="s">
        <v>6502</v>
      </c>
      <c r="C59" s="297"/>
      <c r="D59" s="296">
        <v>2.5</v>
      </c>
      <c r="E59" s="1953">
        <v>250</v>
      </c>
      <c r="F59" s="295" t="s">
        <v>6499</v>
      </c>
      <c r="G59" s="1852">
        <v>1568.04</v>
      </c>
      <c r="H59" s="1848">
        <f t="shared" si="7"/>
        <v>392010</v>
      </c>
      <c r="I59" s="1852">
        <v>2630</v>
      </c>
      <c r="J59" s="1848">
        <f t="shared" si="8"/>
        <v>657500</v>
      </c>
      <c r="K59" s="1852">
        <v>6752.21</v>
      </c>
      <c r="L59" s="1848">
        <f t="shared" si="9"/>
        <v>1688052.5</v>
      </c>
      <c r="M59" s="242">
        <f t="shared" si="10"/>
        <v>3650.0833333333335</v>
      </c>
      <c r="N59" s="1848">
        <f t="shared" si="11"/>
        <v>2082.0433333333335</v>
      </c>
      <c r="O59" s="1848">
        <f t="shared" si="12"/>
        <v>1020.0833333333335</v>
      </c>
      <c r="P59" s="1848">
        <f t="shared" si="13"/>
        <v>-3102.1266666666666</v>
      </c>
    </row>
    <row r="60" spans="1:16" s="241" customFormat="1" ht="15.5">
      <c r="A60" s="299"/>
      <c r="B60" s="329" t="s">
        <v>6503</v>
      </c>
      <c r="C60" s="297"/>
      <c r="D60" s="296" t="s">
        <v>6504</v>
      </c>
      <c r="E60" s="1954">
        <v>7200</v>
      </c>
      <c r="F60" s="328" t="s">
        <v>2719</v>
      </c>
      <c r="G60" s="1852">
        <v>243.95</v>
      </c>
      <c r="H60" s="1848">
        <f t="shared" si="7"/>
        <v>1756440</v>
      </c>
      <c r="I60" s="1852">
        <v>80.8</v>
      </c>
      <c r="J60" s="1848">
        <f t="shared" si="8"/>
        <v>581760</v>
      </c>
      <c r="K60" s="1852">
        <v>195.94</v>
      </c>
      <c r="L60" s="1848">
        <f t="shared" si="9"/>
        <v>1410768</v>
      </c>
      <c r="M60" s="242">
        <f t="shared" si="10"/>
        <v>173.56333333333336</v>
      </c>
      <c r="N60" s="1848">
        <f t="shared" si="11"/>
        <v>-70.386666666666628</v>
      </c>
      <c r="O60" s="1848">
        <f t="shared" si="12"/>
        <v>92.763333333333364</v>
      </c>
      <c r="P60" s="1848">
        <f t="shared" si="13"/>
        <v>-22.376666666666637</v>
      </c>
    </row>
    <row r="61" spans="1:16" s="241" customFormat="1" ht="15.5">
      <c r="A61" s="299"/>
      <c r="B61" s="329" t="s">
        <v>6505</v>
      </c>
      <c r="C61" s="297"/>
      <c r="D61" s="296" t="s">
        <v>6506</v>
      </c>
      <c r="E61" s="1953">
        <v>200</v>
      </c>
      <c r="F61" s="328" t="s">
        <v>2719</v>
      </c>
      <c r="G61" s="1852">
        <v>1216.48</v>
      </c>
      <c r="H61" s="1848">
        <f t="shared" si="7"/>
        <v>243296</v>
      </c>
      <c r="I61" s="1852">
        <v>657</v>
      </c>
      <c r="J61" s="1848">
        <f t="shared" si="8"/>
        <v>131400</v>
      </c>
      <c r="K61" s="1852">
        <v>315.05</v>
      </c>
      <c r="L61" s="1848">
        <f t="shared" si="9"/>
        <v>63010</v>
      </c>
      <c r="M61" s="242">
        <f t="shared" si="10"/>
        <v>729.5100000000001</v>
      </c>
      <c r="N61" s="1848">
        <f t="shared" si="11"/>
        <v>-486.96999999999991</v>
      </c>
      <c r="O61" s="1848">
        <f t="shared" si="12"/>
        <v>72.510000000000105</v>
      </c>
      <c r="P61" s="1848">
        <f t="shared" si="13"/>
        <v>414.46000000000009</v>
      </c>
    </row>
    <row r="62" spans="1:16" s="241" customFormat="1" ht="15.5">
      <c r="A62" s="299"/>
      <c r="B62" s="329" t="s">
        <v>6507</v>
      </c>
      <c r="C62" s="297"/>
      <c r="D62" s="296" t="s">
        <v>6508</v>
      </c>
      <c r="E62" s="1953">
        <v>150</v>
      </c>
      <c r="F62" s="328" t="s">
        <v>2719</v>
      </c>
      <c r="G62" s="1852">
        <v>438.23</v>
      </c>
      <c r="H62" s="1848">
        <f t="shared" si="7"/>
        <v>65734.5</v>
      </c>
      <c r="I62" s="1852">
        <v>648</v>
      </c>
      <c r="J62" s="1848">
        <f t="shared" si="8"/>
        <v>97200</v>
      </c>
      <c r="K62" s="1852">
        <v>428.74</v>
      </c>
      <c r="L62" s="1848">
        <f t="shared" si="9"/>
        <v>64311</v>
      </c>
      <c r="M62" s="242">
        <f t="shared" si="10"/>
        <v>504.99</v>
      </c>
      <c r="N62" s="1848">
        <f t="shared" si="11"/>
        <v>66.759999999999991</v>
      </c>
      <c r="O62" s="1848">
        <f t="shared" si="12"/>
        <v>-143.01</v>
      </c>
      <c r="P62" s="1848">
        <f t="shared" si="13"/>
        <v>76.25</v>
      </c>
    </row>
    <row r="63" spans="1:16" s="241" customFormat="1" ht="13">
      <c r="A63" s="299"/>
      <c r="B63" s="308"/>
      <c r="C63" s="297"/>
      <c r="D63" s="296"/>
      <c r="E63" s="1952"/>
      <c r="F63" s="300"/>
      <c r="G63" s="1852"/>
      <c r="H63" s="1848"/>
      <c r="I63" s="1852"/>
      <c r="J63" s="1848"/>
      <c r="K63" s="1852"/>
      <c r="L63" s="1848"/>
      <c r="M63" s="1852"/>
      <c r="N63" s="1848"/>
      <c r="O63" s="1852"/>
      <c r="P63" s="1848"/>
    </row>
    <row r="64" spans="1:16" s="241" customFormat="1" ht="13">
      <c r="A64" s="240" t="s">
        <v>6509</v>
      </c>
      <c r="B64" s="1959" t="s">
        <v>6510</v>
      </c>
      <c r="C64" s="297" t="s">
        <v>6511</v>
      </c>
      <c r="D64" s="306"/>
      <c r="E64" s="1855"/>
      <c r="F64" s="305"/>
      <c r="G64" s="242"/>
      <c r="H64" s="1848"/>
      <c r="I64" s="242"/>
      <c r="J64" s="1848"/>
      <c r="K64" s="242"/>
      <c r="L64" s="1848"/>
      <c r="M64" s="242"/>
      <c r="N64" s="1848"/>
      <c r="O64" s="242"/>
      <c r="P64" s="1848"/>
    </row>
    <row r="65" spans="1:16" s="241" customFormat="1" ht="14.5">
      <c r="A65" s="302"/>
      <c r="B65" s="298" t="s">
        <v>6468</v>
      </c>
      <c r="C65" s="297"/>
      <c r="D65" s="296" t="s">
        <v>6469</v>
      </c>
      <c r="E65" s="1953">
        <v>3200</v>
      </c>
      <c r="F65" s="295" t="s">
        <v>6467</v>
      </c>
      <c r="G65" s="1852">
        <v>47.45</v>
      </c>
      <c r="H65" s="1848">
        <f>$E65*G65</f>
        <v>151840</v>
      </c>
      <c r="I65" s="1852">
        <v>21.3</v>
      </c>
      <c r="J65" s="1848">
        <f>$E65*I65</f>
        <v>68160</v>
      </c>
      <c r="K65" s="1852">
        <v>27.67</v>
      </c>
      <c r="L65" s="1848">
        <f>$E65*K65</f>
        <v>88544</v>
      </c>
      <c r="M65" s="242">
        <f>SUM($G65,$I65,$K65)/3</f>
        <v>32.14</v>
      </c>
      <c r="N65" s="1848">
        <f>$M65-G65</f>
        <v>-15.310000000000002</v>
      </c>
      <c r="O65" s="1848">
        <f>$M65-I65</f>
        <v>10.84</v>
      </c>
      <c r="P65" s="1848">
        <f>$M65-K65</f>
        <v>4.4699999999999989</v>
      </c>
    </row>
    <row r="66" spans="1:16" s="241" customFormat="1" ht="14.5">
      <c r="A66" s="299"/>
      <c r="B66" s="303" t="s">
        <v>6470</v>
      </c>
      <c r="C66" s="297"/>
      <c r="D66" s="296">
        <v>2.4</v>
      </c>
      <c r="E66" s="1954">
        <f>8500+2340+3200</f>
        <v>14040</v>
      </c>
      <c r="F66" s="295" t="s">
        <v>6467</v>
      </c>
      <c r="G66" s="1852">
        <v>47.47</v>
      </c>
      <c r="H66" s="1848">
        <f>$E66*G66</f>
        <v>666478.79999999993</v>
      </c>
      <c r="I66" s="1852">
        <v>42.6</v>
      </c>
      <c r="J66" s="1848">
        <f>$E66*I66</f>
        <v>598104</v>
      </c>
      <c r="K66" s="1852">
        <v>49.26</v>
      </c>
      <c r="L66" s="1848">
        <f>$E66*K66</f>
        <v>691610.4</v>
      </c>
      <c r="M66" s="242">
        <f>SUM($G66,$I66,$K66)/3</f>
        <v>46.443333333333328</v>
      </c>
      <c r="N66" s="1848">
        <f>$M66-G66</f>
        <v>-1.0266666666666708</v>
      </c>
      <c r="O66" s="1848">
        <f>$M66-I66</f>
        <v>3.8433333333333266</v>
      </c>
      <c r="P66" s="1848">
        <f>$M66-K66</f>
        <v>-2.81666666666667</v>
      </c>
    </row>
    <row r="67" spans="1:16" s="241" customFormat="1" ht="14.5">
      <c r="A67" s="299"/>
      <c r="B67" s="298" t="s">
        <v>6481</v>
      </c>
      <c r="C67" s="297"/>
      <c r="D67" s="296">
        <v>2.4</v>
      </c>
      <c r="E67" s="1953">
        <v>2250</v>
      </c>
      <c r="F67" s="295" t="s">
        <v>6467</v>
      </c>
      <c r="G67" s="1852">
        <v>81.22</v>
      </c>
      <c r="H67" s="1848">
        <f>$E67*G67</f>
        <v>182745</v>
      </c>
      <c r="I67" s="1852">
        <v>97.9</v>
      </c>
      <c r="J67" s="1848">
        <f>$E67*I67</f>
        <v>220275</v>
      </c>
      <c r="K67" s="1852">
        <v>68.72</v>
      </c>
      <c r="L67" s="1848">
        <f>$E67*K67</f>
        <v>154620</v>
      </c>
      <c r="M67" s="242">
        <f>SUM($G67,$I67,$K67)/3</f>
        <v>82.61333333333333</v>
      </c>
      <c r="N67" s="1848">
        <f>$M67-G67</f>
        <v>1.3933333333333309</v>
      </c>
      <c r="O67" s="1848">
        <f>$M67-I67</f>
        <v>-15.286666666666676</v>
      </c>
      <c r="P67" s="1848">
        <f>$M67-K67</f>
        <v>13.893333333333331</v>
      </c>
    </row>
    <row r="68" spans="1:16" s="241" customFormat="1" ht="14.5">
      <c r="A68" s="302"/>
      <c r="B68" s="301" t="s">
        <v>6475</v>
      </c>
      <c r="C68" s="297"/>
      <c r="D68" s="296" t="s">
        <v>6476</v>
      </c>
      <c r="E68" s="1953">
        <v>3200</v>
      </c>
      <c r="F68" s="300" t="s">
        <v>6467</v>
      </c>
      <c r="G68" s="1852">
        <v>2.96</v>
      </c>
      <c r="H68" s="1848">
        <f>$E68*G68</f>
        <v>9472</v>
      </c>
      <c r="I68" s="1852">
        <v>3.01</v>
      </c>
      <c r="J68" s="1848">
        <f>$E68*I68</f>
        <v>9632</v>
      </c>
      <c r="K68" s="1852">
        <v>3.81</v>
      </c>
      <c r="L68" s="1848">
        <f>$E68*K68</f>
        <v>12192</v>
      </c>
      <c r="M68" s="242">
        <f>SUM($G68,$I68,$K68)/3</f>
        <v>3.26</v>
      </c>
      <c r="N68" s="1848">
        <f>$M68-G68</f>
        <v>0.29999999999999982</v>
      </c>
      <c r="O68" s="1848">
        <f>$M68-I68</f>
        <v>0.25</v>
      </c>
      <c r="P68" s="1848">
        <f>$M68-K68</f>
        <v>-0.55000000000000027</v>
      </c>
    </row>
    <row r="69" spans="1:16" s="241" customFormat="1" ht="14.5">
      <c r="A69" s="299"/>
      <c r="B69" s="298" t="s">
        <v>6498</v>
      </c>
      <c r="C69" s="297"/>
      <c r="D69" s="296">
        <v>2.5</v>
      </c>
      <c r="E69" s="1953">
        <v>100</v>
      </c>
      <c r="F69" s="295" t="s">
        <v>6499</v>
      </c>
      <c r="G69" s="1852">
        <v>576.09</v>
      </c>
      <c r="H69" s="1848">
        <f>$E69*G69</f>
        <v>57609</v>
      </c>
      <c r="I69" s="1852">
        <v>1850</v>
      </c>
      <c r="J69" s="1848">
        <f>$E69*I69</f>
        <v>185000</v>
      </c>
      <c r="K69" s="1852">
        <v>2515.4499999999998</v>
      </c>
      <c r="L69" s="1848">
        <f>$E69*K69</f>
        <v>251544.99999999997</v>
      </c>
      <c r="M69" s="242">
        <f>SUM($G69,$I69,$K69)/3</f>
        <v>1647.18</v>
      </c>
      <c r="N69" s="1848">
        <f>$M69-G69</f>
        <v>1071.0900000000001</v>
      </c>
      <c r="O69" s="1848">
        <f>$M69-I69</f>
        <v>-202.81999999999994</v>
      </c>
      <c r="P69" s="1848">
        <f>$M69-K69</f>
        <v>-868.26999999999975</v>
      </c>
    </row>
    <row r="70" spans="1:16" s="217" customFormat="1" ht="13.5" thickBot="1">
      <c r="A70" s="299"/>
      <c r="B70" s="308"/>
      <c r="C70" s="297"/>
      <c r="D70" s="296"/>
      <c r="E70" s="1952"/>
      <c r="F70" s="300"/>
      <c r="G70" s="1851"/>
      <c r="H70" s="1848"/>
      <c r="I70" s="1851"/>
      <c r="J70" s="1848"/>
      <c r="K70" s="1851"/>
      <c r="L70" s="1848"/>
      <c r="M70" s="1851"/>
      <c r="N70" s="1848"/>
      <c r="O70" s="1851"/>
      <c r="P70" s="1848"/>
    </row>
    <row r="71" spans="1:16" s="217" customFormat="1" ht="13.5" thickBot="1">
      <c r="A71" s="327"/>
      <c r="B71" s="258" t="s">
        <v>6512</v>
      </c>
      <c r="C71" s="326"/>
      <c r="D71" s="325"/>
      <c r="E71" s="324"/>
      <c r="F71" s="323"/>
      <c r="G71" s="322"/>
      <c r="H71" s="321"/>
      <c r="I71" s="322"/>
      <c r="J71" s="321"/>
      <c r="K71" s="322"/>
      <c r="L71" s="321"/>
      <c r="M71" s="322"/>
      <c r="N71" s="321"/>
      <c r="O71" s="322"/>
      <c r="P71" s="321"/>
    </row>
    <row r="72" spans="1:16" s="217" customFormat="1" ht="13">
      <c r="A72" s="299"/>
      <c r="B72" s="1960"/>
      <c r="C72" s="297"/>
      <c r="D72" s="296"/>
      <c r="E72" s="1952"/>
      <c r="F72" s="300"/>
      <c r="G72" s="1956"/>
      <c r="H72" s="1848"/>
      <c r="I72" s="1956"/>
      <c r="J72" s="1848"/>
      <c r="K72" s="1956"/>
      <c r="L72" s="1848"/>
      <c r="M72" s="1956"/>
      <c r="N72" s="1848"/>
      <c r="O72" s="1956"/>
      <c r="P72" s="1848"/>
    </row>
    <row r="73" spans="1:16" s="217" customFormat="1" ht="13">
      <c r="A73" s="320" t="s">
        <v>6513</v>
      </c>
      <c r="B73" s="308" t="s">
        <v>6463</v>
      </c>
      <c r="C73" s="297"/>
      <c r="D73" s="296"/>
      <c r="E73" s="1952"/>
      <c r="F73" s="300"/>
      <c r="G73" s="1851"/>
      <c r="H73" s="1848"/>
      <c r="I73" s="1851"/>
      <c r="J73" s="1848"/>
      <c r="K73" s="1851"/>
      <c r="L73" s="1848"/>
      <c r="M73" s="1851"/>
      <c r="N73" s="1848"/>
      <c r="O73" s="1851"/>
      <c r="P73" s="1848"/>
    </row>
    <row r="74" spans="1:16" s="217" customFormat="1" ht="13">
      <c r="A74" s="299"/>
      <c r="B74" s="319"/>
      <c r="C74" s="297"/>
      <c r="D74" s="296"/>
      <c r="E74" s="1952"/>
      <c r="F74" s="300"/>
      <c r="G74" s="1956"/>
      <c r="H74" s="1961"/>
      <c r="I74" s="1956"/>
      <c r="J74" s="1961"/>
      <c r="K74" s="1956"/>
      <c r="L74" s="1961"/>
      <c r="M74" s="1956"/>
      <c r="N74" s="1961"/>
      <c r="O74" s="1956"/>
      <c r="P74" s="1961"/>
    </row>
    <row r="75" spans="1:16" s="217" customFormat="1" ht="13">
      <c r="A75" s="299"/>
      <c r="B75" s="308" t="s">
        <v>6514</v>
      </c>
      <c r="C75" s="297" t="s">
        <v>6515</v>
      </c>
      <c r="D75" s="296"/>
      <c r="E75" s="1952"/>
      <c r="F75" s="300"/>
      <c r="G75" s="1956"/>
      <c r="H75" s="1961"/>
      <c r="I75" s="1956"/>
      <c r="J75" s="1961"/>
      <c r="K75" s="1956"/>
      <c r="L75" s="1961"/>
      <c r="M75" s="1956"/>
      <c r="N75" s="1961"/>
      <c r="O75" s="1956"/>
      <c r="P75" s="1961"/>
    </row>
    <row r="76" spans="1:16" s="217" customFormat="1" ht="14.5">
      <c r="A76" s="299"/>
      <c r="B76" s="313" t="s">
        <v>6466</v>
      </c>
      <c r="C76" s="297"/>
      <c r="D76" s="296" t="s">
        <v>6462</v>
      </c>
      <c r="E76" s="1953">
        <v>2500</v>
      </c>
      <c r="F76" s="295" t="s">
        <v>6467</v>
      </c>
      <c r="G76" s="1962">
        <v>50.42</v>
      </c>
      <c r="H76" s="1848">
        <f t="shared" ref="H76:H81" si="14">$E76*G76</f>
        <v>126050</v>
      </c>
      <c r="I76" s="1962">
        <v>14.9</v>
      </c>
      <c r="J76" s="1848">
        <f t="shared" ref="J76:J81" si="15">$E76*I76</f>
        <v>37250</v>
      </c>
      <c r="K76" s="1962">
        <v>33.5</v>
      </c>
      <c r="L76" s="1848">
        <f t="shared" ref="L76:L81" si="16">$E76*K76</f>
        <v>83750</v>
      </c>
      <c r="M76" s="242">
        <f t="shared" ref="M76:M81" si="17">SUM($G76,$I76,$K76)/3</f>
        <v>32.940000000000005</v>
      </c>
      <c r="N76" s="1848">
        <f t="shared" ref="N76:N81" si="18">$M76-G76</f>
        <v>-17.479999999999997</v>
      </c>
      <c r="O76" s="1848">
        <f t="shared" ref="O76:O81" si="19">$M76-I76</f>
        <v>18.040000000000006</v>
      </c>
      <c r="P76" s="1848">
        <f t="shared" ref="P76:P81" si="20">$M76-K76</f>
        <v>-0.55999999999999517</v>
      </c>
    </row>
    <row r="77" spans="1:16" s="217" customFormat="1" ht="14.5">
      <c r="A77" s="299"/>
      <c r="B77" s="318" t="s">
        <v>6468</v>
      </c>
      <c r="C77" s="297"/>
      <c r="D77" s="296" t="s">
        <v>6469</v>
      </c>
      <c r="E77" s="1954">
        <v>8300</v>
      </c>
      <c r="F77" s="295" t="s">
        <v>6467</v>
      </c>
      <c r="G77" s="1962">
        <v>45.75</v>
      </c>
      <c r="H77" s="1848">
        <f t="shared" si="14"/>
        <v>379725</v>
      </c>
      <c r="I77" s="1962">
        <v>63.7</v>
      </c>
      <c r="J77" s="1848">
        <f t="shared" si="15"/>
        <v>528710</v>
      </c>
      <c r="K77" s="1962">
        <v>28.5</v>
      </c>
      <c r="L77" s="1848">
        <f t="shared" si="16"/>
        <v>236550</v>
      </c>
      <c r="M77" s="242">
        <f t="shared" si="17"/>
        <v>45.983333333333327</v>
      </c>
      <c r="N77" s="1848">
        <f t="shared" si="18"/>
        <v>0.23333333333332718</v>
      </c>
      <c r="O77" s="1848">
        <f t="shared" si="19"/>
        <v>-17.716666666666676</v>
      </c>
      <c r="P77" s="1848">
        <f t="shared" si="20"/>
        <v>17.483333333333327</v>
      </c>
    </row>
    <row r="78" spans="1:16" s="217" customFormat="1" ht="14.5">
      <c r="A78" s="299"/>
      <c r="B78" s="317" t="s">
        <v>6490</v>
      </c>
      <c r="C78" s="297"/>
      <c r="D78" s="296">
        <v>2.4</v>
      </c>
      <c r="E78" s="1954">
        <v>6000</v>
      </c>
      <c r="F78" s="295" t="s">
        <v>6467</v>
      </c>
      <c r="G78" s="1962">
        <v>55.94</v>
      </c>
      <c r="H78" s="1848">
        <f t="shared" si="14"/>
        <v>335640</v>
      </c>
      <c r="I78" s="1962">
        <v>61.7</v>
      </c>
      <c r="J78" s="1848">
        <f t="shared" si="15"/>
        <v>370200</v>
      </c>
      <c r="K78" s="1962">
        <v>66.290000000000006</v>
      </c>
      <c r="L78" s="1848">
        <f t="shared" si="16"/>
        <v>397740.00000000006</v>
      </c>
      <c r="M78" s="242">
        <f t="shared" si="17"/>
        <v>61.31</v>
      </c>
      <c r="N78" s="1848">
        <f t="shared" si="18"/>
        <v>5.3700000000000045</v>
      </c>
      <c r="O78" s="1848">
        <f t="shared" si="19"/>
        <v>-0.39000000000000057</v>
      </c>
      <c r="P78" s="1848">
        <f t="shared" si="20"/>
        <v>-4.980000000000004</v>
      </c>
    </row>
    <row r="79" spans="1:16" s="217" customFormat="1" ht="14.5">
      <c r="A79" s="299"/>
      <c r="B79" s="303" t="s">
        <v>6491</v>
      </c>
      <c r="C79" s="297"/>
      <c r="D79" s="296">
        <v>2.4</v>
      </c>
      <c r="E79" s="1954">
        <v>28000</v>
      </c>
      <c r="F79" s="295" t="s">
        <v>6467</v>
      </c>
      <c r="G79" s="1962">
        <v>22.01</v>
      </c>
      <c r="H79" s="1848">
        <f t="shared" si="14"/>
        <v>616280</v>
      </c>
      <c r="I79" s="1962">
        <v>19.100000000000001</v>
      </c>
      <c r="J79" s="1848">
        <f t="shared" si="15"/>
        <v>534800</v>
      </c>
      <c r="K79" s="1962">
        <v>22.8</v>
      </c>
      <c r="L79" s="1848">
        <f t="shared" si="16"/>
        <v>638400</v>
      </c>
      <c r="M79" s="242">
        <f t="shared" si="17"/>
        <v>21.303333333333331</v>
      </c>
      <c r="N79" s="1848">
        <f t="shared" si="18"/>
        <v>-0.70666666666667055</v>
      </c>
      <c r="O79" s="1848">
        <f t="shared" si="19"/>
        <v>2.2033333333333296</v>
      </c>
      <c r="P79" s="1848">
        <f t="shared" si="20"/>
        <v>-1.4966666666666697</v>
      </c>
    </row>
    <row r="80" spans="1:16" s="217" customFormat="1" ht="14.5">
      <c r="A80" s="299"/>
      <c r="B80" s="316" t="s">
        <v>6473</v>
      </c>
      <c r="C80" s="297"/>
      <c r="D80" s="296">
        <v>2.7</v>
      </c>
      <c r="E80" s="1953">
        <v>33250</v>
      </c>
      <c r="F80" s="295" t="s">
        <v>6474</v>
      </c>
      <c r="G80" s="1962">
        <v>0.4</v>
      </c>
      <c r="H80" s="1848">
        <f t="shared" si="14"/>
        <v>13300</v>
      </c>
      <c r="I80" s="1962">
        <v>3.8</v>
      </c>
      <c r="J80" s="1848">
        <f t="shared" si="15"/>
        <v>126350</v>
      </c>
      <c r="K80" s="1962">
        <v>2.4300000000000002</v>
      </c>
      <c r="L80" s="1848">
        <f t="shared" si="16"/>
        <v>80797.5</v>
      </c>
      <c r="M80" s="242">
        <f t="shared" si="17"/>
        <v>2.2100000000000004</v>
      </c>
      <c r="N80" s="1848">
        <f t="shared" si="18"/>
        <v>1.8100000000000005</v>
      </c>
      <c r="O80" s="1848">
        <f t="shared" si="19"/>
        <v>-1.5899999999999994</v>
      </c>
      <c r="P80" s="1848">
        <f t="shared" si="20"/>
        <v>-0.21999999999999975</v>
      </c>
    </row>
    <row r="81" spans="1:16" s="217" customFormat="1" ht="14.5">
      <c r="A81" s="302"/>
      <c r="B81" s="301" t="s">
        <v>6475</v>
      </c>
      <c r="C81" s="297"/>
      <c r="D81" s="296" t="s">
        <v>6476</v>
      </c>
      <c r="E81" s="1954">
        <v>10800</v>
      </c>
      <c r="F81" s="300" t="s">
        <v>6467</v>
      </c>
      <c r="G81" s="1852">
        <v>2.96</v>
      </c>
      <c r="H81" s="1848">
        <f t="shared" si="14"/>
        <v>31968</v>
      </c>
      <c r="I81" s="1852">
        <v>2.95</v>
      </c>
      <c r="J81" s="1848">
        <f t="shared" si="15"/>
        <v>31860.000000000004</v>
      </c>
      <c r="K81" s="1852">
        <v>0.92</v>
      </c>
      <c r="L81" s="1848">
        <f t="shared" si="16"/>
        <v>9936</v>
      </c>
      <c r="M81" s="242">
        <f t="shared" si="17"/>
        <v>2.2766666666666668</v>
      </c>
      <c r="N81" s="1848">
        <f t="shared" si="18"/>
        <v>-0.68333333333333313</v>
      </c>
      <c r="O81" s="1848">
        <f t="shared" si="19"/>
        <v>-0.67333333333333334</v>
      </c>
      <c r="P81" s="1848">
        <f t="shared" si="20"/>
        <v>1.3566666666666669</v>
      </c>
    </row>
    <row r="82" spans="1:16" s="217" customFormat="1" ht="14.5">
      <c r="A82" s="299"/>
      <c r="B82" s="315"/>
      <c r="C82" s="297"/>
      <c r="D82" s="296"/>
      <c r="E82" s="1963"/>
      <c r="F82" s="295"/>
      <c r="G82" s="1962"/>
      <c r="H82" s="1961"/>
      <c r="I82" s="1962">
        <v>0</v>
      </c>
      <c r="J82" s="1961"/>
      <c r="K82" s="1962"/>
      <c r="L82" s="1961"/>
      <c r="M82" s="1962"/>
      <c r="N82" s="1961"/>
      <c r="O82" s="1962"/>
      <c r="P82" s="1961"/>
    </row>
    <row r="83" spans="1:16" s="217" customFormat="1" ht="13">
      <c r="A83" s="299"/>
      <c r="B83" s="308"/>
      <c r="C83" s="297"/>
      <c r="D83" s="296"/>
      <c r="E83" s="1952"/>
      <c r="F83" s="296"/>
      <c r="G83" s="1962"/>
      <c r="H83" s="1961"/>
      <c r="I83" s="1962">
        <v>0</v>
      </c>
      <c r="J83" s="1961"/>
      <c r="K83" s="1962"/>
      <c r="L83" s="1961"/>
      <c r="M83" s="1962"/>
      <c r="N83" s="1961"/>
      <c r="O83" s="1962"/>
      <c r="P83" s="1961"/>
    </row>
    <row r="84" spans="1:16" s="217" customFormat="1" ht="13">
      <c r="A84" s="299"/>
      <c r="B84" s="308" t="s">
        <v>6516</v>
      </c>
      <c r="C84" s="297" t="s">
        <v>6517</v>
      </c>
      <c r="D84" s="296"/>
      <c r="E84" s="1952"/>
      <c r="F84" s="296"/>
      <c r="G84" s="1962"/>
      <c r="H84" s="1961"/>
      <c r="I84" s="1962">
        <v>0</v>
      </c>
      <c r="J84" s="1961"/>
      <c r="K84" s="1962"/>
      <c r="L84" s="1961"/>
      <c r="M84" s="1962"/>
      <c r="N84" s="1961"/>
      <c r="O84" s="1962"/>
      <c r="P84" s="1961"/>
    </row>
    <row r="85" spans="1:16" s="217" customFormat="1" ht="14.5">
      <c r="A85" s="299"/>
      <c r="B85" s="313" t="s">
        <v>6466</v>
      </c>
      <c r="C85" s="297"/>
      <c r="D85" s="296" t="s">
        <v>6462</v>
      </c>
      <c r="E85" s="1953">
        <v>8000</v>
      </c>
      <c r="F85" s="295" t="s">
        <v>6467</v>
      </c>
      <c r="G85" s="1962">
        <v>55.04</v>
      </c>
      <c r="H85" s="1848">
        <f t="shared" ref="H85:H92" si="21">$E85*G85</f>
        <v>440320</v>
      </c>
      <c r="I85" s="1962">
        <v>14.9</v>
      </c>
      <c r="J85" s="1848">
        <f t="shared" ref="J85:J92" si="22">$E85*I85</f>
        <v>119200</v>
      </c>
      <c r="K85" s="1962">
        <v>28.87</v>
      </c>
      <c r="L85" s="1848">
        <f t="shared" ref="L85:L92" si="23">$E85*K85</f>
        <v>230960</v>
      </c>
      <c r="M85" s="242">
        <f t="shared" ref="M85:M92" si="24">SUM($G85,$I85,$K85)/3</f>
        <v>32.936666666666667</v>
      </c>
      <c r="N85" s="1848">
        <f t="shared" ref="N85:N92" si="25">$M85-G85</f>
        <v>-22.103333333333332</v>
      </c>
      <c r="O85" s="1848">
        <f t="shared" ref="O85:O92" si="26">$M85-I85</f>
        <v>18.036666666666669</v>
      </c>
      <c r="P85" s="1848">
        <f t="shared" ref="P85:P92" si="27">$M85-K85</f>
        <v>4.0666666666666664</v>
      </c>
    </row>
    <row r="86" spans="1:16" s="217" customFormat="1" ht="14.5">
      <c r="A86" s="299"/>
      <c r="B86" s="313" t="s">
        <v>6468</v>
      </c>
      <c r="C86" s="297"/>
      <c r="D86" s="296" t="s">
        <v>6469</v>
      </c>
      <c r="E86" s="1953">
        <v>54000</v>
      </c>
      <c r="F86" s="295" t="s">
        <v>6467</v>
      </c>
      <c r="G86" s="1962">
        <v>48.65</v>
      </c>
      <c r="H86" s="1848">
        <f t="shared" si="21"/>
        <v>2627100</v>
      </c>
      <c r="I86" s="1962">
        <v>57.4</v>
      </c>
      <c r="J86" s="1848">
        <f t="shared" si="22"/>
        <v>3099600</v>
      </c>
      <c r="K86" s="1962">
        <v>28.87</v>
      </c>
      <c r="L86" s="1848">
        <f t="shared" si="23"/>
        <v>1558980</v>
      </c>
      <c r="M86" s="242">
        <f t="shared" si="24"/>
        <v>44.973333333333329</v>
      </c>
      <c r="N86" s="1848">
        <f t="shared" si="25"/>
        <v>-3.6766666666666694</v>
      </c>
      <c r="O86" s="1848">
        <f t="shared" si="26"/>
        <v>-12.426666666666669</v>
      </c>
      <c r="P86" s="1848">
        <f t="shared" si="27"/>
        <v>16.103333333333328</v>
      </c>
    </row>
    <row r="87" spans="1:16" s="217" customFormat="1" ht="14.5">
      <c r="A87" s="299"/>
      <c r="B87" s="313" t="s">
        <v>6518</v>
      </c>
      <c r="C87" s="297"/>
      <c r="D87" s="296" t="s">
        <v>6487</v>
      </c>
      <c r="E87" s="1953">
        <v>162000</v>
      </c>
      <c r="F87" s="295" t="s">
        <v>6467</v>
      </c>
      <c r="G87" s="1962">
        <v>51.81</v>
      </c>
      <c r="H87" s="1848">
        <f t="shared" si="21"/>
        <v>8393220</v>
      </c>
      <c r="I87" s="1962">
        <v>20.5</v>
      </c>
      <c r="J87" s="1848">
        <f t="shared" si="22"/>
        <v>3321000</v>
      </c>
      <c r="K87" s="1962">
        <v>23.72</v>
      </c>
      <c r="L87" s="1848">
        <f t="shared" si="23"/>
        <v>3842640</v>
      </c>
      <c r="M87" s="242">
        <f t="shared" si="24"/>
        <v>32.01</v>
      </c>
      <c r="N87" s="1848">
        <f t="shared" si="25"/>
        <v>-19.800000000000004</v>
      </c>
      <c r="O87" s="1848">
        <f t="shared" si="26"/>
        <v>11.509999999999998</v>
      </c>
      <c r="P87" s="1848">
        <f t="shared" si="27"/>
        <v>8.2899999999999991</v>
      </c>
    </row>
    <row r="88" spans="1:16" s="217" customFormat="1" ht="14.5">
      <c r="A88" s="299"/>
      <c r="B88" s="313" t="s">
        <v>6519</v>
      </c>
      <c r="C88" s="297"/>
      <c r="D88" s="296" t="s">
        <v>6476</v>
      </c>
      <c r="E88" s="1954">
        <v>62000</v>
      </c>
      <c r="F88" s="295" t="s">
        <v>6467</v>
      </c>
      <c r="G88" s="1962">
        <v>1.95</v>
      </c>
      <c r="H88" s="1848">
        <f t="shared" si="21"/>
        <v>120900</v>
      </c>
      <c r="I88" s="1962">
        <v>5.32</v>
      </c>
      <c r="J88" s="1848">
        <f t="shared" si="22"/>
        <v>329840</v>
      </c>
      <c r="K88" s="1962">
        <v>0.91</v>
      </c>
      <c r="L88" s="1848">
        <f t="shared" si="23"/>
        <v>56420</v>
      </c>
      <c r="M88" s="242">
        <f t="shared" si="24"/>
        <v>2.7266666666666666</v>
      </c>
      <c r="N88" s="1848">
        <f t="shared" si="25"/>
        <v>0.77666666666666662</v>
      </c>
      <c r="O88" s="1848">
        <f t="shared" si="26"/>
        <v>-2.5933333333333337</v>
      </c>
      <c r="P88" s="1848">
        <f t="shared" si="27"/>
        <v>1.8166666666666664</v>
      </c>
    </row>
    <row r="89" spans="1:16" s="217" customFormat="1" ht="15.5">
      <c r="A89" s="299"/>
      <c r="B89" s="313" t="s">
        <v>6481</v>
      </c>
      <c r="C89" s="297"/>
      <c r="D89" s="296">
        <v>2.4</v>
      </c>
      <c r="E89" s="1953">
        <v>24000</v>
      </c>
      <c r="F89" s="312" t="s">
        <v>6467</v>
      </c>
      <c r="G89" s="1962">
        <v>92.66</v>
      </c>
      <c r="H89" s="1848">
        <f t="shared" si="21"/>
        <v>2223840</v>
      </c>
      <c r="I89" s="1962">
        <v>86.2</v>
      </c>
      <c r="J89" s="1848">
        <f t="shared" si="22"/>
        <v>2068800</v>
      </c>
      <c r="K89" s="1962">
        <v>77.5</v>
      </c>
      <c r="L89" s="1848">
        <f t="shared" si="23"/>
        <v>1860000</v>
      </c>
      <c r="M89" s="242">
        <f t="shared" si="24"/>
        <v>85.453333333333333</v>
      </c>
      <c r="N89" s="1848">
        <f t="shared" si="25"/>
        <v>-7.2066666666666634</v>
      </c>
      <c r="O89" s="1848">
        <f t="shared" si="26"/>
        <v>-0.7466666666666697</v>
      </c>
      <c r="P89" s="1848">
        <f t="shared" si="27"/>
        <v>7.9533333333333331</v>
      </c>
    </row>
    <row r="90" spans="1:16" s="217" customFormat="1" ht="14.5">
      <c r="A90" s="299"/>
      <c r="B90" s="303" t="s">
        <v>6490</v>
      </c>
      <c r="C90" s="297"/>
      <c r="D90" s="296">
        <v>2.4</v>
      </c>
      <c r="E90" s="1953">
        <v>20240</v>
      </c>
      <c r="F90" s="295" t="s">
        <v>6467</v>
      </c>
      <c r="G90" s="1962">
        <v>55.83</v>
      </c>
      <c r="H90" s="1848">
        <f t="shared" si="21"/>
        <v>1129999.2</v>
      </c>
      <c r="I90" s="1962">
        <v>41.7</v>
      </c>
      <c r="J90" s="1848">
        <f t="shared" si="22"/>
        <v>844008</v>
      </c>
      <c r="K90" s="1962">
        <v>70.930000000000007</v>
      </c>
      <c r="L90" s="1848">
        <f t="shared" si="23"/>
        <v>1435623.2000000002</v>
      </c>
      <c r="M90" s="242">
        <f t="shared" si="24"/>
        <v>56.153333333333336</v>
      </c>
      <c r="N90" s="1848">
        <f t="shared" si="25"/>
        <v>0.32333333333333769</v>
      </c>
      <c r="O90" s="1848">
        <f t="shared" si="26"/>
        <v>14.453333333333333</v>
      </c>
      <c r="P90" s="1848">
        <f t="shared" si="27"/>
        <v>-14.776666666666671</v>
      </c>
    </row>
    <row r="91" spans="1:16" s="217" customFormat="1" ht="14.5">
      <c r="A91" s="299"/>
      <c r="B91" s="303" t="s">
        <v>6470</v>
      </c>
      <c r="C91" s="297"/>
      <c r="D91" s="296">
        <v>2.4</v>
      </c>
      <c r="E91" s="1953">
        <v>41760</v>
      </c>
      <c r="F91" s="295" t="s">
        <v>6467</v>
      </c>
      <c r="G91" s="1962">
        <v>57.26</v>
      </c>
      <c r="H91" s="1848">
        <f t="shared" si="21"/>
        <v>2391177.6</v>
      </c>
      <c r="I91" s="1962">
        <v>42.5</v>
      </c>
      <c r="J91" s="1848">
        <f t="shared" si="22"/>
        <v>1774800</v>
      </c>
      <c r="K91" s="1962">
        <v>57.18</v>
      </c>
      <c r="L91" s="1848">
        <f t="shared" si="23"/>
        <v>2387836.7999999998</v>
      </c>
      <c r="M91" s="242">
        <f t="shared" si="24"/>
        <v>52.313333333333333</v>
      </c>
      <c r="N91" s="1848">
        <f t="shared" si="25"/>
        <v>-4.9466666666666654</v>
      </c>
      <c r="O91" s="1848">
        <f t="shared" si="26"/>
        <v>9.8133333333333326</v>
      </c>
      <c r="P91" s="1848">
        <f t="shared" si="27"/>
        <v>-4.8666666666666671</v>
      </c>
    </row>
    <row r="92" spans="1:16" s="217" customFormat="1" ht="14.5">
      <c r="A92" s="299"/>
      <c r="B92" s="313" t="s">
        <v>6500</v>
      </c>
      <c r="C92" s="297"/>
      <c r="D92" s="296">
        <v>2.5</v>
      </c>
      <c r="E92" s="1953">
        <v>1200</v>
      </c>
      <c r="F92" s="314" t="s">
        <v>6499</v>
      </c>
      <c r="G92" s="1962">
        <v>831.72</v>
      </c>
      <c r="H92" s="1848">
        <f t="shared" si="21"/>
        <v>998064</v>
      </c>
      <c r="I92" s="1962">
        <v>1310</v>
      </c>
      <c r="J92" s="1848">
        <f t="shared" si="22"/>
        <v>1572000</v>
      </c>
      <c r="K92" s="1962">
        <v>2773.39</v>
      </c>
      <c r="L92" s="1848">
        <f t="shared" si="23"/>
        <v>3328068</v>
      </c>
      <c r="M92" s="242">
        <f t="shared" si="24"/>
        <v>1638.3700000000001</v>
      </c>
      <c r="N92" s="1848">
        <f t="shared" si="25"/>
        <v>806.65000000000009</v>
      </c>
      <c r="O92" s="1848">
        <f t="shared" si="26"/>
        <v>328.37000000000012</v>
      </c>
      <c r="P92" s="1848">
        <f t="shared" si="27"/>
        <v>-1135.0199999999998</v>
      </c>
    </row>
    <row r="93" spans="1:16" s="217" customFormat="1" ht="13">
      <c r="A93" s="299"/>
      <c r="B93" s="313"/>
      <c r="C93" s="297"/>
      <c r="D93" s="296"/>
      <c r="E93" s="307"/>
      <c r="F93" s="300"/>
      <c r="G93" s="1962"/>
      <c r="H93" s="1961"/>
      <c r="I93" s="1962">
        <v>0</v>
      </c>
      <c r="J93" s="1961"/>
      <c r="K93" s="1962"/>
      <c r="L93" s="1961"/>
      <c r="M93" s="1962"/>
      <c r="N93" s="1961"/>
      <c r="O93" s="1962"/>
      <c r="P93" s="1961"/>
    </row>
    <row r="94" spans="1:16" s="217" customFormat="1" ht="13">
      <c r="A94" s="299"/>
      <c r="B94" s="308"/>
      <c r="C94" s="297"/>
      <c r="D94" s="296"/>
      <c r="E94" s="307"/>
      <c r="F94" s="300"/>
      <c r="G94" s="1962"/>
      <c r="H94" s="1961"/>
      <c r="I94" s="1962">
        <v>0</v>
      </c>
      <c r="J94" s="1961"/>
      <c r="K94" s="1962"/>
      <c r="L94" s="1961"/>
      <c r="M94" s="1962"/>
      <c r="N94" s="1961"/>
      <c r="O94" s="1962"/>
      <c r="P94" s="1961"/>
    </row>
    <row r="95" spans="1:16" s="217" customFormat="1" ht="13">
      <c r="A95" s="299"/>
      <c r="B95" s="308" t="s">
        <v>6520</v>
      </c>
      <c r="C95" s="297" t="s">
        <v>6521</v>
      </c>
      <c r="D95" s="296"/>
      <c r="E95" s="307"/>
      <c r="F95" s="300"/>
      <c r="G95" s="1962"/>
      <c r="H95" s="1961"/>
      <c r="I95" s="1962">
        <v>0</v>
      </c>
      <c r="J95" s="1961"/>
      <c r="K95" s="1962"/>
      <c r="L95" s="1961"/>
      <c r="M95" s="1962"/>
      <c r="N95" s="1961"/>
      <c r="O95" s="1962"/>
      <c r="P95" s="1961"/>
    </row>
    <row r="96" spans="1:16" s="217" customFormat="1" ht="14.5">
      <c r="A96" s="299"/>
      <c r="B96" s="313" t="s">
        <v>6518</v>
      </c>
      <c r="C96" s="297"/>
      <c r="D96" s="296" t="s">
        <v>6487</v>
      </c>
      <c r="E96" s="1953">
        <v>155000</v>
      </c>
      <c r="F96" s="295" t="s">
        <v>6467</v>
      </c>
      <c r="G96" s="1962">
        <v>50.29</v>
      </c>
      <c r="H96" s="1848">
        <f>$E96*G96</f>
        <v>7794950</v>
      </c>
      <c r="I96" s="1962">
        <v>19.899999999999999</v>
      </c>
      <c r="J96" s="1848">
        <f>$E96*I96</f>
        <v>3084500</v>
      </c>
      <c r="K96" s="1962">
        <v>25.07</v>
      </c>
      <c r="L96" s="1848">
        <f>$E96*K96</f>
        <v>3885850</v>
      </c>
      <c r="M96" s="242">
        <f>SUM($G96,$I96,$K96)/3</f>
        <v>31.75333333333333</v>
      </c>
      <c r="N96" s="1848">
        <f>$M96-G96</f>
        <v>-18.536666666666669</v>
      </c>
      <c r="O96" s="1848">
        <f>$M96-I96</f>
        <v>11.853333333333332</v>
      </c>
      <c r="P96" s="1848">
        <f>$M96-K96</f>
        <v>6.68333333333333</v>
      </c>
    </row>
    <row r="97" spans="1:16" s="217" customFormat="1" ht="14.5">
      <c r="A97" s="299"/>
      <c r="B97" s="313"/>
      <c r="C97" s="297"/>
      <c r="D97" s="296"/>
      <c r="E97" s="1953"/>
      <c r="F97" s="295"/>
      <c r="G97" s="1962"/>
      <c r="H97" s="1961"/>
      <c r="I97" s="1962">
        <v>0</v>
      </c>
      <c r="J97" s="1961"/>
      <c r="K97" s="1962"/>
      <c r="L97" s="1961"/>
      <c r="M97" s="1962"/>
      <c r="N97" s="1961"/>
      <c r="O97" s="1962"/>
      <c r="P97" s="1961"/>
    </row>
    <row r="98" spans="1:16" s="217" customFormat="1" ht="14.5">
      <c r="A98" s="299"/>
      <c r="B98" s="308"/>
      <c r="C98" s="297"/>
      <c r="D98" s="296"/>
      <c r="E98" s="1953"/>
      <c r="F98" s="300"/>
      <c r="G98" s="1962"/>
      <c r="H98" s="1961"/>
      <c r="I98" s="1962">
        <v>0</v>
      </c>
      <c r="J98" s="1961"/>
      <c r="K98" s="1962"/>
      <c r="L98" s="1961"/>
      <c r="M98" s="1962"/>
      <c r="N98" s="1961"/>
      <c r="O98" s="1962"/>
      <c r="P98" s="1961"/>
    </row>
    <row r="99" spans="1:16" s="241" customFormat="1" ht="14.5">
      <c r="A99" s="299"/>
      <c r="B99" s="308" t="s">
        <v>6522</v>
      </c>
      <c r="C99" s="297" t="s">
        <v>6523</v>
      </c>
      <c r="D99" s="296"/>
      <c r="E99" s="1953"/>
      <c r="F99" s="300"/>
      <c r="G99" s="1962"/>
      <c r="H99" s="1961"/>
      <c r="I99" s="1962">
        <v>0</v>
      </c>
      <c r="J99" s="1961"/>
      <c r="K99" s="1962"/>
      <c r="L99" s="1961"/>
      <c r="M99" s="1962"/>
      <c r="N99" s="1961"/>
      <c r="O99" s="1962"/>
      <c r="P99" s="1961"/>
    </row>
    <row r="100" spans="1:16" s="241" customFormat="1" ht="14.5">
      <c r="A100" s="299"/>
      <c r="B100" s="313" t="s">
        <v>6468</v>
      </c>
      <c r="C100" s="297"/>
      <c r="D100" s="296" t="s">
        <v>6469</v>
      </c>
      <c r="E100" s="1953">
        <v>5000</v>
      </c>
      <c r="F100" s="295" t="s">
        <v>6467</v>
      </c>
      <c r="G100" s="1962">
        <v>45.75</v>
      </c>
      <c r="H100" s="1848">
        <f>$E100*G100</f>
        <v>228750</v>
      </c>
      <c r="I100" s="1962">
        <v>15.5</v>
      </c>
      <c r="J100" s="1848">
        <f>$E100*I100</f>
        <v>77500</v>
      </c>
      <c r="K100" s="1962">
        <v>30.34</v>
      </c>
      <c r="L100" s="1848">
        <f>$E100*K100</f>
        <v>151700</v>
      </c>
      <c r="M100" s="242">
        <f>SUM($G100,$I100,$K100)/3</f>
        <v>30.53</v>
      </c>
      <c r="N100" s="1848">
        <f>$M100-G100</f>
        <v>-15.219999999999999</v>
      </c>
      <c r="O100" s="1848">
        <f>$M100-I100</f>
        <v>15.030000000000001</v>
      </c>
      <c r="P100" s="1848">
        <f>$M100-K100</f>
        <v>0.19000000000000128</v>
      </c>
    </row>
    <row r="101" spans="1:16" s="241" customFormat="1" ht="14.5">
      <c r="A101" s="299"/>
      <c r="B101" s="303" t="s">
        <v>6524</v>
      </c>
      <c r="C101" s="297"/>
      <c r="D101" s="296">
        <v>2.4</v>
      </c>
      <c r="E101" s="1953">
        <v>6400</v>
      </c>
      <c r="F101" s="295" t="s">
        <v>6467</v>
      </c>
      <c r="G101" s="1962">
        <v>65.13</v>
      </c>
      <c r="H101" s="1848">
        <f>$E101*G101</f>
        <v>416832</v>
      </c>
      <c r="I101" s="1962">
        <v>50.4</v>
      </c>
      <c r="J101" s="1848">
        <f>$E101*I101</f>
        <v>322560</v>
      </c>
      <c r="K101" s="1962">
        <v>64.62</v>
      </c>
      <c r="L101" s="1848">
        <f>$E101*K101</f>
        <v>413568</v>
      </c>
      <c r="M101" s="242">
        <f>SUM($G101,$I101,$K101)/3</f>
        <v>60.050000000000004</v>
      </c>
      <c r="N101" s="1848">
        <f>$M101-G101</f>
        <v>-5.0799999999999912</v>
      </c>
      <c r="O101" s="1848">
        <f>$M101-I101</f>
        <v>9.6500000000000057</v>
      </c>
      <c r="P101" s="1848">
        <f>$M101-K101</f>
        <v>-4.57</v>
      </c>
    </row>
    <row r="102" spans="1:16" s="241" customFormat="1" ht="15.5">
      <c r="A102" s="299"/>
      <c r="B102" s="313" t="s">
        <v>6481</v>
      </c>
      <c r="C102" s="297"/>
      <c r="D102" s="296">
        <v>2.4</v>
      </c>
      <c r="E102" s="1953">
        <v>3600</v>
      </c>
      <c r="F102" s="312" t="s">
        <v>6467</v>
      </c>
      <c r="G102" s="1962">
        <v>78.17</v>
      </c>
      <c r="H102" s="1848">
        <f>$E102*G102</f>
        <v>281412</v>
      </c>
      <c r="I102" s="1962">
        <v>86.3</v>
      </c>
      <c r="J102" s="1848">
        <f>$E102*I102</f>
        <v>310680</v>
      </c>
      <c r="K102" s="1962">
        <v>77.459999999999994</v>
      </c>
      <c r="L102" s="1848">
        <f>$E102*K102</f>
        <v>278856</v>
      </c>
      <c r="M102" s="242">
        <f>SUM($G102,$I102,$K102)/3</f>
        <v>80.643333333333331</v>
      </c>
      <c r="N102" s="1848">
        <f>$M102-G102</f>
        <v>2.4733333333333292</v>
      </c>
      <c r="O102" s="1848">
        <f>$M102-I102</f>
        <v>-5.6566666666666663</v>
      </c>
      <c r="P102" s="1848">
        <f>$M102-K102</f>
        <v>3.1833333333333371</v>
      </c>
    </row>
    <row r="103" spans="1:16" s="241" customFormat="1" ht="14.5">
      <c r="A103" s="302"/>
      <c r="B103" s="301" t="s">
        <v>6475</v>
      </c>
      <c r="C103" s="297"/>
      <c r="D103" s="296" t="s">
        <v>6476</v>
      </c>
      <c r="E103" s="1954">
        <v>5000</v>
      </c>
      <c r="F103" s="300" t="s">
        <v>6467</v>
      </c>
      <c r="G103" s="1852">
        <v>2.96</v>
      </c>
      <c r="H103" s="1848">
        <f>$E103*G103</f>
        <v>14800</v>
      </c>
      <c r="I103" s="1852">
        <v>5.68</v>
      </c>
      <c r="J103" s="1848">
        <f>$E103*I103</f>
        <v>28400</v>
      </c>
      <c r="K103" s="1852">
        <v>0.79</v>
      </c>
      <c r="L103" s="1848">
        <f>$E103*K103</f>
        <v>3950</v>
      </c>
      <c r="M103" s="242">
        <f>SUM($G103,$I103,$K103)/3</f>
        <v>3.1433333333333331</v>
      </c>
      <c r="N103" s="1848">
        <f>$M103-G103</f>
        <v>0.18333333333333313</v>
      </c>
      <c r="O103" s="1848">
        <f>$M103-I103</f>
        <v>-2.5366666666666666</v>
      </c>
      <c r="P103" s="1848">
        <f>$M103-K103</f>
        <v>2.3533333333333331</v>
      </c>
    </row>
    <row r="104" spans="1:16" s="241" customFormat="1" ht="14.5">
      <c r="A104" s="299"/>
      <c r="B104" s="303" t="s">
        <v>6482</v>
      </c>
      <c r="C104" s="297"/>
      <c r="D104" s="311" t="s">
        <v>6483</v>
      </c>
      <c r="E104" s="310">
        <f>15*100</f>
        <v>1500</v>
      </c>
      <c r="F104" s="309" t="s">
        <v>6474</v>
      </c>
      <c r="G104" s="1956">
        <v>39.25</v>
      </c>
      <c r="H104" s="1848">
        <f>$E104*G104</f>
        <v>58875</v>
      </c>
      <c r="I104" s="1956">
        <v>21.1</v>
      </c>
      <c r="J104" s="1848">
        <f>$E104*I104</f>
        <v>31650.000000000004</v>
      </c>
      <c r="K104" s="1956">
        <v>61.28</v>
      </c>
      <c r="L104" s="1848">
        <f>$E104*K104</f>
        <v>91920</v>
      </c>
      <c r="M104" s="242">
        <f>SUM($G104,$I104,$K104)/3</f>
        <v>40.543333333333329</v>
      </c>
      <c r="N104" s="1848">
        <f>$M104-G104</f>
        <v>1.2933333333333294</v>
      </c>
      <c r="O104" s="1848">
        <f>$M104-I104</f>
        <v>19.443333333333328</v>
      </c>
      <c r="P104" s="1848">
        <f>$M104-K104</f>
        <v>-20.736666666666672</v>
      </c>
    </row>
    <row r="105" spans="1:16" s="241" customFormat="1" ht="13">
      <c r="A105" s="299"/>
      <c r="B105" s="308"/>
      <c r="C105" s="297"/>
      <c r="D105" s="296"/>
      <c r="E105" s="307"/>
      <c r="F105" s="300"/>
      <c r="G105" s="1962"/>
      <c r="H105" s="1961"/>
      <c r="I105" s="1962">
        <v>0</v>
      </c>
      <c r="J105" s="1961"/>
      <c r="K105" s="1962"/>
      <c r="L105" s="1961"/>
      <c r="M105" s="1962"/>
      <c r="N105" s="1961"/>
      <c r="O105" s="1962"/>
      <c r="P105" s="1961"/>
    </row>
    <row r="106" spans="1:16" s="217" customFormat="1" ht="13">
      <c r="A106" s="240"/>
      <c r="B106" s="1959" t="s">
        <v>6525</v>
      </c>
      <c r="C106" s="297" t="s">
        <v>6526</v>
      </c>
      <c r="D106" s="306"/>
      <c r="E106" s="1855"/>
      <c r="F106" s="305"/>
      <c r="G106" s="242"/>
      <c r="H106" s="1848"/>
      <c r="I106" s="242">
        <v>0</v>
      </c>
      <c r="J106" s="1848"/>
      <c r="K106" s="242"/>
      <c r="L106" s="1848"/>
      <c r="M106" s="242"/>
      <c r="N106" s="1848"/>
      <c r="O106" s="242"/>
      <c r="P106" s="1848"/>
    </row>
    <row r="107" spans="1:16" s="217" customFormat="1" ht="14.5">
      <c r="A107" s="302"/>
      <c r="B107" s="298" t="s">
        <v>6468</v>
      </c>
      <c r="C107" s="297"/>
      <c r="D107" s="296" t="s">
        <v>6469</v>
      </c>
      <c r="E107" s="1953">
        <v>1250</v>
      </c>
      <c r="F107" s="295" t="s">
        <v>6467</v>
      </c>
      <c r="G107" s="1852">
        <v>44.04</v>
      </c>
      <c r="H107" s="1848">
        <f t="shared" ref="H107:H112" si="28">$E107*G107</f>
        <v>55050</v>
      </c>
      <c r="I107" s="1852">
        <v>16.2</v>
      </c>
      <c r="J107" s="1848">
        <f t="shared" ref="J107:J112" si="29">$E107*I107</f>
        <v>20250</v>
      </c>
      <c r="K107" s="1852">
        <v>36.93</v>
      </c>
      <c r="L107" s="1848">
        <f t="shared" ref="L107:L112" si="30">$E107*K107</f>
        <v>46162.5</v>
      </c>
      <c r="M107" s="242">
        <f t="shared" ref="M107:M112" si="31">SUM($G107,$I107,$K107)/3</f>
        <v>32.389999999999993</v>
      </c>
      <c r="N107" s="1848">
        <f t="shared" ref="N107:N112" si="32">$M107-G107</f>
        <v>-11.650000000000006</v>
      </c>
      <c r="O107" s="1848">
        <f t="shared" ref="O107:O112" si="33">$M107-I107</f>
        <v>16.189999999999994</v>
      </c>
      <c r="P107" s="1848">
        <f t="shared" ref="P107:P112" si="34">$M107-K107</f>
        <v>-4.5400000000000063</v>
      </c>
    </row>
    <row r="108" spans="1:16" s="241" customFormat="1" ht="14.5">
      <c r="A108" s="302"/>
      <c r="B108" s="304" t="s">
        <v>6490</v>
      </c>
      <c r="C108" s="297"/>
      <c r="D108" s="296">
        <v>2.4</v>
      </c>
      <c r="E108" s="1953">
        <v>1440</v>
      </c>
      <c r="F108" s="295" t="s">
        <v>6467</v>
      </c>
      <c r="G108" s="1852">
        <v>53.02</v>
      </c>
      <c r="H108" s="1848">
        <f t="shared" si="28"/>
        <v>76348.800000000003</v>
      </c>
      <c r="I108" s="1852">
        <v>48.5</v>
      </c>
      <c r="J108" s="1848">
        <f t="shared" si="29"/>
        <v>69840</v>
      </c>
      <c r="K108" s="1852">
        <v>70.31</v>
      </c>
      <c r="L108" s="1848">
        <f t="shared" si="30"/>
        <v>101246.40000000001</v>
      </c>
      <c r="M108" s="242">
        <f t="shared" si="31"/>
        <v>57.276666666666671</v>
      </c>
      <c r="N108" s="1848">
        <f t="shared" si="32"/>
        <v>4.2566666666666677</v>
      </c>
      <c r="O108" s="1848">
        <f t="shared" si="33"/>
        <v>8.7766666666666708</v>
      </c>
      <c r="P108" s="1848">
        <f t="shared" si="34"/>
        <v>-13.033333333333331</v>
      </c>
    </row>
    <row r="109" spans="1:16" s="241" customFormat="1" ht="14.5">
      <c r="A109" s="299"/>
      <c r="B109" s="303" t="s">
        <v>6470</v>
      </c>
      <c r="C109" s="297"/>
      <c r="D109" s="296">
        <v>2.4</v>
      </c>
      <c r="E109" s="1954">
        <f>3600+2160</f>
        <v>5760</v>
      </c>
      <c r="F109" s="295" t="s">
        <v>6467</v>
      </c>
      <c r="G109" s="1852">
        <v>44.9</v>
      </c>
      <c r="H109" s="1848">
        <f t="shared" si="28"/>
        <v>258624</v>
      </c>
      <c r="I109" s="1852">
        <v>32.299999999999997</v>
      </c>
      <c r="J109" s="1848">
        <f t="shared" si="29"/>
        <v>186047.99999999997</v>
      </c>
      <c r="K109" s="1852">
        <v>64.64</v>
      </c>
      <c r="L109" s="1848">
        <f t="shared" si="30"/>
        <v>372326.40000000002</v>
      </c>
      <c r="M109" s="242">
        <f t="shared" si="31"/>
        <v>47.279999999999994</v>
      </c>
      <c r="N109" s="1848">
        <f t="shared" si="32"/>
        <v>2.3799999999999955</v>
      </c>
      <c r="O109" s="1848">
        <f t="shared" si="33"/>
        <v>14.979999999999997</v>
      </c>
      <c r="P109" s="1848">
        <f t="shared" si="34"/>
        <v>-17.360000000000007</v>
      </c>
    </row>
    <row r="110" spans="1:16" s="241" customFormat="1" ht="14.5">
      <c r="A110" s="299"/>
      <c r="B110" s="298" t="s">
        <v>6481</v>
      </c>
      <c r="C110" s="297"/>
      <c r="D110" s="296">
        <v>2.4</v>
      </c>
      <c r="E110" s="1953">
        <v>400</v>
      </c>
      <c r="F110" s="295" t="s">
        <v>6467</v>
      </c>
      <c r="G110" s="1852">
        <v>92.65</v>
      </c>
      <c r="H110" s="1848">
        <f t="shared" si="28"/>
        <v>37060</v>
      </c>
      <c r="I110" s="1852">
        <v>72.2</v>
      </c>
      <c r="J110" s="1848">
        <f t="shared" si="29"/>
        <v>28880</v>
      </c>
      <c r="K110" s="1852">
        <v>80.16</v>
      </c>
      <c r="L110" s="1848">
        <f t="shared" si="30"/>
        <v>32064</v>
      </c>
      <c r="M110" s="242">
        <f t="shared" si="31"/>
        <v>81.67</v>
      </c>
      <c r="N110" s="1848">
        <f t="shared" si="32"/>
        <v>-10.980000000000004</v>
      </c>
      <c r="O110" s="1848">
        <f t="shared" si="33"/>
        <v>9.4699999999999989</v>
      </c>
      <c r="P110" s="1848">
        <f t="shared" si="34"/>
        <v>1.5100000000000051</v>
      </c>
    </row>
    <row r="111" spans="1:16" s="241" customFormat="1" ht="14.5">
      <c r="A111" s="302"/>
      <c r="B111" s="301" t="s">
        <v>6475</v>
      </c>
      <c r="C111" s="297"/>
      <c r="D111" s="296" t="s">
        <v>6476</v>
      </c>
      <c r="E111" s="1953">
        <v>1250</v>
      </c>
      <c r="F111" s="300" t="s">
        <v>6467</v>
      </c>
      <c r="G111" s="1852">
        <v>2.96</v>
      </c>
      <c r="H111" s="1848">
        <f t="shared" si="28"/>
        <v>3700</v>
      </c>
      <c r="I111" s="1852">
        <v>3.23</v>
      </c>
      <c r="J111" s="1848">
        <f t="shared" si="29"/>
        <v>4037.5</v>
      </c>
      <c r="K111" s="1852">
        <v>1.27</v>
      </c>
      <c r="L111" s="1848">
        <f t="shared" si="30"/>
        <v>1587.5</v>
      </c>
      <c r="M111" s="242">
        <f t="shared" si="31"/>
        <v>2.4866666666666664</v>
      </c>
      <c r="N111" s="1848">
        <f t="shared" si="32"/>
        <v>-0.47333333333333361</v>
      </c>
      <c r="O111" s="1848">
        <f t="shared" si="33"/>
        <v>-0.74333333333333362</v>
      </c>
      <c r="P111" s="1848">
        <f t="shared" si="34"/>
        <v>1.2166666666666663</v>
      </c>
    </row>
    <row r="112" spans="1:16" s="241" customFormat="1" ht="14.5">
      <c r="A112" s="299"/>
      <c r="B112" s="298" t="s">
        <v>6498</v>
      </c>
      <c r="C112" s="297"/>
      <c r="D112" s="296">
        <v>2.5</v>
      </c>
      <c r="E112" s="1953">
        <v>50</v>
      </c>
      <c r="F112" s="295" t="s">
        <v>6499</v>
      </c>
      <c r="G112" s="1852">
        <v>534.28</v>
      </c>
      <c r="H112" s="1848">
        <f t="shared" si="28"/>
        <v>26714</v>
      </c>
      <c r="I112" s="1852">
        <v>485</v>
      </c>
      <c r="J112" s="1848">
        <f t="shared" si="29"/>
        <v>24250</v>
      </c>
      <c r="K112" s="1852">
        <v>2515.4499999999998</v>
      </c>
      <c r="L112" s="1848">
        <f t="shared" si="30"/>
        <v>125772.49999999999</v>
      </c>
      <c r="M112" s="242">
        <f t="shared" si="31"/>
        <v>1178.2433333333331</v>
      </c>
      <c r="N112" s="1848">
        <f t="shared" si="32"/>
        <v>643.96333333333314</v>
      </c>
      <c r="O112" s="1848">
        <f t="shared" si="33"/>
        <v>693.24333333333311</v>
      </c>
      <c r="P112" s="1848">
        <f t="shared" si="34"/>
        <v>-1337.2066666666667</v>
      </c>
    </row>
    <row r="113" spans="1:16" s="241" customFormat="1" ht="13.5" thickBot="1">
      <c r="A113" s="294"/>
      <c r="B113" s="293"/>
      <c r="C113" s="292"/>
      <c r="D113" s="291"/>
      <c r="E113" s="290"/>
      <c r="F113" s="289"/>
      <c r="G113" s="288"/>
      <c r="H113" s="287"/>
      <c r="I113" s="288"/>
      <c r="J113" s="287"/>
      <c r="K113" s="288"/>
      <c r="L113" s="287"/>
      <c r="M113" s="288"/>
      <c r="N113" s="287"/>
      <c r="O113" s="288"/>
      <c r="P113" s="287"/>
    </row>
    <row r="114" spans="1:16" s="217" customFormat="1" ht="13.5" thickBot="1">
      <c r="A114" s="237"/>
      <c r="B114" s="236" t="s">
        <v>6527</v>
      </c>
      <c r="C114" s="286"/>
      <c r="D114" s="235"/>
      <c r="E114" s="233"/>
      <c r="F114" s="234"/>
      <c r="G114" s="233"/>
      <c r="H114" s="232">
        <f>SUM(H23:H113)</f>
        <v>78913576.899999991</v>
      </c>
      <c r="I114" s="233"/>
      <c r="J114" s="232">
        <f>SUM(J23:J113)</f>
        <v>76561486</v>
      </c>
      <c r="K114" s="233"/>
      <c r="L114" s="232">
        <f>SUM(L23:L113)</f>
        <v>79982412.200000018</v>
      </c>
      <c r="M114" s="232"/>
      <c r="N114" s="232"/>
      <c r="O114" s="233"/>
      <c r="P114" s="232"/>
    </row>
    <row r="115" spans="1:16" s="217" customFormat="1" ht="16" thickBot="1">
      <c r="A115" s="2408"/>
      <c r="B115" s="2409"/>
      <c r="C115" s="2409"/>
      <c r="D115" s="2409"/>
      <c r="E115" s="2409"/>
      <c r="F115" s="2409"/>
      <c r="G115" s="2409"/>
      <c r="H115" s="2409"/>
      <c r="I115" s="2409"/>
      <c r="J115" s="2409"/>
      <c r="K115" s="2409"/>
      <c r="L115" s="2409"/>
      <c r="M115" s="2409"/>
      <c r="N115" s="2409"/>
      <c r="O115" s="2409"/>
      <c r="P115" s="2409"/>
    </row>
    <row r="116" spans="1:16" s="217" customFormat="1" ht="13.5" thickBot="1">
      <c r="A116" s="2403" t="s">
        <v>6528</v>
      </c>
      <c r="B116" s="2404"/>
      <c r="C116" s="2404"/>
      <c r="D116" s="2404"/>
      <c r="E116" s="2404"/>
      <c r="F116" s="2404"/>
      <c r="G116" s="2404"/>
      <c r="H116" s="2404"/>
      <c r="I116" s="2404"/>
      <c r="J116" s="2404"/>
      <c r="K116" s="2404"/>
      <c r="L116" s="2404"/>
      <c r="M116" s="2404"/>
      <c r="N116" s="2404"/>
      <c r="O116" s="2404"/>
      <c r="P116" s="2404"/>
    </row>
    <row r="117" spans="1:16" s="217" customFormat="1" ht="39.5" thickBot="1">
      <c r="A117" s="275" t="s">
        <v>6429</v>
      </c>
      <c r="B117" s="271" t="s">
        <v>21</v>
      </c>
      <c r="C117" s="274" t="s">
        <v>6430</v>
      </c>
      <c r="D117" s="273" t="s">
        <v>6431</v>
      </c>
      <c r="E117" s="272" t="s">
        <v>2944</v>
      </c>
      <c r="F117" s="271" t="s">
        <v>5604</v>
      </c>
      <c r="G117" s="270" t="s">
        <v>6432</v>
      </c>
      <c r="H117" s="269" t="s">
        <v>6433</v>
      </c>
      <c r="I117" s="268" t="s">
        <v>6434</v>
      </c>
      <c r="J117" s="267" t="s">
        <v>6435</v>
      </c>
      <c r="K117" s="266" t="s">
        <v>6436</v>
      </c>
      <c r="L117" s="265" t="s">
        <v>6437</v>
      </c>
      <c r="M117" s="264" t="s">
        <v>6438</v>
      </c>
      <c r="N117" s="263" t="s">
        <v>6439</v>
      </c>
      <c r="O117" s="263" t="s">
        <v>6440</v>
      </c>
      <c r="P117" s="263" t="s">
        <v>6441</v>
      </c>
    </row>
    <row r="118" spans="1:16" s="217" customFormat="1" ht="13.5" thickBot="1">
      <c r="A118" s="262" t="s">
        <v>6529</v>
      </c>
      <c r="B118" s="1845" t="s">
        <v>6530</v>
      </c>
      <c r="C118" s="1846"/>
      <c r="D118" s="249"/>
      <c r="E118" s="1849"/>
      <c r="F118" s="261"/>
      <c r="G118" s="260"/>
      <c r="H118" s="1848"/>
      <c r="I118" s="260"/>
      <c r="J118" s="1848"/>
      <c r="K118" s="260"/>
      <c r="L118" s="1848"/>
      <c r="M118" s="260"/>
      <c r="N118" s="1848"/>
      <c r="O118" s="260"/>
      <c r="P118" s="1848"/>
    </row>
    <row r="119" spans="1:16" s="217" customFormat="1" ht="13.5" thickBot="1">
      <c r="A119" s="259"/>
      <c r="B119" s="258" t="s">
        <v>6486</v>
      </c>
      <c r="C119" s="257"/>
      <c r="D119" s="257"/>
      <c r="E119" s="256"/>
      <c r="F119" s="255"/>
      <c r="G119" s="254"/>
      <c r="H119" s="253"/>
      <c r="I119" s="254"/>
      <c r="J119" s="253"/>
      <c r="K119" s="254"/>
      <c r="L119" s="253"/>
      <c r="M119" s="254"/>
      <c r="N119" s="253"/>
      <c r="O119" s="254"/>
      <c r="P119" s="253"/>
    </row>
    <row r="120" spans="1:16" s="241" customFormat="1" ht="13">
      <c r="A120" s="247"/>
      <c r="B120" s="1964"/>
      <c r="C120" s="252"/>
      <c r="D120" s="278"/>
      <c r="E120" s="285"/>
      <c r="F120" s="1965"/>
      <c r="G120" s="279"/>
      <c r="H120" s="1966"/>
      <c r="I120" s="279"/>
      <c r="J120" s="1966"/>
      <c r="K120" s="279"/>
      <c r="L120" s="1966"/>
      <c r="M120" s="279"/>
      <c r="N120" s="1966"/>
      <c r="O120" s="279"/>
      <c r="P120" s="1966"/>
    </row>
    <row r="121" spans="1:16" s="241" customFormat="1" ht="13">
      <c r="A121" s="284" t="s">
        <v>6531</v>
      </c>
      <c r="B121" s="1949" t="s">
        <v>6532</v>
      </c>
      <c r="C121" s="252"/>
      <c r="D121" s="278"/>
      <c r="E121" s="282"/>
      <c r="F121" s="1965"/>
      <c r="G121" s="279"/>
      <c r="H121" s="1966"/>
      <c r="I121" s="279"/>
      <c r="J121" s="1966"/>
      <c r="K121" s="279"/>
      <c r="L121" s="1966"/>
      <c r="M121" s="279"/>
      <c r="N121" s="1966"/>
      <c r="O121" s="279"/>
      <c r="P121" s="1966"/>
    </row>
    <row r="122" spans="1:16" s="241" customFormat="1" ht="14.5">
      <c r="A122" s="247"/>
      <c r="B122" s="1949" t="s">
        <v>6533</v>
      </c>
      <c r="C122" s="252" t="s">
        <v>6534</v>
      </c>
      <c r="D122" s="278" t="s">
        <v>6531</v>
      </c>
      <c r="E122" s="283">
        <v>1</v>
      </c>
      <c r="F122" s="1965"/>
      <c r="G122" s="276"/>
      <c r="H122" s="1966"/>
      <c r="I122" s="276"/>
      <c r="J122" s="1966"/>
      <c r="K122" s="276"/>
      <c r="L122" s="1966"/>
      <c r="M122" s="276"/>
      <c r="N122" s="1966"/>
      <c r="O122" s="276"/>
      <c r="P122" s="1966"/>
    </row>
    <row r="123" spans="1:16" s="241" customFormat="1" ht="14.5">
      <c r="A123" s="247"/>
      <c r="B123" s="1949" t="s">
        <v>6535</v>
      </c>
      <c r="C123" s="252" t="s">
        <v>6536</v>
      </c>
      <c r="D123" s="278" t="s">
        <v>6531</v>
      </c>
      <c r="E123" s="283">
        <v>1</v>
      </c>
      <c r="F123" s="1965"/>
      <c r="G123" s="276"/>
      <c r="H123" s="1966"/>
      <c r="I123" s="276"/>
      <c r="J123" s="1966"/>
      <c r="K123" s="276"/>
      <c r="L123" s="1966"/>
      <c r="M123" s="276"/>
      <c r="N123" s="1966"/>
      <c r="O123" s="276"/>
      <c r="P123" s="1966"/>
    </row>
    <row r="124" spans="1:16" s="241" customFormat="1" ht="14.5">
      <c r="A124" s="247"/>
      <c r="B124" s="1949" t="s">
        <v>6537</v>
      </c>
      <c r="C124" s="252" t="s">
        <v>6538</v>
      </c>
      <c r="D124" s="278" t="s">
        <v>6531</v>
      </c>
      <c r="E124" s="283">
        <v>1</v>
      </c>
      <c r="F124" s="1965"/>
      <c r="G124" s="279"/>
      <c r="H124" s="1966"/>
      <c r="I124" s="279"/>
      <c r="J124" s="1966"/>
      <c r="K124" s="279"/>
      <c r="L124" s="1966"/>
      <c r="M124" s="279"/>
      <c r="N124" s="1966"/>
      <c r="O124" s="279"/>
      <c r="P124" s="1966"/>
    </row>
    <row r="125" spans="1:16" s="241" customFormat="1" ht="14.5">
      <c r="A125" s="247"/>
      <c r="B125" s="1949" t="s">
        <v>6539</v>
      </c>
      <c r="C125" s="252" t="s">
        <v>6540</v>
      </c>
      <c r="D125" s="278" t="s">
        <v>6531</v>
      </c>
      <c r="E125" s="283">
        <v>1</v>
      </c>
      <c r="F125" s="1965"/>
      <c r="G125" s="276"/>
      <c r="H125" s="1966"/>
      <c r="I125" s="276"/>
      <c r="J125" s="1966"/>
      <c r="K125" s="276"/>
      <c r="L125" s="1966"/>
      <c r="M125" s="276"/>
      <c r="N125" s="1966"/>
      <c r="O125" s="276"/>
      <c r="P125" s="1966"/>
    </row>
    <row r="126" spans="1:16" s="241" customFormat="1" ht="13">
      <c r="A126" s="247"/>
      <c r="B126" s="1949" t="s">
        <v>6541</v>
      </c>
      <c r="C126" s="252" t="s">
        <v>6542</v>
      </c>
      <c r="D126" s="278" t="s">
        <v>6531</v>
      </c>
      <c r="E126" s="282">
        <v>1</v>
      </c>
      <c r="F126" s="1965"/>
      <c r="G126" s="276"/>
      <c r="H126" s="1966"/>
      <c r="I126" s="276"/>
      <c r="J126" s="1966"/>
      <c r="K126" s="276"/>
      <c r="L126" s="1966"/>
      <c r="M126" s="276"/>
      <c r="N126" s="1966"/>
      <c r="O126" s="276"/>
      <c r="P126" s="1966"/>
    </row>
    <row r="127" spans="1:16" s="241" customFormat="1" ht="16" thickBot="1">
      <c r="A127" s="247"/>
      <c r="B127" s="1949"/>
      <c r="C127" s="252"/>
      <c r="D127" s="281"/>
      <c r="E127" s="1967"/>
      <c r="F127" s="1967"/>
      <c r="G127" s="1858"/>
      <c r="H127" s="1958"/>
      <c r="I127" s="1858"/>
      <c r="J127" s="1958"/>
      <c r="K127" s="1858"/>
      <c r="L127" s="1958"/>
      <c r="M127" s="1858"/>
      <c r="N127" s="1958"/>
      <c r="O127" s="1858"/>
      <c r="P127" s="1958"/>
    </row>
    <row r="128" spans="1:16" s="241" customFormat="1" ht="13.5" thickBot="1">
      <c r="A128" s="259"/>
      <c r="B128" s="258" t="s">
        <v>6543</v>
      </c>
      <c r="C128" s="257"/>
      <c r="D128" s="257"/>
      <c r="E128" s="256"/>
      <c r="F128" s="255"/>
      <c r="G128" s="254"/>
      <c r="H128" s="253"/>
      <c r="I128" s="254"/>
      <c r="J128" s="253"/>
      <c r="K128" s="254"/>
      <c r="L128" s="253"/>
      <c r="M128" s="254"/>
      <c r="N128" s="253"/>
      <c r="O128" s="254"/>
      <c r="P128" s="253"/>
    </row>
    <row r="129" spans="1:16" s="241" customFormat="1" ht="13">
      <c r="A129" s="247"/>
      <c r="B129" s="1964"/>
      <c r="C129" s="252"/>
      <c r="D129" s="252"/>
      <c r="E129" s="1968"/>
      <c r="F129" s="1965"/>
      <c r="G129" s="279"/>
      <c r="H129" s="1966"/>
      <c r="I129" s="279"/>
      <c r="J129" s="1966"/>
      <c r="K129" s="279"/>
      <c r="L129" s="1966"/>
      <c r="M129" s="279"/>
      <c r="N129" s="1966"/>
      <c r="O129" s="279"/>
      <c r="P129" s="1966"/>
    </row>
    <row r="130" spans="1:16" s="241" customFormat="1" ht="13">
      <c r="A130" s="247" t="s">
        <v>6544</v>
      </c>
      <c r="B130" s="1959" t="s">
        <v>6545</v>
      </c>
      <c r="C130" s="252"/>
      <c r="D130" s="252"/>
      <c r="E130" s="1968"/>
      <c r="F130" s="1965"/>
      <c r="G130" s="276"/>
      <c r="H130" s="1966"/>
      <c r="I130" s="276"/>
      <c r="J130" s="1966"/>
      <c r="K130" s="276"/>
      <c r="L130" s="1966"/>
      <c r="M130" s="276"/>
      <c r="N130" s="1966"/>
      <c r="O130" s="276"/>
      <c r="P130" s="1966"/>
    </row>
    <row r="131" spans="1:16" s="241" customFormat="1" ht="14.5">
      <c r="A131" s="247"/>
      <c r="B131" s="1959" t="s">
        <v>6546</v>
      </c>
      <c r="C131" s="252" t="s">
        <v>6547</v>
      </c>
      <c r="D131" s="278" t="s">
        <v>6544</v>
      </c>
      <c r="E131" s="277">
        <v>1</v>
      </c>
      <c r="F131" s="1969" t="s">
        <v>3200</v>
      </c>
      <c r="G131" s="280">
        <v>2999412</v>
      </c>
      <c r="H131" s="1848">
        <f>$E131*G131</f>
        <v>2999412</v>
      </c>
      <c r="I131" s="280">
        <v>1240000</v>
      </c>
      <c r="J131" s="1848">
        <f>$E131*I131</f>
        <v>1240000</v>
      </c>
      <c r="K131" s="280">
        <v>1310900.49</v>
      </c>
      <c r="L131" s="1848">
        <f>$E131*K131</f>
        <v>1310900.49</v>
      </c>
      <c r="M131" s="242">
        <f>SUM($G131,$I131,$K131)/3</f>
        <v>1850104.1633333333</v>
      </c>
      <c r="N131" s="1848">
        <f>$M131-G131</f>
        <v>-1149307.8366666667</v>
      </c>
      <c r="O131" s="1848">
        <f>$M131-I131</f>
        <v>610104.16333333333</v>
      </c>
      <c r="P131" s="1848">
        <f>$M131-K131</f>
        <v>539203.67333333334</v>
      </c>
    </row>
    <row r="132" spans="1:16" s="241" customFormat="1" ht="14.5">
      <c r="A132" s="247"/>
      <c r="B132" s="1959" t="s">
        <v>6548</v>
      </c>
      <c r="C132" s="252" t="s">
        <v>6549</v>
      </c>
      <c r="D132" s="278" t="s">
        <v>6550</v>
      </c>
      <c r="E132" s="277">
        <v>1</v>
      </c>
      <c r="F132" s="1965"/>
      <c r="G132" s="279"/>
      <c r="H132" s="1966"/>
      <c r="I132" s="279"/>
      <c r="J132" s="1966"/>
      <c r="K132" s="279"/>
      <c r="L132" s="1966"/>
      <c r="M132" s="279"/>
      <c r="N132" s="1966"/>
      <c r="O132" s="279"/>
      <c r="P132" s="1966"/>
    </row>
    <row r="133" spans="1:16" s="241" customFormat="1" ht="14.5">
      <c r="A133" s="247"/>
      <c r="B133" s="1959" t="s">
        <v>6551</v>
      </c>
      <c r="C133" s="252" t="s">
        <v>6552</v>
      </c>
      <c r="D133" s="278" t="s">
        <v>6550</v>
      </c>
      <c r="E133" s="277">
        <v>1</v>
      </c>
      <c r="F133" s="1965"/>
      <c r="G133" s="276"/>
      <c r="H133" s="1966"/>
      <c r="I133" s="276"/>
      <c r="J133" s="1966"/>
      <c r="K133" s="276"/>
      <c r="L133" s="1966"/>
      <c r="M133" s="276"/>
      <c r="N133" s="1966"/>
      <c r="O133" s="276"/>
      <c r="P133" s="1966"/>
    </row>
    <row r="134" spans="1:16" s="241" customFormat="1" ht="14.5">
      <c r="A134" s="247"/>
      <c r="B134" s="1959" t="s">
        <v>6553</v>
      </c>
      <c r="C134" s="252" t="s">
        <v>6554</v>
      </c>
      <c r="D134" s="278" t="s">
        <v>6550</v>
      </c>
      <c r="E134" s="277">
        <v>1</v>
      </c>
      <c r="F134" s="1965"/>
      <c r="G134" s="276"/>
      <c r="H134" s="1966"/>
      <c r="I134" s="276"/>
      <c r="J134" s="1966"/>
      <c r="K134" s="276"/>
      <c r="L134" s="1966"/>
      <c r="M134" s="276"/>
      <c r="N134" s="1966"/>
      <c r="O134" s="276"/>
      <c r="P134" s="1966"/>
    </row>
    <row r="135" spans="1:16" s="241" customFormat="1" ht="13.5" thickBot="1">
      <c r="A135" s="247"/>
      <c r="B135" s="1964"/>
      <c r="C135" s="252"/>
      <c r="D135" s="252"/>
      <c r="E135" s="1968"/>
      <c r="F135" s="1965"/>
      <c r="G135" s="276"/>
      <c r="H135" s="1966"/>
      <c r="I135" s="276"/>
      <c r="J135" s="1966"/>
      <c r="K135" s="276"/>
      <c r="L135" s="1966"/>
      <c r="M135" s="276"/>
      <c r="N135" s="1966"/>
      <c r="O135" s="276"/>
      <c r="P135" s="1966"/>
    </row>
    <row r="136" spans="1:16" s="241" customFormat="1" ht="13.5" thickBot="1">
      <c r="A136" s="237"/>
      <c r="B136" s="236" t="s">
        <v>6555</v>
      </c>
      <c r="C136" s="235"/>
      <c r="D136" s="235"/>
      <c r="E136" s="233"/>
      <c r="F136" s="234"/>
      <c r="G136" s="233"/>
      <c r="H136" s="232">
        <f>SUM(H116:H135)</f>
        <v>2999412</v>
      </c>
      <c r="I136" s="233"/>
      <c r="J136" s="232">
        <f>SUM(J116:J135)</f>
        <v>1240000</v>
      </c>
      <c r="K136" s="233"/>
      <c r="L136" s="232">
        <f>SUM(L116:L135)</f>
        <v>1310900.49</v>
      </c>
      <c r="M136" s="232">
        <f>SUM(M116:M135)</f>
        <v>1850104.1633333333</v>
      </c>
      <c r="N136" s="232"/>
      <c r="O136" s="233"/>
      <c r="P136" s="232"/>
    </row>
    <row r="137" spans="1:16" s="241" customFormat="1" ht="16" thickBot="1">
      <c r="A137" s="2408"/>
      <c r="B137" s="2409"/>
      <c r="C137" s="2409"/>
      <c r="D137" s="2409"/>
      <c r="E137" s="2409"/>
      <c r="F137" s="2409"/>
      <c r="G137" s="2409"/>
      <c r="H137" s="2409"/>
      <c r="I137" s="2409"/>
      <c r="J137" s="2409"/>
      <c r="K137" s="2409"/>
      <c r="L137" s="2409"/>
      <c r="M137" s="2409"/>
      <c r="N137" s="2409"/>
      <c r="O137" s="2409"/>
      <c r="P137" s="2409"/>
    </row>
    <row r="138" spans="1:16" s="241" customFormat="1" ht="13.5" thickBot="1">
      <c r="A138" s="2403" t="s">
        <v>6556</v>
      </c>
      <c r="B138" s="2404"/>
      <c r="C138" s="2404"/>
      <c r="D138" s="2404"/>
      <c r="E138" s="2404"/>
      <c r="F138" s="2404"/>
      <c r="G138" s="2404"/>
      <c r="H138" s="2404"/>
      <c r="I138" s="2404"/>
      <c r="J138" s="2404"/>
      <c r="K138" s="2404"/>
      <c r="L138" s="2404"/>
      <c r="M138" s="2404"/>
      <c r="N138" s="2404"/>
      <c r="O138" s="2404"/>
      <c r="P138" s="2404"/>
    </row>
    <row r="139" spans="1:16" s="241" customFormat="1" ht="39.5" thickBot="1">
      <c r="A139" s="275" t="s">
        <v>6429</v>
      </c>
      <c r="B139" s="271" t="s">
        <v>21</v>
      </c>
      <c r="C139" s="274" t="s">
        <v>6430</v>
      </c>
      <c r="D139" s="273" t="s">
        <v>6431</v>
      </c>
      <c r="E139" s="272" t="s">
        <v>2944</v>
      </c>
      <c r="F139" s="271" t="s">
        <v>5604</v>
      </c>
      <c r="G139" s="270" t="s">
        <v>6432</v>
      </c>
      <c r="H139" s="269" t="s">
        <v>6433</v>
      </c>
      <c r="I139" s="268" t="s">
        <v>6434</v>
      </c>
      <c r="J139" s="267" t="s">
        <v>6435</v>
      </c>
      <c r="K139" s="266" t="s">
        <v>6436</v>
      </c>
      <c r="L139" s="265" t="s">
        <v>6437</v>
      </c>
      <c r="M139" s="264" t="s">
        <v>6438</v>
      </c>
      <c r="N139" s="263" t="s">
        <v>6439</v>
      </c>
      <c r="O139" s="263" t="s">
        <v>6440</v>
      </c>
      <c r="P139" s="263" t="s">
        <v>6441</v>
      </c>
    </row>
    <row r="140" spans="1:16" s="241" customFormat="1" ht="13.5" thickBot="1">
      <c r="A140" s="262" t="s">
        <v>6557</v>
      </c>
      <c r="B140" s="1845" t="s">
        <v>6558</v>
      </c>
      <c r="C140" s="1846"/>
      <c r="D140" s="249"/>
      <c r="E140" s="1849"/>
      <c r="F140" s="261"/>
      <c r="G140" s="260"/>
      <c r="H140" s="1848"/>
      <c r="I140" s="260"/>
      <c r="J140" s="1848"/>
      <c r="K140" s="260"/>
      <c r="L140" s="1848"/>
      <c r="M140" s="260"/>
      <c r="N140" s="1848"/>
      <c r="O140" s="260"/>
      <c r="P140" s="1848"/>
    </row>
    <row r="141" spans="1:16" s="241" customFormat="1" ht="13.5" thickBot="1">
      <c r="A141" s="259"/>
      <c r="B141" s="258" t="s">
        <v>6543</v>
      </c>
      <c r="C141" s="257"/>
      <c r="D141" s="257"/>
      <c r="E141" s="256"/>
      <c r="F141" s="255"/>
      <c r="G141" s="254"/>
      <c r="H141" s="253"/>
      <c r="I141" s="254"/>
      <c r="J141" s="253"/>
      <c r="K141" s="254"/>
      <c r="L141" s="253"/>
      <c r="M141" s="254"/>
      <c r="N141" s="253"/>
      <c r="O141" s="254"/>
      <c r="P141" s="253"/>
    </row>
    <row r="142" spans="1:16" s="241" customFormat="1" ht="13">
      <c r="A142" s="247"/>
      <c r="B142" s="1949"/>
      <c r="C142" s="252"/>
      <c r="D142" s="252"/>
      <c r="E142" s="1968"/>
      <c r="F142" s="1965"/>
      <c r="G142" s="248"/>
      <c r="H142" s="1961"/>
      <c r="I142" s="248"/>
      <c r="J142" s="1961"/>
      <c r="K142" s="248"/>
      <c r="L142" s="1961"/>
      <c r="M142" s="248"/>
      <c r="N142" s="1961"/>
      <c r="O142" s="248"/>
      <c r="P142" s="1961"/>
    </row>
    <row r="143" spans="1:16" s="241" customFormat="1" ht="13">
      <c r="A143" s="251" t="s">
        <v>6559</v>
      </c>
      <c r="B143" s="1960" t="s">
        <v>6560</v>
      </c>
      <c r="C143" s="250"/>
      <c r="D143" s="249"/>
      <c r="E143" s="1859"/>
      <c r="F143" s="1860"/>
      <c r="G143" s="248"/>
      <c r="H143" s="1961"/>
      <c r="I143" s="248"/>
      <c r="J143" s="1961"/>
      <c r="K143" s="248"/>
      <c r="L143" s="1961"/>
      <c r="M143" s="248"/>
      <c r="N143" s="1961"/>
      <c r="O143" s="248"/>
      <c r="P143" s="1961"/>
    </row>
    <row r="144" spans="1:16" s="241" customFormat="1" ht="14.5">
      <c r="A144" s="247"/>
      <c r="B144" s="1959" t="s">
        <v>6561</v>
      </c>
      <c r="C144" s="246">
        <v>7999</v>
      </c>
      <c r="D144" s="245">
        <v>4.0999999999999996</v>
      </c>
      <c r="E144" s="244">
        <v>206899</v>
      </c>
      <c r="F144" s="1860" t="s">
        <v>6467</v>
      </c>
      <c r="G144" s="243">
        <v>88.2</v>
      </c>
      <c r="H144" s="1848">
        <f>$E144*G144</f>
        <v>18248491.800000001</v>
      </c>
      <c r="I144" s="243">
        <v>129</v>
      </c>
      <c r="J144" s="1848">
        <f>$E144*I144</f>
        <v>26689971</v>
      </c>
      <c r="K144" s="1852">
        <v>134.91</v>
      </c>
      <c r="L144" s="1848">
        <f>$E144*K144</f>
        <v>27912744.09</v>
      </c>
      <c r="M144" s="242">
        <f>SUM($G144,$I144,$K144)/3</f>
        <v>117.37</v>
      </c>
      <c r="N144" s="1848">
        <f>$M144-G144</f>
        <v>29.17</v>
      </c>
      <c r="O144" s="1848">
        <f>$M144-I144</f>
        <v>-11.629999999999995</v>
      </c>
      <c r="P144" s="1848">
        <f>$M144-K144</f>
        <v>-17.539999999999992</v>
      </c>
    </row>
    <row r="145" spans="1:16" s="217" customFormat="1" ht="13">
      <c r="A145" s="240"/>
      <c r="B145" s="1970"/>
      <c r="C145" s="239"/>
      <c r="D145" s="239"/>
      <c r="E145" s="1971"/>
      <c r="F145" s="1972"/>
      <c r="G145" s="238"/>
      <c r="H145" s="1961"/>
      <c r="I145" s="238"/>
      <c r="J145" s="1961"/>
      <c r="K145" s="238"/>
      <c r="L145" s="1961"/>
      <c r="M145" s="238"/>
      <c r="N145" s="1961"/>
      <c r="O145" s="238"/>
      <c r="P145" s="1961"/>
    </row>
    <row r="146" spans="1:16" s="217" customFormat="1" ht="13.5" thickBot="1">
      <c r="A146" s="1973"/>
      <c r="B146" s="1974"/>
      <c r="C146" s="1975"/>
      <c r="D146" s="1975"/>
      <c r="E146" s="1861"/>
      <c r="F146" s="1976"/>
      <c r="G146" s="238"/>
      <c r="H146" s="1977"/>
      <c r="I146" s="238"/>
      <c r="J146" s="1977"/>
      <c r="K146" s="238"/>
      <c r="L146" s="1977"/>
      <c r="M146" s="238"/>
      <c r="N146" s="1977"/>
      <c r="O146" s="238"/>
      <c r="P146" s="1977"/>
    </row>
    <row r="147" spans="1:16" s="217" customFormat="1" ht="13.5" thickBot="1">
      <c r="A147" s="237"/>
      <c r="B147" s="236" t="s">
        <v>6562</v>
      </c>
      <c r="C147" s="235"/>
      <c r="D147" s="235"/>
      <c r="E147" s="233"/>
      <c r="F147" s="234"/>
      <c r="G147" s="233"/>
      <c r="H147" s="232">
        <f>SUM(H142:H146)</f>
        <v>18248491.800000001</v>
      </c>
      <c r="I147" s="233"/>
      <c r="J147" s="232">
        <f>SUM(J142:J146)</f>
        <v>26689971</v>
      </c>
      <c r="K147" s="233"/>
      <c r="L147" s="232">
        <f>SUM(L142:L146)</f>
        <v>27912744.09</v>
      </c>
      <c r="M147" s="232">
        <f>SUM(M142:M146)</f>
        <v>117.37</v>
      </c>
      <c r="N147" s="232"/>
      <c r="O147" s="233"/>
      <c r="P147" s="232"/>
    </row>
    <row r="148" spans="1:16" s="217" customFormat="1" ht="16" thickBot="1">
      <c r="A148" s="2408"/>
      <c r="B148" s="2409"/>
      <c r="C148" s="2409"/>
      <c r="D148" s="2409"/>
      <c r="E148" s="2409"/>
      <c r="F148" s="2409"/>
      <c r="G148" s="2409"/>
      <c r="H148" s="2409"/>
      <c r="I148" s="2409"/>
      <c r="J148" s="2409"/>
      <c r="K148" s="2409"/>
      <c r="L148" s="2409"/>
      <c r="M148" s="2409"/>
      <c r="N148" s="2409"/>
      <c r="O148" s="2409"/>
      <c r="P148" s="2409"/>
    </row>
    <row r="149" spans="1:16" s="217" customFormat="1" ht="16" thickBot="1">
      <c r="A149" s="2411"/>
      <c r="B149" s="2412"/>
      <c r="C149" s="2412"/>
      <c r="D149" s="2412"/>
      <c r="E149" s="2412"/>
      <c r="F149" s="2412"/>
      <c r="G149" s="2412"/>
      <c r="H149" s="2412"/>
      <c r="I149" s="2412"/>
      <c r="J149" s="2412"/>
      <c r="K149" s="2412"/>
      <c r="L149" s="2412"/>
      <c r="M149" s="2412"/>
      <c r="N149" s="2412"/>
      <c r="O149" s="2412"/>
      <c r="P149" s="2412"/>
    </row>
    <row r="150" spans="1:16" s="217" customFormat="1" ht="20.5" thickBot="1">
      <c r="A150" s="231"/>
      <c r="B150" s="230" t="s">
        <v>6563</v>
      </c>
      <c r="C150" s="229"/>
      <c r="D150" s="229"/>
      <c r="E150" s="228"/>
      <c r="F150" s="227"/>
      <c r="G150" s="225"/>
      <c r="H150" s="226">
        <f>SUM(H17,H114,H136,H147)</f>
        <v>120481029.15999998</v>
      </c>
      <c r="I150" s="226"/>
      <c r="J150" s="226">
        <f>SUM(J17,J114,J136,J147)</f>
        <v>117745457</v>
      </c>
      <c r="K150" s="226"/>
      <c r="L150" s="226">
        <f>SUM(L17,L114,L136,L147)</f>
        <v>118287476.30000001</v>
      </c>
      <c r="M150" s="226"/>
      <c r="N150" s="226"/>
      <c r="O150" s="225"/>
      <c r="P150" s="224"/>
    </row>
    <row r="151" spans="1:16" s="217" customFormat="1" ht="13.5" thickBot="1">
      <c r="A151" s="223"/>
      <c r="B151" s="222"/>
      <c r="C151" s="221"/>
      <c r="D151" s="221"/>
      <c r="E151" s="220"/>
      <c r="F151" s="220"/>
      <c r="G151" s="219"/>
      <c r="H151" s="218"/>
      <c r="I151" s="219"/>
      <c r="J151" s="218"/>
      <c r="K151" s="219"/>
      <c r="L151" s="218"/>
      <c r="M151" s="219"/>
      <c r="N151" s="218"/>
      <c r="O151" s="219"/>
      <c r="P151" s="218"/>
    </row>
    <row r="152" spans="1:16" s="217" customFormat="1" ht="13">
      <c r="A152" s="2413"/>
      <c r="B152" s="2413"/>
      <c r="C152" s="2413"/>
      <c r="D152" s="2413"/>
      <c r="E152" s="2413"/>
      <c r="F152" s="2413"/>
      <c r="G152" s="2413"/>
      <c r="H152" s="2413"/>
      <c r="I152" s="2413"/>
      <c r="J152" s="2413"/>
      <c r="K152" s="2413"/>
      <c r="L152" s="2413"/>
      <c r="M152" s="2413"/>
      <c r="N152" s="2413"/>
      <c r="O152" s="2413"/>
      <c r="P152" s="2413"/>
    </row>
    <row r="153" spans="1:16">
      <c r="A153" s="2410"/>
      <c r="B153" s="2410"/>
      <c r="C153" s="2410"/>
      <c r="D153" s="2410"/>
      <c r="E153" s="2410"/>
      <c r="F153" s="2410"/>
      <c r="G153" s="2410"/>
      <c r="H153" s="2410"/>
      <c r="I153" s="2410"/>
      <c r="J153" s="2410"/>
      <c r="K153" s="2410"/>
      <c r="L153" s="2410"/>
      <c r="M153" s="2410"/>
      <c r="N153" s="2410"/>
      <c r="O153" s="2410"/>
      <c r="P153" s="2410"/>
    </row>
  </sheetData>
  <mergeCells count="12">
    <mergeCell ref="A153:P153"/>
    <mergeCell ref="A137:P137"/>
    <mergeCell ref="A138:P138"/>
    <mergeCell ref="A148:P148"/>
    <mergeCell ref="A149:P149"/>
    <mergeCell ref="A152:P152"/>
    <mergeCell ref="A116:P116"/>
    <mergeCell ref="A1:P3"/>
    <mergeCell ref="A8:P8"/>
    <mergeCell ref="A18:P18"/>
    <mergeCell ref="A19:P19"/>
    <mergeCell ref="A115:P115"/>
  </mergeCells>
  <printOptions horizontalCentered="1"/>
  <pageMargins left="0.511811023622047" right="0.511811023622047" top="0.511811023622047" bottom="0.74803149606299202" header="0" footer="0.23622047244094499"/>
  <pageSetup paperSize="17" scale="75" fitToHeight="7" orientation="landscape" r:id="rId1"/>
  <headerFooter alignWithMargins="0">
    <oddFooter>&amp;LPrinted: &amp;D, &amp;T&amp;R&amp;A, Rev  0
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dimension ref="A1:I56"/>
  <sheetViews>
    <sheetView topLeftCell="A23" workbookViewId="0">
      <selection activeCell="A11" sqref="A11"/>
    </sheetView>
  </sheetViews>
  <sheetFormatPr defaultColWidth="9.1796875" defaultRowHeight="14.5"/>
  <cols>
    <col min="4" max="4" width="16.81640625" customWidth="1"/>
    <col min="5" max="5" width="44.54296875" bestFit="1" customWidth="1"/>
    <col min="6" max="6" width="11.1796875" bestFit="1" customWidth="1"/>
    <col min="8" max="8" width="14.1796875" customWidth="1"/>
    <col min="9" max="9" width="55.26953125" customWidth="1"/>
  </cols>
  <sheetData>
    <row r="1" spans="1:9">
      <c r="A1" s="978" t="s">
        <v>6564</v>
      </c>
      <c r="B1" s="979" t="s">
        <v>6565</v>
      </c>
      <c r="C1" s="979" t="s">
        <v>6566</v>
      </c>
      <c r="D1" s="979" t="s">
        <v>6567</v>
      </c>
      <c r="E1" s="978" t="s">
        <v>21</v>
      </c>
      <c r="F1" s="980" t="s">
        <v>5969</v>
      </c>
      <c r="G1" s="979" t="s">
        <v>24</v>
      </c>
      <c r="H1" s="1978" t="s">
        <v>5967</v>
      </c>
      <c r="I1" s="978" t="s">
        <v>5688</v>
      </c>
    </row>
    <row r="2" spans="1:9">
      <c r="A2" s="981" t="s">
        <v>5976</v>
      </c>
      <c r="B2" s="981" t="s">
        <v>5976</v>
      </c>
      <c r="C2" s="981" t="s">
        <v>5976</v>
      </c>
      <c r="D2" s="983" t="s">
        <v>568</v>
      </c>
      <c r="E2" s="982" t="s">
        <v>6568</v>
      </c>
      <c r="F2" s="988">
        <f>14940</f>
        <v>14940</v>
      </c>
      <c r="G2" s="970" t="s">
        <v>6569</v>
      </c>
      <c r="H2" s="983" t="s">
        <v>5976</v>
      </c>
      <c r="I2" s="2414" t="s">
        <v>6570</v>
      </c>
    </row>
    <row r="3" spans="1:9">
      <c r="A3" s="981" t="s">
        <v>5976</v>
      </c>
      <c r="B3" s="981" t="s">
        <v>5976</v>
      </c>
      <c r="C3" s="981" t="s">
        <v>5976</v>
      </c>
      <c r="D3" s="983" t="s">
        <v>574</v>
      </c>
      <c r="E3" s="982" t="s">
        <v>6571</v>
      </c>
      <c r="F3" s="988">
        <f>3600</f>
        <v>3600</v>
      </c>
      <c r="G3" s="970" t="s">
        <v>6569</v>
      </c>
      <c r="H3" s="983" t="s">
        <v>5976</v>
      </c>
      <c r="I3" s="2414"/>
    </row>
    <row r="4" spans="1:9">
      <c r="A4" s="981" t="s">
        <v>5976</v>
      </c>
      <c r="B4" s="981" t="s">
        <v>5976</v>
      </c>
      <c r="C4" s="981" t="s">
        <v>5976</v>
      </c>
      <c r="D4" s="983" t="s">
        <v>571</v>
      </c>
      <c r="E4" s="982" t="s">
        <v>6572</v>
      </c>
      <c r="F4" s="988">
        <f>4560</f>
        <v>4560</v>
      </c>
      <c r="G4" s="970" t="s">
        <v>6569</v>
      </c>
      <c r="H4" s="983" t="s">
        <v>5976</v>
      </c>
      <c r="I4" s="2414"/>
    </row>
    <row r="5" spans="1:9">
      <c r="A5" s="981" t="s">
        <v>5976</v>
      </c>
      <c r="B5" s="981" t="s">
        <v>5976</v>
      </c>
      <c r="C5" s="981" t="s">
        <v>5976</v>
      </c>
      <c r="D5" s="983" t="s">
        <v>461</v>
      </c>
      <c r="E5" s="982" t="s">
        <v>5779</v>
      </c>
      <c r="F5" s="988">
        <f>6583</f>
        <v>6583</v>
      </c>
      <c r="G5" s="970" t="s">
        <v>6569</v>
      </c>
      <c r="H5" s="983" t="s">
        <v>5976</v>
      </c>
      <c r="I5" s="2414"/>
    </row>
    <row r="6" spans="1:9">
      <c r="A6" s="981" t="s">
        <v>5976</v>
      </c>
      <c r="B6" s="981" t="s">
        <v>5976</v>
      </c>
      <c r="C6" s="981" t="s">
        <v>5976</v>
      </c>
      <c r="D6" s="983" t="s">
        <v>464</v>
      </c>
      <c r="E6" s="982" t="s">
        <v>5782</v>
      </c>
      <c r="F6" s="988">
        <v>0</v>
      </c>
      <c r="G6" s="970" t="s">
        <v>6569</v>
      </c>
      <c r="H6" s="983" t="s">
        <v>5976</v>
      </c>
      <c r="I6" s="2414"/>
    </row>
    <row r="7" spans="1:9">
      <c r="A7" s="981" t="s">
        <v>5976</v>
      </c>
      <c r="B7" s="981" t="s">
        <v>5976</v>
      </c>
      <c r="C7" s="981" t="s">
        <v>5976</v>
      </c>
      <c r="D7" s="983" t="s">
        <v>467</v>
      </c>
      <c r="E7" s="982" t="s">
        <v>5783</v>
      </c>
      <c r="F7" s="988">
        <f>6583</f>
        <v>6583</v>
      </c>
      <c r="G7" s="970" t="s">
        <v>6569</v>
      </c>
      <c r="H7" s="983" t="s">
        <v>5976</v>
      </c>
      <c r="I7" s="2414"/>
    </row>
    <row r="8" spans="1:9">
      <c r="A8" s="981" t="s">
        <v>5976</v>
      </c>
      <c r="B8" s="981" t="s">
        <v>5976</v>
      </c>
      <c r="C8" s="981" t="s">
        <v>5976</v>
      </c>
      <c r="D8" s="983" t="s">
        <v>470</v>
      </c>
      <c r="E8" s="982" t="s">
        <v>5784</v>
      </c>
      <c r="F8" s="988">
        <f>6583</f>
        <v>6583</v>
      </c>
      <c r="G8" s="970" t="s">
        <v>6569</v>
      </c>
      <c r="H8" s="983" t="s">
        <v>5976</v>
      </c>
      <c r="I8" s="2414"/>
    </row>
    <row r="9" spans="1:9">
      <c r="A9" s="981" t="s">
        <v>5976</v>
      </c>
      <c r="B9" s="981" t="s">
        <v>5976</v>
      </c>
      <c r="C9" s="981" t="s">
        <v>5976</v>
      </c>
      <c r="D9" s="983" t="s">
        <v>1029</v>
      </c>
      <c r="E9" s="982" t="s">
        <v>5841</v>
      </c>
      <c r="F9" s="988">
        <v>640</v>
      </c>
      <c r="G9" s="970" t="s">
        <v>6569</v>
      </c>
      <c r="H9" s="983" t="s">
        <v>5976</v>
      </c>
      <c r="I9" s="2414"/>
    </row>
    <row r="10" spans="1:9">
      <c r="A10" s="981" t="s">
        <v>5976</v>
      </c>
      <c r="B10" s="981" t="s">
        <v>5976</v>
      </c>
      <c r="C10" s="981" t="s">
        <v>5976</v>
      </c>
      <c r="D10" s="983" t="s">
        <v>1032</v>
      </c>
      <c r="E10" s="982" t="s">
        <v>5843</v>
      </c>
      <c r="F10" s="988">
        <v>400</v>
      </c>
      <c r="G10" s="970" t="s">
        <v>6569</v>
      </c>
      <c r="H10" s="983" t="s">
        <v>5976</v>
      </c>
      <c r="I10" s="2414"/>
    </row>
    <row r="11" spans="1:9">
      <c r="A11" s="981" t="s">
        <v>5976</v>
      </c>
      <c r="B11" s="981" t="s">
        <v>5976</v>
      </c>
      <c r="C11" s="981" t="s">
        <v>5976</v>
      </c>
      <c r="D11" s="983" t="s">
        <v>548</v>
      </c>
      <c r="E11" s="982" t="s">
        <v>5785</v>
      </c>
      <c r="F11" s="988">
        <f>960</f>
        <v>960</v>
      </c>
      <c r="G11" s="970" t="s">
        <v>6569</v>
      </c>
      <c r="H11" s="983" t="s">
        <v>5976</v>
      </c>
      <c r="I11" s="2414"/>
    </row>
    <row r="12" spans="1:9">
      <c r="A12" s="981" t="s">
        <v>5976</v>
      </c>
      <c r="B12" s="981" t="s">
        <v>5976</v>
      </c>
      <c r="C12" s="981" t="s">
        <v>5976</v>
      </c>
      <c r="D12" s="983" t="s">
        <v>521</v>
      </c>
      <c r="E12" s="982" t="s">
        <v>5790</v>
      </c>
      <c r="F12" s="988">
        <f>3000</f>
        <v>3000</v>
      </c>
      <c r="G12" s="970" t="s">
        <v>6569</v>
      </c>
      <c r="H12" s="983" t="s">
        <v>5976</v>
      </c>
      <c r="I12" s="2414"/>
    </row>
    <row r="13" spans="1:9">
      <c r="A13" s="981"/>
      <c r="B13" s="981"/>
      <c r="C13" s="981"/>
      <c r="D13" s="983" t="s">
        <v>982</v>
      </c>
      <c r="E13" s="982" t="s">
        <v>5837</v>
      </c>
      <c r="F13" s="988">
        <f>320</f>
        <v>320</v>
      </c>
      <c r="G13" s="970" t="s">
        <v>6569</v>
      </c>
      <c r="H13" s="983" t="s">
        <v>5976</v>
      </c>
      <c r="I13" s="2414"/>
    </row>
    <row r="14" spans="1:9">
      <c r="A14" s="981"/>
      <c r="B14" s="981"/>
      <c r="C14" s="981"/>
      <c r="D14" s="983" t="s">
        <v>971</v>
      </c>
      <c r="E14" s="982" t="s">
        <v>978</v>
      </c>
      <c r="F14" s="988">
        <f>1920</f>
        <v>1920</v>
      </c>
      <c r="G14" s="970" t="s">
        <v>6569</v>
      </c>
      <c r="H14" s="983" t="s">
        <v>5976</v>
      </c>
      <c r="I14" s="2414"/>
    </row>
    <row r="15" spans="1:9">
      <c r="A15" s="981"/>
      <c r="B15" s="981"/>
      <c r="C15" s="981"/>
      <c r="D15" s="983" t="s">
        <v>1001</v>
      </c>
      <c r="E15" s="982" t="s">
        <v>998</v>
      </c>
      <c r="F15" s="988">
        <f>600</f>
        <v>600</v>
      </c>
      <c r="G15" s="970" t="s">
        <v>6569</v>
      </c>
      <c r="H15" s="983" t="s">
        <v>5976</v>
      </c>
      <c r="I15" s="2414"/>
    </row>
    <row r="16" spans="1:9">
      <c r="A16" s="981"/>
      <c r="B16" s="981"/>
      <c r="C16" s="981"/>
      <c r="D16" s="983" t="s">
        <v>926</v>
      </c>
      <c r="E16" s="982" t="s">
        <v>5835</v>
      </c>
      <c r="F16" s="988">
        <f>4200</f>
        <v>4200</v>
      </c>
      <c r="G16" s="970" t="s">
        <v>6569</v>
      </c>
      <c r="H16" s="983" t="s">
        <v>5976</v>
      </c>
      <c r="I16" s="2414"/>
    </row>
    <row r="17" spans="1:9" ht="15" customHeight="1">
      <c r="A17" s="981"/>
      <c r="B17" s="981"/>
      <c r="C17" s="981"/>
      <c r="D17" s="983" t="s">
        <v>793</v>
      </c>
      <c r="E17" s="982" t="s">
        <v>5819</v>
      </c>
      <c r="F17" s="988">
        <f>4800</f>
        <v>4800</v>
      </c>
      <c r="G17" s="970" t="s">
        <v>6569</v>
      </c>
      <c r="H17" s="983" t="s">
        <v>5976</v>
      </c>
      <c r="I17" s="2414"/>
    </row>
    <row r="18" spans="1:9">
      <c r="A18" s="981" t="s">
        <v>5976</v>
      </c>
      <c r="B18" s="981" t="s">
        <v>5976</v>
      </c>
      <c r="C18" s="981" t="s">
        <v>5976</v>
      </c>
      <c r="D18" s="983" t="s">
        <v>804</v>
      </c>
      <c r="E18" s="982" t="s">
        <v>5821</v>
      </c>
      <c r="F18" s="988">
        <f>560</f>
        <v>560</v>
      </c>
      <c r="G18" s="970" t="s">
        <v>6569</v>
      </c>
      <c r="H18" s="983" t="s">
        <v>5976</v>
      </c>
      <c r="I18" s="2414"/>
    </row>
    <row r="19" spans="1:9" ht="15" customHeight="1">
      <c r="A19" s="981" t="s">
        <v>5976</v>
      </c>
      <c r="B19" s="981" t="s">
        <v>5976</v>
      </c>
      <c r="C19" s="981" t="s">
        <v>5976</v>
      </c>
      <c r="D19" s="172" t="s">
        <v>1505</v>
      </c>
      <c r="E19" s="172" t="s">
        <v>5904</v>
      </c>
      <c r="F19" s="988">
        <v>3600</v>
      </c>
      <c r="G19" s="983" t="s">
        <v>6569</v>
      </c>
      <c r="H19" s="983" t="s">
        <v>5976</v>
      </c>
      <c r="I19" s="2415" t="s">
        <v>6570</v>
      </c>
    </row>
    <row r="20" spans="1:9">
      <c r="A20" s="981" t="s">
        <v>5976</v>
      </c>
      <c r="B20" s="981" t="s">
        <v>5976</v>
      </c>
      <c r="C20" s="981" t="s">
        <v>5976</v>
      </c>
      <c r="D20" s="172" t="s">
        <v>1668</v>
      </c>
      <c r="E20" s="172" t="s">
        <v>5768</v>
      </c>
      <c r="F20" s="988">
        <v>19980</v>
      </c>
      <c r="G20" s="970" t="s">
        <v>6569</v>
      </c>
      <c r="H20" s="983" t="s">
        <v>5976</v>
      </c>
      <c r="I20" s="2416"/>
    </row>
    <row r="21" spans="1:9">
      <c r="A21" s="981" t="s">
        <v>5976</v>
      </c>
      <c r="B21" s="981" t="s">
        <v>5976</v>
      </c>
      <c r="C21" s="981" t="s">
        <v>5976</v>
      </c>
      <c r="D21" s="172" t="s">
        <v>1670</v>
      </c>
      <c r="E21" s="172" t="s">
        <v>5773</v>
      </c>
      <c r="F21" s="988">
        <v>6540</v>
      </c>
      <c r="G21" s="970" t="s">
        <v>6569</v>
      </c>
      <c r="H21" s="983" t="s">
        <v>5976</v>
      </c>
      <c r="I21" s="2416"/>
    </row>
    <row r="22" spans="1:9">
      <c r="A22" s="981" t="s">
        <v>5976</v>
      </c>
      <c r="B22" s="981" t="s">
        <v>5976</v>
      </c>
      <c r="C22" s="981" t="s">
        <v>5976</v>
      </c>
      <c r="D22" s="172" t="s">
        <v>1672</v>
      </c>
      <c r="E22" s="172" t="s">
        <v>5778</v>
      </c>
      <c r="F22" s="988">
        <v>4560</v>
      </c>
      <c r="G22" s="970" t="s">
        <v>6569</v>
      </c>
      <c r="H22" s="983" t="s">
        <v>5976</v>
      </c>
      <c r="I22" s="2416"/>
    </row>
    <row r="23" spans="1:9">
      <c r="A23" s="981" t="s">
        <v>5976</v>
      </c>
      <c r="B23" s="981" t="s">
        <v>5976</v>
      </c>
      <c r="C23" s="981" t="s">
        <v>5976</v>
      </c>
      <c r="D23" s="172" t="s">
        <v>1675</v>
      </c>
      <c r="E23" s="172" t="s">
        <v>5913</v>
      </c>
      <c r="F23" s="988">
        <v>3360</v>
      </c>
      <c r="G23" s="970" t="s">
        <v>6569</v>
      </c>
      <c r="H23" s="983" t="s">
        <v>5976</v>
      </c>
      <c r="I23" s="2416"/>
    </row>
    <row r="24" spans="1:9">
      <c r="A24" s="981" t="s">
        <v>5976</v>
      </c>
      <c r="B24" s="981" t="s">
        <v>5976</v>
      </c>
      <c r="C24" s="981" t="s">
        <v>5976</v>
      </c>
      <c r="D24" s="172" t="s">
        <v>1549</v>
      </c>
      <c r="E24" s="172" t="s">
        <v>5914</v>
      </c>
      <c r="F24" s="988">
        <v>6583</v>
      </c>
      <c r="G24" s="970" t="s">
        <v>6569</v>
      </c>
      <c r="H24" s="983" t="s">
        <v>5976</v>
      </c>
      <c r="I24" s="2416"/>
    </row>
    <row r="25" spans="1:9">
      <c r="A25" s="981" t="s">
        <v>5976</v>
      </c>
      <c r="B25" s="981" t="s">
        <v>5976</v>
      </c>
      <c r="C25" s="981" t="s">
        <v>5976</v>
      </c>
      <c r="D25" s="172" t="s">
        <v>1552</v>
      </c>
      <c r="E25" s="172" t="s">
        <v>5915</v>
      </c>
      <c r="F25" s="988">
        <v>6583</v>
      </c>
      <c r="G25" s="970" t="s">
        <v>6569</v>
      </c>
      <c r="H25" s="983" t="s">
        <v>5976</v>
      </c>
      <c r="I25" s="2416"/>
    </row>
    <row r="26" spans="1:9">
      <c r="A26" s="981" t="s">
        <v>5976</v>
      </c>
      <c r="B26" s="981" t="s">
        <v>5976</v>
      </c>
      <c r="C26" s="981" t="s">
        <v>5976</v>
      </c>
      <c r="D26" s="172" t="s">
        <v>1555</v>
      </c>
      <c r="E26" s="172" t="s">
        <v>5916</v>
      </c>
      <c r="F26" s="988">
        <v>6583</v>
      </c>
      <c r="G26" s="970" t="s">
        <v>6569</v>
      </c>
      <c r="H26" s="983" t="s">
        <v>5976</v>
      </c>
      <c r="I26" s="2416"/>
    </row>
    <row r="27" spans="1:9">
      <c r="A27" s="981" t="s">
        <v>5976</v>
      </c>
      <c r="B27" s="981" t="s">
        <v>5976</v>
      </c>
      <c r="C27" s="981" t="s">
        <v>5976</v>
      </c>
      <c r="D27" s="172" t="s">
        <v>1558</v>
      </c>
      <c r="E27" s="172" t="s">
        <v>5917</v>
      </c>
      <c r="F27" s="988">
        <v>6583</v>
      </c>
      <c r="G27" s="970" t="s">
        <v>6569</v>
      </c>
      <c r="H27" s="983" t="s">
        <v>5976</v>
      </c>
      <c r="I27" s="2416"/>
    </row>
    <row r="28" spans="1:9">
      <c r="A28" s="981" t="s">
        <v>5976</v>
      </c>
      <c r="B28" s="981" t="s">
        <v>5976</v>
      </c>
      <c r="C28" s="981" t="s">
        <v>5976</v>
      </c>
      <c r="D28" s="172" t="s">
        <v>1561</v>
      </c>
      <c r="E28" s="172" t="s">
        <v>5918</v>
      </c>
      <c r="F28" s="988">
        <v>6583</v>
      </c>
      <c r="G28" s="970" t="s">
        <v>6569</v>
      </c>
      <c r="H28" s="983" t="s">
        <v>5976</v>
      </c>
      <c r="I28" s="2416"/>
    </row>
    <row r="29" spans="1:9">
      <c r="A29" s="981" t="s">
        <v>5976</v>
      </c>
      <c r="B29" s="981" t="s">
        <v>5976</v>
      </c>
      <c r="C29" s="981" t="s">
        <v>5976</v>
      </c>
      <c r="D29" s="172" t="s">
        <v>1564</v>
      </c>
      <c r="E29" s="172" t="s">
        <v>5919</v>
      </c>
      <c r="F29" s="988">
        <v>6583</v>
      </c>
      <c r="G29" s="970" t="s">
        <v>6569</v>
      </c>
      <c r="H29" s="983" t="s">
        <v>5976</v>
      </c>
      <c r="I29" s="2416"/>
    </row>
    <row r="30" spans="1:9">
      <c r="A30" s="981" t="s">
        <v>5976</v>
      </c>
      <c r="B30" s="981" t="s">
        <v>5976</v>
      </c>
      <c r="C30" s="981" t="s">
        <v>5976</v>
      </c>
      <c r="D30" s="172" t="s">
        <v>1567</v>
      </c>
      <c r="E30" s="172" t="s">
        <v>5920</v>
      </c>
      <c r="F30" s="988">
        <v>6583</v>
      </c>
      <c r="G30" s="970" t="s">
        <v>6569</v>
      </c>
      <c r="H30" s="983" t="s">
        <v>5976</v>
      </c>
      <c r="I30" s="2416"/>
    </row>
    <row r="31" spans="1:9" ht="15.5">
      <c r="A31" s="981" t="s">
        <v>5976</v>
      </c>
      <c r="B31" s="981" t="s">
        <v>5976</v>
      </c>
      <c r="C31" s="981" t="s">
        <v>5976</v>
      </c>
      <c r="D31" s="172" t="s">
        <v>2066</v>
      </c>
      <c r="E31" s="172" t="s">
        <v>5841</v>
      </c>
      <c r="F31" s="989">
        <v>640</v>
      </c>
      <c r="G31" s="970" t="s">
        <v>6569</v>
      </c>
      <c r="H31" s="983"/>
      <c r="I31" s="2416"/>
    </row>
    <row r="32" spans="1:9" ht="15.5">
      <c r="A32" s="981" t="s">
        <v>5976</v>
      </c>
      <c r="B32" s="981" t="s">
        <v>5976</v>
      </c>
      <c r="C32" s="981" t="s">
        <v>5976</v>
      </c>
      <c r="D32" s="172" t="s">
        <v>2071</v>
      </c>
      <c r="E32" s="172" t="s">
        <v>5843</v>
      </c>
      <c r="F32" s="989">
        <v>400</v>
      </c>
      <c r="G32" s="970" t="s">
        <v>6569</v>
      </c>
      <c r="H32" s="983"/>
      <c r="I32" s="2416"/>
    </row>
    <row r="33" spans="1:9">
      <c r="A33" s="981" t="s">
        <v>5976</v>
      </c>
      <c r="B33" s="981" t="s">
        <v>5976</v>
      </c>
      <c r="C33" s="981" t="s">
        <v>5976</v>
      </c>
      <c r="D33" s="172" t="s">
        <v>1656</v>
      </c>
      <c r="E33" s="172" t="s">
        <v>5785</v>
      </c>
      <c r="F33" s="988">
        <v>960</v>
      </c>
      <c r="G33" s="970" t="s">
        <v>6569</v>
      </c>
      <c r="H33" s="983" t="s">
        <v>5976</v>
      </c>
      <c r="I33" s="2416"/>
    </row>
    <row r="34" spans="1:9">
      <c r="A34" s="981" t="s">
        <v>5976</v>
      </c>
      <c r="B34" s="981" t="s">
        <v>5976</v>
      </c>
      <c r="C34" s="981" t="s">
        <v>5976</v>
      </c>
      <c r="D34" s="172" t="s">
        <v>1649</v>
      </c>
      <c r="E34" s="172" t="s">
        <v>5790</v>
      </c>
      <c r="F34" s="988">
        <v>3000</v>
      </c>
      <c r="G34" s="970" t="s">
        <v>6569</v>
      </c>
      <c r="H34" s="983" t="s">
        <v>5976</v>
      </c>
      <c r="I34" s="2416"/>
    </row>
    <row r="35" spans="1:9">
      <c r="A35" s="981" t="s">
        <v>5976</v>
      </c>
      <c r="B35" s="981" t="s">
        <v>5976</v>
      </c>
      <c r="C35" s="981" t="s">
        <v>5976</v>
      </c>
      <c r="D35" s="172" t="s">
        <v>1704</v>
      </c>
      <c r="E35" s="172" t="s">
        <v>5796</v>
      </c>
      <c r="F35" s="990">
        <v>26000</v>
      </c>
      <c r="G35" s="970" t="s">
        <v>6569</v>
      </c>
      <c r="H35" s="983" t="s">
        <v>5976</v>
      </c>
      <c r="I35" s="2416"/>
    </row>
    <row r="36" spans="1:9">
      <c r="A36" s="981" t="s">
        <v>5976</v>
      </c>
      <c r="B36" s="981" t="s">
        <v>5976</v>
      </c>
      <c r="C36" s="981" t="s">
        <v>5976</v>
      </c>
      <c r="D36" s="172" t="s">
        <v>1536</v>
      </c>
      <c r="E36" s="172" t="s">
        <v>5799</v>
      </c>
      <c r="F36" s="990">
        <v>4200</v>
      </c>
      <c r="G36" s="970" t="s">
        <v>6569</v>
      </c>
      <c r="H36" s="983" t="s">
        <v>5976</v>
      </c>
      <c r="I36" s="2416"/>
    </row>
    <row r="37" spans="1:9">
      <c r="A37" s="981" t="s">
        <v>5976</v>
      </c>
      <c r="B37" s="981" t="s">
        <v>5976</v>
      </c>
      <c r="C37" s="981" t="s">
        <v>5976</v>
      </c>
      <c r="D37" s="172" t="s">
        <v>1715</v>
      </c>
      <c r="E37" s="172" t="s">
        <v>5801</v>
      </c>
      <c r="F37" s="990">
        <v>2880</v>
      </c>
      <c r="G37" s="970" t="s">
        <v>6569</v>
      </c>
      <c r="H37" s="983" t="s">
        <v>5976</v>
      </c>
      <c r="I37" s="2416"/>
    </row>
    <row r="38" spans="1:9">
      <c r="A38" s="981" t="s">
        <v>5976</v>
      </c>
      <c r="B38" s="981" t="s">
        <v>5976</v>
      </c>
      <c r="C38" s="981" t="s">
        <v>5976</v>
      </c>
      <c r="D38" s="172" t="s">
        <v>1702</v>
      </c>
      <c r="E38" s="172" t="s">
        <v>5803</v>
      </c>
      <c r="F38" s="990">
        <v>384</v>
      </c>
      <c r="G38" s="970" t="s">
        <v>6569</v>
      </c>
      <c r="H38" s="983" t="s">
        <v>5976</v>
      </c>
      <c r="I38" s="2416"/>
    </row>
    <row r="39" spans="1:9">
      <c r="A39" s="981" t="s">
        <v>5976</v>
      </c>
      <c r="B39" s="981" t="s">
        <v>5976</v>
      </c>
      <c r="C39" s="981" t="s">
        <v>5976</v>
      </c>
      <c r="D39" s="172" t="s">
        <v>1821</v>
      </c>
      <c r="E39" s="172" t="s">
        <v>5804</v>
      </c>
      <c r="F39" s="990">
        <v>559</v>
      </c>
      <c r="G39" s="970" t="s">
        <v>6569</v>
      </c>
      <c r="H39" s="983" t="s">
        <v>5976</v>
      </c>
      <c r="I39" s="2416"/>
    </row>
    <row r="40" spans="1:9">
      <c r="A40" s="981" t="s">
        <v>5976</v>
      </c>
      <c r="B40" s="981" t="s">
        <v>5976</v>
      </c>
      <c r="C40" s="981" t="s">
        <v>5976</v>
      </c>
      <c r="D40" s="172" t="s">
        <v>1823</v>
      </c>
      <c r="E40" s="172" t="s">
        <v>5806</v>
      </c>
      <c r="F40" s="990">
        <v>559</v>
      </c>
      <c r="G40" s="970" t="s">
        <v>6569</v>
      </c>
      <c r="H40" s="983" t="s">
        <v>5976</v>
      </c>
      <c r="I40" s="2416"/>
    </row>
    <row r="41" spans="1:9">
      <c r="A41" s="981" t="s">
        <v>5976</v>
      </c>
      <c r="B41" s="981" t="s">
        <v>5976</v>
      </c>
      <c r="C41" s="981" t="s">
        <v>5976</v>
      </c>
      <c r="D41" s="172" t="s">
        <v>1825</v>
      </c>
      <c r="E41" s="172" t="s">
        <v>5807</v>
      </c>
      <c r="F41" s="990">
        <v>559</v>
      </c>
      <c r="G41" s="970" t="s">
        <v>6569</v>
      </c>
      <c r="H41" s="983" t="s">
        <v>5976</v>
      </c>
      <c r="I41" s="2416"/>
    </row>
    <row r="42" spans="1:9">
      <c r="A42" s="981" t="s">
        <v>5976</v>
      </c>
      <c r="B42" s="981" t="s">
        <v>5976</v>
      </c>
      <c r="C42" s="981" t="s">
        <v>5976</v>
      </c>
      <c r="D42" s="172" t="s">
        <v>1827</v>
      </c>
      <c r="E42" s="172" t="s">
        <v>5808</v>
      </c>
      <c r="F42" s="990">
        <v>559</v>
      </c>
      <c r="G42" s="970" t="s">
        <v>6569</v>
      </c>
      <c r="H42" s="983" t="s">
        <v>5976</v>
      </c>
      <c r="I42" s="2416"/>
    </row>
    <row r="43" spans="1:9">
      <c r="A43" s="981" t="s">
        <v>5976</v>
      </c>
      <c r="B43" s="981" t="s">
        <v>5976</v>
      </c>
      <c r="C43" s="981" t="s">
        <v>5976</v>
      </c>
      <c r="D43" s="172" t="s">
        <v>1829</v>
      </c>
      <c r="E43" s="172" t="s">
        <v>5809</v>
      </c>
      <c r="F43" s="990">
        <v>559</v>
      </c>
      <c r="G43" s="970" t="s">
        <v>6569</v>
      </c>
      <c r="H43" s="983" t="s">
        <v>5976</v>
      </c>
      <c r="I43" s="2416"/>
    </row>
    <row r="44" spans="1:9">
      <c r="A44" s="981" t="s">
        <v>5976</v>
      </c>
      <c r="B44" s="981" t="s">
        <v>5976</v>
      </c>
      <c r="C44" s="981" t="s">
        <v>5976</v>
      </c>
      <c r="D44" s="172" t="s">
        <v>1831</v>
      </c>
      <c r="E44" s="172" t="s">
        <v>5810</v>
      </c>
      <c r="F44" s="990">
        <v>559</v>
      </c>
      <c r="G44" s="970" t="s">
        <v>6569</v>
      </c>
      <c r="H44" s="983" t="s">
        <v>5976</v>
      </c>
      <c r="I44" s="2416"/>
    </row>
    <row r="45" spans="1:9" ht="15.5">
      <c r="A45" s="981" t="s">
        <v>5976</v>
      </c>
      <c r="B45" s="981" t="s">
        <v>5976</v>
      </c>
      <c r="C45" s="981" t="s">
        <v>5976</v>
      </c>
      <c r="D45" s="172" t="s">
        <v>1817</v>
      </c>
      <c r="E45" s="172" t="s">
        <v>5814</v>
      </c>
      <c r="F45" s="989">
        <v>720</v>
      </c>
      <c r="G45" s="970" t="s">
        <v>6569</v>
      </c>
      <c r="H45" s="983" t="s">
        <v>5976</v>
      </c>
      <c r="I45" s="2416"/>
    </row>
    <row r="46" spans="1:9" ht="15.5">
      <c r="A46" s="981" t="s">
        <v>5976</v>
      </c>
      <c r="B46" s="981" t="s">
        <v>5976</v>
      </c>
      <c r="C46" s="981" t="s">
        <v>5976</v>
      </c>
      <c r="D46" s="172" t="s">
        <v>1819</v>
      </c>
      <c r="E46" s="172" t="s">
        <v>5817</v>
      </c>
      <c r="F46" s="989">
        <v>720</v>
      </c>
      <c r="G46" s="970" t="s">
        <v>6569</v>
      </c>
      <c r="H46" s="983" t="s">
        <v>5976</v>
      </c>
      <c r="I46" s="2416"/>
    </row>
    <row r="47" spans="1:9" ht="15.5">
      <c r="A47" s="981" t="s">
        <v>5976</v>
      </c>
      <c r="B47" s="981" t="s">
        <v>5976</v>
      </c>
      <c r="C47" s="981" t="s">
        <v>5976</v>
      </c>
      <c r="D47" s="172" t="s">
        <v>2010</v>
      </c>
      <c r="E47" s="172" t="s">
        <v>5837</v>
      </c>
      <c r="F47" s="991">
        <v>320</v>
      </c>
      <c r="G47" s="970" t="s">
        <v>6569</v>
      </c>
      <c r="H47" s="983" t="s">
        <v>5976</v>
      </c>
      <c r="I47" s="2416"/>
    </row>
    <row r="48" spans="1:9" ht="15.5">
      <c r="A48" s="981" t="s">
        <v>5976</v>
      </c>
      <c r="B48" s="981" t="s">
        <v>5976</v>
      </c>
      <c r="C48" s="981" t="s">
        <v>5976</v>
      </c>
      <c r="D48" s="172" t="s">
        <v>2002</v>
      </c>
      <c r="E48" s="172" t="s">
        <v>978</v>
      </c>
      <c r="F48" s="989">
        <v>1920</v>
      </c>
      <c r="G48" s="970" t="s">
        <v>6569</v>
      </c>
      <c r="H48" s="983" t="s">
        <v>5976</v>
      </c>
      <c r="I48" s="2416"/>
    </row>
    <row r="49" spans="1:9" ht="15.5">
      <c r="A49" s="981" t="s">
        <v>5976</v>
      </c>
      <c r="B49" s="981" t="s">
        <v>5976</v>
      </c>
      <c r="C49" s="981" t="s">
        <v>5976</v>
      </c>
      <c r="D49" s="172" t="s">
        <v>2021</v>
      </c>
      <c r="E49" s="172" t="s">
        <v>998</v>
      </c>
      <c r="F49" s="991">
        <v>600</v>
      </c>
      <c r="G49" s="970" t="s">
        <v>6569</v>
      </c>
      <c r="H49" s="983" t="s">
        <v>5976</v>
      </c>
      <c r="I49" s="2416"/>
    </row>
    <row r="50" spans="1:9">
      <c r="A50" s="981" t="s">
        <v>5976</v>
      </c>
      <c r="B50" s="981" t="s">
        <v>5976</v>
      </c>
      <c r="C50" s="981" t="s">
        <v>5976</v>
      </c>
      <c r="D50" s="172" t="s">
        <v>1975</v>
      </c>
      <c r="E50" s="172" t="s">
        <v>5835</v>
      </c>
      <c r="F50" s="990">
        <v>4200</v>
      </c>
      <c r="G50" s="970" t="s">
        <v>6569</v>
      </c>
      <c r="H50" s="983" t="s">
        <v>5976</v>
      </c>
      <c r="I50" s="2416"/>
    </row>
    <row r="51" spans="1:9">
      <c r="A51" s="981" t="s">
        <v>5976</v>
      </c>
      <c r="B51" s="981" t="s">
        <v>5976</v>
      </c>
      <c r="C51" s="981" t="s">
        <v>5976</v>
      </c>
      <c r="D51" s="172" t="s">
        <v>2649</v>
      </c>
      <c r="E51" s="172" t="s">
        <v>5864</v>
      </c>
      <c r="F51" s="990">
        <f>1252*10.76</f>
        <v>13471.52</v>
      </c>
      <c r="G51" s="970" t="s">
        <v>6569</v>
      </c>
      <c r="H51" s="983" t="s">
        <v>5976</v>
      </c>
      <c r="I51" s="2417"/>
    </row>
    <row r="54" spans="1:9">
      <c r="E54" s="984" t="s">
        <v>6573</v>
      </c>
      <c r="F54" s="985">
        <f>SUM(F2:F51)*-1</f>
        <v>-208139.51999999999</v>
      </c>
      <c r="G54" s="986" t="s">
        <v>6569</v>
      </c>
    </row>
    <row r="56" spans="1:9">
      <c r="E56" s="984" t="s">
        <v>6573</v>
      </c>
      <c r="F56" s="987">
        <f>F54/10.76</f>
        <v>-19343.821561338289</v>
      </c>
      <c r="G56" s="984" t="s">
        <v>136</v>
      </c>
    </row>
  </sheetData>
  <autoFilter ref="G1:G43" xr:uid="{00000000-0009-0000-0000-000022000000}"/>
  <mergeCells count="2">
    <mergeCell ref="I2:I18"/>
    <mergeCell ref="I19:I51"/>
  </mergeCells>
  <pageMargins left="0.7" right="0.7" top="0.75" bottom="0.75" header="0.3" footer="0.3"/>
  <pageSetup orientation="portrait"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dimension ref="D5:I48"/>
  <sheetViews>
    <sheetView topLeftCell="A30" zoomScale="70" zoomScaleNormal="70" workbookViewId="0">
      <selection activeCell="A11" sqref="A11"/>
    </sheetView>
  </sheetViews>
  <sheetFormatPr defaultRowHeight="14.5"/>
  <cols>
    <col min="6" max="6" width="144.81640625" customWidth="1"/>
    <col min="8" max="8" width="12.1796875" customWidth="1"/>
  </cols>
  <sheetData>
    <row r="5" spans="4:9" ht="16.5">
      <c r="F5" s="1979" t="s">
        <v>5622</v>
      </c>
      <c r="G5" s="1979"/>
      <c r="H5" s="1980">
        <v>35269.449999999997</v>
      </c>
      <c r="I5" s="973" t="s">
        <v>136</v>
      </c>
    </row>
    <row r="6" spans="4:9" ht="16.5">
      <c r="F6" s="971" t="s">
        <v>1815</v>
      </c>
      <c r="G6" s="971"/>
      <c r="H6" s="972">
        <v>180</v>
      </c>
      <c r="I6" s="971" t="s">
        <v>136</v>
      </c>
    </row>
    <row r="7" spans="4:9" ht="16.5">
      <c r="F7" s="1979" t="s">
        <v>2591</v>
      </c>
      <c r="G7" s="1979"/>
      <c r="H7" s="1980">
        <v>9432.14</v>
      </c>
      <c r="I7" s="973" t="s">
        <v>136</v>
      </c>
    </row>
    <row r="8" spans="4:9" ht="15" thickBot="1"/>
    <row r="9" spans="4:9" ht="49.5">
      <c r="D9" s="976" t="s">
        <v>17</v>
      </c>
      <c r="E9" s="976" t="s">
        <v>20</v>
      </c>
      <c r="F9" s="974" t="s">
        <v>21</v>
      </c>
      <c r="G9" s="974" t="s">
        <v>22</v>
      </c>
      <c r="H9" s="977" t="s">
        <v>23</v>
      </c>
      <c r="I9" s="975" t="s">
        <v>24</v>
      </c>
    </row>
    <row r="10" spans="4:9" ht="49.5">
      <c r="D10" s="971" t="s">
        <v>140</v>
      </c>
      <c r="E10" s="971"/>
      <c r="F10" s="971" t="s">
        <v>815</v>
      </c>
      <c r="G10" s="971" t="s">
        <v>804</v>
      </c>
      <c r="H10" s="972">
        <v>6025.5999999999995</v>
      </c>
      <c r="I10" s="971" t="s">
        <v>6569</v>
      </c>
    </row>
    <row r="11" spans="4:9" ht="49.5">
      <c r="D11" s="971" t="s">
        <v>140</v>
      </c>
      <c r="E11" s="971"/>
      <c r="F11" s="971" t="s">
        <v>871</v>
      </c>
      <c r="G11" s="971" t="s">
        <v>866</v>
      </c>
      <c r="H11" s="972">
        <v>1721.6</v>
      </c>
      <c r="I11" s="971" t="s">
        <v>6569</v>
      </c>
    </row>
    <row r="12" spans="4:9" ht="49.5">
      <c r="D12" s="971" t="s">
        <v>140</v>
      </c>
      <c r="E12" s="971"/>
      <c r="F12" s="971" t="s">
        <v>871</v>
      </c>
      <c r="G12" s="971" t="s">
        <v>864</v>
      </c>
      <c r="H12" s="972">
        <v>3443.2</v>
      </c>
      <c r="I12" s="971" t="s">
        <v>6569</v>
      </c>
    </row>
    <row r="13" spans="4:9" ht="49.5">
      <c r="D13" s="971" t="s">
        <v>140</v>
      </c>
      <c r="E13" s="971"/>
      <c r="F13" s="971" t="s">
        <v>899</v>
      </c>
      <c r="G13" s="971" t="s">
        <v>895</v>
      </c>
      <c r="H13" s="972">
        <v>1721.6</v>
      </c>
      <c r="I13" s="971" t="s">
        <v>6569</v>
      </c>
    </row>
    <row r="14" spans="4:9" ht="49.5">
      <c r="D14" s="971" t="s">
        <v>140</v>
      </c>
      <c r="E14" s="971"/>
      <c r="F14" s="971" t="s">
        <v>993</v>
      </c>
      <c r="G14" s="971" t="s">
        <v>971</v>
      </c>
      <c r="H14" s="972">
        <v>20659.2</v>
      </c>
      <c r="I14" s="971" t="s">
        <v>6569</v>
      </c>
    </row>
    <row r="15" spans="4:9" ht="49.5">
      <c r="D15" s="971" t="s">
        <v>140</v>
      </c>
      <c r="E15" s="971"/>
      <c r="F15" s="971" t="s">
        <v>815</v>
      </c>
      <c r="G15" s="971" t="s">
        <v>1896</v>
      </c>
      <c r="H15" s="972">
        <v>6025.5999999999995</v>
      </c>
      <c r="I15" s="971" t="s">
        <v>6569</v>
      </c>
    </row>
    <row r="16" spans="4:9" ht="49.5">
      <c r="D16" s="971" t="s">
        <v>140</v>
      </c>
      <c r="E16" s="971"/>
      <c r="F16" s="971" t="s">
        <v>1944</v>
      </c>
      <c r="G16" s="971" t="s">
        <v>1940</v>
      </c>
      <c r="H16" s="972">
        <v>3443.2</v>
      </c>
      <c r="I16" s="971" t="s">
        <v>6569</v>
      </c>
    </row>
    <row r="17" spans="4:9" ht="49.5">
      <c r="D17" s="971" t="s">
        <v>140</v>
      </c>
      <c r="E17" s="971"/>
      <c r="F17" s="971" t="s">
        <v>993</v>
      </c>
      <c r="G17" s="971" t="s">
        <v>2002</v>
      </c>
      <c r="H17" s="972">
        <v>20659.2</v>
      </c>
      <c r="I17" s="971" t="s">
        <v>6569</v>
      </c>
    </row>
    <row r="19" spans="4:9" ht="15" thickBot="1"/>
    <row r="20" spans="4:9" ht="49.5">
      <c r="D20" s="976" t="s">
        <v>17</v>
      </c>
      <c r="E20" s="976" t="s">
        <v>20</v>
      </c>
      <c r="F20" s="974" t="s">
        <v>21</v>
      </c>
      <c r="G20" s="974" t="s">
        <v>22</v>
      </c>
      <c r="H20" s="977" t="s">
        <v>23</v>
      </c>
      <c r="I20" s="975" t="s">
        <v>24</v>
      </c>
    </row>
    <row r="21" spans="4:9" ht="49.5">
      <c r="D21" s="971" t="s">
        <v>734</v>
      </c>
      <c r="E21" s="971"/>
      <c r="F21" s="971" t="s">
        <v>863</v>
      </c>
      <c r="G21" s="971" t="s">
        <v>866</v>
      </c>
      <c r="H21" s="972">
        <v>1721.6</v>
      </c>
      <c r="I21" s="971" t="s">
        <v>6569</v>
      </c>
    </row>
    <row r="22" spans="4:9" ht="49.5">
      <c r="D22" s="971" t="s">
        <v>734</v>
      </c>
      <c r="E22" s="971"/>
      <c r="F22" s="971" t="s">
        <v>863</v>
      </c>
      <c r="G22" s="971" t="s">
        <v>864</v>
      </c>
      <c r="H22" s="972">
        <v>3443.2</v>
      </c>
      <c r="I22" s="971" t="s">
        <v>6569</v>
      </c>
    </row>
    <row r="23" spans="4:9" ht="49.5">
      <c r="D23" s="971" t="s">
        <v>734</v>
      </c>
      <c r="E23" s="971"/>
      <c r="F23" s="971" t="s">
        <v>894</v>
      </c>
      <c r="G23" s="971" t="s">
        <v>895</v>
      </c>
      <c r="H23" s="972">
        <v>1721.6</v>
      </c>
      <c r="I23" s="971" t="s">
        <v>6569</v>
      </c>
    </row>
    <row r="24" spans="4:9" ht="49.5">
      <c r="D24" s="971" t="s">
        <v>734</v>
      </c>
      <c r="E24" s="971"/>
      <c r="F24" s="971" t="s">
        <v>1939</v>
      </c>
      <c r="G24" s="971" t="s">
        <v>1940</v>
      </c>
      <c r="H24" s="972">
        <v>3443.2</v>
      </c>
      <c r="I24" s="971" t="s">
        <v>6569</v>
      </c>
    </row>
    <row r="26" spans="4:9" ht="15" thickBot="1"/>
    <row r="27" spans="4:9" ht="49.5">
      <c r="D27" s="976" t="s">
        <v>17</v>
      </c>
      <c r="E27" s="976" t="s">
        <v>20</v>
      </c>
      <c r="F27" s="974" t="s">
        <v>21</v>
      </c>
      <c r="G27" s="974" t="s">
        <v>22</v>
      </c>
      <c r="H27" s="977" t="s">
        <v>23</v>
      </c>
      <c r="I27" s="975" t="s">
        <v>24</v>
      </c>
    </row>
    <row r="28" spans="4:9" ht="49.5">
      <c r="D28" s="971" t="s">
        <v>627</v>
      </c>
      <c r="E28" s="971"/>
      <c r="F28" s="971" t="s">
        <v>806</v>
      </c>
      <c r="G28" s="971" t="s">
        <v>804</v>
      </c>
      <c r="H28" s="972">
        <v>6025.5999999999995</v>
      </c>
      <c r="I28" s="971" t="s">
        <v>6569</v>
      </c>
    </row>
    <row r="29" spans="4:9" ht="49.5">
      <c r="D29" s="971" t="s">
        <v>627</v>
      </c>
      <c r="E29" s="971"/>
      <c r="F29" s="971" t="s">
        <v>970</v>
      </c>
      <c r="G29" s="971" t="s">
        <v>971</v>
      </c>
      <c r="H29" s="972">
        <v>20659.2</v>
      </c>
      <c r="I29" s="971" t="s">
        <v>6569</v>
      </c>
    </row>
    <row r="30" spans="4:9" ht="49.5">
      <c r="D30" s="971" t="s">
        <v>627</v>
      </c>
      <c r="E30" s="971"/>
      <c r="F30" s="971" t="s">
        <v>806</v>
      </c>
      <c r="G30" s="971" t="s">
        <v>1896</v>
      </c>
      <c r="H30" s="972">
        <v>6025.5999999999995</v>
      </c>
      <c r="I30" s="971" t="s">
        <v>6569</v>
      </c>
    </row>
    <row r="31" spans="4:9" ht="49.5">
      <c r="D31" s="971" t="s">
        <v>627</v>
      </c>
      <c r="E31" s="971"/>
      <c r="F31" s="971" t="s">
        <v>970</v>
      </c>
      <c r="G31" s="971" t="s">
        <v>2002</v>
      </c>
      <c r="H31" s="972">
        <v>20659.2</v>
      </c>
      <c r="I31" s="971" t="s">
        <v>6569</v>
      </c>
    </row>
    <row r="33" spans="4:9" ht="15" thickBot="1"/>
    <row r="34" spans="4:9" ht="49.5">
      <c r="D34" s="976" t="s">
        <v>17</v>
      </c>
      <c r="E34" s="976" t="s">
        <v>20</v>
      </c>
      <c r="F34" s="974" t="s">
        <v>21</v>
      </c>
      <c r="G34" s="974" t="s">
        <v>22</v>
      </c>
      <c r="H34" s="977" t="s">
        <v>23</v>
      </c>
      <c r="I34" s="975" t="s">
        <v>24</v>
      </c>
    </row>
    <row r="35" spans="4:9" ht="49.5">
      <c r="D35" s="971" t="s">
        <v>627</v>
      </c>
      <c r="E35" s="971"/>
      <c r="F35" s="971" t="s">
        <v>806</v>
      </c>
      <c r="G35" s="971" t="s">
        <v>804</v>
      </c>
      <c r="H35" s="972">
        <v>6025.5999999999995</v>
      </c>
      <c r="I35" s="971" t="s">
        <v>6569</v>
      </c>
    </row>
    <row r="36" spans="4:9" ht="49.5">
      <c r="D36" s="971" t="s">
        <v>627</v>
      </c>
      <c r="E36" s="971"/>
      <c r="F36" s="971" t="s">
        <v>970</v>
      </c>
      <c r="G36" s="971" t="s">
        <v>971</v>
      </c>
      <c r="H36" s="972">
        <v>20659.2</v>
      </c>
      <c r="I36" s="971" t="s">
        <v>6569</v>
      </c>
    </row>
    <row r="37" spans="4:9" ht="49.5">
      <c r="D37" s="971" t="s">
        <v>627</v>
      </c>
      <c r="E37" s="971"/>
      <c r="F37" s="971" t="s">
        <v>806</v>
      </c>
      <c r="G37" s="971" t="s">
        <v>1896</v>
      </c>
      <c r="H37" s="972">
        <v>6025.5999999999995</v>
      </c>
      <c r="I37" s="971" t="s">
        <v>6569</v>
      </c>
    </row>
    <row r="38" spans="4:9" ht="49.5">
      <c r="D38" s="971" t="s">
        <v>627</v>
      </c>
      <c r="E38" s="971"/>
      <c r="F38" s="971" t="s">
        <v>970</v>
      </c>
      <c r="G38" s="971" t="s">
        <v>2002</v>
      </c>
      <c r="H38" s="972">
        <v>20659.2</v>
      </c>
      <c r="I38" s="971" t="s">
        <v>6569</v>
      </c>
    </row>
    <row r="40" spans="4:9" ht="15" thickBot="1"/>
    <row r="41" spans="4:9" ht="49.5">
      <c r="D41" s="976" t="s">
        <v>17</v>
      </c>
      <c r="E41" s="976" t="s">
        <v>20</v>
      </c>
      <c r="F41" s="974" t="s">
        <v>21</v>
      </c>
      <c r="G41" s="974" t="s">
        <v>22</v>
      </c>
      <c r="H41" s="977" t="s">
        <v>23</v>
      </c>
      <c r="I41" s="975" t="s">
        <v>24</v>
      </c>
    </row>
    <row r="42" spans="4:9" ht="49.5">
      <c r="D42" s="971" t="s">
        <v>145</v>
      </c>
      <c r="E42" s="971"/>
      <c r="F42" s="971" t="s">
        <v>817</v>
      </c>
      <c r="G42" s="971" t="s">
        <v>804</v>
      </c>
      <c r="H42" s="972">
        <v>6025.5999999999995</v>
      </c>
      <c r="I42" s="971" t="s">
        <v>136</v>
      </c>
    </row>
    <row r="43" spans="4:9" ht="49.5">
      <c r="D43" s="971" t="s">
        <v>145</v>
      </c>
      <c r="E43" s="971"/>
      <c r="F43" s="971" t="s">
        <v>869</v>
      </c>
      <c r="G43" s="971" t="s">
        <v>866</v>
      </c>
      <c r="H43" s="972">
        <v>1721.6</v>
      </c>
      <c r="I43" s="971" t="s">
        <v>136</v>
      </c>
    </row>
    <row r="44" spans="4:9" ht="49.5">
      <c r="D44" s="971" t="s">
        <v>145</v>
      </c>
      <c r="E44" s="971"/>
      <c r="F44" s="971" t="s">
        <v>869</v>
      </c>
      <c r="G44" s="971" t="s">
        <v>864</v>
      </c>
      <c r="H44" s="972">
        <v>3443.2</v>
      </c>
      <c r="I44" s="971" t="s">
        <v>136</v>
      </c>
    </row>
    <row r="45" spans="4:9" ht="49.5">
      <c r="D45" s="971" t="s">
        <v>145</v>
      </c>
      <c r="E45" s="971"/>
      <c r="F45" s="971" t="s">
        <v>897</v>
      </c>
      <c r="G45" s="971" t="s">
        <v>895</v>
      </c>
      <c r="H45" s="972">
        <v>1721.6</v>
      </c>
      <c r="I45" s="971" t="s">
        <v>136</v>
      </c>
    </row>
    <row r="46" spans="4:9" ht="49.5">
      <c r="D46" s="971" t="s">
        <v>145</v>
      </c>
      <c r="E46" s="971"/>
      <c r="F46" s="971" t="s">
        <v>995</v>
      </c>
      <c r="G46" s="971" t="s">
        <v>971</v>
      </c>
      <c r="H46" s="972">
        <v>20659.2</v>
      </c>
      <c r="I46" s="971" t="s">
        <v>136</v>
      </c>
    </row>
    <row r="47" spans="4:9" ht="49.5">
      <c r="D47" s="971" t="s">
        <v>145</v>
      </c>
      <c r="E47" s="971"/>
      <c r="F47" s="971" t="s">
        <v>817</v>
      </c>
      <c r="G47" s="971" t="s">
        <v>1896</v>
      </c>
      <c r="H47" s="972">
        <v>6025.5999999999995</v>
      </c>
      <c r="I47" s="971" t="s">
        <v>136</v>
      </c>
    </row>
    <row r="48" spans="4:9" ht="49.5">
      <c r="D48" s="971" t="s">
        <v>145</v>
      </c>
      <c r="E48" s="971"/>
      <c r="F48" s="971" t="s">
        <v>1942</v>
      </c>
      <c r="G48" s="971" t="s">
        <v>1940</v>
      </c>
      <c r="H48" s="972">
        <v>3443.2</v>
      </c>
      <c r="I48" s="971" t="s">
        <v>136</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H9"/>
  <sheetViews>
    <sheetView workbookViewId="0">
      <selection activeCell="A11" sqref="A11"/>
    </sheetView>
  </sheetViews>
  <sheetFormatPr defaultRowHeight="14.5"/>
  <cols>
    <col min="1" max="1" width="30.81640625" bestFit="1" customWidth="1"/>
    <col min="2" max="2" width="12.81640625" bestFit="1" customWidth="1"/>
    <col min="3" max="3" width="11.7265625" bestFit="1" customWidth="1"/>
    <col min="4" max="4" width="19" bestFit="1" customWidth="1"/>
    <col min="5" max="5" width="21.7265625" bestFit="1" customWidth="1"/>
    <col min="6" max="6" width="20.26953125" bestFit="1" customWidth="1"/>
    <col min="7" max="7" width="14.26953125" bestFit="1" customWidth="1"/>
    <col min="8" max="8" width="14.453125" bestFit="1" customWidth="1"/>
  </cols>
  <sheetData>
    <row r="1" spans="1:8">
      <c r="A1" s="2419" t="s">
        <v>6574</v>
      </c>
      <c r="B1" s="2418" t="s">
        <v>3145</v>
      </c>
      <c r="C1" s="2418"/>
      <c r="D1" s="2418"/>
      <c r="E1" s="2418" t="s">
        <v>3146</v>
      </c>
      <c r="F1" s="2418"/>
      <c r="G1" s="2418"/>
      <c r="H1" s="2421" t="s">
        <v>6575</v>
      </c>
    </row>
    <row r="2" spans="1:8" ht="15" thickBot="1">
      <c r="A2" s="2420"/>
      <c r="B2" s="1105" t="s">
        <v>6576</v>
      </c>
      <c r="C2" s="1106"/>
      <c r="D2" s="1105" t="s">
        <v>6577</v>
      </c>
      <c r="E2" s="1105" t="s">
        <v>6576</v>
      </c>
      <c r="F2" s="1105" t="s">
        <v>3147</v>
      </c>
      <c r="G2" s="1105" t="s">
        <v>6577</v>
      </c>
      <c r="H2" s="2422"/>
    </row>
    <row r="3" spans="1:8">
      <c r="A3" s="1107" t="s">
        <v>6578</v>
      </c>
      <c r="B3" s="1108">
        <v>120311</v>
      </c>
      <c r="C3" s="1109">
        <v>14808</v>
      </c>
      <c r="D3" s="1108">
        <v>135119</v>
      </c>
      <c r="E3" s="1108">
        <v>886706</v>
      </c>
      <c r="F3" s="1108">
        <v>0</v>
      </c>
      <c r="G3" s="1108">
        <v>886706</v>
      </c>
      <c r="H3" s="1110">
        <v>1021825</v>
      </c>
    </row>
    <row r="4" spans="1:8" ht="29">
      <c r="A4" s="1111" t="s">
        <v>6579</v>
      </c>
      <c r="B4" s="1103">
        <v>6016</v>
      </c>
      <c r="C4" s="1103">
        <v>740</v>
      </c>
      <c r="D4" s="1102">
        <v>6756</v>
      </c>
      <c r="E4" s="1103">
        <v>44335</v>
      </c>
      <c r="F4" s="1103">
        <v>0</v>
      </c>
      <c r="G4" s="1102">
        <v>44335</v>
      </c>
      <c r="H4" s="1112">
        <v>51091</v>
      </c>
    </row>
    <row r="5" spans="1:8" ht="29">
      <c r="A5" s="1111" t="s">
        <v>6580</v>
      </c>
      <c r="B5" s="1103">
        <v>1203</v>
      </c>
      <c r="C5" s="1103">
        <v>148</v>
      </c>
      <c r="D5" s="1102">
        <v>1351</v>
      </c>
      <c r="E5" s="1103">
        <v>8867</v>
      </c>
      <c r="F5" s="1103">
        <v>0</v>
      </c>
      <c r="G5" s="1102">
        <v>8867</v>
      </c>
      <c r="H5" s="1112">
        <v>10218</v>
      </c>
    </row>
    <row r="6" spans="1:8" ht="29">
      <c r="A6" s="1111" t="s">
        <v>6581</v>
      </c>
      <c r="B6" s="1103">
        <v>1203</v>
      </c>
      <c r="C6" s="1103">
        <v>148</v>
      </c>
      <c r="D6" s="1102">
        <v>1351</v>
      </c>
      <c r="E6" s="1103">
        <v>8867</v>
      </c>
      <c r="F6" s="1103">
        <v>0</v>
      </c>
      <c r="G6" s="1102">
        <v>8867</v>
      </c>
      <c r="H6" s="1112">
        <v>10218</v>
      </c>
    </row>
    <row r="7" spans="1:8" ht="29">
      <c r="A7" s="1113" t="s">
        <v>6582</v>
      </c>
      <c r="B7" s="1103">
        <v>6016</v>
      </c>
      <c r="C7" s="1103">
        <v>740</v>
      </c>
      <c r="D7" s="1102">
        <v>6756</v>
      </c>
      <c r="E7" s="1103">
        <v>44335</v>
      </c>
      <c r="F7" s="1103">
        <v>0</v>
      </c>
      <c r="G7" s="1102">
        <v>44335</v>
      </c>
      <c r="H7" s="1112">
        <v>51091</v>
      </c>
    </row>
    <row r="8" spans="1:8" ht="29">
      <c r="A8" s="1113" t="s">
        <v>6583</v>
      </c>
      <c r="B8" s="1104">
        <v>12031</v>
      </c>
      <c r="C8" s="1104">
        <v>1480</v>
      </c>
      <c r="D8" s="1102">
        <v>13512</v>
      </c>
      <c r="E8" s="1104">
        <v>88671</v>
      </c>
      <c r="F8" s="1103">
        <v>0</v>
      </c>
      <c r="G8" s="1102">
        <v>88671</v>
      </c>
      <c r="H8" s="1112">
        <v>102183</v>
      </c>
    </row>
    <row r="9" spans="1:8" s="158" customFormat="1" ht="15" thickBot="1">
      <c r="A9" s="1114" t="s">
        <v>6584</v>
      </c>
      <c r="B9" s="1115">
        <v>146779</v>
      </c>
      <c r="C9" s="1115">
        <v>18066</v>
      </c>
      <c r="D9" s="1116">
        <v>164845</v>
      </c>
      <c r="E9" s="1115">
        <v>1081781</v>
      </c>
      <c r="F9" s="1115">
        <v>0</v>
      </c>
      <c r="G9" s="1116">
        <v>1081781</v>
      </c>
      <c r="H9" s="1117">
        <v>1246627</v>
      </c>
    </row>
  </sheetData>
  <mergeCells count="4">
    <mergeCell ref="B1:D1"/>
    <mergeCell ref="E1:G1"/>
    <mergeCell ref="A1:A2"/>
    <mergeCell ref="H1:H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02"/>
  <sheetViews>
    <sheetView zoomScale="70" zoomScaleNormal="70" workbookViewId="0">
      <selection activeCell="C22" sqref="C22"/>
    </sheetView>
  </sheetViews>
  <sheetFormatPr defaultColWidth="9.1796875" defaultRowHeight="14.5"/>
  <cols>
    <col min="1" max="1" width="9.1796875" style="1672"/>
    <col min="2" max="2" width="57.81640625" bestFit="1" customWidth="1"/>
    <col min="3" max="3" width="29" customWidth="1"/>
    <col min="4" max="5" width="25.453125" customWidth="1"/>
    <col min="6" max="6" width="42.453125" hidden="1" customWidth="1"/>
    <col min="7" max="10" width="23.7265625" customWidth="1"/>
    <col min="11" max="11" width="20.54296875" customWidth="1"/>
    <col min="12" max="12" width="26" bestFit="1" customWidth="1"/>
    <col min="13" max="13" width="15.1796875" bestFit="1" customWidth="1"/>
    <col min="14" max="14" width="11.453125" customWidth="1"/>
    <col min="15" max="15" width="12.7265625" customWidth="1"/>
    <col min="16" max="16" width="15.26953125" style="189" bestFit="1" customWidth="1"/>
  </cols>
  <sheetData>
    <row r="1" spans="1:16" ht="23.5">
      <c r="C1" s="1745" t="s">
        <v>7824</v>
      </c>
    </row>
    <row r="3" spans="1:16">
      <c r="G3" s="390"/>
      <c r="H3" s="390"/>
      <c r="I3" s="390"/>
      <c r="J3" s="390"/>
    </row>
    <row r="4" spans="1:16" ht="15" thickBot="1">
      <c r="D4" s="192"/>
      <c r="E4" s="192"/>
      <c r="F4" s="192"/>
      <c r="G4" s="1997" t="s">
        <v>3145</v>
      </c>
      <c r="H4" s="1997" t="s">
        <v>3146</v>
      </c>
      <c r="I4" s="1997" t="s">
        <v>3147</v>
      </c>
      <c r="J4" s="1997" t="s">
        <v>3148</v>
      </c>
    </row>
    <row r="5" spans="1:16" s="1656" customFormat="1" ht="15.5">
      <c r="A5" s="1673"/>
      <c r="B5" s="1664" t="s">
        <v>3149</v>
      </c>
      <c r="C5" s="2165">
        <v>39861429.65096765</v>
      </c>
      <c r="D5" s="2191"/>
      <c r="E5" s="2192"/>
      <c r="F5" s="2192"/>
      <c r="G5" s="2167">
        <v>39185964.254912138</v>
      </c>
      <c r="H5" s="2167">
        <v>675465.3960554956</v>
      </c>
      <c r="I5" s="2167">
        <v>1561322.8774999997</v>
      </c>
      <c r="J5" s="2167">
        <v>38300106.773467638</v>
      </c>
      <c r="P5" s="1671"/>
    </row>
    <row r="6" spans="1:16">
      <c r="A6" s="1674"/>
      <c r="B6" s="414" t="s">
        <v>3150</v>
      </c>
      <c r="C6" s="2176">
        <v>219096.55851474078</v>
      </c>
      <c r="D6" s="2192"/>
      <c r="E6" s="2192"/>
      <c r="F6" s="2192"/>
      <c r="G6" s="2175">
        <v>215036.53661411192</v>
      </c>
      <c r="H6" s="2176">
        <v>4060.0219006289167</v>
      </c>
      <c r="I6" s="2176">
        <v>6715.25</v>
      </c>
      <c r="J6" s="2176">
        <v>212381.30851474084</v>
      </c>
    </row>
    <row r="7" spans="1:16">
      <c r="A7" s="1674"/>
      <c r="B7" s="414" t="s">
        <v>3151</v>
      </c>
      <c r="C7" s="2012">
        <v>21909.655851474079</v>
      </c>
      <c r="D7" s="2063"/>
      <c r="E7" s="2063"/>
      <c r="F7" s="2063"/>
      <c r="G7" s="2011">
        <v>21503.65366141119</v>
      </c>
      <c r="H7" s="2012">
        <v>406.00219006289166</v>
      </c>
      <c r="I7" s="2012">
        <v>671.52499999999998</v>
      </c>
      <c r="J7" s="2012">
        <v>21238.130851474085</v>
      </c>
    </row>
    <row r="8" spans="1:16">
      <c r="A8" s="1674"/>
      <c r="B8" s="414"/>
      <c r="C8" s="2014"/>
      <c r="D8" s="2063"/>
      <c r="E8" s="2063"/>
      <c r="F8" s="2063"/>
      <c r="G8" s="2013"/>
      <c r="H8" s="2014"/>
      <c r="I8" s="2014"/>
      <c r="J8" s="2014"/>
    </row>
    <row r="9" spans="1:16">
      <c r="A9" s="1674"/>
      <c r="B9" s="2193" t="s">
        <v>2742</v>
      </c>
      <c r="C9" s="2077">
        <v>2327000</v>
      </c>
      <c r="D9" s="2063"/>
      <c r="E9" s="2063"/>
      <c r="F9" s="2063"/>
      <c r="G9" s="2077">
        <v>2327000</v>
      </c>
      <c r="H9" s="2078">
        <v>0</v>
      </c>
      <c r="I9" s="2078">
        <v>0</v>
      </c>
      <c r="J9" s="2078">
        <v>2327000</v>
      </c>
    </row>
    <row r="10" spans="1:16">
      <c r="A10" s="1674"/>
      <c r="B10" s="2194" t="s">
        <v>2692</v>
      </c>
      <c r="C10" s="2018">
        <v>7055758.1620460562</v>
      </c>
      <c r="D10" s="2063"/>
      <c r="E10" s="2063"/>
      <c r="F10" s="2063"/>
      <c r="G10" s="2018">
        <v>7016830.8331572898</v>
      </c>
      <c r="H10" s="2019">
        <v>38927.328888767755</v>
      </c>
      <c r="I10" s="2019">
        <v>68845.55198455599</v>
      </c>
      <c r="J10" s="2019">
        <v>6986912.6100615012</v>
      </c>
    </row>
    <row r="11" spans="1:16">
      <c r="A11" s="1674"/>
      <c r="B11" s="2171" t="s">
        <v>3154</v>
      </c>
      <c r="C11" s="2018">
        <v>5384363.6363636367</v>
      </c>
      <c r="D11" s="2063"/>
      <c r="E11" s="2063"/>
      <c r="F11" s="2063"/>
      <c r="G11" s="2018">
        <v>5384363.6363636367</v>
      </c>
      <c r="H11" s="2021">
        <v>0</v>
      </c>
      <c r="I11" s="2021">
        <v>0</v>
      </c>
      <c r="J11" s="2019">
        <v>5384363.6363636367</v>
      </c>
    </row>
    <row r="12" spans="1:16">
      <c r="A12" s="1674"/>
      <c r="B12" s="2171" t="s">
        <v>2686</v>
      </c>
      <c r="C12" s="2022">
        <v>633730.45932148909</v>
      </c>
      <c r="D12" s="2063"/>
      <c r="E12" s="2063"/>
      <c r="F12" s="2063"/>
      <c r="G12" s="2022">
        <v>633730.45932148909</v>
      </c>
      <c r="H12" s="2021">
        <v>0</v>
      </c>
      <c r="I12" s="2021">
        <v>0</v>
      </c>
      <c r="J12" s="2021">
        <v>633730.45932148909</v>
      </c>
    </row>
    <row r="13" spans="1:16">
      <c r="A13" s="1674"/>
      <c r="B13" s="2193"/>
      <c r="C13" s="2079"/>
      <c r="D13" s="2063"/>
      <c r="E13" s="2063"/>
      <c r="F13" s="2063"/>
      <c r="G13" s="2080"/>
      <c r="H13" s="2079"/>
      <c r="I13" s="2079"/>
      <c r="J13" s="2079"/>
    </row>
    <row r="14" spans="1:16">
      <c r="A14" s="1674"/>
      <c r="B14" s="2195" t="s">
        <v>2696</v>
      </c>
      <c r="C14" s="2081">
        <v>1955293.1453786721</v>
      </c>
      <c r="D14" s="2063"/>
      <c r="E14" s="2063"/>
      <c r="F14" s="2063"/>
      <c r="G14" s="2082">
        <v>1919060.111659647</v>
      </c>
      <c r="H14" s="2082">
        <v>36233.033719025334</v>
      </c>
      <c r="I14" s="2082">
        <v>59929.203742471036</v>
      </c>
      <c r="J14" s="2082">
        <v>1895363.9416362017</v>
      </c>
    </row>
    <row r="15" spans="1:16">
      <c r="A15" s="1674"/>
      <c r="B15" s="2194" t="s">
        <v>2743</v>
      </c>
      <c r="C15" s="2019">
        <v>5143482.0459816707</v>
      </c>
      <c r="D15" s="2063"/>
      <c r="E15" s="2063"/>
      <c r="F15" s="2063"/>
      <c r="G15" s="2018">
        <v>5048169.5048183547</v>
      </c>
      <c r="H15" s="2018">
        <v>95312.541163316491</v>
      </c>
      <c r="I15" s="2018">
        <v>157646.32746138994</v>
      </c>
      <c r="J15" s="2018">
        <v>4985835.7185202818</v>
      </c>
    </row>
    <row r="16" spans="1:16">
      <c r="A16" s="1674"/>
      <c r="B16" s="2194" t="s">
        <v>3156</v>
      </c>
      <c r="C16" s="2019">
        <v>16798750.259999998</v>
      </c>
      <c r="D16" s="2063"/>
      <c r="E16" s="2063"/>
      <c r="F16" s="2063"/>
      <c r="G16" s="2018">
        <v>16798750.259999998</v>
      </c>
      <c r="H16" s="2018">
        <v>0</v>
      </c>
      <c r="I16" s="2018">
        <v>0</v>
      </c>
      <c r="J16" s="2018">
        <v>16798750.259999998</v>
      </c>
    </row>
    <row r="17" spans="1:10">
      <c r="A17" s="1674"/>
      <c r="B17" s="2194" t="s">
        <v>3157</v>
      </c>
      <c r="C17" s="2019">
        <v>2110230.1999999993</v>
      </c>
      <c r="D17" s="2063"/>
      <c r="E17" s="2063"/>
      <c r="F17" s="2063"/>
      <c r="G17" s="2018">
        <v>2110230.1999999993</v>
      </c>
      <c r="H17" s="2018">
        <v>0</v>
      </c>
      <c r="I17" s="2018">
        <v>0</v>
      </c>
      <c r="J17" s="2018">
        <v>2110230.1999999993</v>
      </c>
    </row>
    <row r="18" spans="1:10">
      <c r="A18" s="1674">
        <v>0.1</v>
      </c>
      <c r="B18" s="2194" t="s">
        <v>2698</v>
      </c>
      <c r="C18" s="2019">
        <v>3986142.9650967652</v>
      </c>
      <c r="D18" s="2063"/>
      <c r="E18" s="2063"/>
      <c r="F18" s="2063"/>
      <c r="G18" s="2018">
        <v>3918596.4254912138</v>
      </c>
      <c r="H18" s="2018">
        <v>67546.539605549566</v>
      </c>
      <c r="I18" s="2018">
        <v>156132.28774999999</v>
      </c>
      <c r="J18" s="2018">
        <v>3830010.6773467641</v>
      </c>
    </row>
    <row r="19" spans="1:10">
      <c r="A19" s="1674"/>
      <c r="B19" s="2193"/>
      <c r="C19" s="2078"/>
      <c r="D19" s="2063"/>
      <c r="E19" s="2063"/>
      <c r="F19" s="2063"/>
      <c r="G19" s="2077"/>
      <c r="H19" s="2078"/>
      <c r="I19" s="2078"/>
      <c r="J19" s="2078"/>
    </row>
    <row r="20" spans="1:10">
      <c r="A20" s="1674"/>
      <c r="B20" s="2171" t="s">
        <v>3159</v>
      </c>
      <c r="C20" s="2083">
        <v>5613466.6200719196</v>
      </c>
      <c r="D20" s="2063"/>
      <c r="E20" s="2063"/>
      <c r="F20" s="2063"/>
      <c r="G20" s="2029">
        <v>5613466.6200719196</v>
      </c>
      <c r="H20" s="2030">
        <v>0</v>
      </c>
      <c r="I20" s="2030"/>
      <c r="J20" s="2030">
        <v>5613466.6200719196</v>
      </c>
    </row>
    <row r="21" spans="1:10">
      <c r="A21" s="1674"/>
      <c r="B21" s="2193"/>
      <c r="C21" s="2078"/>
      <c r="D21" s="2063"/>
      <c r="E21" s="2063"/>
      <c r="F21" s="2063"/>
      <c r="G21" s="2077"/>
      <c r="H21" s="2078"/>
      <c r="I21" s="2078"/>
      <c r="J21" s="2078"/>
    </row>
    <row r="22" spans="1:10">
      <c r="A22" s="1818">
        <f>C40</f>
        <v>0.05</v>
      </c>
      <c r="B22" s="2195" t="s">
        <v>2676</v>
      </c>
      <c r="C22" s="2081">
        <v>1993071.4825483826</v>
      </c>
      <c r="D22" s="2063"/>
      <c r="E22" s="2063"/>
      <c r="F22" s="2063"/>
      <c r="G22" s="2082">
        <v>1959298.2127456069</v>
      </c>
      <c r="H22" s="2082">
        <v>33773.269802774783</v>
      </c>
      <c r="I22" s="2082">
        <v>78066.143874999994</v>
      </c>
      <c r="J22" s="2082">
        <v>1915005.3386733821</v>
      </c>
    </row>
    <row r="23" spans="1:10">
      <c r="A23" s="1674">
        <v>9.4E-2</v>
      </c>
      <c r="B23" s="2194" t="s">
        <v>2680</v>
      </c>
      <c r="C23" s="2019">
        <v>4334210.9126539398</v>
      </c>
      <c r="D23" s="2063"/>
      <c r="E23" s="2063"/>
      <c r="F23" s="2063"/>
      <c r="G23" s="2018">
        <v>4270717.1654247213</v>
      </c>
      <c r="H23" s="2018">
        <v>63493.747229216584</v>
      </c>
      <c r="I23" s="2018">
        <v>146764.35048499997</v>
      </c>
      <c r="J23" s="2018">
        <v>4187446.5621689386</v>
      </c>
    </row>
    <row r="24" spans="1:10">
      <c r="A24" s="1674"/>
      <c r="B24" s="1863"/>
      <c r="C24" s="2078"/>
      <c r="D24" s="2063"/>
      <c r="E24" s="2063"/>
      <c r="F24" s="2063"/>
      <c r="G24" s="2077"/>
      <c r="H24" s="2078"/>
      <c r="I24" s="2078"/>
      <c r="J24" s="2078"/>
    </row>
    <row r="25" spans="1:10" ht="29">
      <c r="A25" s="1674">
        <v>0.2</v>
      </c>
      <c r="B25" s="1869" t="s">
        <v>3215</v>
      </c>
      <c r="C25" s="2078">
        <v>9221725.3460722119</v>
      </c>
      <c r="D25" s="2063"/>
      <c r="E25" s="2063"/>
      <c r="F25" s="2063"/>
      <c r="G25" s="2077">
        <v>9086632.2668611091</v>
      </c>
      <c r="H25" s="2077">
        <v>135093.07921109913</v>
      </c>
      <c r="I25" s="2077">
        <v>312264.57549999998</v>
      </c>
      <c r="J25" s="2077">
        <v>8909460.7705722097</v>
      </c>
    </row>
    <row r="26" spans="1:10" ht="15" thickBot="1">
      <c r="A26" s="1674"/>
      <c r="B26" s="414"/>
      <c r="C26" s="2034"/>
      <c r="D26" s="2063"/>
      <c r="E26" s="2063"/>
      <c r="F26" s="2063"/>
      <c r="G26" s="2033"/>
      <c r="H26" s="2034"/>
      <c r="I26" s="2034"/>
      <c r="J26" s="2034"/>
    </row>
    <row r="27" spans="1:10" ht="15" thickBot="1">
      <c r="A27" s="1674"/>
      <c r="B27" s="1307" t="s">
        <v>3161</v>
      </c>
      <c r="C27" s="2036">
        <v>66557225.23553475</v>
      </c>
      <c r="D27" s="2063"/>
      <c r="E27" s="2063"/>
      <c r="F27" s="2063"/>
      <c r="G27" s="2035">
        <v>66086845.695914984</v>
      </c>
      <c r="H27" s="2036">
        <v>470379.53961974964</v>
      </c>
      <c r="I27" s="2036">
        <v>979648.44079841697</v>
      </c>
      <c r="J27" s="2036">
        <v>65577576.794736318</v>
      </c>
    </row>
    <row r="28" spans="1:10" ht="15" thickBot="1">
      <c r="A28" s="1674"/>
      <c r="B28" s="414"/>
      <c r="C28" s="2034"/>
      <c r="D28" s="2084"/>
      <c r="E28" s="2063"/>
      <c r="F28" s="2063"/>
      <c r="G28" s="2033"/>
      <c r="H28" s="2034"/>
      <c r="I28" s="2034"/>
      <c r="J28" s="2034"/>
    </row>
    <row r="29" spans="1:10" ht="40.5" customHeight="1" thickBot="1">
      <c r="A29" s="1674"/>
      <c r="B29" s="1665" t="s">
        <v>3162</v>
      </c>
      <c r="C29" s="2085">
        <v>106418654.8865024</v>
      </c>
      <c r="D29" s="2063"/>
      <c r="E29" s="2063"/>
      <c r="F29" s="2063"/>
      <c r="G29" s="2037">
        <v>105272809.95082712</v>
      </c>
      <c r="H29" s="2037">
        <v>1145844.9356752452</v>
      </c>
      <c r="I29" s="2037">
        <v>2540971.3182984167</v>
      </c>
      <c r="J29" s="2037">
        <v>103877683.56820396</v>
      </c>
    </row>
    <row r="30" spans="1:10">
      <c r="E30" s="1044"/>
      <c r="F30" s="998"/>
      <c r="G30" s="1043"/>
      <c r="I30" s="1043"/>
    </row>
    <row r="31" spans="1:10">
      <c r="A31" s="1736"/>
      <c r="B31" s="195" t="s">
        <v>3165</v>
      </c>
      <c r="E31" s="1101"/>
      <c r="G31" s="1043"/>
      <c r="I31" s="1043"/>
    </row>
    <row r="32" spans="1:10">
      <c r="A32" s="1675"/>
      <c r="B32" s="195" t="s">
        <v>3166</v>
      </c>
      <c r="D32" s="901"/>
      <c r="E32" s="901"/>
      <c r="F32" s="997"/>
      <c r="J32" s="1101"/>
    </row>
    <row r="33" spans="1:16" ht="16" thickBot="1">
      <c r="D33" s="1657"/>
      <c r="E33" s="1657"/>
    </row>
    <row r="34" spans="1:16" ht="15.5">
      <c r="B34" s="1706" t="s">
        <v>3167</v>
      </c>
      <c r="C34" s="1312"/>
      <c r="D34" s="2165">
        <v>39861429.65096765</v>
      </c>
      <c r="E34" s="2166"/>
      <c r="F34" s="1995"/>
      <c r="G34" s="2196">
        <v>39185964.254912138</v>
      </c>
      <c r="H34" s="2197">
        <v>675465.3960554956</v>
      </c>
      <c r="I34" s="2197">
        <v>1561322.8774999997</v>
      </c>
      <c r="J34" s="2165">
        <v>38300106.773467638</v>
      </c>
    </row>
    <row r="35" spans="1:16">
      <c r="B35" s="413" t="s">
        <v>3168</v>
      </c>
      <c r="D35" s="2091">
        <v>46108626.730361059</v>
      </c>
      <c r="E35" s="2198"/>
      <c r="F35" s="1995"/>
      <c r="G35" s="2089">
        <v>45433161.334305547</v>
      </c>
      <c r="H35" s="2090">
        <v>675465.3960554956</v>
      </c>
      <c r="I35" s="2090">
        <v>1561322.8774999997</v>
      </c>
      <c r="J35" s="2091">
        <v>44547303.852861047</v>
      </c>
    </row>
    <row r="36" spans="1:16" ht="43.5">
      <c r="B36" s="1683" t="s">
        <v>3169</v>
      </c>
      <c r="C36" s="7"/>
      <c r="D36" s="2041">
        <v>59303775.086818159</v>
      </c>
      <c r="E36" s="1727"/>
      <c r="G36" s="2087">
        <v>58429217.576274768</v>
      </c>
      <c r="H36" s="2088">
        <v>874557.51054338692</v>
      </c>
      <c r="I36" s="2088">
        <v>1935030.6964538605</v>
      </c>
      <c r="J36" s="2041">
        <v>57368744.390364304</v>
      </c>
    </row>
    <row r="37" spans="1:16" ht="29">
      <c r="B37" s="1685" t="s">
        <v>2698</v>
      </c>
      <c r="C37" s="1686">
        <v>0.1</v>
      </c>
      <c r="D37" s="2042">
        <v>3986142.9650967652</v>
      </c>
      <c r="E37" s="1121"/>
      <c r="G37" s="2048">
        <v>3918596.4254912138</v>
      </c>
      <c r="H37" s="2086">
        <v>67546.539605549566</v>
      </c>
      <c r="I37" s="2086">
        <v>156132.28774999999</v>
      </c>
      <c r="J37" s="2034">
        <v>3830010.6773467641</v>
      </c>
    </row>
    <row r="38" spans="1:16" s="1995" customFormat="1">
      <c r="A38" s="1674"/>
      <c r="B38" s="1993" t="s">
        <v>3217</v>
      </c>
      <c r="C38" s="1686"/>
      <c r="D38" s="2042">
        <v>16798750.259999998</v>
      </c>
      <c r="E38" s="1994"/>
      <c r="G38" s="2089">
        <v>16798750.259999998</v>
      </c>
      <c r="H38" s="2090">
        <v>0</v>
      </c>
      <c r="I38" s="2090">
        <v>0</v>
      </c>
      <c r="J38" s="2091">
        <v>16798750.259999998</v>
      </c>
      <c r="P38" s="194"/>
    </row>
    <row r="39" spans="1:16">
      <c r="B39" s="1685" t="s">
        <v>3171</v>
      </c>
      <c r="C39" s="1686"/>
      <c r="D39" s="2042">
        <v>2110230.1999999993</v>
      </c>
      <c r="E39" s="1121"/>
      <c r="G39" s="2048">
        <v>2110230.1999999993</v>
      </c>
      <c r="H39" s="2086">
        <v>0</v>
      </c>
      <c r="I39" s="2086">
        <v>0</v>
      </c>
      <c r="J39" s="2034">
        <v>2110230.1999999993</v>
      </c>
    </row>
    <row r="40" spans="1:16">
      <c r="B40" s="1688" t="s">
        <v>3172</v>
      </c>
      <c r="C40" s="1686">
        <v>0.05</v>
      </c>
      <c r="D40" s="2043">
        <v>1993071.4825483826</v>
      </c>
      <c r="E40" s="1121"/>
      <c r="G40" s="2048">
        <v>1959298.2127456069</v>
      </c>
      <c r="H40" s="2086">
        <v>33773.269802774783</v>
      </c>
      <c r="I40" s="2086">
        <v>78066.143874999994</v>
      </c>
      <c r="J40" s="2034">
        <v>1915005.3386733821</v>
      </c>
    </row>
    <row r="41" spans="1:16">
      <c r="B41" s="1688" t="s">
        <v>3173</v>
      </c>
      <c r="C41" s="1689">
        <v>9.4E-2</v>
      </c>
      <c r="D41" s="2043">
        <v>4334210.9126539398</v>
      </c>
      <c r="E41" s="1996"/>
      <c r="G41" s="2048">
        <v>4270717.1654247213</v>
      </c>
      <c r="H41" s="2086">
        <v>63493.747229216584</v>
      </c>
      <c r="I41" s="2086">
        <v>146764.35048499997</v>
      </c>
      <c r="J41" s="2034">
        <v>4187446.5621689386</v>
      </c>
    </row>
    <row r="42" spans="1:16">
      <c r="B42" s="1688"/>
      <c r="C42" s="1686"/>
      <c r="D42" s="2043"/>
      <c r="E42" s="1121"/>
      <c r="G42" s="2048"/>
      <c r="H42" s="2092"/>
      <c r="I42" s="2092"/>
      <c r="J42" s="2043"/>
    </row>
    <row r="43" spans="1:16" ht="15.75" customHeight="1" thickBot="1">
      <c r="B43" s="1693" t="s">
        <v>2747</v>
      </c>
      <c r="C43" s="1694">
        <v>0.2</v>
      </c>
      <c r="D43" s="2044">
        <v>9221725.3460722119</v>
      </c>
      <c r="E43" s="1062"/>
      <c r="G43" s="2093">
        <v>9086632.2668611091</v>
      </c>
      <c r="H43" s="2094">
        <v>135093.07921109913</v>
      </c>
      <c r="I43" s="2094">
        <v>312264.57549999998</v>
      </c>
      <c r="J43" s="2044">
        <v>8909460.7705722097</v>
      </c>
    </row>
    <row r="44" spans="1:16" ht="15" thickBot="1">
      <c r="G44" s="390"/>
      <c r="H44" s="390"/>
      <c r="I44" s="390"/>
      <c r="J44" s="390"/>
    </row>
    <row r="45" spans="1:16">
      <c r="B45" s="1696" t="s">
        <v>3174</v>
      </c>
      <c r="C45" s="1707"/>
      <c r="D45" s="413"/>
      <c r="E45" s="2039"/>
      <c r="F45" s="29"/>
      <c r="G45" s="1312"/>
      <c r="H45" s="1750"/>
      <c r="I45" s="1750"/>
      <c r="J45" s="1750"/>
    </row>
    <row r="46" spans="1:16">
      <c r="B46" s="413" t="s">
        <v>3175</v>
      </c>
      <c r="C46" s="2058">
        <v>82100000</v>
      </c>
      <c r="D46" s="2061"/>
      <c r="E46" s="2189"/>
      <c r="F46" s="2060"/>
      <c r="G46" s="2179">
        <v>82100000</v>
      </c>
      <c r="H46" s="2059">
        <v>0</v>
      </c>
      <c r="I46" s="2059">
        <v>0</v>
      </c>
      <c r="J46" s="2059">
        <v>82100000</v>
      </c>
    </row>
    <row r="47" spans="1:16">
      <c r="B47" s="413" t="s">
        <v>3176</v>
      </c>
      <c r="C47" s="2057">
        <v>0.10841698841698842</v>
      </c>
      <c r="D47" s="2202"/>
      <c r="E47" s="2203"/>
      <c r="F47" s="2204"/>
      <c r="G47" s="2172">
        <v>0.10841698841698842</v>
      </c>
      <c r="H47" s="2055">
        <v>0.10841698841698842</v>
      </c>
      <c r="I47" s="2055">
        <v>0.10841698841698842</v>
      </c>
      <c r="J47" s="2056">
        <v>0.10841698841698842</v>
      </c>
    </row>
    <row r="48" spans="1:16">
      <c r="B48" s="413"/>
      <c r="C48" s="29"/>
      <c r="D48" s="413"/>
      <c r="E48" s="2039"/>
      <c r="F48" s="29"/>
      <c r="G48" s="2039"/>
      <c r="H48" s="414"/>
      <c r="I48" s="414"/>
      <c r="J48" s="414"/>
    </row>
    <row r="49" spans="2:10">
      <c r="B49" s="413" t="s">
        <v>3177</v>
      </c>
      <c r="C49" s="2163">
        <v>3476889.9127046783</v>
      </c>
      <c r="D49" s="2061"/>
      <c r="E49" s="2189"/>
      <c r="F49" s="2060"/>
      <c r="G49" s="2178">
        <v>3434020.1832656427</v>
      </c>
      <c r="H49" s="2169">
        <v>42869.729439036302</v>
      </c>
      <c r="I49" s="2169">
        <v>81190.625</v>
      </c>
      <c r="J49" s="2169">
        <v>3395699.2877046783</v>
      </c>
    </row>
    <row r="50" spans="2:10">
      <c r="B50" s="413" t="s">
        <v>3178</v>
      </c>
      <c r="C50" s="2058">
        <v>2530565.2508452563</v>
      </c>
      <c r="D50" s="2061"/>
      <c r="E50" s="2189"/>
      <c r="F50" s="2060"/>
      <c r="G50" s="2179">
        <v>2483671.9978929926</v>
      </c>
      <c r="H50" s="2059">
        <v>46893.252952263989</v>
      </c>
      <c r="I50" s="2059">
        <v>77561.137499999997</v>
      </c>
      <c r="J50" s="2059">
        <v>2453004.113345257</v>
      </c>
    </row>
    <row r="51" spans="2:10">
      <c r="B51" s="413" t="s">
        <v>3179</v>
      </c>
      <c r="C51" s="2060">
        <v>6007455.1635499345</v>
      </c>
      <c r="D51" s="2061"/>
      <c r="E51" s="2189"/>
      <c r="F51" s="2060"/>
      <c r="G51" s="2189">
        <v>5917692.1811586358</v>
      </c>
      <c r="H51" s="2061">
        <v>89762.982391300291</v>
      </c>
      <c r="I51" s="2061">
        <v>158751.76250000001</v>
      </c>
      <c r="J51" s="2062">
        <v>5848703.4010499353</v>
      </c>
    </row>
    <row r="52" spans="2:10">
      <c r="B52" s="413"/>
      <c r="C52" s="29"/>
      <c r="D52" s="413"/>
      <c r="E52" s="2039"/>
      <c r="F52" s="29"/>
      <c r="G52" s="2039"/>
      <c r="H52" s="414"/>
      <c r="I52" s="414"/>
      <c r="J52" s="414"/>
    </row>
    <row r="53" spans="2:10">
      <c r="B53" s="413" t="s">
        <v>3180</v>
      </c>
      <c r="C53" s="2057">
        <v>0.43366795366795369</v>
      </c>
      <c r="D53" s="2202"/>
      <c r="E53" s="2203"/>
      <c r="F53" s="2204"/>
      <c r="G53" s="2172">
        <v>0.43366795366795369</v>
      </c>
      <c r="H53" s="2055">
        <v>0.43366795366795369</v>
      </c>
      <c r="I53" s="2055">
        <v>0.43366795366795369</v>
      </c>
      <c r="J53" s="2056">
        <v>0.43366795366795369</v>
      </c>
    </row>
    <row r="54" spans="2:10">
      <c r="B54" s="413"/>
      <c r="C54" s="29"/>
      <c r="D54" s="413"/>
      <c r="E54" s="2039"/>
      <c r="F54" s="29"/>
      <c r="G54" s="2039"/>
      <c r="H54" s="414"/>
      <c r="I54" s="414"/>
      <c r="J54" s="414"/>
    </row>
    <row r="55" spans="2:10">
      <c r="B55" s="413" t="s">
        <v>3181</v>
      </c>
      <c r="C55" s="2030">
        <v>4450517.3745173747</v>
      </c>
      <c r="D55" s="2048"/>
      <c r="E55" s="2086"/>
      <c r="F55" s="2034"/>
      <c r="G55" s="2181">
        <v>4450517.3745173747</v>
      </c>
      <c r="H55" s="2029">
        <v>0</v>
      </c>
      <c r="I55" s="2029">
        <v>0</v>
      </c>
      <c r="J55" s="2029">
        <v>4450517.3745173747</v>
      </c>
    </row>
    <row r="56" spans="2:10">
      <c r="B56" s="413"/>
      <c r="C56" s="2034"/>
      <c r="D56" s="2048"/>
      <c r="E56" s="2086"/>
      <c r="F56" s="2034"/>
      <c r="G56" s="2086"/>
      <c r="H56" s="2033"/>
      <c r="I56" s="2033"/>
      <c r="J56" s="2033"/>
    </row>
    <row r="57" spans="2:10">
      <c r="B57" s="413" t="s">
        <v>3182</v>
      </c>
      <c r="C57" s="2030">
        <v>2605240.787528682</v>
      </c>
      <c r="D57" s="2048"/>
      <c r="E57" s="2086"/>
      <c r="F57" s="2034"/>
      <c r="G57" s="2181">
        <v>2566313.4586399151</v>
      </c>
      <c r="H57" s="2047">
        <v>38927.328888767755</v>
      </c>
      <c r="I57" s="2047">
        <v>68845.55198455599</v>
      </c>
      <c r="J57" s="2029">
        <v>2536395.2355441265</v>
      </c>
    </row>
    <row r="58" spans="2:10">
      <c r="B58" s="413"/>
      <c r="C58" s="2034"/>
      <c r="D58" s="2048"/>
      <c r="E58" s="2086"/>
      <c r="F58" s="2034"/>
      <c r="G58" s="2086"/>
      <c r="H58" s="2033"/>
      <c r="I58" s="2033"/>
      <c r="J58" s="2033"/>
    </row>
    <row r="59" spans="2:10" ht="15" thickBot="1">
      <c r="B59" s="407" t="s">
        <v>3183</v>
      </c>
      <c r="C59" s="2051">
        <v>7055758.1620460562</v>
      </c>
      <c r="D59" s="2048"/>
      <c r="E59" s="2086"/>
      <c r="F59" s="2034"/>
      <c r="G59" s="2182">
        <v>7016830.8331572898</v>
      </c>
      <c r="H59" s="2049">
        <v>38927.328888767755</v>
      </c>
      <c r="I59" s="2049">
        <v>68845.55198455599</v>
      </c>
      <c r="J59" s="2050">
        <v>6986912.6100615012</v>
      </c>
    </row>
    <row r="60" spans="2:10">
      <c r="B60" s="1717" t="s">
        <v>3184</v>
      </c>
      <c r="C60" s="29"/>
      <c r="D60" s="413"/>
      <c r="E60" s="2039"/>
      <c r="F60" s="29"/>
      <c r="G60" s="2199"/>
      <c r="H60" s="2095"/>
      <c r="I60" s="2095"/>
      <c r="J60" s="2096"/>
    </row>
    <row r="61" spans="2:10">
      <c r="B61" s="2064">
        <v>1732500</v>
      </c>
      <c r="C61" s="29" t="s">
        <v>3185</v>
      </c>
      <c r="D61" s="413"/>
      <c r="E61" s="2039"/>
      <c r="F61" s="29"/>
      <c r="G61" s="2183">
        <v>1732500</v>
      </c>
      <c r="H61" s="2065">
        <v>1732500</v>
      </c>
      <c r="I61" s="2065">
        <v>1732500</v>
      </c>
      <c r="J61" s="2066">
        <v>1732500</v>
      </c>
    </row>
    <row r="62" spans="2:10">
      <c r="B62" s="2064">
        <v>30</v>
      </c>
      <c r="C62" s="29" t="s">
        <v>3186</v>
      </c>
      <c r="D62" s="413"/>
      <c r="E62" s="2039"/>
      <c r="F62" s="29"/>
      <c r="G62" s="2183">
        <v>30</v>
      </c>
      <c r="H62" s="2065">
        <v>30</v>
      </c>
      <c r="I62" s="2065">
        <v>30</v>
      </c>
      <c r="J62" s="2066">
        <v>30</v>
      </c>
    </row>
    <row r="63" spans="2:10">
      <c r="B63" s="2064">
        <v>500</v>
      </c>
      <c r="C63" s="29" t="s">
        <v>3187</v>
      </c>
      <c r="D63" s="413"/>
      <c r="E63" s="2039"/>
      <c r="F63" s="29"/>
      <c r="G63" s="2183">
        <v>500</v>
      </c>
      <c r="H63" s="2065">
        <v>500</v>
      </c>
      <c r="I63" s="2065">
        <v>500</v>
      </c>
      <c r="J63" s="2066">
        <v>500</v>
      </c>
    </row>
    <row r="64" spans="2:10">
      <c r="B64" s="2064"/>
      <c r="C64" s="29"/>
      <c r="D64" s="413"/>
      <c r="E64" s="2039"/>
      <c r="F64" s="29"/>
      <c r="G64" s="2183"/>
      <c r="H64" s="2065"/>
      <c r="I64" s="2065"/>
      <c r="J64" s="2066"/>
    </row>
    <row r="65" spans="2:10">
      <c r="B65" s="2183">
        <v>115.5</v>
      </c>
      <c r="C65" s="29" t="s">
        <v>3188</v>
      </c>
      <c r="D65" s="413"/>
      <c r="E65" s="2039"/>
      <c r="F65" s="29"/>
      <c r="G65" s="2183">
        <v>115.5</v>
      </c>
      <c r="H65" s="2065">
        <v>115.5</v>
      </c>
      <c r="I65" s="2065">
        <v>115.5</v>
      </c>
      <c r="J65" s="2066">
        <v>115.5</v>
      </c>
    </row>
    <row r="66" spans="2:10">
      <c r="B66" s="2200">
        <v>1</v>
      </c>
      <c r="C66" s="29" t="s">
        <v>3189</v>
      </c>
      <c r="D66" s="413"/>
      <c r="E66" s="2039"/>
      <c r="F66" s="29"/>
      <c r="G66" s="2200">
        <v>1</v>
      </c>
      <c r="H66" s="2097">
        <v>1</v>
      </c>
      <c r="I66" s="2097">
        <v>1</v>
      </c>
      <c r="J66" s="2097">
        <v>1</v>
      </c>
    </row>
    <row r="67" spans="2:10" ht="15" thickBot="1">
      <c r="B67" s="413"/>
      <c r="C67" s="29"/>
      <c r="D67" s="413"/>
      <c r="E67" s="2039"/>
      <c r="F67" s="29"/>
      <c r="G67" s="2183"/>
      <c r="H67" s="2065"/>
      <c r="I67" s="2065"/>
      <c r="J67" s="2066"/>
    </row>
    <row r="68" spans="2:10">
      <c r="B68" s="1703" t="s">
        <v>3190</v>
      </c>
      <c r="C68" s="1314"/>
      <c r="D68" s="413"/>
      <c r="E68" s="2039"/>
      <c r="F68" s="29"/>
      <c r="G68" s="1314"/>
      <c r="H68" s="1750"/>
      <c r="I68" s="1750"/>
      <c r="J68" s="1314"/>
    </row>
    <row r="69" spans="2:10">
      <c r="B69" s="413" t="s">
        <v>3191</v>
      </c>
      <c r="C69" s="2054">
        <v>119.25868725868726</v>
      </c>
      <c r="D69" s="413"/>
      <c r="E69" s="2039"/>
      <c r="F69" s="29"/>
      <c r="G69" s="2054">
        <v>119.25868725868726</v>
      </c>
      <c r="H69" s="2071">
        <v>119.25868725868726</v>
      </c>
      <c r="I69" s="2071">
        <v>119.25868725868726</v>
      </c>
      <c r="J69" s="2071">
        <v>119.25868725868726</v>
      </c>
    </row>
    <row r="70" spans="2:10">
      <c r="B70" s="413" t="s">
        <v>3192</v>
      </c>
      <c r="C70" s="2054">
        <v>115.5</v>
      </c>
      <c r="D70" s="413"/>
      <c r="E70" s="2039"/>
      <c r="F70" s="29"/>
      <c r="G70" s="2054">
        <v>115.5</v>
      </c>
      <c r="H70" s="2071">
        <v>115.5</v>
      </c>
      <c r="I70" s="2071">
        <v>115.5</v>
      </c>
      <c r="J70" s="2071">
        <v>115.5</v>
      </c>
    </row>
    <row r="71" spans="2:10">
      <c r="B71" s="413"/>
      <c r="C71" s="2054"/>
      <c r="D71" s="413"/>
      <c r="E71" s="2039"/>
      <c r="F71" s="29"/>
      <c r="G71" s="2054"/>
      <c r="H71" s="2071"/>
      <c r="I71" s="2071"/>
      <c r="J71" s="2054"/>
    </row>
    <row r="72" spans="2:10">
      <c r="B72" s="413" t="s">
        <v>3193</v>
      </c>
      <c r="C72" s="2053">
        <v>5143482.0459816707</v>
      </c>
      <c r="D72" s="413"/>
      <c r="E72" s="2039"/>
      <c r="F72" s="29"/>
      <c r="G72" s="2053">
        <v>5048169.5048183547</v>
      </c>
      <c r="H72" s="2053">
        <v>95312.541163316491</v>
      </c>
      <c r="I72" s="2053">
        <v>157646.32746138994</v>
      </c>
      <c r="J72" s="2053">
        <v>4985835.7185202818</v>
      </c>
    </row>
    <row r="73" spans="2:10">
      <c r="B73" s="413"/>
      <c r="C73" s="2054"/>
      <c r="D73" s="413"/>
      <c r="E73" s="2039"/>
      <c r="F73" s="29"/>
      <c r="G73" s="2054"/>
      <c r="H73" s="2071"/>
      <c r="I73" s="2071"/>
      <c r="J73" s="2054"/>
    </row>
    <row r="74" spans="2:10" ht="15" thickBot="1">
      <c r="B74" s="407" t="s">
        <v>3162</v>
      </c>
      <c r="C74" s="2098">
        <v>5143482.0459816707</v>
      </c>
      <c r="D74" s="413"/>
      <c r="E74" s="2039"/>
      <c r="F74" s="29"/>
      <c r="G74" s="2098">
        <v>5048169.5048183547</v>
      </c>
      <c r="H74" s="2099">
        <v>95312.541163316491</v>
      </c>
      <c r="I74" s="2099">
        <v>157646.32746138994</v>
      </c>
      <c r="J74" s="2099">
        <v>4985835.7185202818</v>
      </c>
    </row>
    <row r="75" spans="2:10">
      <c r="B75" s="1748" t="s">
        <v>3220</v>
      </c>
      <c r="C75" s="29"/>
      <c r="D75" s="413"/>
      <c r="E75" s="2039"/>
      <c r="F75" s="29"/>
      <c r="G75" s="2039"/>
      <c r="H75" s="414"/>
      <c r="I75" s="414"/>
      <c r="J75" s="1750"/>
    </row>
    <row r="76" spans="2:10">
      <c r="B76" s="1688" t="s">
        <v>3195</v>
      </c>
      <c r="C76" s="1714">
        <v>21909.655851474079</v>
      </c>
      <c r="D76" s="1699"/>
      <c r="E76" s="2190"/>
      <c r="F76" s="1751"/>
      <c r="G76" s="2201">
        <v>21503.65366141119</v>
      </c>
      <c r="H76" s="1746">
        <v>406.00219006289166</v>
      </c>
      <c r="I76" s="1746">
        <v>671.52499999999998</v>
      </c>
      <c r="J76" s="1746">
        <v>21238.130851474085</v>
      </c>
    </row>
    <row r="77" spans="2:10">
      <c r="B77" s="1688" t="s">
        <v>3196</v>
      </c>
      <c r="C77" s="1714">
        <v>15336.759096031854</v>
      </c>
      <c r="D77" s="1699"/>
      <c r="E77" s="2190"/>
      <c r="F77" s="1751"/>
      <c r="G77" s="2201">
        <v>15052.557562987831</v>
      </c>
      <c r="H77" s="1746">
        <v>284.20153304402413</v>
      </c>
      <c r="I77" s="1746">
        <v>470.06749999999994</v>
      </c>
      <c r="J77" s="1746">
        <v>14866.691596031858</v>
      </c>
    </row>
    <row r="78" spans="2:10">
      <c r="B78" s="1688" t="s">
        <v>3197</v>
      </c>
      <c r="C78" s="1714">
        <v>6572.8967554422234</v>
      </c>
      <c r="D78" s="1699"/>
      <c r="E78" s="2190"/>
      <c r="F78" s="1751"/>
      <c r="G78" s="2201">
        <v>6451.096098423357</v>
      </c>
      <c r="H78" s="1749">
        <v>121.8006570188675</v>
      </c>
      <c r="I78" s="1749">
        <v>201.45749999999998</v>
      </c>
      <c r="J78" s="1746">
        <v>6371.4392554422257</v>
      </c>
    </row>
    <row r="79" spans="2:10">
      <c r="B79" s="1688"/>
      <c r="C79" s="1692"/>
      <c r="D79" s="413"/>
      <c r="E79" s="2039"/>
      <c r="F79" s="29"/>
      <c r="G79" s="2186"/>
      <c r="H79" s="1747"/>
      <c r="I79" s="1747"/>
      <c r="J79" s="1747"/>
    </row>
    <row r="80" spans="2:10">
      <c r="B80" s="1688" t="s">
        <v>3198</v>
      </c>
      <c r="C80" s="2187">
        <v>1420832.891828042</v>
      </c>
      <c r="D80" s="2048"/>
      <c r="E80" s="2086"/>
      <c r="F80" s="2034"/>
      <c r="G80" s="2187">
        <v>1394503.8034249139</v>
      </c>
      <c r="H80" s="2072">
        <v>26329.088403128229</v>
      </c>
      <c r="I80" s="2072">
        <v>43548.142159459458</v>
      </c>
      <c r="J80" s="2073">
        <v>1377284.7496685828</v>
      </c>
    </row>
    <row r="81" spans="2:16">
      <c r="B81" s="1688" t="s">
        <v>3199</v>
      </c>
      <c r="C81" s="2187">
        <v>534460.25355063018</v>
      </c>
      <c r="D81" s="2048"/>
      <c r="E81" s="2086"/>
      <c r="F81" s="2034"/>
      <c r="G81" s="2187">
        <v>524556.30823473318</v>
      </c>
      <c r="H81" s="2072">
        <v>9903.945315897101</v>
      </c>
      <c r="I81" s="2072">
        <v>16381.06158301158</v>
      </c>
      <c r="J81" s="2073">
        <v>518079.19196761883</v>
      </c>
    </row>
    <row r="82" spans="2:16">
      <c r="B82" s="413"/>
      <c r="C82" s="2034"/>
      <c r="D82" s="2048"/>
      <c r="E82" s="2086"/>
      <c r="F82" s="2034"/>
      <c r="G82" s="2086"/>
      <c r="H82" s="2033"/>
      <c r="I82" s="2033"/>
      <c r="J82" s="2033"/>
    </row>
    <row r="83" spans="2:16" ht="15" thickBot="1">
      <c r="B83" s="1705" t="s">
        <v>3200</v>
      </c>
      <c r="C83" s="2075">
        <v>1955293.1453786721</v>
      </c>
      <c r="D83" s="2048"/>
      <c r="E83" s="2086"/>
      <c r="F83" s="2034"/>
      <c r="G83" s="2188">
        <v>1919060.111659647</v>
      </c>
      <c r="H83" s="2076">
        <v>36233.033719025334</v>
      </c>
      <c r="I83" s="2076">
        <v>59929.203742471036</v>
      </c>
      <c r="J83" s="2100">
        <v>1895363.9416362017</v>
      </c>
    </row>
    <row r="84" spans="2:16">
      <c r="C84" s="2039"/>
      <c r="D84" s="2039"/>
      <c r="E84" s="2039"/>
      <c r="F84" s="2039"/>
      <c r="G84" s="2039"/>
    </row>
    <row r="85" spans="2:16">
      <c r="C85" s="2039"/>
      <c r="D85" s="2039"/>
      <c r="E85" s="2039"/>
      <c r="F85" s="2039"/>
      <c r="G85" s="2039"/>
    </row>
    <row r="90" spans="2:16">
      <c r="B90" s="1819" t="s">
        <v>3221</v>
      </c>
      <c r="C90" s="1820" t="s">
        <v>3201</v>
      </c>
    </row>
    <row r="91" spans="2:16" ht="28">
      <c r="B91" s="1756" t="s">
        <v>2924</v>
      </c>
      <c r="C91" s="1757">
        <v>100</v>
      </c>
      <c r="P91"/>
    </row>
    <row r="92" spans="2:16" ht="28">
      <c r="B92" s="1756" t="s">
        <v>3202</v>
      </c>
      <c r="C92" s="1757">
        <v>129.5</v>
      </c>
      <c r="P92"/>
    </row>
    <row r="93" spans="2:16">
      <c r="B93" s="1756" t="s">
        <v>2926</v>
      </c>
      <c r="C93" s="1757">
        <v>140.4</v>
      </c>
      <c r="D93" s="1760" t="s">
        <v>3203</v>
      </c>
      <c r="E93" s="1760"/>
      <c r="F93" s="1760"/>
      <c r="P93"/>
    </row>
    <row r="94" spans="2:16" ht="28">
      <c r="B94" s="1756" t="s">
        <v>2928</v>
      </c>
      <c r="C94" s="1759">
        <f>((C93-C92)/C92)</f>
        <v>8.4169884169884218E-2</v>
      </c>
      <c r="P94"/>
    </row>
    <row r="95" spans="2:16">
      <c r="P95"/>
    </row>
    <row r="96" spans="2:16">
      <c r="P96"/>
    </row>
    <row r="97" spans="2:16">
      <c r="B97" s="1819" t="s">
        <v>7825</v>
      </c>
      <c r="C97" s="1820" t="s">
        <v>3201</v>
      </c>
      <c r="P97"/>
    </row>
    <row r="98" spans="2:16" ht="28">
      <c r="B98" s="1756" t="s">
        <v>2924</v>
      </c>
      <c r="C98" s="1757">
        <v>100</v>
      </c>
      <c r="P98"/>
    </row>
    <row r="99" spans="2:16" ht="28">
      <c r="B99" s="1756" t="s">
        <v>3222</v>
      </c>
      <c r="C99" s="2205">
        <v>118.8</v>
      </c>
      <c r="P99"/>
    </row>
    <row r="100" spans="2:16">
      <c r="B100" s="1756" t="s">
        <v>2926</v>
      </c>
      <c r="C100" s="1757">
        <v>140.4</v>
      </c>
      <c r="D100" s="1760" t="s">
        <v>3203</v>
      </c>
      <c r="E100" s="1760"/>
      <c r="P100"/>
    </row>
    <row r="101" spans="2:16" ht="28">
      <c r="B101" s="1756" t="s">
        <v>2928</v>
      </c>
      <c r="C101" s="1759">
        <f>((C100-C99)/C99)</f>
        <v>0.18181818181818191</v>
      </c>
      <c r="P101"/>
    </row>
    <row r="102" spans="2:16">
      <c r="P102"/>
    </row>
  </sheetData>
  <hyperlinks>
    <hyperlink ref="D93" r:id="rId1" display="https://www150.statcan.gc.ca/t1/tbl1/en/tv.action?pid=1810000402" xr:uid="{7EDF2D87-55F0-47DD-9C3C-E365EAE42061}"/>
    <hyperlink ref="D100" r:id="rId2" display="https://www150.statcan.gc.ca/t1/tbl1/en/tv.action?pid=1810000402" xr:uid="{5693F0B2-C01C-4535-821D-96D73D808128}"/>
  </hyperlinks>
  <pageMargins left="0.7" right="0.7" top="0.75" bottom="0.75" header="0.3" footer="0.3"/>
  <pageSetup orientation="portrait"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FF0000"/>
  </sheetPr>
  <dimension ref="A1:BI178"/>
  <sheetViews>
    <sheetView topLeftCell="A10" zoomScale="55" zoomScaleNormal="55" workbookViewId="0">
      <selection activeCell="A11" sqref="A11"/>
    </sheetView>
  </sheetViews>
  <sheetFormatPr defaultColWidth="9.1796875" defaultRowHeight="15.5"/>
  <cols>
    <col min="1" max="1" width="4.81640625" style="455" customWidth="1"/>
    <col min="2" max="2" width="8.7265625" style="459" bestFit="1" customWidth="1"/>
    <col min="3" max="3" width="17" style="459" customWidth="1"/>
    <col min="4" max="4" width="26.81640625" style="456" customWidth="1"/>
    <col min="5" max="5" width="35.81640625" style="456" customWidth="1"/>
    <col min="6" max="6" width="19" style="456" customWidth="1"/>
    <col min="7" max="7" width="19.453125" style="456" customWidth="1"/>
    <col min="8" max="8" width="15" style="460" customWidth="1"/>
    <col min="9" max="9" width="29.1796875" style="460" customWidth="1"/>
    <col min="10" max="10" width="48.54296875" style="456" customWidth="1"/>
    <col min="11" max="11" width="45.7265625" style="456" customWidth="1"/>
    <col min="12" max="12" width="19.453125" style="456" customWidth="1"/>
    <col min="13" max="13" width="9.26953125" style="456" customWidth="1"/>
    <col min="14" max="15" width="7.7265625" style="459" customWidth="1"/>
    <col min="16" max="16" width="9" style="456" customWidth="1"/>
    <col min="17" max="17" width="9.54296875" style="456" customWidth="1"/>
    <col min="18" max="18" width="9" style="456" customWidth="1"/>
    <col min="19" max="20" width="10.1796875" style="456" customWidth="1"/>
    <col min="21" max="21" width="10.81640625" style="456" customWidth="1"/>
    <col min="22" max="24" width="9.1796875" style="456" customWidth="1"/>
    <col min="25" max="25" width="7.1796875" style="456" customWidth="1"/>
    <col min="26" max="26" width="6.26953125" style="456" customWidth="1"/>
    <col min="27" max="27" width="7.1796875" style="456" customWidth="1"/>
    <col min="28" max="28" width="6.26953125" style="456" customWidth="1"/>
    <col min="29" max="29" width="6.81640625" style="456" customWidth="1"/>
    <col min="30" max="40" width="7.54296875" style="456" customWidth="1"/>
    <col min="41" max="41" width="8.81640625" style="456" customWidth="1"/>
    <col min="42" max="42" width="12.453125" style="456" customWidth="1"/>
    <col min="43" max="43" width="11.453125" style="456" customWidth="1"/>
    <col min="44" max="44" width="8.1796875" style="456" customWidth="1"/>
    <col min="45" max="45" width="8.54296875" style="457" customWidth="1"/>
    <col min="46" max="46" width="26.1796875" style="458" customWidth="1"/>
    <col min="47" max="48" width="28.453125" style="457" customWidth="1"/>
    <col min="49" max="49" width="48.1796875" style="457" customWidth="1"/>
    <col min="50" max="50" width="9.1796875" style="456"/>
    <col min="51" max="51" width="11.7265625" style="456" customWidth="1"/>
    <col min="52" max="56" width="9.1796875" style="456"/>
    <col min="57" max="57" width="9.1796875" style="456" customWidth="1"/>
    <col min="58" max="58" width="17.54296875" style="456" customWidth="1"/>
    <col min="59" max="59" width="11" style="456" customWidth="1"/>
    <col min="60" max="60" width="12" style="456" customWidth="1"/>
    <col min="61" max="61" width="33.81640625" style="456" bestFit="1" customWidth="1"/>
    <col min="62" max="16384" width="9.1796875" style="455"/>
  </cols>
  <sheetData>
    <row r="1" spans="1:61" s="751" customFormat="1" ht="4.5" customHeight="1">
      <c r="A1" s="771"/>
      <c r="B1" s="742"/>
      <c r="C1" s="739"/>
      <c r="D1" s="739"/>
      <c r="E1" s="739"/>
      <c r="F1" s="739"/>
      <c r="G1" s="739"/>
      <c r="H1" s="770"/>
      <c r="I1" s="770"/>
      <c r="J1" s="770"/>
      <c r="K1" s="770"/>
      <c r="L1" s="770"/>
      <c r="M1" s="748"/>
      <c r="N1" s="748"/>
      <c r="O1" s="748"/>
      <c r="P1" s="748"/>
      <c r="Q1" s="748"/>
      <c r="R1" s="748"/>
      <c r="S1" s="748"/>
      <c r="T1" s="748"/>
      <c r="U1" s="748"/>
      <c r="V1" s="748"/>
      <c r="W1" s="748"/>
      <c r="X1" s="748"/>
      <c r="Y1" s="748"/>
      <c r="Z1" s="748"/>
      <c r="AA1" s="748"/>
      <c r="AB1" s="748"/>
      <c r="AC1" s="752"/>
      <c r="AD1" s="752"/>
      <c r="AE1" s="752"/>
      <c r="AF1" s="752"/>
      <c r="AG1" s="752"/>
      <c r="AH1" s="752"/>
      <c r="AI1" s="752"/>
      <c r="AJ1" s="752"/>
      <c r="AK1" s="752"/>
      <c r="AL1" s="752"/>
      <c r="AM1" s="752"/>
      <c r="AN1" s="752"/>
      <c r="AO1" s="752"/>
      <c r="AP1" s="752"/>
      <c r="AQ1" s="752"/>
      <c r="AR1" s="752"/>
      <c r="AS1" s="768"/>
      <c r="AT1" s="769"/>
      <c r="AU1" s="768"/>
      <c r="AV1" s="768"/>
      <c r="AW1" s="768"/>
      <c r="AX1" s="752"/>
      <c r="AY1" s="752"/>
      <c r="AZ1" s="752"/>
      <c r="BA1" s="752"/>
      <c r="BB1" s="752"/>
      <c r="BC1" s="752"/>
      <c r="BD1" s="752"/>
      <c r="BE1" s="752"/>
      <c r="BF1" s="752"/>
      <c r="BG1" s="752"/>
      <c r="BH1" s="752"/>
      <c r="BI1" s="752"/>
    </row>
    <row r="2" spans="1:61" s="751" customFormat="1" ht="54" customHeight="1">
      <c r="A2" s="2384"/>
      <c r="B2" s="2384"/>
      <c r="C2" s="2384"/>
      <c r="D2" s="2384"/>
      <c r="E2" s="739"/>
      <c r="F2" s="739"/>
      <c r="G2" s="739"/>
      <c r="H2" s="748"/>
      <c r="I2" s="748"/>
      <c r="J2" s="748"/>
      <c r="K2" s="748"/>
      <c r="L2" s="748"/>
      <c r="M2" s="748"/>
      <c r="N2" s="748"/>
      <c r="O2" s="748"/>
      <c r="P2" s="748"/>
      <c r="Q2" s="748"/>
      <c r="R2" s="748"/>
      <c r="S2" s="748"/>
      <c r="T2" s="748"/>
      <c r="U2" s="748"/>
      <c r="V2" s="748"/>
      <c r="W2" s="748"/>
      <c r="X2" s="748"/>
      <c r="Y2" s="748"/>
      <c r="Z2" s="748"/>
      <c r="AA2" s="748"/>
      <c r="AB2" s="748"/>
      <c r="AC2" s="752"/>
      <c r="AD2" s="752"/>
      <c r="AE2" s="752"/>
      <c r="AF2" s="752"/>
      <c r="AG2" s="752"/>
      <c r="AH2" s="752"/>
      <c r="AI2" s="752"/>
      <c r="AJ2" s="752"/>
      <c r="AK2" s="752"/>
      <c r="AL2" s="2385"/>
      <c r="AM2" s="2385"/>
      <c r="AN2" s="2386"/>
      <c r="AO2" s="2386"/>
      <c r="AP2" s="2386"/>
      <c r="AQ2" s="2386"/>
      <c r="AR2" s="2386"/>
      <c r="AS2" s="768"/>
      <c r="AT2" s="769"/>
      <c r="AU2" s="768"/>
      <c r="AV2" s="768"/>
      <c r="AW2" s="768"/>
      <c r="AX2" s="752"/>
      <c r="AY2" s="752"/>
      <c r="AZ2" s="752"/>
      <c r="BA2" s="752"/>
      <c r="BB2" s="752"/>
      <c r="BC2" s="752"/>
      <c r="BD2" s="752"/>
      <c r="BE2" s="752"/>
      <c r="BF2" s="752"/>
      <c r="BG2" s="752"/>
      <c r="BH2" s="752"/>
      <c r="BI2" s="752"/>
    </row>
    <row r="3" spans="1:61" s="751" customFormat="1" ht="31.5" customHeight="1">
      <c r="A3" s="767"/>
      <c r="B3" s="766"/>
      <c r="C3" s="765"/>
      <c r="D3" s="765"/>
      <c r="E3" s="765"/>
      <c r="F3" s="765"/>
      <c r="G3" s="765"/>
      <c r="H3" s="764"/>
      <c r="I3" s="764"/>
      <c r="J3" s="764"/>
      <c r="K3" s="764"/>
      <c r="L3" s="764"/>
      <c r="M3" s="764"/>
      <c r="N3" s="764"/>
      <c r="O3" s="764"/>
      <c r="P3" s="764"/>
      <c r="Q3" s="764"/>
      <c r="R3" s="764"/>
      <c r="S3" s="764"/>
      <c r="T3" s="764"/>
      <c r="U3" s="764"/>
      <c r="V3" s="764"/>
      <c r="W3" s="764"/>
      <c r="X3" s="764"/>
      <c r="Y3" s="764"/>
      <c r="Z3" s="764"/>
      <c r="AA3" s="764"/>
      <c r="AB3" s="764"/>
      <c r="AC3" s="763"/>
      <c r="AD3" s="763"/>
      <c r="AE3" s="763"/>
      <c r="AF3" s="763"/>
      <c r="AG3" s="763"/>
      <c r="AH3" s="763"/>
      <c r="AI3" s="763"/>
      <c r="AJ3" s="763"/>
      <c r="AK3" s="763"/>
      <c r="AL3" s="763"/>
      <c r="AM3" s="763"/>
      <c r="AN3" s="2387" t="s">
        <v>5673</v>
      </c>
      <c r="AO3" s="2387"/>
      <c r="AP3" s="2387"/>
      <c r="AQ3" s="2387"/>
      <c r="AR3" s="2387"/>
      <c r="AS3" s="762"/>
      <c r="AT3" s="761"/>
      <c r="AU3" s="760"/>
      <c r="AV3" s="760"/>
      <c r="AW3" s="760"/>
      <c r="AX3" s="752"/>
      <c r="AY3" s="752"/>
      <c r="AZ3" s="752"/>
      <c r="BA3" s="752"/>
      <c r="BB3" s="752"/>
      <c r="BC3" s="752"/>
      <c r="BD3" s="752"/>
      <c r="BE3" s="752"/>
      <c r="BF3" s="752"/>
      <c r="BG3" s="752"/>
      <c r="BH3" s="752"/>
      <c r="BI3" s="752"/>
    </row>
    <row r="4" spans="1:61" s="751" customFormat="1" ht="20.25" customHeight="1">
      <c r="A4" s="759" t="s">
        <v>5674</v>
      </c>
      <c r="B4" s="758"/>
      <c r="C4" s="757"/>
      <c r="D4" s="757"/>
      <c r="E4" s="739"/>
      <c r="F4" s="739"/>
      <c r="G4" s="739"/>
      <c r="H4" s="748"/>
      <c r="I4" s="748"/>
      <c r="J4" s="748"/>
      <c r="K4" s="748"/>
      <c r="L4" s="748"/>
      <c r="M4" s="748"/>
      <c r="N4" s="748"/>
      <c r="O4" s="748"/>
      <c r="P4" s="748"/>
      <c r="Q4" s="748"/>
      <c r="R4" s="748"/>
      <c r="S4" s="748"/>
      <c r="T4" s="748"/>
      <c r="U4" s="748"/>
      <c r="V4" s="748"/>
      <c r="W4" s="748"/>
      <c r="X4" s="748"/>
      <c r="Y4" s="748"/>
      <c r="Z4" s="748"/>
      <c r="AA4" s="748"/>
      <c r="AB4" s="748"/>
      <c r="AC4" s="752"/>
      <c r="AD4" s="752"/>
      <c r="AE4" s="752"/>
      <c r="AF4" s="752"/>
      <c r="AG4" s="752"/>
      <c r="AH4" s="752"/>
      <c r="AI4" s="752"/>
      <c r="AJ4" s="752"/>
      <c r="AK4" s="752"/>
      <c r="AL4" s="752"/>
      <c r="AM4" s="752"/>
      <c r="AN4" s="2388" t="s">
        <v>5675</v>
      </c>
      <c r="AO4" s="2388"/>
      <c r="AP4" s="2388"/>
      <c r="AQ4" s="2388"/>
      <c r="AR4" s="2388"/>
      <c r="AS4" s="755"/>
      <c r="AT4" s="756"/>
      <c r="AU4" s="755"/>
      <c r="AV4" s="755"/>
      <c r="AW4" s="755"/>
      <c r="AX4" s="752"/>
      <c r="AY4" s="752"/>
      <c r="AZ4" s="752"/>
      <c r="BA4" s="752"/>
      <c r="BB4" s="752"/>
      <c r="BC4" s="752"/>
      <c r="BD4" s="752"/>
      <c r="BE4" s="752"/>
      <c r="BF4" s="752"/>
      <c r="BG4" s="752"/>
      <c r="BH4" s="752"/>
      <c r="BI4" s="752"/>
    </row>
    <row r="5" spans="1:61" s="751" customFormat="1" ht="21.75" customHeight="1">
      <c r="A5" s="1830" t="s">
        <v>3648</v>
      </c>
      <c r="B5" s="1831"/>
      <c r="C5" s="1832"/>
      <c r="D5" s="1832"/>
      <c r="E5" s="1833"/>
      <c r="F5" s="1833"/>
      <c r="G5" s="1833"/>
      <c r="H5" s="1834"/>
      <c r="I5" s="1834"/>
      <c r="J5" s="1834"/>
      <c r="K5" s="1834"/>
      <c r="L5" s="1834"/>
      <c r="M5" s="1834"/>
      <c r="N5" s="1834"/>
      <c r="O5" s="1834"/>
      <c r="P5" s="1834"/>
      <c r="Q5" s="1834"/>
      <c r="R5" s="1834"/>
      <c r="S5" s="1834"/>
      <c r="T5" s="1834"/>
      <c r="U5" s="1834"/>
      <c r="V5" s="1834"/>
      <c r="W5" s="1834"/>
      <c r="X5" s="1834"/>
      <c r="Y5" s="1834"/>
      <c r="Z5" s="1834"/>
      <c r="AA5" s="1834"/>
      <c r="AB5" s="1834"/>
      <c r="AC5" s="1835"/>
      <c r="AD5" s="1836"/>
      <c r="AE5" s="1836"/>
      <c r="AF5" s="1836"/>
      <c r="AG5" s="1836"/>
      <c r="AH5" s="1836"/>
      <c r="AI5" s="1836"/>
      <c r="AJ5" s="1836"/>
      <c r="AK5" s="1836"/>
      <c r="AL5" s="1836"/>
      <c r="AM5" s="1836"/>
      <c r="AN5" s="1836"/>
      <c r="AO5" s="1836"/>
      <c r="AP5" s="1836"/>
      <c r="AQ5" s="1836"/>
      <c r="AR5" s="1837"/>
      <c r="AS5" s="1838"/>
      <c r="AT5" s="754"/>
      <c r="AU5" s="753"/>
      <c r="AV5" s="753"/>
      <c r="AW5" s="753"/>
      <c r="AX5" s="752"/>
      <c r="AY5" s="752"/>
      <c r="AZ5" s="752"/>
      <c r="BA5" s="752"/>
      <c r="BB5" s="752"/>
      <c r="BC5" s="752"/>
      <c r="BD5" s="752"/>
      <c r="BE5" s="752"/>
      <c r="BF5" s="752"/>
      <c r="BG5" s="752"/>
      <c r="BH5" s="752"/>
      <c r="BI5" s="752"/>
    </row>
    <row r="6" spans="1:61" s="732" customFormat="1" ht="18.75" customHeight="1">
      <c r="A6" s="750"/>
      <c r="B6" s="749"/>
      <c r="C6" s="737"/>
      <c r="D6" s="733"/>
      <c r="E6" s="737"/>
      <c r="F6" s="737"/>
      <c r="G6" s="737"/>
      <c r="H6" s="748"/>
      <c r="I6" s="748"/>
      <c r="J6" s="748"/>
      <c r="K6" s="748"/>
      <c r="L6" s="748"/>
      <c r="M6" s="748"/>
      <c r="N6" s="748"/>
      <c r="O6" s="748"/>
      <c r="P6" s="748"/>
      <c r="Q6" s="748"/>
      <c r="R6" s="748"/>
      <c r="S6" s="748"/>
      <c r="T6" s="748"/>
      <c r="U6" s="748"/>
      <c r="V6" s="748"/>
      <c r="W6" s="748"/>
      <c r="X6" s="748"/>
      <c r="Y6" s="748"/>
      <c r="Z6" s="748"/>
      <c r="AA6" s="748"/>
      <c r="AB6" s="748"/>
      <c r="AC6" s="747"/>
      <c r="AD6" s="733"/>
      <c r="AE6" s="733"/>
      <c r="AF6" s="733"/>
      <c r="AG6" s="733"/>
      <c r="AH6" s="733"/>
      <c r="AI6" s="733"/>
      <c r="AJ6" s="733"/>
      <c r="AK6" s="733"/>
      <c r="AL6" s="733"/>
      <c r="AM6" s="733"/>
      <c r="AN6" s="733"/>
      <c r="AO6" s="733"/>
      <c r="AP6" s="733"/>
      <c r="AQ6" s="746"/>
      <c r="AR6" s="746"/>
      <c r="AS6" s="744"/>
      <c r="AT6" s="745"/>
      <c r="AU6" s="744"/>
      <c r="AV6" s="744"/>
      <c r="AW6" s="744"/>
      <c r="AX6" s="733"/>
      <c r="AY6" s="733"/>
      <c r="AZ6" s="733"/>
      <c r="BA6" s="733"/>
      <c r="BB6" s="733"/>
      <c r="BC6" s="733"/>
      <c r="BD6" s="733"/>
      <c r="BE6" s="733"/>
      <c r="BF6" s="733"/>
      <c r="BG6" s="733"/>
      <c r="BH6" s="733"/>
      <c r="BI6" s="733"/>
    </row>
    <row r="7" spans="1:61" s="732" customFormat="1" ht="10.5" customHeight="1">
      <c r="A7" s="743"/>
      <c r="B7" s="733"/>
      <c r="C7" s="739"/>
      <c r="D7" s="738"/>
      <c r="E7" s="739"/>
      <c r="F7" s="739"/>
      <c r="G7" s="739"/>
      <c r="H7" s="738"/>
      <c r="I7" s="736"/>
      <c r="J7" s="739"/>
      <c r="K7" s="739"/>
      <c r="L7" s="739"/>
      <c r="M7" s="739"/>
      <c r="N7" s="738"/>
      <c r="O7" s="738"/>
      <c r="P7" s="742"/>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6"/>
      <c r="AS7" s="740"/>
      <c r="AT7" s="741"/>
      <c r="AU7" s="740"/>
      <c r="AV7" s="740"/>
      <c r="AW7" s="740"/>
      <c r="AX7" s="733"/>
      <c r="AY7" s="733"/>
      <c r="AZ7" s="733"/>
      <c r="BA7" s="733"/>
      <c r="BB7" s="733"/>
      <c r="BC7" s="733"/>
      <c r="BD7" s="733"/>
      <c r="BE7" s="733"/>
      <c r="BF7" s="733"/>
      <c r="BG7" s="733"/>
      <c r="BH7" s="733"/>
      <c r="BI7" s="733"/>
    </row>
    <row r="8" spans="1:61" s="732" customFormat="1" ht="12" customHeight="1" thickBot="1">
      <c r="B8" s="733"/>
      <c r="C8" s="739"/>
      <c r="D8" s="738"/>
      <c r="E8" s="739"/>
      <c r="F8" s="739"/>
      <c r="G8" s="739"/>
      <c r="H8" s="738"/>
      <c r="I8" s="736"/>
      <c r="J8" s="739"/>
      <c r="K8" s="739"/>
      <c r="L8" s="739"/>
      <c r="M8" s="739"/>
      <c r="N8" s="738"/>
      <c r="O8" s="738"/>
      <c r="P8" s="737"/>
      <c r="Q8" s="736"/>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4"/>
      <c r="AT8" s="735"/>
      <c r="AU8" s="734"/>
      <c r="AV8" s="734"/>
      <c r="AW8" s="734"/>
      <c r="AX8" s="733"/>
      <c r="AY8" s="733"/>
      <c r="AZ8" s="733"/>
      <c r="BA8" s="733"/>
      <c r="BB8" s="733"/>
      <c r="BC8" s="733"/>
      <c r="BD8" s="733"/>
      <c r="BE8" s="733"/>
      <c r="BF8" s="733"/>
      <c r="BG8" s="733"/>
      <c r="BH8" s="733"/>
      <c r="BI8" s="733"/>
    </row>
    <row r="9" spans="1:61" s="727" customFormat="1" ht="28.5" customHeight="1" thickBot="1">
      <c r="A9" s="2425" t="s">
        <v>5676</v>
      </c>
      <c r="B9" s="2437" t="s">
        <v>5677</v>
      </c>
      <c r="C9" s="2438"/>
      <c r="D9" s="2438"/>
      <c r="E9" s="2438"/>
      <c r="F9" s="2438"/>
      <c r="G9" s="2438"/>
      <c r="H9" s="2438"/>
      <c r="I9" s="2438"/>
      <c r="J9" s="2440"/>
      <c r="K9" s="731"/>
      <c r="L9" s="2447" t="s">
        <v>3651</v>
      </c>
      <c r="M9" s="2448"/>
      <c r="N9" s="2449" t="s">
        <v>5678</v>
      </c>
      <c r="O9" s="2450"/>
      <c r="P9" s="2451"/>
      <c r="Q9" s="2451"/>
      <c r="R9" s="2451"/>
      <c r="S9" s="2451"/>
      <c r="T9" s="2452"/>
      <c r="U9" s="2453"/>
      <c r="V9" s="2437" t="s">
        <v>2929</v>
      </c>
      <c r="W9" s="2438"/>
      <c r="X9" s="2440"/>
      <c r="Y9" s="2437" t="s">
        <v>5679</v>
      </c>
      <c r="Z9" s="2438"/>
      <c r="AA9" s="2438"/>
      <c r="AB9" s="2438"/>
      <c r="AC9" s="2439"/>
      <c r="AD9" s="2446" t="s">
        <v>5680</v>
      </c>
      <c r="AE9" s="2447"/>
      <c r="AF9" s="2447"/>
      <c r="AG9" s="2447"/>
      <c r="AH9" s="2447"/>
      <c r="AI9" s="2447"/>
      <c r="AJ9" s="2447"/>
      <c r="AK9" s="2447"/>
      <c r="AL9" s="2447"/>
      <c r="AM9" s="2447"/>
      <c r="AN9" s="2447"/>
      <c r="AO9" s="2447"/>
      <c r="AP9" s="2447"/>
      <c r="AQ9" s="2447"/>
      <c r="AR9" s="2448"/>
      <c r="AS9" s="730"/>
      <c r="AT9" s="729"/>
      <c r="AU9" s="728"/>
      <c r="AV9" s="728"/>
      <c r="AW9" s="728"/>
      <c r="AX9" s="2441" t="s">
        <v>5681</v>
      </c>
      <c r="AY9" s="2441"/>
      <c r="AZ9" s="2441"/>
      <c r="BA9" s="2441"/>
      <c r="BB9" s="2441"/>
      <c r="BC9" s="2441"/>
      <c r="BD9" s="2441"/>
      <c r="BE9" s="2441"/>
      <c r="BF9" s="2441"/>
      <c r="BG9" s="2441"/>
      <c r="BH9" s="2441"/>
      <c r="BI9" s="2441"/>
    </row>
    <row r="10" spans="1:61" ht="242.25" customHeight="1" thickBot="1">
      <c r="A10" s="2426"/>
      <c r="B10" s="725" t="s">
        <v>5682</v>
      </c>
      <c r="C10" s="2423" t="s">
        <v>5683</v>
      </c>
      <c r="D10" s="2423" t="s">
        <v>3256</v>
      </c>
      <c r="E10" s="2427" t="s">
        <v>5684</v>
      </c>
      <c r="F10" s="2428"/>
      <c r="G10" s="2429"/>
      <c r="H10" s="726" t="s">
        <v>5685</v>
      </c>
      <c r="I10" s="726" t="s">
        <v>5686</v>
      </c>
      <c r="J10" s="2433" t="s">
        <v>5687</v>
      </c>
      <c r="K10" s="2435" t="s">
        <v>5688</v>
      </c>
      <c r="L10" s="724" t="s">
        <v>5689</v>
      </c>
      <c r="M10" s="726" t="s">
        <v>5690</v>
      </c>
      <c r="N10" s="725" t="s">
        <v>5691</v>
      </c>
      <c r="O10" s="724" t="s">
        <v>5692</v>
      </c>
      <c r="P10" s="723" t="s">
        <v>5693</v>
      </c>
      <c r="Q10" s="723" t="s">
        <v>5694</v>
      </c>
      <c r="R10" s="723" t="s">
        <v>5695</v>
      </c>
      <c r="S10" s="722" t="s">
        <v>5696</v>
      </c>
      <c r="T10" s="721" t="s">
        <v>5697</v>
      </c>
      <c r="U10" s="720" t="s">
        <v>5698</v>
      </c>
      <c r="V10" s="716" t="s">
        <v>5699</v>
      </c>
      <c r="W10" s="715" t="s">
        <v>5700</v>
      </c>
      <c r="X10" s="719" t="s">
        <v>5701</v>
      </c>
      <c r="Y10" s="716" t="s">
        <v>5702</v>
      </c>
      <c r="Z10" s="718" t="s">
        <v>5703</v>
      </c>
      <c r="AA10" s="715" t="s">
        <v>5704</v>
      </c>
      <c r="AB10" s="715" t="s">
        <v>5705</v>
      </c>
      <c r="AC10" s="717" t="s">
        <v>5706</v>
      </c>
      <c r="AD10" s="716" t="s">
        <v>5707</v>
      </c>
      <c r="AE10" s="715" t="s">
        <v>5708</v>
      </c>
      <c r="AF10" s="715" t="s">
        <v>5709</v>
      </c>
      <c r="AG10" s="715" t="s">
        <v>5710</v>
      </c>
      <c r="AH10" s="715" t="s">
        <v>5711</v>
      </c>
      <c r="AI10" s="715" t="s">
        <v>5712</v>
      </c>
      <c r="AJ10" s="715" t="s">
        <v>5713</v>
      </c>
      <c r="AK10" s="715" t="s">
        <v>5714</v>
      </c>
      <c r="AL10" s="715" t="s">
        <v>5715</v>
      </c>
      <c r="AM10" s="715" t="s">
        <v>5716</v>
      </c>
      <c r="AN10" s="715" t="s">
        <v>5717</v>
      </c>
      <c r="AO10" s="715" t="s">
        <v>5718</v>
      </c>
      <c r="AP10" s="715" t="s">
        <v>5719</v>
      </c>
      <c r="AQ10" s="714" t="s">
        <v>5720</v>
      </c>
      <c r="AR10" s="713" t="s">
        <v>5721</v>
      </c>
      <c r="AS10" s="712" t="s">
        <v>5722</v>
      </c>
      <c r="AT10" s="711" t="s">
        <v>5723</v>
      </c>
      <c r="AU10" s="710" t="s">
        <v>5724</v>
      </c>
      <c r="AV10" s="709" t="s">
        <v>5725</v>
      </c>
      <c r="AW10" s="695" t="s">
        <v>5726</v>
      </c>
      <c r="AX10" s="2442" t="s">
        <v>5727</v>
      </c>
      <c r="AY10" s="2443"/>
      <c r="AZ10" s="708"/>
      <c r="BA10" s="2444" t="s">
        <v>5728</v>
      </c>
      <c r="BB10" s="2445"/>
      <c r="BC10" s="2445"/>
      <c r="BD10" s="2445"/>
      <c r="BE10" s="2444" t="s">
        <v>5729</v>
      </c>
      <c r="BF10" s="2445"/>
      <c r="BG10" s="2444" t="s">
        <v>5730</v>
      </c>
      <c r="BH10" s="2445"/>
      <c r="BI10" s="707"/>
    </row>
    <row r="11" spans="1:61" ht="22.5" customHeight="1" thickBot="1">
      <c r="A11" s="706"/>
      <c r="B11" s="705"/>
      <c r="C11" s="2424"/>
      <c r="D11" s="2424"/>
      <c r="E11" s="2430"/>
      <c r="F11" s="2431"/>
      <c r="G11" s="2432"/>
      <c r="H11" s="704"/>
      <c r="I11" s="704"/>
      <c r="J11" s="2434"/>
      <c r="K11" s="2436"/>
      <c r="L11" s="1842"/>
      <c r="M11" s="703"/>
      <c r="N11" s="702"/>
      <c r="O11" s="1843"/>
      <c r="P11" s="701"/>
      <c r="Q11" s="701"/>
      <c r="R11" s="701"/>
      <c r="S11" s="701"/>
      <c r="T11" s="701"/>
      <c r="U11" s="700"/>
      <c r="V11" s="698"/>
      <c r="W11" s="697"/>
      <c r="X11" s="696"/>
      <c r="Y11" s="698"/>
      <c r="Z11" s="699"/>
      <c r="AA11" s="697"/>
      <c r="AB11" s="697"/>
      <c r="AC11" s="1844"/>
      <c r="AD11" s="698" t="s">
        <v>1</v>
      </c>
      <c r="AE11" s="697"/>
      <c r="AF11" s="697"/>
      <c r="AG11" s="697"/>
      <c r="AH11" s="697"/>
      <c r="AI11" s="697"/>
      <c r="AJ11" s="697"/>
      <c r="AK11" s="697"/>
      <c r="AL11" s="697"/>
      <c r="AM11" s="697"/>
      <c r="AN11" s="697"/>
      <c r="AO11" s="697"/>
      <c r="AP11" s="697"/>
      <c r="AQ11" s="697"/>
      <c r="AR11" s="696"/>
      <c r="AS11" s="695"/>
      <c r="AT11" s="1842"/>
      <c r="AU11" s="695"/>
      <c r="AV11" s="694"/>
      <c r="AX11" s="693" t="s">
        <v>5731</v>
      </c>
      <c r="AY11" s="693" t="s">
        <v>3013</v>
      </c>
      <c r="AZ11" s="693" t="s">
        <v>5732</v>
      </c>
      <c r="BA11" s="692" t="s">
        <v>5733</v>
      </c>
      <c r="BB11" s="692" t="s">
        <v>5734</v>
      </c>
      <c r="BC11" s="692" t="s">
        <v>5735</v>
      </c>
      <c r="BD11" s="692" t="s">
        <v>5736</v>
      </c>
      <c r="BE11" s="692" t="s">
        <v>5737</v>
      </c>
      <c r="BF11" s="692" t="s">
        <v>5738</v>
      </c>
      <c r="BG11" s="692" t="s">
        <v>5739</v>
      </c>
      <c r="BH11" s="692" t="s">
        <v>5740</v>
      </c>
      <c r="BI11" s="692" t="s">
        <v>5688</v>
      </c>
    </row>
    <row r="12" spans="1:61" s="552" customFormat="1" ht="24" customHeight="1">
      <c r="A12" s="528"/>
      <c r="B12" s="522">
        <v>2110</v>
      </c>
      <c r="C12" s="566" t="s">
        <v>119</v>
      </c>
      <c r="D12" s="565" t="s">
        <v>120</v>
      </c>
      <c r="E12" s="2371" t="s">
        <v>122</v>
      </c>
      <c r="F12" s="2371"/>
      <c r="G12" s="2371"/>
      <c r="H12" s="527">
        <v>1</v>
      </c>
      <c r="I12" s="526" t="str">
        <f>B12&amp;"-BLD-"&amp;TEXT(H12,"000")</f>
        <v>2110-BLD-001</v>
      </c>
      <c r="J12" s="525" t="s">
        <v>5741</v>
      </c>
      <c r="K12" s="525"/>
      <c r="L12" s="519" t="s">
        <v>5742</v>
      </c>
      <c r="M12" s="519" t="s">
        <v>2969</v>
      </c>
      <c r="N12" s="560">
        <v>1</v>
      </c>
      <c r="O12" s="560" t="s">
        <v>154</v>
      </c>
      <c r="P12" s="564">
        <v>8</v>
      </c>
      <c r="Q12" s="564">
        <v>20</v>
      </c>
      <c r="R12" s="563">
        <v>8</v>
      </c>
      <c r="S12" s="498">
        <f>PRODUCT(Q12,P12)</f>
        <v>160</v>
      </c>
      <c r="T12" s="498">
        <f>S12</f>
        <v>160</v>
      </c>
      <c r="U12" s="498"/>
      <c r="V12" s="562" t="s">
        <v>5743</v>
      </c>
      <c r="W12" s="559" t="s">
        <v>5744</v>
      </c>
      <c r="X12" s="559" t="s">
        <v>5745</v>
      </c>
      <c r="Y12" s="561" t="s">
        <v>154</v>
      </c>
      <c r="Z12" s="561" t="s">
        <v>154</v>
      </c>
      <c r="AA12" s="561" t="s">
        <v>154</v>
      </c>
      <c r="AB12" s="561" t="s">
        <v>154</v>
      </c>
      <c r="AC12" s="561" t="s">
        <v>154</v>
      </c>
      <c r="AD12" s="560">
        <v>5</v>
      </c>
      <c r="AE12" s="561" t="s">
        <v>5746</v>
      </c>
      <c r="AF12" s="492" t="s">
        <v>5747</v>
      </c>
      <c r="AG12" s="557" t="s">
        <v>154</v>
      </c>
      <c r="AH12" s="557" t="s">
        <v>154</v>
      </c>
      <c r="AI12" s="559" t="s">
        <v>154</v>
      </c>
      <c r="AJ12" s="559" t="s">
        <v>154</v>
      </c>
      <c r="AK12" s="559" t="s">
        <v>154</v>
      </c>
      <c r="AL12" s="557" t="s">
        <v>154</v>
      </c>
      <c r="AM12" s="557" t="s">
        <v>154</v>
      </c>
      <c r="AN12" s="492" t="s">
        <v>5747</v>
      </c>
      <c r="AO12" s="559" t="s">
        <v>2872</v>
      </c>
      <c r="AP12" s="559" t="s">
        <v>5748</v>
      </c>
      <c r="AQ12" s="559" t="s">
        <v>154</v>
      </c>
      <c r="AR12" s="559" t="s">
        <v>154</v>
      </c>
      <c r="AS12" s="559"/>
      <c r="AT12" s="567"/>
      <c r="AU12" s="559"/>
      <c r="AV12" s="559"/>
      <c r="AW12" s="559"/>
      <c r="AX12" s="556"/>
      <c r="AY12" s="675"/>
      <c r="AZ12" s="675"/>
      <c r="BA12" s="574"/>
      <c r="BB12" s="574"/>
      <c r="BC12" s="574"/>
      <c r="BD12" s="574"/>
      <c r="BE12" s="574"/>
      <c r="BF12" s="574"/>
      <c r="BG12" s="574"/>
      <c r="BH12" s="574"/>
      <c r="BI12" s="574"/>
    </row>
    <row r="13" spans="1:61" s="552" customFormat="1" ht="24" customHeight="1">
      <c r="A13" s="528"/>
      <c r="B13" s="522">
        <v>2110</v>
      </c>
      <c r="C13" s="566" t="s">
        <v>119</v>
      </c>
      <c r="D13" s="565" t="s">
        <v>120</v>
      </c>
      <c r="E13" s="2371" t="s">
        <v>122</v>
      </c>
      <c r="F13" s="2371"/>
      <c r="G13" s="2371"/>
      <c r="H13" s="527">
        <v>2</v>
      </c>
      <c r="I13" s="526" t="str">
        <f>B13&amp;"-BLD-"&amp;TEXT(H13,"000")</f>
        <v>2110-BLD-002</v>
      </c>
      <c r="J13" s="525" t="s">
        <v>5749</v>
      </c>
      <c r="K13" s="525"/>
      <c r="L13" s="560" t="s">
        <v>154</v>
      </c>
      <c r="M13" s="519"/>
      <c r="N13" s="560">
        <v>1</v>
      </c>
      <c r="O13" s="560" t="s">
        <v>154</v>
      </c>
      <c r="P13" s="564">
        <v>8</v>
      </c>
      <c r="Q13" s="564">
        <v>40</v>
      </c>
      <c r="R13" s="563">
        <v>10</v>
      </c>
      <c r="S13" s="498"/>
      <c r="T13" s="498"/>
      <c r="U13" s="498"/>
      <c r="V13" s="562"/>
      <c r="W13" s="559"/>
      <c r="X13" s="559"/>
      <c r="Y13" s="561"/>
      <c r="Z13" s="561"/>
      <c r="AA13" s="561"/>
      <c r="AB13" s="561"/>
      <c r="AC13" s="561"/>
      <c r="AD13" s="560"/>
      <c r="AE13" s="561"/>
      <c r="AF13" s="492"/>
      <c r="AG13" s="557"/>
      <c r="AH13" s="557"/>
      <c r="AI13" s="559"/>
      <c r="AJ13" s="559"/>
      <c r="AK13" s="559"/>
      <c r="AL13" s="557"/>
      <c r="AM13" s="557"/>
      <c r="AN13" s="492" t="s">
        <v>5747</v>
      </c>
      <c r="AO13" s="559" t="s">
        <v>2872</v>
      </c>
      <c r="AP13" s="559" t="s">
        <v>5750</v>
      </c>
      <c r="AQ13" s="559" t="s">
        <v>154</v>
      </c>
      <c r="AR13" s="559" t="s">
        <v>154</v>
      </c>
      <c r="AS13" s="559"/>
      <c r="AT13" s="567" t="s">
        <v>5751</v>
      </c>
      <c r="AU13" s="559"/>
      <c r="AV13" s="559"/>
      <c r="AW13" s="559"/>
      <c r="AX13" s="556" t="s">
        <v>5747</v>
      </c>
      <c r="AY13" s="556" t="s">
        <v>5747</v>
      </c>
      <c r="AZ13" s="675"/>
      <c r="BA13" s="574"/>
      <c r="BB13" s="574"/>
      <c r="BC13" s="574"/>
      <c r="BD13" s="574"/>
      <c r="BE13" s="574"/>
      <c r="BF13" s="574"/>
      <c r="BG13" s="574"/>
      <c r="BH13" s="574"/>
      <c r="BI13" s="574"/>
    </row>
    <row r="14" spans="1:61" s="552" customFormat="1" ht="40.5" customHeight="1">
      <c r="A14" s="528"/>
      <c r="B14" s="522">
        <v>2223</v>
      </c>
      <c r="C14" s="566" t="s">
        <v>119</v>
      </c>
      <c r="D14" s="565" t="s">
        <v>208</v>
      </c>
      <c r="E14" s="2371" t="s">
        <v>210</v>
      </c>
      <c r="F14" s="2371"/>
      <c r="G14" s="2371"/>
      <c r="H14" s="527">
        <v>1</v>
      </c>
      <c r="I14" s="526" t="str">
        <f>B14&amp;"-BLD-"&amp;TEXT(H14,"000")</f>
        <v>2223-BLD-001</v>
      </c>
      <c r="J14" s="525" t="s">
        <v>212</v>
      </c>
      <c r="K14" s="525" t="s">
        <v>5752</v>
      </c>
      <c r="L14" s="519" t="s">
        <v>154</v>
      </c>
      <c r="M14" s="519" t="s">
        <v>2969</v>
      </c>
      <c r="N14" s="560">
        <v>1</v>
      </c>
      <c r="O14" s="560"/>
      <c r="P14" s="564">
        <v>12</v>
      </c>
      <c r="Q14" s="564">
        <v>40</v>
      </c>
      <c r="R14" s="563">
        <v>8</v>
      </c>
      <c r="S14" s="498">
        <f>PRODUCT(Q14,P14)</f>
        <v>480</v>
      </c>
      <c r="T14" s="498">
        <f>S14</f>
        <v>480</v>
      </c>
      <c r="U14" s="498"/>
      <c r="V14" s="562" t="s">
        <v>5753</v>
      </c>
      <c r="W14" s="559" t="s">
        <v>5744</v>
      </c>
      <c r="X14" s="559" t="s">
        <v>5745</v>
      </c>
      <c r="Y14" s="492" t="s">
        <v>5747</v>
      </c>
      <c r="Z14" s="492" t="s">
        <v>5747</v>
      </c>
      <c r="AA14" s="561" t="s">
        <v>154</v>
      </c>
      <c r="AB14" s="561" t="s">
        <v>154</v>
      </c>
      <c r="AC14" s="492" t="s">
        <v>154</v>
      </c>
      <c r="AD14" s="560">
        <v>22</v>
      </c>
      <c r="AE14" s="519" t="s">
        <v>5746</v>
      </c>
      <c r="AF14" s="492" t="s">
        <v>154</v>
      </c>
      <c r="AG14" s="557" t="s">
        <v>154</v>
      </c>
      <c r="AH14" s="557" t="s">
        <v>5754</v>
      </c>
      <c r="AI14" s="559" t="s">
        <v>5755</v>
      </c>
      <c r="AJ14" s="559" t="s">
        <v>5754</v>
      </c>
      <c r="AK14" s="559" t="s">
        <v>154</v>
      </c>
      <c r="AL14" s="557" t="s">
        <v>154</v>
      </c>
      <c r="AM14" s="492" t="s">
        <v>5747</v>
      </c>
      <c r="AN14" s="559"/>
      <c r="AO14" s="559" t="s">
        <v>3454</v>
      </c>
      <c r="AP14" s="559" t="s">
        <v>5756</v>
      </c>
      <c r="AQ14" s="559" t="s">
        <v>154</v>
      </c>
      <c r="AR14" s="559" t="s">
        <v>154</v>
      </c>
      <c r="AS14" s="487">
        <v>2</v>
      </c>
      <c r="AT14" s="488" t="s">
        <v>5757</v>
      </c>
      <c r="AU14" s="487" t="s">
        <v>5758</v>
      </c>
      <c r="AV14" s="487"/>
      <c r="AW14" s="487"/>
      <c r="AX14" s="556" t="s">
        <v>5747</v>
      </c>
      <c r="AY14" s="675"/>
      <c r="AZ14" s="556" t="s">
        <v>5747</v>
      </c>
      <c r="BA14" s="574"/>
      <c r="BB14" s="574">
        <v>1</v>
      </c>
      <c r="BC14" s="574"/>
      <c r="BD14" s="574">
        <v>1</v>
      </c>
      <c r="BE14" s="574">
        <v>3</v>
      </c>
      <c r="BF14" s="574">
        <v>1</v>
      </c>
      <c r="BG14" s="574">
        <v>1</v>
      </c>
      <c r="BH14" s="574">
        <v>1</v>
      </c>
      <c r="BI14" s="574" t="s">
        <v>5759</v>
      </c>
    </row>
    <row r="15" spans="1:61" s="552" customFormat="1" ht="33.75" customHeight="1">
      <c r="A15" s="507"/>
      <c r="B15" s="522">
        <v>2342</v>
      </c>
      <c r="C15" s="566" t="s">
        <v>119</v>
      </c>
      <c r="D15" s="565" t="s">
        <v>222</v>
      </c>
      <c r="E15" s="2381" t="s">
        <v>224</v>
      </c>
      <c r="F15" s="2382"/>
      <c r="G15" s="2383"/>
      <c r="H15" s="527">
        <v>1</v>
      </c>
      <c r="I15" s="526" t="str">
        <f>B15&amp;"-BLD-"&amp;TEXT(H15,"000")</f>
        <v>2342-BLD-001</v>
      </c>
      <c r="J15" s="525" t="s">
        <v>5760</v>
      </c>
      <c r="K15" s="525"/>
      <c r="L15" s="519" t="s">
        <v>4031</v>
      </c>
      <c r="M15" s="519" t="s">
        <v>2969</v>
      </c>
      <c r="N15" s="560">
        <v>1</v>
      </c>
      <c r="O15" s="560" t="s">
        <v>154</v>
      </c>
      <c r="P15" s="564" t="s">
        <v>154</v>
      </c>
      <c r="Q15" s="564" t="s">
        <v>154</v>
      </c>
      <c r="R15" s="563" t="s">
        <v>154</v>
      </c>
      <c r="S15" s="498">
        <f>PRODUCT(Q15,P15)</f>
        <v>0</v>
      </c>
      <c r="T15" s="498">
        <f>S15</f>
        <v>0</v>
      </c>
      <c r="U15" s="498"/>
      <c r="V15" s="562" t="s">
        <v>5761</v>
      </c>
      <c r="W15" s="559" t="s">
        <v>5744</v>
      </c>
      <c r="X15" s="559" t="s">
        <v>5745</v>
      </c>
      <c r="Y15" s="561" t="s">
        <v>154</v>
      </c>
      <c r="Z15" s="561" t="s">
        <v>154</v>
      </c>
      <c r="AA15" s="561" t="s">
        <v>154</v>
      </c>
      <c r="AB15" s="561" t="s">
        <v>154</v>
      </c>
      <c r="AC15" s="561" t="s">
        <v>154</v>
      </c>
      <c r="AD15" s="560">
        <v>22</v>
      </c>
      <c r="AE15" s="561" t="s">
        <v>5746</v>
      </c>
      <c r="AF15" s="492" t="s">
        <v>5747</v>
      </c>
      <c r="AG15" s="557" t="s">
        <v>154</v>
      </c>
      <c r="AH15" s="557" t="s">
        <v>154</v>
      </c>
      <c r="AI15" s="559" t="s">
        <v>154</v>
      </c>
      <c r="AJ15" s="559" t="s">
        <v>154</v>
      </c>
      <c r="AK15" s="559" t="s">
        <v>154</v>
      </c>
      <c r="AL15" s="492" t="s">
        <v>5747</v>
      </c>
      <c r="AM15" s="492" t="s">
        <v>5747</v>
      </c>
      <c r="AN15" s="559" t="s">
        <v>154</v>
      </c>
      <c r="AO15" s="559" t="s">
        <v>3454</v>
      </c>
      <c r="AP15" s="489" t="s">
        <v>5756</v>
      </c>
      <c r="AQ15" s="559" t="s">
        <v>154</v>
      </c>
      <c r="AR15" s="559" t="s">
        <v>154</v>
      </c>
      <c r="AS15" s="530">
        <v>2</v>
      </c>
      <c r="AT15" s="488" t="s">
        <v>5757</v>
      </c>
      <c r="AU15" s="487" t="s">
        <v>5762</v>
      </c>
      <c r="AV15" s="487"/>
      <c r="AW15" s="530"/>
      <c r="AX15" s="556" t="s">
        <v>5747</v>
      </c>
      <c r="AY15" s="555"/>
      <c r="AZ15" s="555"/>
      <c r="BA15" s="554"/>
      <c r="BB15" s="554"/>
      <c r="BC15" s="554"/>
      <c r="BD15" s="554"/>
      <c r="BE15" s="554">
        <v>1</v>
      </c>
      <c r="BF15" s="553"/>
      <c r="BG15" s="553"/>
      <c r="BH15" s="553"/>
      <c r="BI15" s="553"/>
    </row>
    <row r="16" spans="1:61" s="552" customFormat="1" ht="37.5" customHeight="1">
      <c r="A16" s="528"/>
      <c r="B16" s="522">
        <v>2351</v>
      </c>
      <c r="C16" s="566" t="s">
        <v>119</v>
      </c>
      <c r="D16" s="565" t="s">
        <v>222</v>
      </c>
      <c r="E16" s="2381" t="s">
        <v>264</v>
      </c>
      <c r="F16" s="2382"/>
      <c r="G16" s="2383"/>
      <c r="H16" s="527">
        <v>1</v>
      </c>
      <c r="I16" s="526" t="s">
        <v>272</v>
      </c>
      <c r="J16" s="525" t="s">
        <v>5763</v>
      </c>
      <c r="K16" s="525" t="s">
        <v>5764</v>
      </c>
      <c r="L16" s="519" t="s">
        <v>4031</v>
      </c>
      <c r="M16" s="519" t="s">
        <v>2969</v>
      </c>
      <c r="N16" s="560">
        <v>1</v>
      </c>
      <c r="O16" s="560" t="s">
        <v>154</v>
      </c>
      <c r="P16" s="560" t="s">
        <v>5765</v>
      </c>
      <c r="Q16" s="560" t="s">
        <v>5765</v>
      </c>
      <c r="R16" s="560" t="s">
        <v>5765</v>
      </c>
      <c r="S16" s="560" t="s">
        <v>5765</v>
      </c>
      <c r="T16" s="560" t="s">
        <v>5765</v>
      </c>
      <c r="U16" s="560"/>
      <c r="V16" s="560" t="s">
        <v>5765</v>
      </c>
      <c r="W16" s="560" t="s">
        <v>5765</v>
      </c>
      <c r="X16" s="560" t="s">
        <v>5765</v>
      </c>
      <c r="Y16" s="560" t="s">
        <v>154</v>
      </c>
      <c r="Z16" s="560" t="s">
        <v>154</v>
      </c>
      <c r="AA16" s="560" t="s">
        <v>154</v>
      </c>
      <c r="AB16" s="560" t="s">
        <v>154</v>
      </c>
      <c r="AC16" s="560" t="s">
        <v>154</v>
      </c>
      <c r="AD16" s="560"/>
      <c r="AE16" s="561"/>
      <c r="AF16" s="559"/>
      <c r="AG16" s="557"/>
      <c r="AH16" s="559"/>
      <c r="AI16" s="559"/>
      <c r="AJ16" s="559"/>
      <c r="AK16" s="559"/>
      <c r="AL16" s="557"/>
      <c r="AM16" s="559"/>
      <c r="AN16" s="559"/>
      <c r="AO16" s="559"/>
      <c r="AP16" s="559" t="s">
        <v>154</v>
      </c>
      <c r="AQ16" s="559" t="s">
        <v>154</v>
      </c>
      <c r="AR16" s="559" t="s">
        <v>154</v>
      </c>
      <c r="AS16" s="559"/>
      <c r="AT16" s="488" t="s">
        <v>5765</v>
      </c>
      <c r="AU16" s="559"/>
      <c r="AV16" s="559"/>
      <c r="AW16" s="559"/>
      <c r="AX16" s="556"/>
      <c r="AY16" s="675"/>
      <c r="AZ16" s="572" t="s">
        <v>5747</v>
      </c>
      <c r="BA16" s="574"/>
      <c r="BB16" s="574"/>
      <c r="BC16" s="574"/>
      <c r="BD16" s="574"/>
      <c r="BE16" s="574"/>
      <c r="BF16" s="574"/>
      <c r="BG16" s="574"/>
      <c r="BH16" s="574"/>
      <c r="BI16" s="574"/>
    </row>
    <row r="17" spans="1:61" s="552" customFormat="1" ht="37.5" customHeight="1">
      <c r="A17" s="528"/>
      <c r="B17" s="522">
        <v>2351</v>
      </c>
      <c r="C17" s="566" t="s">
        <v>119</v>
      </c>
      <c r="D17" s="565" t="s">
        <v>222</v>
      </c>
      <c r="E17" s="2371" t="s">
        <v>264</v>
      </c>
      <c r="F17" s="2371"/>
      <c r="G17" s="2371"/>
      <c r="H17" s="527">
        <v>2</v>
      </c>
      <c r="I17" s="526" t="s">
        <v>277</v>
      </c>
      <c r="J17" s="525" t="s">
        <v>5766</v>
      </c>
      <c r="K17" s="525" t="s">
        <v>5767</v>
      </c>
      <c r="L17" s="519" t="s">
        <v>4031</v>
      </c>
      <c r="M17" s="519" t="s">
        <v>2969</v>
      </c>
      <c r="N17" s="560">
        <v>1</v>
      </c>
      <c r="O17" s="560" t="s">
        <v>154</v>
      </c>
      <c r="P17" s="560" t="s">
        <v>5765</v>
      </c>
      <c r="Q17" s="560" t="s">
        <v>5765</v>
      </c>
      <c r="R17" s="560" t="s">
        <v>5765</v>
      </c>
      <c r="S17" s="560" t="s">
        <v>5765</v>
      </c>
      <c r="T17" s="560" t="s">
        <v>5765</v>
      </c>
      <c r="U17" s="560"/>
      <c r="V17" s="560" t="s">
        <v>5765</v>
      </c>
      <c r="W17" s="560" t="s">
        <v>5765</v>
      </c>
      <c r="X17" s="560" t="s">
        <v>5765</v>
      </c>
      <c r="Y17" s="560" t="s">
        <v>154</v>
      </c>
      <c r="Z17" s="560" t="s">
        <v>154</v>
      </c>
      <c r="AA17" s="560" t="s">
        <v>154</v>
      </c>
      <c r="AB17" s="560" t="s">
        <v>154</v>
      </c>
      <c r="AC17" s="560" t="s">
        <v>154</v>
      </c>
      <c r="AD17" s="560"/>
      <c r="AE17" s="561"/>
      <c r="AF17" s="559"/>
      <c r="AG17" s="557"/>
      <c r="AH17" s="559"/>
      <c r="AI17" s="559"/>
      <c r="AJ17" s="559"/>
      <c r="AK17" s="559"/>
      <c r="AL17" s="557"/>
      <c r="AM17" s="559"/>
      <c r="AN17" s="559"/>
      <c r="AO17" s="559"/>
      <c r="AP17" s="559" t="s">
        <v>154</v>
      </c>
      <c r="AQ17" s="559" t="s">
        <v>154</v>
      </c>
      <c r="AR17" s="559" t="s">
        <v>154</v>
      </c>
      <c r="AS17" s="559"/>
      <c r="AT17" s="488" t="s">
        <v>5765</v>
      </c>
      <c r="AU17" s="559"/>
      <c r="AV17" s="559"/>
      <c r="AW17" s="559"/>
      <c r="AX17" s="556"/>
      <c r="AY17" s="675"/>
      <c r="AZ17" s="572" t="s">
        <v>5747</v>
      </c>
      <c r="BA17" s="574"/>
      <c r="BB17" s="574"/>
      <c r="BC17" s="574"/>
      <c r="BD17" s="574"/>
      <c r="BE17" s="574"/>
      <c r="BF17" s="574"/>
      <c r="BG17" s="574"/>
      <c r="BH17" s="574"/>
      <c r="BI17" s="574"/>
    </row>
    <row r="18" spans="1:61" s="552" customFormat="1" ht="40.5" customHeight="1">
      <c r="A18" s="528"/>
      <c r="B18" s="691">
        <v>2511</v>
      </c>
      <c r="C18" s="690" t="s">
        <v>119</v>
      </c>
      <c r="D18" s="689" t="s">
        <v>452</v>
      </c>
      <c r="E18" s="2380" t="s">
        <v>454</v>
      </c>
      <c r="F18" s="2380"/>
      <c r="G18" s="2380"/>
      <c r="H18" s="688">
        <v>1</v>
      </c>
      <c r="I18" s="687" t="str">
        <f t="shared" ref="I18:I42" si="0">B18&amp;"-BLD-"&amp;TEXT(H18,"000")</f>
        <v>2511-BLD-001</v>
      </c>
      <c r="J18" s="686" t="s">
        <v>5768</v>
      </c>
      <c r="K18" s="686"/>
      <c r="L18" s="680" t="s">
        <v>5215</v>
      </c>
      <c r="M18" s="680" t="s">
        <v>2969</v>
      </c>
      <c r="N18" s="681">
        <v>1</v>
      </c>
      <c r="O18" s="681" t="s">
        <v>154</v>
      </c>
      <c r="P18" s="685">
        <v>60</v>
      </c>
      <c r="Q18" s="685">
        <v>249</v>
      </c>
      <c r="R18" s="684">
        <v>13</v>
      </c>
      <c r="S18" s="645">
        <f t="shared" ref="S18:S49" si="1">PRODUCT(Q18,P18)</f>
        <v>14940</v>
      </c>
      <c r="T18" s="645">
        <f t="shared" ref="T18:T49" si="2">S18</f>
        <v>14940</v>
      </c>
      <c r="U18" s="645"/>
      <c r="V18" s="683" t="s">
        <v>5761</v>
      </c>
      <c r="W18" s="678" t="s">
        <v>5744</v>
      </c>
      <c r="X18" s="678" t="s">
        <v>5745</v>
      </c>
      <c r="Y18" s="638" t="s">
        <v>5747</v>
      </c>
      <c r="Z18" s="638" t="s">
        <v>5747</v>
      </c>
      <c r="AA18" s="638" t="s">
        <v>5747</v>
      </c>
      <c r="AB18" s="682" t="s">
        <v>154</v>
      </c>
      <c r="AC18" s="638" t="s">
        <v>5747</v>
      </c>
      <c r="AD18" s="681">
        <v>22</v>
      </c>
      <c r="AE18" s="680" t="s">
        <v>3454</v>
      </c>
      <c r="AF18" s="638" t="s">
        <v>5747</v>
      </c>
      <c r="AG18" s="638" t="s">
        <v>5747</v>
      </c>
      <c r="AH18" s="679" t="s">
        <v>154</v>
      </c>
      <c r="AI18" s="678" t="s">
        <v>5769</v>
      </c>
      <c r="AJ18" s="678" t="s">
        <v>5769</v>
      </c>
      <c r="AK18" s="678" t="s">
        <v>5769</v>
      </c>
      <c r="AL18" s="638" t="s">
        <v>5747</v>
      </c>
      <c r="AM18" s="638" t="s">
        <v>5747</v>
      </c>
      <c r="AN18" s="678" t="s">
        <v>154</v>
      </c>
      <c r="AO18" s="678" t="s">
        <v>3454</v>
      </c>
      <c r="AP18" s="678" t="s">
        <v>5770</v>
      </c>
      <c r="AQ18" s="678" t="s">
        <v>5756</v>
      </c>
      <c r="AR18" s="638" t="s">
        <v>5747</v>
      </c>
      <c r="AS18" s="677">
        <v>4</v>
      </c>
      <c r="AT18" s="676" t="s">
        <v>5771</v>
      </c>
      <c r="AU18" s="487" t="s">
        <v>5772</v>
      </c>
      <c r="AV18" s="677"/>
      <c r="AW18" s="677"/>
      <c r="AX18" s="556" t="s">
        <v>5747</v>
      </c>
      <c r="AY18" s="556" t="s">
        <v>5747</v>
      </c>
      <c r="AZ18" s="556" t="s">
        <v>5747</v>
      </c>
      <c r="BA18" s="574">
        <v>3</v>
      </c>
      <c r="BB18" s="574"/>
      <c r="BC18" s="574"/>
      <c r="BD18" s="574">
        <v>2</v>
      </c>
      <c r="BE18" s="574">
        <v>3</v>
      </c>
      <c r="BF18" s="574">
        <v>1</v>
      </c>
      <c r="BG18" s="574"/>
      <c r="BH18" s="574"/>
      <c r="BI18" s="574"/>
    </row>
    <row r="19" spans="1:61" s="593" customFormat="1" ht="40" customHeight="1">
      <c r="A19" s="613"/>
      <c r="B19" s="612">
        <v>2511</v>
      </c>
      <c r="C19" s="611" t="s">
        <v>119</v>
      </c>
      <c r="D19" s="610" t="s">
        <v>452</v>
      </c>
      <c r="E19" s="2377" t="s">
        <v>454</v>
      </c>
      <c r="F19" s="2377"/>
      <c r="G19" s="2377"/>
      <c r="H19" s="609">
        <v>2</v>
      </c>
      <c r="I19" s="608" t="str">
        <f t="shared" si="0"/>
        <v>2511-BLD-002</v>
      </c>
      <c r="J19" s="607" t="s">
        <v>5773</v>
      </c>
      <c r="K19" s="607"/>
      <c r="L19" s="606" t="s">
        <v>5215</v>
      </c>
      <c r="M19" s="606" t="s">
        <v>2969</v>
      </c>
      <c r="N19" s="601">
        <v>1</v>
      </c>
      <c r="O19" s="601">
        <v>33</v>
      </c>
      <c r="P19" s="605">
        <v>60</v>
      </c>
      <c r="Q19" s="605">
        <v>60</v>
      </c>
      <c r="R19" s="604">
        <v>13</v>
      </c>
      <c r="S19" s="603">
        <f t="shared" si="1"/>
        <v>3600</v>
      </c>
      <c r="T19" s="603">
        <f t="shared" si="2"/>
        <v>3600</v>
      </c>
      <c r="U19" s="603"/>
      <c r="V19" s="602" t="s">
        <v>5761</v>
      </c>
      <c r="W19" s="596" t="s">
        <v>5744</v>
      </c>
      <c r="X19" s="596" t="s">
        <v>5745</v>
      </c>
      <c r="Y19" s="598" t="s">
        <v>5747</v>
      </c>
      <c r="Z19" s="598" t="s">
        <v>5747</v>
      </c>
      <c r="AA19" s="600" t="s">
        <v>154</v>
      </c>
      <c r="AB19" s="600" t="s">
        <v>154</v>
      </c>
      <c r="AC19" s="598" t="s">
        <v>5747</v>
      </c>
      <c r="AD19" s="601">
        <v>22</v>
      </c>
      <c r="AE19" s="606" t="s">
        <v>3454</v>
      </c>
      <c r="AF19" s="598" t="s">
        <v>5747</v>
      </c>
      <c r="AG19" s="599" t="s">
        <v>154</v>
      </c>
      <c r="AH19" s="599" t="s">
        <v>154</v>
      </c>
      <c r="AI19" s="596" t="s">
        <v>5769</v>
      </c>
      <c r="AJ19" s="596" t="s">
        <v>5769</v>
      </c>
      <c r="AK19" s="596" t="s">
        <v>154</v>
      </c>
      <c r="AL19" s="599" t="s">
        <v>154</v>
      </c>
      <c r="AM19" s="598" t="s">
        <v>5747</v>
      </c>
      <c r="AN19" s="596" t="s">
        <v>154</v>
      </c>
      <c r="AO19" s="596" t="s">
        <v>3454</v>
      </c>
      <c r="AP19" s="596" t="s">
        <v>5774</v>
      </c>
      <c r="AQ19" s="596" t="s">
        <v>5774</v>
      </c>
      <c r="AR19" s="596" t="s">
        <v>154</v>
      </c>
      <c r="AS19" s="596"/>
      <c r="AT19" s="1210" t="s">
        <v>5771</v>
      </c>
      <c r="AU19" s="1211" t="s">
        <v>5762</v>
      </c>
      <c r="AV19" s="1211"/>
      <c r="AW19" s="596"/>
      <c r="AX19" s="572" t="s">
        <v>5747</v>
      </c>
      <c r="AY19" s="595"/>
      <c r="AZ19" s="595"/>
      <c r="BA19" s="594"/>
      <c r="BB19" s="594">
        <v>3</v>
      </c>
      <c r="BC19" s="594">
        <v>1</v>
      </c>
      <c r="BD19" s="594"/>
      <c r="BE19" s="594" t="s">
        <v>5775</v>
      </c>
      <c r="BF19" s="594" t="s">
        <v>5776</v>
      </c>
      <c r="BG19" s="594"/>
      <c r="BH19" s="594">
        <v>1</v>
      </c>
      <c r="BI19" s="594" t="s">
        <v>5777</v>
      </c>
    </row>
    <row r="20" spans="1:61" s="552" customFormat="1" ht="40" customHeight="1">
      <c r="A20" s="528"/>
      <c r="B20" s="522">
        <v>2511</v>
      </c>
      <c r="C20" s="566" t="s">
        <v>119</v>
      </c>
      <c r="D20" s="565" t="s">
        <v>452</v>
      </c>
      <c r="E20" s="2371" t="s">
        <v>454</v>
      </c>
      <c r="F20" s="2371"/>
      <c r="G20" s="2371"/>
      <c r="H20" s="527">
        <v>3</v>
      </c>
      <c r="I20" s="526" t="str">
        <f t="shared" si="0"/>
        <v>2511-BLD-003</v>
      </c>
      <c r="J20" s="525" t="s">
        <v>5778</v>
      </c>
      <c r="K20" s="525"/>
      <c r="L20" s="519" t="s">
        <v>5215</v>
      </c>
      <c r="M20" s="519" t="s">
        <v>2969</v>
      </c>
      <c r="N20" s="560">
        <v>1</v>
      </c>
      <c r="O20" s="560">
        <v>5</v>
      </c>
      <c r="P20" s="564">
        <v>60</v>
      </c>
      <c r="Q20" s="564">
        <v>76</v>
      </c>
      <c r="R20" s="563">
        <v>13</v>
      </c>
      <c r="S20" s="498">
        <f t="shared" si="1"/>
        <v>4560</v>
      </c>
      <c r="T20" s="498">
        <f t="shared" si="2"/>
        <v>4560</v>
      </c>
      <c r="U20" s="498"/>
      <c r="V20" s="562" t="s">
        <v>5761</v>
      </c>
      <c r="W20" s="559" t="s">
        <v>5744</v>
      </c>
      <c r="X20" s="559" t="s">
        <v>5745</v>
      </c>
      <c r="Y20" s="492" t="s">
        <v>5747</v>
      </c>
      <c r="Z20" s="492" t="s">
        <v>5747</v>
      </c>
      <c r="AA20" s="561" t="s">
        <v>154</v>
      </c>
      <c r="AB20" s="561" t="s">
        <v>154</v>
      </c>
      <c r="AC20" s="492" t="s">
        <v>5747</v>
      </c>
      <c r="AD20" s="560">
        <v>22</v>
      </c>
      <c r="AE20" s="519" t="s">
        <v>3454</v>
      </c>
      <c r="AF20" s="492" t="s">
        <v>5747</v>
      </c>
      <c r="AG20" s="557" t="s">
        <v>154</v>
      </c>
      <c r="AH20" s="557" t="s">
        <v>154</v>
      </c>
      <c r="AI20" s="559" t="s">
        <v>5769</v>
      </c>
      <c r="AJ20" s="559" t="s">
        <v>5769</v>
      </c>
      <c r="AK20" s="559" t="s">
        <v>154</v>
      </c>
      <c r="AL20" s="557" t="s">
        <v>154</v>
      </c>
      <c r="AM20" s="492" t="s">
        <v>5747</v>
      </c>
      <c r="AN20" s="559" t="s">
        <v>154</v>
      </c>
      <c r="AO20" s="559" t="s">
        <v>3454</v>
      </c>
      <c r="AP20" s="559" t="s">
        <v>5774</v>
      </c>
      <c r="AQ20" s="559" t="s">
        <v>5774</v>
      </c>
      <c r="AR20" s="559" t="s">
        <v>154</v>
      </c>
      <c r="AS20" s="559"/>
      <c r="AT20" s="567"/>
      <c r="AU20" s="487" t="s">
        <v>5762</v>
      </c>
      <c r="AV20" s="487"/>
      <c r="AW20" s="559"/>
      <c r="AX20" s="555"/>
      <c r="AY20" s="675"/>
      <c r="AZ20" s="675"/>
      <c r="BA20" s="574"/>
      <c r="BB20" s="574"/>
      <c r="BC20" s="574"/>
      <c r="BD20" s="574"/>
      <c r="BE20" s="574"/>
      <c r="BF20" s="574"/>
      <c r="BG20" s="574"/>
      <c r="BH20" s="574"/>
      <c r="BI20" s="574"/>
    </row>
    <row r="21" spans="1:61" s="552" customFormat="1" ht="40" customHeight="1">
      <c r="A21" s="507"/>
      <c r="B21" s="522">
        <v>2512</v>
      </c>
      <c r="C21" s="566" t="s">
        <v>119</v>
      </c>
      <c r="D21" s="565" t="s">
        <v>452</v>
      </c>
      <c r="E21" s="2371" t="s">
        <v>454</v>
      </c>
      <c r="F21" s="2371"/>
      <c r="G21" s="2371"/>
      <c r="H21" s="527">
        <v>1</v>
      </c>
      <c r="I21" s="526" t="str">
        <f t="shared" si="0"/>
        <v>2512-BLD-001</v>
      </c>
      <c r="J21" s="525" t="s">
        <v>5779</v>
      </c>
      <c r="K21" s="525"/>
      <c r="L21" s="519" t="s">
        <v>5215</v>
      </c>
      <c r="M21" s="519" t="s">
        <v>2969</v>
      </c>
      <c r="N21" s="560">
        <v>1</v>
      </c>
      <c r="O21" s="575">
        <v>30</v>
      </c>
      <c r="P21" s="564">
        <v>29</v>
      </c>
      <c r="Q21" s="564">
        <v>227</v>
      </c>
      <c r="R21" s="563">
        <v>13</v>
      </c>
      <c r="S21" s="498">
        <f t="shared" si="1"/>
        <v>6583</v>
      </c>
      <c r="T21" s="498">
        <f t="shared" si="2"/>
        <v>6583</v>
      </c>
      <c r="U21" s="498"/>
      <c r="V21" s="562" t="s">
        <v>5761</v>
      </c>
      <c r="W21" s="559" t="s">
        <v>5744</v>
      </c>
      <c r="X21" s="559" t="s">
        <v>5745</v>
      </c>
      <c r="Y21" s="561" t="s">
        <v>154</v>
      </c>
      <c r="Z21" s="492" t="s">
        <v>5747</v>
      </c>
      <c r="AA21" s="561" t="s">
        <v>154</v>
      </c>
      <c r="AB21" s="492" t="s">
        <v>5747</v>
      </c>
      <c r="AC21" s="492" t="s">
        <v>5747</v>
      </c>
      <c r="AD21" s="560">
        <v>22</v>
      </c>
      <c r="AE21" s="519" t="s">
        <v>5780</v>
      </c>
      <c r="AF21" s="492" t="s">
        <v>5747</v>
      </c>
      <c r="AG21" s="557" t="s">
        <v>154</v>
      </c>
      <c r="AH21" s="557" t="s">
        <v>154</v>
      </c>
      <c r="AI21" s="559" t="s">
        <v>5769</v>
      </c>
      <c r="AJ21" s="559" t="s">
        <v>5769</v>
      </c>
      <c r="AK21" s="559" t="s">
        <v>5769</v>
      </c>
      <c r="AL21" s="557" t="s">
        <v>154</v>
      </c>
      <c r="AM21" s="492" t="s">
        <v>5747</v>
      </c>
      <c r="AN21" s="559" t="s">
        <v>154</v>
      </c>
      <c r="AO21" s="559" t="s">
        <v>3454</v>
      </c>
      <c r="AP21" s="559" t="s">
        <v>5774</v>
      </c>
      <c r="AQ21" s="559" t="s">
        <v>5774</v>
      </c>
      <c r="AR21" s="492" t="s">
        <v>5747</v>
      </c>
      <c r="AS21" s="492"/>
      <c r="AT21" s="676" t="s">
        <v>5771</v>
      </c>
      <c r="AU21" s="487" t="s">
        <v>5762</v>
      </c>
      <c r="AV21" s="487"/>
      <c r="AW21" s="492"/>
      <c r="AX21" s="556" t="s">
        <v>5747</v>
      </c>
      <c r="AY21" s="675"/>
      <c r="AZ21" s="675"/>
      <c r="BA21" s="574"/>
      <c r="BB21" s="574"/>
      <c r="BC21" s="574"/>
      <c r="BD21" s="574" t="s">
        <v>5781</v>
      </c>
      <c r="BE21" s="574" t="s">
        <v>5781</v>
      </c>
      <c r="BF21" s="574"/>
      <c r="BG21" s="574"/>
      <c r="BH21" s="574"/>
      <c r="BI21" s="574"/>
    </row>
    <row r="22" spans="1:61" s="552" customFormat="1" ht="40" customHeight="1">
      <c r="A22" s="507"/>
      <c r="B22" s="522">
        <v>2512</v>
      </c>
      <c r="C22" s="566" t="s">
        <v>119</v>
      </c>
      <c r="D22" s="565" t="s">
        <v>452</v>
      </c>
      <c r="E22" s="2371" t="s">
        <v>454</v>
      </c>
      <c r="F22" s="2371"/>
      <c r="G22" s="2371"/>
      <c r="H22" s="527">
        <v>2</v>
      </c>
      <c r="I22" s="526" t="str">
        <f t="shared" si="0"/>
        <v>2512-BLD-002</v>
      </c>
      <c r="J22" s="525" t="s">
        <v>5782</v>
      </c>
      <c r="K22" s="525"/>
      <c r="L22" s="519" t="s">
        <v>5215</v>
      </c>
      <c r="M22" s="519" t="s">
        <v>2969</v>
      </c>
      <c r="N22" s="560">
        <v>1</v>
      </c>
      <c r="O22" s="575">
        <v>30</v>
      </c>
      <c r="P22" s="564">
        <v>29</v>
      </c>
      <c r="Q22" s="564">
        <v>227</v>
      </c>
      <c r="R22" s="563">
        <v>13</v>
      </c>
      <c r="S22" s="498">
        <f t="shared" si="1"/>
        <v>6583</v>
      </c>
      <c r="T22" s="498">
        <f t="shared" si="2"/>
        <v>6583</v>
      </c>
      <c r="U22" s="498"/>
      <c r="V22" s="562" t="s">
        <v>5761</v>
      </c>
      <c r="W22" s="559" t="s">
        <v>5744</v>
      </c>
      <c r="X22" s="559" t="s">
        <v>5745</v>
      </c>
      <c r="Y22" s="561" t="s">
        <v>154</v>
      </c>
      <c r="Z22" s="492" t="s">
        <v>5747</v>
      </c>
      <c r="AA22" s="561" t="s">
        <v>154</v>
      </c>
      <c r="AB22" s="492" t="s">
        <v>5747</v>
      </c>
      <c r="AC22" s="492" t="s">
        <v>5747</v>
      </c>
      <c r="AD22" s="560">
        <v>22</v>
      </c>
      <c r="AE22" s="519" t="s">
        <v>5780</v>
      </c>
      <c r="AF22" s="492" t="s">
        <v>5747</v>
      </c>
      <c r="AG22" s="557" t="s">
        <v>154</v>
      </c>
      <c r="AH22" s="557" t="s">
        <v>154</v>
      </c>
      <c r="AI22" s="559" t="s">
        <v>5769</v>
      </c>
      <c r="AJ22" s="559" t="s">
        <v>5769</v>
      </c>
      <c r="AK22" s="559" t="s">
        <v>5769</v>
      </c>
      <c r="AL22" s="557" t="s">
        <v>154</v>
      </c>
      <c r="AM22" s="492" t="s">
        <v>5747</v>
      </c>
      <c r="AN22" s="559" t="s">
        <v>154</v>
      </c>
      <c r="AO22" s="559" t="s">
        <v>3454</v>
      </c>
      <c r="AP22" s="559" t="s">
        <v>5774</v>
      </c>
      <c r="AQ22" s="559" t="s">
        <v>5774</v>
      </c>
      <c r="AR22" s="492" t="s">
        <v>5747</v>
      </c>
      <c r="AS22" s="492"/>
      <c r="AT22" s="676" t="s">
        <v>5771</v>
      </c>
      <c r="AU22" s="487" t="s">
        <v>5762</v>
      </c>
      <c r="AV22" s="487"/>
      <c r="AW22" s="492"/>
      <c r="AX22" s="556" t="s">
        <v>5747</v>
      </c>
      <c r="AY22" s="675"/>
      <c r="AZ22" s="675"/>
      <c r="BA22" s="574"/>
      <c r="BB22" s="574"/>
      <c r="BC22" s="574"/>
      <c r="BD22" s="574" t="s">
        <v>5781</v>
      </c>
      <c r="BE22" s="574" t="s">
        <v>5781</v>
      </c>
      <c r="BF22" s="574"/>
      <c r="BG22" s="574"/>
      <c r="BH22" s="574"/>
      <c r="BI22" s="574"/>
    </row>
    <row r="23" spans="1:61" s="552" customFormat="1" ht="40" customHeight="1">
      <c r="A23" s="507"/>
      <c r="B23" s="522">
        <v>2512</v>
      </c>
      <c r="C23" s="566" t="s">
        <v>119</v>
      </c>
      <c r="D23" s="565" t="s">
        <v>452</v>
      </c>
      <c r="E23" s="2371" t="s">
        <v>454</v>
      </c>
      <c r="F23" s="2371"/>
      <c r="G23" s="2371"/>
      <c r="H23" s="527">
        <v>3</v>
      </c>
      <c r="I23" s="526" t="str">
        <f t="shared" si="0"/>
        <v>2512-BLD-003</v>
      </c>
      <c r="J23" s="525" t="s">
        <v>5783</v>
      </c>
      <c r="K23" s="525" t="s">
        <v>1</v>
      </c>
      <c r="L23" s="519" t="s">
        <v>5215</v>
      </c>
      <c r="M23" s="519" t="s">
        <v>2969</v>
      </c>
      <c r="N23" s="560">
        <v>1</v>
      </c>
      <c r="O23" s="575">
        <v>30</v>
      </c>
      <c r="P23" s="564">
        <v>29</v>
      </c>
      <c r="Q23" s="564">
        <v>227</v>
      </c>
      <c r="R23" s="563">
        <v>13</v>
      </c>
      <c r="S23" s="498">
        <f t="shared" si="1"/>
        <v>6583</v>
      </c>
      <c r="T23" s="498">
        <f t="shared" si="2"/>
        <v>6583</v>
      </c>
      <c r="U23" s="498"/>
      <c r="V23" s="562" t="s">
        <v>5761</v>
      </c>
      <c r="W23" s="559" t="s">
        <v>5744</v>
      </c>
      <c r="X23" s="559" t="s">
        <v>5745</v>
      </c>
      <c r="Y23" s="561" t="s">
        <v>154</v>
      </c>
      <c r="Z23" s="492" t="s">
        <v>5747</v>
      </c>
      <c r="AA23" s="561" t="s">
        <v>154</v>
      </c>
      <c r="AB23" s="492" t="s">
        <v>5747</v>
      </c>
      <c r="AC23" s="492" t="s">
        <v>5747</v>
      </c>
      <c r="AD23" s="560">
        <v>22</v>
      </c>
      <c r="AE23" s="519" t="s">
        <v>5780</v>
      </c>
      <c r="AF23" s="492" t="s">
        <v>5747</v>
      </c>
      <c r="AG23" s="557" t="s">
        <v>154</v>
      </c>
      <c r="AH23" s="557" t="s">
        <v>154</v>
      </c>
      <c r="AI23" s="559" t="s">
        <v>5769</v>
      </c>
      <c r="AJ23" s="559" t="s">
        <v>5769</v>
      </c>
      <c r="AK23" s="559" t="s">
        <v>5769</v>
      </c>
      <c r="AL23" s="557" t="s">
        <v>154</v>
      </c>
      <c r="AM23" s="492" t="s">
        <v>5747</v>
      </c>
      <c r="AN23" s="559" t="s">
        <v>154</v>
      </c>
      <c r="AO23" s="559" t="s">
        <v>3454</v>
      </c>
      <c r="AP23" s="559" t="s">
        <v>5774</v>
      </c>
      <c r="AQ23" s="559" t="s">
        <v>5774</v>
      </c>
      <c r="AR23" s="492" t="s">
        <v>5747</v>
      </c>
      <c r="AS23" s="492"/>
      <c r="AT23" s="676" t="s">
        <v>5771</v>
      </c>
      <c r="AU23" s="487" t="s">
        <v>5762</v>
      </c>
      <c r="AV23" s="487"/>
      <c r="AW23" s="492"/>
      <c r="AX23" s="556" t="s">
        <v>5747</v>
      </c>
      <c r="AY23" s="675"/>
      <c r="AZ23" s="675"/>
      <c r="BA23" s="574"/>
      <c r="BB23" s="574"/>
      <c r="BC23" s="574"/>
      <c r="BD23" s="574" t="s">
        <v>5781</v>
      </c>
      <c r="BE23" s="574" t="s">
        <v>5781</v>
      </c>
      <c r="BF23" s="574"/>
      <c r="BG23" s="574"/>
      <c r="BH23" s="574"/>
      <c r="BI23" s="574"/>
    </row>
    <row r="24" spans="1:61" s="552" customFormat="1" ht="40" customHeight="1">
      <c r="A24" s="507"/>
      <c r="B24" s="522">
        <v>2512</v>
      </c>
      <c r="C24" s="566" t="s">
        <v>119</v>
      </c>
      <c r="D24" s="565" t="s">
        <v>452</v>
      </c>
      <c r="E24" s="2371" t="s">
        <v>454</v>
      </c>
      <c r="F24" s="2371"/>
      <c r="G24" s="2371"/>
      <c r="H24" s="527">
        <v>4</v>
      </c>
      <c r="I24" s="526" t="str">
        <f t="shared" si="0"/>
        <v>2512-BLD-004</v>
      </c>
      <c r="J24" s="525" t="s">
        <v>5784</v>
      </c>
      <c r="K24" s="525"/>
      <c r="L24" s="519" t="s">
        <v>5215</v>
      </c>
      <c r="M24" s="519" t="s">
        <v>2969</v>
      </c>
      <c r="N24" s="560">
        <v>1</v>
      </c>
      <c r="O24" s="575">
        <v>30</v>
      </c>
      <c r="P24" s="564">
        <v>29</v>
      </c>
      <c r="Q24" s="564">
        <v>227</v>
      </c>
      <c r="R24" s="563">
        <v>13</v>
      </c>
      <c r="S24" s="498">
        <f t="shared" si="1"/>
        <v>6583</v>
      </c>
      <c r="T24" s="498">
        <f t="shared" si="2"/>
        <v>6583</v>
      </c>
      <c r="U24" s="498"/>
      <c r="V24" s="562" t="s">
        <v>5761</v>
      </c>
      <c r="W24" s="559" t="s">
        <v>5744</v>
      </c>
      <c r="X24" s="559" t="s">
        <v>5745</v>
      </c>
      <c r="Y24" s="561" t="s">
        <v>154</v>
      </c>
      <c r="Z24" s="492" t="s">
        <v>5747</v>
      </c>
      <c r="AA24" s="561" t="s">
        <v>154</v>
      </c>
      <c r="AB24" s="492" t="s">
        <v>5747</v>
      </c>
      <c r="AC24" s="492" t="s">
        <v>5747</v>
      </c>
      <c r="AD24" s="560">
        <v>22</v>
      </c>
      <c r="AE24" s="519" t="s">
        <v>5780</v>
      </c>
      <c r="AF24" s="492" t="s">
        <v>5747</v>
      </c>
      <c r="AG24" s="557" t="s">
        <v>154</v>
      </c>
      <c r="AH24" s="557" t="s">
        <v>154</v>
      </c>
      <c r="AI24" s="559" t="s">
        <v>5769</v>
      </c>
      <c r="AJ24" s="559" t="s">
        <v>5769</v>
      </c>
      <c r="AK24" s="559" t="s">
        <v>5769</v>
      </c>
      <c r="AL24" s="557" t="s">
        <v>154</v>
      </c>
      <c r="AM24" s="492" t="s">
        <v>5747</v>
      </c>
      <c r="AN24" s="559" t="s">
        <v>154</v>
      </c>
      <c r="AO24" s="559" t="s">
        <v>3454</v>
      </c>
      <c r="AP24" s="559" t="s">
        <v>5774</v>
      </c>
      <c r="AQ24" s="559" t="s">
        <v>5774</v>
      </c>
      <c r="AR24" s="492" t="s">
        <v>5747</v>
      </c>
      <c r="AS24" s="492"/>
      <c r="AT24" s="676" t="s">
        <v>5771</v>
      </c>
      <c r="AU24" s="487" t="s">
        <v>5762</v>
      </c>
      <c r="AV24" s="487"/>
      <c r="AW24" s="492"/>
      <c r="AX24" s="556" t="s">
        <v>5747</v>
      </c>
      <c r="AY24" s="675"/>
      <c r="AZ24" s="675"/>
      <c r="BA24" s="574"/>
      <c r="BB24" s="574"/>
      <c r="BC24" s="574"/>
      <c r="BD24" s="574" t="s">
        <v>5781</v>
      </c>
      <c r="BE24" s="574" t="s">
        <v>5781</v>
      </c>
      <c r="BF24" s="574"/>
      <c r="BG24" s="574"/>
      <c r="BH24" s="574"/>
      <c r="BI24" s="574"/>
    </row>
    <row r="25" spans="1:61" ht="40" customHeight="1">
      <c r="A25" s="528"/>
      <c r="B25" s="506">
        <v>2513</v>
      </c>
      <c r="C25" s="505" t="s">
        <v>119</v>
      </c>
      <c r="D25" s="504" t="s">
        <v>452</v>
      </c>
      <c r="E25" s="2369" t="s">
        <v>454</v>
      </c>
      <c r="F25" s="2369"/>
      <c r="G25" s="2369"/>
      <c r="H25" s="503">
        <v>1</v>
      </c>
      <c r="I25" s="502" t="str">
        <f t="shared" si="0"/>
        <v>2513-BLD-001</v>
      </c>
      <c r="J25" s="501" t="s">
        <v>5785</v>
      </c>
      <c r="K25" s="501"/>
      <c r="L25" s="493" t="s">
        <v>4158</v>
      </c>
      <c r="M25" s="493" t="s">
        <v>2969</v>
      </c>
      <c r="N25" s="494">
        <v>1</v>
      </c>
      <c r="O25" s="494">
        <v>18</v>
      </c>
      <c r="P25" s="500">
        <v>24</v>
      </c>
      <c r="Q25" s="500">
        <v>40</v>
      </c>
      <c r="R25" s="499">
        <v>8</v>
      </c>
      <c r="S25" s="497">
        <f t="shared" si="1"/>
        <v>960</v>
      </c>
      <c r="T25" s="498">
        <f t="shared" si="2"/>
        <v>960</v>
      </c>
      <c r="U25" s="497" t="s">
        <v>3454</v>
      </c>
      <c r="V25" s="496" t="s">
        <v>5786</v>
      </c>
      <c r="W25" s="489" t="s">
        <v>5787</v>
      </c>
      <c r="X25" s="489" t="s">
        <v>5745</v>
      </c>
      <c r="Y25" s="492" t="s">
        <v>5747</v>
      </c>
      <c r="Z25" s="492" t="s">
        <v>5747</v>
      </c>
      <c r="AA25" s="495" t="s">
        <v>154</v>
      </c>
      <c r="AB25" s="495" t="s">
        <v>154</v>
      </c>
      <c r="AC25" s="492" t="s">
        <v>5747</v>
      </c>
      <c r="AD25" s="494">
        <v>22</v>
      </c>
      <c r="AE25" s="495" t="s">
        <v>5746</v>
      </c>
      <c r="AF25" s="491" t="s">
        <v>154</v>
      </c>
      <c r="AG25" s="491" t="s">
        <v>154</v>
      </c>
      <c r="AH25" s="489" t="s">
        <v>5754</v>
      </c>
      <c r="AI25" s="489" t="s">
        <v>5755</v>
      </c>
      <c r="AJ25" s="489" t="s">
        <v>5754</v>
      </c>
      <c r="AK25" s="489" t="s">
        <v>154</v>
      </c>
      <c r="AL25" s="491" t="s">
        <v>154</v>
      </c>
      <c r="AM25" s="492" t="s">
        <v>5747</v>
      </c>
      <c r="AN25" s="491" t="s">
        <v>154</v>
      </c>
      <c r="AO25" s="489" t="s">
        <v>3454</v>
      </c>
      <c r="AP25" s="489" t="s">
        <v>5750</v>
      </c>
      <c r="AQ25" s="489" t="s">
        <v>5788</v>
      </c>
      <c r="AR25" s="489" t="s">
        <v>154</v>
      </c>
      <c r="AS25" s="487">
        <v>6</v>
      </c>
      <c r="AT25" s="488" t="s">
        <v>5789</v>
      </c>
      <c r="AU25" s="487" t="s">
        <v>5762</v>
      </c>
      <c r="AV25" s="487"/>
      <c r="AW25" s="487"/>
      <c r="AX25" s="570" t="s">
        <v>5747</v>
      </c>
      <c r="AY25" s="674"/>
      <c r="AZ25" s="674"/>
      <c r="BA25" s="457"/>
      <c r="BB25" s="457">
        <v>1</v>
      </c>
      <c r="BC25" s="457"/>
      <c r="BD25" s="457"/>
      <c r="BE25" s="457">
        <v>2</v>
      </c>
      <c r="BF25" s="457">
        <v>1</v>
      </c>
      <c r="BG25" s="457">
        <v>1</v>
      </c>
      <c r="BH25" s="457">
        <v>1</v>
      </c>
      <c r="BI25" s="457" t="s">
        <v>5777</v>
      </c>
    </row>
    <row r="26" spans="1:61" ht="40" customHeight="1">
      <c r="A26" s="507"/>
      <c r="B26" s="506">
        <v>2513</v>
      </c>
      <c r="C26" s="505" t="s">
        <v>119</v>
      </c>
      <c r="D26" s="504" t="s">
        <v>452</v>
      </c>
      <c r="E26" s="2369" t="s">
        <v>454</v>
      </c>
      <c r="F26" s="2369"/>
      <c r="G26" s="2369"/>
      <c r="H26" s="503">
        <v>2</v>
      </c>
      <c r="I26" s="502" t="str">
        <f t="shared" si="0"/>
        <v>2513-BLD-002</v>
      </c>
      <c r="J26" s="501" t="s">
        <v>5790</v>
      </c>
      <c r="K26" s="501"/>
      <c r="L26" s="493" t="s">
        <v>4168</v>
      </c>
      <c r="M26" s="493" t="s">
        <v>2969</v>
      </c>
      <c r="N26" s="494">
        <v>1</v>
      </c>
      <c r="O26" s="494">
        <v>5</v>
      </c>
      <c r="P26" s="500">
        <v>50</v>
      </c>
      <c r="Q26" s="500">
        <v>60</v>
      </c>
      <c r="R26" s="499">
        <v>20</v>
      </c>
      <c r="S26" s="497">
        <f t="shared" si="1"/>
        <v>3000</v>
      </c>
      <c r="T26" s="498">
        <f t="shared" si="2"/>
        <v>3000</v>
      </c>
      <c r="U26" s="497" t="s">
        <v>5791</v>
      </c>
      <c r="V26" s="496" t="s">
        <v>5792</v>
      </c>
      <c r="W26" s="489" t="s">
        <v>5793</v>
      </c>
      <c r="X26" s="489" t="s">
        <v>5794</v>
      </c>
      <c r="Y26" s="495" t="s">
        <v>154</v>
      </c>
      <c r="Z26" s="495" t="s">
        <v>154</v>
      </c>
      <c r="AA26" s="495" t="s">
        <v>154</v>
      </c>
      <c r="AB26" s="495" t="s">
        <v>154</v>
      </c>
      <c r="AC26" s="495" t="s">
        <v>154</v>
      </c>
      <c r="AD26" s="494">
        <v>5</v>
      </c>
      <c r="AE26" s="495" t="s">
        <v>3454</v>
      </c>
      <c r="AF26" s="492" t="s">
        <v>5747</v>
      </c>
      <c r="AG26" s="491" t="s">
        <v>154</v>
      </c>
      <c r="AH26" s="491" t="s">
        <v>154</v>
      </c>
      <c r="AI26" s="489" t="s">
        <v>154</v>
      </c>
      <c r="AJ26" s="489" t="s">
        <v>154</v>
      </c>
      <c r="AK26" s="489" t="s">
        <v>154</v>
      </c>
      <c r="AL26" s="491" t="s">
        <v>154</v>
      </c>
      <c r="AM26" s="492" t="s">
        <v>5747</v>
      </c>
      <c r="AN26" s="491" t="s">
        <v>154</v>
      </c>
      <c r="AO26" s="489" t="s">
        <v>3454</v>
      </c>
      <c r="AP26" s="489" t="s">
        <v>5750</v>
      </c>
      <c r="AQ26" s="489" t="s">
        <v>5774</v>
      </c>
      <c r="AR26" s="489" t="s">
        <v>154</v>
      </c>
      <c r="AS26" s="487">
        <v>4</v>
      </c>
      <c r="AT26" s="488" t="s">
        <v>5789</v>
      </c>
      <c r="AU26" s="487" t="s">
        <v>5762</v>
      </c>
      <c r="AV26" s="487"/>
      <c r="AW26" s="487"/>
      <c r="AX26" s="570" t="s">
        <v>5747</v>
      </c>
      <c r="AY26" s="674"/>
      <c r="AZ26" s="674"/>
      <c r="BA26" s="457"/>
      <c r="BB26" s="457"/>
      <c r="BC26" s="457"/>
      <c r="BD26" s="457"/>
      <c r="BE26" s="457">
        <v>1</v>
      </c>
      <c r="BF26" s="457"/>
      <c r="BG26" s="457"/>
      <c r="BH26" s="457">
        <v>1</v>
      </c>
      <c r="BI26" s="457" t="s">
        <v>5795</v>
      </c>
    </row>
    <row r="27" spans="1:61" ht="40" customHeight="1">
      <c r="A27" s="507"/>
      <c r="B27" s="506">
        <v>2521</v>
      </c>
      <c r="C27" s="505" t="s">
        <v>119</v>
      </c>
      <c r="D27" s="504" t="s">
        <v>452</v>
      </c>
      <c r="E27" s="2369" t="s">
        <v>605</v>
      </c>
      <c r="F27" s="2369"/>
      <c r="G27" s="2369"/>
      <c r="H27" s="503">
        <v>1</v>
      </c>
      <c r="I27" s="502" t="str">
        <f t="shared" si="0"/>
        <v>2521-BLD-001</v>
      </c>
      <c r="J27" s="501" t="s">
        <v>5796</v>
      </c>
      <c r="K27" s="501"/>
      <c r="L27" s="493" t="s">
        <v>4168</v>
      </c>
      <c r="M27" s="493" t="s">
        <v>2969</v>
      </c>
      <c r="N27" s="494">
        <v>1</v>
      </c>
      <c r="O27" s="494">
        <v>10</v>
      </c>
      <c r="P27" s="500">
        <v>60</v>
      </c>
      <c r="Q27" s="500">
        <v>160</v>
      </c>
      <c r="R27" s="499">
        <v>25</v>
      </c>
      <c r="S27" s="497">
        <f t="shared" si="1"/>
        <v>9600</v>
      </c>
      <c r="T27" s="498">
        <f t="shared" si="2"/>
        <v>9600</v>
      </c>
      <c r="U27" s="497" t="s">
        <v>5797</v>
      </c>
      <c r="V27" s="496" t="s">
        <v>5792</v>
      </c>
      <c r="W27" s="489" t="s">
        <v>5793</v>
      </c>
      <c r="X27" s="489" t="s">
        <v>5794</v>
      </c>
      <c r="Y27" s="495" t="s">
        <v>154</v>
      </c>
      <c r="Z27" s="495" t="s">
        <v>154</v>
      </c>
      <c r="AA27" s="495" t="s">
        <v>154</v>
      </c>
      <c r="AB27" s="495" t="s">
        <v>154</v>
      </c>
      <c r="AC27" s="495" t="s">
        <v>154</v>
      </c>
      <c r="AD27" s="494">
        <v>22</v>
      </c>
      <c r="AE27" s="493" t="s">
        <v>3454</v>
      </c>
      <c r="AF27" s="492" t="s">
        <v>5747</v>
      </c>
      <c r="AG27" s="491" t="s">
        <v>154</v>
      </c>
      <c r="AH27" s="489" t="s">
        <v>5754</v>
      </c>
      <c r="AI27" s="489" t="s">
        <v>154</v>
      </c>
      <c r="AJ27" s="489" t="s">
        <v>154</v>
      </c>
      <c r="AK27" s="489" t="s">
        <v>154</v>
      </c>
      <c r="AL27" s="491" t="s">
        <v>154</v>
      </c>
      <c r="AM27" s="492" t="s">
        <v>5747</v>
      </c>
      <c r="AN27" s="491" t="s">
        <v>154</v>
      </c>
      <c r="AO27" s="489" t="s">
        <v>3454</v>
      </c>
      <c r="AP27" s="489" t="s">
        <v>5750</v>
      </c>
      <c r="AQ27" s="489" t="s">
        <v>154</v>
      </c>
      <c r="AR27" s="489" t="s">
        <v>154</v>
      </c>
      <c r="AS27" s="530">
        <v>4</v>
      </c>
      <c r="AT27" s="488" t="s">
        <v>5789</v>
      </c>
      <c r="AU27" s="487" t="s">
        <v>5762</v>
      </c>
      <c r="AV27" s="487"/>
      <c r="AW27" s="530"/>
      <c r="AX27" s="570" t="s">
        <v>5747</v>
      </c>
      <c r="AY27" s="674"/>
      <c r="AZ27" s="674"/>
      <c r="BA27" s="457">
        <v>1</v>
      </c>
      <c r="BB27" s="457">
        <v>1</v>
      </c>
      <c r="BC27" s="457"/>
      <c r="BD27" s="457"/>
      <c r="BE27" s="457">
        <v>4</v>
      </c>
      <c r="BF27" s="457"/>
      <c r="BG27" s="457"/>
      <c r="BH27" s="457"/>
      <c r="BI27" s="457" t="s">
        <v>5798</v>
      </c>
    </row>
    <row r="28" spans="1:61" ht="40" customHeight="1">
      <c r="A28" s="507"/>
      <c r="B28" s="506">
        <v>2521</v>
      </c>
      <c r="C28" s="505" t="s">
        <v>119</v>
      </c>
      <c r="D28" s="504" t="s">
        <v>452</v>
      </c>
      <c r="E28" s="2369" t="s">
        <v>605</v>
      </c>
      <c r="F28" s="2369"/>
      <c r="G28" s="2369"/>
      <c r="H28" s="503">
        <v>2</v>
      </c>
      <c r="I28" s="502" t="str">
        <f t="shared" si="0"/>
        <v>2521-BLD-002</v>
      </c>
      <c r="J28" s="501" t="s">
        <v>5799</v>
      </c>
      <c r="K28" s="501"/>
      <c r="L28" s="493" t="s">
        <v>4168</v>
      </c>
      <c r="M28" s="493" t="s">
        <v>2969</v>
      </c>
      <c r="N28" s="494">
        <v>1</v>
      </c>
      <c r="O28" s="529">
        <v>5</v>
      </c>
      <c r="P28" s="500">
        <v>40</v>
      </c>
      <c r="Q28" s="500">
        <v>40</v>
      </c>
      <c r="R28" s="499">
        <v>25</v>
      </c>
      <c r="S28" s="497">
        <f t="shared" si="1"/>
        <v>1600</v>
      </c>
      <c r="T28" s="498">
        <f t="shared" si="2"/>
        <v>1600</v>
      </c>
      <c r="U28" s="497" t="s">
        <v>5797</v>
      </c>
      <c r="V28" s="496" t="s">
        <v>5792</v>
      </c>
      <c r="W28" s="489" t="s">
        <v>5793</v>
      </c>
      <c r="X28" s="489" t="s">
        <v>5800</v>
      </c>
      <c r="Y28" s="495" t="s">
        <v>154</v>
      </c>
      <c r="Z28" s="495" t="s">
        <v>154</v>
      </c>
      <c r="AA28" s="495" t="s">
        <v>154</v>
      </c>
      <c r="AB28" s="495" t="s">
        <v>154</v>
      </c>
      <c r="AC28" s="495" t="s">
        <v>154</v>
      </c>
      <c r="AD28" s="494">
        <v>22</v>
      </c>
      <c r="AE28" s="493" t="s">
        <v>3454</v>
      </c>
      <c r="AF28" s="492" t="s">
        <v>5747</v>
      </c>
      <c r="AG28" s="491" t="s">
        <v>154</v>
      </c>
      <c r="AH28" s="491" t="s">
        <v>154</v>
      </c>
      <c r="AI28" s="489" t="s">
        <v>154</v>
      </c>
      <c r="AJ28" s="489" t="s">
        <v>154</v>
      </c>
      <c r="AK28" s="489" t="s">
        <v>154</v>
      </c>
      <c r="AL28" s="491" t="s">
        <v>154</v>
      </c>
      <c r="AM28" s="492" t="s">
        <v>5747</v>
      </c>
      <c r="AN28" s="491" t="s">
        <v>154</v>
      </c>
      <c r="AO28" s="489" t="s">
        <v>3454</v>
      </c>
      <c r="AP28" s="489" t="s">
        <v>5750</v>
      </c>
      <c r="AQ28" s="489" t="s">
        <v>154</v>
      </c>
      <c r="AR28" s="489" t="s">
        <v>154</v>
      </c>
      <c r="AS28" s="487">
        <v>2</v>
      </c>
      <c r="AT28" s="488" t="s">
        <v>5789</v>
      </c>
      <c r="AU28" s="487" t="s">
        <v>5762</v>
      </c>
      <c r="AV28" s="487"/>
      <c r="AW28" s="487"/>
      <c r="AX28" s="570" t="s">
        <v>5747</v>
      </c>
      <c r="AY28" s="674"/>
      <c r="AZ28" s="674"/>
      <c r="BA28" s="457"/>
      <c r="BB28" s="457"/>
      <c r="BC28" s="457"/>
      <c r="BD28" s="457"/>
      <c r="BE28" s="457">
        <v>1</v>
      </c>
      <c r="BF28" s="457"/>
      <c r="BG28" s="457"/>
      <c r="BH28" s="457"/>
      <c r="BI28" s="457"/>
    </row>
    <row r="29" spans="1:61" ht="40" customHeight="1">
      <c r="A29" s="528"/>
      <c r="B29" s="506">
        <v>2521</v>
      </c>
      <c r="C29" s="505" t="s">
        <v>119</v>
      </c>
      <c r="D29" s="504" t="s">
        <v>452</v>
      </c>
      <c r="E29" s="2369" t="s">
        <v>605</v>
      </c>
      <c r="F29" s="2369"/>
      <c r="G29" s="2369"/>
      <c r="H29" s="503">
        <v>3</v>
      </c>
      <c r="I29" s="502" t="str">
        <f t="shared" si="0"/>
        <v>2521-BLD-003</v>
      </c>
      <c r="J29" s="501" t="s">
        <v>5801</v>
      </c>
      <c r="K29" s="501"/>
      <c r="L29" s="493" t="s">
        <v>4158</v>
      </c>
      <c r="M29" s="493" t="s">
        <v>2969</v>
      </c>
      <c r="N29" s="494">
        <v>1</v>
      </c>
      <c r="O29" s="494">
        <v>32</v>
      </c>
      <c r="P29" s="500">
        <v>48</v>
      </c>
      <c r="Q29" s="500">
        <v>60</v>
      </c>
      <c r="R29" s="499">
        <v>8</v>
      </c>
      <c r="S29" s="497">
        <f t="shared" si="1"/>
        <v>2880</v>
      </c>
      <c r="T29" s="498">
        <f t="shared" si="2"/>
        <v>2880</v>
      </c>
      <c r="U29" s="497" t="s">
        <v>3454</v>
      </c>
      <c r="V29" s="496" t="s">
        <v>5786</v>
      </c>
      <c r="W29" s="489" t="s">
        <v>5787</v>
      </c>
      <c r="X29" s="489" t="s">
        <v>5745</v>
      </c>
      <c r="Y29" s="492" t="s">
        <v>5747</v>
      </c>
      <c r="Z29" s="495" t="s">
        <v>154</v>
      </c>
      <c r="AA29" s="492" t="s">
        <v>5747</v>
      </c>
      <c r="AB29" s="495" t="s">
        <v>154</v>
      </c>
      <c r="AC29" s="492" t="s">
        <v>5747</v>
      </c>
      <c r="AD29" s="494">
        <v>22</v>
      </c>
      <c r="AE29" s="493" t="s">
        <v>5746</v>
      </c>
      <c r="AF29" s="491" t="s">
        <v>154</v>
      </c>
      <c r="AG29" s="489" t="s">
        <v>154</v>
      </c>
      <c r="AH29" s="489" t="s">
        <v>154</v>
      </c>
      <c r="AI29" s="489" t="s">
        <v>5755</v>
      </c>
      <c r="AJ29" s="489" t="s">
        <v>154</v>
      </c>
      <c r="AK29" s="489" t="s">
        <v>154</v>
      </c>
      <c r="AL29" s="491" t="s">
        <v>154</v>
      </c>
      <c r="AM29" s="492" t="s">
        <v>5747</v>
      </c>
      <c r="AN29" s="491" t="s">
        <v>154</v>
      </c>
      <c r="AO29" s="489" t="s">
        <v>3454</v>
      </c>
      <c r="AP29" s="489" t="s">
        <v>5750</v>
      </c>
      <c r="AQ29" s="489" t="s">
        <v>5756</v>
      </c>
      <c r="AR29" s="489" t="s">
        <v>154</v>
      </c>
      <c r="AS29" s="487">
        <v>40</v>
      </c>
      <c r="AT29" s="488" t="s">
        <v>5789</v>
      </c>
      <c r="AU29" s="487" t="s">
        <v>5762</v>
      </c>
      <c r="AV29" s="487"/>
      <c r="AW29" s="487"/>
      <c r="AX29" s="570" t="s">
        <v>5747</v>
      </c>
      <c r="AY29" s="570" t="s">
        <v>5747</v>
      </c>
      <c r="AZ29" s="570"/>
      <c r="BA29" s="457"/>
      <c r="BB29" s="457">
        <v>1</v>
      </c>
      <c r="BC29" s="457"/>
      <c r="BD29" s="457"/>
      <c r="BE29" s="457">
        <v>3</v>
      </c>
      <c r="BF29" s="457"/>
      <c r="BG29" s="457"/>
      <c r="BH29" s="457"/>
      <c r="BI29" s="457" t="s">
        <v>5802</v>
      </c>
    </row>
    <row r="30" spans="1:61" ht="40" customHeight="1">
      <c r="A30" s="528"/>
      <c r="B30" s="506">
        <v>2521</v>
      </c>
      <c r="C30" s="505" t="s">
        <v>119</v>
      </c>
      <c r="D30" s="504" t="s">
        <v>452</v>
      </c>
      <c r="E30" s="2369" t="s">
        <v>605</v>
      </c>
      <c r="F30" s="2369"/>
      <c r="G30" s="2369"/>
      <c r="H30" s="503">
        <v>4</v>
      </c>
      <c r="I30" s="502" t="str">
        <f t="shared" si="0"/>
        <v>2521-BLD-004</v>
      </c>
      <c r="J30" s="501" t="s">
        <v>5803</v>
      </c>
      <c r="K30" s="501"/>
      <c r="L30" s="493" t="s">
        <v>4158</v>
      </c>
      <c r="M30" s="493" t="s">
        <v>2969</v>
      </c>
      <c r="N30" s="494">
        <v>1</v>
      </c>
      <c r="O30" s="529">
        <v>9</v>
      </c>
      <c r="P30" s="500">
        <v>12</v>
      </c>
      <c r="Q30" s="500">
        <v>32</v>
      </c>
      <c r="R30" s="499">
        <v>8</v>
      </c>
      <c r="S30" s="497">
        <f t="shared" si="1"/>
        <v>384</v>
      </c>
      <c r="T30" s="498">
        <f t="shared" si="2"/>
        <v>384</v>
      </c>
      <c r="U30" s="497" t="s">
        <v>5791</v>
      </c>
      <c r="V30" s="496" t="s">
        <v>5753</v>
      </c>
      <c r="W30" s="489" t="s">
        <v>5787</v>
      </c>
      <c r="X30" s="489" t="s">
        <v>5745</v>
      </c>
      <c r="Y30" s="495" t="s">
        <v>154</v>
      </c>
      <c r="Z30" s="492" t="s">
        <v>5747</v>
      </c>
      <c r="AA30" s="495" t="s">
        <v>154</v>
      </c>
      <c r="AB30" s="495" t="s">
        <v>154</v>
      </c>
      <c r="AC30" s="495" t="s">
        <v>154</v>
      </c>
      <c r="AD30" s="494">
        <v>22</v>
      </c>
      <c r="AE30" s="495" t="s">
        <v>5746</v>
      </c>
      <c r="AF30" s="489" t="s">
        <v>154</v>
      </c>
      <c r="AG30" s="489" t="s">
        <v>154</v>
      </c>
      <c r="AH30" s="489" t="s">
        <v>5754</v>
      </c>
      <c r="AI30" s="489" t="s">
        <v>154</v>
      </c>
      <c r="AJ30" s="489" t="s">
        <v>5754</v>
      </c>
      <c r="AK30" s="489" t="s">
        <v>154</v>
      </c>
      <c r="AL30" s="491" t="s">
        <v>154</v>
      </c>
      <c r="AM30" s="491" t="s">
        <v>154</v>
      </c>
      <c r="AN30" s="492" t="s">
        <v>5747</v>
      </c>
      <c r="AO30" s="489" t="s">
        <v>3454</v>
      </c>
      <c r="AP30" s="489" t="s">
        <v>154</v>
      </c>
      <c r="AQ30" s="489" t="s">
        <v>154</v>
      </c>
      <c r="AR30" s="489" t="s">
        <v>154</v>
      </c>
      <c r="AS30" s="487"/>
      <c r="AT30" s="488"/>
      <c r="AU30" s="487"/>
      <c r="AV30" s="487"/>
      <c r="AW30" s="487"/>
      <c r="AX30" s="486"/>
      <c r="AY30" s="674"/>
      <c r="AZ30" s="674"/>
      <c r="BA30" s="457"/>
      <c r="BB30" s="457"/>
      <c r="BC30" s="457"/>
      <c r="BD30" s="457"/>
      <c r="BE30" s="457"/>
      <c r="BF30" s="457"/>
      <c r="BG30" s="457"/>
      <c r="BH30" s="457"/>
      <c r="BI30" s="457"/>
    </row>
    <row r="31" spans="1:61" s="552" customFormat="1" ht="40" customHeight="1">
      <c r="A31" s="528"/>
      <c r="B31" s="522">
        <v>2530</v>
      </c>
      <c r="C31" s="566" t="s">
        <v>119</v>
      </c>
      <c r="D31" s="565" t="s">
        <v>452</v>
      </c>
      <c r="E31" s="2371" t="s">
        <v>701</v>
      </c>
      <c r="F31" s="2371"/>
      <c r="G31" s="2371"/>
      <c r="H31" s="527">
        <v>1</v>
      </c>
      <c r="I31" s="526" t="str">
        <f t="shared" si="0"/>
        <v>2530-BLD-001</v>
      </c>
      <c r="J31" s="525" t="s">
        <v>5804</v>
      </c>
      <c r="K31" s="525"/>
      <c r="L31" s="519" t="s">
        <v>5805</v>
      </c>
      <c r="M31" s="519" t="s">
        <v>2969</v>
      </c>
      <c r="N31" s="560">
        <v>1</v>
      </c>
      <c r="O31" s="560" t="s">
        <v>154</v>
      </c>
      <c r="P31" s="564">
        <v>13</v>
      </c>
      <c r="Q31" s="564">
        <v>43</v>
      </c>
      <c r="R31" s="563">
        <v>14</v>
      </c>
      <c r="S31" s="498">
        <f t="shared" si="1"/>
        <v>559</v>
      </c>
      <c r="T31" s="498">
        <f t="shared" si="2"/>
        <v>559</v>
      </c>
      <c r="U31" s="498"/>
      <c r="V31" s="562" t="s">
        <v>5761</v>
      </c>
      <c r="W31" s="559" t="s">
        <v>5744</v>
      </c>
      <c r="X31" s="559" t="s">
        <v>5745</v>
      </c>
      <c r="Y31" s="561" t="s">
        <v>154</v>
      </c>
      <c r="Z31" s="561" t="s">
        <v>154</v>
      </c>
      <c r="AA31" s="561" t="s">
        <v>154</v>
      </c>
      <c r="AB31" s="561" t="s">
        <v>154</v>
      </c>
      <c r="AC31" s="561" t="s">
        <v>154</v>
      </c>
      <c r="AD31" s="560">
        <v>22</v>
      </c>
      <c r="AE31" s="561" t="s">
        <v>5746</v>
      </c>
      <c r="AF31" s="492" t="s">
        <v>5747</v>
      </c>
      <c r="AG31" s="559" t="s">
        <v>154</v>
      </c>
      <c r="AH31" s="557" t="s">
        <v>154</v>
      </c>
      <c r="AI31" s="559" t="s">
        <v>154</v>
      </c>
      <c r="AJ31" s="559" t="s">
        <v>154</v>
      </c>
      <c r="AK31" s="559" t="s">
        <v>154</v>
      </c>
      <c r="AL31" s="492" t="s">
        <v>5747</v>
      </c>
      <c r="AM31" s="559" t="s">
        <v>154</v>
      </c>
      <c r="AN31" s="559" t="s">
        <v>154</v>
      </c>
      <c r="AO31" s="559" t="s">
        <v>3454</v>
      </c>
      <c r="AP31" s="559" t="s">
        <v>5774</v>
      </c>
      <c r="AQ31" s="559" t="s">
        <v>154</v>
      </c>
      <c r="AR31" s="559" t="s">
        <v>154</v>
      </c>
      <c r="AS31" s="559"/>
      <c r="AT31" s="567"/>
      <c r="AU31" s="559"/>
      <c r="AV31" s="559"/>
      <c r="AW31" s="559"/>
      <c r="AX31" s="573"/>
      <c r="AY31" s="573"/>
      <c r="AZ31" s="573"/>
      <c r="BA31" s="553"/>
      <c r="BB31" s="553"/>
      <c r="BC31" s="553"/>
      <c r="BD31" s="553"/>
      <c r="BE31" s="553"/>
      <c r="BF31" s="553"/>
      <c r="BG31" s="553"/>
      <c r="BH31" s="553"/>
      <c r="BI31" s="553"/>
    </row>
    <row r="32" spans="1:61" s="552" customFormat="1" ht="40" customHeight="1">
      <c r="A32" s="528"/>
      <c r="B32" s="522">
        <v>2530</v>
      </c>
      <c r="C32" s="566" t="s">
        <v>119</v>
      </c>
      <c r="D32" s="565" t="s">
        <v>452</v>
      </c>
      <c r="E32" s="2371" t="s">
        <v>701</v>
      </c>
      <c r="F32" s="2371"/>
      <c r="G32" s="2371"/>
      <c r="H32" s="527">
        <v>2</v>
      </c>
      <c r="I32" s="526" t="str">
        <f t="shared" si="0"/>
        <v>2530-BLD-002</v>
      </c>
      <c r="J32" s="525" t="s">
        <v>5806</v>
      </c>
      <c r="K32" s="525"/>
      <c r="L32" s="519" t="s">
        <v>5805</v>
      </c>
      <c r="M32" s="519" t="s">
        <v>2969</v>
      </c>
      <c r="N32" s="560">
        <v>1</v>
      </c>
      <c r="O32" s="560" t="s">
        <v>154</v>
      </c>
      <c r="P32" s="564">
        <v>13</v>
      </c>
      <c r="Q32" s="564">
        <v>43</v>
      </c>
      <c r="R32" s="563">
        <v>14</v>
      </c>
      <c r="S32" s="498">
        <f t="shared" si="1"/>
        <v>559</v>
      </c>
      <c r="T32" s="498">
        <f t="shared" si="2"/>
        <v>559</v>
      </c>
      <c r="U32" s="498"/>
      <c r="V32" s="562" t="s">
        <v>5761</v>
      </c>
      <c r="W32" s="559" t="s">
        <v>5744</v>
      </c>
      <c r="X32" s="559" t="s">
        <v>5745</v>
      </c>
      <c r="Y32" s="561" t="s">
        <v>154</v>
      </c>
      <c r="Z32" s="561" t="s">
        <v>154</v>
      </c>
      <c r="AA32" s="561" t="s">
        <v>154</v>
      </c>
      <c r="AB32" s="561" t="s">
        <v>154</v>
      </c>
      <c r="AC32" s="561" t="s">
        <v>154</v>
      </c>
      <c r="AD32" s="560">
        <v>22</v>
      </c>
      <c r="AE32" s="561" t="s">
        <v>5746</v>
      </c>
      <c r="AF32" s="492" t="s">
        <v>5747</v>
      </c>
      <c r="AG32" s="559" t="s">
        <v>154</v>
      </c>
      <c r="AH32" s="557" t="s">
        <v>154</v>
      </c>
      <c r="AI32" s="559" t="s">
        <v>154</v>
      </c>
      <c r="AJ32" s="559" t="s">
        <v>154</v>
      </c>
      <c r="AK32" s="559" t="s">
        <v>154</v>
      </c>
      <c r="AL32" s="492" t="s">
        <v>5747</v>
      </c>
      <c r="AM32" s="559" t="s">
        <v>154</v>
      </c>
      <c r="AN32" s="559" t="s">
        <v>154</v>
      </c>
      <c r="AO32" s="559" t="s">
        <v>3454</v>
      </c>
      <c r="AP32" s="559" t="s">
        <v>5774</v>
      </c>
      <c r="AQ32" s="559" t="s">
        <v>154</v>
      </c>
      <c r="AR32" s="559" t="s">
        <v>154</v>
      </c>
      <c r="AS32" s="559"/>
      <c r="AT32" s="567"/>
      <c r="AU32" s="559"/>
      <c r="AV32" s="559"/>
      <c r="AW32" s="559"/>
      <c r="AX32" s="573"/>
      <c r="AY32" s="573"/>
      <c r="AZ32" s="573"/>
      <c r="BA32" s="553"/>
      <c r="BB32" s="553"/>
      <c r="BC32" s="553"/>
      <c r="BD32" s="553"/>
      <c r="BE32" s="553"/>
      <c r="BF32" s="553"/>
      <c r="BG32" s="553"/>
      <c r="BH32" s="553"/>
      <c r="BI32" s="553"/>
    </row>
    <row r="33" spans="1:61" s="552" customFormat="1" ht="40" customHeight="1">
      <c r="A33" s="528"/>
      <c r="B33" s="522">
        <v>2530</v>
      </c>
      <c r="C33" s="566" t="s">
        <v>119</v>
      </c>
      <c r="D33" s="565" t="s">
        <v>452</v>
      </c>
      <c r="E33" s="2371" t="s">
        <v>701</v>
      </c>
      <c r="F33" s="2371"/>
      <c r="G33" s="2371"/>
      <c r="H33" s="527">
        <v>3</v>
      </c>
      <c r="I33" s="526" t="str">
        <f t="shared" si="0"/>
        <v>2530-BLD-003</v>
      </c>
      <c r="J33" s="525" t="s">
        <v>5807</v>
      </c>
      <c r="K33" s="525"/>
      <c r="L33" s="519" t="s">
        <v>5805</v>
      </c>
      <c r="M33" s="519" t="s">
        <v>2969</v>
      </c>
      <c r="N33" s="560">
        <v>1</v>
      </c>
      <c r="O33" s="560" t="s">
        <v>154</v>
      </c>
      <c r="P33" s="564">
        <v>13</v>
      </c>
      <c r="Q33" s="564">
        <v>43</v>
      </c>
      <c r="R33" s="563">
        <v>14</v>
      </c>
      <c r="S33" s="498">
        <f t="shared" si="1"/>
        <v>559</v>
      </c>
      <c r="T33" s="498">
        <f t="shared" si="2"/>
        <v>559</v>
      </c>
      <c r="U33" s="498"/>
      <c r="V33" s="562" t="s">
        <v>5761</v>
      </c>
      <c r="W33" s="559" t="s">
        <v>5744</v>
      </c>
      <c r="X33" s="559" t="s">
        <v>5745</v>
      </c>
      <c r="Y33" s="561" t="s">
        <v>154</v>
      </c>
      <c r="Z33" s="561" t="s">
        <v>154</v>
      </c>
      <c r="AA33" s="561" t="s">
        <v>154</v>
      </c>
      <c r="AB33" s="561" t="s">
        <v>154</v>
      </c>
      <c r="AC33" s="561" t="s">
        <v>154</v>
      </c>
      <c r="AD33" s="560">
        <v>22</v>
      </c>
      <c r="AE33" s="561" t="s">
        <v>5746</v>
      </c>
      <c r="AF33" s="492" t="s">
        <v>5747</v>
      </c>
      <c r="AG33" s="559" t="s">
        <v>154</v>
      </c>
      <c r="AH33" s="557" t="s">
        <v>154</v>
      </c>
      <c r="AI33" s="559" t="s">
        <v>154</v>
      </c>
      <c r="AJ33" s="559" t="s">
        <v>154</v>
      </c>
      <c r="AK33" s="559" t="s">
        <v>154</v>
      </c>
      <c r="AL33" s="492" t="s">
        <v>5747</v>
      </c>
      <c r="AM33" s="559" t="s">
        <v>154</v>
      </c>
      <c r="AN33" s="559" t="s">
        <v>154</v>
      </c>
      <c r="AO33" s="559" t="s">
        <v>3454</v>
      </c>
      <c r="AP33" s="559" t="s">
        <v>5774</v>
      </c>
      <c r="AQ33" s="559" t="s">
        <v>154</v>
      </c>
      <c r="AR33" s="559" t="s">
        <v>154</v>
      </c>
      <c r="AS33" s="559"/>
      <c r="AT33" s="567"/>
      <c r="AU33" s="559"/>
      <c r="AV33" s="559"/>
      <c r="AW33" s="559"/>
      <c r="AX33" s="573"/>
      <c r="AY33" s="573"/>
      <c r="AZ33" s="573"/>
      <c r="BA33" s="553"/>
      <c r="BB33" s="553"/>
      <c r="BC33" s="553"/>
      <c r="BD33" s="553"/>
      <c r="BE33" s="553"/>
      <c r="BF33" s="553"/>
      <c r="BG33" s="553"/>
      <c r="BH33" s="553"/>
      <c r="BI33" s="553"/>
    </row>
    <row r="34" spans="1:61" s="552" customFormat="1" ht="40" customHeight="1">
      <c r="A34" s="528"/>
      <c r="B34" s="522">
        <v>2530</v>
      </c>
      <c r="C34" s="566" t="s">
        <v>119</v>
      </c>
      <c r="D34" s="565" t="s">
        <v>452</v>
      </c>
      <c r="E34" s="2371" t="s">
        <v>701</v>
      </c>
      <c r="F34" s="2371"/>
      <c r="G34" s="2371"/>
      <c r="H34" s="527">
        <v>4</v>
      </c>
      <c r="I34" s="526" t="str">
        <f t="shared" si="0"/>
        <v>2530-BLD-004</v>
      </c>
      <c r="J34" s="525" t="s">
        <v>5808</v>
      </c>
      <c r="K34" s="525"/>
      <c r="L34" s="519" t="s">
        <v>5805</v>
      </c>
      <c r="M34" s="519" t="s">
        <v>2969</v>
      </c>
      <c r="N34" s="560">
        <v>1</v>
      </c>
      <c r="O34" s="560" t="s">
        <v>154</v>
      </c>
      <c r="P34" s="564">
        <v>13</v>
      </c>
      <c r="Q34" s="564">
        <v>43</v>
      </c>
      <c r="R34" s="563">
        <v>14</v>
      </c>
      <c r="S34" s="498">
        <f t="shared" si="1"/>
        <v>559</v>
      </c>
      <c r="T34" s="498">
        <f t="shared" si="2"/>
        <v>559</v>
      </c>
      <c r="U34" s="498"/>
      <c r="V34" s="562" t="s">
        <v>5761</v>
      </c>
      <c r="W34" s="559" t="s">
        <v>5744</v>
      </c>
      <c r="X34" s="559" t="s">
        <v>5745</v>
      </c>
      <c r="Y34" s="561" t="s">
        <v>154</v>
      </c>
      <c r="Z34" s="561" t="s">
        <v>154</v>
      </c>
      <c r="AA34" s="561" t="s">
        <v>154</v>
      </c>
      <c r="AB34" s="561" t="s">
        <v>154</v>
      </c>
      <c r="AC34" s="561" t="s">
        <v>154</v>
      </c>
      <c r="AD34" s="560">
        <v>22</v>
      </c>
      <c r="AE34" s="561" t="s">
        <v>5746</v>
      </c>
      <c r="AF34" s="492" t="s">
        <v>5747</v>
      </c>
      <c r="AG34" s="559" t="s">
        <v>154</v>
      </c>
      <c r="AH34" s="557" t="s">
        <v>154</v>
      </c>
      <c r="AI34" s="559" t="s">
        <v>154</v>
      </c>
      <c r="AJ34" s="559" t="s">
        <v>154</v>
      </c>
      <c r="AK34" s="559" t="s">
        <v>154</v>
      </c>
      <c r="AL34" s="492" t="s">
        <v>5747</v>
      </c>
      <c r="AM34" s="559" t="s">
        <v>154</v>
      </c>
      <c r="AN34" s="559" t="s">
        <v>154</v>
      </c>
      <c r="AO34" s="559" t="s">
        <v>3454</v>
      </c>
      <c r="AP34" s="559" t="s">
        <v>5774</v>
      </c>
      <c r="AQ34" s="559" t="s">
        <v>154</v>
      </c>
      <c r="AR34" s="559" t="s">
        <v>154</v>
      </c>
      <c r="AS34" s="559"/>
      <c r="AT34" s="567"/>
      <c r="AU34" s="559"/>
      <c r="AV34" s="559"/>
      <c r="AW34" s="559"/>
      <c r="AX34" s="573"/>
      <c r="AY34" s="573"/>
      <c r="AZ34" s="573"/>
      <c r="BA34" s="553"/>
      <c r="BB34" s="553"/>
      <c r="BC34" s="553"/>
      <c r="BD34" s="553"/>
      <c r="BE34" s="553"/>
      <c r="BF34" s="553"/>
      <c r="BG34" s="553"/>
      <c r="BH34" s="553"/>
      <c r="BI34" s="553"/>
    </row>
    <row r="35" spans="1:61" s="552" customFormat="1" ht="40" customHeight="1">
      <c r="A35" s="528"/>
      <c r="B35" s="522">
        <v>2530</v>
      </c>
      <c r="C35" s="566" t="s">
        <v>119</v>
      </c>
      <c r="D35" s="565" t="s">
        <v>452</v>
      </c>
      <c r="E35" s="2371" t="s">
        <v>701</v>
      </c>
      <c r="F35" s="2371"/>
      <c r="G35" s="2371"/>
      <c r="H35" s="527">
        <v>5</v>
      </c>
      <c r="I35" s="526" t="str">
        <f t="shared" si="0"/>
        <v>2530-BLD-005</v>
      </c>
      <c r="J35" s="525" t="s">
        <v>5809</v>
      </c>
      <c r="K35" s="525"/>
      <c r="L35" s="519" t="s">
        <v>5805</v>
      </c>
      <c r="M35" s="519" t="s">
        <v>2969</v>
      </c>
      <c r="N35" s="560">
        <v>1</v>
      </c>
      <c r="O35" s="560" t="s">
        <v>154</v>
      </c>
      <c r="P35" s="564">
        <v>13</v>
      </c>
      <c r="Q35" s="564">
        <v>43</v>
      </c>
      <c r="R35" s="563">
        <v>14</v>
      </c>
      <c r="S35" s="498">
        <f t="shared" si="1"/>
        <v>559</v>
      </c>
      <c r="T35" s="498">
        <f t="shared" si="2"/>
        <v>559</v>
      </c>
      <c r="U35" s="498"/>
      <c r="V35" s="562" t="s">
        <v>5761</v>
      </c>
      <c r="W35" s="559" t="s">
        <v>5744</v>
      </c>
      <c r="X35" s="559" t="s">
        <v>5745</v>
      </c>
      <c r="Y35" s="561" t="s">
        <v>154</v>
      </c>
      <c r="Z35" s="561" t="s">
        <v>154</v>
      </c>
      <c r="AA35" s="561" t="s">
        <v>154</v>
      </c>
      <c r="AB35" s="561" t="s">
        <v>154</v>
      </c>
      <c r="AC35" s="561" t="s">
        <v>154</v>
      </c>
      <c r="AD35" s="560">
        <v>22</v>
      </c>
      <c r="AE35" s="561" t="s">
        <v>5746</v>
      </c>
      <c r="AF35" s="492" t="s">
        <v>5747</v>
      </c>
      <c r="AG35" s="557" t="s">
        <v>154</v>
      </c>
      <c r="AH35" s="557" t="s">
        <v>154</v>
      </c>
      <c r="AI35" s="559" t="s">
        <v>154</v>
      </c>
      <c r="AJ35" s="559" t="s">
        <v>154</v>
      </c>
      <c r="AK35" s="559" t="s">
        <v>154</v>
      </c>
      <c r="AL35" s="492" t="s">
        <v>5747</v>
      </c>
      <c r="AM35" s="559" t="s">
        <v>154</v>
      </c>
      <c r="AN35" s="559" t="s">
        <v>154</v>
      </c>
      <c r="AO35" s="559" t="s">
        <v>3454</v>
      </c>
      <c r="AP35" s="559" t="s">
        <v>5774</v>
      </c>
      <c r="AQ35" s="559" t="s">
        <v>154</v>
      </c>
      <c r="AR35" s="559" t="s">
        <v>154</v>
      </c>
      <c r="AS35" s="559"/>
      <c r="AT35" s="567"/>
      <c r="AU35" s="559"/>
      <c r="AV35" s="559"/>
      <c r="AW35" s="559"/>
      <c r="AX35" s="573"/>
      <c r="AY35" s="573"/>
      <c r="AZ35" s="573"/>
      <c r="BA35" s="553"/>
      <c r="BB35" s="553"/>
      <c r="BC35" s="553"/>
      <c r="BD35" s="553"/>
      <c r="BE35" s="553"/>
      <c r="BF35" s="553"/>
      <c r="BG35" s="553"/>
      <c r="BH35" s="553"/>
      <c r="BI35" s="553"/>
    </row>
    <row r="36" spans="1:61" s="552" customFormat="1" ht="40" customHeight="1">
      <c r="A36" s="528"/>
      <c r="B36" s="522">
        <v>2530</v>
      </c>
      <c r="C36" s="566" t="s">
        <v>119</v>
      </c>
      <c r="D36" s="565" t="s">
        <v>452</v>
      </c>
      <c r="E36" s="2371" t="s">
        <v>701</v>
      </c>
      <c r="F36" s="2371"/>
      <c r="G36" s="2371"/>
      <c r="H36" s="527">
        <v>6</v>
      </c>
      <c r="I36" s="526" t="str">
        <f t="shared" si="0"/>
        <v>2530-BLD-006</v>
      </c>
      <c r="J36" s="525" t="s">
        <v>5810</v>
      </c>
      <c r="K36" s="525"/>
      <c r="L36" s="519" t="s">
        <v>5805</v>
      </c>
      <c r="M36" s="519" t="s">
        <v>2969</v>
      </c>
      <c r="N36" s="560">
        <v>1</v>
      </c>
      <c r="O36" s="560" t="s">
        <v>154</v>
      </c>
      <c r="P36" s="564">
        <v>13</v>
      </c>
      <c r="Q36" s="564">
        <v>43</v>
      </c>
      <c r="R36" s="563">
        <v>14</v>
      </c>
      <c r="S36" s="498">
        <f t="shared" si="1"/>
        <v>559</v>
      </c>
      <c r="T36" s="498">
        <f t="shared" si="2"/>
        <v>559</v>
      </c>
      <c r="U36" s="498"/>
      <c r="V36" s="562" t="s">
        <v>5761</v>
      </c>
      <c r="W36" s="559" t="s">
        <v>5744</v>
      </c>
      <c r="X36" s="559" t="s">
        <v>5745</v>
      </c>
      <c r="Y36" s="561" t="s">
        <v>154</v>
      </c>
      <c r="Z36" s="561" t="s">
        <v>154</v>
      </c>
      <c r="AA36" s="561" t="s">
        <v>154</v>
      </c>
      <c r="AB36" s="561" t="s">
        <v>154</v>
      </c>
      <c r="AC36" s="561" t="s">
        <v>154</v>
      </c>
      <c r="AD36" s="560">
        <v>22</v>
      </c>
      <c r="AE36" s="561" t="s">
        <v>5746</v>
      </c>
      <c r="AF36" s="492" t="s">
        <v>5747</v>
      </c>
      <c r="AG36" s="557" t="s">
        <v>154</v>
      </c>
      <c r="AH36" s="557" t="s">
        <v>154</v>
      </c>
      <c r="AI36" s="559" t="s">
        <v>154</v>
      </c>
      <c r="AJ36" s="559" t="s">
        <v>154</v>
      </c>
      <c r="AK36" s="559" t="s">
        <v>154</v>
      </c>
      <c r="AL36" s="492" t="s">
        <v>5747</v>
      </c>
      <c r="AM36" s="559" t="s">
        <v>154</v>
      </c>
      <c r="AN36" s="559" t="s">
        <v>154</v>
      </c>
      <c r="AO36" s="559" t="s">
        <v>3454</v>
      </c>
      <c r="AP36" s="559" t="s">
        <v>5774</v>
      </c>
      <c r="AQ36" s="559" t="s">
        <v>154</v>
      </c>
      <c r="AR36" s="559" t="s">
        <v>154</v>
      </c>
      <c r="AS36" s="559"/>
      <c r="AT36" s="567"/>
      <c r="AU36" s="559"/>
      <c r="AV36" s="559"/>
      <c r="AW36" s="559"/>
      <c r="AX36" s="573"/>
      <c r="AY36" s="573"/>
      <c r="AZ36" s="573"/>
      <c r="BA36" s="553"/>
      <c r="BB36" s="553"/>
      <c r="BC36" s="553"/>
      <c r="BD36" s="553"/>
      <c r="BE36" s="553"/>
      <c r="BF36" s="553"/>
      <c r="BG36" s="553"/>
      <c r="BH36" s="553"/>
      <c r="BI36" s="553"/>
    </row>
    <row r="37" spans="1:61" s="552" customFormat="1" ht="40" customHeight="1">
      <c r="A37" s="528"/>
      <c r="B37" s="522">
        <v>2530</v>
      </c>
      <c r="C37" s="566" t="s">
        <v>119</v>
      </c>
      <c r="D37" s="565" t="s">
        <v>452</v>
      </c>
      <c r="E37" s="2371" t="s">
        <v>701</v>
      </c>
      <c r="F37" s="2371"/>
      <c r="G37" s="2371"/>
      <c r="H37" s="527">
        <v>7</v>
      </c>
      <c r="I37" s="526" t="str">
        <f t="shared" si="0"/>
        <v>2530-BLD-007</v>
      </c>
      <c r="J37" s="525" t="s">
        <v>5811</v>
      </c>
      <c r="K37" s="525"/>
      <c r="L37" s="519" t="s">
        <v>5805</v>
      </c>
      <c r="M37" s="519" t="s">
        <v>2969</v>
      </c>
      <c r="N37" s="560">
        <v>1</v>
      </c>
      <c r="O37" s="560" t="s">
        <v>154</v>
      </c>
      <c r="P37" s="564">
        <v>13</v>
      </c>
      <c r="Q37" s="564">
        <v>43</v>
      </c>
      <c r="R37" s="563">
        <v>14</v>
      </c>
      <c r="S37" s="498">
        <f t="shared" si="1"/>
        <v>559</v>
      </c>
      <c r="T37" s="498">
        <f t="shared" si="2"/>
        <v>559</v>
      </c>
      <c r="U37" s="498"/>
      <c r="V37" s="562" t="s">
        <v>5761</v>
      </c>
      <c r="W37" s="559" t="s">
        <v>5744</v>
      </c>
      <c r="X37" s="559" t="s">
        <v>5745</v>
      </c>
      <c r="Y37" s="561" t="s">
        <v>154</v>
      </c>
      <c r="Z37" s="561" t="s">
        <v>154</v>
      </c>
      <c r="AA37" s="561" t="s">
        <v>154</v>
      </c>
      <c r="AB37" s="561" t="s">
        <v>154</v>
      </c>
      <c r="AC37" s="561" t="s">
        <v>154</v>
      </c>
      <c r="AD37" s="560">
        <v>22</v>
      </c>
      <c r="AE37" s="561" t="s">
        <v>5746</v>
      </c>
      <c r="AF37" s="492" t="s">
        <v>5747</v>
      </c>
      <c r="AG37" s="557" t="s">
        <v>154</v>
      </c>
      <c r="AH37" s="557" t="s">
        <v>154</v>
      </c>
      <c r="AI37" s="559" t="s">
        <v>154</v>
      </c>
      <c r="AJ37" s="559" t="s">
        <v>154</v>
      </c>
      <c r="AK37" s="559" t="s">
        <v>154</v>
      </c>
      <c r="AL37" s="492" t="s">
        <v>5747</v>
      </c>
      <c r="AM37" s="559" t="s">
        <v>154</v>
      </c>
      <c r="AN37" s="559" t="s">
        <v>154</v>
      </c>
      <c r="AO37" s="559" t="s">
        <v>3454</v>
      </c>
      <c r="AP37" s="559" t="s">
        <v>5774</v>
      </c>
      <c r="AQ37" s="559" t="s">
        <v>154</v>
      </c>
      <c r="AR37" s="559" t="s">
        <v>154</v>
      </c>
      <c r="AS37" s="559"/>
      <c r="AT37" s="567"/>
      <c r="AU37" s="559"/>
      <c r="AV37" s="559"/>
      <c r="AW37" s="559"/>
      <c r="AX37" s="573"/>
      <c r="AY37" s="573"/>
      <c r="AZ37" s="573"/>
      <c r="BA37" s="553"/>
      <c r="BB37" s="553"/>
      <c r="BC37" s="553"/>
      <c r="BD37" s="553"/>
      <c r="BE37" s="553"/>
      <c r="BF37" s="553"/>
      <c r="BG37" s="553"/>
      <c r="BH37" s="553"/>
      <c r="BI37" s="553"/>
    </row>
    <row r="38" spans="1:61" s="552" customFormat="1" ht="40" customHeight="1">
      <c r="A38" s="528"/>
      <c r="B38" s="522">
        <v>2530</v>
      </c>
      <c r="C38" s="566" t="s">
        <v>119</v>
      </c>
      <c r="D38" s="565" t="s">
        <v>452</v>
      </c>
      <c r="E38" s="2371" t="s">
        <v>701</v>
      </c>
      <c r="F38" s="2371"/>
      <c r="G38" s="2371"/>
      <c r="H38" s="527">
        <v>8</v>
      </c>
      <c r="I38" s="526" t="str">
        <f t="shared" si="0"/>
        <v>2530-BLD-008</v>
      </c>
      <c r="J38" s="525" t="s">
        <v>5812</v>
      </c>
      <c r="K38" s="525" t="s">
        <v>5813</v>
      </c>
      <c r="L38" s="519" t="s">
        <v>5805</v>
      </c>
      <c r="M38" s="519" t="s">
        <v>2969</v>
      </c>
      <c r="N38" s="560">
        <v>1</v>
      </c>
      <c r="O38" s="560" t="s">
        <v>154</v>
      </c>
      <c r="P38" s="564">
        <v>13</v>
      </c>
      <c r="Q38" s="564">
        <v>43</v>
      </c>
      <c r="R38" s="563">
        <v>14</v>
      </c>
      <c r="S38" s="498">
        <f t="shared" si="1"/>
        <v>559</v>
      </c>
      <c r="T38" s="498">
        <f t="shared" si="2"/>
        <v>559</v>
      </c>
      <c r="U38" s="498"/>
      <c r="V38" s="562" t="s">
        <v>5761</v>
      </c>
      <c r="W38" s="559" t="s">
        <v>5744</v>
      </c>
      <c r="X38" s="559" t="s">
        <v>5745</v>
      </c>
      <c r="Y38" s="561" t="s">
        <v>154</v>
      </c>
      <c r="Z38" s="561" t="s">
        <v>154</v>
      </c>
      <c r="AA38" s="561" t="s">
        <v>154</v>
      </c>
      <c r="AB38" s="561" t="s">
        <v>154</v>
      </c>
      <c r="AC38" s="561" t="s">
        <v>154</v>
      </c>
      <c r="AD38" s="560">
        <v>22</v>
      </c>
      <c r="AE38" s="561" t="s">
        <v>5746</v>
      </c>
      <c r="AF38" s="492" t="s">
        <v>5747</v>
      </c>
      <c r="AG38" s="557" t="s">
        <v>154</v>
      </c>
      <c r="AH38" s="557" t="s">
        <v>154</v>
      </c>
      <c r="AI38" s="559" t="s">
        <v>154</v>
      </c>
      <c r="AJ38" s="559" t="s">
        <v>154</v>
      </c>
      <c r="AK38" s="559" t="s">
        <v>154</v>
      </c>
      <c r="AL38" s="492" t="s">
        <v>5747</v>
      </c>
      <c r="AM38" s="559" t="s">
        <v>154</v>
      </c>
      <c r="AN38" s="559" t="s">
        <v>154</v>
      </c>
      <c r="AO38" s="559" t="s">
        <v>3454</v>
      </c>
      <c r="AP38" s="559" t="s">
        <v>5774</v>
      </c>
      <c r="AQ38" s="559" t="s">
        <v>154</v>
      </c>
      <c r="AR38" s="559" t="s">
        <v>154</v>
      </c>
      <c r="AS38" s="559"/>
      <c r="AT38" s="567"/>
      <c r="AU38" s="559"/>
      <c r="AV38" s="559"/>
      <c r="AW38" s="559"/>
      <c r="AX38" s="573"/>
      <c r="AY38" s="573"/>
      <c r="AZ38" s="573"/>
      <c r="BA38" s="553"/>
      <c r="BB38" s="553"/>
      <c r="BC38" s="553"/>
      <c r="BD38" s="553"/>
      <c r="BE38" s="553"/>
      <c r="BF38" s="553"/>
      <c r="BG38" s="553"/>
      <c r="BH38" s="553"/>
      <c r="BI38" s="553"/>
    </row>
    <row r="39" spans="1:61" s="552" customFormat="1" ht="40" customHeight="1">
      <c r="A39" s="528"/>
      <c r="B39" s="522">
        <v>2530</v>
      </c>
      <c r="C39" s="566" t="s">
        <v>119</v>
      </c>
      <c r="D39" s="565" t="s">
        <v>452</v>
      </c>
      <c r="E39" s="2371" t="s">
        <v>701</v>
      </c>
      <c r="F39" s="2371"/>
      <c r="G39" s="2371"/>
      <c r="H39" s="527">
        <v>9</v>
      </c>
      <c r="I39" s="526" t="str">
        <f t="shared" si="0"/>
        <v>2530-BLD-009</v>
      </c>
      <c r="J39" s="525" t="s">
        <v>5814</v>
      </c>
      <c r="K39" s="525"/>
      <c r="L39" s="519" t="s">
        <v>5805</v>
      </c>
      <c r="M39" s="519" t="s">
        <v>2969</v>
      </c>
      <c r="N39" s="560">
        <v>1</v>
      </c>
      <c r="O39" s="560" t="s">
        <v>154</v>
      </c>
      <c r="P39" s="564">
        <v>18</v>
      </c>
      <c r="Q39" s="564">
        <v>45</v>
      </c>
      <c r="R39" s="563">
        <v>12</v>
      </c>
      <c r="S39" s="498">
        <f t="shared" si="1"/>
        <v>810</v>
      </c>
      <c r="T39" s="498">
        <f t="shared" si="2"/>
        <v>810</v>
      </c>
      <c r="U39" s="498"/>
      <c r="V39" s="562" t="s">
        <v>5761</v>
      </c>
      <c r="W39" s="559" t="s">
        <v>5744</v>
      </c>
      <c r="X39" s="559" t="s">
        <v>5745</v>
      </c>
      <c r="Y39" s="561" t="s">
        <v>154</v>
      </c>
      <c r="Z39" s="561" t="s">
        <v>154</v>
      </c>
      <c r="AA39" s="561" t="s">
        <v>154</v>
      </c>
      <c r="AB39" s="561" t="s">
        <v>154</v>
      </c>
      <c r="AC39" s="561" t="s">
        <v>154</v>
      </c>
      <c r="AD39" s="560">
        <v>22</v>
      </c>
      <c r="AE39" s="561" t="s">
        <v>5746</v>
      </c>
      <c r="AF39" s="492" t="s">
        <v>5747</v>
      </c>
      <c r="AG39" s="557" t="s">
        <v>154</v>
      </c>
      <c r="AH39" s="557" t="s">
        <v>154</v>
      </c>
      <c r="AI39" s="559" t="s">
        <v>154</v>
      </c>
      <c r="AJ39" s="559" t="s">
        <v>154</v>
      </c>
      <c r="AK39" s="559" t="s">
        <v>154</v>
      </c>
      <c r="AL39" s="492" t="s">
        <v>5747</v>
      </c>
      <c r="AM39" s="559" t="s">
        <v>154</v>
      </c>
      <c r="AN39" s="559" t="s">
        <v>154</v>
      </c>
      <c r="AO39" s="559" t="s">
        <v>3454</v>
      </c>
      <c r="AP39" s="559" t="s">
        <v>5815</v>
      </c>
      <c r="AQ39" s="559" t="s">
        <v>154</v>
      </c>
      <c r="AR39" s="559" t="s">
        <v>154</v>
      </c>
      <c r="AS39" s="530">
        <v>2</v>
      </c>
      <c r="AT39" s="488" t="s">
        <v>5816</v>
      </c>
      <c r="AU39" s="530"/>
      <c r="AV39" s="530"/>
      <c r="AW39" s="530"/>
      <c r="AX39" s="556" t="s">
        <v>5747</v>
      </c>
      <c r="AY39" s="555"/>
      <c r="AZ39" s="556" t="s">
        <v>5747</v>
      </c>
      <c r="BA39" s="554"/>
      <c r="BB39" s="554"/>
      <c r="BC39" s="554"/>
      <c r="BD39" s="554"/>
      <c r="BE39" s="554">
        <v>1</v>
      </c>
      <c r="BF39" s="553"/>
      <c r="BG39" s="553"/>
      <c r="BH39" s="553"/>
      <c r="BI39" s="553"/>
    </row>
    <row r="40" spans="1:61" s="552" customFormat="1" ht="40" customHeight="1">
      <c r="A40" s="528"/>
      <c r="B40" s="522">
        <v>2530</v>
      </c>
      <c r="C40" s="566" t="s">
        <v>119</v>
      </c>
      <c r="D40" s="565" t="s">
        <v>452</v>
      </c>
      <c r="E40" s="2371" t="s">
        <v>701</v>
      </c>
      <c r="F40" s="2371"/>
      <c r="G40" s="2371"/>
      <c r="H40" s="527">
        <v>10</v>
      </c>
      <c r="I40" s="526" t="str">
        <f t="shared" si="0"/>
        <v>2530-BLD-010</v>
      </c>
      <c r="J40" s="525" t="s">
        <v>5817</v>
      </c>
      <c r="K40" s="525"/>
      <c r="L40" s="519" t="s">
        <v>5805</v>
      </c>
      <c r="M40" s="519" t="s">
        <v>2969</v>
      </c>
      <c r="N40" s="560">
        <v>1</v>
      </c>
      <c r="O40" s="560" t="s">
        <v>154</v>
      </c>
      <c r="P40" s="564">
        <v>18</v>
      </c>
      <c r="Q40" s="564">
        <v>45</v>
      </c>
      <c r="R40" s="563">
        <v>12</v>
      </c>
      <c r="S40" s="498">
        <f t="shared" si="1"/>
        <v>810</v>
      </c>
      <c r="T40" s="498">
        <f t="shared" si="2"/>
        <v>810</v>
      </c>
      <c r="U40" s="498"/>
      <c r="V40" s="562" t="s">
        <v>5761</v>
      </c>
      <c r="W40" s="559" t="s">
        <v>5744</v>
      </c>
      <c r="X40" s="559" t="s">
        <v>5745</v>
      </c>
      <c r="Y40" s="561" t="s">
        <v>154</v>
      </c>
      <c r="Z40" s="561" t="s">
        <v>154</v>
      </c>
      <c r="AA40" s="561" t="s">
        <v>154</v>
      </c>
      <c r="AB40" s="561" t="s">
        <v>154</v>
      </c>
      <c r="AC40" s="561" t="s">
        <v>154</v>
      </c>
      <c r="AD40" s="560">
        <v>22</v>
      </c>
      <c r="AE40" s="561" t="s">
        <v>5746</v>
      </c>
      <c r="AF40" s="492" t="s">
        <v>5747</v>
      </c>
      <c r="AG40" s="557" t="s">
        <v>154</v>
      </c>
      <c r="AH40" s="557" t="s">
        <v>154</v>
      </c>
      <c r="AI40" s="559" t="s">
        <v>154</v>
      </c>
      <c r="AJ40" s="559" t="s">
        <v>154</v>
      </c>
      <c r="AK40" s="559" t="s">
        <v>154</v>
      </c>
      <c r="AL40" s="492" t="s">
        <v>5747</v>
      </c>
      <c r="AM40" s="559" t="s">
        <v>154</v>
      </c>
      <c r="AN40" s="559" t="s">
        <v>154</v>
      </c>
      <c r="AO40" s="559" t="s">
        <v>3454</v>
      </c>
      <c r="AP40" s="559" t="s">
        <v>5815</v>
      </c>
      <c r="AQ40" s="559" t="s">
        <v>154</v>
      </c>
      <c r="AR40" s="559" t="s">
        <v>154</v>
      </c>
      <c r="AS40" s="530">
        <v>2</v>
      </c>
      <c r="AT40" s="673" t="s">
        <v>5765</v>
      </c>
      <c r="AU40" s="530"/>
      <c r="AV40" s="530"/>
      <c r="AW40" s="530"/>
      <c r="AX40" s="556" t="s">
        <v>5747</v>
      </c>
      <c r="AY40" s="555"/>
      <c r="AZ40" s="556" t="s">
        <v>5747</v>
      </c>
      <c r="BA40" s="554"/>
      <c r="BB40" s="554"/>
      <c r="BC40" s="554"/>
      <c r="BD40" s="554"/>
      <c r="BE40" s="554">
        <v>1</v>
      </c>
      <c r="BF40" s="553"/>
      <c r="BG40" s="553"/>
      <c r="BH40" s="553"/>
      <c r="BI40" s="553"/>
    </row>
    <row r="41" spans="1:61" s="552" customFormat="1" ht="40" customHeight="1">
      <c r="A41" s="528"/>
      <c r="B41" s="522">
        <v>2530</v>
      </c>
      <c r="C41" s="566" t="s">
        <v>119</v>
      </c>
      <c r="D41" s="565" t="s">
        <v>452</v>
      </c>
      <c r="E41" s="2371" t="s">
        <v>701</v>
      </c>
      <c r="F41" s="2371"/>
      <c r="G41" s="2371"/>
      <c r="H41" s="527">
        <v>11</v>
      </c>
      <c r="I41" s="526" t="str">
        <f t="shared" si="0"/>
        <v>2530-BLD-011</v>
      </c>
      <c r="J41" s="525" t="s">
        <v>5818</v>
      </c>
      <c r="K41" s="525"/>
      <c r="L41" s="519" t="s">
        <v>5805</v>
      </c>
      <c r="M41" s="519" t="s">
        <v>2969</v>
      </c>
      <c r="N41" s="560">
        <v>1</v>
      </c>
      <c r="O41" s="560" t="s">
        <v>154</v>
      </c>
      <c r="P41" s="564">
        <v>8</v>
      </c>
      <c r="Q41" s="564">
        <v>40</v>
      </c>
      <c r="R41" s="563">
        <v>10</v>
      </c>
      <c r="S41" s="498">
        <f t="shared" si="1"/>
        <v>320</v>
      </c>
      <c r="T41" s="498">
        <f t="shared" si="2"/>
        <v>320</v>
      </c>
      <c r="U41" s="498"/>
      <c r="V41" s="562" t="s">
        <v>5743</v>
      </c>
      <c r="W41" s="559" t="s">
        <v>5744</v>
      </c>
      <c r="X41" s="559" t="s">
        <v>5745</v>
      </c>
      <c r="Y41" s="561" t="s">
        <v>154</v>
      </c>
      <c r="Z41" s="561" t="s">
        <v>154</v>
      </c>
      <c r="AA41" s="561" t="s">
        <v>154</v>
      </c>
      <c r="AB41" s="561" t="s">
        <v>154</v>
      </c>
      <c r="AC41" s="561" t="s">
        <v>154</v>
      </c>
      <c r="AD41" s="560">
        <v>22</v>
      </c>
      <c r="AE41" s="561" t="s">
        <v>5746</v>
      </c>
      <c r="AF41" s="492" t="s">
        <v>5747</v>
      </c>
      <c r="AG41" s="557" t="s">
        <v>154</v>
      </c>
      <c r="AH41" s="557" t="s">
        <v>154</v>
      </c>
      <c r="AI41" s="559" t="s">
        <v>154</v>
      </c>
      <c r="AJ41" s="559" t="s">
        <v>154</v>
      </c>
      <c r="AK41" s="559" t="s">
        <v>154</v>
      </c>
      <c r="AL41" s="559" t="s">
        <v>154</v>
      </c>
      <c r="AM41" s="559" t="s">
        <v>154</v>
      </c>
      <c r="AN41" s="559" t="s">
        <v>154</v>
      </c>
      <c r="AO41" s="559" t="s">
        <v>3454</v>
      </c>
      <c r="AP41" s="559" t="s">
        <v>154</v>
      </c>
      <c r="AQ41" s="559" t="s">
        <v>154</v>
      </c>
      <c r="AR41" s="559" t="s">
        <v>154</v>
      </c>
      <c r="AS41" s="559"/>
      <c r="AT41" s="567"/>
      <c r="AU41" s="559"/>
      <c r="AV41" s="559"/>
      <c r="AW41" s="559"/>
      <c r="AX41" s="556"/>
      <c r="AY41" s="555"/>
      <c r="AZ41" s="555"/>
      <c r="BA41" s="554"/>
      <c r="BB41" s="554"/>
      <c r="BC41" s="554"/>
      <c r="BD41" s="554"/>
      <c r="BE41" s="554"/>
      <c r="BF41" s="553"/>
      <c r="BG41" s="553"/>
      <c r="BH41" s="553"/>
      <c r="BI41" s="553"/>
    </row>
    <row r="42" spans="1:61" ht="40" customHeight="1">
      <c r="A42" s="507"/>
      <c r="B42" s="506">
        <v>2540</v>
      </c>
      <c r="C42" s="505" t="s">
        <v>119</v>
      </c>
      <c r="D42" s="504" t="s">
        <v>452</v>
      </c>
      <c r="E42" s="2369" t="s">
        <v>1882</v>
      </c>
      <c r="F42" s="2369"/>
      <c r="G42" s="2369"/>
      <c r="H42" s="503">
        <v>1</v>
      </c>
      <c r="I42" s="502" t="str">
        <f t="shared" si="0"/>
        <v>2540-BLD-001</v>
      </c>
      <c r="J42" s="501" t="s">
        <v>5819</v>
      </c>
      <c r="K42" s="501"/>
      <c r="L42" s="493" t="s">
        <v>4168</v>
      </c>
      <c r="M42" s="493" t="s">
        <v>2969</v>
      </c>
      <c r="N42" s="494">
        <v>1</v>
      </c>
      <c r="O42" s="529">
        <v>2</v>
      </c>
      <c r="P42" s="500">
        <v>60</v>
      </c>
      <c r="Q42" s="500">
        <v>80</v>
      </c>
      <c r="R42" s="499">
        <v>20</v>
      </c>
      <c r="S42" s="497">
        <f t="shared" si="1"/>
        <v>4800</v>
      </c>
      <c r="T42" s="498">
        <f t="shared" si="2"/>
        <v>4800</v>
      </c>
      <c r="U42" s="497" t="s">
        <v>5820</v>
      </c>
      <c r="V42" s="496" t="s">
        <v>5792</v>
      </c>
      <c r="W42" s="489" t="s">
        <v>5793</v>
      </c>
      <c r="X42" s="489" t="s">
        <v>5794</v>
      </c>
      <c r="Y42" s="495" t="s">
        <v>154</v>
      </c>
      <c r="Z42" s="495" t="s">
        <v>154</v>
      </c>
      <c r="AA42" s="495" t="s">
        <v>154</v>
      </c>
      <c r="AB42" s="495" t="s">
        <v>154</v>
      </c>
      <c r="AC42" s="495" t="s">
        <v>154</v>
      </c>
      <c r="AD42" s="494">
        <v>5</v>
      </c>
      <c r="AE42" s="495" t="s">
        <v>3454</v>
      </c>
      <c r="AF42" s="492" t="s">
        <v>5747</v>
      </c>
      <c r="AG42" s="491" t="s">
        <v>154</v>
      </c>
      <c r="AH42" s="491" t="s">
        <v>154</v>
      </c>
      <c r="AI42" s="489" t="s">
        <v>154</v>
      </c>
      <c r="AJ42" s="489" t="s">
        <v>154</v>
      </c>
      <c r="AK42" s="489" t="s">
        <v>154</v>
      </c>
      <c r="AL42" s="491" t="s">
        <v>154</v>
      </c>
      <c r="AM42" s="492" t="s">
        <v>5747</v>
      </c>
      <c r="AN42" s="491" t="s">
        <v>154</v>
      </c>
      <c r="AO42" s="489" t="s">
        <v>3454</v>
      </c>
      <c r="AP42" s="489" t="s">
        <v>5815</v>
      </c>
      <c r="AQ42" s="489" t="s">
        <v>154</v>
      </c>
      <c r="AR42" s="489" t="s">
        <v>154</v>
      </c>
      <c r="AS42" s="530">
        <v>4</v>
      </c>
      <c r="AT42" s="488" t="s">
        <v>5789</v>
      </c>
      <c r="AU42" s="487" t="s">
        <v>5762</v>
      </c>
      <c r="AV42" s="487"/>
      <c r="AW42" s="530"/>
      <c r="AX42" s="570" t="s">
        <v>5747</v>
      </c>
      <c r="AY42" s="569"/>
      <c r="AZ42" s="556" t="s">
        <v>5747</v>
      </c>
      <c r="BA42" s="568"/>
      <c r="BB42" s="568"/>
      <c r="BC42" s="568"/>
      <c r="BD42" s="568"/>
      <c r="BE42" s="568">
        <v>1</v>
      </c>
      <c r="BF42" s="568"/>
      <c r="BG42" s="568"/>
      <c r="BH42" s="568"/>
      <c r="BI42" s="457"/>
    </row>
    <row r="43" spans="1:61" s="552" customFormat="1" ht="40" customHeight="1">
      <c r="A43" s="507"/>
      <c r="B43" s="522">
        <v>2540</v>
      </c>
      <c r="C43" s="566" t="s">
        <v>119</v>
      </c>
      <c r="D43" s="565" t="s">
        <v>452</v>
      </c>
      <c r="E43" s="2371" t="s">
        <v>1882</v>
      </c>
      <c r="F43" s="2371"/>
      <c r="G43" s="2371"/>
      <c r="H43" s="527">
        <v>2</v>
      </c>
      <c r="I43" s="526" t="s">
        <v>804</v>
      </c>
      <c r="J43" s="525" t="s">
        <v>5821</v>
      </c>
      <c r="K43" s="525" t="s">
        <v>5822</v>
      </c>
      <c r="L43" s="519" t="s">
        <v>5215</v>
      </c>
      <c r="M43" s="519" t="s">
        <v>2969</v>
      </c>
      <c r="N43" s="560">
        <v>1</v>
      </c>
      <c r="O43" s="560" t="s">
        <v>154</v>
      </c>
      <c r="P43" s="564">
        <v>20</v>
      </c>
      <c r="Q43" s="564">
        <v>28</v>
      </c>
      <c r="R43" s="563">
        <v>10</v>
      </c>
      <c r="S43" s="498">
        <f t="shared" si="1"/>
        <v>560</v>
      </c>
      <c r="T43" s="498">
        <f t="shared" si="2"/>
        <v>560</v>
      </c>
      <c r="U43" s="498"/>
      <c r="V43" s="562" t="s">
        <v>5786</v>
      </c>
      <c r="W43" s="559" t="s">
        <v>5744</v>
      </c>
      <c r="X43" s="559" t="s">
        <v>5745</v>
      </c>
      <c r="Y43" s="561" t="s">
        <v>154</v>
      </c>
      <c r="Z43" s="561" t="s">
        <v>154</v>
      </c>
      <c r="AA43" s="561" t="s">
        <v>154</v>
      </c>
      <c r="AB43" s="561" t="s">
        <v>154</v>
      </c>
      <c r="AC43" s="561" t="s">
        <v>154</v>
      </c>
      <c r="AD43" s="560">
        <v>5</v>
      </c>
      <c r="AE43" s="561" t="s">
        <v>5746</v>
      </c>
      <c r="AF43" s="559"/>
      <c r="AG43" s="557"/>
      <c r="AH43" s="557"/>
      <c r="AI43" s="559"/>
      <c r="AJ43" s="559"/>
      <c r="AK43" s="559"/>
      <c r="AL43" s="557"/>
      <c r="AM43" s="559"/>
      <c r="AN43" s="557"/>
      <c r="AO43" s="559" t="s">
        <v>3454</v>
      </c>
      <c r="AP43" s="559" t="s">
        <v>5774</v>
      </c>
      <c r="AQ43" s="559" t="s">
        <v>154</v>
      </c>
      <c r="AR43" s="559" t="s">
        <v>154</v>
      </c>
      <c r="AS43" s="559"/>
      <c r="AT43" s="567"/>
      <c r="AU43" s="559"/>
      <c r="AV43" s="559"/>
      <c r="AW43" s="559"/>
      <c r="AX43" s="556"/>
      <c r="AY43" s="555"/>
      <c r="AZ43" s="556" t="s">
        <v>5747</v>
      </c>
      <c r="BA43" s="554"/>
      <c r="BB43" s="554"/>
      <c r="BC43" s="554"/>
      <c r="BD43" s="554"/>
      <c r="BE43" s="554"/>
      <c r="BF43" s="554"/>
      <c r="BG43" s="554"/>
      <c r="BH43" s="554"/>
      <c r="BI43" s="574"/>
    </row>
    <row r="44" spans="1:61" s="552" customFormat="1" ht="24" customHeight="1">
      <c r="A44" s="507"/>
      <c r="B44" s="522">
        <v>2613</v>
      </c>
      <c r="C44" s="566" t="s">
        <v>119</v>
      </c>
      <c r="D44" s="565" t="s">
        <v>3520</v>
      </c>
      <c r="E44" s="2371" t="s">
        <v>5823</v>
      </c>
      <c r="F44" s="2371"/>
      <c r="G44" s="2371"/>
      <c r="H44" s="527">
        <v>1</v>
      </c>
      <c r="I44" s="526" t="s">
        <v>866</v>
      </c>
      <c r="J44" s="525" t="s">
        <v>5824</v>
      </c>
      <c r="K44" s="525" t="s">
        <v>5825</v>
      </c>
      <c r="L44" s="519" t="s">
        <v>154</v>
      </c>
      <c r="M44" s="519" t="s">
        <v>2969</v>
      </c>
      <c r="N44" s="560">
        <v>1</v>
      </c>
      <c r="O44" s="560" t="s">
        <v>154</v>
      </c>
      <c r="P44" s="563">
        <v>8</v>
      </c>
      <c r="Q44" s="563">
        <v>20</v>
      </c>
      <c r="R44" s="563">
        <v>8</v>
      </c>
      <c r="S44" s="498">
        <f t="shared" si="1"/>
        <v>160</v>
      </c>
      <c r="T44" s="498">
        <f t="shared" si="2"/>
        <v>160</v>
      </c>
      <c r="U44" s="498"/>
      <c r="V44" s="519" t="s">
        <v>5743</v>
      </c>
      <c r="W44" s="518" t="s">
        <v>5744</v>
      </c>
      <c r="X44" s="518" t="s">
        <v>5745</v>
      </c>
      <c r="Y44" s="561" t="s">
        <v>154</v>
      </c>
      <c r="Z44" s="561" t="s">
        <v>154</v>
      </c>
      <c r="AA44" s="561" t="s">
        <v>154</v>
      </c>
      <c r="AB44" s="561" t="s">
        <v>154</v>
      </c>
      <c r="AC44" s="561" t="s">
        <v>154</v>
      </c>
      <c r="AD44" s="560"/>
      <c r="AE44" s="561"/>
      <c r="AF44" s="559"/>
      <c r="AG44" s="557"/>
      <c r="AH44" s="557"/>
      <c r="AI44" s="559"/>
      <c r="AJ44" s="559"/>
      <c r="AK44" s="559"/>
      <c r="AL44" s="557"/>
      <c r="AM44" s="559"/>
      <c r="AN44" s="557"/>
      <c r="AO44" s="559"/>
      <c r="AP44" s="559" t="s">
        <v>5750</v>
      </c>
      <c r="AQ44" s="559" t="s">
        <v>154</v>
      </c>
      <c r="AR44" s="559" t="s">
        <v>154</v>
      </c>
      <c r="AS44" s="530">
        <v>2</v>
      </c>
      <c r="AT44" s="488" t="s">
        <v>5826</v>
      </c>
      <c r="AU44" s="530"/>
      <c r="AV44" s="530"/>
      <c r="AW44" s="530"/>
      <c r="AX44" s="556"/>
      <c r="AY44" s="555"/>
      <c r="AZ44" s="556" t="s">
        <v>5747</v>
      </c>
      <c r="BA44" s="554"/>
      <c r="BB44" s="554"/>
      <c r="BC44" s="554"/>
      <c r="BD44" s="554"/>
      <c r="BE44" s="554"/>
      <c r="BF44" s="554"/>
      <c r="BG44" s="554"/>
      <c r="BH44" s="554"/>
      <c r="BI44" s="574"/>
    </row>
    <row r="45" spans="1:61" s="552" customFormat="1" ht="24" customHeight="1">
      <c r="A45" s="528"/>
      <c r="B45" s="522">
        <v>2613</v>
      </c>
      <c r="C45" s="566" t="s">
        <v>119</v>
      </c>
      <c r="D45" s="565" t="s">
        <v>3520</v>
      </c>
      <c r="E45" s="2371" t="s">
        <v>5823</v>
      </c>
      <c r="F45" s="2371"/>
      <c r="G45" s="2371"/>
      <c r="H45" s="527">
        <v>2</v>
      </c>
      <c r="I45" s="526" t="s">
        <v>864</v>
      </c>
      <c r="J45" s="525" t="s">
        <v>5824</v>
      </c>
      <c r="K45" s="525"/>
      <c r="L45" s="519" t="s">
        <v>5827</v>
      </c>
      <c r="M45" s="519" t="s">
        <v>2969</v>
      </c>
      <c r="N45" s="560">
        <v>1</v>
      </c>
      <c r="O45" s="560" t="s">
        <v>154</v>
      </c>
      <c r="P45" s="564">
        <v>8</v>
      </c>
      <c r="Q45" s="564">
        <v>40</v>
      </c>
      <c r="R45" s="563">
        <v>8</v>
      </c>
      <c r="S45" s="498">
        <f t="shared" si="1"/>
        <v>320</v>
      </c>
      <c r="T45" s="498">
        <f t="shared" si="2"/>
        <v>320</v>
      </c>
      <c r="U45" s="498"/>
      <c r="V45" s="562" t="s">
        <v>5743</v>
      </c>
      <c r="W45" s="559" t="s">
        <v>5744</v>
      </c>
      <c r="X45" s="559" t="s">
        <v>5745</v>
      </c>
      <c r="Y45" s="561" t="s">
        <v>154</v>
      </c>
      <c r="Z45" s="561" t="s">
        <v>154</v>
      </c>
      <c r="AA45" s="561" t="s">
        <v>154</v>
      </c>
      <c r="AB45" s="561" t="s">
        <v>154</v>
      </c>
      <c r="AC45" s="561" t="s">
        <v>154</v>
      </c>
      <c r="AD45" s="560"/>
      <c r="AE45" s="561"/>
      <c r="AF45" s="559"/>
      <c r="AG45" s="557"/>
      <c r="AH45" s="557"/>
      <c r="AI45" s="559"/>
      <c r="AJ45" s="559"/>
      <c r="AK45" s="559"/>
      <c r="AL45" s="557"/>
      <c r="AM45" s="559"/>
      <c r="AN45" s="557"/>
      <c r="AO45" s="559"/>
      <c r="AP45" s="559" t="s">
        <v>5750</v>
      </c>
      <c r="AQ45" s="559" t="s">
        <v>154</v>
      </c>
      <c r="AR45" s="559" t="s">
        <v>154</v>
      </c>
      <c r="AS45" s="530">
        <v>2</v>
      </c>
      <c r="AT45" s="488" t="s">
        <v>5828</v>
      </c>
      <c r="AU45" s="530"/>
      <c r="AV45" s="530"/>
      <c r="AW45" s="530"/>
      <c r="AX45" s="556"/>
      <c r="AY45" s="555"/>
      <c r="AZ45" s="556" t="s">
        <v>5747</v>
      </c>
      <c r="BA45" s="554"/>
      <c r="BB45" s="554"/>
      <c r="BC45" s="554"/>
      <c r="BD45" s="554"/>
      <c r="BE45" s="554"/>
      <c r="BF45" s="554"/>
      <c r="BG45" s="554"/>
      <c r="BH45" s="554"/>
      <c r="BI45" s="574"/>
    </row>
    <row r="46" spans="1:61" s="552" customFormat="1" ht="24" customHeight="1">
      <c r="A46" s="528"/>
      <c r="B46" s="522">
        <v>2614</v>
      </c>
      <c r="C46" s="566" t="s">
        <v>119</v>
      </c>
      <c r="D46" s="565" t="s">
        <v>3520</v>
      </c>
      <c r="E46" s="2371" t="s">
        <v>5823</v>
      </c>
      <c r="F46" s="2371"/>
      <c r="G46" s="2371"/>
      <c r="H46" s="527">
        <v>1</v>
      </c>
      <c r="I46" s="526" t="s">
        <v>895</v>
      </c>
      <c r="J46" s="525" t="s">
        <v>5829</v>
      </c>
      <c r="K46" s="525"/>
      <c r="L46" s="519" t="s">
        <v>5827</v>
      </c>
      <c r="M46" s="519" t="s">
        <v>2969</v>
      </c>
      <c r="N46" s="560">
        <v>1</v>
      </c>
      <c r="O46" s="560" t="s">
        <v>154</v>
      </c>
      <c r="P46" s="564">
        <v>8</v>
      </c>
      <c r="Q46" s="564">
        <v>20</v>
      </c>
      <c r="R46" s="563">
        <v>8</v>
      </c>
      <c r="S46" s="498">
        <f t="shared" si="1"/>
        <v>160</v>
      </c>
      <c r="T46" s="498">
        <f t="shared" si="2"/>
        <v>160</v>
      </c>
      <c r="U46" s="498"/>
      <c r="V46" s="562" t="s">
        <v>5743</v>
      </c>
      <c r="W46" s="559" t="s">
        <v>5744</v>
      </c>
      <c r="X46" s="559" t="s">
        <v>5745</v>
      </c>
      <c r="Y46" s="561" t="s">
        <v>154</v>
      </c>
      <c r="Z46" s="561" t="s">
        <v>154</v>
      </c>
      <c r="AA46" s="561" t="s">
        <v>154</v>
      </c>
      <c r="AB46" s="561" t="s">
        <v>154</v>
      </c>
      <c r="AC46" s="561" t="s">
        <v>154</v>
      </c>
      <c r="AD46" s="560"/>
      <c r="AE46" s="561"/>
      <c r="AF46" s="559"/>
      <c r="AG46" s="557"/>
      <c r="AH46" s="557"/>
      <c r="AI46" s="559"/>
      <c r="AJ46" s="559"/>
      <c r="AK46" s="559"/>
      <c r="AL46" s="557"/>
      <c r="AM46" s="559"/>
      <c r="AN46" s="557"/>
      <c r="AO46" s="559"/>
      <c r="AP46" s="559" t="s">
        <v>5750</v>
      </c>
      <c r="AQ46" s="559" t="s">
        <v>154</v>
      </c>
      <c r="AR46" s="559" t="s">
        <v>154</v>
      </c>
      <c r="AS46" s="530">
        <v>2</v>
      </c>
      <c r="AT46" s="488" t="s">
        <v>5828</v>
      </c>
      <c r="AU46" s="530"/>
      <c r="AV46" s="530"/>
      <c r="AW46" s="530"/>
      <c r="AX46" s="556"/>
      <c r="AY46" s="555"/>
      <c r="AZ46" s="556" t="s">
        <v>5747</v>
      </c>
      <c r="BA46" s="554"/>
      <c r="BB46" s="554"/>
      <c r="BC46" s="554"/>
      <c r="BD46" s="554"/>
      <c r="BE46" s="554"/>
      <c r="BF46" s="554"/>
      <c r="BG46" s="554"/>
      <c r="BH46" s="554"/>
      <c r="BI46" s="574"/>
    </row>
    <row r="47" spans="1:61" s="552" customFormat="1" ht="24" customHeight="1">
      <c r="A47" s="528"/>
      <c r="B47" s="522">
        <v>2615</v>
      </c>
      <c r="C47" s="566" t="s">
        <v>119</v>
      </c>
      <c r="D47" s="565" t="s">
        <v>3520</v>
      </c>
      <c r="E47" s="2371" t="s">
        <v>5830</v>
      </c>
      <c r="F47" s="2371"/>
      <c r="G47" s="2371"/>
      <c r="H47" s="527">
        <v>1</v>
      </c>
      <c r="I47" s="526" t="str">
        <f>B47&amp;"-BLD-"&amp;TEXT(H47,"000")</f>
        <v>2615-BLD-001</v>
      </c>
      <c r="J47" s="525" t="s">
        <v>5831</v>
      </c>
      <c r="K47" s="525"/>
      <c r="L47" s="519" t="s">
        <v>5832</v>
      </c>
      <c r="M47" s="519" t="s">
        <v>2969</v>
      </c>
      <c r="N47" s="560">
        <v>1</v>
      </c>
      <c r="O47" s="560" t="s">
        <v>154</v>
      </c>
      <c r="P47" s="564">
        <v>17</v>
      </c>
      <c r="Q47" s="564">
        <v>20</v>
      </c>
      <c r="R47" s="563">
        <v>8</v>
      </c>
      <c r="S47" s="498">
        <f t="shared" si="1"/>
        <v>340</v>
      </c>
      <c r="T47" s="498">
        <f t="shared" si="2"/>
        <v>340</v>
      </c>
      <c r="U47" s="498"/>
      <c r="V47" s="562" t="s">
        <v>5792</v>
      </c>
      <c r="W47" s="559" t="s">
        <v>5793</v>
      </c>
      <c r="X47" s="559" t="s">
        <v>5745</v>
      </c>
      <c r="Y47" s="561" t="s">
        <v>154</v>
      </c>
      <c r="Z47" s="561" t="s">
        <v>154</v>
      </c>
      <c r="AA47" s="561" t="s">
        <v>154</v>
      </c>
      <c r="AB47" s="561" t="s">
        <v>154</v>
      </c>
      <c r="AC47" s="561" t="s">
        <v>154</v>
      </c>
      <c r="AD47" s="560" t="s">
        <v>5833</v>
      </c>
      <c r="AE47" s="561" t="s">
        <v>154</v>
      </c>
      <c r="AF47" s="559" t="s">
        <v>154</v>
      </c>
      <c r="AG47" s="559" t="s">
        <v>154</v>
      </c>
      <c r="AH47" s="559" t="s">
        <v>154</v>
      </c>
      <c r="AI47" s="559" t="s">
        <v>154</v>
      </c>
      <c r="AJ47" s="559" t="s">
        <v>154</v>
      </c>
      <c r="AK47" s="559" t="s">
        <v>154</v>
      </c>
      <c r="AL47" s="559" t="s">
        <v>154</v>
      </c>
      <c r="AM47" s="559" t="s">
        <v>154</v>
      </c>
      <c r="AN47" s="559" t="s">
        <v>154</v>
      </c>
      <c r="AO47" s="559" t="s">
        <v>154</v>
      </c>
      <c r="AP47" s="559" t="s">
        <v>154</v>
      </c>
      <c r="AQ47" s="559" t="s">
        <v>154</v>
      </c>
      <c r="AR47" s="559" t="s">
        <v>154</v>
      </c>
      <c r="AS47" s="559"/>
      <c r="AT47" s="567"/>
      <c r="AU47" s="559"/>
      <c r="AV47" s="559"/>
      <c r="AW47" s="559"/>
      <c r="AX47" s="556"/>
      <c r="AY47" s="555"/>
      <c r="AZ47" s="555"/>
      <c r="BA47" s="554"/>
      <c r="BB47" s="554"/>
      <c r="BC47" s="554"/>
      <c r="BD47" s="554"/>
      <c r="BE47" s="554"/>
      <c r="BF47" s="554"/>
      <c r="BG47" s="554"/>
      <c r="BH47" s="554"/>
      <c r="BI47" s="574"/>
    </row>
    <row r="48" spans="1:61" ht="24" customHeight="1">
      <c r="A48" s="507"/>
      <c r="B48" s="506">
        <v>2720</v>
      </c>
      <c r="C48" s="505" t="s">
        <v>119</v>
      </c>
      <c r="D48" s="504" t="s">
        <v>5834</v>
      </c>
      <c r="E48" s="2369" t="s">
        <v>923</v>
      </c>
      <c r="F48" s="2369"/>
      <c r="G48" s="2369"/>
      <c r="H48" s="503">
        <v>1</v>
      </c>
      <c r="I48" s="502" t="str">
        <f>B48&amp;"-BLD-"&amp;TEXT(H48,"000")</f>
        <v>2720-BLD-001</v>
      </c>
      <c r="J48" s="501" t="s">
        <v>5835</v>
      </c>
      <c r="K48" s="501"/>
      <c r="L48" s="493" t="s">
        <v>4168</v>
      </c>
      <c r="M48" s="493" t="s">
        <v>2969</v>
      </c>
      <c r="N48" s="494">
        <v>1</v>
      </c>
      <c r="O48" s="529">
        <v>2</v>
      </c>
      <c r="P48" s="500">
        <v>60</v>
      </c>
      <c r="Q48" s="500">
        <v>70</v>
      </c>
      <c r="R48" s="499">
        <v>20</v>
      </c>
      <c r="S48" s="497">
        <f t="shared" si="1"/>
        <v>4200</v>
      </c>
      <c r="T48" s="498">
        <f t="shared" si="2"/>
        <v>4200</v>
      </c>
      <c r="U48" s="497" t="s">
        <v>5791</v>
      </c>
      <c r="V48" s="496" t="s">
        <v>5792</v>
      </c>
      <c r="W48" s="489" t="s">
        <v>5793</v>
      </c>
      <c r="X48" s="489" t="s">
        <v>5836</v>
      </c>
      <c r="Y48" s="495" t="s">
        <v>154</v>
      </c>
      <c r="Z48" s="495" t="s">
        <v>154</v>
      </c>
      <c r="AA48" s="495" t="s">
        <v>154</v>
      </c>
      <c r="AB48" s="495" t="s">
        <v>154</v>
      </c>
      <c r="AC48" s="495" t="s">
        <v>154</v>
      </c>
      <c r="AD48" s="494">
        <v>5</v>
      </c>
      <c r="AE48" s="495" t="s">
        <v>3454</v>
      </c>
      <c r="AF48" s="492" t="s">
        <v>5747</v>
      </c>
      <c r="AG48" s="491" t="s">
        <v>154</v>
      </c>
      <c r="AH48" s="489" t="s">
        <v>5769</v>
      </c>
      <c r="AI48" s="489" t="s">
        <v>154</v>
      </c>
      <c r="AJ48" s="489" t="s">
        <v>154</v>
      </c>
      <c r="AK48" s="489" t="s">
        <v>154</v>
      </c>
      <c r="AL48" s="491" t="s">
        <v>154</v>
      </c>
      <c r="AM48" s="492" t="s">
        <v>5747</v>
      </c>
      <c r="AN48" s="491" t="s">
        <v>154</v>
      </c>
      <c r="AO48" s="489" t="s">
        <v>3454</v>
      </c>
      <c r="AP48" s="489" t="s">
        <v>5750</v>
      </c>
      <c r="AQ48" s="489" t="s">
        <v>154</v>
      </c>
      <c r="AR48" s="489" t="s">
        <v>154</v>
      </c>
      <c r="AS48" s="530">
        <v>4</v>
      </c>
      <c r="AT48" s="488" t="s">
        <v>5789</v>
      </c>
      <c r="AU48" s="487" t="s">
        <v>5762</v>
      </c>
      <c r="AV48" s="487"/>
      <c r="AW48" s="530"/>
      <c r="AX48" s="570" t="s">
        <v>5747</v>
      </c>
      <c r="AY48" s="569"/>
      <c r="AZ48" s="556" t="s">
        <v>5747</v>
      </c>
      <c r="BA48" s="568"/>
      <c r="BB48" s="568"/>
      <c r="BC48" s="568"/>
      <c r="BD48" s="568"/>
      <c r="BE48" s="568">
        <v>1</v>
      </c>
      <c r="BF48" s="568"/>
      <c r="BG48" s="568"/>
      <c r="BH48" s="568"/>
      <c r="BI48" s="457"/>
    </row>
    <row r="49" spans="1:61" ht="24" customHeight="1">
      <c r="A49" s="507"/>
      <c r="B49" s="506">
        <v>2731</v>
      </c>
      <c r="C49" s="505" t="s">
        <v>119</v>
      </c>
      <c r="D49" s="504" t="s">
        <v>5834</v>
      </c>
      <c r="E49" s="2369" t="s">
        <v>958</v>
      </c>
      <c r="F49" s="2369"/>
      <c r="G49" s="2369"/>
      <c r="H49" s="503">
        <v>1</v>
      </c>
      <c r="I49" s="502" t="str">
        <f>B49&amp;"-BLD-"&amp;TEXT(H49,"000")</f>
        <v>2731-BLD-001</v>
      </c>
      <c r="J49" s="501" t="s">
        <v>5837</v>
      </c>
      <c r="K49" s="501"/>
      <c r="L49" s="493" t="s">
        <v>5838</v>
      </c>
      <c r="M49" s="519" t="s">
        <v>2969</v>
      </c>
      <c r="N49" s="494">
        <v>1</v>
      </c>
      <c r="O49" s="494" t="s">
        <v>154</v>
      </c>
      <c r="P49" s="500">
        <v>8</v>
      </c>
      <c r="Q49" s="500">
        <v>40</v>
      </c>
      <c r="R49" s="499">
        <v>8</v>
      </c>
      <c r="S49" s="497">
        <f t="shared" si="1"/>
        <v>320</v>
      </c>
      <c r="T49" s="498">
        <f t="shared" si="2"/>
        <v>320</v>
      </c>
      <c r="U49" s="497"/>
      <c r="V49" s="496" t="s">
        <v>5743</v>
      </c>
      <c r="W49" s="489" t="s">
        <v>5744</v>
      </c>
      <c r="X49" s="489" t="s">
        <v>5745</v>
      </c>
      <c r="Y49" s="495" t="s">
        <v>154</v>
      </c>
      <c r="Z49" s="495" t="s">
        <v>154</v>
      </c>
      <c r="AA49" s="495" t="s">
        <v>154</v>
      </c>
      <c r="AB49" s="495" t="s">
        <v>154</v>
      </c>
      <c r="AC49" s="495" t="s">
        <v>154</v>
      </c>
      <c r="AD49" s="494">
        <v>5</v>
      </c>
      <c r="AE49" s="495" t="s">
        <v>5746</v>
      </c>
      <c r="AF49" s="492" t="s">
        <v>5747</v>
      </c>
      <c r="AG49" s="489" t="s">
        <v>154</v>
      </c>
      <c r="AH49" s="489" t="s">
        <v>154</v>
      </c>
      <c r="AI49" s="489" t="s">
        <v>154</v>
      </c>
      <c r="AJ49" s="489" t="s">
        <v>154</v>
      </c>
      <c r="AK49" s="489" t="s">
        <v>154</v>
      </c>
      <c r="AL49" s="489" t="s">
        <v>154</v>
      </c>
      <c r="AM49" s="492" t="s">
        <v>5747</v>
      </c>
      <c r="AN49" s="489" t="s">
        <v>154</v>
      </c>
      <c r="AO49" s="489" t="s">
        <v>3454</v>
      </c>
      <c r="AP49" s="489" t="s">
        <v>154</v>
      </c>
      <c r="AQ49" s="489" t="s">
        <v>154</v>
      </c>
      <c r="AR49" s="489" t="s">
        <v>154</v>
      </c>
      <c r="AS49" s="530"/>
      <c r="AT49" s="488"/>
      <c r="AU49" s="487" t="s">
        <v>5839</v>
      </c>
      <c r="AV49" s="487"/>
      <c r="AW49" s="530"/>
      <c r="AX49" s="570"/>
      <c r="AY49" s="569"/>
      <c r="AZ49" s="556"/>
      <c r="BA49" s="568"/>
      <c r="BB49" s="568"/>
      <c r="BC49" s="568"/>
      <c r="BD49" s="568"/>
      <c r="BE49" s="568"/>
      <c r="BF49" s="568"/>
      <c r="BG49" s="568"/>
      <c r="BH49" s="568"/>
      <c r="BI49" s="457"/>
    </row>
    <row r="50" spans="1:61" s="552" customFormat="1" ht="24" customHeight="1">
      <c r="A50" s="507"/>
      <c r="B50" s="522">
        <v>2731</v>
      </c>
      <c r="C50" s="566" t="s">
        <v>119</v>
      </c>
      <c r="D50" s="565" t="s">
        <v>5834</v>
      </c>
      <c r="E50" s="2371" t="s">
        <v>958</v>
      </c>
      <c r="F50" s="2371"/>
      <c r="G50" s="2371"/>
      <c r="H50" s="527">
        <v>5</v>
      </c>
      <c r="I50" s="526" t="s">
        <v>971</v>
      </c>
      <c r="J50" s="525" t="s">
        <v>978</v>
      </c>
      <c r="K50" s="525"/>
      <c r="L50" s="519" t="s">
        <v>5838</v>
      </c>
      <c r="M50" s="515" t="s">
        <v>5840</v>
      </c>
      <c r="N50" s="560">
        <v>1</v>
      </c>
      <c r="O50" s="560" t="s">
        <v>154</v>
      </c>
      <c r="P50" s="564">
        <v>24</v>
      </c>
      <c r="Q50" s="564">
        <v>80</v>
      </c>
      <c r="R50" s="563">
        <v>10</v>
      </c>
      <c r="S50" s="498">
        <f t="shared" ref="S50:S68" si="3">PRODUCT(Q50,P50)</f>
        <v>1920</v>
      </c>
      <c r="T50" s="498">
        <f t="shared" ref="T50:T68" si="4">S50</f>
        <v>1920</v>
      </c>
      <c r="U50" s="498"/>
      <c r="V50" s="562" t="s">
        <v>5786</v>
      </c>
      <c r="W50" s="559" t="s">
        <v>5744</v>
      </c>
      <c r="X50" s="559" t="s">
        <v>5745</v>
      </c>
      <c r="Y50" s="495" t="s">
        <v>154</v>
      </c>
      <c r="Z50" s="495" t="s">
        <v>154</v>
      </c>
      <c r="AA50" s="495" t="s">
        <v>154</v>
      </c>
      <c r="AB50" s="495" t="s">
        <v>154</v>
      </c>
      <c r="AC50" s="495" t="s">
        <v>154</v>
      </c>
      <c r="AD50" s="560"/>
      <c r="AE50" s="561"/>
      <c r="AF50" s="492" t="s">
        <v>5747</v>
      </c>
      <c r="AG50" s="559" t="s">
        <v>154</v>
      </c>
      <c r="AH50" s="559"/>
      <c r="AI50" s="559"/>
      <c r="AJ50" s="559"/>
      <c r="AK50" s="559"/>
      <c r="AL50" s="557"/>
      <c r="AM50" s="559"/>
      <c r="AN50" s="557"/>
      <c r="AO50" s="559"/>
      <c r="AP50" s="559" t="s">
        <v>5774</v>
      </c>
      <c r="AQ50" s="559" t="s">
        <v>154</v>
      </c>
      <c r="AR50" s="559" t="s">
        <v>154</v>
      </c>
      <c r="AS50" s="530"/>
      <c r="AT50" s="488" t="s">
        <v>5757</v>
      </c>
      <c r="AU50" s="530"/>
      <c r="AV50" s="530"/>
      <c r="AW50" s="530"/>
      <c r="AX50" s="556"/>
      <c r="AY50" s="555"/>
      <c r="AZ50" s="556" t="s">
        <v>5747</v>
      </c>
      <c r="BA50" s="554"/>
      <c r="BB50" s="554"/>
      <c r="BC50" s="554"/>
      <c r="BD50" s="554"/>
      <c r="BE50" s="554"/>
      <c r="BF50" s="554"/>
      <c r="BG50" s="554"/>
      <c r="BH50" s="554"/>
      <c r="BI50" s="574"/>
    </row>
    <row r="51" spans="1:61" ht="24" customHeight="1">
      <c r="A51" s="507"/>
      <c r="B51" s="506">
        <v>2732</v>
      </c>
      <c r="C51" s="505" t="s">
        <v>119</v>
      </c>
      <c r="D51" s="504" t="s">
        <v>5834</v>
      </c>
      <c r="E51" s="2369" t="s">
        <v>958</v>
      </c>
      <c r="F51" s="2369"/>
      <c r="G51" s="2369"/>
      <c r="H51" s="503">
        <v>1</v>
      </c>
      <c r="I51" s="502" t="str">
        <f t="shared" ref="I51:I97" si="5">B51&amp;"-BLD-"&amp;TEXT(H51,"000")</f>
        <v>2732-BLD-001</v>
      </c>
      <c r="J51" s="501" t="s">
        <v>998</v>
      </c>
      <c r="K51" s="501"/>
      <c r="L51" s="493" t="s">
        <v>4168</v>
      </c>
      <c r="M51" s="493" t="s">
        <v>2969</v>
      </c>
      <c r="N51" s="494">
        <v>1</v>
      </c>
      <c r="O51" s="529">
        <v>2</v>
      </c>
      <c r="P51" s="500">
        <v>20</v>
      </c>
      <c r="Q51" s="500">
        <v>30</v>
      </c>
      <c r="R51" s="499">
        <v>20</v>
      </c>
      <c r="S51" s="497">
        <f t="shared" si="3"/>
        <v>600</v>
      </c>
      <c r="T51" s="498">
        <f t="shared" si="4"/>
        <v>600</v>
      </c>
      <c r="U51" s="497" t="s">
        <v>5791</v>
      </c>
      <c r="V51" s="496" t="s">
        <v>5792</v>
      </c>
      <c r="W51" s="489" t="s">
        <v>5793</v>
      </c>
      <c r="X51" s="489" t="s">
        <v>5836</v>
      </c>
      <c r="Y51" s="495" t="s">
        <v>154</v>
      </c>
      <c r="Z51" s="495" t="s">
        <v>154</v>
      </c>
      <c r="AA51" s="495" t="s">
        <v>154</v>
      </c>
      <c r="AB51" s="495" t="s">
        <v>154</v>
      </c>
      <c r="AC51" s="495" t="s">
        <v>154</v>
      </c>
      <c r="AD51" s="494">
        <v>5</v>
      </c>
      <c r="AE51" s="495" t="s">
        <v>3454</v>
      </c>
      <c r="AF51" s="492" t="s">
        <v>5747</v>
      </c>
      <c r="AG51" s="491" t="s">
        <v>154</v>
      </c>
      <c r="AH51" s="489" t="s">
        <v>154</v>
      </c>
      <c r="AI51" s="489" t="s">
        <v>154</v>
      </c>
      <c r="AJ51" s="489" t="s">
        <v>5769</v>
      </c>
      <c r="AK51" s="489" t="s">
        <v>154</v>
      </c>
      <c r="AL51" s="491" t="s">
        <v>154</v>
      </c>
      <c r="AM51" s="492" t="s">
        <v>5747</v>
      </c>
      <c r="AN51" s="491" t="s">
        <v>154</v>
      </c>
      <c r="AO51" s="489" t="s">
        <v>3454</v>
      </c>
      <c r="AP51" s="489" t="s">
        <v>5815</v>
      </c>
      <c r="AQ51" s="489" t="s">
        <v>154</v>
      </c>
      <c r="AR51" s="489" t="s">
        <v>154</v>
      </c>
      <c r="AS51" s="530">
        <v>4</v>
      </c>
      <c r="AT51" s="488" t="s">
        <v>5789</v>
      </c>
      <c r="AU51" s="487" t="s">
        <v>5762</v>
      </c>
      <c r="AV51" s="487"/>
      <c r="AW51" s="530"/>
      <c r="AX51" s="570" t="s">
        <v>5747</v>
      </c>
      <c r="AY51" s="569"/>
      <c r="AZ51" s="556" t="s">
        <v>5747</v>
      </c>
      <c r="BA51" s="568"/>
      <c r="BB51" s="568"/>
      <c r="BC51" s="568"/>
      <c r="BD51" s="568"/>
      <c r="BE51" s="568">
        <v>1</v>
      </c>
      <c r="BF51" s="568"/>
      <c r="BG51" s="568"/>
      <c r="BH51" s="568"/>
      <c r="BI51" s="457"/>
    </row>
    <row r="52" spans="1:61" s="552" customFormat="1" ht="24" customHeight="1">
      <c r="A52" s="528"/>
      <c r="B52" s="522">
        <v>2750</v>
      </c>
      <c r="C52" s="566" t="s">
        <v>119</v>
      </c>
      <c r="D52" s="565" t="s">
        <v>5834</v>
      </c>
      <c r="E52" s="2371" t="s">
        <v>913</v>
      </c>
      <c r="F52" s="2371"/>
      <c r="G52" s="2371"/>
      <c r="H52" s="527">
        <v>1</v>
      </c>
      <c r="I52" s="526" t="str">
        <f t="shared" si="5"/>
        <v>2750-BLD-001</v>
      </c>
      <c r="J52" s="525" t="s">
        <v>5841</v>
      </c>
      <c r="K52" s="525"/>
      <c r="L52" s="519" t="s">
        <v>5842</v>
      </c>
      <c r="M52" s="519" t="s">
        <v>2969</v>
      </c>
      <c r="N52" s="560">
        <v>1</v>
      </c>
      <c r="O52" s="560" t="s">
        <v>154</v>
      </c>
      <c r="P52" s="564">
        <v>16</v>
      </c>
      <c r="Q52" s="564">
        <v>40</v>
      </c>
      <c r="R52" s="563">
        <v>11</v>
      </c>
      <c r="S52" s="498">
        <f t="shared" si="3"/>
        <v>640</v>
      </c>
      <c r="T52" s="498">
        <f t="shared" si="4"/>
        <v>640</v>
      </c>
      <c r="U52" s="498"/>
      <c r="V52" s="562" t="s">
        <v>5761</v>
      </c>
      <c r="W52" s="559" t="s">
        <v>5744</v>
      </c>
      <c r="X52" s="559" t="s">
        <v>5745</v>
      </c>
      <c r="Y52" s="561" t="s">
        <v>154</v>
      </c>
      <c r="Z52" s="561" t="s">
        <v>154</v>
      </c>
      <c r="AA52" s="561" t="s">
        <v>154</v>
      </c>
      <c r="AB52" s="561" t="s">
        <v>154</v>
      </c>
      <c r="AC52" s="561" t="s">
        <v>154</v>
      </c>
      <c r="AD52" s="560">
        <v>22</v>
      </c>
      <c r="AE52" s="561" t="s">
        <v>5746</v>
      </c>
      <c r="AF52" s="492" t="s">
        <v>5747</v>
      </c>
      <c r="AG52" s="557" t="s">
        <v>154</v>
      </c>
      <c r="AH52" s="557" t="s">
        <v>154</v>
      </c>
      <c r="AI52" s="559" t="s">
        <v>154</v>
      </c>
      <c r="AJ52" s="559" t="s">
        <v>154</v>
      </c>
      <c r="AK52" s="559" t="s">
        <v>154</v>
      </c>
      <c r="AL52" s="492" t="s">
        <v>5747</v>
      </c>
      <c r="AM52" s="559" t="s">
        <v>154</v>
      </c>
      <c r="AN52" s="559" t="s">
        <v>154</v>
      </c>
      <c r="AO52" s="559" t="s">
        <v>3454</v>
      </c>
      <c r="AP52" s="489" t="s">
        <v>5750</v>
      </c>
      <c r="AQ52" s="559" t="s">
        <v>154</v>
      </c>
      <c r="AR52" s="559" t="s">
        <v>154</v>
      </c>
      <c r="AS52" s="530">
        <v>2</v>
      </c>
      <c r="AT52" s="488" t="s">
        <v>5816</v>
      </c>
      <c r="AU52" s="530"/>
      <c r="AV52" s="530"/>
      <c r="AW52" s="530"/>
      <c r="AX52" s="556" t="s">
        <v>5747</v>
      </c>
      <c r="AY52" s="555"/>
      <c r="AZ52" s="555"/>
      <c r="BA52" s="554"/>
      <c r="BB52" s="554"/>
      <c r="BC52" s="554"/>
      <c r="BD52" s="554"/>
      <c r="BE52" s="554">
        <v>1</v>
      </c>
      <c r="BF52" s="553"/>
      <c r="BG52" s="553"/>
      <c r="BH52" s="553"/>
      <c r="BI52" s="553"/>
    </row>
    <row r="53" spans="1:61" s="552" customFormat="1" ht="24" customHeight="1">
      <c r="A53" s="528"/>
      <c r="B53" s="522">
        <v>2750</v>
      </c>
      <c r="C53" s="566" t="s">
        <v>119</v>
      </c>
      <c r="D53" s="565" t="s">
        <v>5834</v>
      </c>
      <c r="E53" s="2371" t="s">
        <v>913</v>
      </c>
      <c r="F53" s="2371"/>
      <c r="G53" s="2371"/>
      <c r="H53" s="527">
        <v>2</v>
      </c>
      <c r="I53" s="526" t="str">
        <f t="shared" si="5"/>
        <v>2750-BLD-002</v>
      </c>
      <c r="J53" s="525" t="s">
        <v>5843</v>
      </c>
      <c r="K53" s="525"/>
      <c r="L53" s="519" t="s">
        <v>5842</v>
      </c>
      <c r="M53" s="519" t="s">
        <v>2969</v>
      </c>
      <c r="N53" s="560">
        <v>1</v>
      </c>
      <c r="O53" s="560" t="s">
        <v>154</v>
      </c>
      <c r="P53" s="564">
        <v>16</v>
      </c>
      <c r="Q53" s="564">
        <v>25</v>
      </c>
      <c r="R53" s="563">
        <v>11</v>
      </c>
      <c r="S53" s="498">
        <f t="shared" si="3"/>
        <v>400</v>
      </c>
      <c r="T53" s="498">
        <f t="shared" si="4"/>
        <v>400</v>
      </c>
      <c r="U53" s="498"/>
      <c r="V53" s="562" t="s">
        <v>5761</v>
      </c>
      <c r="W53" s="559" t="s">
        <v>5744</v>
      </c>
      <c r="X53" s="559" t="s">
        <v>5745</v>
      </c>
      <c r="Y53" s="561" t="s">
        <v>154</v>
      </c>
      <c r="Z53" s="561" t="s">
        <v>154</v>
      </c>
      <c r="AA53" s="561" t="s">
        <v>154</v>
      </c>
      <c r="AB53" s="561" t="s">
        <v>154</v>
      </c>
      <c r="AC53" s="561" t="s">
        <v>154</v>
      </c>
      <c r="AD53" s="560">
        <v>22</v>
      </c>
      <c r="AE53" s="561" t="s">
        <v>5746</v>
      </c>
      <c r="AF53" s="492" t="s">
        <v>5747</v>
      </c>
      <c r="AG53" s="557" t="s">
        <v>154</v>
      </c>
      <c r="AH53" s="557" t="s">
        <v>154</v>
      </c>
      <c r="AI53" s="559" t="s">
        <v>154</v>
      </c>
      <c r="AJ53" s="559" t="s">
        <v>154</v>
      </c>
      <c r="AK53" s="559" t="s">
        <v>154</v>
      </c>
      <c r="AL53" s="492" t="s">
        <v>5747</v>
      </c>
      <c r="AM53" s="559" t="s">
        <v>154</v>
      </c>
      <c r="AN53" s="559" t="s">
        <v>154</v>
      </c>
      <c r="AO53" s="559" t="s">
        <v>3454</v>
      </c>
      <c r="AP53" s="489" t="s">
        <v>5750</v>
      </c>
      <c r="AQ53" s="559" t="s">
        <v>154</v>
      </c>
      <c r="AR53" s="559" t="s">
        <v>154</v>
      </c>
      <c r="AS53" s="530">
        <v>2</v>
      </c>
      <c r="AT53" s="488" t="s">
        <v>5816</v>
      </c>
      <c r="AU53" s="530"/>
      <c r="AV53" s="530"/>
      <c r="AW53" s="530"/>
      <c r="AX53" s="556" t="s">
        <v>5747</v>
      </c>
      <c r="AY53" s="555"/>
      <c r="AZ53" s="555"/>
      <c r="BA53" s="554"/>
      <c r="BB53" s="554"/>
      <c r="BC53" s="554"/>
      <c r="BD53" s="554"/>
      <c r="BE53" s="554">
        <v>1</v>
      </c>
      <c r="BF53" s="553"/>
      <c r="BG53" s="553"/>
      <c r="BH53" s="553"/>
      <c r="BI53" s="553"/>
    </row>
    <row r="54" spans="1:61" s="552" customFormat="1" ht="24" customHeight="1">
      <c r="A54" s="528"/>
      <c r="B54" s="522">
        <v>2750</v>
      </c>
      <c r="C54" s="566" t="s">
        <v>119</v>
      </c>
      <c r="D54" s="565" t="s">
        <v>5834</v>
      </c>
      <c r="E54" s="2371" t="s">
        <v>913</v>
      </c>
      <c r="F54" s="2371"/>
      <c r="G54" s="2371"/>
      <c r="H54" s="527">
        <v>3</v>
      </c>
      <c r="I54" s="526" t="str">
        <f t="shared" si="5"/>
        <v>2750-BLD-003</v>
      </c>
      <c r="J54" s="525" t="s">
        <v>5844</v>
      </c>
      <c r="K54" s="525"/>
      <c r="L54" s="519" t="s">
        <v>5842</v>
      </c>
      <c r="M54" s="519" t="s">
        <v>2969</v>
      </c>
      <c r="N54" s="560">
        <v>1</v>
      </c>
      <c r="O54" s="560" t="s">
        <v>154</v>
      </c>
      <c r="P54" s="564">
        <v>16</v>
      </c>
      <c r="Q54" s="564">
        <v>25</v>
      </c>
      <c r="R54" s="563">
        <v>11</v>
      </c>
      <c r="S54" s="498">
        <f t="shared" si="3"/>
        <v>400</v>
      </c>
      <c r="T54" s="498">
        <f t="shared" si="4"/>
        <v>400</v>
      </c>
      <c r="U54" s="498"/>
      <c r="V54" s="562" t="s">
        <v>5761</v>
      </c>
      <c r="W54" s="559" t="s">
        <v>5744</v>
      </c>
      <c r="X54" s="559" t="s">
        <v>5745</v>
      </c>
      <c r="Y54" s="561" t="s">
        <v>154</v>
      </c>
      <c r="Z54" s="561" t="s">
        <v>154</v>
      </c>
      <c r="AA54" s="561" t="s">
        <v>154</v>
      </c>
      <c r="AB54" s="561" t="s">
        <v>154</v>
      </c>
      <c r="AC54" s="561" t="s">
        <v>154</v>
      </c>
      <c r="AD54" s="560">
        <v>22</v>
      </c>
      <c r="AE54" s="561" t="s">
        <v>5746</v>
      </c>
      <c r="AF54" s="492" t="s">
        <v>5747</v>
      </c>
      <c r="AG54" s="557" t="s">
        <v>154</v>
      </c>
      <c r="AH54" s="557" t="s">
        <v>154</v>
      </c>
      <c r="AI54" s="559" t="s">
        <v>154</v>
      </c>
      <c r="AJ54" s="559" t="s">
        <v>154</v>
      </c>
      <c r="AK54" s="559" t="s">
        <v>154</v>
      </c>
      <c r="AL54" s="492" t="s">
        <v>5747</v>
      </c>
      <c r="AM54" s="559" t="s">
        <v>154</v>
      </c>
      <c r="AN54" s="559" t="s">
        <v>154</v>
      </c>
      <c r="AO54" s="559" t="s">
        <v>3454</v>
      </c>
      <c r="AP54" s="489" t="s">
        <v>5750</v>
      </c>
      <c r="AQ54" s="559" t="s">
        <v>154</v>
      </c>
      <c r="AR54" s="559" t="s">
        <v>154</v>
      </c>
      <c r="AS54" s="530">
        <v>2</v>
      </c>
      <c r="AT54" s="488" t="s">
        <v>5757</v>
      </c>
      <c r="AU54" s="530"/>
      <c r="AV54" s="530"/>
      <c r="AW54" s="530"/>
      <c r="AX54" s="556" t="s">
        <v>5747</v>
      </c>
      <c r="AY54" s="555"/>
      <c r="AZ54" s="555"/>
      <c r="BA54" s="554"/>
      <c r="BB54" s="554"/>
      <c r="BC54" s="554"/>
      <c r="BD54" s="554"/>
      <c r="BE54" s="554">
        <v>1</v>
      </c>
      <c r="BF54" s="553"/>
      <c r="BG54" s="553"/>
      <c r="BH54" s="553"/>
      <c r="BI54" s="553"/>
    </row>
    <row r="55" spans="1:61" s="552" customFormat="1" ht="24" customHeight="1">
      <c r="A55" s="528"/>
      <c r="B55" s="522">
        <v>2750</v>
      </c>
      <c r="C55" s="566" t="s">
        <v>119</v>
      </c>
      <c r="D55" s="565" t="s">
        <v>5834</v>
      </c>
      <c r="E55" s="2371" t="s">
        <v>913</v>
      </c>
      <c r="F55" s="2371"/>
      <c r="G55" s="2371"/>
      <c r="H55" s="527">
        <v>4</v>
      </c>
      <c r="I55" s="526" t="str">
        <f t="shared" si="5"/>
        <v>2750-BLD-004</v>
      </c>
      <c r="J55" s="525" t="s">
        <v>5845</v>
      </c>
      <c r="K55" s="525"/>
      <c r="L55" s="519" t="s">
        <v>5842</v>
      </c>
      <c r="M55" s="519" t="s">
        <v>2969</v>
      </c>
      <c r="N55" s="560">
        <v>1</v>
      </c>
      <c r="O55" s="560" t="s">
        <v>154</v>
      </c>
      <c r="P55" s="564">
        <v>16</v>
      </c>
      <c r="Q55" s="564">
        <v>25</v>
      </c>
      <c r="R55" s="563">
        <v>11</v>
      </c>
      <c r="S55" s="498">
        <f t="shared" si="3"/>
        <v>400</v>
      </c>
      <c r="T55" s="498">
        <f t="shared" si="4"/>
        <v>400</v>
      </c>
      <c r="U55" s="498"/>
      <c r="V55" s="562" t="s">
        <v>5761</v>
      </c>
      <c r="W55" s="559" t="s">
        <v>5744</v>
      </c>
      <c r="X55" s="559" t="s">
        <v>5745</v>
      </c>
      <c r="Y55" s="561" t="s">
        <v>154</v>
      </c>
      <c r="Z55" s="561" t="s">
        <v>154</v>
      </c>
      <c r="AA55" s="561" t="s">
        <v>154</v>
      </c>
      <c r="AB55" s="561" t="s">
        <v>154</v>
      </c>
      <c r="AC55" s="561" t="s">
        <v>154</v>
      </c>
      <c r="AD55" s="560">
        <v>22</v>
      </c>
      <c r="AE55" s="561" t="s">
        <v>5746</v>
      </c>
      <c r="AF55" s="492" t="s">
        <v>5747</v>
      </c>
      <c r="AG55" s="557" t="s">
        <v>154</v>
      </c>
      <c r="AH55" s="557" t="s">
        <v>154</v>
      </c>
      <c r="AI55" s="559" t="s">
        <v>154</v>
      </c>
      <c r="AJ55" s="559" t="s">
        <v>154</v>
      </c>
      <c r="AK55" s="559" t="s">
        <v>154</v>
      </c>
      <c r="AL55" s="492" t="s">
        <v>5747</v>
      </c>
      <c r="AM55" s="559" t="s">
        <v>154</v>
      </c>
      <c r="AN55" s="559" t="s">
        <v>154</v>
      </c>
      <c r="AO55" s="559" t="s">
        <v>3454</v>
      </c>
      <c r="AP55" s="489" t="s">
        <v>5750</v>
      </c>
      <c r="AQ55" s="559" t="s">
        <v>154</v>
      </c>
      <c r="AR55" s="559" t="s">
        <v>154</v>
      </c>
      <c r="AS55" s="530">
        <v>2</v>
      </c>
      <c r="AT55" s="488" t="s">
        <v>5757</v>
      </c>
      <c r="AU55" s="530"/>
      <c r="AV55" s="530"/>
      <c r="AW55" s="530"/>
      <c r="AX55" s="556" t="s">
        <v>5747</v>
      </c>
      <c r="AY55" s="555"/>
      <c r="AZ55" s="555"/>
      <c r="BA55" s="554"/>
      <c r="BB55" s="554"/>
      <c r="BC55" s="554"/>
      <c r="BD55" s="554"/>
      <c r="BE55" s="554">
        <v>1</v>
      </c>
      <c r="BF55" s="553"/>
      <c r="BG55" s="553"/>
      <c r="BH55" s="553"/>
      <c r="BI55" s="553"/>
    </row>
    <row r="56" spans="1:61" s="552" customFormat="1" ht="24" customHeight="1" thickBot="1">
      <c r="A56" s="672"/>
      <c r="B56" s="671">
        <v>2750</v>
      </c>
      <c r="C56" s="670" t="s">
        <v>119</v>
      </c>
      <c r="D56" s="669" t="s">
        <v>5834</v>
      </c>
      <c r="E56" s="2378" t="s">
        <v>913</v>
      </c>
      <c r="F56" s="2378"/>
      <c r="G56" s="2378"/>
      <c r="H56" s="668">
        <v>5</v>
      </c>
      <c r="I56" s="667" t="str">
        <f t="shared" si="5"/>
        <v>2750-BLD-005</v>
      </c>
      <c r="J56" s="666" t="s">
        <v>5846</v>
      </c>
      <c r="K56" s="666"/>
      <c r="L56" s="665" t="s">
        <v>5842</v>
      </c>
      <c r="M56" s="665" t="s">
        <v>2969</v>
      </c>
      <c r="N56" s="660">
        <v>1</v>
      </c>
      <c r="O56" s="660" t="s">
        <v>154</v>
      </c>
      <c r="P56" s="664" t="s">
        <v>154</v>
      </c>
      <c r="Q56" s="664">
        <v>25</v>
      </c>
      <c r="R56" s="663" t="s">
        <v>154</v>
      </c>
      <c r="S56" s="662">
        <f t="shared" si="3"/>
        <v>25</v>
      </c>
      <c r="T56" s="662">
        <f t="shared" si="4"/>
        <v>25</v>
      </c>
      <c r="U56" s="662"/>
      <c r="V56" s="661" t="s">
        <v>5761</v>
      </c>
      <c r="W56" s="655" t="s">
        <v>5744</v>
      </c>
      <c r="X56" s="655" t="s">
        <v>5745</v>
      </c>
      <c r="Y56" s="659" t="s">
        <v>154</v>
      </c>
      <c r="Z56" s="659" t="s">
        <v>154</v>
      </c>
      <c r="AA56" s="659" t="s">
        <v>154</v>
      </c>
      <c r="AB56" s="659" t="s">
        <v>154</v>
      </c>
      <c r="AC56" s="659" t="s">
        <v>154</v>
      </c>
      <c r="AD56" s="660">
        <v>22</v>
      </c>
      <c r="AE56" s="659" t="s">
        <v>5746</v>
      </c>
      <c r="AF56" s="657" t="s">
        <v>5747</v>
      </c>
      <c r="AG56" s="658" t="s">
        <v>154</v>
      </c>
      <c r="AH56" s="658" t="s">
        <v>154</v>
      </c>
      <c r="AI56" s="655" t="s">
        <v>154</v>
      </c>
      <c r="AJ56" s="655" t="s">
        <v>154</v>
      </c>
      <c r="AK56" s="655" t="s">
        <v>154</v>
      </c>
      <c r="AL56" s="657" t="s">
        <v>5747</v>
      </c>
      <c r="AM56" s="655" t="s">
        <v>154</v>
      </c>
      <c r="AN56" s="655" t="s">
        <v>154</v>
      </c>
      <c r="AO56" s="655" t="s">
        <v>3454</v>
      </c>
      <c r="AP56" s="656" t="s">
        <v>5750</v>
      </c>
      <c r="AQ56" s="655" t="s">
        <v>154</v>
      </c>
      <c r="AR56" s="655" t="s">
        <v>154</v>
      </c>
      <c r="AS56" s="530">
        <v>2</v>
      </c>
      <c r="AT56" s="488" t="s">
        <v>5757</v>
      </c>
      <c r="AU56" s="530"/>
      <c r="AV56" s="530"/>
      <c r="AW56" s="530"/>
      <c r="AX56" s="556" t="s">
        <v>5747</v>
      </c>
      <c r="AY56" s="555"/>
      <c r="AZ56" s="555"/>
      <c r="BA56" s="554"/>
      <c r="BB56" s="554"/>
      <c r="BC56" s="554"/>
      <c r="BD56" s="554"/>
      <c r="BE56" s="554">
        <v>1</v>
      </c>
      <c r="BF56" s="553"/>
      <c r="BG56" s="553"/>
      <c r="BH56" s="553"/>
      <c r="BI56" s="553"/>
    </row>
    <row r="57" spans="1:61" ht="24" customHeight="1" thickTop="1">
      <c r="A57" s="654"/>
      <c r="B57" s="653">
        <v>7231</v>
      </c>
      <c r="C57" s="652" t="s">
        <v>5847</v>
      </c>
      <c r="D57" s="651" t="s">
        <v>119</v>
      </c>
      <c r="E57" s="2379" t="s">
        <v>2430</v>
      </c>
      <c r="F57" s="2379"/>
      <c r="G57" s="2379"/>
      <c r="H57" s="650">
        <v>1</v>
      </c>
      <c r="I57" s="649" t="str">
        <f t="shared" si="5"/>
        <v>7231-BLD-001</v>
      </c>
      <c r="J57" s="648" t="s">
        <v>5848</v>
      </c>
      <c r="K57" s="648"/>
      <c r="L57" s="639" t="s">
        <v>4158</v>
      </c>
      <c r="M57" s="639" t="s">
        <v>2969</v>
      </c>
      <c r="N57" s="640">
        <v>1</v>
      </c>
      <c r="O57" s="640">
        <v>17</v>
      </c>
      <c r="P57" s="647">
        <v>48</v>
      </c>
      <c r="Q57" s="647">
        <v>60</v>
      </c>
      <c r="R57" s="646">
        <v>8</v>
      </c>
      <c r="S57" s="644">
        <f t="shared" si="3"/>
        <v>2880</v>
      </c>
      <c r="T57" s="645">
        <f t="shared" si="4"/>
        <v>2880</v>
      </c>
      <c r="U57" s="644" t="s">
        <v>3454</v>
      </c>
      <c r="V57" s="643" t="s">
        <v>5786</v>
      </c>
      <c r="W57" s="637" t="s">
        <v>5744</v>
      </c>
      <c r="X57" s="637" t="s">
        <v>5745</v>
      </c>
      <c r="Y57" s="641" t="s">
        <v>5747</v>
      </c>
      <c r="Z57" s="642" t="s">
        <v>154</v>
      </c>
      <c r="AA57" s="641" t="s">
        <v>5747</v>
      </c>
      <c r="AB57" s="642" t="s">
        <v>154</v>
      </c>
      <c r="AC57" s="641" t="s">
        <v>5747</v>
      </c>
      <c r="AD57" s="640">
        <v>22</v>
      </c>
      <c r="AE57" s="639" t="s">
        <v>5746</v>
      </c>
      <c r="AF57" s="637" t="s">
        <v>154</v>
      </c>
      <c r="AG57" s="637" t="s">
        <v>154</v>
      </c>
      <c r="AH57" s="637" t="s">
        <v>154</v>
      </c>
      <c r="AI57" s="637" t="s">
        <v>5755</v>
      </c>
      <c r="AJ57" s="637" t="s">
        <v>154</v>
      </c>
      <c r="AK57" s="637" t="s">
        <v>154</v>
      </c>
      <c r="AL57" s="637" t="s">
        <v>154</v>
      </c>
      <c r="AM57" s="637" t="s">
        <v>154</v>
      </c>
      <c r="AN57" s="638" t="s">
        <v>5747</v>
      </c>
      <c r="AO57" s="637" t="s">
        <v>2872</v>
      </c>
      <c r="AP57" s="637" t="s">
        <v>5756</v>
      </c>
      <c r="AQ57" s="637" t="s">
        <v>5756</v>
      </c>
      <c r="AR57" s="636" t="s">
        <v>154</v>
      </c>
      <c r="AS57" s="530">
        <v>40</v>
      </c>
      <c r="AT57" s="488" t="s">
        <v>5789</v>
      </c>
      <c r="AU57" s="530"/>
      <c r="AV57" s="530"/>
      <c r="AW57" s="530"/>
      <c r="AX57" s="570" t="s">
        <v>5747</v>
      </c>
      <c r="AY57" s="570" t="s">
        <v>5747</v>
      </c>
      <c r="AZ57" s="570"/>
      <c r="BA57" s="568">
        <v>2</v>
      </c>
      <c r="BB57" s="568">
        <v>2</v>
      </c>
      <c r="BC57" s="568">
        <v>1</v>
      </c>
      <c r="BD57" s="568">
        <v>1</v>
      </c>
      <c r="BE57" s="568" t="s">
        <v>5775</v>
      </c>
      <c r="BF57" s="568">
        <v>1</v>
      </c>
      <c r="BG57" s="568">
        <v>1</v>
      </c>
      <c r="BH57" s="568"/>
      <c r="BI57" s="457" t="s">
        <v>5849</v>
      </c>
    </row>
    <row r="58" spans="1:61" ht="24" customHeight="1">
      <c r="A58" s="528"/>
      <c r="B58" s="506">
        <v>7231</v>
      </c>
      <c r="C58" s="505" t="s">
        <v>5847</v>
      </c>
      <c r="D58" s="504" t="s">
        <v>119</v>
      </c>
      <c r="E58" s="2369" t="s">
        <v>2430</v>
      </c>
      <c r="F58" s="2369"/>
      <c r="G58" s="2369"/>
      <c r="H58" s="503">
        <v>2</v>
      </c>
      <c r="I58" s="502" t="str">
        <f t="shared" si="5"/>
        <v>7231-BLD-002</v>
      </c>
      <c r="J58" s="501" t="s">
        <v>1515</v>
      </c>
      <c r="K58" s="501"/>
      <c r="L58" s="493" t="s">
        <v>4158</v>
      </c>
      <c r="M58" s="493" t="s">
        <v>2969</v>
      </c>
      <c r="N58" s="494">
        <v>1</v>
      </c>
      <c r="O58" s="529">
        <v>19</v>
      </c>
      <c r="P58" s="500">
        <v>12</v>
      </c>
      <c r="Q58" s="500">
        <v>60</v>
      </c>
      <c r="R58" s="499">
        <v>8</v>
      </c>
      <c r="S58" s="497">
        <f t="shared" si="3"/>
        <v>720</v>
      </c>
      <c r="T58" s="498">
        <f t="shared" si="4"/>
        <v>720</v>
      </c>
      <c r="U58" s="497" t="s">
        <v>5850</v>
      </c>
      <c r="V58" s="496" t="s">
        <v>5753</v>
      </c>
      <c r="W58" s="489" t="s">
        <v>5787</v>
      </c>
      <c r="X58" s="489" t="s">
        <v>5745</v>
      </c>
      <c r="Y58" s="490" t="s">
        <v>5747</v>
      </c>
      <c r="Z58" s="490" t="s">
        <v>5747</v>
      </c>
      <c r="AA58" s="495" t="s">
        <v>154</v>
      </c>
      <c r="AB58" s="495" t="s">
        <v>154</v>
      </c>
      <c r="AC58" s="591" t="s">
        <v>5747</v>
      </c>
      <c r="AD58" s="494">
        <v>22</v>
      </c>
      <c r="AE58" s="493" t="s">
        <v>5746</v>
      </c>
      <c r="AF58" s="489" t="s">
        <v>154</v>
      </c>
      <c r="AG58" s="489" t="s">
        <v>154</v>
      </c>
      <c r="AH58" s="489" t="s">
        <v>5754</v>
      </c>
      <c r="AI58" s="489" t="s">
        <v>5755</v>
      </c>
      <c r="AJ58" s="489" t="s">
        <v>5754</v>
      </c>
      <c r="AK58" s="489" t="s">
        <v>154</v>
      </c>
      <c r="AL58" s="489" t="s">
        <v>154</v>
      </c>
      <c r="AM58" s="492" t="s">
        <v>5747</v>
      </c>
      <c r="AN58" s="491" t="s">
        <v>154</v>
      </c>
      <c r="AO58" s="489" t="s">
        <v>2872</v>
      </c>
      <c r="AP58" s="489" t="s">
        <v>154</v>
      </c>
      <c r="AQ58" s="489" t="s">
        <v>5756</v>
      </c>
      <c r="AR58" s="489" t="s">
        <v>154</v>
      </c>
      <c r="AS58" s="487">
        <v>2</v>
      </c>
      <c r="AT58" s="488" t="s">
        <v>5789</v>
      </c>
      <c r="AU58" s="487" t="s">
        <v>5762</v>
      </c>
      <c r="AV58" s="487"/>
      <c r="AW58" s="487"/>
      <c r="AX58" s="635" t="s">
        <v>5747</v>
      </c>
      <c r="AY58" s="486"/>
      <c r="AZ58" s="634" t="s">
        <v>5747</v>
      </c>
      <c r="BI58" s="457" t="s">
        <v>5849</v>
      </c>
    </row>
    <row r="59" spans="1:61" s="552" customFormat="1" ht="24" customHeight="1">
      <c r="A59" s="528"/>
      <c r="B59" s="581">
        <v>7232</v>
      </c>
      <c r="C59" s="580" t="s">
        <v>5847</v>
      </c>
      <c r="D59" s="579" t="s">
        <v>119</v>
      </c>
      <c r="E59" s="2374" t="s">
        <v>2430</v>
      </c>
      <c r="F59" s="2374"/>
      <c r="G59" s="2374"/>
      <c r="H59" s="578">
        <v>1</v>
      </c>
      <c r="I59" s="577" t="str">
        <f t="shared" si="5"/>
        <v>7232-BLD-001</v>
      </c>
      <c r="J59" s="576" t="s">
        <v>5851</v>
      </c>
      <c r="K59" s="525" t="s">
        <v>5852</v>
      </c>
      <c r="L59" s="523" t="s">
        <v>154</v>
      </c>
      <c r="M59" s="519" t="s">
        <v>2969</v>
      </c>
      <c r="N59" s="560">
        <v>1</v>
      </c>
      <c r="O59" s="575"/>
      <c r="P59" s="563"/>
      <c r="Q59" s="563"/>
      <c r="R59" s="563"/>
      <c r="S59" s="498">
        <f t="shared" si="3"/>
        <v>0</v>
      </c>
      <c r="T59" s="498">
        <f t="shared" si="4"/>
        <v>0</v>
      </c>
      <c r="U59" s="498"/>
      <c r="V59" s="562" t="s">
        <v>5753</v>
      </c>
      <c r="W59" s="559" t="s">
        <v>5744</v>
      </c>
      <c r="X59" s="559" t="s">
        <v>5745</v>
      </c>
      <c r="Y59" s="561"/>
      <c r="Z59" s="561"/>
      <c r="AA59" s="561"/>
      <c r="AB59" s="561"/>
      <c r="AC59" s="561"/>
      <c r="AD59" s="560"/>
      <c r="AE59" s="519"/>
      <c r="AF59" s="559"/>
      <c r="AG59" s="557"/>
      <c r="AH59" s="557"/>
      <c r="AI59" s="559"/>
      <c r="AJ59" s="559"/>
      <c r="AK59" s="559"/>
      <c r="AL59" s="559"/>
      <c r="AM59" s="559"/>
      <c r="AN59" s="559"/>
      <c r="AO59" s="559"/>
      <c r="AP59" s="559" t="s">
        <v>154</v>
      </c>
      <c r="AQ59" s="559" t="s">
        <v>154</v>
      </c>
      <c r="AR59" s="559" t="s">
        <v>154</v>
      </c>
      <c r="AS59" s="559"/>
      <c r="AT59" s="567"/>
      <c r="AU59" s="559"/>
      <c r="AV59" s="559"/>
      <c r="AW59" s="559"/>
      <c r="AX59" s="573"/>
      <c r="AY59" s="573"/>
      <c r="AZ59" s="573"/>
      <c r="BA59" s="553"/>
      <c r="BB59" s="553"/>
      <c r="BC59" s="553"/>
      <c r="BD59" s="553"/>
      <c r="BE59" s="553"/>
      <c r="BF59" s="553"/>
      <c r="BG59" s="553"/>
      <c r="BH59" s="553"/>
      <c r="BI59" s="633" t="s">
        <v>5849</v>
      </c>
    </row>
    <row r="60" spans="1:61" s="552" customFormat="1" ht="24" customHeight="1">
      <c r="A60" s="528"/>
      <c r="B60" s="581">
        <v>7232</v>
      </c>
      <c r="C60" s="580" t="s">
        <v>5847</v>
      </c>
      <c r="D60" s="579" t="s">
        <v>119</v>
      </c>
      <c r="E60" s="2374" t="s">
        <v>2430</v>
      </c>
      <c r="F60" s="2374"/>
      <c r="G60" s="2374"/>
      <c r="H60" s="578">
        <v>2</v>
      </c>
      <c r="I60" s="577" t="str">
        <f t="shared" si="5"/>
        <v>7232-BLD-002</v>
      </c>
      <c r="J60" s="576" t="s">
        <v>5853</v>
      </c>
      <c r="K60" s="525" t="s">
        <v>5852</v>
      </c>
      <c r="L60" s="523" t="s">
        <v>154</v>
      </c>
      <c r="M60" s="519" t="s">
        <v>2969</v>
      </c>
      <c r="N60" s="560">
        <v>1</v>
      </c>
      <c r="O60" s="575"/>
      <c r="P60" s="563"/>
      <c r="Q60" s="563"/>
      <c r="R60" s="563"/>
      <c r="S60" s="498">
        <f t="shared" si="3"/>
        <v>0</v>
      </c>
      <c r="T60" s="498">
        <f t="shared" si="4"/>
        <v>0</v>
      </c>
      <c r="U60" s="498"/>
      <c r="V60" s="562" t="s">
        <v>5753</v>
      </c>
      <c r="W60" s="559" t="s">
        <v>5744</v>
      </c>
      <c r="X60" s="559" t="s">
        <v>5745</v>
      </c>
      <c r="Y60" s="561"/>
      <c r="Z60" s="561"/>
      <c r="AA60" s="561"/>
      <c r="AB60" s="561"/>
      <c r="AC60" s="561"/>
      <c r="AD60" s="560"/>
      <c r="AE60" s="519"/>
      <c r="AF60" s="559"/>
      <c r="AG60" s="557"/>
      <c r="AH60" s="557"/>
      <c r="AI60" s="559"/>
      <c r="AJ60" s="559"/>
      <c r="AK60" s="559"/>
      <c r="AL60" s="559"/>
      <c r="AM60" s="559"/>
      <c r="AN60" s="559"/>
      <c r="AO60" s="559"/>
      <c r="AP60" s="559" t="s">
        <v>154</v>
      </c>
      <c r="AQ60" s="559" t="s">
        <v>154</v>
      </c>
      <c r="AR60" s="559" t="s">
        <v>154</v>
      </c>
      <c r="AS60" s="559"/>
      <c r="AT60" s="567"/>
      <c r="AU60" s="559"/>
      <c r="AV60" s="559"/>
      <c r="AW60" s="559"/>
      <c r="AX60" s="573"/>
      <c r="AY60" s="573"/>
      <c r="AZ60" s="573"/>
      <c r="BA60" s="553"/>
      <c r="BB60" s="553"/>
      <c r="BC60" s="553"/>
      <c r="BD60" s="553"/>
      <c r="BE60" s="553"/>
      <c r="BF60" s="553"/>
      <c r="BG60" s="553"/>
      <c r="BH60" s="553"/>
      <c r="BI60" s="633" t="s">
        <v>5849</v>
      </c>
    </row>
    <row r="61" spans="1:61" ht="24" customHeight="1">
      <c r="A61" s="528"/>
      <c r="B61" s="506">
        <v>7232</v>
      </c>
      <c r="C61" s="505" t="s">
        <v>5847</v>
      </c>
      <c r="D61" s="504" t="s">
        <v>119</v>
      </c>
      <c r="E61" s="2369" t="s">
        <v>2430</v>
      </c>
      <c r="F61" s="2369"/>
      <c r="G61" s="2369"/>
      <c r="H61" s="503">
        <v>3</v>
      </c>
      <c r="I61" s="502" t="str">
        <f t="shared" si="5"/>
        <v>7232-BLD-003</v>
      </c>
      <c r="J61" s="501" t="s">
        <v>5854</v>
      </c>
      <c r="K61" s="501" t="s">
        <v>5855</v>
      </c>
      <c r="L61" s="493" t="s">
        <v>4158</v>
      </c>
      <c r="M61" s="493" t="s">
        <v>2969</v>
      </c>
      <c r="N61" s="494">
        <v>1</v>
      </c>
      <c r="O61" s="529">
        <v>13</v>
      </c>
      <c r="P61" s="500">
        <v>12</v>
      </c>
      <c r="Q61" s="500">
        <v>60</v>
      </c>
      <c r="R61" s="499">
        <v>8</v>
      </c>
      <c r="S61" s="497">
        <f t="shared" si="3"/>
        <v>720</v>
      </c>
      <c r="T61" s="498">
        <f t="shared" si="4"/>
        <v>720</v>
      </c>
      <c r="U61" s="497" t="s">
        <v>5850</v>
      </c>
      <c r="V61" s="496" t="s">
        <v>5753</v>
      </c>
      <c r="W61" s="489" t="s">
        <v>5787</v>
      </c>
      <c r="X61" s="489" t="s">
        <v>5745</v>
      </c>
      <c r="Y61" s="490" t="s">
        <v>5747</v>
      </c>
      <c r="Z61" s="490" t="s">
        <v>5747</v>
      </c>
      <c r="AA61" s="490" t="s">
        <v>5747</v>
      </c>
      <c r="AB61" s="495" t="s">
        <v>154</v>
      </c>
      <c r="AC61" s="495" t="s">
        <v>154</v>
      </c>
      <c r="AD61" s="494">
        <v>22</v>
      </c>
      <c r="AE61" s="493" t="s">
        <v>5746</v>
      </c>
      <c r="AF61" s="489" t="s">
        <v>154</v>
      </c>
      <c r="AG61" s="489" t="s">
        <v>154</v>
      </c>
      <c r="AH61" s="489" t="s">
        <v>5754</v>
      </c>
      <c r="AI61" s="489" t="s">
        <v>5755</v>
      </c>
      <c r="AJ61" s="489" t="s">
        <v>5754</v>
      </c>
      <c r="AK61" s="489" t="s">
        <v>154</v>
      </c>
      <c r="AL61" s="489" t="s">
        <v>154</v>
      </c>
      <c r="AM61" s="491" t="s">
        <v>154</v>
      </c>
      <c r="AN61" s="492" t="s">
        <v>5747</v>
      </c>
      <c r="AO61" s="489" t="s">
        <v>2872</v>
      </c>
      <c r="AP61" s="489" t="s">
        <v>154</v>
      </c>
      <c r="AQ61" s="489" t="s">
        <v>5756</v>
      </c>
      <c r="AR61" s="489" t="s">
        <v>154</v>
      </c>
      <c r="AS61" s="487">
        <v>2</v>
      </c>
      <c r="AT61" s="488"/>
      <c r="AU61" s="487"/>
      <c r="AV61" s="487"/>
      <c r="AW61" s="487"/>
      <c r="AX61" s="486"/>
      <c r="AY61" s="486"/>
      <c r="AZ61" s="486"/>
      <c r="BI61" s="485" t="s">
        <v>5849</v>
      </c>
    </row>
    <row r="62" spans="1:61" s="552" customFormat="1" ht="24" customHeight="1">
      <c r="A62" s="528"/>
      <c r="B62" s="581">
        <v>7232</v>
      </c>
      <c r="C62" s="580" t="s">
        <v>5847</v>
      </c>
      <c r="D62" s="579" t="s">
        <v>119</v>
      </c>
      <c r="E62" s="2374" t="s">
        <v>2430</v>
      </c>
      <c r="F62" s="2374"/>
      <c r="G62" s="2374"/>
      <c r="H62" s="578">
        <v>5</v>
      </c>
      <c r="I62" s="577" t="str">
        <f t="shared" si="5"/>
        <v>7232-BLD-005</v>
      </c>
      <c r="J62" s="576" t="s">
        <v>5856</v>
      </c>
      <c r="K62" s="525" t="s">
        <v>5852</v>
      </c>
      <c r="L62" s="523" t="s">
        <v>154</v>
      </c>
      <c r="M62" s="519" t="s">
        <v>2969</v>
      </c>
      <c r="N62" s="560">
        <v>1</v>
      </c>
      <c r="O62" s="575"/>
      <c r="P62" s="564">
        <v>12</v>
      </c>
      <c r="Q62" s="564">
        <v>40</v>
      </c>
      <c r="R62" s="563"/>
      <c r="S62" s="498">
        <f t="shared" si="3"/>
        <v>480</v>
      </c>
      <c r="T62" s="498">
        <f t="shared" si="4"/>
        <v>480</v>
      </c>
      <c r="U62" s="498"/>
      <c r="V62" s="562" t="s">
        <v>5753</v>
      </c>
      <c r="W62" s="559" t="s">
        <v>5744</v>
      </c>
      <c r="X62" s="559" t="s">
        <v>5745</v>
      </c>
      <c r="Y62" s="561"/>
      <c r="Z62" s="561"/>
      <c r="AA62" s="561"/>
      <c r="AB62" s="561"/>
      <c r="AC62" s="561"/>
      <c r="AD62" s="560"/>
      <c r="AE62" s="519"/>
      <c r="AF62" s="559"/>
      <c r="AG62" s="557"/>
      <c r="AH62" s="557"/>
      <c r="AI62" s="559"/>
      <c r="AJ62" s="559"/>
      <c r="AK62" s="559"/>
      <c r="AL62" s="559"/>
      <c r="AM62" s="559"/>
      <c r="AN62" s="559"/>
      <c r="AO62" s="559"/>
      <c r="AP62" s="559" t="s">
        <v>154</v>
      </c>
      <c r="AQ62" s="559" t="s">
        <v>154</v>
      </c>
      <c r="AR62" s="559" t="s">
        <v>154</v>
      </c>
      <c r="AS62" s="559"/>
      <c r="AT62" s="567"/>
      <c r="AU62" s="559"/>
      <c r="AV62" s="559"/>
      <c r="AW62" s="559"/>
      <c r="AX62" s="573"/>
      <c r="AY62" s="573"/>
      <c r="AZ62" s="573"/>
      <c r="BA62" s="553"/>
      <c r="BB62" s="553"/>
      <c r="BC62" s="553"/>
      <c r="BD62" s="553"/>
      <c r="BE62" s="553"/>
      <c r="BF62" s="553"/>
      <c r="BG62" s="553"/>
      <c r="BH62" s="553"/>
      <c r="BI62" s="633" t="s">
        <v>5849</v>
      </c>
    </row>
    <row r="63" spans="1:61" s="552" customFormat="1" ht="24" customHeight="1">
      <c r="A63" s="528"/>
      <c r="B63" s="581">
        <v>7232</v>
      </c>
      <c r="C63" s="580" t="s">
        <v>5847</v>
      </c>
      <c r="D63" s="579" t="s">
        <v>119</v>
      </c>
      <c r="E63" s="2374" t="s">
        <v>2430</v>
      </c>
      <c r="F63" s="2374"/>
      <c r="G63" s="2374"/>
      <c r="H63" s="578">
        <v>6</v>
      </c>
      <c r="I63" s="577" t="str">
        <f t="shared" si="5"/>
        <v>7232-BLD-006</v>
      </c>
      <c r="J63" s="576" t="s">
        <v>5857</v>
      </c>
      <c r="K63" s="525" t="s">
        <v>5852</v>
      </c>
      <c r="L63" s="523" t="s">
        <v>154</v>
      </c>
      <c r="M63" s="519" t="s">
        <v>2969</v>
      </c>
      <c r="N63" s="560">
        <v>1</v>
      </c>
      <c r="O63" s="575"/>
      <c r="P63" s="564">
        <v>12</v>
      </c>
      <c r="Q63" s="564">
        <v>40</v>
      </c>
      <c r="R63" s="563"/>
      <c r="S63" s="498">
        <f t="shared" si="3"/>
        <v>480</v>
      </c>
      <c r="T63" s="498">
        <f t="shared" si="4"/>
        <v>480</v>
      </c>
      <c r="U63" s="498"/>
      <c r="V63" s="562" t="s">
        <v>5753</v>
      </c>
      <c r="W63" s="559" t="s">
        <v>5744</v>
      </c>
      <c r="X63" s="559" t="s">
        <v>5745</v>
      </c>
      <c r="Y63" s="561"/>
      <c r="Z63" s="561"/>
      <c r="AA63" s="561"/>
      <c r="AB63" s="561"/>
      <c r="AC63" s="561"/>
      <c r="AD63" s="560"/>
      <c r="AE63" s="519"/>
      <c r="AF63" s="559"/>
      <c r="AG63" s="557"/>
      <c r="AH63" s="557"/>
      <c r="AI63" s="559"/>
      <c r="AJ63" s="559"/>
      <c r="AK63" s="559"/>
      <c r="AL63" s="559"/>
      <c r="AM63" s="559"/>
      <c r="AN63" s="559"/>
      <c r="AO63" s="559"/>
      <c r="AP63" s="559" t="s">
        <v>154</v>
      </c>
      <c r="AQ63" s="559" t="s">
        <v>154</v>
      </c>
      <c r="AR63" s="559" t="s">
        <v>154</v>
      </c>
      <c r="AS63" s="559"/>
      <c r="AT63" s="567"/>
      <c r="AU63" s="559"/>
      <c r="AV63" s="559"/>
      <c r="AW63" s="559"/>
      <c r="AX63" s="573"/>
      <c r="AY63" s="573"/>
      <c r="AZ63" s="573"/>
      <c r="BA63" s="553"/>
      <c r="BB63" s="553"/>
      <c r="BC63" s="553"/>
      <c r="BD63" s="553"/>
      <c r="BE63" s="553"/>
      <c r="BF63" s="553"/>
      <c r="BG63" s="553"/>
      <c r="BH63" s="553"/>
      <c r="BI63" s="633" t="s">
        <v>5849</v>
      </c>
    </row>
    <row r="64" spans="1:61" ht="24" customHeight="1">
      <c r="A64" s="528"/>
      <c r="B64" s="506">
        <v>7232</v>
      </c>
      <c r="C64" s="505" t="s">
        <v>5847</v>
      </c>
      <c r="D64" s="504" t="s">
        <v>119</v>
      </c>
      <c r="E64" s="2369" t="s">
        <v>2430</v>
      </c>
      <c r="F64" s="2369"/>
      <c r="G64" s="2369"/>
      <c r="H64" s="503">
        <v>7</v>
      </c>
      <c r="I64" s="502" t="str">
        <f t="shared" si="5"/>
        <v>7232-BLD-007</v>
      </c>
      <c r="J64" s="501" t="s">
        <v>5858</v>
      </c>
      <c r="K64" s="501"/>
      <c r="L64" s="493" t="s">
        <v>4158</v>
      </c>
      <c r="M64" s="493" t="s">
        <v>2969</v>
      </c>
      <c r="N64" s="494">
        <v>1</v>
      </c>
      <c r="O64" s="529">
        <v>30</v>
      </c>
      <c r="P64" s="500">
        <v>12</v>
      </c>
      <c r="Q64" s="500">
        <v>60</v>
      </c>
      <c r="R64" s="499">
        <v>8</v>
      </c>
      <c r="S64" s="497">
        <f t="shared" si="3"/>
        <v>720</v>
      </c>
      <c r="T64" s="498">
        <f t="shared" si="4"/>
        <v>720</v>
      </c>
      <c r="U64" s="497" t="s">
        <v>5859</v>
      </c>
      <c r="V64" s="496" t="s">
        <v>5753</v>
      </c>
      <c r="W64" s="489" t="s">
        <v>5787</v>
      </c>
      <c r="X64" s="489" t="s">
        <v>5745</v>
      </c>
      <c r="Y64" s="495" t="s">
        <v>154</v>
      </c>
      <c r="Z64" s="495" t="s">
        <v>154</v>
      </c>
      <c r="AA64" s="490" t="s">
        <v>5747</v>
      </c>
      <c r="AB64" s="495" t="s">
        <v>154</v>
      </c>
      <c r="AC64" s="495" t="s">
        <v>154</v>
      </c>
      <c r="AD64" s="494">
        <v>22</v>
      </c>
      <c r="AE64" s="493" t="s">
        <v>5746</v>
      </c>
      <c r="AF64" s="489" t="s">
        <v>154</v>
      </c>
      <c r="AG64" s="489" t="s">
        <v>154</v>
      </c>
      <c r="AH64" s="489" t="s">
        <v>154</v>
      </c>
      <c r="AI64" s="489" t="s">
        <v>5755</v>
      </c>
      <c r="AJ64" s="489" t="s">
        <v>154</v>
      </c>
      <c r="AK64" s="489" t="s">
        <v>154</v>
      </c>
      <c r="AL64" s="489" t="s">
        <v>154</v>
      </c>
      <c r="AM64" s="491" t="s">
        <v>154</v>
      </c>
      <c r="AN64" s="492" t="s">
        <v>5747</v>
      </c>
      <c r="AO64" s="489" t="s">
        <v>2872</v>
      </c>
      <c r="AP64" s="489" t="s">
        <v>154</v>
      </c>
      <c r="AQ64" s="489" t="s">
        <v>154</v>
      </c>
      <c r="AR64" s="489" t="s">
        <v>154</v>
      </c>
      <c r="AS64" s="487"/>
      <c r="AT64" s="488"/>
      <c r="AU64" s="487"/>
      <c r="AV64" s="487"/>
      <c r="AW64" s="487"/>
      <c r="AX64" s="486"/>
      <c r="AY64" s="486"/>
      <c r="AZ64" s="486"/>
      <c r="BI64" s="485" t="s">
        <v>5849</v>
      </c>
    </row>
    <row r="65" spans="1:61" ht="24" customHeight="1">
      <c r="A65" s="528"/>
      <c r="B65" s="506">
        <v>7232</v>
      </c>
      <c r="C65" s="505" t="s">
        <v>5847</v>
      </c>
      <c r="D65" s="504" t="s">
        <v>119</v>
      </c>
      <c r="E65" s="2369" t="s">
        <v>2430</v>
      </c>
      <c r="F65" s="2369"/>
      <c r="G65" s="2369"/>
      <c r="H65" s="503">
        <v>8</v>
      </c>
      <c r="I65" s="502" t="str">
        <f t="shared" si="5"/>
        <v>7232-BLD-008</v>
      </c>
      <c r="J65" s="501" t="s">
        <v>5860</v>
      </c>
      <c r="K65" s="501"/>
      <c r="L65" s="493" t="s">
        <v>4158</v>
      </c>
      <c r="M65" s="493" t="s">
        <v>2969</v>
      </c>
      <c r="N65" s="494">
        <v>1</v>
      </c>
      <c r="O65" s="529">
        <v>30</v>
      </c>
      <c r="P65" s="500">
        <v>12</v>
      </c>
      <c r="Q65" s="500">
        <v>60</v>
      </c>
      <c r="R65" s="499">
        <v>8</v>
      </c>
      <c r="S65" s="497">
        <f t="shared" si="3"/>
        <v>720</v>
      </c>
      <c r="T65" s="498">
        <f t="shared" si="4"/>
        <v>720</v>
      </c>
      <c r="U65" s="497" t="s">
        <v>5859</v>
      </c>
      <c r="V65" s="496" t="s">
        <v>5753</v>
      </c>
      <c r="W65" s="489" t="s">
        <v>5787</v>
      </c>
      <c r="X65" s="489" t="s">
        <v>5745</v>
      </c>
      <c r="Y65" s="495" t="s">
        <v>154</v>
      </c>
      <c r="Z65" s="495" t="s">
        <v>154</v>
      </c>
      <c r="AA65" s="490" t="s">
        <v>5747</v>
      </c>
      <c r="AB65" s="495" t="s">
        <v>154</v>
      </c>
      <c r="AC65" s="495" t="s">
        <v>154</v>
      </c>
      <c r="AD65" s="494">
        <v>22</v>
      </c>
      <c r="AE65" s="493" t="s">
        <v>5746</v>
      </c>
      <c r="AF65" s="489" t="s">
        <v>154</v>
      </c>
      <c r="AG65" s="489" t="s">
        <v>154</v>
      </c>
      <c r="AH65" s="489" t="s">
        <v>154</v>
      </c>
      <c r="AI65" s="489" t="s">
        <v>5755</v>
      </c>
      <c r="AJ65" s="489" t="s">
        <v>154</v>
      </c>
      <c r="AK65" s="489" t="s">
        <v>154</v>
      </c>
      <c r="AL65" s="489" t="s">
        <v>154</v>
      </c>
      <c r="AM65" s="491" t="s">
        <v>154</v>
      </c>
      <c r="AN65" s="492" t="s">
        <v>5747</v>
      </c>
      <c r="AO65" s="489" t="s">
        <v>2872</v>
      </c>
      <c r="AP65" s="489" t="s">
        <v>154</v>
      </c>
      <c r="AQ65" s="489" t="s">
        <v>154</v>
      </c>
      <c r="AR65" s="489" t="s">
        <v>154</v>
      </c>
      <c r="AS65" s="487"/>
      <c r="AT65" s="488"/>
      <c r="AU65" s="487"/>
      <c r="AV65" s="487"/>
      <c r="AW65" s="487"/>
      <c r="AX65" s="486"/>
      <c r="AY65" s="486"/>
      <c r="AZ65" s="486"/>
      <c r="BI65" s="485" t="s">
        <v>5849</v>
      </c>
    </row>
    <row r="66" spans="1:61" ht="24" customHeight="1">
      <c r="A66" s="528"/>
      <c r="B66" s="506">
        <v>7232</v>
      </c>
      <c r="C66" s="505" t="s">
        <v>5847</v>
      </c>
      <c r="D66" s="504" t="s">
        <v>119</v>
      </c>
      <c r="E66" s="2369" t="s">
        <v>2430</v>
      </c>
      <c r="F66" s="2369"/>
      <c r="G66" s="2369"/>
      <c r="H66" s="503">
        <v>9</v>
      </c>
      <c r="I66" s="502" t="str">
        <f t="shared" si="5"/>
        <v>7232-BLD-009</v>
      </c>
      <c r="J66" s="501" t="s">
        <v>5861</v>
      </c>
      <c r="K66" s="501"/>
      <c r="L66" s="493" t="s">
        <v>4158</v>
      </c>
      <c r="M66" s="493" t="s">
        <v>2969</v>
      </c>
      <c r="N66" s="494">
        <v>1</v>
      </c>
      <c r="O66" s="529">
        <v>9</v>
      </c>
      <c r="P66" s="500">
        <v>12</v>
      </c>
      <c r="Q66" s="500">
        <v>32</v>
      </c>
      <c r="R66" s="499">
        <v>8</v>
      </c>
      <c r="S66" s="497">
        <f t="shared" si="3"/>
        <v>384</v>
      </c>
      <c r="T66" s="498">
        <f t="shared" si="4"/>
        <v>384</v>
      </c>
      <c r="U66" s="497" t="s">
        <v>5791</v>
      </c>
      <c r="V66" s="496" t="s">
        <v>5753</v>
      </c>
      <c r="W66" s="489" t="s">
        <v>5787</v>
      </c>
      <c r="X66" s="489" t="s">
        <v>5745</v>
      </c>
      <c r="Y66" s="495" t="s">
        <v>154</v>
      </c>
      <c r="Z66" s="490" t="s">
        <v>5747</v>
      </c>
      <c r="AA66" s="495" t="s">
        <v>154</v>
      </c>
      <c r="AB66" s="495" t="s">
        <v>154</v>
      </c>
      <c r="AC66" s="495" t="s">
        <v>154</v>
      </c>
      <c r="AD66" s="494">
        <v>22</v>
      </c>
      <c r="AE66" s="493" t="s">
        <v>5746</v>
      </c>
      <c r="AF66" s="489" t="s">
        <v>154</v>
      </c>
      <c r="AG66" s="489" t="s">
        <v>154</v>
      </c>
      <c r="AH66" s="489" t="s">
        <v>5754</v>
      </c>
      <c r="AI66" s="489" t="s">
        <v>154</v>
      </c>
      <c r="AJ66" s="489" t="s">
        <v>5754</v>
      </c>
      <c r="AK66" s="489" t="s">
        <v>154</v>
      </c>
      <c r="AL66" s="489" t="s">
        <v>154</v>
      </c>
      <c r="AM66" s="491" t="s">
        <v>154</v>
      </c>
      <c r="AN66" s="492" t="s">
        <v>5747</v>
      </c>
      <c r="AO66" s="489" t="s">
        <v>2872</v>
      </c>
      <c r="AP66" s="489" t="s">
        <v>154</v>
      </c>
      <c r="AQ66" s="489" t="s">
        <v>154</v>
      </c>
      <c r="AR66" s="489" t="s">
        <v>154</v>
      </c>
      <c r="AS66" s="487"/>
      <c r="AT66" s="488"/>
      <c r="AU66" s="487"/>
      <c r="AV66" s="487"/>
      <c r="AW66" s="487"/>
      <c r="AX66" s="486"/>
      <c r="AY66" s="486"/>
      <c r="AZ66" s="486"/>
      <c r="BI66" s="485" t="s">
        <v>5849</v>
      </c>
    </row>
    <row r="67" spans="1:61" ht="24" customHeight="1">
      <c r="A67" s="528"/>
      <c r="B67" s="506">
        <v>7232</v>
      </c>
      <c r="C67" s="505" t="s">
        <v>5847</v>
      </c>
      <c r="D67" s="504" t="s">
        <v>119</v>
      </c>
      <c r="E67" s="2369" t="s">
        <v>2430</v>
      </c>
      <c r="F67" s="2369"/>
      <c r="G67" s="2369"/>
      <c r="H67" s="503">
        <v>10</v>
      </c>
      <c r="I67" s="502" t="str">
        <f t="shared" si="5"/>
        <v>7232-BLD-010</v>
      </c>
      <c r="J67" s="501" t="s">
        <v>5862</v>
      </c>
      <c r="K67" s="501"/>
      <c r="L67" s="493" t="s">
        <v>4158</v>
      </c>
      <c r="M67" s="493" t="s">
        <v>2969</v>
      </c>
      <c r="N67" s="494">
        <v>1</v>
      </c>
      <c r="O67" s="529">
        <v>9</v>
      </c>
      <c r="P67" s="500">
        <v>12</v>
      </c>
      <c r="Q67" s="500">
        <v>32</v>
      </c>
      <c r="R67" s="499">
        <v>8</v>
      </c>
      <c r="S67" s="497">
        <f t="shared" si="3"/>
        <v>384</v>
      </c>
      <c r="T67" s="498">
        <f t="shared" si="4"/>
        <v>384</v>
      </c>
      <c r="U67" s="497" t="s">
        <v>5791</v>
      </c>
      <c r="V67" s="496" t="s">
        <v>5753</v>
      </c>
      <c r="W67" s="489" t="s">
        <v>5787</v>
      </c>
      <c r="X67" s="489" t="s">
        <v>5745</v>
      </c>
      <c r="Y67" s="495" t="s">
        <v>154</v>
      </c>
      <c r="Z67" s="490" t="s">
        <v>5747</v>
      </c>
      <c r="AA67" s="495" t="s">
        <v>154</v>
      </c>
      <c r="AB67" s="495" t="s">
        <v>154</v>
      </c>
      <c r="AC67" s="495" t="s">
        <v>154</v>
      </c>
      <c r="AD67" s="494">
        <v>22</v>
      </c>
      <c r="AE67" s="493" t="s">
        <v>5746</v>
      </c>
      <c r="AF67" s="489" t="s">
        <v>154</v>
      </c>
      <c r="AG67" s="489" t="s">
        <v>154</v>
      </c>
      <c r="AH67" s="489" t="s">
        <v>5754</v>
      </c>
      <c r="AI67" s="489" t="s">
        <v>154</v>
      </c>
      <c r="AJ67" s="489" t="s">
        <v>5754</v>
      </c>
      <c r="AK67" s="489" t="s">
        <v>154</v>
      </c>
      <c r="AL67" s="489" t="s">
        <v>154</v>
      </c>
      <c r="AM67" s="491" t="s">
        <v>154</v>
      </c>
      <c r="AN67" s="492" t="s">
        <v>5747</v>
      </c>
      <c r="AO67" s="489" t="s">
        <v>2872</v>
      </c>
      <c r="AP67" s="489" t="s">
        <v>154</v>
      </c>
      <c r="AQ67" s="489" t="s">
        <v>154</v>
      </c>
      <c r="AR67" s="489" t="s">
        <v>154</v>
      </c>
      <c r="AS67" s="487"/>
      <c r="AT67" s="488"/>
      <c r="AU67" s="487"/>
      <c r="AV67" s="487"/>
      <c r="AW67" s="487"/>
      <c r="AX67" s="486"/>
      <c r="AY67" s="486"/>
      <c r="AZ67" s="486"/>
      <c r="BI67" s="485" t="s">
        <v>5849</v>
      </c>
    </row>
    <row r="68" spans="1:61" ht="24" customHeight="1">
      <c r="A68" s="507"/>
      <c r="B68" s="506">
        <v>7232</v>
      </c>
      <c r="C68" s="505" t="s">
        <v>5847</v>
      </c>
      <c r="D68" s="504" t="s">
        <v>119</v>
      </c>
      <c r="E68" s="2369" t="s">
        <v>2430</v>
      </c>
      <c r="F68" s="2369"/>
      <c r="G68" s="2369"/>
      <c r="H68" s="503">
        <v>11</v>
      </c>
      <c r="I68" s="502" t="str">
        <f t="shared" si="5"/>
        <v>7232-BLD-011</v>
      </c>
      <c r="J68" s="501" t="s">
        <v>5863</v>
      </c>
      <c r="K68" s="501"/>
      <c r="L68" s="493" t="s">
        <v>4158</v>
      </c>
      <c r="M68" s="493" t="s">
        <v>2969</v>
      </c>
      <c r="N68" s="494">
        <v>1</v>
      </c>
      <c r="O68" s="529">
        <v>10</v>
      </c>
      <c r="P68" s="500">
        <v>8</v>
      </c>
      <c r="Q68" s="500">
        <v>20</v>
      </c>
      <c r="R68" s="499">
        <v>8</v>
      </c>
      <c r="S68" s="497">
        <f t="shared" si="3"/>
        <v>160</v>
      </c>
      <c r="T68" s="498">
        <f t="shared" si="4"/>
        <v>160</v>
      </c>
      <c r="U68" s="497" t="s">
        <v>5859</v>
      </c>
      <c r="V68" s="496" t="s">
        <v>5743</v>
      </c>
      <c r="W68" s="489" t="s">
        <v>5744</v>
      </c>
      <c r="X68" s="489" t="s">
        <v>5745</v>
      </c>
      <c r="Y68" s="495" t="s">
        <v>154</v>
      </c>
      <c r="Z68" s="495" t="s">
        <v>154</v>
      </c>
      <c r="AA68" s="495" t="s">
        <v>154</v>
      </c>
      <c r="AB68" s="495" t="s">
        <v>154</v>
      </c>
      <c r="AC68" s="495" t="s">
        <v>154</v>
      </c>
      <c r="AD68" s="494">
        <v>22</v>
      </c>
      <c r="AE68" s="495" t="s">
        <v>5746</v>
      </c>
      <c r="AF68" s="492" t="s">
        <v>5747</v>
      </c>
      <c r="AG68" s="491" t="s">
        <v>154</v>
      </c>
      <c r="AH68" s="491" t="s">
        <v>154</v>
      </c>
      <c r="AI68" s="489" t="s">
        <v>154</v>
      </c>
      <c r="AJ68" s="489" t="s">
        <v>154</v>
      </c>
      <c r="AK68" s="489" t="s">
        <v>154</v>
      </c>
      <c r="AL68" s="491" t="s">
        <v>154</v>
      </c>
      <c r="AM68" s="491" t="s">
        <v>154</v>
      </c>
      <c r="AN68" s="491" t="s">
        <v>154</v>
      </c>
      <c r="AO68" s="489" t="s">
        <v>2872</v>
      </c>
      <c r="AP68" s="489" t="s">
        <v>154</v>
      </c>
      <c r="AQ68" s="489" t="s">
        <v>154</v>
      </c>
      <c r="AR68" s="489" t="s">
        <v>154</v>
      </c>
      <c r="AS68" s="487"/>
      <c r="AT68" s="488"/>
      <c r="AU68" s="487"/>
      <c r="AV68" s="487"/>
      <c r="AW68" s="487"/>
      <c r="AX68" s="486"/>
      <c r="AY68" s="486"/>
      <c r="AZ68" s="486"/>
      <c r="BI68" s="485" t="s">
        <v>5849</v>
      </c>
    </row>
    <row r="69" spans="1:61" s="508" customFormat="1" ht="24" customHeight="1">
      <c r="A69" s="528"/>
      <c r="B69" s="522">
        <v>7234</v>
      </c>
      <c r="C69" s="505" t="s">
        <v>5847</v>
      </c>
      <c r="D69" s="504" t="s">
        <v>119</v>
      </c>
      <c r="E69" s="2369" t="s">
        <v>2430</v>
      </c>
      <c r="F69" s="2369"/>
      <c r="G69" s="2369"/>
      <c r="H69" s="527">
        <v>1</v>
      </c>
      <c r="I69" s="526" t="str">
        <f t="shared" si="5"/>
        <v>7234-BLD-001</v>
      </c>
      <c r="J69" s="525" t="s">
        <v>5864</v>
      </c>
      <c r="K69" s="524"/>
      <c r="L69" s="519" t="s">
        <v>5865</v>
      </c>
      <c r="M69" s="523"/>
      <c r="N69" s="522">
        <v>1</v>
      </c>
      <c r="O69" s="522" t="s">
        <v>5765</v>
      </c>
      <c r="P69" s="521"/>
      <c r="Q69" s="521"/>
      <c r="R69" s="521"/>
      <c r="S69" s="520"/>
      <c r="T69" s="520"/>
      <c r="U69" s="520"/>
      <c r="V69" s="519" t="s">
        <v>5866</v>
      </c>
      <c r="W69" s="518" t="s">
        <v>5744</v>
      </c>
      <c r="X69" s="518" t="s">
        <v>5836</v>
      </c>
      <c r="Y69" s="517"/>
      <c r="Z69" s="517"/>
      <c r="AA69" s="517"/>
      <c r="AB69" s="517"/>
      <c r="AC69" s="517"/>
      <c r="AD69" s="516"/>
      <c r="AE69" s="515"/>
      <c r="AF69" s="514"/>
      <c r="AG69" s="512"/>
      <c r="AH69" s="512"/>
      <c r="AI69" s="514"/>
      <c r="AJ69" s="514"/>
      <c r="AK69" s="514"/>
      <c r="AL69" s="514"/>
      <c r="AM69" s="514"/>
      <c r="AN69" s="514"/>
      <c r="AO69" s="514"/>
      <c r="AP69" s="512"/>
      <c r="AQ69" s="514"/>
      <c r="AR69" s="512"/>
      <c r="AS69" s="512"/>
      <c r="AT69" s="513"/>
      <c r="AU69" s="512"/>
      <c r="AV69" s="512"/>
      <c r="AW69" s="512"/>
      <c r="AX69" s="511"/>
      <c r="AY69" s="511"/>
      <c r="AZ69" s="511"/>
      <c r="BA69" s="510"/>
      <c r="BB69" s="510"/>
      <c r="BC69" s="510"/>
      <c r="BD69" s="510"/>
      <c r="BE69" s="510"/>
      <c r="BF69" s="510"/>
      <c r="BG69" s="510"/>
      <c r="BH69" s="510"/>
      <c r="BI69" s="509"/>
    </row>
    <row r="70" spans="1:61" s="508" customFormat="1" ht="35.25" customHeight="1">
      <c r="A70" s="528"/>
      <c r="B70" s="522">
        <v>7234</v>
      </c>
      <c r="C70" s="505" t="s">
        <v>5847</v>
      </c>
      <c r="D70" s="504" t="s">
        <v>119</v>
      </c>
      <c r="E70" s="2369" t="s">
        <v>2430</v>
      </c>
      <c r="F70" s="2369"/>
      <c r="G70" s="2369"/>
      <c r="H70" s="527">
        <v>2</v>
      </c>
      <c r="I70" s="526" t="str">
        <f t="shared" si="5"/>
        <v>7234-BLD-002</v>
      </c>
      <c r="J70" s="525" t="s">
        <v>5867</v>
      </c>
      <c r="K70" s="525" t="s">
        <v>5868</v>
      </c>
      <c r="L70" s="523" t="s">
        <v>154</v>
      </c>
      <c r="M70" s="523"/>
      <c r="N70" s="522">
        <v>1</v>
      </c>
      <c r="O70" s="522" t="s">
        <v>5765</v>
      </c>
      <c r="P70" s="521"/>
      <c r="Q70" s="521"/>
      <c r="R70" s="521"/>
      <c r="S70" s="520"/>
      <c r="T70" s="520"/>
      <c r="U70" s="520"/>
      <c r="V70" s="519" t="s">
        <v>5866</v>
      </c>
      <c r="W70" s="518" t="s">
        <v>5744</v>
      </c>
      <c r="X70" s="518" t="s">
        <v>5836</v>
      </c>
      <c r="Y70" s="517"/>
      <c r="Z70" s="517"/>
      <c r="AA70" s="517"/>
      <c r="AB70" s="517"/>
      <c r="AC70" s="517"/>
      <c r="AD70" s="516"/>
      <c r="AE70" s="515"/>
      <c r="AF70" s="514"/>
      <c r="AG70" s="512"/>
      <c r="AH70" s="512"/>
      <c r="AI70" s="514"/>
      <c r="AJ70" s="514"/>
      <c r="AK70" s="514"/>
      <c r="AL70" s="514"/>
      <c r="AM70" s="514"/>
      <c r="AN70" s="514"/>
      <c r="AO70" s="514"/>
      <c r="AP70" s="512"/>
      <c r="AQ70" s="514"/>
      <c r="AR70" s="512"/>
      <c r="AS70" s="512"/>
      <c r="AT70" s="513"/>
      <c r="AU70" s="512"/>
      <c r="AV70" s="512"/>
      <c r="AW70" s="512"/>
      <c r="AX70" s="511"/>
      <c r="AY70" s="511"/>
      <c r="AZ70" s="511"/>
      <c r="BA70" s="510"/>
      <c r="BB70" s="510"/>
      <c r="BC70" s="510"/>
      <c r="BD70" s="510"/>
      <c r="BE70" s="510"/>
      <c r="BF70" s="510"/>
      <c r="BG70" s="510"/>
      <c r="BH70" s="510"/>
      <c r="BI70" s="509"/>
    </row>
    <row r="71" spans="1:61" s="552" customFormat="1" ht="24" customHeight="1">
      <c r="A71" s="528"/>
      <c r="B71" s="522">
        <v>7235</v>
      </c>
      <c r="C71" s="566" t="s">
        <v>5847</v>
      </c>
      <c r="D71" s="565" t="s">
        <v>119</v>
      </c>
      <c r="E71" s="2371" t="s">
        <v>2430</v>
      </c>
      <c r="F71" s="2371"/>
      <c r="G71" s="2371"/>
      <c r="H71" s="527">
        <v>1</v>
      </c>
      <c r="I71" s="526" t="str">
        <f t="shared" si="5"/>
        <v>7235-BLD-001</v>
      </c>
      <c r="J71" s="525" t="s">
        <v>5869</v>
      </c>
      <c r="K71" s="525" t="s">
        <v>5870</v>
      </c>
      <c r="L71" s="519" t="s">
        <v>5840</v>
      </c>
      <c r="M71" s="523" t="s">
        <v>154</v>
      </c>
      <c r="N71" s="560">
        <v>1</v>
      </c>
      <c r="O71" s="575"/>
      <c r="P71" s="564">
        <v>40</v>
      </c>
      <c r="Q71" s="564">
        <v>60</v>
      </c>
      <c r="R71" s="563"/>
      <c r="S71" s="498">
        <f t="shared" ref="S71:S91" si="6">PRODUCT(Q71,P71)</f>
        <v>2400</v>
      </c>
      <c r="T71" s="498">
        <f t="shared" ref="T71:T91" si="7">S71</f>
        <v>2400</v>
      </c>
      <c r="U71" s="498"/>
      <c r="V71" s="562" t="s">
        <v>5866</v>
      </c>
      <c r="W71" s="559" t="s">
        <v>5793</v>
      </c>
      <c r="X71" s="559" t="s">
        <v>5836</v>
      </c>
      <c r="Y71" s="561"/>
      <c r="Z71" s="561"/>
      <c r="AA71" s="561"/>
      <c r="AB71" s="561"/>
      <c r="AC71" s="561"/>
      <c r="AD71" s="560"/>
      <c r="AE71" s="519"/>
      <c r="AF71" s="559"/>
      <c r="AG71" s="557"/>
      <c r="AH71" s="557"/>
      <c r="AI71" s="559"/>
      <c r="AJ71" s="559"/>
      <c r="AK71" s="559"/>
      <c r="AL71" s="559"/>
      <c r="AM71" s="559"/>
      <c r="AN71" s="559"/>
      <c r="AO71" s="559"/>
      <c r="AP71" s="557"/>
      <c r="AQ71" s="559" t="s">
        <v>154</v>
      </c>
      <c r="AR71" s="557"/>
      <c r="AS71" s="557"/>
      <c r="AT71" s="558"/>
      <c r="AU71" s="557"/>
      <c r="AV71" s="557"/>
      <c r="AW71" s="557"/>
      <c r="AX71" s="573"/>
      <c r="AY71" s="573"/>
      <c r="AZ71" s="573"/>
      <c r="BA71" s="553"/>
      <c r="BB71" s="553"/>
      <c r="BC71" s="553"/>
      <c r="BD71" s="553"/>
      <c r="BE71" s="553"/>
      <c r="BF71" s="553"/>
      <c r="BG71" s="553"/>
      <c r="BH71" s="553"/>
      <c r="BI71" s="633" t="s">
        <v>5849</v>
      </c>
    </row>
    <row r="72" spans="1:61" ht="24" customHeight="1">
      <c r="A72" s="507"/>
      <c r="B72" s="506">
        <v>7235</v>
      </c>
      <c r="C72" s="505" t="s">
        <v>5847</v>
      </c>
      <c r="D72" s="504" t="s">
        <v>119</v>
      </c>
      <c r="E72" s="2369" t="s">
        <v>2430</v>
      </c>
      <c r="F72" s="2369"/>
      <c r="G72" s="2369"/>
      <c r="H72" s="503">
        <v>2</v>
      </c>
      <c r="I72" s="502" t="str">
        <f t="shared" si="5"/>
        <v>7235-BLD-002</v>
      </c>
      <c r="J72" s="501" t="s">
        <v>5871</v>
      </c>
      <c r="K72" s="501"/>
      <c r="L72" s="493" t="s">
        <v>5025</v>
      </c>
      <c r="M72" s="493" t="s">
        <v>2969</v>
      </c>
      <c r="N72" s="494">
        <v>1</v>
      </c>
      <c r="O72" s="529">
        <v>5</v>
      </c>
      <c r="P72" s="500">
        <v>40</v>
      </c>
      <c r="Q72" s="500">
        <v>100</v>
      </c>
      <c r="R72" s="499">
        <v>25</v>
      </c>
      <c r="S72" s="497">
        <f t="shared" si="6"/>
        <v>4000</v>
      </c>
      <c r="T72" s="498">
        <f t="shared" si="7"/>
        <v>4000</v>
      </c>
      <c r="U72" s="497" t="s">
        <v>5791</v>
      </c>
      <c r="V72" s="496" t="s">
        <v>5792</v>
      </c>
      <c r="W72" s="489" t="s">
        <v>5793</v>
      </c>
      <c r="X72" s="489" t="s">
        <v>5836</v>
      </c>
      <c r="Y72" s="495" t="s">
        <v>154</v>
      </c>
      <c r="Z72" s="495" t="s">
        <v>154</v>
      </c>
      <c r="AA72" s="495" t="s">
        <v>154</v>
      </c>
      <c r="AB72" s="495" t="s">
        <v>154</v>
      </c>
      <c r="AC72" s="495" t="s">
        <v>154</v>
      </c>
      <c r="AD72" s="494">
        <v>22</v>
      </c>
      <c r="AE72" s="493" t="s">
        <v>5756</v>
      </c>
      <c r="AF72" s="492" t="s">
        <v>5747</v>
      </c>
      <c r="AG72" s="491" t="s">
        <v>154</v>
      </c>
      <c r="AH72" s="491" t="s">
        <v>154</v>
      </c>
      <c r="AI72" s="489" t="s">
        <v>154</v>
      </c>
      <c r="AJ72" s="489" t="s">
        <v>154</v>
      </c>
      <c r="AK72" s="489" t="s">
        <v>154</v>
      </c>
      <c r="AL72" s="491" t="s">
        <v>154</v>
      </c>
      <c r="AM72" s="491" t="s">
        <v>154</v>
      </c>
      <c r="AN72" s="492" t="s">
        <v>5747</v>
      </c>
      <c r="AO72" s="489" t="s">
        <v>3454</v>
      </c>
      <c r="AP72" s="489" t="s">
        <v>154</v>
      </c>
      <c r="AQ72" s="489" t="s">
        <v>5756</v>
      </c>
      <c r="AR72" s="489" t="s">
        <v>154</v>
      </c>
      <c r="AS72" s="487">
        <v>2</v>
      </c>
      <c r="AT72" s="488"/>
      <c r="AU72" s="487"/>
      <c r="AV72" s="487"/>
      <c r="AW72" s="487"/>
      <c r="AX72" s="486"/>
      <c r="AY72" s="486"/>
      <c r="AZ72" s="486"/>
      <c r="BI72" s="485" t="s">
        <v>5849</v>
      </c>
    </row>
    <row r="73" spans="1:61" ht="24" customHeight="1">
      <c r="A73" s="507"/>
      <c r="B73" s="506">
        <v>7235</v>
      </c>
      <c r="C73" s="505" t="s">
        <v>5847</v>
      </c>
      <c r="D73" s="504" t="s">
        <v>119</v>
      </c>
      <c r="E73" s="2369" t="s">
        <v>2430</v>
      </c>
      <c r="F73" s="2369"/>
      <c r="G73" s="2369"/>
      <c r="H73" s="503">
        <v>3</v>
      </c>
      <c r="I73" s="502" t="str">
        <f t="shared" si="5"/>
        <v>7235-BLD-003</v>
      </c>
      <c r="J73" s="501" t="s">
        <v>5872</v>
      </c>
      <c r="K73" s="501"/>
      <c r="L73" s="493" t="s">
        <v>5025</v>
      </c>
      <c r="M73" s="493" t="s">
        <v>2969</v>
      </c>
      <c r="N73" s="494">
        <v>1</v>
      </c>
      <c r="O73" s="529">
        <v>2</v>
      </c>
      <c r="P73" s="500">
        <v>40</v>
      </c>
      <c r="Q73" s="500">
        <v>100</v>
      </c>
      <c r="R73" s="499">
        <v>25</v>
      </c>
      <c r="S73" s="497">
        <f t="shared" si="6"/>
        <v>4000</v>
      </c>
      <c r="T73" s="498">
        <f t="shared" si="7"/>
        <v>4000</v>
      </c>
      <c r="U73" s="497" t="s">
        <v>5791</v>
      </c>
      <c r="V73" s="496" t="s">
        <v>5792</v>
      </c>
      <c r="W73" s="489" t="s">
        <v>5793</v>
      </c>
      <c r="X73" s="489" t="s">
        <v>5836</v>
      </c>
      <c r="Y73" s="495" t="s">
        <v>154</v>
      </c>
      <c r="Z73" s="495" t="s">
        <v>154</v>
      </c>
      <c r="AA73" s="495" t="s">
        <v>154</v>
      </c>
      <c r="AB73" s="495" t="s">
        <v>154</v>
      </c>
      <c r="AC73" s="495" t="s">
        <v>154</v>
      </c>
      <c r="AD73" s="494" t="s">
        <v>5833</v>
      </c>
      <c r="AE73" s="493" t="s">
        <v>154</v>
      </c>
      <c r="AF73" s="489" t="s">
        <v>154</v>
      </c>
      <c r="AG73" s="491" t="s">
        <v>154</v>
      </c>
      <c r="AH73" s="491" t="s">
        <v>154</v>
      </c>
      <c r="AI73" s="489" t="s">
        <v>154</v>
      </c>
      <c r="AJ73" s="489" t="s">
        <v>154</v>
      </c>
      <c r="AK73" s="489" t="s">
        <v>154</v>
      </c>
      <c r="AL73" s="491" t="s">
        <v>154</v>
      </c>
      <c r="AM73" s="491" t="s">
        <v>154</v>
      </c>
      <c r="AN73" s="492" t="s">
        <v>5747</v>
      </c>
      <c r="AO73" s="489" t="s">
        <v>3454</v>
      </c>
      <c r="AP73" s="489" t="s">
        <v>154</v>
      </c>
      <c r="AQ73" s="489" t="s">
        <v>154</v>
      </c>
      <c r="AR73" s="489" t="s">
        <v>154</v>
      </c>
      <c r="AS73" s="487"/>
      <c r="AT73" s="488"/>
      <c r="AU73" s="487"/>
      <c r="AV73" s="487"/>
      <c r="AW73" s="487"/>
      <c r="AX73" s="486"/>
      <c r="AY73" s="486"/>
      <c r="AZ73" s="486"/>
      <c r="BI73" s="485" t="s">
        <v>5849</v>
      </c>
    </row>
    <row r="74" spans="1:61" ht="24" customHeight="1" thickBot="1">
      <c r="A74" s="1914"/>
      <c r="B74" s="1915">
        <v>7251</v>
      </c>
      <c r="C74" s="1916" t="s">
        <v>5847</v>
      </c>
      <c r="D74" s="1917" t="s">
        <v>119</v>
      </c>
      <c r="E74" s="2375" t="s">
        <v>2569</v>
      </c>
      <c r="F74" s="2375"/>
      <c r="G74" s="2375"/>
      <c r="H74" s="1918">
        <v>1</v>
      </c>
      <c r="I74" s="1919" t="str">
        <f t="shared" si="5"/>
        <v>7251-BLD-001</v>
      </c>
      <c r="J74" s="1920" t="s">
        <v>5873</v>
      </c>
      <c r="K74" s="1920"/>
      <c r="L74" s="1921" t="s">
        <v>5025</v>
      </c>
      <c r="M74" s="1921" t="s">
        <v>2969</v>
      </c>
      <c r="N74" s="1922">
        <v>1</v>
      </c>
      <c r="O74" s="1923">
        <v>5</v>
      </c>
      <c r="P74" s="1924">
        <v>60</v>
      </c>
      <c r="Q74" s="1924">
        <v>120</v>
      </c>
      <c r="R74" s="1925">
        <v>20</v>
      </c>
      <c r="S74" s="1926">
        <f t="shared" si="6"/>
        <v>7200</v>
      </c>
      <c r="T74" s="1927">
        <f t="shared" si="7"/>
        <v>7200</v>
      </c>
      <c r="U74" s="1926" t="s">
        <v>5791</v>
      </c>
      <c r="V74" s="1928" t="s">
        <v>5792</v>
      </c>
      <c r="W74" s="1929" t="s">
        <v>5793</v>
      </c>
      <c r="X74" s="1929" t="s">
        <v>5836</v>
      </c>
      <c r="Y74" s="1930" t="s">
        <v>154</v>
      </c>
      <c r="Z74" s="1930" t="s">
        <v>154</v>
      </c>
      <c r="AA74" s="1930" t="s">
        <v>154</v>
      </c>
      <c r="AB74" s="1930" t="s">
        <v>154</v>
      </c>
      <c r="AC74" s="1930" t="s">
        <v>154</v>
      </c>
      <c r="AD74" s="1922">
        <v>22</v>
      </c>
      <c r="AE74" s="1921" t="s">
        <v>5756</v>
      </c>
      <c r="AF74" s="1931" t="s">
        <v>5747</v>
      </c>
      <c r="AG74" s="1932" t="s">
        <v>154</v>
      </c>
      <c r="AH74" s="1932" t="s">
        <v>154</v>
      </c>
      <c r="AI74" s="1929" t="s">
        <v>154</v>
      </c>
      <c r="AJ74" s="1929" t="s">
        <v>154</v>
      </c>
      <c r="AK74" s="1929" t="s">
        <v>154</v>
      </c>
      <c r="AL74" s="1932" t="s">
        <v>154</v>
      </c>
      <c r="AM74" s="1932" t="s">
        <v>154</v>
      </c>
      <c r="AN74" s="1931" t="s">
        <v>5747</v>
      </c>
      <c r="AO74" s="1929" t="s">
        <v>2872</v>
      </c>
      <c r="AP74" s="1929" t="s">
        <v>154</v>
      </c>
      <c r="AQ74" s="1929" t="s">
        <v>154</v>
      </c>
      <c r="AR74" s="1929" t="s">
        <v>154</v>
      </c>
      <c r="AS74" s="487"/>
      <c r="AT74" s="488"/>
      <c r="AU74" s="487"/>
      <c r="AV74" s="487"/>
      <c r="AW74" s="487"/>
      <c r="AX74" s="486"/>
      <c r="AY74" s="486"/>
      <c r="AZ74" s="486"/>
      <c r="BI74" s="485" t="s">
        <v>5849</v>
      </c>
    </row>
    <row r="75" spans="1:61" s="552" customFormat="1" ht="24" customHeight="1" thickTop="1">
      <c r="A75" s="551"/>
      <c r="B75" s="627">
        <v>3111</v>
      </c>
      <c r="C75" s="626" t="s">
        <v>1072</v>
      </c>
      <c r="D75" s="625" t="s">
        <v>120</v>
      </c>
      <c r="E75" s="2376" t="s">
        <v>122</v>
      </c>
      <c r="F75" s="2376"/>
      <c r="G75" s="2376"/>
      <c r="H75" s="624">
        <v>1</v>
      </c>
      <c r="I75" s="623" t="str">
        <f t="shared" si="5"/>
        <v>3111-BLD-001</v>
      </c>
      <c r="J75" s="622" t="s">
        <v>5874</v>
      </c>
      <c r="K75" s="622"/>
      <c r="L75" s="621" t="s">
        <v>5742</v>
      </c>
      <c r="M75" s="621" t="s">
        <v>2969</v>
      </c>
      <c r="N75" s="617">
        <v>1</v>
      </c>
      <c r="O75" s="617" t="s">
        <v>154</v>
      </c>
      <c r="P75" s="620">
        <v>8</v>
      </c>
      <c r="Q75" s="620">
        <v>20</v>
      </c>
      <c r="R75" s="619">
        <v>8</v>
      </c>
      <c r="S75" s="541">
        <f t="shared" si="6"/>
        <v>160</v>
      </c>
      <c r="T75" s="541">
        <f t="shared" si="7"/>
        <v>160</v>
      </c>
      <c r="U75" s="541"/>
      <c r="V75" s="618" t="s">
        <v>5743</v>
      </c>
      <c r="W75" s="614" t="s">
        <v>5744</v>
      </c>
      <c r="X75" s="614" t="s">
        <v>5745</v>
      </c>
      <c r="Y75" s="616" t="s">
        <v>154</v>
      </c>
      <c r="Z75" s="616" t="s">
        <v>154</v>
      </c>
      <c r="AA75" s="616" t="s">
        <v>154</v>
      </c>
      <c r="AB75" s="616" t="s">
        <v>154</v>
      </c>
      <c r="AC75" s="616" t="s">
        <v>154</v>
      </c>
      <c r="AD75" s="617">
        <v>5</v>
      </c>
      <c r="AE75" s="616" t="s">
        <v>5746</v>
      </c>
      <c r="AF75" s="538" t="s">
        <v>5747</v>
      </c>
      <c r="AG75" s="615" t="s">
        <v>154</v>
      </c>
      <c r="AH75" s="615" t="s">
        <v>154</v>
      </c>
      <c r="AI75" s="614" t="s">
        <v>154</v>
      </c>
      <c r="AJ75" s="614" t="s">
        <v>154</v>
      </c>
      <c r="AK75" s="614" t="s">
        <v>154</v>
      </c>
      <c r="AL75" s="615" t="s">
        <v>154</v>
      </c>
      <c r="AM75" s="615" t="s">
        <v>154</v>
      </c>
      <c r="AN75" s="538" t="s">
        <v>5747</v>
      </c>
      <c r="AO75" s="614" t="s">
        <v>2872</v>
      </c>
      <c r="AP75" s="614" t="s">
        <v>5748</v>
      </c>
      <c r="AQ75" s="614" t="s">
        <v>154</v>
      </c>
      <c r="AR75" s="614" t="s">
        <v>154</v>
      </c>
      <c r="AS75" s="559"/>
      <c r="AT75" s="567"/>
      <c r="AU75" s="559"/>
      <c r="AV75" s="559"/>
      <c r="AW75" s="559"/>
      <c r="AX75" s="555"/>
      <c r="AY75" s="555"/>
      <c r="AZ75" s="555"/>
      <c r="BA75" s="554"/>
      <c r="BB75" s="554"/>
      <c r="BC75" s="554"/>
      <c r="BD75" s="554"/>
      <c r="BE75" s="554"/>
      <c r="BF75" s="554"/>
      <c r="BG75" s="554"/>
      <c r="BH75" s="554">
        <v>1</v>
      </c>
      <c r="BI75" s="574"/>
    </row>
    <row r="76" spans="1:61" s="552" customFormat="1" ht="24" customHeight="1">
      <c r="A76" s="528"/>
      <c r="B76" s="522">
        <v>3111</v>
      </c>
      <c r="C76" s="566" t="s">
        <v>1072</v>
      </c>
      <c r="D76" s="565" t="s">
        <v>120</v>
      </c>
      <c r="E76" s="2371" t="s">
        <v>122</v>
      </c>
      <c r="F76" s="2371"/>
      <c r="G76" s="2371"/>
      <c r="H76" s="527">
        <v>2</v>
      </c>
      <c r="I76" s="526" t="str">
        <f t="shared" si="5"/>
        <v>3111-BLD-002</v>
      </c>
      <c r="J76" s="525" t="s">
        <v>5875</v>
      </c>
      <c r="K76" s="525"/>
      <c r="L76" s="519" t="s">
        <v>5742</v>
      </c>
      <c r="M76" s="519" t="s">
        <v>2969</v>
      </c>
      <c r="N76" s="560">
        <v>1</v>
      </c>
      <c r="O76" s="560" t="s">
        <v>154</v>
      </c>
      <c r="P76" s="564">
        <v>8</v>
      </c>
      <c r="Q76" s="564">
        <v>20</v>
      </c>
      <c r="R76" s="563">
        <v>8</v>
      </c>
      <c r="S76" s="498">
        <f t="shared" si="6"/>
        <v>160</v>
      </c>
      <c r="T76" s="498">
        <f t="shared" si="7"/>
        <v>160</v>
      </c>
      <c r="U76" s="498"/>
      <c r="V76" s="562" t="s">
        <v>5743</v>
      </c>
      <c r="W76" s="559" t="s">
        <v>5744</v>
      </c>
      <c r="X76" s="559" t="s">
        <v>5745</v>
      </c>
      <c r="Y76" s="561" t="s">
        <v>154</v>
      </c>
      <c r="Z76" s="561" t="s">
        <v>154</v>
      </c>
      <c r="AA76" s="561" t="s">
        <v>154</v>
      </c>
      <c r="AB76" s="561" t="s">
        <v>154</v>
      </c>
      <c r="AC76" s="561" t="s">
        <v>154</v>
      </c>
      <c r="AD76" s="560">
        <v>5</v>
      </c>
      <c r="AE76" s="561" t="s">
        <v>5746</v>
      </c>
      <c r="AF76" s="492" t="s">
        <v>5747</v>
      </c>
      <c r="AG76" s="557" t="s">
        <v>154</v>
      </c>
      <c r="AH76" s="557" t="s">
        <v>154</v>
      </c>
      <c r="AI76" s="559" t="s">
        <v>154</v>
      </c>
      <c r="AJ76" s="559" t="s">
        <v>154</v>
      </c>
      <c r="AK76" s="559" t="s">
        <v>154</v>
      </c>
      <c r="AL76" s="557" t="s">
        <v>154</v>
      </c>
      <c r="AM76" s="557" t="s">
        <v>154</v>
      </c>
      <c r="AN76" s="492" t="s">
        <v>5747</v>
      </c>
      <c r="AO76" s="559" t="s">
        <v>2872</v>
      </c>
      <c r="AP76" s="559" t="s">
        <v>5748</v>
      </c>
      <c r="AQ76" s="559" t="s">
        <v>154</v>
      </c>
      <c r="AR76" s="559" t="s">
        <v>154</v>
      </c>
      <c r="AS76" s="559"/>
      <c r="AT76" s="567"/>
      <c r="AU76" s="559"/>
      <c r="AV76" s="559"/>
      <c r="AW76" s="559"/>
      <c r="AX76" s="555"/>
      <c r="AY76" s="555"/>
      <c r="AZ76" s="555"/>
      <c r="BA76" s="554"/>
      <c r="BB76" s="554"/>
      <c r="BC76" s="554"/>
      <c r="BD76" s="554"/>
      <c r="BE76" s="554"/>
      <c r="BF76" s="554"/>
      <c r="BG76" s="554"/>
      <c r="BH76" s="554"/>
      <c r="BI76" s="574"/>
    </row>
    <row r="77" spans="1:61" s="552" customFormat="1" ht="24" customHeight="1">
      <c r="A77" s="528"/>
      <c r="B77" s="522">
        <v>3111</v>
      </c>
      <c r="C77" s="566" t="s">
        <v>1072</v>
      </c>
      <c r="D77" s="565" t="s">
        <v>120</v>
      </c>
      <c r="E77" s="2371" t="s">
        <v>122</v>
      </c>
      <c r="F77" s="2371"/>
      <c r="G77" s="2371"/>
      <c r="H77" s="527">
        <v>3</v>
      </c>
      <c r="I77" s="526" t="str">
        <f t="shared" si="5"/>
        <v>3111-BLD-003</v>
      </c>
      <c r="J77" s="525" t="s">
        <v>5876</v>
      </c>
      <c r="K77" s="525"/>
      <c r="L77" s="519" t="s">
        <v>5742</v>
      </c>
      <c r="M77" s="519" t="s">
        <v>2969</v>
      </c>
      <c r="N77" s="560">
        <v>1</v>
      </c>
      <c r="O77" s="560" t="s">
        <v>154</v>
      </c>
      <c r="P77" s="564">
        <v>8</v>
      </c>
      <c r="Q77" s="564">
        <v>20</v>
      </c>
      <c r="R77" s="563">
        <v>8</v>
      </c>
      <c r="S77" s="498">
        <f t="shared" si="6"/>
        <v>160</v>
      </c>
      <c r="T77" s="498">
        <f t="shared" si="7"/>
        <v>160</v>
      </c>
      <c r="U77" s="498"/>
      <c r="V77" s="562" t="s">
        <v>5743</v>
      </c>
      <c r="W77" s="559" t="s">
        <v>5744</v>
      </c>
      <c r="X77" s="559" t="s">
        <v>5745</v>
      </c>
      <c r="Y77" s="561" t="s">
        <v>154</v>
      </c>
      <c r="Z77" s="561" t="s">
        <v>154</v>
      </c>
      <c r="AA77" s="561" t="s">
        <v>154</v>
      </c>
      <c r="AB77" s="561" t="s">
        <v>154</v>
      </c>
      <c r="AC77" s="561" t="s">
        <v>154</v>
      </c>
      <c r="AD77" s="560">
        <v>5</v>
      </c>
      <c r="AE77" s="561" t="s">
        <v>5746</v>
      </c>
      <c r="AF77" s="492" t="s">
        <v>5747</v>
      </c>
      <c r="AG77" s="557" t="s">
        <v>154</v>
      </c>
      <c r="AH77" s="557" t="s">
        <v>154</v>
      </c>
      <c r="AI77" s="559" t="s">
        <v>154</v>
      </c>
      <c r="AJ77" s="559" t="s">
        <v>154</v>
      </c>
      <c r="AK77" s="559" t="s">
        <v>154</v>
      </c>
      <c r="AL77" s="557" t="s">
        <v>154</v>
      </c>
      <c r="AM77" s="557" t="s">
        <v>154</v>
      </c>
      <c r="AN77" s="492" t="s">
        <v>5747</v>
      </c>
      <c r="AO77" s="559" t="s">
        <v>2872</v>
      </c>
      <c r="AP77" s="559" t="s">
        <v>5748</v>
      </c>
      <c r="AQ77" s="559" t="s">
        <v>154</v>
      </c>
      <c r="AR77" s="559" t="s">
        <v>154</v>
      </c>
      <c r="AS77" s="559"/>
      <c r="AT77" s="567"/>
      <c r="AU77" s="559"/>
      <c r="AV77" s="559"/>
      <c r="AW77" s="559"/>
      <c r="AX77" s="555"/>
      <c r="AY77" s="555"/>
      <c r="AZ77" s="555"/>
      <c r="BA77" s="554"/>
      <c r="BB77" s="554"/>
      <c r="BC77" s="554"/>
      <c r="BD77" s="554"/>
      <c r="BE77" s="554"/>
      <c r="BF77" s="554"/>
      <c r="BG77" s="554"/>
      <c r="BH77" s="554"/>
      <c r="BI77" s="574"/>
    </row>
    <row r="78" spans="1:61" s="552" customFormat="1" ht="24" customHeight="1">
      <c r="A78" s="528"/>
      <c r="B78" s="522">
        <v>3111</v>
      </c>
      <c r="C78" s="566" t="s">
        <v>1072</v>
      </c>
      <c r="D78" s="565" t="s">
        <v>120</v>
      </c>
      <c r="E78" s="2371" t="s">
        <v>122</v>
      </c>
      <c r="F78" s="2371"/>
      <c r="G78" s="2371"/>
      <c r="H78" s="527">
        <v>4</v>
      </c>
      <c r="I78" s="526" t="str">
        <f t="shared" si="5"/>
        <v>3111-BLD-004</v>
      </c>
      <c r="J78" s="525" t="s">
        <v>5877</v>
      </c>
      <c r="K78" s="525" t="s">
        <v>5878</v>
      </c>
      <c r="L78" s="519" t="s">
        <v>5742</v>
      </c>
      <c r="M78" s="519" t="s">
        <v>2969</v>
      </c>
      <c r="N78" s="560">
        <v>1</v>
      </c>
      <c r="O78" s="560" t="s">
        <v>154</v>
      </c>
      <c r="P78" s="564">
        <v>8</v>
      </c>
      <c r="Q78" s="564">
        <v>20</v>
      </c>
      <c r="R78" s="563">
        <v>8</v>
      </c>
      <c r="S78" s="498">
        <f t="shared" si="6"/>
        <v>160</v>
      </c>
      <c r="T78" s="498">
        <f t="shared" si="7"/>
        <v>160</v>
      </c>
      <c r="U78" s="498"/>
      <c r="V78" s="562" t="s">
        <v>5743</v>
      </c>
      <c r="W78" s="559" t="s">
        <v>5744</v>
      </c>
      <c r="X78" s="559" t="s">
        <v>5745</v>
      </c>
      <c r="Y78" s="561" t="s">
        <v>154</v>
      </c>
      <c r="Z78" s="561" t="s">
        <v>154</v>
      </c>
      <c r="AA78" s="561" t="s">
        <v>154</v>
      </c>
      <c r="AB78" s="561" t="s">
        <v>154</v>
      </c>
      <c r="AC78" s="561" t="s">
        <v>154</v>
      </c>
      <c r="AD78" s="560">
        <v>5</v>
      </c>
      <c r="AE78" s="561" t="s">
        <v>5746</v>
      </c>
      <c r="AF78" s="492" t="s">
        <v>5747</v>
      </c>
      <c r="AG78" s="557" t="s">
        <v>154</v>
      </c>
      <c r="AH78" s="557" t="s">
        <v>154</v>
      </c>
      <c r="AI78" s="559" t="s">
        <v>154</v>
      </c>
      <c r="AJ78" s="559" t="s">
        <v>154</v>
      </c>
      <c r="AK78" s="559" t="s">
        <v>154</v>
      </c>
      <c r="AL78" s="557" t="s">
        <v>154</v>
      </c>
      <c r="AM78" s="557" t="s">
        <v>154</v>
      </c>
      <c r="AN78" s="492" t="s">
        <v>5747</v>
      </c>
      <c r="AO78" s="559" t="s">
        <v>2872</v>
      </c>
      <c r="AP78" s="559" t="s">
        <v>5748</v>
      </c>
      <c r="AQ78" s="559" t="s">
        <v>154</v>
      </c>
      <c r="AR78" s="559" t="s">
        <v>154</v>
      </c>
      <c r="AS78" s="559"/>
      <c r="AT78" s="567"/>
      <c r="AU78" s="559"/>
      <c r="AV78" s="559"/>
      <c r="AW78" s="559"/>
      <c r="AX78" s="555"/>
      <c r="AY78" s="555"/>
      <c r="AZ78" s="555"/>
      <c r="BA78" s="554"/>
      <c r="BB78" s="554"/>
      <c r="BC78" s="554"/>
      <c r="BD78" s="554"/>
      <c r="BE78" s="554"/>
      <c r="BF78" s="554"/>
      <c r="BG78" s="554"/>
      <c r="BH78" s="554">
        <v>1</v>
      </c>
      <c r="BI78" s="574"/>
    </row>
    <row r="79" spans="1:61" s="552" customFormat="1" ht="24" customHeight="1">
      <c r="A79" s="528"/>
      <c r="B79" s="522">
        <v>3112</v>
      </c>
      <c r="C79" s="566" t="s">
        <v>1072</v>
      </c>
      <c r="D79" s="565" t="s">
        <v>120</v>
      </c>
      <c r="E79" s="2371" t="s">
        <v>122</v>
      </c>
      <c r="F79" s="2371"/>
      <c r="G79" s="2371"/>
      <c r="H79" s="527">
        <v>1</v>
      </c>
      <c r="I79" s="526" t="str">
        <f t="shared" si="5"/>
        <v>3112-BLD-001</v>
      </c>
      <c r="J79" s="525" t="s">
        <v>5879</v>
      </c>
      <c r="K79" s="525" t="s">
        <v>5880</v>
      </c>
      <c r="L79" s="519" t="s">
        <v>5742</v>
      </c>
      <c r="M79" s="519" t="s">
        <v>2969</v>
      </c>
      <c r="N79" s="560">
        <v>1</v>
      </c>
      <c r="O79" s="560" t="s">
        <v>154</v>
      </c>
      <c r="P79" s="564">
        <v>8</v>
      </c>
      <c r="Q79" s="564">
        <v>20</v>
      </c>
      <c r="R79" s="563">
        <v>8</v>
      </c>
      <c r="S79" s="498">
        <f t="shared" si="6"/>
        <v>160</v>
      </c>
      <c r="T79" s="498">
        <f t="shared" si="7"/>
        <v>160</v>
      </c>
      <c r="U79" s="498"/>
      <c r="V79" s="562" t="s">
        <v>5743</v>
      </c>
      <c r="W79" s="559" t="s">
        <v>5744</v>
      </c>
      <c r="X79" s="559" t="s">
        <v>5745</v>
      </c>
      <c r="Y79" s="561" t="s">
        <v>154</v>
      </c>
      <c r="Z79" s="561" t="s">
        <v>154</v>
      </c>
      <c r="AA79" s="561" t="s">
        <v>154</v>
      </c>
      <c r="AB79" s="561" t="s">
        <v>154</v>
      </c>
      <c r="AC79" s="561" t="s">
        <v>154</v>
      </c>
      <c r="AD79" s="560">
        <v>5</v>
      </c>
      <c r="AE79" s="561" t="s">
        <v>5746</v>
      </c>
      <c r="AF79" s="492" t="s">
        <v>5747</v>
      </c>
      <c r="AG79" s="557" t="s">
        <v>154</v>
      </c>
      <c r="AH79" s="557" t="s">
        <v>154</v>
      </c>
      <c r="AI79" s="559" t="s">
        <v>154</v>
      </c>
      <c r="AJ79" s="559" t="s">
        <v>154</v>
      </c>
      <c r="AK79" s="559" t="s">
        <v>154</v>
      </c>
      <c r="AL79" s="557" t="s">
        <v>154</v>
      </c>
      <c r="AM79" s="557" t="s">
        <v>154</v>
      </c>
      <c r="AN79" s="492" t="s">
        <v>5747</v>
      </c>
      <c r="AO79" s="559" t="s">
        <v>2872</v>
      </c>
      <c r="AP79" s="559" t="s">
        <v>5748</v>
      </c>
      <c r="AQ79" s="559" t="s">
        <v>154</v>
      </c>
      <c r="AR79" s="559" t="s">
        <v>154</v>
      </c>
      <c r="AS79" s="559"/>
      <c r="AT79" s="567"/>
      <c r="AU79" s="559"/>
      <c r="AV79" s="559"/>
      <c r="AW79" s="559"/>
      <c r="AX79" s="555"/>
      <c r="AY79" s="555"/>
      <c r="AZ79" s="555"/>
      <c r="BA79" s="554"/>
      <c r="BB79" s="554"/>
      <c r="BC79" s="554"/>
      <c r="BD79" s="554"/>
      <c r="BE79" s="554"/>
      <c r="BF79" s="554"/>
      <c r="BG79" s="554"/>
      <c r="BH79" s="554">
        <v>1</v>
      </c>
      <c r="BI79" s="574"/>
    </row>
    <row r="80" spans="1:61" s="552" customFormat="1" ht="24" customHeight="1">
      <c r="A80" s="528"/>
      <c r="B80" s="522">
        <v>3112</v>
      </c>
      <c r="C80" s="566" t="s">
        <v>1072</v>
      </c>
      <c r="D80" s="565" t="s">
        <v>120</v>
      </c>
      <c r="E80" s="2371" t="s">
        <v>122</v>
      </c>
      <c r="F80" s="2371"/>
      <c r="G80" s="2371"/>
      <c r="H80" s="527">
        <v>2</v>
      </c>
      <c r="I80" s="526" t="str">
        <f t="shared" si="5"/>
        <v>3112-BLD-002</v>
      </c>
      <c r="J80" s="525" t="s">
        <v>5881</v>
      </c>
      <c r="K80" s="525" t="s">
        <v>5878</v>
      </c>
      <c r="L80" s="519" t="s">
        <v>5742</v>
      </c>
      <c r="M80" s="519" t="s">
        <v>2969</v>
      </c>
      <c r="N80" s="560">
        <v>1</v>
      </c>
      <c r="O80" s="560" t="s">
        <v>154</v>
      </c>
      <c r="P80" s="564">
        <v>8</v>
      </c>
      <c r="Q80" s="564">
        <v>20</v>
      </c>
      <c r="R80" s="563">
        <v>8</v>
      </c>
      <c r="S80" s="498">
        <f t="shared" si="6"/>
        <v>160</v>
      </c>
      <c r="T80" s="498">
        <f t="shared" si="7"/>
        <v>160</v>
      </c>
      <c r="U80" s="498"/>
      <c r="V80" s="562" t="s">
        <v>5743</v>
      </c>
      <c r="W80" s="559" t="s">
        <v>5744</v>
      </c>
      <c r="X80" s="559" t="s">
        <v>5745</v>
      </c>
      <c r="Y80" s="561" t="s">
        <v>154</v>
      </c>
      <c r="Z80" s="561" t="s">
        <v>154</v>
      </c>
      <c r="AA80" s="561" t="s">
        <v>154</v>
      </c>
      <c r="AB80" s="561" t="s">
        <v>154</v>
      </c>
      <c r="AC80" s="561" t="s">
        <v>154</v>
      </c>
      <c r="AD80" s="560">
        <v>5</v>
      </c>
      <c r="AE80" s="561" t="s">
        <v>5746</v>
      </c>
      <c r="AF80" s="492" t="s">
        <v>5747</v>
      </c>
      <c r="AG80" s="557" t="s">
        <v>154</v>
      </c>
      <c r="AH80" s="557" t="s">
        <v>154</v>
      </c>
      <c r="AI80" s="559" t="s">
        <v>154</v>
      </c>
      <c r="AJ80" s="559" t="s">
        <v>154</v>
      </c>
      <c r="AK80" s="559" t="s">
        <v>154</v>
      </c>
      <c r="AL80" s="557" t="s">
        <v>154</v>
      </c>
      <c r="AM80" s="557" t="s">
        <v>154</v>
      </c>
      <c r="AN80" s="492" t="s">
        <v>5747</v>
      </c>
      <c r="AO80" s="559" t="s">
        <v>2872</v>
      </c>
      <c r="AP80" s="559" t="s">
        <v>5748</v>
      </c>
      <c r="AQ80" s="559" t="s">
        <v>154</v>
      </c>
      <c r="AR80" s="559" t="s">
        <v>154</v>
      </c>
      <c r="AS80" s="559"/>
      <c r="AT80" s="567"/>
      <c r="AU80" s="559"/>
      <c r="AV80" s="559"/>
      <c r="AW80" s="559"/>
      <c r="AX80" s="555"/>
      <c r="AY80" s="555"/>
      <c r="AZ80" s="555"/>
      <c r="BA80" s="554"/>
      <c r="BB80" s="554"/>
      <c r="BC80" s="554"/>
      <c r="BD80" s="554"/>
      <c r="BE80" s="554"/>
      <c r="BF80" s="554"/>
      <c r="BG80" s="554"/>
      <c r="BH80" s="554">
        <v>1</v>
      </c>
      <c r="BI80" s="574"/>
    </row>
    <row r="81" spans="1:61" s="552" customFormat="1" ht="24" customHeight="1">
      <c r="A81" s="528"/>
      <c r="B81" s="522">
        <v>3112</v>
      </c>
      <c r="C81" s="566" t="s">
        <v>1072</v>
      </c>
      <c r="D81" s="565" t="s">
        <v>120</v>
      </c>
      <c r="E81" s="2371" t="s">
        <v>122</v>
      </c>
      <c r="F81" s="2371"/>
      <c r="G81" s="2371"/>
      <c r="H81" s="527">
        <v>3</v>
      </c>
      <c r="I81" s="526" t="str">
        <f t="shared" si="5"/>
        <v>3112-BLD-003</v>
      </c>
      <c r="J81" s="525" t="s">
        <v>5882</v>
      </c>
      <c r="K81" s="525"/>
      <c r="L81" s="519" t="s">
        <v>5742</v>
      </c>
      <c r="M81" s="519" t="s">
        <v>2969</v>
      </c>
      <c r="N81" s="560">
        <v>1</v>
      </c>
      <c r="O81" s="560" t="s">
        <v>154</v>
      </c>
      <c r="P81" s="564">
        <v>8</v>
      </c>
      <c r="Q81" s="564">
        <v>20</v>
      </c>
      <c r="R81" s="563">
        <v>8</v>
      </c>
      <c r="S81" s="498">
        <f t="shared" si="6"/>
        <v>160</v>
      </c>
      <c r="T81" s="498">
        <f t="shared" si="7"/>
        <v>160</v>
      </c>
      <c r="U81" s="498"/>
      <c r="V81" s="562" t="s">
        <v>5743</v>
      </c>
      <c r="W81" s="559" t="s">
        <v>5744</v>
      </c>
      <c r="X81" s="559" t="s">
        <v>5745</v>
      </c>
      <c r="Y81" s="561" t="s">
        <v>154</v>
      </c>
      <c r="Z81" s="561" t="s">
        <v>154</v>
      </c>
      <c r="AA81" s="561" t="s">
        <v>154</v>
      </c>
      <c r="AB81" s="561" t="s">
        <v>154</v>
      </c>
      <c r="AC81" s="561" t="s">
        <v>154</v>
      </c>
      <c r="AD81" s="560">
        <v>5</v>
      </c>
      <c r="AE81" s="561" t="s">
        <v>5746</v>
      </c>
      <c r="AF81" s="492" t="s">
        <v>5747</v>
      </c>
      <c r="AG81" s="557" t="s">
        <v>154</v>
      </c>
      <c r="AH81" s="557" t="s">
        <v>154</v>
      </c>
      <c r="AI81" s="559" t="s">
        <v>154</v>
      </c>
      <c r="AJ81" s="559" t="s">
        <v>154</v>
      </c>
      <c r="AK81" s="559" t="s">
        <v>154</v>
      </c>
      <c r="AL81" s="557" t="s">
        <v>154</v>
      </c>
      <c r="AM81" s="557" t="s">
        <v>154</v>
      </c>
      <c r="AN81" s="492" t="s">
        <v>5747</v>
      </c>
      <c r="AO81" s="559" t="s">
        <v>2872</v>
      </c>
      <c r="AP81" s="559" t="s">
        <v>5748</v>
      </c>
      <c r="AQ81" s="559" t="s">
        <v>154</v>
      </c>
      <c r="AR81" s="559" t="s">
        <v>154</v>
      </c>
      <c r="AS81" s="559"/>
      <c r="AT81" s="567"/>
      <c r="AU81" s="559"/>
      <c r="AV81" s="559"/>
      <c r="AW81" s="559"/>
      <c r="AX81" s="555"/>
      <c r="AY81" s="555"/>
      <c r="AZ81" s="555"/>
      <c r="BA81" s="554"/>
      <c r="BB81" s="554"/>
      <c r="BC81" s="554"/>
      <c r="BD81" s="554"/>
      <c r="BE81" s="554"/>
      <c r="BF81" s="554"/>
      <c r="BG81" s="554"/>
      <c r="BH81" s="554">
        <v>1</v>
      </c>
      <c r="BI81" s="574"/>
    </row>
    <row r="82" spans="1:61" s="552" customFormat="1" ht="24" customHeight="1">
      <c r="A82" s="528"/>
      <c r="B82" s="522">
        <v>3112</v>
      </c>
      <c r="C82" s="566" t="s">
        <v>1072</v>
      </c>
      <c r="D82" s="565" t="s">
        <v>120</v>
      </c>
      <c r="E82" s="2371" t="s">
        <v>122</v>
      </c>
      <c r="F82" s="2371"/>
      <c r="G82" s="2371"/>
      <c r="H82" s="527">
        <v>4</v>
      </c>
      <c r="I82" s="526" t="str">
        <f t="shared" si="5"/>
        <v>3112-BLD-004</v>
      </c>
      <c r="J82" s="525" t="s">
        <v>5883</v>
      </c>
      <c r="K82" s="525"/>
      <c r="L82" s="519" t="s">
        <v>5742</v>
      </c>
      <c r="M82" s="519" t="s">
        <v>2969</v>
      </c>
      <c r="N82" s="560">
        <v>1</v>
      </c>
      <c r="O82" s="560" t="s">
        <v>154</v>
      </c>
      <c r="P82" s="564">
        <v>8</v>
      </c>
      <c r="Q82" s="564">
        <v>20</v>
      </c>
      <c r="R82" s="563">
        <v>8</v>
      </c>
      <c r="S82" s="498">
        <f t="shared" si="6"/>
        <v>160</v>
      </c>
      <c r="T82" s="498">
        <f t="shared" si="7"/>
        <v>160</v>
      </c>
      <c r="U82" s="498"/>
      <c r="V82" s="562" t="s">
        <v>5743</v>
      </c>
      <c r="W82" s="559" t="s">
        <v>5744</v>
      </c>
      <c r="X82" s="559" t="s">
        <v>5745</v>
      </c>
      <c r="Y82" s="561" t="s">
        <v>154</v>
      </c>
      <c r="Z82" s="561" t="s">
        <v>154</v>
      </c>
      <c r="AA82" s="561" t="s">
        <v>154</v>
      </c>
      <c r="AB82" s="561" t="s">
        <v>154</v>
      </c>
      <c r="AC82" s="561" t="s">
        <v>154</v>
      </c>
      <c r="AD82" s="560">
        <v>5</v>
      </c>
      <c r="AE82" s="561" t="s">
        <v>5746</v>
      </c>
      <c r="AF82" s="492" t="s">
        <v>5747</v>
      </c>
      <c r="AG82" s="557" t="s">
        <v>154</v>
      </c>
      <c r="AH82" s="557" t="s">
        <v>154</v>
      </c>
      <c r="AI82" s="559" t="s">
        <v>154</v>
      </c>
      <c r="AJ82" s="559" t="s">
        <v>154</v>
      </c>
      <c r="AK82" s="559" t="s">
        <v>154</v>
      </c>
      <c r="AL82" s="557" t="s">
        <v>154</v>
      </c>
      <c r="AM82" s="557" t="s">
        <v>154</v>
      </c>
      <c r="AN82" s="492" t="s">
        <v>5747</v>
      </c>
      <c r="AO82" s="559" t="s">
        <v>2872</v>
      </c>
      <c r="AP82" s="559" t="s">
        <v>5748</v>
      </c>
      <c r="AQ82" s="559" t="s">
        <v>154</v>
      </c>
      <c r="AR82" s="559" t="s">
        <v>154</v>
      </c>
      <c r="AS82" s="559"/>
      <c r="AT82" s="567"/>
      <c r="AU82" s="559"/>
      <c r="AV82" s="559"/>
      <c r="AW82" s="559"/>
      <c r="AX82" s="555"/>
      <c r="AY82" s="555"/>
      <c r="AZ82" s="555"/>
      <c r="BA82" s="554"/>
      <c r="BB82" s="554"/>
      <c r="BC82" s="554"/>
      <c r="BD82" s="554"/>
      <c r="BE82" s="554"/>
      <c r="BF82" s="554"/>
      <c r="BG82" s="554"/>
      <c r="BH82" s="554">
        <v>1</v>
      </c>
      <c r="BI82" s="574"/>
    </row>
    <row r="83" spans="1:61" s="552" customFormat="1" ht="24" customHeight="1">
      <c r="A83" s="528"/>
      <c r="B83" s="522">
        <v>3113</v>
      </c>
      <c r="C83" s="566" t="s">
        <v>1072</v>
      </c>
      <c r="D83" s="565" t="s">
        <v>120</v>
      </c>
      <c r="E83" s="2371" t="s">
        <v>122</v>
      </c>
      <c r="F83" s="2371"/>
      <c r="G83" s="2371"/>
      <c r="H83" s="527">
        <v>1</v>
      </c>
      <c r="I83" s="526" t="str">
        <f t="shared" si="5"/>
        <v>3113-BLD-001</v>
      </c>
      <c r="J83" s="525" t="s">
        <v>5884</v>
      </c>
      <c r="K83" s="525" t="s">
        <v>5878</v>
      </c>
      <c r="L83" s="519" t="s">
        <v>5742</v>
      </c>
      <c r="M83" s="519" t="s">
        <v>2969</v>
      </c>
      <c r="N83" s="560">
        <v>1</v>
      </c>
      <c r="O83" s="560" t="s">
        <v>154</v>
      </c>
      <c r="P83" s="564">
        <v>8</v>
      </c>
      <c r="Q83" s="564">
        <v>20</v>
      </c>
      <c r="R83" s="563">
        <v>8</v>
      </c>
      <c r="S83" s="498">
        <f t="shared" si="6"/>
        <v>160</v>
      </c>
      <c r="T83" s="498">
        <f t="shared" si="7"/>
        <v>160</v>
      </c>
      <c r="U83" s="498"/>
      <c r="V83" s="562" t="s">
        <v>5743</v>
      </c>
      <c r="W83" s="559" t="s">
        <v>5744</v>
      </c>
      <c r="X83" s="559" t="s">
        <v>5745</v>
      </c>
      <c r="Y83" s="561" t="s">
        <v>154</v>
      </c>
      <c r="Z83" s="561" t="s">
        <v>154</v>
      </c>
      <c r="AA83" s="561" t="s">
        <v>154</v>
      </c>
      <c r="AB83" s="561" t="s">
        <v>154</v>
      </c>
      <c r="AC83" s="561" t="s">
        <v>154</v>
      </c>
      <c r="AD83" s="560">
        <v>5</v>
      </c>
      <c r="AE83" s="561" t="s">
        <v>5746</v>
      </c>
      <c r="AF83" s="492" t="s">
        <v>5747</v>
      </c>
      <c r="AG83" s="557" t="s">
        <v>154</v>
      </c>
      <c r="AH83" s="557" t="s">
        <v>154</v>
      </c>
      <c r="AI83" s="559" t="s">
        <v>154</v>
      </c>
      <c r="AJ83" s="559" t="s">
        <v>154</v>
      </c>
      <c r="AK83" s="559" t="s">
        <v>154</v>
      </c>
      <c r="AL83" s="557" t="s">
        <v>154</v>
      </c>
      <c r="AM83" s="557" t="s">
        <v>154</v>
      </c>
      <c r="AN83" s="492" t="s">
        <v>5747</v>
      </c>
      <c r="AO83" s="559" t="s">
        <v>2872</v>
      </c>
      <c r="AP83" s="559" t="s">
        <v>5748</v>
      </c>
      <c r="AQ83" s="559" t="s">
        <v>154</v>
      </c>
      <c r="AR83" s="559" t="s">
        <v>154</v>
      </c>
      <c r="AS83" s="559"/>
      <c r="AT83" s="567"/>
      <c r="AU83" s="559"/>
      <c r="AV83" s="559"/>
      <c r="AW83" s="559"/>
      <c r="AX83" s="555"/>
      <c r="AY83" s="555"/>
      <c r="AZ83" s="555"/>
      <c r="BA83" s="554"/>
      <c r="BB83" s="554"/>
      <c r="BC83" s="554"/>
      <c r="BD83" s="554"/>
      <c r="BE83" s="554"/>
      <c r="BF83" s="554"/>
      <c r="BG83" s="554"/>
      <c r="BH83" s="554">
        <v>1</v>
      </c>
      <c r="BI83" s="574"/>
    </row>
    <row r="84" spans="1:61" s="552" customFormat="1" ht="24" customHeight="1">
      <c r="A84" s="528"/>
      <c r="B84" s="522">
        <v>3113</v>
      </c>
      <c r="C84" s="566" t="s">
        <v>1072</v>
      </c>
      <c r="D84" s="565" t="s">
        <v>120</v>
      </c>
      <c r="E84" s="2371" t="s">
        <v>122</v>
      </c>
      <c r="F84" s="2371"/>
      <c r="G84" s="2371"/>
      <c r="H84" s="527">
        <v>2</v>
      </c>
      <c r="I84" s="526" t="str">
        <f t="shared" si="5"/>
        <v>3113-BLD-002</v>
      </c>
      <c r="J84" s="525" t="s">
        <v>5885</v>
      </c>
      <c r="K84" s="525"/>
      <c r="L84" s="519" t="s">
        <v>5742</v>
      </c>
      <c r="M84" s="519" t="s">
        <v>2969</v>
      </c>
      <c r="N84" s="560">
        <v>1</v>
      </c>
      <c r="O84" s="560" t="s">
        <v>154</v>
      </c>
      <c r="P84" s="564">
        <v>8</v>
      </c>
      <c r="Q84" s="564">
        <v>20</v>
      </c>
      <c r="R84" s="563">
        <v>8</v>
      </c>
      <c r="S84" s="498">
        <f t="shared" si="6"/>
        <v>160</v>
      </c>
      <c r="T84" s="498">
        <f t="shared" si="7"/>
        <v>160</v>
      </c>
      <c r="U84" s="498"/>
      <c r="V84" s="562" t="s">
        <v>5743</v>
      </c>
      <c r="W84" s="559" t="s">
        <v>5744</v>
      </c>
      <c r="X84" s="559" t="s">
        <v>5745</v>
      </c>
      <c r="Y84" s="561" t="s">
        <v>154</v>
      </c>
      <c r="Z84" s="561" t="s">
        <v>154</v>
      </c>
      <c r="AA84" s="561" t="s">
        <v>154</v>
      </c>
      <c r="AB84" s="561" t="s">
        <v>154</v>
      </c>
      <c r="AC84" s="561" t="s">
        <v>154</v>
      </c>
      <c r="AD84" s="560">
        <v>5</v>
      </c>
      <c r="AE84" s="561" t="s">
        <v>5746</v>
      </c>
      <c r="AF84" s="492" t="s">
        <v>5747</v>
      </c>
      <c r="AG84" s="557" t="s">
        <v>154</v>
      </c>
      <c r="AH84" s="557" t="s">
        <v>154</v>
      </c>
      <c r="AI84" s="559" t="s">
        <v>154</v>
      </c>
      <c r="AJ84" s="559" t="s">
        <v>154</v>
      </c>
      <c r="AK84" s="559" t="s">
        <v>154</v>
      </c>
      <c r="AL84" s="557" t="s">
        <v>154</v>
      </c>
      <c r="AM84" s="557" t="s">
        <v>154</v>
      </c>
      <c r="AN84" s="492" t="s">
        <v>5747</v>
      </c>
      <c r="AO84" s="559" t="s">
        <v>2872</v>
      </c>
      <c r="AP84" s="559" t="s">
        <v>5748</v>
      </c>
      <c r="AQ84" s="559" t="s">
        <v>154</v>
      </c>
      <c r="AR84" s="559" t="s">
        <v>154</v>
      </c>
      <c r="AS84" s="559"/>
      <c r="AT84" s="567"/>
      <c r="AU84" s="559"/>
      <c r="AV84" s="559"/>
      <c r="AW84" s="559"/>
      <c r="AX84" s="555"/>
      <c r="AY84" s="555"/>
      <c r="AZ84" s="555"/>
      <c r="BA84" s="554"/>
      <c r="BB84" s="554"/>
      <c r="BC84" s="554"/>
      <c r="BD84" s="554"/>
      <c r="BE84" s="554"/>
      <c r="BF84" s="554"/>
      <c r="BG84" s="554"/>
      <c r="BH84" s="554">
        <v>1</v>
      </c>
      <c r="BI84" s="574"/>
    </row>
    <row r="85" spans="1:61" s="508" customFormat="1" ht="24" customHeight="1">
      <c r="A85" s="528"/>
      <c r="B85" s="632">
        <v>3113</v>
      </c>
      <c r="C85" s="566" t="s">
        <v>1072</v>
      </c>
      <c r="D85" s="565" t="s">
        <v>120</v>
      </c>
      <c r="E85" s="2371" t="s">
        <v>122</v>
      </c>
      <c r="F85" s="2371"/>
      <c r="G85" s="2371"/>
      <c r="H85" s="527">
        <v>3</v>
      </c>
      <c r="I85" s="526" t="str">
        <f t="shared" si="5"/>
        <v>3113-BLD-003</v>
      </c>
      <c r="J85" s="525" t="s">
        <v>5886</v>
      </c>
      <c r="K85" s="525" t="s">
        <v>5887</v>
      </c>
      <c r="L85" s="519" t="s">
        <v>5742</v>
      </c>
      <c r="M85" s="519" t="s">
        <v>2969</v>
      </c>
      <c r="N85" s="522">
        <v>1</v>
      </c>
      <c r="O85" s="522" t="s">
        <v>154</v>
      </c>
      <c r="P85" s="563">
        <v>8</v>
      </c>
      <c r="Q85" s="563">
        <v>20</v>
      </c>
      <c r="R85" s="563">
        <v>8</v>
      </c>
      <c r="S85" s="498">
        <f t="shared" si="6"/>
        <v>160</v>
      </c>
      <c r="T85" s="498">
        <f t="shared" si="7"/>
        <v>160</v>
      </c>
      <c r="U85" s="520"/>
      <c r="V85" s="519" t="s">
        <v>5743</v>
      </c>
      <c r="W85" s="518" t="s">
        <v>5744</v>
      </c>
      <c r="X85" s="518" t="s">
        <v>5745</v>
      </c>
      <c r="Y85" s="590" t="s">
        <v>154</v>
      </c>
      <c r="Z85" s="590" t="s">
        <v>154</v>
      </c>
      <c r="AA85" s="590" t="s">
        <v>154</v>
      </c>
      <c r="AB85" s="590" t="s">
        <v>154</v>
      </c>
      <c r="AC85" s="590" t="s">
        <v>154</v>
      </c>
      <c r="AD85" s="522">
        <v>5</v>
      </c>
      <c r="AE85" s="590" t="s">
        <v>5746</v>
      </c>
      <c r="AF85" s="589" t="s">
        <v>5747</v>
      </c>
      <c r="AG85" s="588" t="s">
        <v>154</v>
      </c>
      <c r="AH85" s="588" t="s">
        <v>154</v>
      </c>
      <c r="AI85" s="518" t="s">
        <v>154</v>
      </c>
      <c r="AJ85" s="518" t="s">
        <v>154</v>
      </c>
      <c r="AK85" s="518" t="s">
        <v>154</v>
      </c>
      <c r="AL85" s="588" t="s">
        <v>154</v>
      </c>
      <c r="AM85" s="588" t="s">
        <v>154</v>
      </c>
      <c r="AN85" s="589" t="s">
        <v>5747</v>
      </c>
      <c r="AO85" s="518" t="s">
        <v>2872</v>
      </c>
      <c r="AP85" s="518" t="s">
        <v>5748</v>
      </c>
      <c r="AQ85" s="518" t="s">
        <v>154</v>
      </c>
      <c r="AR85" s="518" t="s">
        <v>154</v>
      </c>
      <c r="AS85" s="514"/>
      <c r="AT85" s="631"/>
      <c r="AU85" s="514"/>
      <c r="AV85" s="514"/>
      <c r="AW85" s="514"/>
      <c r="AX85" s="630"/>
      <c r="AY85" s="630"/>
      <c r="AZ85" s="630"/>
      <c r="BA85" s="629"/>
      <c r="BB85" s="629"/>
      <c r="BC85" s="629"/>
      <c r="BD85" s="629"/>
      <c r="BE85" s="629"/>
      <c r="BF85" s="629"/>
      <c r="BG85" s="629"/>
      <c r="BH85" s="629">
        <v>1</v>
      </c>
      <c r="BI85" s="628"/>
    </row>
    <row r="86" spans="1:61" ht="24" customHeight="1">
      <c r="A86" s="528"/>
      <c r="B86" s="506">
        <v>3160</v>
      </c>
      <c r="C86" s="505" t="s">
        <v>1072</v>
      </c>
      <c r="D86" s="504" t="s">
        <v>120</v>
      </c>
      <c r="E86" s="2369" t="s">
        <v>1278</v>
      </c>
      <c r="F86" s="2369"/>
      <c r="G86" s="2369"/>
      <c r="H86" s="503">
        <v>1</v>
      </c>
      <c r="I86" s="502" t="str">
        <f t="shared" si="5"/>
        <v>3160-BLD-001</v>
      </c>
      <c r="J86" s="501" t="s">
        <v>5888</v>
      </c>
      <c r="K86" s="501" t="s">
        <v>5889</v>
      </c>
      <c r="L86" s="493" t="s">
        <v>4158</v>
      </c>
      <c r="M86" s="493" t="s">
        <v>2969</v>
      </c>
      <c r="N86" s="494">
        <v>1</v>
      </c>
      <c r="O86" s="494">
        <v>2</v>
      </c>
      <c r="P86" s="500">
        <v>8</v>
      </c>
      <c r="Q86" s="500">
        <v>20</v>
      </c>
      <c r="R86" s="499">
        <v>8</v>
      </c>
      <c r="S86" s="497">
        <f t="shared" si="6"/>
        <v>160</v>
      </c>
      <c r="T86" s="498">
        <f t="shared" si="7"/>
        <v>160</v>
      </c>
      <c r="U86" s="497" t="s">
        <v>5859</v>
      </c>
      <c r="V86" s="496" t="s">
        <v>5743</v>
      </c>
      <c r="W86" s="489" t="s">
        <v>5787</v>
      </c>
      <c r="X86" s="489" t="s">
        <v>5745</v>
      </c>
      <c r="Y86" s="495" t="s">
        <v>154</v>
      </c>
      <c r="Z86" s="495" t="s">
        <v>154</v>
      </c>
      <c r="AA86" s="495" t="s">
        <v>154</v>
      </c>
      <c r="AB86" s="495" t="s">
        <v>154</v>
      </c>
      <c r="AC86" s="490" t="s">
        <v>5747</v>
      </c>
      <c r="AD86" s="494">
        <v>22</v>
      </c>
      <c r="AE86" s="495" t="s">
        <v>5746</v>
      </c>
      <c r="AF86" s="489" t="s">
        <v>154</v>
      </c>
      <c r="AG86" s="491" t="s">
        <v>154</v>
      </c>
      <c r="AH86" s="491" t="s">
        <v>154</v>
      </c>
      <c r="AI86" s="489" t="s">
        <v>154</v>
      </c>
      <c r="AJ86" s="489" t="s">
        <v>154</v>
      </c>
      <c r="AK86" s="489" t="s">
        <v>154</v>
      </c>
      <c r="AL86" s="491" t="s">
        <v>154</v>
      </c>
      <c r="AM86" s="491" t="s">
        <v>154</v>
      </c>
      <c r="AN86" s="492" t="s">
        <v>5747</v>
      </c>
      <c r="AO86" s="489" t="s">
        <v>2872</v>
      </c>
      <c r="AP86" s="489" t="s">
        <v>154</v>
      </c>
      <c r="AQ86" s="489" t="s">
        <v>154</v>
      </c>
      <c r="AR86" s="489" t="s">
        <v>154</v>
      </c>
      <c r="AS86" s="487"/>
      <c r="AT86" s="488"/>
      <c r="AU86" s="487"/>
      <c r="AV86" s="487"/>
      <c r="AW86" s="487"/>
      <c r="AX86" s="569"/>
      <c r="AY86" s="569"/>
      <c r="AZ86" s="569"/>
      <c r="BA86" s="568"/>
      <c r="BB86" s="568"/>
      <c r="BC86" s="568"/>
      <c r="BD86" s="568"/>
      <c r="BE86" s="568"/>
      <c r="BF86" s="568"/>
      <c r="BG86" s="568">
        <v>1</v>
      </c>
      <c r="BH86" s="568">
        <v>1</v>
      </c>
      <c r="BI86" s="457"/>
    </row>
    <row r="87" spans="1:61" ht="24" customHeight="1">
      <c r="A87" s="528"/>
      <c r="B87" s="506">
        <v>3160</v>
      </c>
      <c r="C87" s="505" t="s">
        <v>1072</v>
      </c>
      <c r="D87" s="504" t="s">
        <v>120</v>
      </c>
      <c r="E87" s="2369" t="s">
        <v>1278</v>
      </c>
      <c r="F87" s="2369"/>
      <c r="G87" s="2369"/>
      <c r="H87" s="503">
        <v>2</v>
      </c>
      <c r="I87" s="502" t="str">
        <f t="shared" si="5"/>
        <v>3160-BLD-002</v>
      </c>
      <c r="J87" s="501" t="s">
        <v>5890</v>
      </c>
      <c r="K87" s="501" t="s">
        <v>5891</v>
      </c>
      <c r="L87" s="493" t="s">
        <v>4158</v>
      </c>
      <c r="M87" s="493" t="s">
        <v>2969</v>
      </c>
      <c r="N87" s="494">
        <v>1</v>
      </c>
      <c r="O87" s="494">
        <v>2</v>
      </c>
      <c r="P87" s="500">
        <v>8</v>
      </c>
      <c r="Q87" s="500">
        <v>20</v>
      </c>
      <c r="R87" s="499">
        <v>8</v>
      </c>
      <c r="S87" s="497">
        <f t="shared" si="6"/>
        <v>160</v>
      </c>
      <c r="T87" s="498">
        <f t="shared" si="7"/>
        <v>160</v>
      </c>
      <c r="U87" s="497" t="s">
        <v>5859</v>
      </c>
      <c r="V87" s="496" t="s">
        <v>5743</v>
      </c>
      <c r="W87" s="489" t="s">
        <v>5787</v>
      </c>
      <c r="X87" s="489" t="s">
        <v>5745</v>
      </c>
      <c r="Y87" s="495" t="s">
        <v>154</v>
      </c>
      <c r="Z87" s="495" t="s">
        <v>154</v>
      </c>
      <c r="AA87" s="495" t="s">
        <v>154</v>
      </c>
      <c r="AB87" s="495" t="s">
        <v>154</v>
      </c>
      <c r="AC87" s="490" t="s">
        <v>5747</v>
      </c>
      <c r="AD87" s="494">
        <v>22</v>
      </c>
      <c r="AE87" s="495" t="s">
        <v>5746</v>
      </c>
      <c r="AF87" s="489" t="s">
        <v>154</v>
      </c>
      <c r="AG87" s="491" t="s">
        <v>154</v>
      </c>
      <c r="AH87" s="491" t="s">
        <v>154</v>
      </c>
      <c r="AI87" s="489" t="s">
        <v>154</v>
      </c>
      <c r="AJ87" s="489" t="s">
        <v>154</v>
      </c>
      <c r="AK87" s="489" t="s">
        <v>154</v>
      </c>
      <c r="AL87" s="491" t="s">
        <v>154</v>
      </c>
      <c r="AM87" s="491" t="s">
        <v>154</v>
      </c>
      <c r="AN87" s="492" t="s">
        <v>5747</v>
      </c>
      <c r="AO87" s="489" t="s">
        <v>2872</v>
      </c>
      <c r="AP87" s="489" t="s">
        <v>154</v>
      </c>
      <c r="AQ87" s="489" t="s">
        <v>154</v>
      </c>
      <c r="AR87" s="489" t="s">
        <v>154</v>
      </c>
      <c r="AS87" s="487"/>
      <c r="AT87" s="488"/>
      <c r="AU87" s="487"/>
      <c r="AV87" s="487"/>
      <c r="AW87" s="487"/>
      <c r="AX87" s="569"/>
      <c r="AY87" s="569"/>
      <c r="AZ87" s="569"/>
      <c r="BA87" s="568"/>
      <c r="BB87" s="568"/>
      <c r="BC87" s="568"/>
      <c r="BD87" s="568"/>
      <c r="BE87" s="568"/>
      <c r="BF87" s="568"/>
      <c r="BG87" s="568">
        <v>1</v>
      </c>
      <c r="BH87" s="568">
        <v>1</v>
      </c>
      <c r="BI87" s="457"/>
    </row>
    <row r="88" spans="1:61" ht="24" customHeight="1">
      <c r="A88" s="528"/>
      <c r="B88" s="506">
        <v>3160</v>
      </c>
      <c r="C88" s="505" t="s">
        <v>1072</v>
      </c>
      <c r="D88" s="504" t="s">
        <v>120</v>
      </c>
      <c r="E88" s="2369" t="s">
        <v>1278</v>
      </c>
      <c r="F88" s="2369"/>
      <c r="G88" s="2369"/>
      <c r="H88" s="503">
        <v>3</v>
      </c>
      <c r="I88" s="502" t="str">
        <f t="shared" si="5"/>
        <v>3160-BLD-003</v>
      </c>
      <c r="J88" s="501" t="s">
        <v>5892</v>
      </c>
      <c r="K88" s="501" t="s">
        <v>5893</v>
      </c>
      <c r="L88" s="493" t="s">
        <v>4158</v>
      </c>
      <c r="M88" s="493" t="s">
        <v>2969</v>
      </c>
      <c r="N88" s="494">
        <v>1</v>
      </c>
      <c r="O88" s="494">
        <v>2</v>
      </c>
      <c r="P88" s="500">
        <v>8</v>
      </c>
      <c r="Q88" s="500">
        <v>20</v>
      </c>
      <c r="R88" s="499">
        <v>8</v>
      </c>
      <c r="S88" s="497">
        <f t="shared" si="6"/>
        <v>160</v>
      </c>
      <c r="T88" s="498">
        <f t="shared" si="7"/>
        <v>160</v>
      </c>
      <c r="U88" s="497" t="s">
        <v>5859</v>
      </c>
      <c r="V88" s="496" t="s">
        <v>5743</v>
      </c>
      <c r="W88" s="489" t="s">
        <v>5787</v>
      </c>
      <c r="X88" s="489" t="s">
        <v>5745</v>
      </c>
      <c r="Y88" s="495" t="s">
        <v>154</v>
      </c>
      <c r="Z88" s="495" t="s">
        <v>154</v>
      </c>
      <c r="AA88" s="495" t="s">
        <v>154</v>
      </c>
      <c r="AB88" s="495" t="s">
        <v>154</v>
      </c>
      <c r="AC88" s="490" t="s">
        <v>5747</v>
      </c>
      <c r="AD88" s="494">
        <v>22</v>
      </c>
      <c r="AE88" s="495" t="s">
        <v>5746</v>
      </c>
      <c r="AF88" s="489" t="s">
        <v>154</v>
      </c>
      <c r="AG88" s="491" t="s">
        <v>154</v>
      </c>
      <c r="AH88" s="491" t="s">
        <v>154</v>
      </c>
      <c r="AI88" s="489" t="s">
        <v>154</v>
      </c>
      <c r="AJ88" s="489" t="s">
        <v>154</v>
      </c>
      <c r="AK88" s="489" t="s">
        <v>154</v>
      </c>
      <c r="AL88" s="491" t="s">
        <v>154</v>
      </c>
      <c r="AM88" s="491" t="s">
        <v>154</v>
      </c>
      <c r="AN88" s="492" t="s">
        <v>5747</v>
      </c>
      <c r="AO88" s="489" t="s">
        <v>2872</v>
      </c>
      <c r="AP88" s="489" t="s">
        <v>154</v>
      </c>
      <c r="AQ88" s="489" t="s">
        <v>154</v>
      </c>
      <c r="AR88" s="489" t="s">
        <v>154</v>
      </c>
      <c r="AS88" s="487"/>
      <c r="AT88" s="488"/>
      <c r="AU88" s="487"/>
      <c r="AV88" s="487"/>
      <c r="AW88" s="487"/>
      <c r="AX88" s="569"/>
      <c r="AY88" s="569"/>
      <c r="AZ88" s="569"/>
      <c r="BA88" s="568"/>
      <c r="BB88" s="568"/>
      <c r="BC88" s="568"/>
      <c r="BD88" s="568"/>
      <c r="BE88" s="568"/>
      <c r="BF88" s="568"/>
      <c r="BG88" s="568">
        <v>1</v>
      </c>
      <c r="BH88" s="568">
        <v>1</v>
      </c>
      <c r="BI88" s="457"/>
    </row>
    <row r="89" spans="1:61" ht="24" customHeight="1" thickBot="1">
      <c r="A89" s="528"/>
      <c r="B89" s="1915">
        <v>3160</v>
      </c>
      <c r="C89" s="1916" t="s">
        <v>1072</v>
      </c>
      <c r="D89" s="1917" t="s">
        <v>120</v>
      </c>
      <c r="E89" s="2375" t="s">
        <v>1278</v>
      </c>
      <c r="F89" s="2375"/>
      <c r="G89" s="2375"/>
      <c r="H89" s="1918">
        <v>4</v>
      </c>
      <c r="I89" s="1919" t="str">
        <f t="shared" si="5"/>
        <v>3160-BLD-004</v>
      </c>
      <c r="J89" s="1920" t="s">
        <v>5894</v>
      </c>
      <c r="K89" s="501" t="s">
        <v>5895</v>
      </c>
      <c r="L89" s="1921" t="s">
        <v>4158</v>
      </c>
      <c r="M89" s="1921" t="s">
        <v>2969</v>
      </c>
      <c r="N89" s="1922">
        <v>1</v>
      </c>
      <c r="O89" s="1922">
        <v>2</v>
      </c>
      <c r="P89" s="1924">
        <v>8</v>
      </c>
      <c r="Q89" s="1924">
        <v>20</v>
      </c>
      <c r="R89" s="1925">
        <v>8</v>
      </c>
      <c r="S89" s="1926">
        <f t="shared" si="6"/>
        <v>160</v>
      </c>
      <c r="T89" s="1927">
        <f t="shared" si="7"/>
        <v>160</v>
      </c>
      <c r="U89" s="1926" t="s">
        <v>5859</v>
      </c>
      <c r="V89" s="1928" t="s">
        <v>5743</v>
      </c>
      <c r="W89" s="1929" t="s">
        <v>5787</v>
      </c>
      <c r="X89" s="1929" t="s">
        <v>5745</v>
      </c>
      <c r="Y89" s="1930" t="s">
        <v>154</v>
      </c>
      <c r="Z89" s="1930" t="s">
        <v>154</v>
      </c>
      <c r="AA89" s="1930" t="s">
        <v>154</v>
      </c>
      <c r="AB89" s="1930" t="s">
        <v>154</v>
      </c>
      <c r="AC89" s="1933" t="s">
        <v>5747</v>
      </c>
      <c r="AD89" s="1922">
        <v>22</v>
      </c>
      <c r="AE89" s="1930" t="s">
        <v>5746</v>
      </c>
      <c r="AF89" s="1929" t="s">
        <v>154</v>
      </c>
      <c r="AG89" s="1932" t="s">
        <v>154</v>
      </c>
      <c r="AH89" s="1932" t="s">
        <v>154</v>
      </c>
      <c r="AI89" s="1929" t="s">
        <v>154</v>
      </c>
      <c r="AJ89" s="1929" t="s">
        <v>154</v>
      </c>
      <c r="AK89" s="1929" t="s">
        <v>154</v>
      </c>
      <c r="AL89" s="1932" t="s">
        <v>154</v>
      </c>
      <c r="AM89" s="1932" t="s">
        <v>154</v>
      </c>
      <c r="AN89" s="1931" t="s">
        <v>5747</v>
      </c>
      <c r="AO89" s="1929" t="s">
        <v>2872</v>
      </c>
      <c r="AP89" s="1929" t="s">
        <v>154</v>
      </c>
      <c r="AQ89" s="1929" t="s">
        <v>154</v>
      </c>
      <c r="AR89" s="1929" t="s">
        <v>154</v>
      </c>
      <c r="AS89" s="487"/>
      <c r="AT89" s="488"/>
      <c r="AU89" s="487"/>
      <c r="AV89" s="487"/>
      <c r="AW89" s="487"/>
      <c r="AX89" s="569"/>
      <c r="AY89" s="569"/>
      <c r="AZ89" s="569"/>
      <c r="BA89" s="568"/>
      <c r="BB89" s="568"/>
      <c r="BC89" s="568"/>
      <c r="BD89" s="568"/>
      <c r="BE89" s="568"/>
      <c r="BF89" s="568"/>
      <c r="BG89" s="568">
        <v>1</v>
      </c>
      <c r="BH89" s="568">
        <v>1</v>
      </c>
      <c r="BI89" s="457"/>
    </row>
    <row r="90" spans="1:61" s="552" customFormat="1" ht="24" customHeight="1" thickTop="1">
      <c r="A90" s="528"/>
      <c r="B90" s="627">
        <v>4110</v>
      </c>
      <c r="C90" s="626" t="s">
        <v>1316</v>
      </c>
      <c r="D90" s="625" t="s">
        <v>120</v>
      </c>
      <c r="E90" s="2376" t="s">
        <v>122</v>
      </c>
      <c r="F90" s="2376"/>
      <c r="G90" s="2376"/>
      <c r="H90" s="624">
        <v>1</v>
      </c>
      <c r="I90" s="623" t="str">
        <f t="shared" si="5"/>
        <v>4110-BLD-001</v>
      </c>
      <c r="J90" s="622" t="s">
        <v>5874</v>
      </c>
      <c r="K90" s="622" t="s">
        <v>5896</v>
      </c>
      <c r="L90" s="621" t="s">
        <v>5742</v>
      </c>
      <c r="M90" s="621" t="s">
        <v>2969</v>
      </c>
      <c r="N90" s="617">
        <v>1</v>
      </c>
      <c r="O90" s="617" t="s">
        <v>154</v>
      </c>
      <c r="P90" s="620">
        <v>8</v>
      </c>
      <c r="Q90" s="620">
        <v>20</v>
      </c>
      <c r="R90" s="619">
        <v>8</v>
      </c>
      <c r="S90" s="541">
        <f t="shared" si="6"/>
        <v>160</v>
      </c>
      <c r="T90" s="541">
        <f t="shared" si="7"/>
        <v>160</v>
      </c>
      <c r="U90" s="541"/>
      <c r="V90" s="618" t="s">
        <v>5743</v>
      </c>
      <c r="W90" s="614" t="s">
        <v>5744</v>
      </c>
      <c r="X90" s="614" t="s">
        <v>5745</v>
      </c>
      <c r="Y90" s="616" t="s">
        <v>154</v>
      </c>
      <c r="Z90" s="616" t="s">
        <v>154</v>
      </c>
      <c r="AA90" s="616" t="s">
        <v>154</v>
      </c>
      <c r="AB90" s="616" t="s">
        <v>154</v>
      </c>
      <c r="AC90" s="616" t="s">
        <v>154</v>
      </c>
      <c r="AD90" s="617">
        <v>5</v>
      </c>
      <c r="AE90" s="616" t="s">
        <v>5746</v>
      </c>
      <c r="AF90" s="538" t="s">
        <v>5747</v>
      </c>
      <c r="AG90" s="615" t="s">
        <v>154</v>
      </c>
      <c r="AH90" s="615" t="s">
        <v>154</v>
      </c>
      <c r="AI90" s="614" t="s">
        <v>154</v>
      </c>
      <c r="AJ90" s="614" t="s">
        <v>154</v>
      </c>
      <c r="AK90" s="614" t="s">
        <v>154</v>
      </c>
      <c r="AL90" s="615" t="s">
        <v>154</v>
      </c>
      <c r="AM90" s="615" t="s">
        <v>154</v>
      </c>
      <c r="AN90" s="538" t="s">
        <v>5747</v>
      </c>
      <c r="AO90" s="614" t="s">
        <v>2872</v>
      </c>
      <c r="AP90" s="614" t="s">
        <v>5748</v>
      </c>
      <c r="AQ90" s="614" t="s">
        <v>154</v>
      </c>
      <c r="AR90" s="614" t="s">
        <v>154</v>
      </c>
      <c r="AS90" s="559"/>
      <c r="AT90" s="567"/>
      <c r="AU90" s="559"/>
      <c r="AV90" s="559"/>
      <c r="AW90" s="559"/>
      <c r="AX90" s="555"/>
      <c r="AY90" s="555"/>
      <c r="AZ90" s="555"/>
      <c r="BA90" s="554"/>
      <c r="BB90" s="554"/>
      <c r="BC90" s="554"/>
      <c r="BD90" s="554"/>
      <c r="BE90" s="554"/>
      <c r="BF90" s="554"/>
      <c r="BG90" s="554"/>
      <c r="BH90" s="554">
        <v>1</v>
      </c>
      <c r="BI90" s="574" t="s">
        <v>5897</v>
      </c>
    </row>
    <row r="91" spans="1:61" s="552" customFormat="1" ht="24" customHeight="1">
      <c r="A91" s="528"/>
      <c r="B91" s="522">
        <v>4110</v>
      </c>
      <c r="C91" s="566" t="s">
        <v>1316</v>
      </c>
      <c r="D91" s="565" t="s">
        <v>120</v>
      </c>
      <c r="E91" s="2371" t="s">
        <v>122</v>
      </c>
      <c r="F91" s="2371"/>
      <c r="G91" s="2371"/>
      <c r="H91" s="527">
        <v>2</v>
      </c>
      <c r="I91" s="526" t="str">
        <f t="shared" si="5"/>
        <v>4110-BLD-002</v>
      </c>
      <c r="J91" s="525" t="s">
        <v>5875</v>
      </c>
      <c r="K91" s="525" t="s">
        <v>5898</v>
      </c>
      <c r="L91" s="519" t="s">
        <v>5742</v>
      </c>
      <c r="M91" s="519" t="s">
        <v>2969</v>
      </c>
      <c r="N91" s="560">
        <v>1</v>
      </c>
      <c r="O91" s="560" t="s">
        <v>154</v>
      </c>
      <c r="P91" s="564">
        <v>8</v>
      </c>
      <c r="Q91" s="564">
        <v>20</v>
      </c>
      <c r="R91" s="563">
        <v>8</v>
      </c>
      <c r="S91" s="498">
        <f t="shared" si="6"/>
        <v>160</v>
      </c>
      <c r="T91" s="498">
        <f t="shared" si="7"/>
        <v>160</v>
      </c>
      <c r="U91" s="498"/>
      <c r="V91" s="562" t="s">
        <v>5743</v>
      </c>
      <c r="W91" s="559" t="s">
        <v>5744</v>
      </c>
      <c r="X91" s="559" t="s">
        <v>5745</v>
      </c>
      <c r="Y91" s="561" t="s">
        <v>154</v>
      </c>
      <c r="Z91" s="561" t="s">
        <v>154</v>
      </c>
      <c r="AA91" s="561" t="s">
        <v>154</v>
      </c>
      <c r="AB91" s="561" t="s">
        <v>154</v>
      </c>
      <c r="AC91" s="561" t="s">
        <v>154</v>
      </c>
      <c r="AD91" s="560">
        <v>5</v>
      </c>
      <c r="AE91" s="561" t="s">
        <v>5746</v>
      </c>
      <c r="AF91" s="492" t="s">
        <v>5747</v>
      </c>
      <c r="AG91" s="557" t="s">
        <v>154</v>
      </c>
      <c r="AH91" s="557" t="s">
        <v>154</v>
      </c>
      <c r="AI91" s="559" t="s">
        <v>154</v>
      </c>
      <c r="AJ91" s="559" t="s">
        <v>154</v>
      </c>
      <c r="AK91" s="559" t="s">
        <v>154</v>
      </c>
      <c r="AL91" s="557" t="s">
        <v>154</v>
      </c>
      <c r="AM91" s="557" t="s">
        <v>154</v>
      </c>
      <c r="AN91" s="492" t="s">
        <v>5747</v>
      </c>
      <c r="AO91" s="559" t="s">
        <v>2872</v>
      </c>
      <c r="AP91" s="559" t="s">
        <v>5748</v>
      </c>
      <c r="AQ91" s="559" t="s">
        <v>154</v>
      </c>
      <c r="AR91" s="559" t="s">
        <v>154</v>
      </c>
      <c r="AS91" s="559"/>
      <c r="AT91" s="567"/>
      <c r="AU91" s="559"/>
      <c r="AV91" s="559"/>
      <c r="AW91" s="559"/>
      <c r="AX91" s="555"/>
      <c r="AY91" s="555"/>
      <c r="AZ91" s="555"/>
      <c r="BA91" s="554"/>
      <c r="BB91" s="554"/>
      <c r="BC91" s="554"/>
      <c r="BD91" s="554"/>
      <c r="BE91" s="554"/>
      <c r="BF91" s="554"/>
      <c r="BG91" s="554"/>
      <c r="BH91" s="554"/>
      <c r="BI91" s="574"/>
    </row>
    <row r="92" spans="1:61" s="593" customFormat="1" ht="24" customHeight="1">
      <c r="A92" s="613"/>
      <c r="B92" s="612">
        <v>4110</v>
      </c>
      <c r="C92" s="611" t="s">
        <v>119</v>
      </c>
      <c r="D92" s="610" t="s">
        <v>120</v>
      </c>
      <c r="E92" s="2377" t="s">
        <v>122</v>
      </c>
      <c r="F92" s="2377"/>
      <c r="G92" s="2377"/>
      <c r="H92" s="609">
        <v>3</v>
      </c>
      <c r="I92" s="608" t="str">
        <f t="shared" si="5"/>
        <v>4110-BLD-003</v>
      </c>
      <c r="J92" s="607" t="s">
        <v>5749</v>
      </c>
      <c r="K92" s="607"/>
      <c r="L92" s="601" t="s">
        <v>154</v>
      </c>
      <c r="M92" s="606"/>
      <c r="N92" s="601">
        <v>1</v>
      </c>
      <c r="O92" s="601" t="s">
        <v>154</v>
      </c>
      <c r="P92" s="605">
        <v>8</v>
      </c>
      <c r="Q92" s="605">
        <v>40</v>
      </c>
      <c r="R92" s="604">
        <v>10</v>
      </c>
      <c r="S92" s="603"/>
      <c r="T92" s="603"/>
      <c r="U92" s="603"/>
      <c r="V92" s="602"/>
      <c r="W92" s="596"/>
      <c r="X92" s="596"/>
      <c r="Y92" s="600"/>
      <c r="Z92" s="600"/>
      <c r="AA92" s="600"/>
      <c r="AB92" s="600"/>
      <c r="AC92" s="600"/>
      <c r="AD92" s="601"/>
      <c r="AE92" s="600"/>
      <c r="AF92" s="598"/>
      <c r="AG92" s="599"/>
      <c r="AH92" s="599"/>
      <c r="AI92" s="596"/>
      <c r="AJ92" s="596"/>
      <c r="AK92" s="596"/>
      <c r="AL92" s="599"/>
      <c r="AM92" s="599"/>
      <c r="AN92" s="598" t="s">
        <v>5747</v>
      </c>
      <c r="AO92" s="596" t="s">
        <v>2872</v>
      </c>
      <c r="AP92" s="596" t="s">
        <v>5750</v>
      </c>
      <c r="AQ92" s="596" t="s">
        <v>154</v>
      </c>
      <c r="AR92" s="596" t="s">
        <v>154</v>
      </c>
      <c r="AS92" s="596"/>
      <c r="AT92" s="597"/>
      <c r="AU92" s="596"/>
      <c r="AV92" s="596"/>
      <c r="AW92" s="596"/>
      <c r="AX92" s="572"/>
      <c r="AY92" s="595"/>
      <c r="AZ92" s="595"/>
      <c r="BA92" s="594"/>
      <c r="BB92" s="594"/>
      <c r="BC92" s="594"/>
      <c r="BD92" s="594"/>
      <c r="BE92" s="594"/>
      <c r="BF92" s="594"/>
      <c r="BG92" s="594"/>
      <c r="BH92" s="594"/>
      <c r="BI92" s="594"/>
    </row>
    <row r="93" spans="1:61" s="552" customFormat="1" ht="24" customHeight="1">
      <c r="A93" s="528"/>
      <c r="B93" s="522">
        <v>4211</v>
      </c>
      <c r="C93" s="566" t="s">
        <v>1316</v>
      </c>
      <c r="D93" s="565" t="s">
        <v>1394</v>
      </c>
      <c r="E93" s="2371" t="s">
        <v>1311</v>
      </c>
      <c r="F93" s="2371"/>
      <c r="G93" s="2371"/>
      <c r="H93" s="527">
        <v>1</v>
      </c>
      <c r="I93" s="526" t="str">
        <f t="shared" si="5"/>
        <v>4211-BLD-001</v>
      </c>
      <c r="J93" s="525" t="s">
        <v>1402</v>
      </c>
      <c r="K93" s="525"/>
      <c r="L93" s="519" t="s">
        <v>5899</v>
      </c>
      <c r="M93" s="519" t="s">
        <v>2969</v>
      </c>
      <c r="N93" s="560">
        <v>1</v>
      </c>
      <c r="O93" s="560" t="s">
        <v>154</v>
      </c>
      <c r="P93" s="564">
        <v>40</v>
      </c>
      <c r="Q93" s="564">
        <v>92</v>
      </c>
      <c r="R93" s="563">
        <v>10</v>
      </c>
      <c r="S93" s="498">
        <f t="shared" ref="S93:S124" si="8">PRODUCT(Q93,P93)</f>
        <v>3680</v>
      </c>
      <c r="T93" s="498">
        <f t="shared" ref="T93:T124" si="9">S93</f>
        <v>3680</v>
      </c>
      <c r="U93" s="498"/>
      <c r="V93" s="562" t="s">
        <v>5786</v>
      </c>
      <c r="W93" s="559" t="s">
        <v>5744</v>
      </c>
      <c r="X93" s="559" t="s">
        <v>5745</v>
      </c>
      <c r="Y93" s="561"/>
      <c r="Z93" s="559"/>
      <c r="AA93" s="561"/>
      <c r="AB93" s="561"/>
      <c r="AC93" s="561"/>
      <c r="AD93" s="560"/>
      <c r="AE93" s="519"/>
      <c r="AF93" s="559"/>
      <c r="AG93" s="559"/>
      <c r="AH93" s="559"/>
      <c r="AI93" s="559"/>
      <c r="AJ93" s="559"/>
      <c r="AK93" s="559"/>
      <c r="AL93" s="559"/>
      <c r="AM93" s="559"/>
      <c r="AN93" s="559"/>
      <c r="AO93" s="559" t="s">
        <v>2872</v>
      </c>
      <c r="AP93" s="559" t="s">
        <v>5756</v>
      </c>
      <c r="AQ93" s="559" t="s">
        <v>5756</v>
      </c>
      <c r="AR93" s="559" t="s">
        <v>154</v>
      </c>
      <c r="AS93" s="487">
        <v>2</v>
      </c>
      <c r="AT93" s="488" t="s">
        <v>5757</v>
      </c>
      <c r="AU93" s="487"/>
      <c r="AV93" s="487"/>
      <c r="AW93" s="487"/>
      <c r="AX93" s="570" t="s">
        <v>5747</v>
      </c>
      <c r="AY93" s="555"/>
      <c r="AZ93" s="555"/>
      <c r="BA93" s="554"/>
      <c r="BB93" s="554"/>
      <c r="BC93" s="554"/>
      <c r="BD93" s="554"/>
      <c r="BE93" s="554"/>
      <c r="BF93" s="554"/>
      <c r="BG93" s="554"/>
      <c r="BH93" s="554">
        <v>1</v>
      </c>
      <c r="BI93" s="574" t="s">
        <v>5897</v>
      </c>
    </row>
    <row r="94" spans="1:61" s="552" customFormat="1" ht="24" customHeight="1">
      <c r="A94" s="528"/>
      <c r="B94" s="522">
        <v>4212</v>
      </c>
      <c r="C94" s="566" t="s">
        <v>1316</v>
      </c>
      <c r="D94" s="565" t="s">
        <v>1394</v>
      </c>
      <c r="E94" s="2371" t="s">
        <v>1311</v>
      </c>
      <c r="F94" s="2371"/>
      <c r="G94" s="2371"/>
      <c r="H94" s="527">
        <v>1</v>
      </c>
      <c r="I94" s="526" t="str">
        <f t="shared" si="5"/>
        <v>4212-BLD-001</v>
      </c>
      <c r="J94" s="525" t="s">
        <v>1410</v>
      </c>
      <c r="K94" s="525"/>
      <c r="L94" s="519" t="s">
        <v>5899</v>
      </c>
      <c r="M94" s="519" t="s">
        <v>2969</v>
      </c>
      <c r="N94" s="560">
        <v>1</v>
      </c>
      <c r="O94" s="560" t="s">
        <v>154</v>
      </c>
      <c r="P94" s="564">
        <v>40</v>
      </c>
      <c r="Q94" s="564">
        <v>100</v>
      </c>
      <c r="R94" s="563">
        <v>18</v>
      </c>
      <c r="S94" s="498">
        <f t="shared" si="8"/>
        <v>4000</v>
      </c>
      <c r="T94" s="498">
        <f t="shared" si="9"/>
        <v>4000</v>
      </c>
      <c r="U94" s="498"/>
      <c r="V94" s="562" t="s">
        <v>5792</v>
      </c>
      <c r="W94" s="559" t="s">
        <v>5744</v>
      </c>
      <c r="X94" s="559" t="s">
        <v>5794</v>
      </c>
      <c r="Y94" s="561"/>
      <c r="Z94" s="561"/>
      <c r="AA94" s="561"/>
      <c r="AB94" s="561"/>
      <c r="AC94" s="561"/>
      <c r="AD94" s="560"/>
      <c r="AE94" s="519"/>
      <c r="AF94" s="559"/>
      <c r="AG94" s="559"/>
      <c r="AH94" s="559"/>
      <c r="AI94" s="559"/>
      <c r="AJ94" s="559"/>
      <c r="AK94" s="559"/>
      <c r="AL94" s="559"/>
      <c r="AM94" s="559"/>
      <c r="AN94" s="559"/>
      <c r="AO94" s="559" t="s">
        <v>2872</v>
      </c>
      <c r="AP94" s="559" t="s">
        <v>154</v>
      </c>
      <c r="AQ94" s="559" t="s">
        <v>154</v>
      </c>
      <c r="AR94" s="559" t="s">
        <v>154</v>
      </c>
      <c r="AS94" s="559"/>
      <c r="AT94" s="567"/>
      <c r="AU94" s="559"/>
      <c r="AV94" s="559"/>
      <c r="AW94" s="559"/>
      <c r="AX94" s="555"/>
      <c r="AY94" s="555"/>
      <c r="AZ94" s="555"/>
      <c r="BA94" s="554"/>
      <c r="BB94" s="554"/>
      <c r="BC94" s="554"/>
      <c r="BD94" s="554"/>
      <c r="BE94" s="554"/>
      <c r="BF94" s="554"/>
      <c r="BG94" s="554"/>
      <c r="BH94" s="554">
        <v>1</v>
      </c>
      <c r="BI94" s="574"/>
    </row>
    <row r="95" spans="1:61" s="552" customFormat="1" ht="24" customHeight="1">
      <c r="A95" s="528"/>
      <c r="B95" s="522">
        <v>4213</v>
      </c>
      <c r="C95" s="566" t="s">
        <v>1316</v>
      </c>
      <c r="D95" s="565" t="s">
        <v>1394</v>
      </c>
      <c r="E95" s="2371" t="s">
        <v>1311</v>
      </c>
      <c r="F95" s="2371"/>
      <c r="G95" s="2371"/>
      <c r="H95" s="527">
        <v>1</v>
      </c>
      <c r="I95" s="526" t="str">
        <f t="shared" si="5"/>
        <v>4213-BLD-001</v>
      </c>
      <c r="J95" s="525" t="s">
        <v>1307</v>
      </c>
      <c r="K95" s="525"/>
      <c r="L95" s="519" t="s">
        <v>5899</v>
      </c>
      <c r="M95" s="519" t="s">
        <v>2969</v>
      </c>
      <c r="N95" s="560">
        <v>1</v>
      </c>
      <c r="O95" s="560" t="s">
        <v>154</v>
      </c>
      <c r="P95" s="564">
        <v>12</v>
      </c>
      <c r="Q95" s="564">
        <v>30</v>
      </c>
      <c r="R95" s="563">
        <v>10</v>
      </c>
      <c r="S95" s="498">
        <f t="shared" si="8"/>
        <v>360</v>
      </c>
      <c r="T95" s="498">
        <f t="shared" si="9"/>
        <v>360</v>
      </c>
      <c r="U95" s="498"/>
      <c r="V95" s="562" t="s">
        <v>5753</v>
      </c>
      <c r="W95" s="559" t="s">
        <v>5744</v>
      </c>
      <c r="X95" s="559" t="s">
        <v>5745</v>
      </c>
      <c r="Y95" s="561"/>
      <c r="Z95" s="561"/>
      <c r="AA95" s="561"/>
      <c r="AB95" s="561"/>
      <c r="AC95" s="561"/>
      <c r="AD95" s="560"/>
      <c r="AE95" s="519"/>
      <c r="AF95" s="559"/>
      <c r="AG95" s="559"/>
      <c r="AH95" s="559"/>
      <c r="AI95" s="559"/>
      <c r="AJ95" s="559"/>
      <c r="AK95" s="559"/>
      <c r="AL95" s="559"/>
      <c r="AM95" s="559"/>
      <c r="AN95" s="559"/>
      <c r="AO95" s="557" t="s">
        <v>154</v>
      </c>
      <c r="AP95" s="559" t="s">
        <v>154</v>
      </c>
      <c r="AQ95" s="559" t="s">
        <v>154</v>
      </c>
      <c r="AR95" s="559" t="s">
        <v>154</v>
      </c>
      <c r="AS95" s="559"/>
      <c r="AT95" s="567"/>
      <c r="AU95" s="559"/>
      <c r="AV95" s="559"/>
      <c r="AW95" s="559"/>
      <c r="AX95" s="555"/>
      <c r="AY95" s="555"/>
      <c r="AZ95" s="555"/>
      <c r="BA95" s="554"/>
      <c r="BB95" s="554"/>
      <c r="BC95" s="554"/>
      <c r="BD95" s="554"/>
      <c r="BE95" s="554"/>
      <c r="BF95" s="554"/>
      <c r="BG95" s="554"/>
      <c r="BH95" s="554"/>
      <c r="BI95" s="574"/>
    </row>
    <row r="96" spans="1:61" ht="24" customHeight="1">
      <c r="B96" s="506">
        <v>4281</v>
      </c>
      <c r="C96" s="505" t="s">
        <v>1316</v>
      </c>
      <c r="D96" s="504" t="s">
        <v>1394</v>
      </c>
      <c r="E96" s="2369" t="s">
        <v>1439</v>
      </c>
      <c r="F96" s="2369"/>
      <c r="G96" s="2369"/>
      <c r="H96" s="503">
        <v>1</v>
      </c>
      <c r="I96" s="502" t="str">
        <f t="shared" si="5"/>
        <v>4281-BLD-001</v>
      </c>
      <c r="J96" s="501" t="s">
        <v>1441</v>
      </c>
      <c r="K96" s="592"/>
      <c r="L96" s="493" t="s">
        <v>4158</v>
      </c>
      <c r="M96" s="493" t="s">
        <v>2969</v>
      </c>
      <c r="N96" s="494">
        <v>1</v>
      </c>
      <c r="O96" s="494">
        <v>28</v>
      </c>
      <c r="P96" s="500">
        <v>48</v>
      </c>
      <c r="Q96" s="500">
        <v>60</v>
      </c>
      <c r="R96" s="499">
        <v>8</v>
      </c>
      <c r="S96" s="497">
        <f t="shared" si="8"/>
        <v>2880</v>
      </c>
      <c r="T96" s="498">
        <f t="shared" si="9"/>
        <v>2880</v>
      </c>
      <c r="U96" s="497" t="s">
        <v>3454</v>
      </c>
      <c r="V96" s="496" t="s">
        <v>5786</v>
      </c>
      <c r="W96" s="489" t="s">
        <v>5787</v>
      </c>
      <c r="X96" s="489" t="s">
        <v>5745</v>
      </c>
      <c r="Y96" s="591" t="s">
        <v>5747</v>
      </c>
      <c r="Z96" s="495" t="s">
        <v>154</v>
      </c>
      <c r="AA96" s="591" t="s">
        <v>5747</v>
      </c>
      <c r="AB96" s="495" t="s">
        <v>154</v>
      </c>
      <c r="AC96" s="591" t="s">
        <v>5747</v>
      </c>
      <c r="AD96" s="494">
        <v>22</v>
      </c>
      <c r="AE96" s="493" t="s">
        <v>5746</v>
      </c>
      <c r="AF96" s="489" t="s">
        <v>154</v>
      </c>
      <c r="AG96" s="491" t="s">
        <v>154</v>
      </c>
      <c r="AH96" s="489" t="s">
        <v>154</v>
      </c>
      <c r="AI96" s="491" t="s">
        <v>5755</v>
      </c>
      <c r="AJ96" s="489" t="s">
        <v>154</v>
      </c>
      <c r="AK96" s="489" t="s">
        <v>154</v>
      </c>
      <c r="AL96" s="491" t="s">
        <v>154</v>
      </c>
      <c r="AM96" s="492" t="s">
        <v>5747</v>
      </c>
      <c r="AN96" s="489" t="s">
        <v>154</v>
      </c>
      <c r="AO96" s="489" t="s">
        <v>3454</v>
      </c>
      <c r="AP96" s="489" t="s">
        <v>5750</v>
      </c>
      <c r="AQ96" s="489" t="s">
        <v>5756</v>
      </c>
      <c r="AR96" s="489" t="s">
        <v>154</v>
      </c>
      <c r="AS96" s="487">
        <v>40</v>
      </c>
      <c r="AT96" s="488" t="s">
        <v>5789</v>
      </c>
      <c r="AU96" s="487" t="s">
        <v>5762</v>
      </c>
      <c r="AV96" s="487"/>
      <c r="AW96" s="487"/>
      <c r="AX96" s="570" t="s">
        <v>5747</v>
      </c>
      <c r="AY96" s="570" t="s">
        <v>5747</v>
      </c>
      <c r="AZ96" s="570"/>
      <c r="BA96" s="568"/>
      <c r="BB96" s="568"/>
      <c r="BC96" s="568"/>
      <c r="BD96" s="568"/>
      <c r="BE96" s="568">
        <v>1</v>
      </c>
      <c r="BF96" s="568"/>
      <c r="BG96" s="568"/>
      <c r="BH96" s="568">
        <v>1</v>
      </c>
      <c r="BI96" s="457"/>
    </row>
    <row r="97" spans="1:61" ht="24" customHeight="1">
      <c r="A97" s="528"/>
      <c r="B97" s="506">
        <v>4281</v>
      </c>
      <c r="C97" s="505" t="s">
        <v>1316</v>
      </c>
      <c r="D97" s="504" t="s">
        <v>1394</v>
      </c>
      <c r="E97" s="2369" t="s">
        <v>1439</v>
      </c>
      <c r="F97" s="2369"/>
      <c r="G97" s="2369"/>
      <c r="H97" s="503">
        <v>2</v>
      </c>
      <c r="I97" s="502" t="str">
        <f t="shared" si="5"/>
        <v>4281-BLD-002</v>
      </c>
      <c r="J97" s="501" t="s">
        <v>5900</v>
      </c>
      <c r="K97" s="501" t="s">
        <v>5901</v>
      </c>
      <c r="L97" s="493" t="s">
        <v>4158</v>
      </c>
      <c r="M97" s="493" t="s">
        <v>2969</v>
      </c>
      <c r="N97" s="494">
        <v>1</v>
      </c>
      <c r="O97" s="529">
        <v>9</v>
      </c>
      <c r="P97" s="500">
        <v>12</v>
      </c>
      <c r="Q97" s="500">
        <v>40</v>
      </c>
      <c r="R97" s="499">
        <v>8</v>
      </c>
      <c r="S97" s="497">
        <f t="shared" si="8"/>
        <v>480</v>
      </c>
      <c r="T97" s="498">
        <f t="shared" si="9"/>
        <v>480</v>
      </c>
      <c r="U97" s="497" t="s">
        <v>5791</v>
      </c>
      <c r="V97" s="496" t="s">
        <v>5753</v>
      </c>
      <c r="W97" s="489" t="s">
        <v>5744</v>
      </c>
      <c r="X97" s="489" t="s">
        <v>5745</v>
      </c>
      <c r="Y97" s="495" t="s">
        <v>154</v>
      </c>
      <c r="Z97" s="490" t="s">
        <v>5747</v>
      </c>
      <c r="AA97" s="495" t="s">
        <v>154</v>
      </c>
      <c r="AB97" s="495" t="s">
        <v>154</v>
      </c>
      <c r="AC97" s="495" t="s">
        <v>154</v>
      </c>
      <c r="AD97" s="494">
        <v>22</v>
      </c>
      <c r="AE97" s="493" t="s">
        <v>5746</v>
      </c>
      <c r="AF97" s="489" t="s">
        <v>154</v>
      </c>
      <c r="AG97" s="489" t="s">
        <v>154</v>
      </c>
      <c r="AH97" s="489" t="s">
        <v>5754</v>
      </c>
      <c r="AI97" s="489" t="s">
        <v>154</v>
      </c>
      <c r="AJ97" s="489" t="s">
        <v>5754</v>
      </c>
      <c r="AK97" s="489" t="s">
        <v>154</v>
      </c>
      <c r="AL97" s="489" t="s">
        <v>154</v>
      </c>
      <c r="AM97" s="491" t="s">
        <v>154</v>
      </c>
      <c r="AN97" s="492" t="s">
        <v>5747</v>
      </c>
      <c r="AO97" s="489" t="s">
        <v>3454</v>
      </c>
      <c r="AP97" s="489" t="s">
        <v>154</v>
      </c>
      <c r="AQ97" s="489" t="s">
        <v>154</v>
      </c>
      <c r="AR97" s="489" t="s">
        <v>154</v>
      </c>
      <c r="AS97" s="487"/>
      <c r="AT97" s="488"/>
      <c r="AU97" s="487"/>
      <c r="AV97" s="487"/>
      <c r="AW97" s="487"/>
      <c r="AX97" s="486"/>
      <c r="AY97" s="486"/>
      <c r="AZ97" s="486"/>
    </row>
    <row r="98" spans="1:61" s="583" customFormat="1" ht="34.5" customHeight="1">
      <c r="A98" s="528" t="s">
        <v>5747</v>
      </c>
      <c r="B98" s="522">
        <v>4381</v>
      </c>
      <c r="C98" s="566" t="s">
        <v>1316</v>
      </c>
      <c r="D98" s="565" t="s">
        <v>222</v>
      </c>
      <c r="E98" s="2371" t="s">
        <v>913</v>
      </c>
      <c r="F98" s="2371"/>
      <c r="G98" s="2371"/>
      <c r="H98" s="527">
        <v>1</v>
      </c>
      <c r="I98" s="526" t="s">
        <v>1475</v>
      </c>
      <c r="J98" s="525" t="s">
        <v>5902</v>
      </c>
      <c r="K98" s="524"/>
      <c r="L98" s="519" t="s">
        <v>5903</v>
      </c>
      <c r="M98" s="522">
        <v>1</v>
      </c>
      <c r="N98" s="522">
        <v>1</v>
      </c>
      <c r="O98" s="522" t="s">
        <v>154</v>
      </c>
      <c r="P98" s="563">
        <v>8</v>
      </c>
      <c r="Q98" s="563">
        <v>53</v>
      </c>
      <c r="R98" s="563">
        <v>14</v>
      </c>
      <c r="S98" s="498">
        <f t="shared" si="8"/>
        <v>424</v>
      </c>
      <c r="T98" s="498">
        <f t="shared" si="9"/>
        <v>424</v>
      </c>
      <c r="U98" s="520"/>
      <c r="V98" s="519" t="s">
        <v>5761</v>
      </c>
      <c r="W98" s="518" t="s">
        <v>5744</v>
      </c>
      <c r="X98" s="518" t="s">
        <v>5745</v>
      </c>
      <c r="Y98" s="590" t="s">
        <v>154</v>
      </c>
      <c r="Z98" s="590" t="s">
        <v>154</v>
      </c>
      <c r="AA98" s="590" t="s">
        <v>154</v>
      </c>
      <c r="AB98" s="590" t="s">
        <v>154</v>
      </c>
      <c r="AC98" s="590" t="s">
        <v>154</v>
      </c>
      <c r="AD98" s="522">
        <v>22</v>
      </c>
      <c r="AE98" s="590" t="s">
        <v>5746</v>
      </c>
      <c r="AF98" s="589" t="s">
        <v>5747</v>
      </c>
      <c r="AG98" s="588" t="s">
        <v>154</v>
      </c>
      <c r="AH98" s="588" t="s">
        <v>154</v>
      </c>
      <c r="AI98" s="518" t="s">
        <v>154</v>
      </c>
      <c r="AJ98" s="518" t="s">
        <v>154</v>
      </c>
      <c r="AK98" s="518" t="s">
        <v>154</v>
      </c>
      <c r="AL98" s="518" t="s">
        <v>5839</v>
      </c>
      <c r="AM98" s="518" t="s">
        <v>5839</v>
      </c>
      <c r="AN98" s="518" t="s">
        <v>5839</v>
      </c>
      <c r="AO98" s="518" t="s">
        <v>3454</v>
      </c>
      <c r="AP98" s="518" t="s">
        <v>5774</v>
      </c>
      <c r="AQ98" s="518" t="s">
        <v>154</v>
      </c>
      <c r="AR98" s="518" t="s">
        <v>154</v>
      </c>
      <c r="AS98" s="586">
        <v>2</v>
      </c>
      <c r="AT98" s="587" t="s">
        <v>5765</v>
      </c>
      <c r="AU98" s="586"/>
      <c r="AV98" s="586"/>
      <c r="AW98" s="586"/>
      <c r="AX98" s="585"/>
      <c r="AY98" s="585"/>
      <c r="AZ98" s="572" t="s">
        <v>5747</v>
      </c>
      <c r="BA98" s="584"/>
      <c r="BB98" s="584"/>
      <c r="BC98" s="584"/>
      <c r="BD98" s="584"/>
      <c r="BE98" s="584"/>
      <c r="BF98" s="584"/>
      <c r="BG98" s="584"/>
      <c r="BH98" s="584"/>
      <c r="BI98" s="584"/>
    </row>
    <row r="99" spans="1:61" s="552" customFormat="1" ht="33" customHeight="1">
      <c r="A99" s="528" t="s">
        <v>5747</v>
      </c>
      <c r="B99" s="522">
        <v>4381</v>
      </c>
      <c r="C99" s="566" t="s">
        <v>1316</v>
      </c>
      <c r="D99" s="565" t="s">
        <v>222</v>
      </c>
      <c r="E99" s="2371" t="s">
        <v>913</v>
      </c>
      <c r="F99" s="2371"/>
      <c r="G99" s="2371"/>
      <c r="H99" s="527">
        <v>2</v>
      </c>
      <c r="I99" s="526" t="str">
        <f t="shared" ref="I99:I132" si="10">B99&amp;"-BLD-"&amp;TEXT(H99,"000")</f>
        <v>4381-BLD-002</v>
      </c>
      <c r="J99" s="525" t="s">
        <v>5902</v>
      </c>
      <c r="K99" s="525"/>
      <c r="L99" s="519" t="s">
        <v>5903</v>
      </c>
      <c r="M99" s="519" t="s">
        <v>2969</v>
      </c>
      <c r="N99" s="560">
        <v>1</v>
      </c>
      <c r="O99" s="560" t="s">
        <v>154</v>
      </c>
      <c r="P99" s="564">
        <v>8</v>
      </c>
      <c r="Q99" s="564">
        <v>53</v>
      </c>
      <c r="R99" s="563">
        <v>14</v>
      </c>
      <c r="S99" s="498">
        <f t="shared" si="8"/>
        <v>424</v>
      </c>
      <c r="T99" s="498">
        <f t="shared" si="9"/>
        <v>424</v>
      </c>
      <c r="U99" s="498"/>
      <c r="V99" s="562" t="s">
        <v>5761</v>
      </c>
      <c r="W99" s="559" t="s">
        <v>5744</v>
      </c>
      <c r="X99" s="559" t="s">
        <v>5745</v>
      </c>
      <c r="Y99" s="561" t="s">
        <v>154</v>
      </c>
      <c r="Z99" s="561" t="s">
        <v>154</v>
      </c>
      <c r="AA99" s="561" t="s">
        <v>154</v>
      </c>
      <c r="AB99" s="561" t="s">
        <v>154</v>
      </c>
      <c r="AC99" s="561" t="s">
        <v>154</v>
      </c>
      <c r="AD99" s="560">
        <v>22</v>
      </c>
      <c r="AE99" s="561" t="s">
        <v>5746</v>
      </c>
      <c r="AF99" s="492" t="s">
        <v>5747</v>
      </c>
      <c r="AG99" s="557" t="s">
        <v>154</v>
      </c>
      <c r="AH99" s="557" t="s">
        <v>154</v>
      </c>
      <c r="AI99" s="559" t="s">
        <v>154</v>
      </c>
      <c r="AJ99" s="559" t="s">
        <v>154</v>
      </c>
      <c r="AK99" s="559" t="s">
        <v>154</v>
      </c>
      <c r="AL99" s="559" t="s">
        <v>5839</v>
      </c>
      <c r="AM99" s="559" t="s">
        <v>5839</v>
      </c>
      <c r="AN99" s="559" t="s">
        <v>5839</v>
      </c>
      <c r="AO99" s="559" t="s">
        <v>3454</v>
      </c>
      <c r="AP99" s="559" t="s">
        <v>5774</v>
      </c>
      <c r="AQ99" s="559" t="s">
        <v>154</v>
      </c>
      <c r="AR99" s="559" t="s">
        <v>154</v>
      </c>
      <c r="AS99" s="487">
        <v>2</v>
      </c>
      <c r="AT99" s="488" t="s">
        <v>5765</v>
      </c>
      <c r="AU99" s="487"/>
      <c r="AV99" s="487"/>
      <c r="AW99" s="487"/>
      <c r="AX99" s="573"/>
      <c r="AY99" s="573"/>
      <c r="AZ99" s="572" t="s">
        <v>5747</v>
      </c>
      <c r="BA99" s="553"/>
      <c r="BB99" s="553"/>
      <c r="BC99" s="553"/>
      <c r="BD99" s="553"/>
      <c r="BE99" s="553"/>
      <c r="BF99" s="553"/>
      <c r="BG99" s="553"/>
      <c r="BH99" s="553"/>
      <c r="BI99" s="553"/>
    </row>
    <row r="100" spans="1:61" ht="40" customHeight="1">
      <c r="A100" s="528" t="s">
        <v>5747</v>
      </c>
      <c r="B100" s="506">
        <v>4382</v>
      </c>
      <c r="C100" s="505" t="s">
        <v>1316</v>
      </c>
      <c r="D100" s="504" t="s">
        <v>222</v>
      </c>
      <c r="E100" s="2369" t="s">
        <v>1466</v>
      </c>
      <c r="F100" s="2369"/>
      <c r="G100" s="2369"/>
      <c r="H100" s="503">
        <v>1</v>
      </c>
      <c r="I100" s="502" t="str">
        <f t="shared" si="10"/>
        <v>4382-BLD-001</v>
      </c>
      <c r="J100" s="501" t="s">
        <v>5904</v>
      </c>
      <c r="K100" s="501"/>
      <c r="L100" s="493" t="s">
        <v>5025</v>
      </c>
      <c r="M100" s="493" t="s">
        <v>2969</v>
      </c>
      <c r="N100" s="494">
        <v>1</v>
      </c>
      <c r="O100" s="494">
        <v>1</v>
      </c>
      <c r="P100" s="500">
        <v>30</v>
      </c>
      <c r="Q100" s="500">
        <v>120</v>
      </c>
      <c r="R100" s="499">
        <v>20</v>
      </c>
      <c r="S100" s="497">
        <f t="shared" si="8"/>
        <v>3600</v>
      </c>
      <c r="T100" s="498">
        <f t="shared" si="9"/>
        <v>3600</v>
      </c>
      <c r="U100" s="497" t="s">
        <v>5791</v>
      </c>
      <c r="V100" s="496" t="s">
        <v>5792</v>
      </c>
      <c r="W100" s="489" t="s">
        <v>5793</v>
      </c>
      <c r="X100" s="489" t="s">
        <v>5836</v>
      </c>
      <c r="Y100" s="495" t="s">
        <v>154</v>
      </c>
      <c r="Z100" s="495" t="s">
        <v>154</v>
      </c>
      <c r="AA100" s="495" t="s">
        <v>154</v>
      </c>
      <c r="AB100" s="495" t="s">
        <v>154</v>
      </c>
      <c r="AC100" s="495" t="s">
        <v>154</v>
      </c>
      <c r="AD100" s="495" t="s">
        <v>154</v>
      </c>
      <c r="AE100" s="493" t="s">
        <v>154</v>
      </c>
      <c r="AF100" s="492" t="s">
        <v>5747</v>
      </c>
      <c r="AG100" s="582" t="s">
        <v>154</v>
      </c>
      <c r="AH100" s="491" t="s">
        <v>154</v>
      </c>
      <c r="AI100" s="489" t="s">
        <v>154</v>
      </c>
      <c r="AJ100" s="489" t="s">
        <v>154</v>
      </c>
      <c r="AK100" s="489" t="s">
        <v>154</v>
      </c>
      <c r="AL100" s="491" t="s">
        <v>154</v>
      </c>
      <c r="AM100" s="492"/>
      <c r="AN100" s="489" t="s">
        <v>154</v>
      </c>
      <c r="AO100" s="489" t="s">
        <v>3454</v>
      </c>
      <c r="AP100" s="489" t="s">
        <v>5750</v>
      </c>
      <c r="AQ100" s="489" t="s">
        <v>154</v>
      </c>
      <c r="AR100" s="489" t="s">
        <v>154</v>
      </c>
      <c r="AS100" s="530">
        <v>8</v>
      </c>
      <c r="AT100" s="488" t="s">
        <v>5751</v>
      </c>
      <c r="AU100" s="487" t="s">
        <v>5905</v>
      </c>
      <c r="AV100" s="487"/>
      <c r="AW100" s="530"/>
      <c r="AX100" s="570" t="s">
        <v>5747</v>
      </c>
      <c r="AY100" s="569"/>
      <c r="AZ100" s="556" t="s">
        <v>5747</v>
      </c>
      <c r="BA100" s="568"/>
      <c r="BB100" s="568"/>
      <c r="BC100" s="568"/>
      <c r="BD100" s="568"/>
      <c r="BE100" s="568"/>
      <c r="BF100" s="568"/>
      <c r="BG100" s="568"/>
      <c r="BH100" s="568"/>
      <c r="BI100" s="457"/>
    </row>
    <row r="101" spans="1:61" ht="24" customHeight="1">
      <c r="A101" s="528"/>
      <c r="B101" s="506">
        <v>4431</v>
      </c>
      <c r="C101" s="505" t="s">
        <v>1316</v>
      </c>
      <c r="D101" s="504" t="s">
        <v>451</v>
      </c>
      <c r="E101" s="2369" t="s">
        <v>1511</v>
      </c>
      <c r="F101" s="2369"/>
      <c r="G101" s="2369"/>
      <c r="H101" s="503">
        <v>1</v>
      </c>
      <c r="I101" s="502" t="str">
        <f t="shared" si="10"/>
        <v>4431-BLD-001</v>
      </c>
      <c r="J101" s="501" t="s">
        <v>1515</v>
      </c>
      <c r="K101" s="501"/>
      <c r="L101" s="493" t="s">
        <v>4158</v>
      </c>
      <c r="M101" s="493" t="s">
        <v>2969</v>
      </c>
      <c r="N101" s="494">
        <v>1</v>
      </c>
      <c r="O101" s="529">
        <v>19</v>
      </c>
      <c r="P101" s="500">
        <v>12</v>
      </c>
      <c r="Q101" s="500">
        <v>60</v>
      </c>
      <c r="R101" s="499">
        <v>8</v>
      </c>
      <c r="S101" s="497">
        <f t="shared" si="8"/>
        <v>720</v>
      </c>
      <c r="T101" s="498">
        <f t="shared" si="9"/>
        <v>720</v>
      </c>
      <c r="U101" s="497" t="s">
        <v>5850</v>
      </c>
      <c r="V101" s="496" t="s">
        <v>5753</v>
      </c>
      <c r="W101" s="489" t="s">
        <v>5787</v>
      </c>
      <c r="X101" s="489" t="s">
        <v>5745</v>
      </c>
      <c r="Y101" s="492" t="s">
        <v>5747</v>
      </c>
      <c r="Z101" s="492" t="s">
        <v>5747</v>
      </c>
      <c r="AA101" s="495" t="s">
        <v>154</v>
      </c>
      <c r="AB101" s="495" t="s">
        <v>154</v>
      </c>
      <c r="AC101" s="492" t="s">
        <v>5747</v>
      </c>
      <c r="AD101" s="494">
        <v>22</v>
      </c>
      <c r="AE101" s="493" t="s">
        <v>5746</v>
      </c>
      <c r="AF101" s="489" t="s">
        <v>154</v>
      </c>
      <c r="AG101" s="491" t="s">
        <v>154</v>
      </c>
      <c r="AH101" s="489" t="s">
        <v>5754</v>
      </c>
      <c r="AI101" s="489" t="s">
        <v>5755</v>
      </c>
      <c r="AJ101" s="489" t="s">
        <v>5754</v>
      </c>
      <c r="AK101" s="489" t="s">
        <v>154</v>
      </c>
      <c r="AL101" s="491" t="s">
        <v>154</v>
      </c>
      <c r="AM101" s="492" t="s">
        <v>5747</v>
      </c>
      <c r="AN101" s="489" t="s">
        <v>154</v>
      </c>
      <c r="AO101" s="489" t="s">
        <v>3454</v>
      </c>
      <c r="AP101" s="489" t="s">
        <v>5756</v>
      </c>
      <c r="AQ101" s="489" t="s">
        <v>5756</v>
      </c>
      <c r="AR101" s="489" t="s">
        <v>154</v>
      </c>
      <c r="AS101" s="487">
        <v>2</v>
      </c>
      <c r="AT101" s="488" t="s">
        <v>5789</v>
      </c>
      <c r="AU101" s="487" t="s">
        <v>5762</v>
      </c>
      <c r="AV101" s="487"/>
      <c r="AW101" s="487"/>
      <c r="AX101" s="570" t="s">
        <v>5747</v>
      </c>
      <c r="AY101" s="569"/>
      <c r="AZ101" s="569"/>
      <c r="BA101" s="568"/>
      <c r="BB101" s="568">
        <v>1</v>
      </c>
      <c r="BC101" s="568"/>
      <c r="BD101" s="568"/>
      <c r="BE101" s="568">
        <v>1</v>
      </c>
      <c r="BF101" s="568"/>
      <c r="BG101" s="568"/>
      <c r="BH101" s="568">
        <v>1</v>
      </c>
      <c r="BI101" s="457" t="s">
        <v>5906</v>
      </c>
    </row>
    <row r="102" spans="1:61" s="552" customFormat="1" ht="24" customHeight="1">
      <c r="A102" s="507"/>
      <c r="B102" s="581">
        <v>4432</v>
      </c>
      <c r="C102" s="580" t="s">
        <v>1316</v>
      </c>
      <c r="D102" s="579" t="s">
        <v>451</v>
      </c>
      <c r="E102" s="2374" t="s">
        <v>1511</v>
      </c>
      <c r="F102" s="2374"/>
      <c r="G102" s="2374"/>
      <c r="H102" s="578">
        <v>1</v>
      </c>
      <c r="I102" s="577" t="str">
        <f t="shared" si="10"/>
        <v>4432-BLD-001</v>
      </c>
      <c r="J102" s="576" t="s">
        <v>5907</v>
      </c>
      <c r="K102" s="525" t="s">
        <v>5908</v>
      </c>
      <c r="L102" s="523" t="s">
        <v>154</v>
      </c>
      <c r="M102" s="523" t="s">
        <v>2969</v>
      </c>
      <c r="N102" s="560"/>
      <c r="O102" s="575"/>
      <c r="P102" s="564"/>
      <c r="Q102" s="564"/>
      <c r="R102" s="563"/>
      <c r="S102" s="498">
        <f t="shared" si="8"/>
        <v>0</v>
      </c>
      <c r="T102" s="498">
        <f t="shared" si="9"/>
        <v>0</v>
      </c>
      <c r="U102" s="498"/>
      <c r="V102" s="562"/>
      <c r="W102" s="559"/>
      <c r="X102" s="559"/>
      <c r="Y102" s="561"/>
      <c r="Z102" s="561"/>
      <c r="AA102" s="561"/>
      <c r="AB102" s="561"/>
      <c r="AC102" s="561"/>
      <c r="AD102" s="560"/>
      <c r="AE102" s="519"/>
      <c r="AF102" s="559"/>
      <c r="AG102" s="557"/>
      <c r="AH102" s="557"/>
      <c r="AI102" s="559"/>
      <c r="AJ102" s="559"/>
      <c r="AK102" s="559"/>
      <c r="AL102" s="557"/>
      <c r="AM102" s="559"/>
      <c r="AN102" s="559"/>
      <c r="AO102" s="559"/>
      <c r="AP102" s="559" t="s">
        <v>154</v>
      </c>
      <c r="AQ102" s="559" t="s">
        <v>154</v>
      </c>
      <c r="AR102" s="559" t="s">
        <v>154</v>
      </c>
      <c r="AS102" s="559"/>
      <c r="AT102" s="567"/>
      <c r="AU102" s="559"/>
      <c r="AV102" s="559"/>
      <c r="AW102" s="559"/>
      <c r="AX102" s="573"/>
      <c r="AY102" s="573"/>
      <c r="AZ102" s="573"/>
      <c r="BA102" s="553"/>
      <c r="BB102" s="553"/>
      <c r="BC102" s="553"/>
      <c r="BD102" s="553"/>
      <c r="BE102" s="553"/>
      <c r="BF102" s="553"/>
      <c r="BG102" s="553"/>
      <c r="BH102" s="553"/>
      <c r="BI102" s="553"/>
    </row>
    <row r="103" spans="1:61" s="552" customFormat="1" ht="24" customHeight="1">
      <c r="A103" s="528"/>
      <c r="B103" s="522">
        <v>4435</v>
      </c>
      <c r="C103" s="566" t="s">
        <v>1316</v>
      </c>
      <c r="D103" s="565" t="s">
        <v>451</v>
      </c>
      <c r="E103" s="2371" t="s">
        <v>1511</v>
      </c>
      <c r="F103" s="2371"/>
      <c r="G103" s="2371"/>
      <c r="H103" s="527">
        <v>1</v>
      </c>
      <c r="I103" s="526" t="str">
        <f t="shared" si="10"/>
        <v>4435-BLD-001</v>
      </c>
      <c r="J103" s="525" t="s">
        <v>5909</v>
      </c>
      <c r="K103" s="525"/>
      <c r="L103" s="519" t="s">
        <v>5910</v>
      </c>
      <c r="M103" s="519" t="s">
        <v>2969</v>
      </c>
      <c r="N103" s="560">
        <v>1</v>
      </c>
      <c r="O103" s="560" t="s">
        <v>154</v>
      </c>
      <c r="P103" s="564">
        <v>8</v>
      </c>
      <c r="Q103" s="564">
        <v>20</v>
      </c>
      <c r="R103" s="563">
        <v>10</v>
      </c>
      <c r="S103" s="498">
        <f t="shared" si="8"/>
        <v>160</v>
      </c>
      <c r="T103" s="498">
        <f t="shared" si="9"/>
        <v>160</v>
      </c>
      <c r="U103" s="498"/>
      <c r="V103" s="562" t="s">
        <v>5761</v>
      </c>
      <c r="W103" s="559" t="s">
        <v>5744</v>
      </c>
      <c r="X103" s="559" t="s">
        <v>5745</v>
      </c>
      <c r="Y103" s="561" t="s">
        <v>154</v>
      </c>
      <c r="Z103" s="561" t="s">
        <v>154</v>
      </c>
      <c r="AA103" s="561" t="s">
        <v>154</v>
      </c>
      <c r="AB103" s="561" t="s">
        <v>154</v>
      </c>
      <c r="AC103" s="561" t="s">
        <v>154</v>
      </c>
      <c r="AD103" s="560">
        <v>22</v>
      </c>
      <c r="AE103" s="519" t="s">
        <v>5746</v>
      </c>
      <c r="AF103" s="492" t="s">
        <v>5747</v>
      </c>
      <c r="AG103" s="557" t="s">
        <v>154</v>
      </c>
      <c r="AH103" s="557" t="s">
        <v>154</v>
      </c>
      <c r="AI103" s="559" t="s">
        <v>154</v>
      </c>
      <c r="AJ103" s="559" t="s">
        <v>154</v>
      </c>
      <c r="AK103" s="559" t="s">
        <v>154</v>
      </c>
      <c r="AL103" s="492" t="s">
        <v>5747</v>
      </c>
      <c r="AM103" s="492" t="s">
        <v>5747</v>
      </c>
      <c r="AN103" s="559" t="s">
        <v>154</v>
      </c>
      <c r="AO103" s="559" t="s">
        <v>3454</v>
      </c>
      <c r="AP103" s="559" t="s">
        <v>5750</v>
      </c>
      <c r="AQ103" s="559" t="s">
        <v>154</v>
      </c>
      <c r="AR103" s="559" t="s">
        <v>154</v>
      </c>
      <c r="AS103" s="487">
        <v>2</v>
      </c>
      <c r="AT103" s="488" t="s">
        <v>5765</v>
      </c>
      <c r="AU103" s="487"/>
      <c r="AV103" s="487"/>
      <c r="AW103" s="487"/>
      <c r="AX103" s="556" t="s">
        <v>5747</v>
      </c>
      <c r="AY103" s="555"/>
      <c r="AZ103" s="572" t="s">
        <v>5747</v>
      </c>
      <c r="BA103" s="554"/>
      <c r="BB103" s="554"/>
      <c r="BC103" s="554"/>
      <c r="BD103" s="554"/>
      <c r="BE103" s="554">
        <v>1</v>
      </c>
      <c r="BF103" s="554"/>
      <c r="BG103" s="554"/>
      <c r="BH103" s="554"/>
      <c r="BI103" s="574" t="s">
        <v>5911</v>
      </c>
    </row>
    <row r="104" spans="1:61" s="552" customFormat="1" ht="40" customHeight="1">
      <c r="A104" s="528"/>
      <c r="B104" s="522">
        <v>4511</v>
      </c>
      <c r="C104" s="566" t="s">
        <v>1316</v>
      </c>
      <c r="D104" s="565" t="s">
        <v>452</v>
      </c>
      <c r="E104" s="2371" t="s">
        <v>454</v>
      </c>
      <c r="F104" s="2371"/>
      <c r="G104" s="2371"/>
      <c r="H104" s="527">
        <v>1</v>
      </c>
      <c r="I104" s="526" t="str">
        <f t="shared" si="10"/>
        <v>4511-BLD-001</v>
      </c>
      <c r="J104" s="525" t="s">
        <v>5768</v>
      </c>
      <c r="K104" s="525"/>
      <c r="L104" s="519" t="s">
        <v>5215</v>
      </c>
      <c r="M104" s="519" t="s">
        <v>2969</v>
      </c>
      <c r="N104" s="560">
        <v>1</v>
      </c>
      <c r="O104" s="560" t="s">
        <v>154</v>
      </c>
      <c r="P104" s="564">
        <v>60</v>
      </c>
      <c r="Q104" s="564">
        <v>333</v>
      </c>
      <c r="R104" s="563">
        <v>13</v>
      </c>
      <c r="S104" s="498">
        <f t="shared" si="8"/>
        <v>19980</v>
      </c>
      <c r="T104" s="498">
        <f t="shared" si="9"/>
        <v>19980</v>
      </c>
      <c r="U104" s="498"/>
      <c r="V104" s="562" t="s">
        <v>5761</v>
      </c>
      <c r="W104" s="559" t="s">
        <v>5744</v>
      </c>
      <c r="X104" s="559" t="s">
        <v>5745</v>
      </c>
      <c r="Y104" s="492" t="s">
        <v>5747</v>
      </c>
      <c r="Z104" s="492" t="s">
        <v>5747</v>
      </c>
      <c r="AA104" s="492" t="s">
        <v>5747</v>
      </c>
      <c r="AB104" s="561" t="s">
        <v>154</v>
      </c>
      <c r="AC104" s="492" t="s">
        <v>5747</v>
      </c>
      <c r="AD104" s="560">
        <v>22</v>
      </c>
      <c r="AE104" s="519" t="s">
        <v>3454</v>
      </c>
      <c r="AF104" s="492" t="s">
        <v>5747</v>
      </c>
      <c r="AG104" s="492" t="s">
        <v>5747</v>
      </c>
      <c r="AH104" s="557" t="s">
        <v>154</v>
      </c>
      <c r="AI104" s="559" t="s">
        <v>5769</v>
      </c>
      <c r="AJ104" s="559" t="s">
        <v>5769</v>
      </c>
      <c r="AK104" s="559" t="s">
        <v>5769</v>
      </c>
      <c r="AL104" s="492" t="s">
        <v>5747</v>
      </c>
      <c r="AM104" s="492" t="s">
        <v>5747</v>
      </c>
      <c r="AN104" s="559" t="s">
        <v>154</v>
      </c>
      <c r="AO104" s="559" t="s">
        <v>3454</v>
      </c>
      <c r="AP104" s="559" t="s">
        <v>5912</v>
      </c>
      <c r="AQ104" s="559" t="s">
        <v>5756</v>
      </c>
      <c r="AR104" s="492" t="s">
        <v>5747</v>
      </c>
      <c r="AS104" s="487">
        <v>4</v>
      </c>
      <c r="AT104" s="488" t="s">
        <v>5771</v>
      </c>
      <c r="AU104" s="487" t="s">
        <v>5772</v>
      </c>
      <c r="AV104" s="487"/>
      <c r="AW104" s="487"/>
      <c r="AX104" s="556" t="s">
        <v>5747</v>
      </c>
      <c r="AY104" s="556" t="s">
        <v>5747</v>
      </c>
      <c r="AZ104" s="556" t="s">
        <v>5747</v>
      </c>
      <c r="BA104" s="554">
        <v>3</v>
      </c>
      <c r="BB104" s="554"/>
      <c r="BC104" s="554"/>
      <c r="BD104" s="554">
        <v>2</v>
      </c>
      <c r="BE104" s="554">
        <v>3</v>
      </c>
      <c r="BF104" s="554">
        <v>1</v>
      </c>
      <c r="BG104" s="554"/>
      <c r="BH104" s="554"/>
      <c r="BI104" s="574"/>
    </row>
    <row r="105" spans="1:61" s="552" customFormat="1" ht="40" customHeight="1">
      <c r="A105" s="528"/>
      <c r="B105" s="522">
        <v>4511</v>
      </c>
      <c r="C105" s="566" t="s">
        <v>1316</v>
      </c>
      <c r="D105" s="565" t="s">
        <v>452</v>
      </c>
      <c r="E105" s="2371" t="s">
        <v>454</v>
      </c>
      <c r="F105" s="2371"/>
      <c r="G105" s="2371"/>
      <c r="H105" s="527">
        <v>2</v>
      </c>
      <c r="I105" s="526" t="str">
        <f t="shared" si="10"/>
        <v>4511-BLD-002</v>
      </c>
      <c r="J105" s="525" t="s">
        <v>5773</v>
      </c>
      <c r="K105" s="525"/>
      <c r="L105" s="519" t="s">
        <v>5215</v>
      </c>
      <c r="M105" s="519" t="s">
        <v>2969</v>
      </c>
      <c r="N105" s="560">
        <v>1</v>
      </c>
      <c r="O105" s="560">
        <v>71</v>
      </c>
      <c r="P105" s="564">
        <v>60</v>
      </c>
      <c r="Q105" s="564">
        <v>109</v>
      </c>
      <c r="R105" s="563">
        <v>13</v>
      </c>
      <c r="S105" s="498">
        <f t="shared" si="8"/>
        <v>6540</v>
      </c>
      <c r="T105" s="498">
        <f t="shared" si="9"/>
        <v>6540</v>
      </c>
      <c r="U105" s="498"/>
      <c r="V105" s="562" t="s">
        <v>5761</v>
      </c>
      <c r="W105" s="559" t="s">
        <v>5744</v>
      </c>
      <c r="X105" s="559" t="s">
        <v>5745</v>
      </c>
      <c r="Y105" s="492" t="s">
        <v>5747</v>
      </c>
      <c r="Z105" s="492" t="s">
        <v>5747</v>
      </c>
      <c r="AA105" s="561" t="s">
        <v>154</v>
      </c>
      <c r="AB105" s="561" t="s">
        <v>154</v>
      </c>
      <c r="AC105" s="492" t="s">
        <v>5747</v>
      </c>
      <c r="AD105" s="560">
        <v>22</v>
      </c>
      <c r="AE105" s="519" t="s">
        <v>3454</v>
      </c>
      <c r="AF105" s="492" t="s">
        <v>5747</v>
      </c>
      <c r="AG105" s="557" t="s">
        <v>154</v>
      </c>
      <c r="AH105" s="557" t="s">
        <v>154</v>
      </c>
      <c r="AI105" s="559" t="s">
        <v>5769</v>
      </c>
      <c r="AJ105" s="559" t="s">
        <v>5769</v>
      </c>
      <c r="AK105" s="559" t="s">
        <v>154</v>
      </c>
      <c r="AL105" s="557" t="s">
        <v>154</v>
      </c>
      <c r="AM105" s="492" t="s">
        <v>5747</v>
      </c>
      <c r="AN105" s="559" t="s">
        <v>154</v>
      </c>
      <c r="AO105" s="559" t="s">
        <v>3454</v>
      </c>
      <c r="AP105" s="559" t="s">
        <v>5774</v>
      </c>
      <c r="AQ105" s="559" t="s">
        <v>5774</v>
      </c>
      <c r="AR105" s="492" t="s">
        <v>5747</v>
      </c>
      <c r="AS105" s="492"/>
      <c r="AT105" s="488" t="s">
        <v>5771</v>
      </c>
      <c r="AU105" s="487" t="s">
        <v>5762</v>
      </c>
      <c r="AV105" s="487"/>
      <c r="AW105" s="492"/>
      <c r="AX105" s="556" t="s">
        <v>5747</v>
      </c>
      <c r="AY105" s="555"/>
      <c r="AZ105" s="555"/>
      <c r="BA105" s="554"/>
      <c r="BB105" s="554">
        <v>3</v>
      </c>
      <c r="BC105" s="554">
        <v>1</v>
      </c>
      <c r="BD105" s="554"/>
      <c r="BE105" s="554" t="s">
        <v>5775</v>
      </c>
      <c r="BF105" s="554" t="s">
        <v>5776</v>
      </c>
      <c r="BG105" s="554"/>
      <c r="BH105" s="554">
        <v>1</v>
      </c>
      <c r="BI105" s="574" t="s">
        <v>5777</v>
      </c>
    </row>
    <row r="106" spans="1:61" s="552" customFormat="1" ht="40" customHeight="1">
      <c r="A106" s="528"/>
      <c r="B106" s="522">
        <v>4511</v>
      </c>
      <c r="C106" s="566" t="s">
        <v>1316</v>
      </c>
      <c r="D106" s="565" t="s">
        <v>452</v>
      </c>
      <c r="E106" s="2371" t="s">
        <v>454</v>
      </c>
      <c r="F106" s="2371"/>
      <c r="G106" s="2371"/>
      <c r="H106" s="527">
        <v>3</v>
      </c>
      <c r="I106" s="526" t="str">
        <f t="shared" si="10"/>
        <v>4511-BLD-003</v>
      </c>
      <c r="J106" s="525" t="s">
        <v>5778</v>
      </c>
      <c r="K106" s="525"/>
      <c r="L106" s="519" t="s">
        <v>5215</v>
      </c>
      <c r="M106" s="519" t="s">
        <v>2969</v>
      </c>
      <c r="N106" s="560">
        <v>1</v>
      </c>
      <c r="O106" s="560">
        <v>5</v>
      </c>
      <c r="P106" s="564">
        <v>60</v>
      </c>
      <c r="Q106" s="564">
        <v>76</v>
      </c>
      <c r="R106" s="563">
        <v>13</v>
      </c>
      <c r="S106" s="498">
        <f t="shared" si="8"/>
        <v>4560</v>
      </c>
      <c r="T106" s="498">
        <f t="shared" si="9"/>
        <v>4560</v>
      </c>
      <c r="U106" s="498"/>
      <c r="V106" s="562" t="s">
        <v>5761</v>
      </c>
      <c r="W106" s="559" t="s">
        <v>5744</v>
      </c>
      <c r="X106" s="559" t="s">
        <v>5745</v>
      </c>
      <c r="Y106" s="492" t="s">
        <v>5747</v>
      </c>
      <c r="Z106" s="492" t="s">
        <v>5747</v>
      </c>
      <c r="AA106" s="561" t="s">
        <v>154</v>
      </c>
      <c r="AB106" s="561" t="s">
        <v>154</v>
      </c>
      <c r="AC106" s="492" t="s">
        <v>5747</v>
      </c>
      <c r="AD106" s="560">
        <v>22</v>
      </c>
      <c r="AE106" s="519" t="s">
        <v>3454</v>
      </c>
      <c r="AF106" s="492" t="s">
        <v>5747</v>
      </c>
      <c r="AG106" s="557" t="s">
        <v>154</v>
      </c>
      <c r="AH106" s="557" t="s">
        <v>154</v>
      </c>
      <c r="AI106" s="559" t="s">
        <v>5769</v>
      </c>
      <c r="AJ106" s="559" t="s">
        <v>5769</v>
      </c>
      <c r="AK106" s="559" t="s">
        <v>154</v>
      </c>
      <c r="AL106" s="557" t="s">
        <v>154</v>
      </c>
      <c r="AM106" s="492" t="s">
        <v>5747</v>
      </c>
      <c r="AN106" s="559" t="s">
        <v>154</v>
      </c>
      <c r="AO106" s="559" t="s">
        <v>3454</v>
      </c>
      <c r="AP106" s="559" t="s">
        <v>5774</v>
      </c>
      <c r="AQ106" s="559" t="s">
        <v>5774</v>
      </c>
      <c r="AR106" s="559" t="s">
        <v>154</v>
      </c>
      <c r="AS106" s="559"/>
      <c r="AT106" s="567"/>
      <c r="AU106" s="487" t="s">
        <v>5762</v>
      </c>
      <c r="AV106" s="487"/>
      <c r="AW106" s="559"/>
      <c r="AX106" s="555"/>
      <c r="AY106" s="555"/>
      <c r="AZ106" s="555"/>
      <c r="BA106" s="554"/>
      <c r="BB106" s="554"/>
      <c r="BC106" s="554"/>
      <c r="BD106" s="554"/>
      <c r="BE106" s="554"/>
      <c r="BF106" s="554"/>
      <c r="BG106" s="554"/>
      <c r="BH106" s="554"/>
      <c r="BI106" s="574"/>
    </row>
    <row r="107" spans="1:61" s="552" customFormat="1" ht="40" customHeight="1">
      <c r="A107" s="528"/>
      <c r="B107" s="522">
        <v>4511</v>
      </c>
      <c r="C107" s="566" t="s">
        <v>1316</v>
      </c>
      <c r="D107" s="565" t="s">
        <v>452</v>
      </c>
      <c r="E107" s="2371" t="s">
        <v>454</v>
      </c>
      <c r="F107" s="2371"/>
      <c r="G107" s="2371"/>
      <c r="H107" s="527">
        <v>4</v>
      </c>
      <c r="I107" s="526" t="str">
        <f t="shared" si="10"/>
        <v>4511-BLD-004</v>
      </c>
      <c r="J107" s="525" t="s">
        <v>5913</v>
      </c>
      <c r="K107" s="525"/>
      <c r="L107" s="519" t="s">
        <v>5215</v>
      </c>
      <c r="M107" s="519" t="s">
        <v>2969</v>
      </c>
      <c r="N107" s="560">
        <v>1</v>
      </c>
      <c r="O107" s="560">
        <v>5</v>
      </c>
      <c r="P107" s="564">
        <v>56</v>
      </c>
      <c r="Q107" s="564">
        <v>60</v>
      </c>
      <c r="R107" s="563">
        <v>13</v>
      </c>
      <c r="S107" s="498">
        <f t="shared" si="8"/>
        <v>3360</v>
      </c>
      <c r="T107" s="498">
        <f t="shared" si="9"/>
        <v>3360</v>
      </c>
      <c r="U107" s="498"/>
      <c r="V107" s="562" t="s">
        <v>5761</v>
      </c>
      <c r="W107" s="559" t="s">
        <v>5744</v>
      </c>
      <c r="X107" s="559" t="s">
        <v>5745</v>
      </c>
      <c r="Y107" s="492" t="s">
        <v>5747</v>
      </c>
      <c r="Z107" s="492" t="s">
        <v>5747</v>
      </c>
      <c r="AA107" s="561" t="s">
        <v>154</v>
      </c>
      <c r="AB107" s="561" t="s">
        <v>154</v>
      </c>
      <c r="AC107" s="492" t="s">
        <v>5747</v>
      </c>
      <c r="AD107" s="560">
        <v>22</v>
      </c>
      <c r="AE107" s="519" t="s">
        <v>3454</v>
      </c>
      <c r="AF107" s="492" t="s">
        <v>5747</v>
      </c>
      <c r="AG107" s="557" t="s">
        <v>154</v>
      </c>
      <c r="AH107" s="557" t="s">
        <v>154</v>
      </c>
      <c r="AI107" s="559" t="s">
        <v>5769</v>
      </c>
      <c r="AJ107" s="559" t="s">
        <v>5769</v>
      </c>
      <c r="AK107" s="559" t="s">
        <v>154</v>
      </c>
      <c r="AL107" s="557" t="s">
        <v>154</v>
      </c>
      <c r="AM107" s="492" t="s">
        <v>5747</v>
      </c>
      <c r="AN107" s="559" t="s">
        <v>154</v>
      </c>
      <c r="AO107" s="559" t="s">
        <v>3454</v>
      </c>
      <c r="AP107" s="559" t="s">
        <v>5774</v>
      </c>
      <c r="AQ107" s="559" t="s">
        <v>5774</v>
      </c>
      <c r="AR107" s="559" t="s">
        <v>154</v>
      </c>
      <c r="AS107" s="559"/>
      <c r="AT107" s="567" t="s">
        <v>5751</v>
      </c>
      <c r="AU107" s="487" t="s">
        <v>5762</v>
      </c>
      <c r="AV107" s="487"/>
      <c r="AW107" s="559"/>
      <c r="AX107" s="556" t="s">
        <v>5747</v>
      </c>
      <c r="AY107" s="555"/>
      <c r="AZ107" s="555"/>
      <c r="BA107" s="554">
        <v>1</v>
      </c>
      <c r="BB107" s="554">
        <v>1</v>
      </c>
      <c r="BC107" s="554"/>
      <c r="BD107" s="554"/>
      <c r="BE107" s="554">
        <v>2</v>
      </c>
      <c r="BF107" s="554"/>
      <c r="BG107" s="554"/>
      <c r="BH107" s="554"/>
      <c r="BI107" s="574"/>
    </row>
    <row r="108" spans="1:61" s="552" customFormat="1" ht="40" customHeight="1">
      <c r="A108" s="507"/>
      <c r="B108" s="522">
        <v>4512</v>
      </c>
      <c r="C108" s="566" t="s">
        <v>1316</v>
      </c>
      <c r="D108" s="565" t="s">
        <v>452</v>
      </c>
      <c r="E108" s="2371" t="s">
        <v>454</v>
      </c>
      <c r="F108" s="2371"/>
      <c r="G108" s="2371"/>
      <c r="H108" s="527">
        <v>1</v>
      </c>
      <c r="I108" s="526" t="str">
        <f t="shared" si="10"/>
        <v>4512-BLD-001</v>
      </c>
      <c r="J108" s="525" t="s">
        <v>5914</v>
      </c>
      <c r="K108" s="525"/>
      <c r="L108" s="519" t="s">
        <v>5215</v>
      </c>
      <c r="M108" s="519" t="s">
        <v>2969</v>
      </c>
      <c r="N108" s="560">
        <v>1</v>
      </c>
      <c r="O108" s="575">
        <v>30</v>
      </c>
      <c r="P108" s="564">
        <v>29</v>
      </c>
      <c r="Q108" s="564">
        <v>227</v>
      </c>
      <c r="R108" s="563">
        <v>13</v>
      </c>
      <c r="S108" s="498">
        <f t="shared" si="8"/>
        <v>6583</v>
      </c>
      <c r="T108" s="498">
        <f t="shared" si="9"/>
        <v>6583</v>
      </c>
      <c r="U108" s="498"/>
      <c r="V108" s="562" t="s">
        <v>5761</v>
      </c>
      <c r="W108" s="559" t="s">
        <v>5744</v>
      </c>
      <c r="X108" s="559" t="s">
        <v>5745</v>
      </c>
      <c r="Y108" s="561" t="s">
        <v>154</v>
      </c>
      <c r="Z108" s="492" t="s">
        <v>5747</v>
      </c>
      <c r="AA108" s="561" t="s">
        <v>154</v>
      </c>
      <c r="AB108" s="492" t="s">
        <v>5747</v>
      </c>
      <c r="AC108" s="492" t="s">
        <v>5747</v>
      </c>
      <c r="AD108" s="560">
        <v>22</v>
      </c>
      <c r="AE108" s="519" t="s">
        <v>5780</v>
      </c>
      <c r="AF108" s="492" t="s">
        <v>5747</v>
      </c>
      <c r="AG108" s="557" t="s">
        <v>154</v>
      </c>
      <c r="AH108" s="557" t="s">
        <v>154</v>
      </c>
      <c r="AI108" s="559" t="s">
        <v>5769</v>
      </c>
      <c r="AJ108" s="559" t="s">
        <v>5769</v>
      </c>
      <c r="AK108" s="559" t="s">
        <v>5769</v>
      </c>
      <c r="AL108" s="557" t="s">
        <v>154</v>
      </c>
      <c r="AM108" s="492" t="s">
        <v>5747</v>
      </c>
      <c r="AN108" s="559" t="s">
        <v>154</v>
      </c>
      <c r="AO108" s="559" t="s">
        <v>3454</v>
      </c>
      <c r="AP108" s="559" t="s">
        <v>5774</v>
      </c>
      <c r="AQ108" s="559" t="s">
        <v>5774</v>
      </c>
      <c r="AR108" s="492" t="s">
        <v>5747</v>
      </c>
      <c r="AS108" s="492"/>
      <c r="AT108" s="488" t="s">
        <v>5771</v>
      </c>
      <c r="AU108" s="487" t="s">
        <v>5762</v>
      </c>
      <c r="AV108" s="487"/>
      <c r="AW108" s="492"/>
      <c r="AX108" s="556" t="s">
        <v>5747</v>
      </c>
      <c r="AY108" s="555"/>
      <c r="AZ108" s="555"/>
      <c r="BA108" s="554"/>
      <c r="BB108" s="554"/>
      <c r="BC108" s="554"/>
      <c r="BD108" s="554" t="s">
        <v>5781</v>
      </c>
      <c r="BE108" s="554" t="s">
        <v>5781</v>
      </c>
      <c r="BF108" s="554"/>
      <c r="BG108" s="554"/>
      <c r="BH108" s="554"/>
      <c r="BI108" s="574"/>
    </row>
    <row r="109" spans="1:61" s="552" customFormat="1" ht="40" customHeight="1">
      <c r="A109" s="507"/>
      <c r="B109" s="522">
        <v>4512</v>
      </c>
      <c r="C109" s="566" t="s">
        <v>1316</v>
      </c>
      <c r="D109" s="565" t="s">
        <v>452</v>
      </c>
      <c r="E109" s="2371" t="s">
        <v>454</v>
      </c>
      <c r="F109" s="2371"/>
      <c r="G109" s="2371"/>
      <c r="H109" s="527">
        <v>2</v>
      </c>
      <c r="I109" s="526" t="str">
        <f t="shared" si="10"/>
        <v>4512-BLD-002</v>
      </c>
      <c r="J109" s="525" t="s">
        <v>5915</v>
      </c>
      <c r="K109" s="525"/>
      <c r="L109" s="519" t="s">
        <v>5215</v>
      </c>
      <c r="M109" s="519" t="s">
        <v>2969</v>
      </c>
      <c r="N109" s="560">
        <v>1</v>
      </c>
      <c r="O109" s="575">
        <v>30</v>
      </c>
      <c r="P109" s="564">
        <v>29</v>
      </c>
      <c r="Q109" s="564">
        <v>227</v>
      </c>
      <c r="R109" s="563">
        <v>13</v>
      </c>
      <c r="S109" s="498">
        <f t="shared" si="8"/>
        <v>6583</v>
      </c>
      <c r="T109" s="498">
        <f t="shared" si="9"/>
        <v>6583</v>
      </c>
      <c r="U109" s="498"/>
      <c r="V109" s="562" t="s">
        <v>5761</v>
      </c>
      <c r="W109" s="559" t="s">
        <v>5744</v>
      </c>
      <c r="X109" s="559" t="s">
        <v>5745</v>
      </c>
      <c r="Y109" s="561" t="s">
        <v>154</v>
      </c>
      <c r="Z109" s="492" t="s">
        <v>5747</v>
      </c>
      <c r="AA109" s="561" t="s">
        <v>154</v>
      </c>
      <c r="AB109" s="492" t="s">
        <v>5747</v>
      </c>
      <c r="AC109" s="492" t="s">
        <v>5747</v>
      </c>
      <c r="AD109" s="560">
        <v>22</v>
      </c>
      <c r="AE109" s="519" t="s">
        <v>5780</v>
      </c>
      <c r="AF109" s="492" t="s">
        <v>5747</v>
      </c>
      <c r="AG109" s="557" t="s">
        <v>154</v>
      </c>
      <c r="AH109" s="557" t="s">
        <v>154</v>
      </c>
      <c r="AI109" s="559" t="s">
        <v>5769</v>
      </c>
      <c r="AJ109" s="559" t="s">
        <v>5769</v>
      </c>
      <c r="AK109" s="559" t="s">
        <v>5769</v>
      </c>
      <c r="AL109" s="557" t="s">
        <v>154</v>
      </c>
      <c r="AM109" s="492" t="s">
        <v>5747</v>
      </c>
      <c r="AN109" s="559" t="s">
        <v>154</v>
      </c>
      <c r="AO109" s="559" t="s">
        <v>3454</v>
      </c>
      <c r="AP109" s="559" t="s">
        <v>5774</v>
      </c>
      <c r="AQ109" s="559" t="s">
        <v>5774</v>
      </c>
      <c r="AR109" s="492" t="s">
        <v>5747</v>
      </c>
      <c r="AS109" s="492"/>
      <c r="AT109" s="488" t="s">
        <v>5771</v>
      </c>
      <c r="AU109" s="487" t="s">
        <v>5762</v>
      </c>
      <c r="AV109" s="487"/>
      <c r="AW109" s="492"/>
      <c r="AX109" s="556" t="s">
        <v>5747</v>
      </c>
      <c r="AY109" s="555"/>
      <c r="AZ109" s="555"/>
      <c r="BA109" s="554"/>
      <c r="BB109" s="554"/>
      <c r="BC109" s="554"/>
      <c r="BD109" s="554" t="s">
        <v>5781</v>
      </c>
      <c r="BE109" s="554" t="s">
        <v>5781</v>
      </c>
      <c r="BF109" s="554"/>
      <c r="BG109" s="554"/>
      <c r="BH109" s="554"/>
      <c r="BI109" s="574"/>
    </row>
    <row r="110" spans="1:61" s="552" customFormat="1" ht="40" customHeight="1">
      <c r="A110" s="507"/>
      <c r="B110" s="522">
        <v>4512</v>
      </c>
      <c r="C110" s="566" t="s">
        <v>1316</v>
      </c>
      <c r="D110" s="565" t="s">
        <v>452</v>
      </c>
      <c r="E110" s="2371" t="s">
        <v>454</v>
      </c>
      <c r="F110" s="2371"/>
      <c r="G110" s="2371"/>
      <c r="H110" s="527">
        <v>3</v>
      </c>
      <c r="I110" s="526" t="str">
        <f t="shared" si="10"/>
        <v>4512-BLD-003</v>
      </c>
      <c r="J110" s="525" t="s">
        <v>5916</v>
      </c>
      <c r="K110" s="525"/>
      <c r="L110" s="519" t="s">
        <v>5215</v>
      </c>
      <c r="M110" s="519" t="s">
        <v>2969</v>
      </c>
      <c r="N110" s="560">
        <v>1</v>
      </c>
      <c r="O110" s="575">
        <v>30</v>
      </c>
      <c r="P110" s="564">
        <v>29</v>
      </c>
      <c r="Q110" s="564">
        <v>227</v>
      </c>
      <c r="R110" s="563">
        <v>13</v>
      </c>
      <c r="S110" s="498">
        <f t="shared" si="8"/>
        <v>6583</v>
      </c>
      <c r="T110" s="498">
        <f t="shared" si="9"/>
        <v>6583</v>
      </c>
      <c r="U110" s="498"/>
      <c r="V110" s="562" t="s">
        <v>5761</v>
      </c>
      <c r="W110" s="559" t="s">
        <v>5744</v>
      </c>
      <c r="X110" s="559" t="s">
        <v>5745</v>
      </c>
      <c r="Y110" s="561" t="s">
        <v>154</v>
      </c>
      <c r="Z110" s="492" t="s">
        <v>5747</v>
      </c>
      <c r="AA110" s="561" t="s">
        <v>154</v>
      </c>
      <c r="AB110" s="492" t="s">
        <v>5747</v>
      </c>
      <c r="AC110" s="492" t="s">
        <v>5747</v>
      </c>
      <c r="AD110" s="560">
        <v>22</v>
      </c>
      <c r="AE110" s="519" t="s">
        <v>5780</v>
      </c>
      <c r="AF110" s="492" t="s">
        <v>5747</v>
      </c>
      <c r="AG110" s="557" t="s">
        <v>154</v>
      </c>
      <c r="AH110" s="557" t="s">
        <v>154</v>
      </c>
      <c r="AI110" s="559" t="s">
        <v>5769</v>
      </c>
      <c r="AJ110" s="559" t="s">
        <v>5769</v>
      </c>
      <c r="AK110" s="559" t="s">
        <v>5769</v>
      </c>
      <c r="AL110" s="557" t="s">
        <v>154</v>
      </c>
      <c r="AM110" s="492" t="s">
        <v>5747</v>
      </c>
      <c r="AN110" s="559" t="s">
        <v>154</v>
      </c>
      <c r="AO110" s="559" t="s">
        <v>3454</v>
      </c>
      <c r="AP110" s="559" t="s">
        <v>5774</v>
      </c>
      <c r="AQ110" s="559" t="s">
        <v>5774</v>
      </c>
      <c r="AR110" s="492" t="s">
        <v>5747</v>
      </c>
      <c r="AS110" s="492"/>
      <c r="AT110" s="488" t="s">
        <v>5771</v>
      </c>
      <c r="AU110" s="487" t="s">
        <v>5762</v>
      </c>
      <c r="AV110" s="487"/>
      <c r="AW110" s="492"/>
      <c r="AX110" s="556" t="s">
        <v>5747</v>
      </c>
      <c r="AY110" s="555"/>
      <c r="AZ110" s="555"/>
      <c r="BA110" s="554"/>
      <c r="BB110" s="554"/>
      <c r="BC110" s="554"/>
      <c r="BD110" s="554" t="s">
        <v>5781</v>
      </c>
      <c r="BE110" s="554" t="s">
        <v>5781</v>
      </c>
      <c r="BF110" s="554"/>
      <c r="BG110" s="554"/>
      <c r="BH110" s="554"/>
      <c r="BI110" s="574"/>
    </row>
    <row r="111" spans="1:61" s="552" customFormat="1" ht="40" customHeight="1">
      <c r="A111" s="507"/>
      <c r="B111" s="522">
        <v>4512</v>
      </c>
      <c r="C111" s="566" t="s">
        <v>1316</v>
      </c>
      <c r="D111" s="565" t="s">
        <v>452</v>
      </c>
      <c r="E111" s="2371" t="s">
        <v>454</v>
      </c>
      <c r="F111" s="2371"/>
      <c r="G111" s="2371"/>
      <c r="H111" s="527">
        <v>4</v>
      </c>
      <c r="I111" s="526" t="str">
        <f t="shared" si="10"/>
        <v>4512-BLD-004</v>
      </c>
      <c r="J111" s="525" t="s">
        <v>5917</v>
      </c>
      <c r="K111" s="525"/>
      <c r="L111" s="519" t="s">
        <v>5215</v>
      </c>
      <c r="M111" s="519" t="s">
        <v>2969</v>
      </c>
      <c r="N111" s="560">
        <v>1</v>
      </c>
      <c r="O111" s="575">
        <v>30</v>
      </c>
      <c r="P111" s="564">
        <v>29</v>
      </c>
      <c r="Q111" s="564">
        <v>227</v>
      </c>
      <c r="R111" s="563">
        <v>13</v>
      </c>
      <c r="S111" s="498">
        <f t="shared" si="8"/>
        <v>6583</v>
      </c>
      <c r="T111" s="498">
        <f t="shared" si="9"/>
        <v>6583</v>
      </c>
      <c r="U111" s="498"/>
      <c r="V111" s="562" t="s">
        <v>5761</v>
      </c>
      <c r="W111" s="559" t="s">
        <v>5744</v>
      </c>
      <c r="X111" s="559" t="s">
        <v>5745</v>
      </c>
      <c r="Y111" s="561" t="s">
        <v>154</v>
      </c>
      <c r="Z111" s="492" t="s">
        <v>5747</v>
      </c>
      <c r="AA111" s="561" t="s">
        <v>154</v>
      </c>
      <c r="AB111" s="492" t="s">
        <v>5747</v>
      </c>
      <c r="AC111" s="492" t="s">
        <v>5747</v>
      </c>
      <c r="AD111" s="560">
        <v>22</v>
      </c>
      <c r="AE111" s="519" t="s">
        <v>5780</v>
      </c>
      <c r="AF111" s="492" t="s">
        <v>5747</v>
      </c>
      <c r="AG111" s="557" t="s">
        <v>154</v>
      </c>
      <c r="AH111" s="557" t="s">
        <v>154</v>
      </c>
      <c r="AI111" s="559" t="s">
        <v>5769</v>
      </c>
      <c r="AJ111" s="559" t="s">
        <v>5769</v>
      </c>
      <c r="AK111" s="559" t="s">
        <v>5769</v>
      </c>
      <c r="AL111" s="557" t="s">
        <v>154</v>
      </c>
      <c r="AM111" s="492" t="s">
        <v>5747</v>
      </c>
      <c r="AN111" s="559" t="s">
        <v>154</v>
      </c>
      <c r="AO111" s="559" t="s">
        <v>3454</v>
      </c>
      <c r="AP111" s="559" t="s">
        <v>5774</v>
      </c>
      <c r="AQ111" s="559" t="s">
        <v>5774</v>
      </c>
      <c r="AR111" s="492" t="s">
        <v>5747</v>
      </c>
      <c r="AS111" s="492"/>
      <c r="AT111" s="488" t="s">
        <v>5771</v>
      </c>
      <c r="AU111" s="487" t="s">
        <v>5762</v>
      </c>
      <c r="AV111" s="487"/>
      <c r="AW111" s="492"/>
      <c r="AX111" s="556" t="s">
        <v>5747</v>
      </c>
      <c r="AY111" s="555"/>
      <c r="AZ111" s="555"/>
      <c r="BA111" s="554"/>
      <c r="BB111" s="554"/>
      <c r="BC111" s="554"/>
      <c r="BD111" s="554" t="s">
        <v>5781</v>
      </c>
      <c r="BE111" s="554" t="s">
        <v>5781</v>
      </c>
      <c r="BF111" s="554"/>
      <c r="BG111" s="554"/>
      <c r="BH111" s="554"/>
      <c r="BI111" s="574"/>
    </row>
    <row r="112" spans="1:61" s="552" customFormat="1" ht="40" customHeight="1">
      <c r="A112" s="507"/>
      <c r="B112" s="522">
        <v>4512</v>
      </c>
      <c r="C112" s="566" t="s">
        <v>1316</v>
      </c>
      <c r="D112" s="565" t="s">
        <v>452</v>
      </c>
      <c r="E112" s="2371" t="s">
        <v>454</v>
      </c>
      <c r="F112" s="2371"/>
      <c r="G112" s="2371"/>
      <c r="H112" s="527">
        <v>5</v>
      </c>
      <c r="I112" s="526" t="str">
        <f t="shared" si="10"/>
        <v>4512-BLD-005</v>
      </c>
      <c r="J112" s="525" t="s">
        <v>5918</v>
      </c>
      <c r="K112" s="525"/>
      <c r="L112" s="519" t="s">
        <v>5215</v>
      </c>
      <c r="M112" s="519" t="s">
        <v>2969</v>
      </c>
      <c r="N112" s="560">
        <v>1</v>
      </c>
      <c r="O112" s="575">
        <v>30</v>
      </c>
      <c r="P112" s="564">
        <v>29</v>
      </c>
      <c r="Q112" s="564">
        <v>227</v>
      </c>
      <c r="R112" s="563">
        <v>13</v>
      </c>
      <c r="S112" s="498">
        <f t="shared" si="8"/>
        <v>6583</v>
      </c>
      <c r="T112" s="498">
        <f t="shared" si="9"/>
        <v>6583</v>
      </c>
      <c r="U112" s="498"/>
      <c r="V112" s="562" t="s">
        <v>5761</v>
      </c>
      <c r="W112" s="559" t="s">
        <v>5744</v>
      </c>
      <c r="X112" s="559" t="s">
        <v>5745</v>
      </c>
      <c r="Y112" s="561" t="s">
        <v>154</v>
      </c>
      <c r="Z112" s="492" t="s">
        <v>5747</v>
      </c>
      <c r="AA112" s="561" t="s">
        <v>154</v>
      </c>
      <c r="AB112" s="492" t="s">
        <v>5747</v>
      </c>
      <c r="AC112" s="492" t="s">
        <v>5747</v>
      </c>
      <c r="AD112" s="560">
        <v>22</v>
      </c>
      <c r="AE112" s="519" t="s">
        <v>5780</v>
      </c>
      <c r="AF112" s="492" t="s">
        <v>5747</v>
      </c>
      <c r="AG112" s="557" t="s">
        <v>154</v>
      </c>
      <c r="AH112" s="557" t="s">
        <v>154</v>
      </c>
      <c r="AI112" s="559" t="s">
        <v>5769</v>
      </c>
      <c r="AJ112" s="559" t="s">
        <v>5769</v>
      </c>
      <c r="AK112" s="559" t="s">
        <v>5769</v>
      </c>
      <c r="AL112" s="557" t="s">
        <v>154</v>
      </c>
      <c r="AM112" s="492" t="s">
        <v>5747</v>
      </c>
      <c r="AN112" s="559" t="s">
        <v>154</v>
      </c>
      <c r="AO112" s="559" t="s">
        <v>3454</v>
      </c>
      <c r="AP112" s="559" t="s">
        <v>5774</v>
      </c>
      <c r="AQ112" s="559" t="s">
        <v>5774</v>
      </c>
      <c r="AR112" s="492" t="s">
        <v>5747</v>
      </c>
      <c r="AS112" s="492"/>
      <c r="AT112" s="488" t="s">
        <v>5771</v>
      </c>
      <c r="AU112" s="487" t="s">
        <v>5762</v>
      </c>
      <c r="AV112" s="487"/>
      <c r="AW112" s="492"/>
      <c r="AX112" s="556" t="s">
        <v>5747</v>
      </c>
      <c r="AY112" s="555"/>
      <c r="AZ112" s="555"/>
      <c r="BA112" s="554"/>
      <c r="BB112" s="554"/>
      <c r="BC112" s="554"/>
      <c r="BD112" s="554" t="s">
        <v>5781</v>
      </c>
      <c r="BE112" s="554" t="s">
        <v>5781</v>
      </c>
      <c r="BF112" s="554"/>
      <c r="BG112" s="554"/>
      <c r="BH112" s="554"/>
      <c r="BI112" s="574"/>
    </row>
    <row r="113" spans="1:61" s="552" customFormat="1" ht="40" customHeight="1">
      <c r="A113" s="507"/>
      <c r="B113" s="522">
        <v>4512</v>
      </c>
      <c r="C113" s="566" t="s">
        <v>1316</v>
      </c>
      <c r="D113" s="565" t="s">
        <v>452</v>
      </c>
      <c r="E113" s="2371" t="s">
        <v>454</v>
      </c>
      <c r="F113" s="2371"/>
      <c r="G113" s="2371"/>
      <c r="H113" s="527">
        <v>6</v>
      </c>
      <c r="I113" s="526" t="str">
        <f t="shared" si="10"/>
        <v>4512-BLD-006</v>
      </c>
      <c r="J113" s="525" t="s">
        <v>5919</v>
      </c>
      <c r="K113" s="525"/>
      <c r="L113" s="519" t="s">
        <v>5215</v>
      </c>
      <c r="M113" s="519" t="s">
        <v>2969</v>
      </c>
      <c r="N113" s="560">
        <v>1</v>
      </c>
      <c r="O113" s="575">
        <v>30</v>
      </c>
      <c r="P113" s="564">
        <v>29</v>
      </c>
      <c r="Q113" s="564">
        <v>227</v>
      </c>
      <c r="R113" s="563">
        <v>13</v>
      </c>
      <c r="S113" s="498">
        <f t="shared" si="8"/>
        <v>6583</v>
      </c>
      <c r="T113" s="498">
        <f t="shared" si="9"/>
        <v>6583</v>
      </c>
      <c r="U113" s="498"/>
      <c r="V113" s="562" t="s">
        <v>5761</v>
      </c>
      <c r="W113" s="559" t="s">
        <v>5744</v>
      </c>
      <c r="X113" s="559" t="s">
        <v>5745</v>
      </c>
      <c r="Y113" s="561" t="s">
        <v>154</v>
      </c>
      <c r="Z113" s="492" t="s">
        <v>5747</v>
      </c>
      <c r="AA113" s="561" t="s">
        <v>154</v>
      </c>
      <c r="AB113" s="492" t="s">
        <v>5747</v>
      </c>
      <c r="AC113" s="492" t="s">
        <v>5747</v>
      </c>
      <c r="AD113" s="560">
        <v>22</v>
      </c>
      <c r="AE113" s="519" t="s">
        <v>5780</v>
      </c>
      <c r="AF113" s="492" t="s">
        <v>5747</v>
      </c>
      <c r="AG113" s="557" t="s">
        <v>154</v>
      </c>
      <c r="AH113" s="557" t="s">
        <v>154</v>
      </c>
      <c r="AI113" s="559" t="s">
        <v>5769</v>
      </c>
      <c r="AJ113" s="559" t="s">
        <v>5769</v>
      </c>
      <c r="AK113" s="559" t="s">
        <v>5769</v>
      </c>
      <c r="AL113" s="557" t="s">
        <v>154</v>
      </c>
      <c r="AM113" s="492" t="s">
        <v>5747</v>
      </c>
      <c r="AN113" s="559" t="s">
        <v>154</v>
      </c>
      <c r="AO113" s="559" t="s">
        <v>3454</v>
      </c>
      <c r="AP113" s="559" t="s">
        <v>5774</v>
      </c>
      <c r="AQ113" s="559" t="s">
        <v>5774</v>
      </c>
      <c r="AR113" s="492" t="s">
        <v>5747</v>
      </c>
      <c r="AS113" s="492"/>
      <c r="AT113" s="488" t="s">
        <v>5771</v>
      </c>
      <c r="AU113" s="487" t="s">
        <v>5762</v>
      </c>
      <c r="AV113" s="487"/>
      <c r="AW113" s="492"/>
      <c r="AX113" s="556" t="s">
        <v>5747</v>
      </c>
      <c r="AY113" s="555"/>
      <c r="AZ113" s="555"/>
      <c r="BA113" s="554"/>
      <c r="BB113" s="554"/>
      <c r="BC113" s="554"/>
      <c r="BD113" s="554" t="s">
        <v>5781</v>
      </c>
      <c r="BE113" s="554" t="s">
        <v>5781</v>
      </c>
      <c r="BF113" s="554"/>
      <c r="BG113" s="554"/>
      <c r="BH113" s="554"/>
      <c r="BI113" s="574"/>
    </row>
    <row r="114" spans="1:61" s="552" customFormat="1" ht="40" customHeight="1">
      <c r="A114" s="507"/>
      <c r="B114" s="522">
        <v>4512</v>
      </c>
      <c r="C114" s="566" t="s">
        <v>1316</v>
      </c>
      <c r="D114" s="565" t="s">
        <v>452</v>
      </c>
      <c r="E114" s="2371" t="s">
        <v>454</v>
      </c>
      <c r="F114" s="2371"/>
      <c r="G114" s="2371"/>
      <c r="H114" s="527">
        <v>7</v>
      </c>
      <c r="I114" s="526" t="str">
        <f t="shared" si="10"/>
        <v>4512-BLD-007</v>
      </c>
      <c r="J114" s="525" t="s">
        <v>5920</v>
      </c>
      <c r="K114" s="525"/>
      <c r="L114" s="519" t="s">
        <v>5215</v>
      </c>
      <c r="M114" s="519" t="s">
        <v>2969</v>
      </c>
      <c r="N114" s="560">
        <v>1</v>
      </c>
      <c r="O114" s="575">
        <v>30</v>
      </c>
      <c r="P114" s="564">
        <v>29</v>
      </c>
      <c r="Q114" s="564">
        <v>227</v>
      </c>
      <c r="R114" s="563">
        <v>13</v>
      </c>
      <c r="S114" s="498">
        <f t="shared" si="8"/>
        <v>6583</v>
      </c>
      <c r="T114" s="498">
        <f t="shared" si="9"/>
        <v>6583</v>
      </c>
      <c r="U114" s="498"/>
      <c r="V114" s="562" t="s">
        <v>5761</v>
      </c>
      <c r="W114" s="559" t="s">
        <v>5744</v>
      </c>
      <c r="X114" s="559" t="s">
        <v>5745</v>
      </c>
      <c r="Y114" s="561" t="s">
        <v>154</v>
      </c>
      <c r="Z114" s="492" t="s">
        <v>5747</v>
      </c>
      <c r="AA114" s="561" t="s">
        <v>154</v>
      </c>
      <c r="AB114" s="492" t="s">
        <v>5747</v>
      </c>
      <c r="AC114" s="492" t="s">
        <v>5747</v>
      </c>
      <c r="AD114" s="560">
        <v>22</v>
      </c>
      <c r="AE114" s="519" t="s">
        <v>5780</v>
      </c>
      <c r="AF114" s="492" t="s">
        <v>5747</v>
      </c>
      <c r="AG114" s="557" t="s">
        <v>154</v>
      </c>
      <c r="AH114" s="557" t="s">
        <v>154</v>
      </c>
      <c r="AI114" s="559" t="s">
        <v>5769</v>
      </c>
      <c r="AJ114" s="559" t="s">
        <v>5769</v>
      </c>
      <c r="AK114" s="559" t="s">
        <v>5769</v>
      </c>
      <c r="AL114" s="557" t="s">
        <v>154</v>
      </c>
      <c r="AM114" s="492" t="s">
        <v>5747</v>
      </c>
      <c r="AN114" s="559" t="s">
        <v>154</v>
      </c>
      <c r="AO114" s="559" t="s">
        <v>3454</v>
      </c>
      <c r="AP114" s="559" t="s">
        <v>5774</v>
      </c>
      <c r="AQ114" s="559" t="s">
        <v>5774</v>
      </c>
      <c r="AR114" s="492" t="s">
        <v>5747</v>
      </c>
      <c r="AS114" s="492"/>
      <c r="AT114" s="488" t="s">
        <v>5771</v>
      </c>
      <c r="AU114" s="487" t="s">
        <v>5762</v>
      </c>
      <c r="AV114" s="487"/>
      <c r="AW114" s="492"/>
      <c r="AX114" s="556" t="s">
        <v>5747</v>
      </c>
      <c r="AY114" s="555"/>
      <c r="AZ114" s="555"/>
      <c r="BA114" s="554"/>
      <c r="BB114" s="554"/>
      <c r="BC114" s="554"/>
      <c r="BD114" s="554" t="s">
        <v>5781</v>
      </c>
      <c r="BE114" s="554" t="s">
        <v>5781</v>
      </c>
      <c r="BF114" s="554"/>
      <c r="BG114" s="554"/>
      <c r="BH114" s="554"/>
      <c r="BI114" s="574"/>
    </row>
    <row r="115" spans="1:61" ht="40" customHeight="1">
      <c r="A115" s="528"/>
      <c r="B115" s="506">
        <v>4513</v>
      </c>
      <c r="C115" s="505" t="s">
        <v>1316</v>
      </c>
      <c r="D115" s="504" t="s">
        <v>452</v>
      </c>
      <c r="E115" s="2369" t="s">
        <v>454</v>
      </c>
      <c r="F115" s="2369"/>
      <c r="G115" s="2369"/>
      <c r="H115" s="503">
        <v>1</v>
      </c>
      <c r="I115" s="502" t="str">
        <f t="shared" si="10"/>
        <v>4513-BLD-001</v>
      </c>
      <c r="J115" s="501" t="s">
        <v>5785</v>
      </c>
      <c r="K115" s="501"/>
      <c r="L115" s="493" t="s">
        <v>4158</v>
      </c>
      <c r="M115" s="493" t="s">
        <v>2969</v>
      </c>
      <c r="N115" s="494">
        <v>1</v>
      </c>
      <c r="O115" s="529">
        <v>18</v>
      </c>
      <c r="P115" s="500">
        <v>24</v>
      </c>
      <c r="Q115" s="500">
        <v>40</v>
      </c>
      <c r="R115" s="499">
        <v>8</v>
      </c>
      <c r="S115" s="497">
        <f t="shared" si="8"/>
        <v>960</v>
      </c>
      <c r="T115" s="498">
        <f t="shared" si="9"/>
        <v>960</v>
      </c>
      <c r="U115" s="497" t="s">
        <v>3454</v>
      </c>
      <c r="V115" s="496" t="s">
        <v>5786</v>
      </c>
      <c r="W115" s="489" t="s">
        <v>5787</v>
      </c>
      <c r="X115" s="489" t="s">
        <v>5745</v>
      </c>
      <c r="Y115" s="492" t="s">
        <v>5747</v>
      </c>
      <c r="Z115" s="492" t="s">
        <v>5747</v>
      </c>
      <c r="AA115" s="495" t="s">
        <v>154</v>
      </c>
      <c r="AB115" s="495" t="s">
        <v>154</v>
      </c>
      <c r="AC115" s="492" t="s">
        <v>5747</v>
      </c>
      <c r="AD115" s="494">
        <v>22</v>
      </c>
      <c r="AE115" s="493" t="s">
        <v>5746</v>
      </c>
      <c r="AF115" s="489" t="s">
        <v>154</v>
      </c>
      <c r="AG115" s="491" t="s">
        <v>154</v>
      </c>
      <c r="AH115" s="489" t="s">
        <v>5754</v>
      </c>
      <c r="AI115" s="489" t="s">
        <v>5755</v>
      </c>
      <c r="AJ115" s="489" t="s">
        <v>5754</v>
      </c>
      <c r="AK115" s="489" t="s">
        <v>154</v>
      </c>
      <c r="AL115" s="491" t="s">
        <v>154</v>
      </c>
      <c r="AM115" s="490" t="s">
        <v>5747</v>
      </c>
      <c r="AN115" s="489" t="s">
        <v>154</v>
      </c>
      <c r="AO115" s="489" t="s">
        <v>3454</v>
      </c>
      <c r="AP115" s="489" t="s">
        <v>5750</v>
      </c>
      <c r="AQ115" s="489" t="s">
        <v>5788</v>
      </c>
      <c r="AR115" s="489" t="s">
        <v>154</v>
      </c>
      <c r="AS115" s="487">
        <v>6</v>
      </c>
      <c r="AT115" s="488" t="s">
        <v>5771</v>
      </c>
      <c r="AU115" s="487" t="s">
        <v>5762</v>
      </c>
      <c r="AV115" s="487"/>
      <c r="AW115" s="487"/>
      <c r="AX115" s="570" t="s">
        <v>5747</v>
      </c>
      <c r="AY115" s="569"/>
      <c r="AZ115" s="569"/>
      <c r="BA115" s="568"/>
      <c r="BB115" s="568">
        <v>1</v>
      </c>
      <c r="BC115" s="568"/>
      <c r="BD115" s="568"/>
      <c r="BE115" s="568">
        <v>2</v>
      </c>
      <c r="BF115" s="568">
        <v>1</v>
      </c>
      <c r="BG115" s="568">
        <v>1</v>
      </c>
      <c r="BH115" s="568">
        <v>1</v>
      </c>
      <c r="BI115" s="457" t="s">
        <v>5777</v>
      </c>
    </row>
    <row r="116" spans="1:61" ht="40" customHeight="1">
      <c r="A116" s="507"/>
      <c r="B116" s="506">
        <v>4513</v>
      </c>
      <c r="C116" s="505" t="s">
        <v>1316</v>
      </c>
      <c r="D116" s="504" t="s">
        <v>452</v>
      </c>
      <c r="E116" s="2369" t="s">
        <v>454</v>
      </c>
      <c r="F116" s="2369"/>
      <c r="G116" s="2369"/>
      <c r="H116" s="503">
        <v>2</v>
      </c>
      <c r="I116" s="502" t="str">
        <f t="shared" si="10"/>
        <v>4513-BLD-002</v>
      </c>
      <c r="J116" s="501" t="s">
        <v>5790</v>
      </c>
      <c r="K116" s="501"/>
      <c r="L116" s="493" t="s">
        <v>4168</v>
      </c>
      <c r="M116" s="493" t="s">
        <v>2969</v>
      </c>
      <c r="N116" s="494">
        <v>1</v>
      </c>
      <c r="O116" s="494">
        <v>5</v>
      </c>
      <c r="P116" s="500">
        <v>50</v>
      </c>
      <c r="Q116" s="500">
        <v>60</v>
      </c>
      <c r="R116" s="499">
        <v>20</v>
      </c>
      <c r="S116" s="497">
        <f t="shared" si="8"/>
        <v>3000</v>
      </c>
      <c r="T116" s="498">
        <f t="shared" si="9"/>
        <v>3000</v>
      </c>
      <c r="U116" s="497" t="s">
        <v>5791</v>
      </c>
      <c r="V116" s="496" t="s">
        <v>5792</v>
      </c>
      <c r="W116" s="489" t="s">
        <v>5793</v>
      </c>
      <c r="X116" s="489" t="s">
        <v>5794</v>
      </c>
      <c r="Y116" s="495" t="s">
        <v>154</v>
      </c>
      <c r="Z116" s="495" t="s">
        <v>154</v>
      </c>
      <c r="AA116" s="495" t="s">
        <v>154</v>
      </c>
      <c r="AB116" s="495" t="s">
        <v>154</v>
      </c>
      <c r="AC116" s="495" t="s">
        <v>154</v>
      </c>
      <c r="AD116" s="494">
        <v>5</v>
      </c>
      <c r="AE116" s="495" t="s">
        <v>3454</v>
      </c>
      <c r="AF116" s="492" t="s">
        <v>5747</v>
      </c>
      <c r="AG116" s="491" t="s">
        <v>154</v>
      </c>
      <c r="AH116" s="491" t="s">
        <v>154</v>
      </c>
      <c r="AI116" s="489" t="s">
        <v>154</v>
      </c>
      <c r="AJ116" s="489" t="s">
        <v>154</v>
      </c>
      <c r="AK116" s="489" t="s">
        <v>154</v>
      </c>
      <c r="AL116" s="491" t="s">
        <v>154</v>
      </c>
      <c r="AM116" s="490" t="s">
        <v>5747</v>
      </c>
      <c r="AN116" s="489" t="s">
        <v>154</v>
      </c>
      <c r="AO116" s="489" t="s">
        <v>3454</v>
      </c>
      <c r="AP116" s="489" t="s">
        <v>5750</v>
      </c>
      <c r="AQ116" s="489" t="s">
        <v>5774</v>
      </c>
      <c r="AR116" s="489" t="s">
        <v>154</v>
      </c>
      <c r="AS116" s="530">
        <v>4</v>
      </c>
      <c r="AT116" s="488" t="s">
        <v>5771</v>
      </c>
      <c r="AU116" s="487" t="s">
        <v>5762</v>
      </c>
      <c r="AV116" s="487"/>
      <c r="AW116" s="530"/>
      <c r="AX116" s="570" t="s">
        <v>5747</v>
      </c>
      <c r="AY116" s="569"/>
      <c r="AZ116" s="569"/>
      <c r="BA116" s="568"/>
      <c r="BB116" s="568"/>
      <c r="BC116" s="568"/>
      <c r="BD116" s="568"/>
      <c r="BE116" s="568">
        <v>1</v>
      </c>
      <c r="BF116" s="568"/>
      <c r="BG116" s="568"/>
      <c r="BH116" s="568">
        <v>1</v>
      </c>
      <c r="BI116" s="457" t="s">
        <v>5795</v>
      </c>
    </row>
    <row r="117" spans="1:61" ht="40" customHeight="1">
      <c r="A117" s="507"/>
      <c r="B117" s="506">
        <v>4521</v>
      </c>
      <c r="C117" s="505" t="s">
        <v>1316</v>
      </c>
      <c r="D117" s="504" t="s">
        <v>452</v>
      </c>
      <c r="E117" s="2369" t="s">
        <v>605</v>
      </c>
      <c r="F117" s="2369"/>
      <c r="G117" s="2369"/>
      <c r="H117" s="503">
        <v>1</v>
      </c>
      <c r="I117" s="502" t="str">
        <f t="shared" si="10"/>
        <v>4521-BLD-001</v>
      </c>
      <c r="J117" s="501" t="s">
        <v>5796</v>
      </c>
      <c r="K117" s="501"/>
      <c r="L117" s="493" t="s">
        <v>5025</v>
      </c>
      <c r="M117" s="493" t="s">
        <v>2969</v>
      </c>
      <c r="N117" s="494">
        <v>1</v>
      </c>
      <c r="O117" s="529">
        <v>20</v>
      </c>
      <c r="P117" s="500">
        <v>100</v>
      </c>
      <c r="Q117" s="500">
        <v>260</v>
      </c>
      <c r="R117" s="499">
        <v>35</v>
      </c>
      <c r="S117" s="497">
        <f t="shared" si="8"/>
        <v>26000</v>
      </c>
      <c r="T117" s="498">
        <f t="shared" si="9"/>
        <v>26000</v>
      </c>
      <c r="U117" s="497" t="s">
        <v>5797</v>
      </c>
      <c r="V117" s="496" t="s">
        <v>5792</v>
      </c>
      <c r="W117" s="489" t="s">
        <v>5793</v>
      </c>
      <c r="X117" s="489" t="s">
        <v>5794</v>
      </c>
      <c r="Y117" s="495" t="s">
        <v>154</v>
      </c>
      <c r="Z117" s="495" t="s">
        <v>154</v>
      </c>
      <c r="AA117" s="495" t="s">
        <v>154</v>
      </c>
      <c r="AB117" s="495" t="s">
        <v>154</v>
      </c>
      <c r="AC117" s="495" t="s">
        <v>154</v>
      </c>
      <c r="AD117" s="494">
        <v>22</v>
      </c>
      <c r="AE117" s="493" t="s">
        <v>3454</v>
      </c>
      <c r="AF117" s="492" t="s">
        <v>5747</v>
      </c>
      <c r="AG117" s="491" t="s">
        <v>154</v>
      </c>
      <c r="AH117" s="489" t="s">
        <v>5754</v>
      </c>
      <c r="AI117" s="489" t="s">
        <v>154</v>
      </c>
      <c r="AJ117" s="489" t="s">
        <v>154</v>
      </c>
      <c r="AK117" s="489" t="s">
        <v>154</v>
      </c>
      <c r="AL117" s="491" t="s">
        <v>154</v>
      </c>
      <c r="AM117" s="490" t="s">
        <v>5747</v>
      </c>
      <c r="AN117" s="489" t="s">
        <v>154</v>
      </c>
      <c r="AO117" s="489" t="s">
        <v>3454</v>
      </c>
      <c r="AP117" s="489" t="s">
        <v>5750</v>
      </c>
      <c r="AQ117" s="489" t="s">
        <v>5756</v>
      </c>
      <c r="AR117" s="489" t="s">
        <v>154</v>
      </c>
      <c r="AS117" s="530">
        <v>4</v>
      </c>
      <c r="AT117" s="488" t="s">
        <v>5921</v>
      </c>
      <c r="AU117" s="487" t="s">
        <v>5762</v>
      </c>
      <c r="AV117" s="487"/>
      <c r="AW117" s="530"/>
      <c r="AX117" s="570" t="s">
        <v>5747</v>
      </c>
      <c r="AY117" s="569"/>
      <c r="AZ117" s="569"/>
      <c r="BA117" s="568">
        <v>1</v>
      </c>
      <c r="BB117" s="568">
        <v>1</v>
      </c>
      <c r="BC117" s="568"/>
      <c r="BD117" s="568"/>
      <c r="BE117" s="568">
        <v>2</v>
      </c>
      <c r="BF117" s="568"/>
      <c r="BG117" s="568"/>
      <c r="BH117" s="568"/>
      <c r="BI117" s="457"/>
    </row>
    <row r="118" spans="1:61" ht="40" customHeight="1">
      <c r="A118" s="507"/>
      <c r="B118" s="506">
        <v>4521</v>
      </c>
      <c r="C118" s="505" t="s">
        <v>1316</v>
      </c>
      <c r="D118" s="504" t="s">
        <v>452</v>
      </c>
      <c r="E118" s="2369" t="s">
        <v>605</v>
      </c>
      <c r="F118" s="2369"/>
      <c r="G118" s="2369"/>
      <c r="H118" s="503">
        <v>2</v>
      </c>
      <c r="I118" s="502" t="str">
        <f t="shared" si="10"/>
        <v>4521-BLD-002</v>
      </c>
      <c r="J118" s="501" t="s">
        <v>5922</v>
      </c>
      <c r="K118" s="501"/>
      <c r="L118" s="493" t="s">
        <v>5025</v>
      </c>
      <c r="M118" s="493" t="s">
        <v>2969</v>
      </c>
      <c r="N118" s="494">
        <v>1</v>
      </c>
      <c r="O118" s="529">
        <v>5</v>
      </c>
      <c r="P118" s="500">
        <v>60</v>
      </c>
      <c r="Q118" s="500">
        <v>160</v>
      </c>
      <c r="R118" s="499">
        <v>25</v>
      </c>
      <c r="S118" s="497">
        <f t="shared" si="8"/>
        <v>9600</v>
      </c>
      <c r="T118" s="498">
        <f t="shared" si="9"/>
        <v>9600</v>
      </c>
      <c r="U118" s="497" t="s">
        <v>5791</v>
      </c>
      <c r="V118" s="496" t="s">
        <v>5792</v>
      </c>
      <c r="W118" s="489" t="s">
        <v>5793</v>
      </c>
      <c r="X118" s="489" t="s">
        <v>5794</v>
      </c>
      <c r="Y118" s="495" t="s">
        <v>154</v>
      </c>
      <c r="Z118" s="495" t="s">
        <v>154</v>
      </c>
      <c r="AA118" s="495" t="s">
        <v>154</v>
      </c>
      <c r="AB118" s="495" t="s">
        <v>154</v>
      </c>
      <c r="AC118" s="495" t="s">
        <v>154</v>
      </c>
      <c r="AD118" s="494">
        <v>22</v>
      </c>
      <c r="AE118" s="493" t="s">
        <v>3454</v>
      </c>
      <c r="AF118" s="492" t="s">
        <v>5747</v>
      </c>
      <c r="AG118" s="491" t="s">
        <v>154</v>
      </c>
      <c r="AH118" s="491" t="s">
        <v>154</v>
      </c>
      <c r="AI118" s="489" t="s">
        <v>154</v>
      </c>
      <c r="AJ118" s="489" t="s">
        <v>154</v>
      </c>
      <c r="AK118" s="489" t="s">
        <v>154</v>
      </c>
      <c r="AL118" s="491" t="s">
        <v>154</v>
      </c>
      <c r="AM118" s="490" t="s">
        <v>5747</v>
      </c>
      <c r="AN118" s="489" t="s">
        <v>154</v>
      </c>
      <c r="AO118" s="489" t="s">
        <v>3454</v>
      </c>
      <c r="AP118" s="489" t="s">
        <v>5750</v>
      </c>
      <c r="AQ118" s="489" t="s">
        <v>5756</v>
      </c>
      <c r="AR118" s="489" t="s">
        <v>154</v>
      </c>
      <c r="AS118" s="530">
        <v>4</v>
      </c>
      <c r="AT118" s="488" t="s">
        <v>5757</v>
      </c>
      <c r="AU118" s="487" t="s">
        <v>5762</v>
      </c>
      <c r="AV118" s="487"/>
      <c r="AW118" s="530"/>
      <c r="AX118" s="570" t="s">
        <v>5747</v>
      </c>
      <c r="AY118" s="569"/>
      <c r="AZ118" s="569"/>
      <c r="BA118" s="568"/>
      <c r="BB118" s="568"/>
      <c r="BC118" s="568"/>
      <c r="BD118" s="568"/>
      <c r="BE118" s="568">
        <v>1</v>
      </c>
      <c r="BF118" s="568"/>
      <c r="BG118" s="568"/>
      <c r="BH118" s="568"/>
      <c r="BI118" s="457"/>
    </row>
    <row r="119" spans="1:61" ht="40" customHeight="1">
      <c r="A119" s="507"/>
      <c r="B119" s="506">
        <v>4521</v>
      </c>
      <c r="C119" s="505" t="s">
        <v>1316</v>
      </c>
      <c r="D119" s="504" t="s">
        <v>452</v>
      </c>
      <c r="E119" s="2369" t="s">
        <v>605</v>
      </c>
      <c r="F119" s="2369"/>
      <c r="G119" s="2369"/>
      <c r="H119" s="503">
        <v>3</v>
      </c>
      <c r="I119" s="502" t="str">
        <f t="shared" si="10"/>
        <v>4521-BLD-003</v>
      </c>
      <c r="J119" s="501" t="s">
        <v>5799</v>
      </c>
      <c r="K119" s="501"/>
      <c r="L119" s="493" t="s">
        <v>4168</v>
      </c>
      <c r="M119" s="493" t="s">
        <v>2969</v>
      </c>
      <c r="N119" s="494">
        <v>1</v>
      </c>
      <c r="O119" s="529">
        <v>5</v>
      </c>
      <c r="P119" s="500">
        <v>60</v>
      </c>
      <c r="Q119" s="500">
        <v>70</v>
      </c>
      <c r="R119" s="499">
        <v>25</v>
      </c>
      <c r="S119" s="497">
        <f t="shared" si="8"/>
        <v>4200</v>
      </c>
      <c r="T119" s="498">
        <f t="shared" si="9"/>
        <v>4200</v>
      </c>
      <c r="U119" s="497" t="s">
        <v>5797</v>
      </c>
      <c r="V119" s="496" t="s">
        <v>5792</v>
      </c>
      <c r="W119" s="489" t="s">
        <v>5793</v>
      </c>
      <c r="X119" s="489" t="s">
        <v>5794</v>
      </c>
      <c r="Y119" s="495" t="s">
        <v>154</v>
      </c>
      <c r="Z119" s="495" t="s">
        <v>154</v>
      </c>
      <c r="AA119" s="495" t="s">
        <v>154</v>
      </c>
      <c r="AB119" s="495" t="s">
        <v>154</v>
      </c>
      <c r="AC119" s="495" t="s">
        <v>154</v>
      </c>
      <c r="AD119" s="494">
        <v>22</v>
      </c>
      <c r="AE119" s="493" t="s">
        <v>3454</v>
      </c>
      <c r="AF119" s="492" t="s">
        <v>5747</v>
      </c>
      <c r="AG119" s="491" t="s">
        <v>154</v>
      </c>
      <c r="AH119" s="491" t="s">
        <v>154</v>
      </c>
      <c r="AI119" s="489" t="s">
        <v>154</v>
      </c>
      <c r="AJ119" s="489" t="s">
        <v>154</v>
      </c>
      <c r="AK119" s="489" t="s">
        <v>154</v>
      </c>
      <c r="AL119" s="491" t="s">
        <v>154</v>
      </c>
      <c r="AM119" s="490" t="s">
        <v>5747</v>
      </c>
      <c r="AN119" s="489" t="s">
        <v>154</v>
      </c>
      <c r="AO119" s="489" t="s">
        <v>3454</v>
      </c>
      <c r="AP119" s="489" t="s">
        <v>5750</v>
      </c>
      <c r="AQ119" s="489" t="s">
        <v>154</v>
      </c>
      <c r="AR119" s="489" t="s">
        <v>154</v>
      </c>
      <c r="AS119" s="530">
        <v>4</v>
      </c>
      <c r="AT119" s="488" t="s">
        <v>5789</v>
      </c>
      <c r="AU119" s="487" t="s">
        <v>5762</v>
      </c>
      <c r="AV119" s="487"/>
      <c r="AW119" s="530"/>
      <c r="AX119" s="570" t="s">
        <v>5747</v>
      </c>
      <c r="AY119" s="569"/>
      <c r="AZ119" s="569"/>
      <c r="BA119" s="568"/>
      <c r="BB119" s="568"/>
      <c r="BC119" s="568"/>
      <c r="BD119" s="568"/>
      <c r="BE119" s="568">
        <v>1</v>
      </c>
      <c r="BF119" s="568"/>
      <c r="BG119" s="568"/>
      <c r="BH119" s="568"/>
      <c r="BI119" s="457"/>
    </row>
    <row r="120" spans="1:61" ht="40" customHeight="1">
      <c r="A120" s="528"/>
      <c r="B120" s="506">
        <v>4521</v>
      </c>
      <c r="C120" s="505" t="s">
        <v>1316</v>
      </c>
      <c r="D120" s="504" t="s">
        <v>452</v>
      </c>
      <c r="E120" s="2369" t="s">
        <v>605</v>
      </c>
      <c r="F120" s="2369"/>
      <c r="G120" s="2369"/>
      <c r="H120" s="503">
        <v>4</v>
      </c>
      <c r="I120" s="502" t="str">
        <f t="shared" si="10"/>
        <v>4521-BLD-004</v>
      </c>
      <c r="J120" s="501" t="s">
        <v>5801</v>
      </c>
      <c r="K120" s="501"/>
      <c r="L120" s="493" t="s">
        <v>4158</v>
      </c>
      <c r="M120" s="493" t="s">
        <v>2969</v>
      </c>
      <c r="N120" s="494">
        <v>1</v>
      </c>
      <c r="O120" s="529">
        <v>31</v>
      </c>
      <c r="P120" s="500">
        <v>48</v>
      </c>
      <c r="Q120" s="500">
        <v>60</v>
      </c>
      <c r="R120" s="499">
        <v>8</v>
      </c>
      <c r="S120" s="497">
        <f t="shared" si="8"/>
        <v>2880</v>
      </c>
      <c r="T120" s="498">
        <f t="shared" si="9"/>
        <v>2880</v>
      </c>
      <c r="U120" s="497" t="s">
        <v>3454</v>
      </c>
      <c r="V120" s="496" t="s">
        <v>5786</v>
      </c>
      <c r="W120" s="489" t="s">
        <v>5787</v>
      </c>
      <c r="X120" s="489" t="s">
        <v>5745</v>
      </c>
      <c r="Y120" s="492" t="s">
        <v>5747</v>
      </c>
      <c r="Z120" s="495" t="s">
        <v>154</v>
      </c>
      <c r="AA120" s="492" t="s">
        <v>5747</v>
      </c>
      <c r="AB120" s="495" t="s">
        <v>154</v>
      </c>
      <c r="AC120" s="492" t="s">
        <v>5747</v>
      </c>
      <c r="AD120" s="494">
        <v>22</v>
      </c>
      <c r="AE120" s="493" t="s">
        <v>5746</v>
      </c>
      <c r="AF120" s="489" t="s">
        <v>154</v>
      </c>
      <c r="AG120" s="491" t="s">
        <v>154</v>
      </c>
      <c r="AH120" s="489" t="s">
        <v>154</v>
      </c>
      <c r="AI120" s="489" t="s">
        <v>5755</v>
      </c>
      <c r="AJ120" s="489" t="s">
        <v>154</v>
      </c>
      <c r="AK120" s="489" t="s">
        <v>154</v>
      </c>
      <c r="AL120" s="491" t="s">
        <v>154</v>
      </c>
      <c r="AM120" s="490" t="s">
        <v>5747</v>
      </c>
      <c r="AN120" s="489" t="s">
        <v>154</v>
      </c>
      <c r="AO120" s="489" t="s">
        <v>3454</v>
      </c>
      <c r="AP120" s="489" t="s">
        <v>5750</v>
      </c>
      <c r="AQ120" s="489" t="s">
        <v>5756</v>
      </c>
      <c r="AR120" s="489" t="s">
        <v>154</v>
      </c>
      <c r="AS120" s="487">
        <v>40</v>
      </c>
      <c r="AT120" s="488" t="s">
        <v>5789</v>
      </c>
      <c r="AU120" s="487" t="s">
        <v>5762</v>
      </c>
      <c r="AV120" s="487"/>
      <c r="AW120" s="487"/>
      <c r="AX120" s="570" t="s">
        <v>5747</v>
      </c>
      <c r="AY120" s="570" t="s">
        <v>5747</v>
      </c>
      <c r="AZ120" s="569"/>
      <c r="BA120" s="568"/>
      <c r="BB120" s="568">
        <v>1</v>
      </c>
      <c r="BC120" s="568"/>
      <c r="BD120" s="568"/>
      <c r="BE120" s="568">
        <v>3</v>
      </c>
      <c r="BF120" s="568"/>
      <c r="BG120" s="568"/>
      <c r="BH120" s="568"/>
      <c r="BI120" s="457"/>
    </row>
    <row r="121" spans="1:61" ht="40" customHeight="1">
      <c r="A121" s="528"/>
      <c r="B121" s="506">
        <v>4521</v>
      </c>
      <c r="C121" s="505" t="s">
        <v>1316</v>
      </c>
      <c r="D121" s="504" t="s">
        <v>452</v>
      </c>
      <c r="E121" s="2369" t="s">
        <v>605</v>
      </c>
      <c r="F121" s="2369"/>
      <c r="G121" s="2369"/>
      <c r="H121" s="503">
        <v>5</v>
      </c>
      <c r="I121" s="502" t="str">
        <f t="shared" si="10"/>
        <v>4521-BLD-005</v>
      </c>
      <c r="J121" s="501" t="s">
        <v>5803</v>
      </c>
      <c r="K121" s="501"/>
      <c r="L121" s="493" t="s">
        <v>4158</v>
      </c>
      <c r="M121" s="493" t="s">
        <v>2969</v>
      </c>
      <c r="N121" s="494">
        <v>1</v>
      </c>
      <c r="O121" s="529">
        <v>9</v>
      </c>
      <c r="P121" s="500">
        <v>12</v>
      </c>
      <c r="Q121" s="500">
        <v>32</v>
      </c>
      <c r="R121" s="499">
        <v>8</v>
      </c>
      <c r="S121" s="497">
        <f t="shared" si="8"/>
        <v>384</v>
      </c>
      <c r="T121" s="498">
        <f t="shared" si="9"/>
        <v>384</v>
      </c>
      <c r="U121" s="497" t="s">
        <v>5791</v>
      </c>
      <c r="V121" s="496" t="s">
        <v>5753</v>
      </c>
      <c r="W121" s="489" t="s">
        <v>5787</v>
      </c>
      <c r="X121" s="489" t="s">
        <v>5745</v>
      </c>
      <c r="Y121" s="495" t="s">
        <v>154</v>
      </c>
      <c r="Z121" s="492" t="s">
        <v>5747</v>
      </c>
      <c r="AA121" s="495" t="s">
        <v>154</v>
      </c>
      <c r="AB121" s="495" t="s">
        <v>154</v>
      </c>
      <c r="AC121" s="495" t="s">
        <v>154</v>
      </c>
      <c r="AD121" s="494">
        <v>22</v>
      </c>
      <c r="AE121" s="495" t="s">
        <v>5746</v>
      </c>
      <c r="AF121" s="489" t="s">
        <v>154</v>
      </c>
      <c r="AG121" s="489" t="s">
        <v>154</v>
      </c>
      <c r="AH121" s="489" t="s">
        <v>5754</v>
      </c>
      <c r="AI121" s="489" t="s">
        <v>154</v>
      </c>
      <c r="AJ121" s="489" t="s">
        <v>5754</v>
      </c>
      <c r="AK121" s="489" t="s">
        <v>154</v>
      </c>
      <c r="AL121" s="491" t="s">
        <v>154</v>
      </c>
      <c r="AM121" s="491" t="s">
        <v>154</v>
      </c>
      <c r="AN121" s="490" t="s">
        <v>5747</v>
      </c>
      <c r="AO121" s="489" t="s">
        <v>3454</v>
      </c>
      <c r="AP121" s="489" t="s">
        <v>154</v>
      </c>
      <c r="AQ121" s="489" t="s">
        <v>154</v>
      </c>
      <c r="AR121" s="489" t="s">
        <v>154</v>
      </c>
      <c r="AS121" s="487"/>
      <c r="AT121" s="488"/>
      <c r="AU121" s="487"/>
      <c r="AV121" s="487"/>
      <c r="AW121" s="487"/>
      <c r="AX121" s="569"/>
      <c r="AY121" s="569"/>
      <c r="AZ121" s="569"/>
      <c r="BA121" s="568"/>
      <c r="BB121" s="568"/>
      <c r="BC121" s="568"/>
      <c r="BD121" s="568"/>
      <c r="BE121" s="568"/>
      <c r="BF121" s="568"/>
      <c r="BG121" s="568"/>
      <c r="BH121" s="568"/>
      <c r="BI121" s="457"/>
    </row>
    <row r="122" spans="1:61" ht="40" customHeight="1">
      <c r="A122" s="507"/>
      <c r="B122" s="506">
        <v>4523</v>
      </c>
      <c r="C122" s="505" t="s">
        <v>1316</v>
      </c>
      <c r="D122" s="504" t="s">
        <v>452</v>
      </c>
      <c r="E122" s="2369" t="s">
        <v>605</v>
      </c>
      <c r="F122" s="2369"/>
      <c r="G122" s="2369"/>
      <c r="H122" s="503">
        <v>1</v>
      </c>
      <c r="I122" s="502" t="str">
        <f t="shared" si="10"/>
        <v>4523-BLD-001</v>
      </c>
      <c r="J122" s="501" t="s">
        <v>5923</v>
      </c>
      <c r="K122" s="501"/>
      <c r="L122" s="493" t="s">
        <v>5025</v>
      </c>
      <c r="M122" s="493" t="s">
        <v>2969</v>
      </c>
      <c r="N122" s="494">
        <v>1</v>
      </c>
      <c r="O122" s="494">
        <v>2</v>
      </c>
      <c r="P122" s="500">
        <v>60</v>
      </c>
      <c r="Q122" s="500">
        <v>180</v>
      </c>
      <c r="R122" s="499">
        <v>25</v>
      </c>
      <c r="S122" s="497">
        <f t="shared" si="8"/>
        <v>10800</v>
      </c>
      <c r="T122" s="498">
        <f t="shared" si="9"/>
        <v>10800</v>
      </c>
      <c r="U122" s="497" t="s">
        <v>5791</v>
      </c>
      <c r="V122" s="496" t="s">
        <v>5792</v>
      </c>
      <c r="W122" s="489" t="s">
        <v>5793</v>
      </c>
      <c r="X122" s="489" t="s">
        <v>5836</v>
      </c>
      <c r="Y122" s="495" t="s">
        <v>154</v>
      </c>
      <c r="Z122" s="495" t="s">
        <v>154</v>
      </c>
      <c r="AA122" s="495" t="s">
        <v>154</v>
      </c>
      <c r="AB122" s="495" t="s">
        <v>154</v>
      </c>
      <c r="AC122" s="495" t="s">
        <v>154</v>
      </c>
      <c r="AD122" s="494">
        <v>22</v>
      </c>
      <c r="AE122" s="493" t="s">
        <v>3454</v>
      </c>
      <c r="AF122" s="492" t="s">
        <v>5747</v>
      </c>
      <c r="AG122" s="491" t="s">
        <v>154</v>
      </c>
      <c r="AH122" s="491" t="s">
        <v>154</v>
      </c>
      <c r="AI122" s="489" t="s">
        <v>154</v>
      </c>
      <c r="AJ122" s="489" t="s">
        <v>154</v>
      </c>
      <c r="AK122" s="489" t="s">
        <v>154</v>
      </c>
      <c r="AL122" s="491" t="s">
        <v>154</v>
      </c>
      <c r="AM122" s="490"/>
      <c r="AN122" s="489" t="s">
        <v>154</v>
      </c>
      <c r="AO122" s="489" t="s">
        <v>3454</v>
      </c>
      <c r="AP122" s="489" t="s">
        <v>5750</v>
      </c>
      <c r="AQ122" s="489" t="s">
        <v>154</v>
      </c>
      <c r="AR122" s="489" t="s">
        <v>154</v>
      </c>
      <c r="AS122" s="487">
        <v>2</v>
      </c>
      <c r="AT122" s="488"/>
      <c r="AU122" s="487" t="s">
        <v>5924</v>
      </c>
      <c r="AV122" s="487"/>
      <c r="AW122" s="487"/>
      <c r="AX122" s="569"/>
      <c r="AY122" s="569"/>
      <c r="AZ122" s="569"/>
      <c r="BA122" s="568"/>
      <c r="BB122" s="568"/>
      <c r="BC122" s="568"/>
      <c r="BD122" s="568"/>
      <c r="BE122" s="568"/>
      <c r="BF122" s="568"/>
      <c r="BG122" s="568"/>
      <c r="BH122" s="568"/>
      <c r="BI122" s="457"/>
    </row>
    <row r="123" spans="1:61" s="552" customFormat="1" ht="40" customHeight="1">
      <c r="A123" s="528"/>
      <c r="B123" s="522">
        <v>4530</v>
      </c>
      <c r="C123" s="566" t="s">
        <v>1316</v>
      </c>
      <c r="D123" s="565" t="s">
        <v>452</v>
      </c>
      <c r="E123" s="2371" t="s">
        <v>701</v>
      </c>
      <c r="F123" s="2371"/>
      <c r="G123" s="2371"/>
      <c r="H123" s="527">
        <v>1</v>
      </c>
      <c r="I123" s="526" t="str">
        <f t="shared" si="10"/>
        <v>4530-BLD-001</v>
      </c>
      <c r="J123" s="525" t="s">
        <v>5804</v>
      </c>
      <c r="K123" s="525"/>
      <c r="L123" s="519" t="s">
        <v>5805</v>
      </c>
      <c r="M123" s="519" t="s">
        <v>2969</v>
      </c>
      <c r="N123" s="560">
        <v>1</v>
      </c>
      <c r="O123" s="560" t="s">
        <v>154</v>
      </c>
      <c r="P123" s="564">
        <v>13</v>
      </c>
      <c r="Q123" s="564">
        <v>43</v>
      </c>
      <c r="R123" s="563">
        <v>14</v>
      </c>
      <c r="S123" s="498">
        <f t="shared" si="8"/>
        <v>559</v>
      </c>
      <c r="T123" s="498">
        <f t="shared" si="9"/>
        <v>559</v>
      </c>
      <c r="U123" s="498"/>
      <c r="V123" s="562" t="s">
        <v>5761</v>
      </c>
      <c r="W123" s="559" t="s">
        <v>5744</v>
      </c>
      <c r="X123" s="559" t="s">
        <v>5745</v>
      </c>
      <c r="Y123" s="561" t="s">
        <v>154</v>
      </c>
      <c r="Z123" s="561" t="s">
        <v>154</v>
      </c>
      <c r="AA123" s="561" t="s">
        <v>154</v>
      </c>
      <c r="AB123" s="561" t="s">
        <v>154</v>
      </c>
      <c r="AC123" s="561" t="s">
        <v>154</v>
      </c>
      <c r="AD123" s="560">
        <v>22</v>
      </c>
      <c r="AE123" s="561" t="s">
        <v>5746</v>
      </c>
      <c r="AF123" s="492" t="s">
        <v>5747</v>
      </c>
      <c r="AG123" s="557" t="s">
        <v>154</v>
      </c>
      <c r="AH123" s="557" t="s">
        <v>154</v>
      </c>
      <c r="AI123" s="559" t="s">
        <v>154</v>
      </c>
      <c r="AJ123" s="559" t="s">
        <v>154</v>
      </c>
      <c r="AK123" s="559" t="s">
        <v>154</v>
      </c>
      <c r="AL123" s="492" t="s">
        <v>5747</v>
      </c>
      <c r="AM123" s="559" t="s">
        <v>154</v>
      </c>
      <c r="AN123" s="559" t="s">
        <v>154</v>
      </c>
      <c r="AO123" s="559" t="s">
        <v>3454</v>
      </c>
      <c r="AP123" s="559" t="s">
        <v>5774</v>
      </c>
      <c r="AQ123" s="559" t="s">
        <v>154</v>
      </c>
      <c r="AR123" s="559" t="s">
        <v>154</v>
      </c>
      <c r="AS123" s="559"/>
      <c r="AT123" s="567"/>
      <c r="AU123" s="559"/>
      <c r="AV123" s="559"/>
      <c r="AW123" s="559"/>
      <c r="AX123" s="573"/>
      <c r="AY123" s="573"/>
      <c r="AZ123" s="573"/>
      <c r="BA123" s="553"/>
      <c r="BB123" s="553"/>
      <c r="BC123" s="553"/>
      <c r="BD123" s="553"/>
      <c r="BE123" s="553"/>
      <c r="BF123" s="553"/>
      <c r="BG123" s="553"/>
      <c r="BH123" s="553"/>
      <c r="BI123" s="553"/>
    </row>
    <row r="124" spans="1:61" s="552" customFormat="1" ht="40" customHeight="1">
      <c r="A124" s="528"/>
      <c r="B124" s="522">
        <v>4530</v>
      </c>
      <c r="C124" s="566" t="s">
        <v>1316</v>
      </c>
      <c r="D124" s="565" t="s">
        <v>452</v>
      </c>
      <c r="E124" s="2371" t="s">
        <v>701</v>
      </c>
      <c r="F124" s="2371"/>
      <c r="G124" s="2371"/>
      <c r="H124" s="527">
        <v>2</v>
      </c>
      <c r="I124" s="526" t="str">
        <f t="shared" si="10"/>
        <v>4530-BLD-002</v>
      </c>
      <c r="J124" s="525" t="s">
        <v>5806</v>
      </c>
      <c r="K124" s="525"/>
      <c r="L124" s="519" t="s">
        <v>5805</v>
      </c>
      <c r="M124" s="519" t="s">
        <v>2969</v>
      </c>
      <c r="N124" s="560">
        <v>1</v>
      </c>
      <c r="O124" s="560" t="s">
        <v>154</v>
      </c>
      <c r="P124" s="564">
        <v>13</v>
      </c>
      <c r="Q124" s="564">
        <v>43</v>
      </c>
      <c r="R124" s="563">
        <v>14</v>
      </c>
      <c r="S124" s="498">
        <f t="shared" si="8"/>
        <v>559</v>
      </c>
      <c r="T124" s="498">
        <f t="shared" si="9"/>
        <v>559</v>
      </c>
      <c r="U124" s="498"/>
      <c r="V124" s="562" t="s">
        <v>5761</v>
      </c>
      <c r="W124" s="559" t="s">
        <v>5744</v>
      </c>
      <c r="X124" s="559" t="s">
        <v>5745</v>
      </c>
      <c r="Y124" s="561" t="s">
        <v>154</v>
      </c>
      <c r="Z124" s="561" t="s">
        <v>154</v>
      </c>
      <c r="AA124" s="561" t="s">
        <v>154</v>
      </c>
      <c r="AB124" s="561" t="s">
        <v>154</v>
      </c>
      <c r="AC124" s="561" t="s">
        <v>154</v>
      </c>
      <c r="AD124" s="560">
        <v>22</v>
      </c>
      <c r="AE124" s="561" t="s">
        <v>5746</v>
      </c>
      <c r="AF124" s="492" t="s">
        <v>5747</v>
      </c>
      <c r="AG124" s="557" t="s">
        <v>154</v>
      </c>
      <c r="AH124" s="557" t="s">
        <v>154</v>
      </c>
      <c r="AI124" s="559" t="s">
        <v>154</v>
      </c>
      <c r="AJ124" s="559" t="s">
        <v>154</v>
      </c>
      <c r="AK124" s="559" t="s">
        <v>154</v>
      </c>
      <c r="AL124" s="492" t="s">
        <v>5747</v>
      </c>
      <c r="AM124" s="559" t="s">
        <v>154</v>
      </c>
      <c r="AN124" s="559" t="s">
        <v>154</v>
      </c>
      <c r="AO124" s="559" t="s">
        <v>3454</v>
      </c>
      <c r="AP124" s="559" t="s">
        <v>5774</v>
      </c>
      <c r="AQ124" s="559" t="s">
        <v>154</v>
      </c>
      <c r="AR124" s="559" t="s">
        <v>154</v>
      </c>
      <c r="AS124" s="559"/>
      <c r="AT124" s="567"/>
      <c r="AU124" s="559"/>
      <c r="AV124" s="559"/>
      <c r="AW124" s="559"/>
      <c r="AX124" s="573"/>
      <c r="AY124" s="573"/>
      <c r="AZ124" s="573"/>
      <c r="BA124" s="553"/>
      <c r="BB124" s="553"/>
      <c r="BC124" s="553"/>
      <c r="BD124" s="553"/>
      <c r="BE124" s="553"/>
      <c r="BF124" s="553"/>
      <c r="BG124" s="553"/>
      <c r="BH124" s="553"/>
      <c r="BI124" s="553"/>
    </row>
    <row r="125" spans="1:61" s="552" customFormat="1" ht="40" customHeight="1">
      <c r="A125" s="528"/>
      <c r="B125" s="522">
        <v>4530</v>
      </c>
      <c r="C125" s="566" t="s">
        <v>1316</v>
      </c>
      <c r="D125" s="565" t="s">
        <v>452</v>
      </c>
      <c r="E125" s="2371" t="s">
        <v>701</v>
      </c>
      <c r="F125" s="2371"/>
      <c r="G125" s="2371"/>
      <c r="H125" s="527">
        <v>3</v>
      </c>
      <c r="I125" s="526" t="str">
        <f t="shared" si="10"/>
        <v>4530-BLD-003</v>
      </c>
      <c r="J125" s="525" t="s">
        <v>5807</v>
      </c>
      <c r="K125" s="525"/>
      <c r="L125" s="519" t="s">
        <v>5805</v>
      </c>
      <c r="M125" s="519" t="s">
        <v>2969</v>
      </c>
      <c r="N125" s="560">
        <v>1</v>
      </c>
      <c r="O125" s="560" t="s">
        <v>154</v>
      </c>
      <c r="P125" s="564">
        <v>13</v>
      </c>
      <c r="Q125" s="564">
        <v>43</v>
      </c>
      <c r="R125" s="563">
        <v>14</v>
      </c>
      <c r="S125" s="498">
        <f t="shared" ref="S125:S155" si="11">PRODUCT(Q125,P125)</f>
        <v>559</v>
      </c>
      <c r="T125" s="498">
        <f t="shared" ref="T125:T155" si="12">S125</f>
        <v>559</v>
      </c>
      <c r="U125" s="498"/>
      <c r="V125" s="562" t="s">
        <v>5761</v>
      </c>
      <c r="W125" s="559" t="s">
        <v>5744</v>
      </c>
      <c r="X125" s="559" t="s">
        <v>5745</v>
      </c>
      <c r="Y125" s="561" t="s">
        <v>154</v>
      </c>
      <c r="Z125" s="561" t="s">
        <v>154</v>
      </c>
      <c r="AA125" s="561" t="s">
        <v>154</v>
      </c>
      <c r="AB125" s="561" t="s">
        <v>154</v>
      </c>
      <c r="AC125" s="561" t="s">
        <v>154</v>
      </c>
      <c r="AD125" s="560">
        <v>22</v>
      </c>
      <c r="AE125" s="561" t="s">
        <v>5746</v>
      </c>
      <c r="AF125" s="492" t="s">
        <v>5747</v>
      </c>
      <c r="AG125" s="557" t="s">
        <v>154</v>
      </c>
      <c r="AH125" s="557" t="s">
        <v>154</v>
      </c>
      <c r="AI125" s="559" t="s">
        <v>154</v>
      </c>
      <c r="AJ125" s="559" t="s">
        <v>154</v>
      </c>
      <c r="AK125" s="559" t="s">
        <v>154</v>
      </c>
      <c r="AL125" s="492" t="s">
        <v>5747</v>
      </c>
      <c r="AM125" s="559" t="s">
        <v>154</v>
      </c>
      <c r="AN125" s="559" t="s">
        <v>154</v>
      </c>
      <c r="AO125" s="559" t="s">
        <v>3454</v>
      </c>
      <c r="AP125" s="559" t="s">
        <v>5774</v>
      </c>
      <c r="AQ125" s="559" t="s">
        <v>154</v>
      </c>
      <c r="AR125" s="559" t="s">
        <v>154</v>
      </c>
      <c r="AS125" s="559"/>
      <c r="AT125" s="567"/>
      <c r="AU125" s="559"/>
      <c r="AV125" s="559"/>
      <c r="AW125" s="559"/>
      <c r="AX125" s="573"/>
      <c r="AY125" s="573"/>
      <c r="AZ125" s="573"/>
      <c r="BA125" s="553"/>
      <c r="BB125" s="553"/>
      <c r="BC125" s="553"/>
      <c r="BD125" s="553"/>
      <c r="BE125" s="553"/>
      <c r="BF125" s="553"/>
      <c r="BG125" s="553"/>
      <c r="BH125" s="553"/>
      <c r="BI125" s="553"/>
    </row>
    <row r="126" spans="1:61" s="552" customFormat="1" ht="40" customHeight="1">
      <c r="A126" s="528"/>
      <c r="B126" s="522">
        <v>4530</v>
      </c>
      <c r="C126" s="566" t="s">
        <v>1316</v>
      </c>
      <c r="D126" s="565" t="s">
        <v>452</v>
      </c>
      <c r="E126" s="2371" t="s">
        <v>701</v>
      </c>
      <c r="F126" s="2371"/>
      <c r="G126" s="2371"/>
      <c r="H126" s="527">
        <v>4</v>
      </c>
      <c r="I126" s="526" t="str">
        <f t="shared" si="10"/>
        <v>4530-BLD-004</v>
      </c>
      <c r="J126" s="525" t="s">
        <v>5808</v>
      </c>
      <c r="K126" s="525"/>
      <c r="L126" s="519" t="s">
        <v>5805</v>
      </c>
      <c r="M126" s="519" t="s">
        <v>2969</v>
      </c>
      <c r="N126" s="560">
        <v>1</v>
      </c>
      <c r="O126" s="560" t="s">
        <v>154</v>
      </c>
      <c r="P126" s="564">
        <v>13</v>
      </c>
      <c r="Q126" s="564">
        <v>43</v>
      </c>
      <c r="R126" s="563">
        <v>14</v>
      </c>
      <c r="S126" s="498">
        <f t="shared" si="11"/>
        <v>559</v>
      </c>
      <c r="T126" s="498">
        <f t="shared" si="12"/>
        <v>559</v>
      </c>
      <c r="U126" s="498"/>
      <c r="V126" s="562" t="s">
        <v>5761</v>
      </c>
      <c r="W126" s="559" t="s">
        <v>5744</v>
      </c>
      <c r="X126" s="559" t="s">
        <v>5745</v>
      </c>
      <c r="Y126" s="561" t="s">
        <v>154</v>
      </c>
      <c r="Z126" s="561" t="s">
        <v>154</v>
      </c>
      <c r="AA126" s="561" t="s">
        <v>154</v>
      </c>
      <c r="AB126" s="561" t="s">
        <v>154</v>
      </c>
      <c r="AC126" s="561" t="s">
        <v>154</v>
      </c>
      <c r="AD126" s="560">
        <v>22</v>
      </c>
      <c r="AE126" s="561" t="s">
        <v>5746</v>
      </c>
      <c r="AF126" s="492" t="s">
        <v>5747</v>
      </c>
      <c r="AG126" s="557" t="s">
        <v>154</v>
      </c>
      <c r="AH126" s="557" t="s">
        <v>154</v>
      </c>
      <c r="AI126" s="559" t="s">
        <v>154</v>
      </c>
      <c r="AJ126" s="559" t="s">
        <v>154</v>
      </c>
      <c r="AK126" s="559" t="s">
        <v>154</v>
      </c>
      <c r="AL126" s="492" t="s">
        <v>5747</v>
      </c>
      <c r="AM126" s="559" t="s">
        <v>154</v>
      </c>
      <c r="AN126" s="559" t="s">
        <v>154</v>
      </c>
      <c r="AO126" s="559" t="s">
        <v>3454</v>
      </c>
      <c r="AP126" s="559" t="s">
        <v>5774</v>
      </c>
      <c r="AQ126" s="559" t="s">
        <v>154</v>
      </c>
      <c r="AR126" s="559" t="s">
        <v>154</v>
      </c>
      <c r="AS126" s="559"/>
      <c r="AT126" s="567"/>
      <c r="AU126" s="559"/>
      <c r="AV126" s="559"/>
      <c r="AW126" s="559"/>
      <c r="AX126" s="573"/>
      <c r="AY126" s="573"/>
      <c r="AZ126" s="573"/>
      <c r="BA126" s="553"/>
      <c r="BB126" s="553"/>
      <c r="BC126" s="553"/>
      <c r="BD126" s="553"/>
      <c r="BE126" s="553"/>
      <c r="BF126" s="553"/>
      <c r="BG126" s="553"/>
      <c r="BH126" s="553"/>
      <c r="BI126" s="553"/>
    </row>
    <row r="127" spans="1:61" s="552" customFormat="1" ht="40" customHeight="1">
      <c r="A127" s="528"/>
      <c r="B127" s="522">
        <v>4530</v>
      </c>
      <c r="C127" s="566" t="s">
        <v>1316</v>
      </c>
      <c r="D127" s="565" t="s">
        <v>452</v>
      </c>
      <c r="E127" s="2371" t="s">
        <v>701</v>
      </c>
      <c r="F127" s="2371"/>
      <c r="G127" s="2371"/>
      <c r="H127" s="527">
        <v>5</v>
      </c>
      <c r="I127" s="526" t="str">
        <f t="shared" si="10"/>
        <v>4530-BLD-005</v>
      </c>
      <c r="J127" s="525" t="s">
        <v>5809</v>
      </c>
      <c r="K127" s="525"/>
      <c r="L127" s="519" t="s">
        <v>5805</v>
      </c>
      <c r="M127" s="519" t="s">
        <v>2969</v>
      </c>
      <c r="N127" s="560">
        <v>1</v>
      </c>
      <c r="O127" s="560" t="s">
        <v>154</v>
      </c>
      <c r="P127" s="564">
        <v>13</v>
      </c>
      <c r="Q127" s="564">
        <v>43</v>
      </c>
      <c r="R127" s="563">
        <v>14</v>
      </c>
      <c r="S127" s="498">
        <f t="shared" si="11"/>
        <v>559</v>
      </c>
      <c r="T127" s="498">
        <f t="shared" si="12"/>
        <v>559</v>
      </c>
      <c r="U127" s="498"/>
      <c r="V127" s="562" t="s">
        <v>5761</v>
      </c>
      <c r="W127" s="559" t="s">
        <v>5744</v>
      </c>
      <c r="X127" s="559" t="s">
        <v>5745</v>
      </c>
      <c r="Y127" s="561" t="s">
        <v>154</v>
      </c>
      <c r="Z127" s="561" t="s">
        <v>154</v>
      </c>
      <c r="AA127" s="561" t="s">
        <v>154</v>
      </c>
      <c r="AB127" s="561" t="s">
        <v>154</v>
      </c>
      <c r="AC127" s="561" t="s">
        <v>154</v>
      </c>
      <c r="AD127" s="560">
        <v>22</v>
      </c>
      <c r="AE127" s="561" t="s">
        <v>5746</v>
      </c>
      <c r="AF127" s="492" t="s">
        <v>5747</v>
      </c>
      <c r="AG127" s="557" t="s">
        <v>154</v>
      </c>
      <c r="AH127" s="557" t="s">
        <v>154</v>
      </c>
      <c r="AI127" s="559" t="s">
        <v>154</v>
      </c>
      <c r="AJ127" s="559" t="s">
        <v>154</v>
      </c>
      <c r="AK127" s="559" t="s">
        <v>154</v>
      </c>
      <c r="AL127" s="492" t="s">
        <v>5747</v>
      </c>
      <c r="AM127" s="559" t="s">
        <v>154</v>
      </c>
      <c r="AN127" s="559" t="s">
        <v>154</v>
      </c>
      <c r="AO127" s="559" t="s">
        <v>3454</v>
      </c>
      <c r="AP127" s="559" t="s">
        <v>5774</v>
      </c>
      <c r="AQ127" s="559" t="s">
        <v>154</v>
      </c>
      <c r="AR127" s="559" t="s">
        <v>154</v>
      </c>
      <c r="AS127" s="559"/>
      <c r="AT127" s="567"/>
      <c r="AU127" s="559"/>
      <c r="AV127" s="559"/>
      <c r="AW127" s="559"/>
      <c r="AX127" s="573"/>
      <c r="AY127" s="573"/>
      <c r="AZ127" s="573"/>
      <c r="BA127" s="553"/>
      <c r="BB127" s="553"/>
      <c r="BC127" s="553"/>
      <c r="BD127" s="553"/>
      <c r="BE127" s="553"/>
      <c r="BF127" s="553"/>
      <c r="BG127" s="553"/>
      <c r="BH127" s="553"/>
      <c r="BI127" s="553"/>
    </row>
    <row r="128" spans="1:61" s="552" customFormat="1" ht="40" customHeight="1">
      <c r="A128" s="528"/>
      <c r="B128" s="522">
        <v>4530</v>
      </c>
      <c r="C128" s="566" t="s">
        <v>1316</v>
      </c>
      <c r="D128" s="565" t="s">
        <v>452</v>
      </c>
      <c r="E128" s="2371" t="s">
        <v>701</v>
      </c>
      <c r="F128" s="2371"/>
      <c r="G128" s="2371"/>
      <c r="H128" s="527">
        <v>6</v>
      </c>
      <c r="I128" s="526" t="str">
        <f t="shared" si="10"/>
        <v>4530-BLD-006</v>
      </c>
      <c r="J128" s="525" t="s">
        <v>5810</v>
      </c>
      <c r="K128" s="525"/>
      <c r="L128" s="519" t="s">
        <v>5805</v>
      </c>
      <c r="M128" s="519" t="s">
        <v>2969</v>
      </c>
      <c r="N128" s="560">
        <v>1</v>
      </c>
      <c r="O128" s="560" t="s">
        <v>154</v>
      </c>
      <c r="P128" s="564">
        <v>13</v>
      </c>
      <c r="Q128" s="564">
        <v>43</v>
      </c>
      <c r="R128" s="563">
        <v>14</v>
      </c>
      <c r="S128" s="498">
        <f t="shared" si="11"/>
        <v>559</v>
      </c>
      <c r="T128" s="498">
        <f t="shared" si="12"/>
        <v>559</v>
      </c>
      <c r="U128" s="498"/>
      <c r="V128" s="562" t="s">
        <v>5761</v>
      </c>
      <c r="W128" s="559" t="s">
        <v>5744</v>
      </c>
      <c r="X128" s="559" t="s">
        <v>5745</v>
      </c>
      <c r="Y128" s="561" t="s">
        <v>154</v>
      </c>
      <c r="Z128" s="561" t="s">
        <v>154</v>
      </c>
      <c r="AA128" s="561" t="s">
        <v>154</v>
      </c>
      <c r="AB128" s="561" t="s">
        <v>154</v>
      </c>
      <c r="AC128" s="561" t="s">
        <v>154</v>
      </c>
      <c r="AD128" s="560">
        <v>22</v>
      </c>
      <c r="AE128" s="561" t="s">
        <v>5746</v>
      </c>
      <c r="AF128" s="492" t="s">
        <v>5747</v>
      </c>
      <c r="AG128" s="557" t="s">
        <v>154</v>
      </c>
      <c r="AH128" s="557" t="s">
        <v>154</v>
      </c>
      <c r="AI128" s="559" t="s">
        <v>154</v>
      </c>
      <c r="AJ128" s="559" t="s">
        <v>154</v>
      </c>
      <c r="AK128" s="559" t="s">
        <v>154</v>
      </c>
      <c r="AL128" s="492" t="s">
        <v>5747</v>
      </c>
      <c r="AM128" s="559" t="s">
        <v>154</v>
      </c>
      <c r="AN128" s="559" t="s">
        <v>154</v>
      </c>
      <c r="AO128" s="559" t="s">
        <v>3454</v>
      </c>
      <c r="AP128" s="559" t="s">
        <v>5774</v>
      </c>
      <c r="AQ128" s="559" t="s">
        <v>154</v>
      </c>
      <c r="AR128" s="559" t="s">
        <v>154</v>
      </c>
      <c r="AS128" s="559"/>
      <c r="AT128" s="567"/>
      <c r="AU128" s="559"/>
      <c r="AV128" s="559"/>
      <c r="AW128" s="559"/>
      <c r="AX128" s="573"/>
      <c r="AY128" s="573"/>
      <c r="AZ128" s="573"/>
      <c r="BA128" s="553"/>
      <c r="BB128" s="553"/>
      <c r="BC128" s="553"/>
      <c r="BD128" s="553"/>
      <c r="BE128" s="553"/>
      <c r="BF128" s="553"/>
      <c r="BG128" s="553"/>
      <c r="BH128" s="553"/>
      <c r="BI128" s="553"/>
    </row>
    <row r="129" spans="1:61" s="552" customFormat="1" ht="40" customHeight="1">
      <c r="A129" s="528"/>
      <c r="B129" s="522">
        <v>4530</v>
      </c>
      <c r="C129" s="566" t="s">
        <v>1316</v>
      </c>
      <c r="D129" s="565" t="s">
        <v>452</v>
      </c>
      <c r="E129" s="2371" t="s">
        <v>701</v>
      </c>
      <c r="F129" s="2371"/>
      <c r="G129" s="2371"/>
      <c r="H129" s="527">
        <v>7</v>
      </c>
      <c r="I129" s="526" t="str">
        <f t="shared" si="10"/>
        <v>4530-BLD-007</v>
      </c>
      <c r="J129" s="525" t="s">
        <v>5814</v>
      </c>
      <c r="K129" s="525"/>
      <c r="L129" s="519" t="s">
        <v>5805</v>
      </c>
      <c r="M129" s="519" t="s">
        <v>2969</v>
      </c>
      <c r="N129" s="560">
        <v>1</v>
      </c>
      <c r="O129" s="560" t="s">
        <v>154</v>
      </c>
      <c r="P129" s="564">
        <v>16</v>
      </c>
      <c r="Q129" s="564">
        <v>45</v>
      </c>
      <c r="R129" s="563">
        <v>10</v>
      </c>
      <c r="S129" s="498">
        <f t="shared" si="11"/>
        <v>720</v>
      </c>
      <c r="T129" s="498">
        <f t="shared" si="12"/>
        <v>720</v>
      </c>
      <c r="U129" s="498"/>
      <c r="V129" s="562" t="s">
        <v>5761</v>
      </c>
      <c r="W129" s="559" t="s">
        <v>5744</v>
      </c>
      <c r="X129" s="559" t="s">
        <v>5745</v>
      </c>
      <c r="Y129" s="561" t="s">
        <v>154</v>
      </c>
      <c r="Z129" s="561" t="s">
        <v>154</v>
      </c>
      <c r="AA129" s="561" t="s">
        <v>154</v>
      </c>
      <c r="AB129" s="561" t="s">
        <v>154</v>
      </c>
      <c r="AC129" s="561" t="s">
        <v>154</v>
      </c>
      <c r="AD129" s="560">
        <v>22</v>
      </c>
      <c r="AE129" s="561" t="s">
        <v>5746</v>
      </c>
      <c r="AF129" s="492" t="s">
        <v>5747</v>
      </c>
      <c r="AG129" s="557" t="s">
        <v>154</v>
      </c>
      <c r="AH129" s="557" t="s">
        <v>154</v>
      </c>
      <c r="AI129" s="559" t="s">
        <v>154</v>
      </c>
      <c r="AJ129" s="559" t="s">
        <v>154</v>
      </c>
      <c r="AK129" s="559" t="s">
        <v>154</v>
      </c>
      <c r="AL129" s="492" t="s">
        <v>5747</v>
      </c>
      <c r="AM129" s="559" t="s">
        <v>154</v>
      </c>
      <c r="AN129" s="559" t="s">
        <v>154</v>
      </c>
      <c r="AO129" s="559" t="s">
        <v>3454</v>
      </c>
      <c r="AP129" s="559" t="s">
        <v>5815</v>
      </c>
      <c r="AQ129" s="559" t="s">
        <v>154</v>
      </c>
      <c r="AR129" s="559" t="s">
        <v>154</v>
      </c>
      <c r="AS129" s="487">
        <v>2</v>
      </c>
      <c r="AT129" s="488" t="s">
        <v>5816</v>
      </c>
      <c r="AU129" s="487"/>
      <c r="AV129" s="487"/>
      <c r="AW129" s="487"/>
      <c r="AX129" s="556" t="s">
        <v>5747</v>
      </c>
      <c r="AY129" s="555"/>
      <c r="AZ129" s="556" t="s">
        <v>5747</v>
      </c>
      <c r="BA129" s="554"/>
      <c r="BB129" s="554"/>
      <c r="BC129" s="554"/>
      <c r="BD129" s="554"/>
      <c r="BE129" s="554">
        <v>1</v>
      </c>
      <c r="BF129" s="553"/>
      <c r="BG129" s="553"/>
      <c r="BH129" s="553"/>
      <c r="BI129" s="553"/>
    </row>
    <row r="130" spans="1:61" s="552" customFormat="1" ht="40" customHeight="1">
      <c r="A130" s="528"/>
      <c r="B130" s="522">
        <v>4530</v>
      </c>
      <c r="C130" s="566" t="s">
        <v>1316</v>
      </c>
      <c r="D130" s="565" t="s">
        <v>452</v>
      </c>
      <c r="E130" s="2371" t="s">
        <v>701</v>
      </c>
      <c r="F130" s="2371"/>
      <c r="G130" s="2371"/>
      <c r="H130" s="527">
        <v>8</v>
      </c>
      <c r="I130" s="526" t="str">
        <f t="shared" si="10"/>
        <v>4530-BLD-008</v>
      </c>
      <c r="J130" s="525" t="s">
        <v>5817</v>
      </c>
      <c r="K130" s="525"/>
      <c r="L130" s="519" t="s">
        <v>5805</v>
      </c>
      <c r="M130" s="519" t="s">
        <v>2969</v>
      </c>
      <c r="N130" s="560">
        <v>1</v>
      </c>
      <c r="O130" s="560" t="s">
        <v>154</v>
      </c>
      <c r="P130" s="564">
        <v>16</v>
      </c>
      <c r="Q130" s="564">
        <v>45</v>
      </c>
      <c r="R130" s="563">
        <v>10</v>
      </c>
      <c r="S130" s="498">
        <f t="shared" si="11"/>
        <v>720</v>
      </c>
      <c r="T130" s="498">
        <f t="shared" si="12"/>
        <v>720</v>
      </c>
      <c r="U130" s="498"/>
      <c r="V130" s="562" t="s">
        <v>5761</v>
      </c>
      <c r="W130" s="559" t="s">
        <v>5744</v>
      </c>
      <c r="X130" s="559" t="s">
        <v>5745</v>
      </c>
      <c r="Y130" s="561" t="s">
        <v>154</v>
      </c>
      <c r="Z130" s="561" t="s">
        <v>154</v>
      </c>
      <c r="AA130" s="561" t="s">
        <v>154</v>
      </c>
      <c r="AB130" s="561" t="s">
        <v>154</v>
      </c>
      <c r="AC130" s="561" t="s">
        <v>154</v>
      </c>
      <c r="AD130" s="560">
        <v>22</v>
      </c>
      <c r="AE130" s="561" t="s">
        <v>5746</v>
      </c>
      <c r="AF130" s="492" t="s">
        <v>5747</v>
      </c>
      <c r="AG130" s="557" t="s">
        <v>154</v>
      </c>
      <c r="AH130" s="557" t="s">
        <v>154</v>
      </c>
      <c r="AI130" s="559" t="s">
        <v>154</v>
      </c>
      <c r="AJ130" s="559" t="s">
        <v>154</v>
      </c>
      <c r="AK130" s="559" t="s">
        <v>154</v>
      </c>
      <c r="AL130" s="492" t="s">
        <v>5747</v>
      </c>
      <c r="AM130" s="559" t="s">
        <v>154</v>
      </c>
      <c r="AN130" s="559" t="s">
        <v>154</v>
      </c>
      <c r="AO130" s="559" t="s">
        <v>3454</v>
      </c>
      <c r="AP130" s="559" t="s">
        <v>5815</v>
      </c>
      <c r="AQ130" s="559" t="s">
        <v>154</v>
      </c>
      <c r="AR130" s="559" t="s">
        <v>154</v>
      </c>
      <c r="AS130" s="487">
        <v>2</v>
      </c>
      <c r="AT130" s="488"/>
      <c r="AU130" s="487"/>
      <c r="AV130" s="487"/>
      <c r="AW130" s="487"/>
      <c r="AX130" s="556" t="s">
        <v>5747</v>
      </c>
      <c r="AY130" s="555"/>
      <c r="AZ130" s="556" t="s">
        <v>5747</v>
      </c>
      <c r="BA130" s="554"/>
      <c r="BB130" s="554"/>
      <c r="BC130" s="554"/>
      <c r="BD130" s="554"/>
      <c r="BE130" s="554">
        <v>1</v>
      </c>
      <c r="BF130" s="553"/>
      <c r="BG130" s="553"/>
      <c r="BH130" s="553"/>
      <c r="BI130" s="553"/>
    </row>
    <row r="131" spans="1:61" s="552" customFormat="1" ht="40" customHeight="1">
      <c r="A131" s="528"/>
      <c r="B131" s="522">
        <v>4530</v>
      </c>
      <c r="C131" s="566" t="s">
        <v>1316</v>
      </c>
      <c r="D131" s="565" t="s">
        <v>452</v>
      </c>
      <c r="E131" s="2371" t="s">
        <v>701</v>
      </c>
      <c r="F131" s="2371"/>
      <c r="G131" s="2371"/>
      <c r="H131" s="527">
        <v>9</v>
      </c>
      <c r="I131" s="526" t="str">
        <f t="shared" si="10"/>
        <v>4530-BLD-009</v>
      </c>
      <c r="J131" s="525" t="s">
        <v>5818</v>
      </c>
      <c r="K131" s="525"/>
      <c r="L131" s="519" t="s">
        <v>5805</v>
      </c>
      <c r="M131" s="519" t="s">
        <v>2969</v>
      </c>
      <c r="N131" s="560">
        <v>1</v>
      </c>
      <c r="O131" s="560" t="s">
        <v>154</v>
      </c>
      <c r="P131" s="564">
        <v>8</v>
      </c>
      <c r="Q131" s="564">
        <v>40</v>
      </c>
      <c r="R131" s="563">
        <v>10</v>
      </c>
      <c r="S131" s="498">
        <f t="shared" si="11"/>
        <v>320</v>
      </c>
      <c r="T131" s="498">
        <f t="shared" si="12"/>
        <v>320</v>
      </c>
      <c r="U131" s="498"/>
      <c r="V131" s="562" t="s">
        <v>5743</v>
      </c>
      <c r="W131" s="559" t="s">
        <v>5744</v>
      </c>
      <c r="X131" s="559" t="s">
        <v>5745</v>
      </c>
      <c r="Y131" s="561" t="s">
        <v>154</v>
      </c>
      <c r="Z131" s="561" t="s">
        <v>154</v>
      </c>
      <c r="AA131" s="561" t="s">
        <v>154</v>
      </c>
      <c r="AB131" s="561" t="s">
        <v>154</v>
      </c>
      <c r="AC131" s="561" t="s">
        <v>154</v>
      </c>
      <c r="AD131" s="560">
        <v>22</v>
      </c>
      <c r="AE131" s="561" t="s">
        <v>5746</v>
      </c>
      <c r="AF131" s="492" t="s">
        <v>5747</v>
      </c>
      <c r="AG131" s="557" t="s">
        <v>154</v>
      </c>
      <c r="AH131" s="557" t="s">
        <v>154</v>
      </c>
      <c r="AI131" s="559" t="s">
        <v>154</v>
      </c>
      <c r="AJ131" s="559" t="s">
        <v>154</v>
      </c>
      <c r="AK131" s="559" t="s">
        <v>154</v>
      </c>
      <c r="AL131" s="559" t="s">
        <v>154</v>
      </c>
      <c r="AM131" s="559" t="s">
        <v>154</v>
      </c>
      <c r="AN131" s="559" t="s">
        <v>154</v>
      </c>
      <c r="AO131" s="559" t="s">
        <v>3454</v>
      </c>
      <c r="AP131" s="559" t="s">
        <v>154</v>
      </c>
      <c r="AQ131" s="559" t="s">
        <v>154</v>
      </c>
      <c r="AR131" s="559" t="s">
        <v>154</v>
      </c>
      <c r="AS131" s="559"/>
      <c r="AT131" s="567"/>
      <c r="AU131" s="559"/>
      <c r="AV131" s="559"/>
      <c r="AW131" s="559"/>
      <c r="AX131" s="556"/>
      <c r="AY131" s="555"/>
      <c r="AZ131" s="555"/>
      <c r="BA131" s="554"/>
      <c r="BB131" s="554"/>
      <c r="BC131" s="554"/>
      <c r="BD131" s="554"/>
      <c r="BE131" s="554"/>
      <c r="BF131" s="553"/>
      <c r="BG131" s="553"/>
      <c r="BH131" s="553"/>
      <c r="BI131" s="553"/>
    </row>
    <row r="132" spans="1:61" ht="40" customHeight="1">
      <c r="A132" s="507"/>
      <c r="B132" s="506">
        <v>4540</v>
      </c>
      <c r="C132" s="505" t="s">
        <v>1316</v>
      </c>
      <c r="D132" s="504" t="s">
        <v>452</v>
      </c>
      <c r="E132" s="2369" t="s">
        <v>1882</v>
      </c>
      <c r="F132" s="2369"/>
      <c r="G132" s="2369"/>
      <c r="H132" s="503">
        <v>1</v>
      </c>
      <c r="I132" s="502" t="str">
        <f t="shared" si="10"/>
        <v>4540-BLD-001</v>
      </c>
      <c r="J132" s="501" t="s">
        <v>5819</v>
      </c>
      <c r="K132" s="501"/>
      <c r="L132" s="493" t="s">
        <v>4168</v>
      </c>
      <c r="M132" s="493" t="s">
        <v>2969</v>
      </c>
      <c r="N132" s="494">
        <v>1</v>
      </c>
      <c r="O132" s="529">
        <v>2</v>
      </c>
      <c r="P132" s="500">
        <v>60</v>
      </c>
      <c r="Q132" s="500">
        <v>80</v>
      </c>
      <c r="R132" s="499">
        <v>20</v>
      </c>
      <c r="S132" s="497">
        <f t="shared" si="11"/>
        <v>4800</v>
      </c>
      <c r="T132" s="498">
        <f t="shared" si="12"/>
        <v>4800</v>
      </c>
      <c r="U132" s="497" t="s">
        <v>5820</v>
      </c>
      <c r="V132" s="496" t="s">
        <v>5792</v>
      </c>
      <c r="W132" s="489" t="s">
        <v>5793</v>
      </c>
      <c r="X132" s="489" t="s">
        <v>5794</v>
      </c>
      <c r="Y132" s="495" t="s">
        <v>154</v>
      </c>
      <c r="Z132" s="495" t="s">
        <v>154</v>
      </c>
      <c r="AA132" s="495" t="s">
        <v>154</v>
      </c>
      <c r="AB132" s="495" t="s">
        <v>154</v>
      </c>
      <c r="AC132" s="495" t="s">
        <v>154</v>
      </c>
      <c r="AD132" s="494">
        <v>5</v>
      </c>
      <c r="AE132" s="495" t="s">
        <v>3454</v>
      </c>
      <c r="AF132" s="492" t="s">
        <v>5747</v>
      </c>
      <c r="AG132" s="491" t="s">
        <v>154</v>
      </c>
      <c r="AH132" s="491" t="s">
        <v>154</v>
      </c>
      <c r="AI132" s="489" t="s">
        <v>154</v>
      </c>
      <c r="AJ132" s="489" t="s">
        <v>154</v>
      </c>
      <c r="AK132" s="489" t="s">
        <v>154</v>
      </c>
      <c r="AL132" s="491" t="s">
        <v>154</v>
      </c>
      <c r="AM132" s="490" t="s">
        <v>5747</v>
      </c>
      <c r="AN132" s="489" t="s">
        <v>154</v>
      </c>
      <c r="AO132" s="489" t="s">
        <v>3454</v>
      </c>
      <c r="AP132" s="489" t="s">
        <v>5815</v>
      </c>
      <c r="AQ132" s="489" t="s">
        <v>154</v>
      </c>
      <c r="AR132" s="489" t="s">
        <v>154</v>
      </c>
      <c r="AS132" s="487">
        <v>2</v>
      </c>
      <c r="AT132" s="488" t="s">
        <v>5789</v>
      </c>
      <c r="AU132" s="487" t="s">
        <v>5762</v>
      </c>
      <c r="AV132" s="487"/>
      <c r="AW132" s="487"/>
      <c r="AX132" s="570" t="s">
        <v>5747</v>
      </c>
      <c r="AY132" s="569"/>
      <c r="AZ132" s="556" t="s">
        <v>5747</v>
      </c>
      <c r="BA132" s="568"/>
      <c r="BB132" s="568"/>
      <c r="BC132" s="568"/>
      <c r="BD132" s="568"/>
      <c r="BE132" s="568">
        <v>1</v>
      </c>
    </row>
    <row r="133" spans="1:61" s="552" customFormat="1" ht="40" customHeight="1">
      <c r="A133" s="528"/>
      <c r="B133" s="522">
        <v>4540</v>
      </c>
      <c r="C133" s="566" t="s">
        <v>1316</v>
      </c>
      <c r="D133" s="565" t="s">
        <v>452</v>
      </c>
      <c r="E133" s="2371" t="s">
        <v>1882</v>
      </c>
      <c r="F133" s="2371"/>
      <c r="G133" s="2371"/>
      <c r="H133" s="527">
        <v>2</v>
      </c>
      <c r="I133" s="526" t="s">
        <v>1896</v>
      </c>
      <c r="J133" s="525" t="s">
        <v>5821</v>
      </c>
      <c r="K133" s="525" t="s">
        <v>5822</v>
      </c>
      <c r="L133" s="519" t="s">
        <v>5215</v>
      </c>
      <c r="M133" s="519" t="s">
        <v>2969</v>
      </c>
      <c r="N133" s="560">
        <v>1</v>
      </c>
      <c r="O133" s="560" t="s">
        <v>154</v>
      </c>
      <c r="P133" s="564">
        <v>20</v>
      </c>
      <c r="Q133" s="564">
        <v>28</v>
      </c>
      <c r="R133" s="563">
        <v>10</v>
      </c>
      <c r="S133" s="498">
        <f t="shared" si="11"/>
        <v>560</v>
      </c>
      <c r="T133" s="498">
        <f t="shared" si="12"/>
        <v>560</v>
      </c>
      <c r="U133" s="498"/>
      <c r="V133" s="562" t="s">
        <v>5786</v>
      </c>
      <c r="W133" s="559" t="s">
        <v>5744</v>
      </c>
      <c r="X133" s="559" t="s">
        <v>5745</v>
      </c>
      <c r="Y133" s="561" t="s">
        <v>154</v>
      </c>
      <c r="Z133" s="561" t="s">
        <v>154</v>
      </c>
      <c r="AA133" s="561" t="s">
        <v>154</v>
      </c>
      <c r="AB133" s="561" t="s">
        <v>154</v>
      </c>
      <c r="AC133" s="561" t="s">
        <v>154</v>
      </c>
      <c r="AD133" s="560">
        <v>5</v>
      </c>
      <c r="AE133" s="561" t="s">
        <v>5746</v>
      </c>
      <c r="AF133" s="559"/>
      <c r="AG133" s="557"/>
      <c r="AH133" s="557"/>
      <c r="AI133" s="559"/>
      <c r="AJ133" s="559"/>
      <c r="AK133" s="559"/>
      <c r="AL133" s="557"/>
      <c r="AM133" s="559"/>
      <c r="AN133" s="559"/>
      <c r="AO133" s="559" t="s">
        <v>3454</v>
      </c>
      <c r="AP133" s="559" t="s">
        <v>5774</v>
      </c>
      <c r="AQ133" s="559" t="s">
        <v>154</v>
      </c>
      <c r="AR133" s="559" t="s">
        <v>154</v>
      </c>
      <c r="AS133" s="559"/>
      <c r="AT133" s="567"/>
      <c r="AU133" s="559"/>
      <c r="AV133" s="559"/>
      <c r="AW133" s="559"/>
      <c r="AX133" s="556"/>
      <c r="AY133" s="555"/>
      <c r="AZ133" s="572" t="s">
        <v>5747</v>
      </c>
      <c r="BA133" s="554"/>
      <c r="BB133" s="554"/>
      <c r="BC133" s="554"/>
      <c r="BD133" s="554"/>
      <c r="BE133" s="554"/>
      <c r="BF133" s="553"/>
      <c r="BG133" s="553"/>
      <c r="BH133" s="553"/>
      <c r="BI133" s="553"/>
    </row>
    <row r="134" spans="1:61" s="552" customFormat="1" ht="24" customHeight="1">
      <c r="A134" s="528"/>
      <c r="B134" s="522">
        <v>4613</v>
      </c>
      <c r="C134" s="566" t="s">
        <v>1316</v>
      </c>
      <c r="D134" s="565" t="s">
        <v>3520</v>
      </c>
      <c r="E134" s="2371" t="s">
        <v>5823</v>
      </c>
      <c r="F134" s="2371"/>
      <c r="G134" s="2371"/>
      <c r="H134" s="527">
        <v>1</v>
      </c>
      <c r="I134" s="526" t="s">
        <v>1940</v>
      </c>
      <c r="J134" s="525" t="s">
        <v>5925</v>
      </c>
      <c r="K134" s="525"/>
      <c r="L134" s="519" t="s">
        <v>5827</v>
      </c>
      <c r="M134" s="519" t="s">
        <v>2969</v>
      </c>
      <c r="N134" s="560">
        <v>1</v>
      </c>
      <c r="O134" s="560" t="s">
        <v>154</v>
      </c>
      <c r="P134" s="564">
        <v>8</v>
      </c>
      <c r="Q134" s="564">
        <v>40</v>
      </c>
      <c r="R134" s="563">
        <v>8</v>
      </c>
      <c r="S134" s="498">
        <f t="shared" si="11"/>
        <v>320</v>
      </c>
      <c r="T134" s="498">
        <f t="shared" si="12"/>
        <v>320</v>
      </c>
      <c r="U134" s="498"/>
      <c r="V134" s="562" t="s">
        <v>5743</v>
      </c>
      <c r="W134" s="559" t="s">
        <v>5744</v>
      </c>
      <c r="X134" s="559" t="s">
        <v>5745</v>
      </c>
      <c r="Y134" s="561" t="s">
        <v>154</v>
      </c>
      <c r="Z134" s="561" t="s">
        <v>154</v>
      </c>
      <c r="AA134" s="561" t="s">
        <v>154</v>
      </c>
      <c r="AB134" s="561" t="s">
        <v>154</v>
      </c>
      <c r="AC134" s="561" t="s">
        <v>154</v>
      </c>
      <c r="AD134" s="560"/>
      <c r="AE134" s="561"/>
      <c r="AF134" s="559"/>
      <c r="AG134" s="557"/>
      <c r="AH134" s="557"/>
      <c r="AI134" s="559"/>
      <c r="AJ134" s="559"/>
      <c r="AK134" s="559"/>
      <c r="AL134" s="557"/>
      <c r="AM134" s="559"/>
      <c r="AN134" s="559"/>
      <c r="AO134" s="559"/>
      <c r="AP134" s="559" t="s">
        <v>5750</v>
      </c>
      <c r="AQ134" s="559" t="s">
        <v>154</v>
      </c>
      <c r="AR134" s="559" t="s">
        <v>154</v>
      </c>
      <c r="AS134" s="487">
        <v>2</v>
      </c>
      <c r="AT134" s="488"/>
      <c r="AU134" s="487"/>
      <c r="AV134" s="487"/>
      <c r="AW134" s="487"/>
      <c r="AX134" s="556"/>
      <c r="AY134" s="555"/>
      <c r="AZ134" s="556" t="s">
        <v>5747</v>
      </c>
      <c r="BA134" s="554"/>
      <c r="BB134" s="554"/>
      <c r="BC134" s="554"/>
      <c r="BD134" s="554"/>
      <c r="BE134" s="554"/>
      <c r="BF134" s="553"/>
      <c r="BG134" s="553"/>
      <c r="BH134" s="553"/>
      <c r="BI134" s="553"/>
    </row>
    <row r="135" spans="1:61" s="552" customFormat="1" ht="24" customHeight="1">
      <c r="A135" s="507"/>
      <c r="B135" s="522">
        <v>4712</v>
      </c>
      <c r="C135" s="566" t="s">
        <v>1316</v>
      </c>
      <c r="D135" s="565" t="s">
        <v>912</v>
      </c>
      <c r="E135" s="2371" t="s">
        <v>1956</v>
      </c>
      <c r="F135" s="2371"/>
      <c r="G135" s="2371"/>
      <c r="H135" s="527">
        <v>1</v>
      </c>
      <c r="I135" s="526" t="str">
        <f>B135&amp;"-BLD-"&amp;TEXT(H135,"000")</f>
        <v>4712-BLD-001</v>
      </c>
      <c r="J135" s="525" t="s">
        <v>5926</v>
      </c>
      <c r="K135" s="525"/>
      <c r="L135" s="519" t="s">
        <v>5230</v>
      </c>
      <c r="M135" s="519" t="s">
        <v>2969</v>
      </c>
      <c r="N135" s="560">
        <v>1</v>
      </c>
      <c r="O135" s="560" t="s">
        <v>154</v>
      </c>
      <c r="P135" s="564">
        <v>8</v>
      </c>
      <c r="Q135" s="564">
        <v>20</v>
      </c>
      <c r="R135" s="563">
        <v>8</v>
      </c>
      <c r="S135" s="498">
        <f t="shared" si="11"/>
        <v>160</v>
      </c>
      <c r="T135" s="498">
        <f t="shared" si="12"/>
        <v>160</v>
      </c>
      <c r="U135" s="498"/>
      <c r="V135" s="562" t="s">
        <v>5761</v>
      </c>
      <c r="W135" s="559" t="s">
        <v>5744</v>
      </c>
      <c r="X135" s="559" t="s">
        <v>5745</v>
      </c>
      <c r="Y135" s="561" t="s">
        <v>154</v>
      </c>
      <c r="Z135" s="561" t="s">
        <v>154</v>
      </c>
      <c r="AA135" s="561" t="s">
        <v>154</v>
      </c>
      <c r="AB135" s="561" t="s">
        <v>154</v>
      </c>
      <c r="AC135" s="561" t="s">
        <v>154</v>
      </c>
      <c r="AD135" s="560">
        <v>22</v>
      </c>
      <c r="AE135" s="519" t="s">
        <v>5746</v>
      </c>
      <c r="AF135" s="492" t="s">
        <v>5747</v>
      </c>
      <c r="AG135" s="557" t="s">
        <v>154</v>
      </c>
      <c r="AH135" s="557" t="s">
        <v>154</v>
      </c>
      <c r="AI135" s="559" t="s">
        <v>154</v>
      </c>
      <c r="AJ135" s="559" t="s">
        <v>154</v>
      </c>
      <c r="AK135" s="559" t="s">
        <v>154</v>
      </c>
      <c r="AL135" s="557" t="s">
        <v>154</v>
      </c>
      <c r="AM135" s="492" t="s">
        <v>5747</v>
      </c>
      <c r="AN135" s="559" t="s">
        <v>154</v>
      </c>
      <c r="AO135" s="559" t="s">
        <v>3454</v>
      </c>
      <c r="AP135" s="559" t="s">
        <v>5756</v>
      </c>
      <c r="AQ135" s="559" t="s">
        <v>154</v>
      </c>
      <c r="AR135" s="559" t="s">
        <v>154</v>
      </c>
      <c r="AS135" s="559"/>
      <c r="AT135" s="567" t="s">
        <v>5757</v>
      </c>
      <c r="AU135" s="559"/>
      <c r="AV135" s="559"/>
      <c r="AW135" s="559"/>
      <c r="AX135" s="572" t="s">
        <v>5747</v>
      </c>
      <c r="AY135" s="555"/>
      <c r="AZ135" s="556" t="s">
        <v>5747</v>
      </c>
      <c r="BA135" s="554"/>
      <c r="BB135" s="554"/>
      <c r="BC135" s="554"/>
      <c r="BD135" s="554"/>
      <c r="BE135" s="554">
        <v>1</v>
      </c>
      <c r="BF135" s="553"/>
      <c r="BG135" s="553"/>
      <c r="BH135" s="553"/>
      <c r="BI135" s="553"/>
    </row>
    <row r="136" spans="1:61" ht="24" customHeight="1">
      <c r="A136" s="507"/>
      <c r="B136" s="506">
        <v>4720</v>
      </c>
      <c r="C136" s="505" t="s">
        <v>1316</v>
      </c>
      <c r="D136" s="504" t="s">
        <v>912</v>
      </c>
      <c r="E136" s="2369" t="s">
        <v>923</v>
      </c>
      <c r="F136" s="2369"/>
      <c r="G136" s="2369"/>
      <c r="H136" s="503">
        <v>1</v>
      </c>
      <c r="I136" s="502" t="str">
        <f>B136&amp;"-BLD-"&amp;TEXT(H136,"000")</f>
        <v>4720-BLD-001</v>
      </c>
      <c r="J136" s="501" t="s">
        <v>5835</v>
      </c>
      <c r="K136" s="501"/>
      <c r="L136" s="493" t="s">
        <v>4168</v>
      </c>
      <c r="M136" s="493" t="s">
        <v>2969</v>
      </c>
      <c r="N136" s="494">
        <v>1</v>
      </c>
      <c r="O136" s="529">
        <v>2</v>
      </c>
      <c r="P136" s="500">
        <v>60</v>
      </c>
      <c r="Q136" s="500">
        <v>70</v>
      </c>
      <c r="R136" s="499">
        <v>20</v>
      </c>
      <c r="S136" s="497">
        <f t="shared" si="11"/>
        <v>4200</v>
      </c>
      <c r="T136" s="498">
        <f t="shared" si="12"/>
        <v>4200</v>
      </c>
      <c r="U136" s="497" t="s">
        <v>5791</v>
      </c>
      <c r="V136" s="496" t="s">
        <v>5792</v>
      </c>
      <c r="W136" s="489" t="s">
        <v>5793</v>
      </c>
      <c r="X136" s="489" t="s">
        <v>5836</v>
      </c>
      <c r="Y136" s="495" t="s">
        <v>154</v>
      </c>
      <c r="Z136" s="495" t="s">
        <v>154</v>
      </c>
      <c r="AA136" s="495" t="s">
        <v>154</v>
      </c>
      <c r="AB136" s="495" t="s">
        <v>154</v>
      </c>
      <c r="AC136" s="495" t="s">
        <v>154</v>
      </c>
      <c r="AD136" s="494">
        <v>5</v>
      </c>
      <c r="AE136" s="495" t="s">
        <v>3454</v>
      </c>
      <c r="AF136" s="492" t="s">
        <v>5747</v>
      </c>
      <c r="AG136" s="491" t="s">
        <v>154</v>
      </c>
      <c r="AH136" s="489" t="s">
        <v>5769</v>
      </c>
      <c r="AI136" s="489" t="s">
        <v>154</v>
      </c>
      <c r="AJ136" s="489" t="s">
        <v>154</v>
      </c>
      <c r="AK136" s="489" t="s">
        <v>154</v>
      </c>
      <c r="AL136" s="491" t="s">
        <v>154</v>
      </c>
      <c r="AM136" s="490" t="s">
        <v>5747</v>
      </c>
      <c r="AN136" s="489" t="s">
        <v>154</v>
      </c>
      <c r="AO136" s="489" t="s">
        <v>3454</v>
      </c>
      <c r="AP136" s="489" t="s">
        <v>5750</v>
      </c>
      <c r="AQ136" s="489" t="s">
        <v>5756</v>
      </c>
      <c r="AR136" s="489" t="s">
        <v>154</v>
      </c>
      <c r="AS136" s="487">
        <v>4</v>
      </c>
      <c r="AT136" s="488" t="s">
        <v>5789</v>
      </c>
      <c r="AU136" s="487" t="s">
        <v>5762</v>
      </c>
      <c r="AV136" s="487"/>
      <c r="AW136" s="487"/>
      <c r="AX136" s="570" t="s">
        <v>5747</v>
      </c>
      <c r="AY136" s="569"/>
      <c r="AZ136" s="556" t="s">
        <v>5747</v>
      </c>
      <c r="BA136" s="568"/>
      <c r="BB136" s="568"/>
      <c r="BC136" s="568"/>
      <c r="BD136" s="568"/>
      <c r="BE136" s="568">
        <v>1</v>
      </c>
    </row>
    <row r="137" spans="1:61" ht="24" customHeight="1">
      <c r="A137" s="507"/>
      <c r="B137" s="506">
        <v>4731</v>
      </c>
      <c r="C137" s="505" t="s">
        <v>1316</v>
      </c>
      <c r="D137" s="504" t="s">
        <v>912</v>
      </c>
      <c r="E137" s="2369" t="s">
        <v>958</v>
      </c>
      <c r="F137" s="2369"/>
      <c r="G137" s="2369"/>
      <c r="H137" s="503">
        <v>1</v>
      </c>
      <c r="I137" s="502" t="str">
        <f>B137&amp;"-BLD-"&amp;TEXT(H137,"000")</f>
        <v>4731-BLD-001</v>
      </c>
      <c r="J137" s="501" t="s">
        <v>5837</v>
      </c>
      <c r="K137" s="501"/>
      <c r="L137" s="493" t="s">
        <v>5838</v>
      </c>
      <c r="M137" s="519" t="s">
        <v>2969</v>
      </c>
      <c r="N137" s="494">
        <v>1</v>
      </c>
      <c r="O137" s="494" t="s">
        <v>154</v>
      </c>
      <c r="P137" s="500">
        <v>8</v>
      </c>
      <c r="Q137" s="500">
        <v>40</v>
      </c>
      <c r="R137" s="499">
        <v>8</v>
      </c>
      <c r="S137" s="497">
        <f t="shared" si="11"/>
        <v>320</v>
      </c>
      <c r="T137" s="498">
        <f t="shared" si="12"/>
        <v>320</v>
      </c>
      <c r="U137" s="497"/>
      <c r="V137" s="496" t="s">
        <v>5743</v>
      </c>
      <c r="W137" s="489" t="s">
        <v>5744</v>
      </c>
      <c r="X137" s="489" t="s">
        <v>5745</v>
      </c>
      <c r="Y137" s="495" t="s">
        <v>154</v>
      </c>
      <c r="Z137" s="495" t="s">
        <v>154</v>
      </c>
      <c r="AA137" s="495" t="s">
        <v>154</v>
      </c>
      <c r="AB137" s="495" t="s">
        <v>154</v>
      </c>
      <c r="AC137" s="495" t="s">
        <v>154</v>
      </c>
      <c r="AD137" s="494">
        <v>5</v>
      </c>
      <c r="AE137" s="495" t="s">
        <v>5746</v>
      </c>
      <c r="AF137" s="492" t="s">
        <v>5747</v>
      </c>
      <c r="AG137" s="489" t="s">
        <v>154</v>
      </c>
      <c r="AH137" s="489" t="s">
        <v>154</v>
      </c>
      <c r="AI137" s="489" t="s">
        <v>154</v>
      </c>
      <c r="AJ137" s="489" t="s">
        <v>154</v>
      </c>
      <c r="AK137" s="489" t="s">
        <v>154</v>
      </c>
      <c r="AL137" s="489" t="s">
        <v>154</v>
      </c>
      <c r="AM137" s="492" t="s">
        <v>5747</v>
      </c>
      <c r="AN137" s="489" t="s">
        <v>154</v>
      </c>
      <c r="AO137" s="489" t="s">
        <v>3454</v>
      </c>
      <c r="AP137" s="489" t="s">
        <v>154</v>
      </c>
      <c r="AQ137" s="489" t="s">
        <v>154</v>
      </c>
      <c r="AR137" s="489" t="s">
        <v>154</v>
      </c>
      <c r="AS137" s="530"/>
      <c r="AT137" s="531"/>
      <c r="AU137" s="487" t="s">
        <v>5758</v>
      </c>
      <c r="AV137" s="487"/>
      <c r="AW137" s="530"/>
      <c r="AX137" s="570"/>
      <c r="AY137" s="569"/>
      <c r="AZ137" s="556"/>
      <c r="BA137" s="568"/>
      <c r="BB137" s="568"/>
      <c r="BC137" s="568"/>
      <c r="BD137" s="568"/>
      <c r="BE137" s="568"/>
      <c r="BF137" s="568"/>
      <c r="BG137" s="568"/>
      <c r="BH137" s="568"/>
      <c r="BI137" s="457"/>
    </row>
    <row r="138" spans="1:61" s="552" customFormat="1" ht="24" customHeight="1">
      <c r="A138" s="507"/>
      <c r="B138" s="522">
        <v>4731</v>
      </c>
      <c r="C138" s="566" t="s">
        <v>1316</v>
      </c>
      <c r="D138" s="565" t="s">
        <v>912</v>
      </c>
      <c r="E138" s="2371" t="s">
        <v>958</v>
      </c>
      <c r="F138" s="2371"/>
      <c r="G138" s="2371"/>
      <c r="H138" s="527">
        <v>5</v>
      </c>
      <c r="I138" s="526" t="s">
        <v>2002</v>
      </c>
      <c r="J138" s="525" t="s">
        <v>978</v>
      </c>
      <c r="K138" s="525"/>
      <c r="L138" s="519" t="s">
        <v>5838</v>
      </c>
      <c r="M138" s="519" t="s">
        <v>2969</v>
      </c>
      <c r="N138" s="560">
        <v>1</v>
      </c>
      <c r="O138" s="560" t="s">
        <v>154</v>
      </c>
      <c r="P138" s="564">
        <v>24</v>
      </c>
      <c r="Q138" s="564">
        <v>80</v>
      </c>
      <c r="R138" s="563">
        <v>10</v>
      </c>
      <c r="S138" s="498">
        <f t="shared" si="11"/>
        <v>1920</v>
      </c>
      <c r="T138" s="498">
        <f t="shared" si="12"/>
        <v>1920</v>
      </c>
      <c r="U138" s="498"/>
      <c r="V138" s="562" t="s">
        <v>5786</v>
      </c>
      <c r="W138" s="559" t="s">
        <v>5744</v>
      </c>
      <c r="X138" s="559" t="s">
        <v>5745</v>
      </c>
      <c r="Y138" s="495" t="s">
        <v>154</v>
      </c>
      <c r="Z138" s="495" t="s">
        <v>154</v>
      </c>
      <c r="AA138" s="495" t="s">
        <v>154</v>
      </c>
      <c r="AB138" s="495" t="s">
        <v>154</v>
      </c>
      <c r="AC138" s="495" t="s">
        <v>154</v>
      </c>
      <c r="AD138" s="560"/>
      <c r="AE138" s="561"/>
      <c r="AF138" s="492" t="s">
        <v>5747</v>
      </c>
      <c r="AG138" s="559" t="s">
        <v>154</v>
      </c>
      <c r="AH138" s="559"/>
      <c r="AI138" s="559"/>
      <c r="AJ138" s="559"/>
      <c r="AK138" s="559"/>
      <c r="AL138" s="557"/>
      <c r="AM138" s="559"/>
      <c r="AN138" s="559"/>
      <c r="AO138" s="559"/>
      <c r="AP138" s="559" t="s">
        <v>5774</v>
      </c>
      <c r="AQ138" s="559" t="s">
        <v>154</v>
      </c>
      <c r="AR138" s="559"/>
      <c r="AS138" s="571"/>
      <c r="AT138" s="567"/>
      <c r="AU138" s="571"/>
      <c r="AV138" s="571"/>
      <c r="AW138" s="571"/>
      <c r="AX138" s="556"/>
      <c r="AY138" s="555"/>
      <c r="AZ138" s="556" t="s">
        <v>5747</v>
      </c>
      <c r="BA138" s="554"/>
      <c r="BB138" s="554"/>
      <c r="BC138" s="554"/>
      <c r="BD138" s="554"/>
      <c r="BE138" s="554"/>
      <c r="BF138" s="553"/>
      <c r="BG138" s="553"/>
      <c r="BH138" s="553"/>
      <c r="BI138" s="553"/>
    </row>
    <row r="139" spans="1:61" ht="24" customHeight="1">
      <c r="A139" s="507"/>
      <c r="B139" s="506">
        <v>4732</v>
      </c>
      <c r="C139" s="505" t="s">
        <v>1316</v>
      </c>
      <c r="D139" s="504" t="s">
        <v>912</v>
      </c>
      <c r="E139" s="2369" t="s">
        <v>958</v>
      </c>
      <c r="F139" s="2369"/>
      <c r="G139" s="2369"/>
      <c r="H139" s="503">
        <v>1</v>
      </c>
      <c r="I139" s="502" t="str">
        <f t="shared" ref="I139:I157" si="13">B139&amp;"-BLD-"&amp;TEXT(H139,"000")</f>
        <v>4732-BLD-001</v>
      </c>
      <c r="J139" s="501" t="s">
        <v>998</v>
      </c>
      <c r="K139" s="501"/>
      <c r="L139" s="493" t="s">
        <v>4168</v>
      </c>
      <c r="M139" s="493" t="s">
        <v>2969</v>
      </c>
      <c r="N139" s="494">
        <v>1</v>
      </c>
      <c r="O139" s="529">
        <v>2</v>
      </c>
      <c r="P139" s="500">
        <v>20</v>
      </c>
      <c r="Q139" s="500">
        <v>30</v>
      </c>
      <c r="R139" s="499">
        <v>20</v>
      </c>
      <c r="S139" s="497">
        <f t="shared" si="11"/>
        <v>600</v>
      </c>
      <c r="T139" s="498">
        <f t="shared" si="12"/>
        <v>600</v>
      </c>
      <c r="U139" s="497" t="s">
        <v>5791</v>
      </c>
      <c r="V139" s="496" t="s">
        <v>5792</v>
      </c>
      <c r="W139" s="489" t="s">
        <v>5793</v>
      </c>
      <c r="X139" s="489" t="s">
        <v>5836</v>
      </c>
      <c r="Y139" s="495" t="s">
        <v>154</v>
      </c>
      <c r="Z139" s="495" t="s">
        <v>154</v>
      </c>
      <c r="AA139" s="495" t="s">
        <v>154</v>
      </c>
      <c r="AB139" s="495" t="s">
        <v>154</v>
      </c>
      <c r="AC139" s="495" t="s">
        <v>154</v>
      </c>
      <c r="AD139" s="494">
        <v>5</v>
      </c>
      <c r="AE139" s="495" t="s">
        <v>3454</v>
      </c>
      <c r="AF139" s="492" t="s">
        <v>5747</v>
      </c>
      <c r="AG139" s="491" t="s">
        <v>154</v>
      </c>
      <c r="AH139" s="489" t="s">
        <v>154</v>
      </c>
      <c r="AI139" s="489" t="s">
        <v>154</v>
      </c>
      <c r="AJ139" s="489" t="s">
        <v>5769</v>
      </c>
      <c r="AK139" s="489" t="s">
        <v>154</v>
      </c>
      <c r="AL139" s="491" t="s">
        <v>154</v>
      </c>
      <c r="AM139" s="490" t="s">
        <v>5747</v>
      </c>
      <c r="AN139" s="491" t="s">
        <v>154</v>
      </c>
      <c r="AO139" s="489" t="s">
        <v>3454</v>
      </c>
      <c r="AP139" s="489" t="s">
        <v>5815</v>
      </c>
      <c r="AQ139" s="489" t="s">
        <v>154</v>
      </c>
      <c r="AR139" s="489" t="s">
        <v>154</v>
      </c>
      <c r="AS139" s="487">
        <v>4</v>
      </c>
      <c r="AT139" s="488" t="s">
        <v>5789</v>
      </c>
      <c r="AU139" s="487" t="s">
        <v>5762</v>
      </c>
      <c r="AV139" s="487"/>
      <c r="AW139" s="487"/>
      <c r="AX139" s="570" t="s">
        <v>5747</v>
      </c>
      <c r="AY139" s="569"/>
      <c r="AZ139" s="556" t="s">
        <v>5747</v>
      </c>
      <c r="BA139" s="568"/>
      <c r="BB139" s="568"/>
      <c r="BC139" s="568"/>
      <c r="BD139" s="568"/>
      <c r="BE139" s="568">
        <v>1</v>
      </c>
    </row>
    <row r="140" spans="1:61" s="552" customFormat="1" ht="24" customHeight="1">
      <c r="A140" s="528"/>
      <c r="B140" s="522">
        <v>4750</v>
      </c>
      <c r="C140" s="566" t="s">
        <v>1316</v>
      </c>
      <c r="D140" s="565" t="s">
        <v>912</v>
      </c>
      <c r="E140" s="2371" t="s">
        <v>913</v>
      </c>
      <c r="F140" s="2371"/>
      <c r="G140" s="2371"/>
      <c r="H140" s="527">
        <v>1</v>
      </c>
      <c r="I140" s="526" t="str">
        <f t="shared" si="13"/>
        <v>4750-BLD-001</v>
      </c>
      <c r="J140" s="525" t="s">
        <v>5841</v>
      </c>
      <c r="K140" s="525"/>
      <c r="L140" s="519" t="s">
        <v>5842</v>
      </c>
      <c r="M140" s="519" t="s">
        <v>2969</v>
      </c>
      <c r="N140" s="560">
        <v>1</v>
      </c>
      <c r="O140" s="560" t="s">
        <v>154</v>
      </c>
      <c r="P140" s="564">
        <v>16</v>
      </c>
      <c r="Q140" s="564">
        <v>40</v>
      </c>
      <c r="R140" s="563">
        <v>11</v>
      </c>
      <c r="S140" s="498">
        <f t="shared" si="11"/>
        <v>640</v>
      </c>
      <c r="T140" s="498">
        <f t="shared" si="12"/>
        <v>640</v>
      </c>
      <c r="U140" s="498"/>
      <c r="V140" s="562" t="s">
        <v>5761</v>
      </c>
      <c r="W140" s="559" t="s">
        <v>5744</v>
      </c>
      <c r="X140" s="559" t="s">
        <v>5745</v>
      </c>
      <c r="Y140" s="561" t="s">
        <v>154</v>
      </c>
      <c r="Z140" s="561" t="s">
        <v>154</v>
      </c>
      <c r="AA140" s="561" t="s">
        <v>154</v>
      </c>
      <c r="AB140" s="561" t="s">
        <v>154</v>
      </c>
      <c r="AC140" s="561" t="s">
        <v>154</v>
      </c>
      <c r="AD140" s="560">
        <v>22</v>
      </c>
      <c r="AE140" s="561" t="s">
        <v>5746</v>
      </c>
      <c r="AF140" s="492" t="s">
        <v>5747</v>
      </c>
      <c r="AG140" s="557" t="s">
        <v>154</v>
      </c>
      <c r="AH140" s="557" t="s">
        <v>154</v>
      </c>
      <c r="AI140" s="559" t="s">
        <v>154</v>
      </c>
      <c r="AJ140" s="559" t="s">
        <v>154</v>
      </c>
      <c r="AK140" s="559" t="s">
        <v>154</v>
      </c>
      <c r="AL140" s="492" t="s">
        <v>5747</v>
      </c>
      <c r="AM140" s="559" t="s">
        <v>154</v>
      </c>
      <c r="AN140" s="559" t="s">
        <v>154</v>
      </c>
      <c r="AO140" s="559" t="s">
        <v>3454</v>
      </c>
      <c r="AP140" s="559" t="s">
        <v>5750</v>
      </c>
      <c r="AQ140" s="559" t="s">
        <v>154</v>
      </c>
      <c r="AR140" s="559" t="s">
        <v>154</v>
      </c>
      <c r="AS140" s="487">
        <v>2</v>
      </c>
      <c r="AT140" s="488" t="s">
        <v>5757</v>
      </c>
      <c r="AU140" s="487"/>
      <c r="AV140" s="487"/>
      <c r="AW140" s="487"/>
      <c r="AX140" s="556" t="s">
        <v>5747</v>
      </c>
      <c r="AY140" s="555"/>
      <c r="AZ140" s="555"/>
      <c r="BA140" s="554"/>
      <c r="BB140" s="554"/>
      <c r="BC140" s="554"/>
      <c r="BD140" s="554"/>
      <c r="BE140" s="554">
        <v>1</v>
      </c>
      <c r="BF140" s="553"/>
      <c r="BG140" s="553"/>
      <c r="BH140" s="553"/>
      <c r="BI140" s="553"/>
    </row>
    <row r="141" spans="1:61" s="552" customFormat="1" ht="24" customHeight="1">
      <c r="A141" s="528"/>
      <c r="B141" s="522">
        <v>4750</v>
      </c>
      <c r="C141" s="566" t="s">
        <v>1316</v>
      </c>
      <c r="D141" s="565" t="s">
        <v>912</v>
      </c>
      <c r="E141" s="2371" t="s">
        <v>913</v>
      </c>
      <c r="F141" s="2371"/>
      <c r="G141" s="2371"/>
      <c r="H141" s="527">
        <v>2</v>
      </c>
      <c r="I141" s="526" t="str">
        <f t="shared" si="13"/>
        <v>4750-BLD-002</v>
      </c>
      <c r="J141" s="525" t="s">
        <v>5843</v>
      </c>
      <c r="K141" s="525"/>
      <c r="L141" s="519" t="s">
        <v>5842</v>
      </c>
      <c r="M141" s="519" t="s">
        <v>2969</v>
      </c>
      <c r="N141" s="560">
        <v>1</v>
      </c>
      <c r="O141" s="560" t="s">
        <v>154</v>
      </c>
      <c r="P141" s="564">
        <v>16</v>
      </c>
      <c r="Q141" s="564">
        <v>25</v>
      </c>
      <c r="R141" s="563">
        <v>11</v>
      </c>
      <c r="S141" s="498">
        <f t="shared" si="11"/>
        <v>400</v>
      </c>
      <c r="T141" s="498">
        <f t="shared" si="12"/>
        <v>400</v>
      </c>
      <c r="U141" s="498"/>
      <c r="V141" s="562" t="s">
        <v>5761</v>
      </c>
      <c r="W141" s="559" t="s">
        <v>5744</v>
      </c>
      <c r="X141" s="559" t="s">
        <v>5745</v>
      </c>
      <c r="Y141" s="561" t="s">
        <v>154</v>
      </c>
      <c r="Z141" s="561" t="s">
        <v>154</v>
      </c>
      <c r="AA141" s="561" t="s">
        <v>154</v>
      </c>
      <c r="AB141" s="561" t="s">
        <v>154</v>
      </c>
      <c r="AC141" s="561" t="s">
        <v>154</v>
      </c>
      <c r="AD141" s="560">
        <v>22</v>
      </c>
      <c r="AE141" s="519" t="s">
        <v>5746</v>
      </c>
      <c r="AF141" s="492" t="s">
        <v>5747</v>
      </c>
      <c r="AG141" s="557" t="s">
        <v>154</v>
      </c>
      <c r="AH141" s="557" t="s">
        <v>154</v>
      </c>
      <c r="AI141" s="559" t="s">
        <v>154</v>
      </c>
      <c r="AJ141" s="559" t="s">
        <v>154</v>
      </c>
      <c r="AK141" s="559" t="s">
        <v>154</v>
      </c>
      <c r="AL141" s="492" t="s">
        <v>5747</v>
      </c>
      <c r="AM141" s="559" t="s">
        <v>154</v>
      </c>
      <c r="AN141" s="559" t="s">
        <v>154</v>
      </c>
      <c r="AO141" s="559" t="s">
        <v>3454</v>
      </c>
      <c r="AP141" s="559" t="s">
        <v>5750</v>
      </c>
      <c r="AQ141" s="559" t="s">
        <v>154</v>
      </c>
      <c r="AR141" s="559" t="s">
        <v>154</v>
      </c>
      <c r="AS141" s="487">
        <v>2</v>
      </c>
      <c r="AT141" s="488" t="s">
        <v>5757</v>
      </c>
      <c r="AU141" s="487"/>
      <c r="AV141" s="487"/>
      <c r="AW141" s="487"/>
      <c r="AX141" s="556" t="s">
        <v>5747</v>
      </c>
      <c r="AY141" s="555"/>
      <c r="AZ141" s="555"/>
      <c r="BA141" s="554"/>
      <c r="BB141" s="554"/>
      <c r="BC141" s="554"/>
      <c r="BD141" s="554"/>
      <c r="BE141" s="554">
        <v>1</v>
      </c>
      <c r="BF141" s="553"/>
      <c r="BG141" s="553"/>
      <c r="BH141" s="553"/>
      <c r="BI141" s="553"/>
    </row>
    <row r="142" spans="1:61" s="552" customFormat="1" ht="24" customHeight="1">
      <c r="A142" s="528"/>
      <c r="B142" s="522">
        <v>4750</v>
      </c>
      <c r="C142" s="566" t="s">
        <v>1316</v>
      </c>
      <c r="D142" s="565" t="s">
        <v>912</v>
      </c>
      <c r="E142" s="2371" t="s">
        <v>913</v>
      </c>
      <c r="F142" s="2371"/>
      <c r="G142" s="2371"/>
      <c r="H142" s="527">
        <v>3</v>
      </c>
      <c r="I142" s="526" t="str">
        <f t="shared" si="13"/>
        <v>4750-BLD-003</v>
      </c>
      <c r="J142" s="525" t="s">
        <v>5844</v>
      </c>
      <c r="K142" s="525"/>
      <c r="L142" s="519" t="s">
        <v>5842</v>
      </c>
      <c r="M142" s="519" t="s">
        <v>2969</v>
      </c>
      <c r="N142" s="560">
        <v>1</v>
      </c>
      <c r="O142" s="560" t="s">
        <v>154</v>
      </c>
      <c r="P142" s="564">
        <v>16</v>
      </c>
      <c r="Q142" s="564">
        <v>25</v>
      </c>
      <c r="R142" s="563">
        <v>11</v>
      </c>
      <c r="S142" s="498">
        <f t="shared" si="11"/>
        <v>400</v>
      </c>
      <c r="T142" s="498">
        <f t="shared" si="12"/>
        <v>400</v>
      </c>
      <c r="U142" s="498"/>
      <c r="V142" s="562" t="s">
        <v>5761</v>
      </c>
      <c r="W142" s="559" t="s">
        <v>5744</v>
      </c>
      <c r="X142" s="559" t="s">
        <v>5745</v>
      </c>
      <c r="Y142" s="561" t="s">
        <v>154</v>
      </c>
      <c r="Z142" s="561" t="s">
        <v>154</v>
      </c>
      <c r="AA142" s="561" t="s">
        <v>154</v>
      </c>
      <c r="AB142" s="561" t="s">
        <v>154</v>
      </c>
      <c r="AC142" s="561" t="s">
        <v>154</v>
      </c>
      <c r="AD142" s="560">
        <v>22</v>
      </c>
      <c r="AE142" s="519" t="s">
        <v>5746</v>
      </c>
      <c r="AF142" s="492" t="s">
        <v>5747</v>
      </c>
      <c r="AG142" s="557" t="s">
        <v>154</v>
      </c>
      <c r="AH142" s="557" t="s">
        <v>154</v>
      </c>
      <c r="AI142" s="559" t="s">
        <v>154</v>
      </c>
      <c r="AJ142" s="559" t="s">
        <v>154</v>
      </c>
      <c r="AK142" s="559" t="s">
        <v>154</v>
      </c>
      <c r="AL142" s="492" t="s">
        <v>5747</v>
      </c>
      <c r="AM142" s="559" t="s">
        <v>154</v>
      </c>
      <c r="AN142" s="559" t="s">
        <v>154</v>
      </c>
      <c r="AO142" s="559" t="s">
        <v>3454</v>
      </c>
      <c r="AP142" s="559" t="s">
        <v>5750</v>
      </c>
      <c r="AQ142" s="559" t="s">
        <v>154</v>
      </c>
      <c r="AR142" s="559" t="s">
        <v>154</v>
      </c>
      <c r="AS142" s="487">
        <v>2</v>
      </c>
      <c r="AT142" s="488" t="s">
        <v>5757</v>
      </c>
      <c r="AU142" s="487"/>
      <c r="AV142" s="487"/>
      <c r="AW142" s="487"/>
      <c r="AX142" s="556" t="s">
        <v>5747</v>
      </c>
      <c r="AY142" s="555"/>
      <c r="AZ142" s="555"/>
      <c r="BA142" s="554"/>
      <c r="BB142" s="554"/>
      <c r="BC142" s="554"/>
      <c r="BD142" s="554"/>
      <c r="BE142" s="554">
        <v>1</v>
      </c>
      <c r="BF142" s="553"/>
      <c r="BG142" s="553"/>
      <c r="BH142" s="553"/>
      <c r="BI142" s="553"/>
    </row>
    <row r="143" spans="1:61" s="552" customFormat="1" ht="24" customHeight="1">
      <c r="A143" s="528"/>
      <c r="B143" s="522">
        <v>4750</v>
      </c>
      <c r="C143" s="566" t="s">
        <v>1316</v>
      </c>
      <c r="D143" s="565" t="s">
        <v>912</v>
      </c>
      <c r="E143" s="2371" t="s">
        <v>913</v>
      </c>
      <c r="F143" s="2371"/>
      <c r="G143" s="2371"/>
      <c r="H143" s="527">
        <v>4</v>
      </c>
      <c r="I143" s="526" t="str">
        <f t="shared" si="13"/>
        <v>4750-BLD-004</v>
      </c>
      <c r="J143" s="525" t="s">
        <v>5845</v>
      </c>
      <c r="K143" s="525"/>
      <c r="L143" s="519" t="s">
        <v>5842</v>
      </c>
      <c r="M143" s="519" t="s">
        <v>2969</v>
      </c>
      <c r="N143" s="560">
        <v>1</v>
      </c>
      <c r="O143" s="560" t="s">
        <v>154</v>
      </c>
      <c r="P143" s="564">
        <v>16</v>
      </c>
      <c r="Q143" s="564">
        <v>25</v>
      </c>
      <c r="R143" s="563">
        <v>11</v>
      </c>
      <c r="S143" s="498">
        <f t="shared" si="11"/>
        <v>400</v>
      </c>
      <c r="T143" s="498">
        <f t="shared" si="12"/>
        <v>400</v>
      </c>
      <c r="U143" s="498"/>
      <c r="V143" s="562" t="s">
        <v>5761</v>
      </c>
      <c r="W143" s="559" t="s">
        <v>5744</v>
      </c>
      <c r="X143" s="559" t="s">
        <v>5745</v>
      </c>
      <c r="Y143" s="561" t="s">
        <v>154</v>
      </c>
      <c r="Z143" s="561" t="s">
        <v>154</v>
      </c>
      <c r="AA143" s="561" t="s">
        <v>154</v>
      </c>
      <c r="AB143" s="561" t="s">
        <v>154</v>
      </c>
      <c r="AC143" s="561" t="s">
        <v>154</v>
      </c>
      <c r="AD143" s="560">
        <v>22</v>
      </c>
      <c r="AE143" s="519" t="s">
        <v>5746</v>
      </c>
      <c r="AF143" s="492" t="s">
        <v>5747</v>
      </c>
      <c r="AG143" s="557" t="s">
        <v>154</v>
      </c>
      <c r="AH143" s="557" t="s">
        <v>154</v>
      </c>
      <c r="AI143" s="559" t="s">
        <v>154</v>
      </c>
      <c r="AJ143" s="559" t="s">
        <v>154</v>
      </c>
      <c r="AK143" s="559" t="s">
        <v>154</v>
      </c>
      <c r="AL143" s="492" t="s">
        <v>5747</v>
      </c>
      <c r="AM143" s="559" t="s">
        <v>154</v>
      </c>
      <c r="AN143" s="559" t="s">
        <v>154</v>
      </c>
      <c r="AO143" s="559" t="s">
        <v>3454</v>
      </c>
      <c r="AP143" s="559" t="s">
        <v>5750</v>
      </c>
      <c r="AQ143" s="559" t="s">
        <v>154</v>
      </c>
      <c r="AR143" s="559" t="s">
        <v>154</v>
      </c>
      <c r="AS143" s="487">
        <v>2</v>
      </c>
      <c r="AT143" s="488" t="s">
        <v>5757</v>
      </c>
      <c r="AU143" s="487"/>
      <c r="AV143" s="487"/>
      <c r="AW143" s="487"/>
      <c r="AX143" s="556" t="s">
        <v>5747</v>
      </c>
      <c r="AY143" s="555"/>
      <c r="AZ143" s="555"/>
      <c r="BA143" s="554"/>
      <c r="BB143" s="554"/>
      <c r="BC143" s="554"/>
      <c r="BD143" s="554"/>
      <c r="BE143" s="554">
        <v>1</v>
      </c>
      <c r="BF143" s="553"/>
      <c r="BG143" s="553"/>
      <c r="BH143" s="553"/>
      <c r="BI143" s="553"/>
    </row>
    <row r="144" spans="1:61" s="552" customFormat="1" ht="24" customHeight="1">
      <c r="A144" s="528"/>
      <c r="B144" s="522">
        <v>4750</v>
      </c>
      <c r="C144" s="566" t="s">
        <v>1316</v>
      </c>
      <c r="D144" s="565" t="s">
        <v>912</v>
      </c>
      <c r="E144" s="2371" t="s">
        <v>913</v>
      </c>
      <c r="F144" s="2371"/>
      <c r="G144" s="2371"/>
      <c r="H144" s="527">
        <v>5</v>
      </c>
      <c r="I144" s="526" t="str">
        <f t="shared" si="13"/>
        <v>4750-BLD-005</v>
      </c>
      <c r="J144" s="525" t="s">
        <v>5846</v>
      </c>
      <c r="K144" s="525"/>
      <c r="L144" s="519" t="s">
        <v>5842</v>
      </c>
      <c r="M144" s="519" t="s">
        <v>2969</v>
      </c>
      <c r="N144" s="560">
        <v>1</v>
      </c>
      <c r="O144" s="560" t="s">
        <v>154</v>
      </c>
      <c r="P144" s="564">
        <v>16</v>
      </c>
      <c r="Q144" s="564">
        <v>25</v>
      </c>
      <c r="R144" s="563">
        <v>11</v>
      </c>
      <c r="S144" s="498">
        <f t="shared" si="11"/>
        <v>400</v>
      </c>
      <c r="T144" s="498">
        <f t="shared" si="12"/>
        <v>400</v>
      </c>
      <c r="U144" s="498"/>
      <c r="V144" s="562" t="s">
        <v>5761</v>
      </c>
      <c r="W144" s="559" t="s">
        <v>5744</v>
      </c>
      <c r="X144" s="559" t="s">
        <v>5745</v>
      </c>
      <c r="Y144" s="561" t="s">
        <v>154</v>
      </c>
      <c r="Z144" s="561" t="s">
        <v>154</v>
      </c>
      <c r="AA144" s="561" t="s">
        <v>154</v>
      </c>
      <c r="AB144" s="561" t="s">
        <v>154</v>
      </c>
      <c r="AC144" s="561" t="s">
        <v>154</v>
      </c>
      <c r="AD144" s="560">
        <v>22</v>
      </c>
      <c r="AE144" s="519" t="s">
        <v>5746</v>
      </c>
      <c r="AF144" s="492" t="s">
        <v>5747</v>
      </c>
      <c r="AG144" s="557" t="s">
        <v>154</v>
      </c>
      <c r="AH144" s="557" t="s">
        <v>154</v>
      </c>
      <c r="AI144" s="559" t="s">
        <v>154</v>
      </c>
      <c r="AJ144" s="559" t="s">
        <v>154</v>
      </c>
      <c r="AK144" s="559" t="s">
        <v>154</v>
      </c>
      <c r="AL144" s="492" t="s">
        <v>5747</v>
      </c>
      <c r="AM144" s="559" t="s">
        <v>154</v>
      </c>
      <c r="AN144" s="559" t="s">
        <v>154</v>
      </c>
      <c r="AO144" s="559" t="s">
        <v>3454</v>
      </c>
      <c r="AP144" s="559" t="s">
        <v>5750</v>
      </c>
      <c r="AQ144" s="559" t="s">
        <v>154</v>
      </c>
      <c r="AR144" s="559" t="s">
        <v>154</v>
      </c>
      <c r="AS144" s="487">
        <v>2</v>
      </c>
      <c r="AT144" s="488" t="s">
        <v>5757</v>
      </c>
      <c r="AU144" s="487"/>
      <c r="AV144" s="487"/>
      <c r="AW144" s="487"/>
      <c r="AX144" s="556" t="s">
        <v>5747</v>
      </c>
      <c r="AY144" s="555"/>
      <c r="AZ144" s="555"/>
      <c r="BA144" s="554"/>
      <c r="BB144" s="554"/>
      <c r="BC144" s="554"/>
      <c r="BD144" s="554"/>
      <c r="BE144" s="554">
        <v>1</v>
      </c>
      <c r="BF144" s="553"/>
      <c r="BG144" s="553"/>
      <c r="BH144" s="553"/>
      <c r="BI144" s="553"/>
    </row>
    <row r="145" spans="1:61" s="552" customFormat="1" ht="24" customHeight="1">
      <c r="A145" s="528"/>
      <c r="B145" s="522">
        <v>4750</v>
      </c>
      <c r="C145" s="566" t="s">
        <v>1316</v>
      </c>
      <c r="D145" s="565" t="s">
        <v>912</v>
      </c>
      <c r="E145" s="2371" t="s">
        <v>913</v>
      </c>
      <c r="F145" s="2371"/>
      <c r="G145" s="2371"/>
      <c r="H145" s="527">
        <v>6</v>
      </c>
      <c r="I145" s="526" t="str">
        <f t="shared" si="13"/>
        <v>4750-BLD-006</v>
      </c>
      <c r="J145" s="525" t="s">
        <v>5927</v>
      </c>
      <c r="K145" s="525"/>
      <c r="L145" s="519" t="s">
        <v>5842</v>
      </c>
      <c r="M145" s="519" t="s">
        <v>2969</v>
      </c>
      <c r="N145" s="560">
        <v>1</v>
      </c>
      <c r="O145" s="560" t="s">
        <v>154</v>
      </c>
      <c r="P145" s="564">
        <v>16</v>
      </c>
      <c r="Q145" s="564">
        <v>25</v>
      </c>
      <c r="R145" s="563">
        <v>11</v>
      </c>
      <c r="S145" s="498">
        <f t="shared" si="11"/>
        <v>400</v>
      </c>
      <c r="T145" s="498">
        <f t="shared" si="12"/>
        <v>400</v>
      </c>
      <c r="U145" s="498"/>
      <c r="V145" s="562" t="s">
        <v>5761</v>
      </c>
      <c r="W145" s="559" t="s">
        <v>5744</v>
      </c>
      <c r="X145" s="559" t="s">
        <v>5745</v>
      </c>
      <c r="Y145" s="561" t="s">
        <v>154</v>
      </c>
      <c r="Z145" s="561" t="s">
        <v>154</v>
      </c>
      <c r="AA145" s="561" t="s">
        <v>154</v>
      </c>
      <c r="AB145" s="561" t="s">
        <v>154</v>
      </c>
      <c r="AC145" s="561" t="s">
        <v>154</v>
      </c>
      <c r="AD145" s="560">
        <v>22</v>
      </c>
      <c r="AE145" s="519" t="s">
        <v>5746</v>
      </c>
      <c r="AF145" s="492" t="s">
        <v>5747</v>
      </c>
      <c r="AG145" s="557" t="s">
        <v>154</v>
      </c>
      <c r="AH145" s="557" t="s">
        <v>154</v>
      </c>
      <c r="AI145" s="559" t="s">
        <v>154</v>
      </c>
      <c r="AJ145" s="559" t="s">
        <v>154</v>
      </c>
      <c r="AK145" s="559" t="s">
        <v>154</v>
      </c>
      <c r="AL145" s="492" t="s">
        <v>5747</v>
      </c>
      <c r="AM145" s="559" t="s">
        <v>154</v>
      </c>
      <c r="AN145" s="559" t="s">
        <v>154</v>
      </c>
      <c r="AO145" s="559" t="s">
        <v>3454</v>
      </c>
      <c r="AP145" s="559" t="s">
        <v>154</v>
      </c>
      <c r="AQ145" s="559" t="s">
        <v>154</v>
      </c>
      <c r="AR145" s="559" t="s">
        <v>154</v>
      </c>
      <c r="AS145" s="559"/>
      <c r="AT145" s="567"/>
      <c r="AU145" s="559"/>
      <c r="AV145" s="559"/>
      <c r="AW145" s="559"/>
      <c r="AX145" s="556"/>
      <c r="AY145" s="555"/>
      <c r="AZ145" s="555"/>
      <c r="BA145" s="554"/>
      <c r="BB145" s="554"/>
      <c r="BC145" s="554"/>
      <c r="BD145" s="554"/>
      <c r="BE145" s="554">
        <v>1</v>
      </c>
      <c r="BF145" s="553"/>
      <c r="BG145" s="553"/>
      <c r="BH145" s="553"/>
      <c r="BI145" s="553"/>
    </row>
    <row r="146" spans="1:61" s="552" customFormat="1" ht="24" customHeight="1">
      <c r="A146" s="528"/>
      <c r="B146" s="522">
        <v>4750</v>
      </c>
      <c r="C146" s="566" t="s">
        <v>1316</v>
      </c>
      <c r="D146" s="565" t="s">
        <v>912</v>
      </c>
      <c r="E146" s="2371" t="s">
        <v>913</v>
      </c>
      <c r="F146" s="2371"/>
      <c r="G146" s="2371"/>
      <c r="H146" s="527">
        <v>7</v>
      </c>
      <c r="I146" s="526" t="str">
        <f t="shared" si="13"/>
        <v>4750-BLD-007</v>
      </c>
      <c r="J146" s="525" t="s">
        <v>5928</v>
      </c>
      <c r="K146" s="525"/>
      <c r="L146" s="519" t="s">
        <v>5842</v>
      </c>
      <c r="M146" s="519" t="s">
        <v>2969</v>
      </c>
      <c r="N146" s="560">
        <v>1</v>
      </c>
      <c r="O146" s="560" t="s">
        <v>154</v>
      </c>
      <c r="P146" s="564">
        <v>16</v>
      </c>
      <c r="Q146" s="564">
        <v>25</v>
      </c>
      <c r="R146" s="563">
        <v>11</v>
      </c>
      <c r="S146" s="498">
        <f t="shared" si="11"/>
        <v>400</v>
      </c>
      <c r="T146" s="498">
        <f t="shared" si="12"/>
        <v>400</v>
      </c>
      <c r="U146" s="498"/>
      <c r="V146" s="562" t="s">
        <v>5761</v>
      </c>
      <c r="W146" s="559" t="s">
        <v>5744</v>
      </c>
      <c r="X146" s="559" t="s">
        <v>5745</v>
      </c>
      <c r="Y146" s="561" t="s">
        <v>154</v>
      </c>
      <c r="Z146" s="561" t="s">
        <v>154</v>
      </c>
      <c r="AA146" s="561" t="s">
        <v>154</v>
      </c>
      <c r="AB146" s="561" t="s">
        <v>154</v>
      </c>
      <c r="AC146" s="561" t="s">
        <v>154</v>
      </c>
      <c r="AD146" s="560">
        <v>22</v>
      </c>
      <c r="AE146" s="519" t="s">
        <v>5746</v>
      </c>
      <c r="AF146" s="492" t="s">
        <v>5747</v>
      </c>
      <c r="AG146" s="557" t="s">
        <v>154</v>
      </c>
      <c r="AH146" s="557" t="s">
        <v>154</v>
      </c>
      <c r="AI146" s="559" t="s">
        <v>154</v>
      </c>
      <c r="AJ146" s="559" t="s">
        <v>154</v>
      </c>
      <c r="AK146" s="559" t="s">
        <v>154</v>
      </c>
      <c r="AL146" s="492" t="s">
        <v>5747</v>
      </c>
      <c r="AM146" s="559" t="s">
        <v>154</v>
      </c>
      <c r="AN146" s="559" t="s">
        <v>154</v>
      </c>
      <c r="AO146" s="559" t="s">
        <v>3454</v>
      </c>
      <c r="AP146" s="559" t="s">
        <v>154</v>
      </c>
      <c r="AQ146" s="559" t="s">
        <v>154</v>
      </c>
      <c r="AR146" s="557" t="s">
        <v>154</v>
      </c>
      <c r="AS146" s="557"/>
      <c r="AT146" s="558"/>
      <c r="AU146" s="557"/>
      <c r="AV146" s="557"/>
      <c r="AW146" s="557"/>
      <c r="AX146" s="556"/>
      <c r="AY146" s="555"/>
      <c r="AZ146" s="555"/>
      <c r="BA146" s="554"/>
      <c r="BB146" s="554"/>
      <c r="BC146" s="554"/>
      <c r="BD146" s="554"/>
      <c r="BE146" s="554">
        <v>1</v>
      </c>
      <c r="BF146" s="553"/>
      <c r="BG146" s="553"/>
      <c r="BH146" s="553"/>
      <c r="BI146" s="553"/>
    </row>
    <row r="147" spans="1:61" s="552" customFormat="1" ht="24" customHeight="1" thickBot="1">
      <c r="A147" s="1934"/>
      <c r="B147" s="1935">
        <v>4750</v>
      </c>
      <c r="C147" s="1936" t="s">
        <v>1316</v>
      </c>
      <c r="D147" s="1937" t="s">
        <v>912</v>
      </c>
      <c r="E147" s="2372" t="s">
        <v>913</v>
      </c>
      <c r="F147" s="2372"/>
      <c r="G147" s="2372"/>
      <c r="H147" s="1938">
        <v>8</v>
      </c>
      <c r="I147" s="1939" t="str">
        <f t="shared" si="13"/>
        <v>4750-BLD-008</v>
      </c>
      <c r="J147" s="1940" t="s">
        <v>5929</v>
      </c>
      <c r="K147" s="1940"/>
      <c r="L147" s="1941" t="s">
        <v>5842</v>
      </c>
      <c r="M147" s="1941" t="s">
        <v>2969</v>
      </c>
      <c r="N147" s="1942">
        <v>1</v>
      </c>
      <c r="O147" s="1942" t="s">
        <v>154</v>
      </c>
      <c r="P147" s="1943">
        <v>16</v>
      </c>
      <c r="Q147" s="1943">
        <v>40</v>
      </c>
      <c r="R147" s="1944">
        <v>11</v>
      </c>
      <c r="S147" s="1927">
        <f t="shared" si="11"/>
        <v>640</v>
      </c>
      <c r="T147" s="1927">
        <f t="shared" si="12"/>
        <v>640</v>
      </c>
      <c r="U147" s="1927"/>
      <c r="V147" s="1945" t="s">
        <v>5761</v>
      </c>
      <c r="W147" s="1946" t="s">
        <v>5744</v>
      </c>
      <c r="X147" s="1946" t="s">
        <v>5745</v>
      </c>
      <c r="Y147" s="1947" t="s">
        <v>154</v>
      </c>
      <c r="Z147" s="1947" t="s">
        <v>154</v>
      </c>
      <c r="AA147" s="1947" t="s">
        <v>154</v>
      </c>
      <c r="AB147" s="1947" t="s">
        <v>154</v>
      </c>
      <c r="AC147" s="1947" t="s">
        <v>154</v>
      </c>
      <c r="AD147" s="1942">
        <v>22</v>
      </c>
      <c r="AE147" s="1941" t="s">
        <v>5746</v>
      </c>
      <c r="AF147" s="1931" t="s">
        <v>5747</v>
      </c>
      <c r="AG147" s="1948" t="s">
        <v>154</v>
      </c>
      <c r="AH147" s="1948" t="s">
        <v>154</v>
      </c>
      <c r="AI147" s="1946" t="s">
        <v>154</v>
      </c>
      <c r="AJ147" s="1946" t="s">
        <v>154</v>
      </c>
      <c r="AK147" s="1946" t="s">
        <v>154</v>
      </c>
      <c r="AL147" s="1931" t="s">
        <v>5747</v>
      </c>
      <c r="AM147" s="1946" t="s">
        <v>154</v>
      </c>
      <c r="AN147" s="1946" t="s">
        <v>154</v>
      </c>
      <c r="AO147" s="1946" t="s">
        <v>3454</v>
      </c>
      <c r="AP147" s="1946" t="s">
        <v>5750</v>
      </c>
      <c r="AQ147" s="1946" t="s">
        <v>154</v>
      </c>
      <c r="AR147" s="1948" t="s">
        <v>154</v>
      </c>
      <c r="AS147" s="487">
        <v>2</v>
      </c>
      <c r="AT147" s="488" t="s">
        <v>5757</v>
      </c>
      <c r="AU147" s="487"/>
      <c r="AV147" s="487"/>
      <c r="AW147" s="487"/>
      <c r="AX147" s="556" t="s">
        <v>5747</v>
      </c>
      <c r="AY147" s="555"/>
      <c r="AZ147" s="555"/>
      <c r="BA147" s="554"/>
      <c r="BB147" s="554"/>
      <c r="BC147" s="554"/>
      <c r="BD147" s="554"/>
      <c r="BE147" s="554">
        <v>1</v>
      </c>
      <c r="BF147" s="553"/>
      <c r="BG147" s="553"/>
      <c r="BH147" s="553"/>
      <c r="BI147" s="553" t="s">
        <v>5930</v>
      </c>
    </row>
    <row r="148" spans="1:61" ht="24" customHeight="1" thickTop="1">
      <c r="A148" s="551"/>
      <c r="B148" s="550">
        <v>7432</v>
      </c>
      <c r="C148" s="549" t="s">
        <v>5847</v>
      </c>
      <c r="D148" s="548" t="s">
        <v>1316</v>
      </c>
      <c r="E148" s="2373" t="s">
        <v>2430</v>
      </c>
      <c r="F148" s="2373"/>
      <c r="G148" s="2373"/>
      <c r="H148" s="547">
        <v>1</v>
      </c>
      <c r="I148" s="546" t="str">
        <f t="shared" si="13"/>
        <v>7432-BLD-001</v>
      </c>
      <c r="J148" s="545" t="s">
        <v>5854</v>
      </c>
      <c r="K148" s="545"/>
      <c r="L148" s="535" t="s">
        <v>4158</v>
      </c>
      <c r="M148" s="535" t="s">
        <v>2969</v>
      </c>
      <c r="N148" s="536">
        <v>1</v>
      </c>
      <c r="O148" s="544">
        <v>13</v>
      </c>
      <c r="P148" s="543">
        <v>12</v>
      </c>
      <c r="Q148" s="543">
        <v>60</v>
      </c>
      <c r="R148" s="542">
        <v>8</v>
      </c>
      <c r="S148" s="540">
        <f t="shared" si="11"/>
        <v>720</v>
      </c>
      <c r="T148" s="541">
        <f t="shared" si="12"/>
        <v>720</v>
      </c>
      <c r="U148" s="540" t="s">
        <v>5931</v>
      </c>
      <c r="V148" s="539" t="s">
        <v>5753</v>
      </c>
      <c r="W148" s="533" t="s">
        <v>5787</v>
      </c>
      <c r="X148" s="533" t="s">
        <v>5745</v>
      </c>
      <c r="Y148" s="538" t="s">
        <v>5747</v>
      </c>
      <c r="Z148" s="538" t="s">
        <v>5747</v>
      </c>
      <c r="AA148" s="538" t="s">
        <v>5747</v>
      </c>
      <c r="AB148" s="537" t="s">
        <v>154</v>
      </c>
      <c r="AC148" s="537" t="s">
        <v>154</v>
      </c>
      <c r="AD148" s="536">
        <v>22</v>
      </c>
      <c r="AE148" s="535" t="s">
        <v>5746</v>
      </c>
      <c r="AF148" s="533" t="s">
        <v>154</v>
      </c>
      <c r="AG148" s="532" t="s">
        <v>154</v>
      </c>
      <c r="AH148" s="533" t="s">
        <v>5754</v>
      </c>
      <c r="AI148" s="533" t="s">
        <v>5755</v>
      </c>
      <c r="AJ148" s="533" t="s">
        <v>5754</v>
      </c>
      <c r="AK148" s="533" t="s">
        <v>154</v>
      </c>
      <c r="AL148" s="533" t="s">
        <v>154</v>
      </c>
      <c r="AM148" s="533" t="s">
        <v>154</v>
      </c>
      <c r="AN148" s="534" t="s">
        <v>5747</v>
      </c>
      <c r="AO148" s="533" t="s">
        <v>2872</v>
      </c>
      <c r="AP148" s="533" t="s">
        <v>154</v>
      </c>
      <c r="AQ148" s="533" t="s">
        <v>154</v>
      </c>
      <c r="AR148" s="532" t="s">
        <v>154</v>
      </c>
      <c r="AS148" s="530"/>
      <c r="AT148" s="531"/>
      <c r="AU148" s="530"/>
      <c r="AV148" s="530"/>
      <c r="AW148" s="530"/>
      <c r="AX148" s="486"/>
      <c r="AY148" s="486"/>
      <c r="AZ148" s="486"/>
      <c r="BI148" s="485" t="s">
        <v>5849</v>
      </c>
    </row>
    <row r="149" spans="1:61" ht="24" customHeight="1">
      <c r="A149" s="507"/>
      <c r="B149" s="506">
        <v>7432</v>
      </c>
      <c r="C149" s="505" t="s">
        <v>5847</v>
      </c>
      <c r="D149" s="504" t="s">
        <v>1316</v>
      </c>
      <c r="E149" s="2369" t="s">
        <v>2430</v>
      </c>
      <c r="F149" s="2369"/>
      <c r="G149" s="2369"/>
      <c r="H149" s="503">
        <v>3</v>
      </c>
      <c r="I149" s="502" t="str">
        <f t="shared" si="13"/>
        <v>7432-BLD-003</v>
      </c>
      <c r="J149" s="501" t="s">
        <v>5857</v>
      </c>
      <c r="K149" s="501"/>
      <c r="L149" s="493" t="s">
        <v>4158</v>
      </c>
      <c r="M149" s="493" t="s">
        <v>2969</v>
      </c>
      <c r="N149" s="494">
        <v>1</v>
      </c>
      <c r="O149" s="529">
        <v>30</v>
      </c>
      <c r="P149" s="500">
        <v>12</v>
      </c>
      <c r="Q149" s="500">
        <v>60</v>
      </c>
      <c r="R149" s="499">
        <v>8</v>
      </c>
      <c r="S149" s="497">
        <f t="shared" si="11"/>
        <v>720</v>
      </c>
      <c r="T149" s="498">
        <f t="shared" si="12"/>
        <v>720</v>
      </c>
      <c r="U149" s="497" t="s">
        <v>5859</v>
      </c>
      <c r="V149" s="496" t="s">
        <v>5753</v>
      </c>
      <c r="W149" s="489" t="s">
        <v>5787</v>
      </c>
      <c r="X149" s="489" t="s">
        <v>5745</v>
      </c>
      <c r="Y149" s="495" t="s">
        <v>154</v>
      </c>
      <c r="Z149" s="495" t="s">
        <v>154</v>
      </c>
      <c r="AA149" s="492" t="s">
        <v>5747</v>
      </c>
      <c r="AB149" s="495" t="s">
        <v>154</v>
      </c>
      <c r="AC149" s="495" t="s">
        <v>154</v>
      </c>
      <c r="AD149" s="494">
        <v>22</v>
      </c>
      <c r="AE149" s="493" t="s">
        <v>5746</v>
      </c>
      <c r="AF149" s="489" t="s">
        <v>154</v>
      </c>
      <c r="AG149" s="489" t="s">
        <v>154</v>
      </c>
      <c r="AH149" s="489" t="s">
        <v>154</v>
      </c>
      <c r="AI149" s="489" t="s">
        <v>5755</v>
      </c>
      <c r="AJ149" s="489" t="s">
        <v>154</v>
      </c>
      <c r="AK149" s="489" t="s">
        <v>154</v>
      </c>
      <c r="AL149" s="489" t="s">
        <v>154</v>
      </c>
      <c r="AM149" s="491" t="s">
        <v>154</v>
      </c>
      <c r="AN149" s="490" t="s">
        <v>5747</v>
      </c>
      <c r="AO149" s="489" t="s">
        <v>2872</v>
      </c>
      <c r="AP149" s="489" t="s">
        <v>154</v>
      </c>
      <c r="AQ149" s="489" t="s">
        <v>154</v>
      </c>
      <c r="AR149" s="489" t="s">
        <v>154</v>
      </c>
      <c r="AS149" s="487"/>
      <c r="AT149" s="488"/>
      <c r="AU149" s="487"/>
      <c r="AV149" s="487"/>
      <c r="AW149" s="487"/>
      <c r="AX149" s="486"/>
      <c r="AY149" s="486"/>
      <c r="AZ149" s="486"/>
      <c r="BI149" s="485" t="s">
        <v>5849</v>
      </c>
    </row>
    <row r="150" spans="1:61" ht="24" customHeight="1">
      <c r="A150" s="507"/>
      <c r="B150" s="506">
        <v>7432</v>
      </c>
      <c r="C150" s="505" t="s">
        <v>5847</v>
      </c>
      <c r="D150" s="504" t="s">
        <v>1316</v>
      </c>
      <c r="E150" s="2369" t="s">
        <v>2430</v>
      </c>
      <c r="F150" s="2369"/>
      <c r="G150" s="2369"/>
      <c r="H150" s="503">
        <v>4</v>
      </c>
      <c r="I150" s="502" t="str">
        <f t="shared" si="13"/>
        <v>7432-BLD-004</v>
      </c>
      <c r="J150" s="501" t="s">
        <v>5932</v>
      </c>
      <c r="K150" s="501"/>
      <c r="L150" s="493" t="s">
        <v>4158</v>
      </c>
      <c r="M150" s="493" t="s">
        <v>2969</v>
      </c>
      <c r="N150" s="494">
        <v>1</v>
      </c>
      <c r="O150" s="529">
        <v>9</v>
      </c>
      <c r="P150" s="500">
        <v>12</v>
      </c>
      <c r="Q150" s="500">
        <v>32</v>
      </c>
      <c r="R150" s="499">
        <v>8</v>
      </c>
      <c r="S150" s="497">
        <f t="shared" si="11"/>
        <v>384</v>
      </c>
      <c r="T150" s="498">
        <f t="shared" si="12"/>
        <v>384</v>
      </c>
      <c r="U150" s="497" t="s">
        <v>5791</v>
      </c>
      <c r="V150" s="496" t="s">
        <v>5753</v>
      </c>
      <c r="W150" s="489" t="s">
        <v>5787</v>
      </c>
      <c r="X150" s="489" t="s">
        <v>5745</v>
      </c>
      <c r="Y150" s="495" t="s">
        <v>154</v>
      </c>
      <c r="Z150" s="492" t="s">
        <v>5747</v>
      </c>
      <c r="AA150" s="495" t="s">
        <v>154</v>
      </c>
      <c r="AB150" s="495" t="s">
        <v>154</v>
      </c>
      <c r="AC150" s="495" t="s">
        <v>154</v>
      </c>
      <c r="AD150" s="494">
        <v>22</v>
      </c>
      <c r="AE150" s="493" t="s">
        <v>5746</v>
      </c>
      <c r="AF150" s="489" t="s">
        <v>154</v>
      </c>
      <c r="AG150" s="489" t="s">
        <v>154</v>
      </c>
      <c r="AH150" s="489" t="s">
        <v>5754</v>
      </c>
      <c r="AI150" s="489" t="s">
        <v>154</v>
      </c>
      <c r="AJ150" s="489" t="s">
        <v>5754</v>
      </c>
      <c r="AK150" s="489" t="s">
        <v>154</v>
      </c>
      <c r="AL150" s="489" t="s">
        <v>154</v>
      </c>
      <c r="AM150" s="491" t="s">
        <v>154</v>
      </c>
      <c r="AN150" s="490" t="s">
        <v>5747</v>
      </c>
      <c r="AO150" s="489" t="s">
        <v>2872</v>
      </c>
      <c r="AP150" s="489" t="s">
        <v>154</v>
      </c>
      <c r="AQ150" s="489" t="s">
        <v>154</v>
      </c>
      <c r="AR150" s="489" t="s">
        <v>154</v>
      </c>
      <c r="AS150" s="487"/>
      <c r="AT150" s="488"/>
      <c r="AU150" s="487"/>
      <c r="AV150" s="487"/>
      <c r="AW150" s="487"/>
      <c r="AX150" s="486"/>
      <c r="AY150" s="486"/>
      <c r="AZ150" s="486"/>
      <c r="BI150" s="485" t="s">
        <v>5849</v>
      </c>
    </row>
    <row r="151" spans="1:61" ht="24" customHeight="1">
      <c r="A151" s="507"/>
      <c r="B151" s="506">
        <v>7432</v>
      </c>
      <c r="C151" s="505" t="s">
        <v>5847</v>
      </c>
      <c r="D151" s="504" t="s">
        <v>1316</v>
      </c>
      <c r="E151" s="2369" t="s">
        <v>2430</v>
      </c>
      <c r="F151" s="2369"/>
      <c r="G151" s="2369"/>
      <c r="H151" s="503">
        <v>5</v>
      </c>
      <c r="I151" s="502" t="str">
        <f t="shared" si="13"/>
        <v>7432-BLD-005</v>
      </c>
      <c r="J151" s="501" t="s">
        <v>5858</v>
      </c>
      <c r="K151" s="501"/>
      <c r="L151" s="493" t="s">
        <v>4158</v>
      </c>
      <c r="M151" s="493" t="s">
        <v>2969</v>
      </c>
      <c r="N151" s="494">
        <v>1</v>
      </c>
      <c r="O151" s="529">
        <v>30</v>
      </c>
      <c r="P151" s="500">
        <v>12</v>
      </c>
      <c r="Q151" s="500">
        <v>60</v>
      </c>
      <c r="R151" s="499">
        <v>8</v>
      </c>
      <c r="S151" s="497">
        <f t="shared" si="11"/>
        <v>720</v>
      </c>
      <c r="T151" s="498">
        <f t="shared" si="12"/>
        <v>720</v>
      </c>
      <c r="U151" s="497" t="s">
        <v>5859</v>
      </c>
      <c r="V151" s="496" t="s">
        <v>5753</v>
      </c>
      <c r="W151" s="489" t="s">
        <v>5787</v>
      </c>
      <c r="X151" s="489" t="s">
        <v>5745</v>
      </c>
      <c r="Y151" s="495" t="s">
        <v>154</v>
      </c>
      <c r="Z151" s="495" t="s">
        <v>154</v>
      </c>
      <c r="AA151" s="492" t="s">
        <v>5747</v>
      </c>
      <c r="AB151" s="495" t="s">
        <v>154</v>
      </c>
      <c r="AC151" s="495" t="s">
        <v>154</v>
      </c>
      <c r="AD151" s="494">
        <v>22</v>
      </c>
      <c r="AE151" s="493" t="s">
        <v>5746</v>
      </c>
      <c r="AF151" s="489" t="s">
        <v>154</v>
      </c>
      <c r="AG151" s="489" t="s">
        <v>154</v>
      </c>
      <c r="AH151" s="489" t="s">
        <v>154</v>
      </c>
      <c r="AI151" s="489" t="s">
        <v>5755</v>
      </c>
      <c r="AJ151" s="489" t="s">
        <v>154</v>
      </c>
      <c r="AK151" s="489" t="s">
        <v>154</v>
      </c>
      <c r="AL151" s="489" t="s">
        <v>154</v>
      </c>
      <c r="AM151" s="491" t="s">
        <v>154</v>
      </c>
      <c r="AN151" s="490" t="s">
        <v>5747</v>
      </c>
      <c r="AO151" s="489" t="s">
        <v>2872</v>
      </c>
      <c r="AP151" s="489" t="s">
        <v>154</v>
      </c>
      <c r="AQ151" s="489" t="s">
        <v>154</v>
      </c>
      <c r="AR151" s="489" t="s">
        <v>154</v>
      </c>
      <c r="AS151" s="487"/>
      <c r="AT151" s="488"/>
      <c r="AU151" s="487"/>
      <c r="AV151" s="487"/>
      <c r="AW151" s="487"/>
      <c r="AX151" s="486"/>
      <c r="AY151" s="486"/>
      <c r="AZ151" s="486"/>
      <c r="BI151" s="485" t="s">
        <v>5849</v>
      </c>
    </row>
    <row r="152" spans="1:61" ht="24" customHeight="1">
      <c r="A152" s="507"/>
      <c r="B152" s="506">
        <v>7432</v>
      </c>
      <c r="C152" s="505" t="s">
        <v>5847</v>
      </c>
      <c r="D152" s="504" t="s">
        <v>1316</v>
      </c>
      <c r="E152" s="2369" t="s">
        <v>2430</v>
      </c>
      <c r="F152" s="2369"/>
      <c r="G152" s="2369"/>
      <c r="H152" s="503">
        <v>6</v>
      </c>
      <c r="I152" s="502" t="str">
        <f t="shared" si="13"/>
        <v>7432-BLD-006</v>
      </c>
      <c r="J152" s="501" t="s">
        <v>5860</v>
      </c>
      <c r="K152" s="501"/>
      <c r="L152" s="493" t="s">
        <v>4158</v>
      </c>
      <c r="M152" s="493" t="s">
        <v>2969</v>
      </c>
      <c r="N152" s="494">
        <v>1</v>
      </c>
      <c r="O152" s="529">
        <v>30</v>
      </c>
      <c r="P152" s="500">
        <v>12</v>
      </c>
      <c r="Q152" s="500">
        <v>60</v>
      </c>
      <c r="R152" s="499">
        <v>8</v>
      </c>
      <c r="S152" s="497">
        <f t="shared" si="11"/>
        <v>720</v>
      </c>
      <c r="T152" s="498">
        <f t="shared" si="12"/>
        <v>720</v>
      </c>
      <c r="U152" s="497" t="s">
        <v>5859</v>
      </c>
      <c r="V152" s="496" t="s">
        <v>5753</v>
      </c>
      <c r="W152" s="489" t="s">
        <v>5787</v>
      </c>
      <c r="X152" s="489" t="s">
        <v>5745</v>
      </c>
      <c r="Y152" s="495" t="s">
        <v>154</v>
      </c>
      <c r="Z152" s="495" t="s">
        <v>154</v>
      </c>
      <c r="AA152" s="492" t="s">
        <v>5747</v>
      </c>
      <c r="AB152" s="495" t="s">
        <v>154</v>
      </c>
      <c r="AC152" s="495" t="s">
        <v>154</v>
      </c>
      <c r="AD152" s="494">
        <v>22</v>
      </c>
      <c r="AE152" s="493" t="s">
        <v>5746</v>
      </c>
      <c r="AF152" s="489" t="s">
        <v>154</v>
      </c>
      <c r="AG152" s="489" t="s">
        <v>154</v>
      </c>
      <c r="AH152" s="489" t="s">
        <v>154</v>
      </c>
      <c r="AI152" s="489" t="s">
        <v>5755</v>
      </c>
      <c r="AJ152" s="489" t="s">
        <v>154</v>
      </c>
      <c r="AK152" s="489" t="s">
        <v>154</v>
      </c>
      <c r="AL152" s="489" t="s">
        <v>154</v>
      </c>
      <c r="AM152" s="491" t="s">
        <v>154</v>
      </c>
      <c r="AN152" s="490" t="s">
        <v>5747</v>
      </c>
      <c r="AO152" s="489" t="s">
        <v>2872</v>
      </c>
      <c r="AP152" s="489" t="s">
        <v>154</v>
      </c>
      <c r="AQ152" s="489" t="s">
        <v>154</v>
      </c>
      <c r="AR152" s="489" t="s">
        <v>154</v>
      </c>
      <c r="AS152" s="487"/>
      <c r="AT152" s="488"/>
      <c r="AU152" s="487"/>
      <c r="AV152" s="487"/>
      <c r="AW152" s="487"/>
      <c r="AX152" s="486"/>
      <c r="AY152" s="486"/>
      <c r="AZ152" s="486"/>
      <c r="BI152" s="485" t="s">
        <v>5849</v>
      </c>
    </row>
    <row r="153" spans="1:61" ht="24" customHeight="1">
      <c r="A153" s="507"/>
      <c r="B153" s="506">
        <v>7432</v>
      </c>
      <c r="C153" s="505" t="s">
        <v>5847</v>
      </c>
      <c r="D153" s="504" t="s">
        <v>1316</v>
      </c>
      <c r="E153" s="2369" t="s">
        <v>2430</v>
      </c>
      <c r="F153" s="2369"/>
      <c r="G153" s="2369"/>
      <c r="H153" s="503">
        <v>7</v>
      </c>
      <c r="I153" s="502" t="str">
        <f t="shared" si="13"/>
        <v>7432-BLD-007</v>
      </c>
      <c r="J153" s="501" t="s">
        <v>5861</v>
      </c>
      <c r="K153" s="501"/>
      <c r="L153" s="493" t="s">
        <v>4158</v>
      </c>
      <c r="M153" s="493" t="s">
        <v>2969</v>
      </c>
      <c r="N153" s="494">
        <v>1</v>
      </c>
      <c r="O153" s="529">
        <v>9</v>
      </c>
      <c r="P153" s="500">
        <v>12</v>
      </c>
      <c r="Q153" s="500">
        <v>32</v>
      </c>
      <c r="R153" s="499">
        <v>8</v>
      </c>
      <c r="S153" s="497">
        <f t="shared" si="11"/>
        <v>384</v>
      </c>
      <c r="T153" s="498">
        <f t="shared" si="12"/>
        <v>384</v>
      </c>
      <c r="U153" s="497" t="s">
        <v>5791</v>
      </c>
      <c r="V153" s="496" t="s">
        <v>5753</v>
      </c>
      <c r="W153" s="489" t="s">
        <v>5787</v>
      </c>
      <c r="X153" s="489" t="s">
        <v>5745</v>
      </c>
      <c r="Y153" s="495" t="s">
        <v>154</v>
      </c>
      <c r="Z153" s="492" t="s">
        <v>5747</v>
      </c>
      <c r="AA153" s="495" t="s">
        <v>154</v>
      </c>
      <c r="AB153" s="495" t="s">
        <v>154</v>
      </c>
      <c r="AC153" s="495" t="s">
        <v>154</v>
      </c>
      <c r="AD153" s="494">
        <v>22</v>
      </c>
      <c r="AE153" s="493" t="s">
        <v>5746</v>
      </c>
      <c r="AF153" s="489" t="s">
        <v>154</v>
      </c>
      <c r="AG153" s="489" t="s">
        <v>154</v>
      </c>
      <c r="AH153" s="489" t="s">
        <v>5754</v>
      </c>
      <c r="AI153" s="489" t="s">
        <v>154</v>
      </c>
      <c r="AJ153" s="489" t="s">
        <v>5754</v>
      </c>
      <c r="AK153" s="489" t="s">
        <v>154</v>
      </c>
      <c r="AL153" s="489" t="s">
        <v>154</v>
      </c>
      <c r="AM153" s="491" t="s">
        <v>154</v>
      </c>
      <c r="AN153" s="490" t="s">
        <v>5747</v>
      </c>
      <c r="AO153" s="489" t="s">
        <v>2872</v>
      </c>
      <c r="AP153" s="489" t="s">
        <v>154</v>
      </c>
      <c r="AQ153" s="489" t="s">
        <v>154</v>
      </c>
      <c r="AR153" s="489" t="s">
        <v>154</v>
      </c>
      <c r="AS153" s="487"/>
      <c r="AT153" s="488"/>
      <c r="AU153" s="487"/>
      <c r="AV153" s="487"/>
      <c r="AW153" s="487"/>
      <c r="AX153" s="486"/>
      <c r="AY153" s="486"/>
      <c r="AZ153" s="486"/>
      <c r="BI153" s="485" t="s">
        <v>5849</v>
      </c>
    </row>
    <row r="154" spans="1:61" ht="24" customHeight="1">
      <c r="A154" s="507"/>
      <c r="B154" s="506">
        <v>7432</v>
      </c>
      <c r="C154" s="505" t="s">
        <v>5847</v>
      </c>
      <c r="D154" s="504" t="s">
        <v>1316</v>
      </c>
      <c r="E154" s="2369" t="s">
        <v>2430</v>
      </c>
      <c r="F154" s="2369"/>
      <c r="G154" s="2369"/>
      <c r="H154" s="503">
        <v>8</v>
      </c>
      <c r="I154" s="502" t="str">
        <f t="shared" si="13"/>
        <v>7432-BLD-008</v>
      </c>
      <c r="J154" s="501" t="s">
        <v>5862</v>
      </c>
      <c r="K154" s="501" t="s">
        <v>5933</v>
      </c>
      <c r="L154" s="493" t="s">
        <v>4158</v>
      </c>
      <c r="M154" s="493" t="s">
        <v>2969</v>
      </c>
      <c r="N154" s="494">
        <v>1</v>
      </c>
      <c r="O154" s="529">
        <v>9</v>
      </c>
      <c r="P154" s="500">
        <v>12</v>
      </c>
      <c r="Q154" s="500">
        <v>32</v>
      </c>
      <c r="R154" s="499">
        <v>8</v>
      </c>
      <c r="S154" s="497">
        <f t="shared" si="11"/>
        <v>384</v>
      </c>
      <c r="T154" s="498">
        <f t="shared" si="12"/>
        <v>384</v>
      </c>
      <c r="U154" s="497" t="s">
        <v>5791</v>
      </c>
      <c r="V154" s="496" t="s">
        <v>5753</v>
      </c>
      <c r="W154" s="489" t="s">
        <v>5787</v>
      </c>
      <c r="X154" s="489" t="s">
        <v>5745</v>
      </c>
      <c r="Y154" s="495" t="s">
        <v>154</v>
      </c>
      <c r="Z154" s="492" t="s">
        <v>5747</v>
      </c>
      <c r="AA154" s="495" t="s">
        <v>154</v>
      </c>
      <c r="AB154" s="495" t="s">
        <v>154</v>
      </c>
      <c r="AC154" s="495" t="s">
        <v>154</v>
      </c>
      <c r="AD154" s="494">
        <v>22</v>
      </c>
      <c r="AE154" s="493" t="s">
        <v>5746</v>
      </c>
      <c r="AF154" s="489" t="s">
        <v>154</v>
      </c>
      <c r="AG154" s="489" t="s">
        <v>154</v>
      </c>
      <c r="AH154" s="489" t="s">
        <v>5754</v>
      </c>
      <c r="AI154" s="489" t="s">
        <v>154</v>
      </c>
      <c r="AJ154" s="489" t="s">
        <v>5754</v>
      </c>
      <c r="AK154" s="489" t="s">
        <v>154</v>
      </c>
      <c r="AL154" s="489" t="s">
        <v>154</v>
      </c>
      <c r="AM154" s="491" t="s">
        <v>154</v>
      </c>
      <c r="AN154" s="490" t="s">
        <v>5747</v>
      </c>
      <c r="AO154" s="489" t="s">
        <v>2872</v>
      </c>
      <c r="AP154" s="489" t="s">
        <v>154</v>
      </c>
      <c r="AQ154" s="489" t="s">
        <v>154</v>
      </c>
      <c r="AR154" s="489" t="s">
        <v>154</v>
      </c>
      <c r="AS154" s="487"/>
      <c r="AT154" s="488"/>
      <c r="AU154" s="487"/>
      <c r="AV154" s="487"/>
      <c r="AW154" s="487"/>
      <c r="AX154" s="486"/>
      <c r="AY154" s="486"/>
      <c r="AZ154" s="486"/>
      <c r="BI154" s="485"/>
    </row>
    <row r="155" spans="1:61" ht="24" customHeight="1">
      <c r="A155" s="507"/>
      <c r="B155" s="506">
        <v>7432</v>
      </c>
      <c r="C155" s="505" t="s">
        <v>5847</v>
      </c>
      <c r="D155" s="504" t="s">
        <v>1316</v>
      </c>
      <c r="E155" s="2369" t="s">
        <v>2430</v>
      </c>
      <c r="F155" s="2369"/>
      <c r="G155" s="2369"/>
      <c r="H155" s="503">
        <v>9</v>
      </c>
      <c r="I155" s="502" t="str">
        <f t="shared" si="13"/>
        <v>7432-BLD-009</v>
      </c>
      <c r="J155" s="501" t="s">
        <v>5863</v>
      </c>
      <c r="K155" s="501"/>
      <c r="L155" s="493" t="s">
        <v>4158</v>
      </c>
      <c r="M155" s="493" t="s">
        <v>2969</v>
      </c>
      <c r="N155" s="494">
        <v>1</v>
      </c>
      <c r="O155" s="529">
        <v>10</v>
      </c>
      <c r="P155" s="500">
        <v>8</v>
      </c>
      <c r="Q155" s="500">
        <v>20</v>
      </c>
      <c r="R155" s="499">
        <v>8</v>
      </c>
      <c r="S155" s="497">
        <f t="shared" si="11"/>
        <v>160</v>
      </c>
      <c r="T155" s="498">
        <f t="shared" si="12"/>
        <v>160</v>
      </c>
      <c r="U155" s="497" t="s">
        <v>5859</v>
      </c>
      <c r="V155" s="496" t="s">
        <v>5743</v>
      </c>
      <c r="W155" s="489" t="s">
        <v>5744</v>
      </c>
      <c r="X155" s="489" t="s">
        <v>5745</v>
      </c>
      <c r="Y155" s="495" t="s">
        <v>154</v>
      </c>
      <c r="Z155" s="495" t="s">
        <v>154</v>
      </c>
      <c r="AA155" s="495" t="s">
        <v>154</v>
      </c>
      <c r="AB155" s="495" t="s">
        <v>154</v>
      </c>
      <c r="AC155" s="495" t="s">
        <v>154</v>
      </c>
      <c r="AD155" s="494">
        <v>22</v>
      </c>
      <c r="AE155" s="495" t="s">
        <v>5746</v>
      </c>
      <c r="AF155" s="492" t="s">
        <v>5747</v>
      </c>
      <c r="AG155" s="491" t="s">
        <v>154</v>
      </c>
      <c r="AH155" s="491" t="s">
        <v>154</v>
      </c>
      <c r="AI155" s="489" t="s">
        <v>154</v>
      </c>
      <c r="AJ155" s="489" t="s">
        <v>154</v>
      </c>
      <c r="AK155" s="489" t="s">
        <v>154</v>
      </c>
      <c r="AL155" s="491" t="s">
        <v>154</v>
      </c>
      <c r="AM155" s="491" t="s">
        <v>154</v>
      </c>
      <c r="AN155" s="491" t="s">
        <v>154</v>
      </c>
      <c r="AO155" s="489" t="s">
        <v>2872</v>
      </c>
      <c r="AP155" s="489" t="s">
        <v>154</v>
      </c>
      <c r="AQ155" s="489" t="s">
        <v>154</v>
      </c>
      <c r="AR155" s="489" t="s">
        <v>154</v>
      </c>
      <c r="AS155" s="487"/>
      <c r="AT155" s="488"/>
      <c r="AU155" s="487"/>
      <c r="AV155" s="487"/>
      <c r="AW155" s="487"/>
      <c r="AX155" s="486"/>
      <c r="AY155" s="486"/>
      <c r="AZ155" s="486"/>
      <c r="BI155" s="485" t="s">
        <v>5849</v>
      </c>
    </row>
    <row r="156" spans="1:61" s="508" customFormat="1" ht="24" customHeight="1">
      <c r="A156" s="528"/>
      <c r="B156" s="522">
        <v>7434</v>
      </c>
      <c r="C156" s="505" t="s">
        <v>5847</v>
      </c>
      <c r="D156" s="504" t="s">
        <v>1316</v>
      </c>
      <c r="E156" s="2369" t="s">
        <v>2430</v>
      </c>
      <c r="F156" s="2369"/>
      <c r="G156" s="2369"/>
      <c r="H156" s="527">
        <v>1</v>
      </c>
      <c r="I156" s="526" t="str">
        <f t="shared" si="13"/>
        <v>7434-BLD-001</v>
      </c>
      <c r="J156" s="525" t="s">
        <v>5864</v>
      </c>
      <c r="K156" s="524"/>
      <c r="L156" s="519" t="s">
        <v>5865</v>
      </c>
      <c r="M156" s="523"/>
      <c r="N156" s="522">
        <v>1</v>
      </c>
      <c r="O156" s="522" t="s">
        <v>5765</v>
      </c>
      <c r="P156" s="521"/>
      <c r="Q156" s="521"/>
      <c r="R156" s="521"/>
      <c r="S156" s="520"/>
      <c r="T156" s="520"/>
      <c r="U156" s="520"/>
      <c r="V156" s="519" t="s">
        <v>5866</v>
      </c>
      <c r="W156" s="518" t="s">
        <v>5744</v>
      </c>
      <c r="X156" s="518" t="s">
        <v>5836</v>
      </c>
      <c r="Y156" s="517"/>
      <c r="Z156" s="517"/>
      <c r="AA156" s="517"/>
      <c r="AB156" s="517"/>
      <c r="AC156" s="517"/>
      <c r="AD156" s="516"/>
      <c r="AE156" s="515"/>
      <c r="AF156" s="514"/>
      <c r="AG156" s="512"/>
      <c r="AH156" s="512"/>
      <c r="AI156" s="514"/>
      <c r="AJ156" s="514"/>
      <c r="AK156" s="514"/>
      <c r="AL156" s="514"/>
      <c r="AM156" s="514"/>
      <c r="AN156" s="514"/>
      <c r="AO156" s="514"/>
      <c r="AP156" s="512"/>
      <c r="AQ156" s="514"/>
      <c r="AR156" s="512"/>
      <c r="AS156" s="512"/>
      <c r="AT156" s="513"/>
      <c r="AU156" s="512"/>
      <c r="AV156" s="512"/>
      <c r="AW156" s="512"/>
      <c r="AX156" s="511"/>
      <c r="AY156" s="511"/>
      <c r="AZ156" s="511"/>
      <c r="BA156" s="510"/>
      <c r="BB156" s="510"/>
      <c r="BC156" s="510"/>
      <c r="BD156" s="510"/>
      <c r="BE156" s="510"/>
      <c r="BF156" s="510"/>
      <c r="BG156" s="510"/>
      <c r="BH156" s="510"/>
      <c r="BI156" s="509"/>
    </row>
    <row r="157" spans="1:61" ht="24" customHeight="1">
      <c r="A157" s="507"/>
      <c r="B157" s="506">
        <v>7451</v>
      </c>
      <c r="C157" s="505" t="s">
        <v>5847</v>
      </c>
      <c r="D157" s="504" t="s">
        <v>1316</v>
      </c>
      <c r="E157" s="2369" t="s">
        <v>2569</v>
      </c>
      <c r="F157" s="2369"/>
      <c r="G157" s="2369"/>
      <c r="H157" s="503">
        <v>1</v>
      </c>
      <c r="I157" s="502" t="str">
        <f t="shared" si="13"/>
        <v>7451-BLD-001</v>
      </c>
      <c r="J157" s="501" t="s">
        <v>5873</v>
      </c>
      <c r="K157" s="501"/>
      <c r="L157" s="493" t="s">
        <v>5025</v>
      </c>
      <c r="M157" s="493" t="s">
        <v>2969</v>
      </c>
      <c r="N157" s="494">
        <v>1</v>
      </c>
      <c r="O157" s="494">
        <v>5</v>
      </c>
      <c r="P157" s="500">
        <v>60</v>
      </c>
      <c r="Q157" s="500">
        <v>120</v>
      </c>
      <c r="R157" s="499">
        <v>20</v>
      </c>
      <c r="S157" s="497">
        <f>PRODUCT(Q157,P157)</f>
        <v>7200</v>
      </c>
      <c r="T157" s="498">
        <f>S157</f>
        <v>7200</v>
      </c>
      <c r="U157" s="497" t="s">
        <v>5791</v>
      </c>
      <c r="V157" s="496" t="s">
        <v>5792</v>
      </c>
      <c r="W157" s="489" t="s">
        <v>5793</v>
      </c>
      <c r="X157" s="489" t="s">
        <v>5836</v>
      </c>
      <c r="Y157" s="495" t="s">
        <v>154</v>
      </c>
      <c r="Z157" s="495" t="s">
        <v>154</v>
      </c>
      <c r="AA157" s="495" t="s">
        <v>154</v>
      </c>
      <c r="AB157" s="495" t="s">
        <v>154</v>
      </c>
      <c r="AC157" s="495" t="s">
        <v>154</v>
      </c>
      <c r="AD157" s="494">
        <v>22</v>
      </c>
      <c r="AE157" s="493" t="s">
        <v>5756</v>
      </c>
      <c r="AF157" s="492" t="s">
        <v>5747</v>
      </c>
      <c r="AG157" s="491" t="s">
        <v>154</v>
      </c>
      <c r="AH157" s="491" t="s">
        <v>154</v>
      </c>
      <c r="AI157" s="489" t="s">
        <v>154</v>
      </c>
      <c r="AJ157" s="489" t="s">
        <v>154</v>
      </c>
      <c r="AK157" s="489" t="s">
        <v>154</v>
      </c>
      <c r="AL157" s="491" t="s">
        <v>154</v>
      </c>
      <c r="AM157" s="491" t="s">
        <v>154</v>
      </c>
      <c r="AN157" s="490" t="s">
        <v>5747</v>
      </c>
      <c r="AO157" s="489" t="s">
        <v>2872</v>
      </c>
      <c r="AP157" s="489" t="s">
        <v>154</v>
      </c>
      <c r="AQ157" s="489" t="s">
        <v>154</v>
      </c>
      <c r="AR157" s="489" t="s">
        <v>154</v>
      </c>
      <c r="AS157" s="487"/>
      <c r="AT157" s="488"/>
      <c r="AU157" s="487"/>
      <c r="AV157" s="487"/>
      <c r="AW157" s="487"/>
      <c r="AX157" s="486"/>
      <c r="AY157" s="486"/>
      <c r="AZ157" s="486"/>
      <c r="BI157" s="485" t="s">
        <v>5849</v>
      </c>
    </row>
    <row r="158" spans="1:61" s="463" customFormat="1" ht="12" customHeight="1">
      <c r="B158" s="464"/>
      <c r="C158" s="464"/>
      <c r="D158" s="464"/>
      <c r="E158" s="464"/>
      <c r="F158" s="464"/>
      <c r="G158" s="464"/>
      <c r="H158" s="464"/>
      <c r="I158" s="464"/>
      <c r="J158" s="46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464"/>
      <c r="AL158" s="464"/>
      <c r="AM158" s="464"/>
      <c r="AN158" s="464"/>
      <c r="AO158" s="464"/>
      <c r="AP158" s="464"/>
      <c r="AQ158" s="464"/>
      <c r="AR158" s="464"/>
      <c r="AS158" s="465">
        <f>SUBTOTAL(9,AS25:AS157)</f>
        <v>288</v>
      </c>
      <c r="AT158" s="466"/>
      <c r="AU158" s="465"/>
      <c r="AV158" s="465"/>
      <c r="AW158" s="465"/>
      <c r="AX158" s="464"/>
      <c r="AY158" s="464"/>
      <c r="AZ158" s="464"/>
      <c r="BA158" s="464"/>
      <c r="BB158" s="464"/>
      <c r="BC158" s="464"/>
      <c r="BD158" s="464"/>
      <c r="BE158" s="464"/>
      <c r="BF158" s="464"/>
      <c r="BG158" s="464"/>
      <c r="BH158" s="464"/>
      <c r="BI158" s="464"/>
    </row>
    <row r="159" spans="1:61" s="463" customFormat="1" ht="12.75" customHeight="1" thickBot="1">
      <c r="B159" s="464"/>
      <c r="C159" s="464"/>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464"/>
      <c r="AL159" s="464"/>
      <c r="AM159" s="464"/>
      <c r="AN159" s="464"/>
      <c r="AO159" s="464"/>
      <c r="AP159" s="464"/>
      <c r="AQ159" s="464"/>
      <c r="AR159" s="464"/>
      <c r="AS159" s="465"/>
      <c r="AT159" s="466"/>
      <c r="AU159" s="465"/>
      <c r="AV159" s="465"/>
      <c r="AW159" s="465"/>
      <c r="AX159" s="464"/>
      <c r="AY159" s="464"/>
      <c r="AZ159" s="464"/>
      <c r="BA159" s="464"/>
      <c r="BB159" s="464"/>
      <c r="BC159" s="464"/>
      <c r="BD159" s="464"/>
      <c r="BE159" s="464"/>
      <c r="BF159" s="464"/>
      <c r="BG159" s="464"/>
      <c r="BH159" s="464"/>
      <c r="BI159" s="464"/>
    </row>
    <row r="160" spans="1:61" s="463" customFormat="1" ht="35.15" customHeight="1" thickBot="1">
      <c r="A160" s="464"/>
      <c r="B160" s="2370"/>
      <c r="C160" s="2352"/>
      <c r="D160" s="484"/>
      <c r="E160" s="483"/>
      <c r="F160" s="2370"/>
      <c r="G160" s="2351"/>
      <c r="H160" s="2370"/>
      <c r="I160" s="2352"/>
      <c r="J160" s="482"/>
      <c r="K160" s="482"/>
      <c r="L160" s="481"/>
      <c r="N160" s="2360" t="s">
        <v>3477</v>
      </c>
      <c r="O160" s="2361"/>
      <c r="P160" s="2361"/>
      <c r="Q160" s="2361"/>
      <c r="R160" s="2361"/>
      <c r="S160" s="2361"/>
      <c r="T160" s="2361"/>
      <c r="U160" s="2361"/>
      <c r="V160" s="2362"/>
      <c r="W160" s="456"/>
      <c r="X160" s="2363" t="s">
        <v>5934</v>
      </c>
      <c r="Y160" s="2364"/>
      <c r="Z160" s="2364"/>
      <c r="AA160" s="2364"/>
      <c r="AB160" s="2364"/>
      <c r="AC160" s="2365"/>
      <c r="AD160" s="464"/>
      <c r="AE160" s="2363" t="s">
        <v>5935</v>
      </c>
      <c r="AF160" s="2364"/>
      <c r="AG160" s="2364"/>
      <c r="AH160" s="2364"/>
      <c r="AI160" s="2364"/>
      <c r="AJ160" s="2364"/>
      <c r="AK160" s="2365"/>
      <c r="AL160" s="464"/>
      <c r="AM160" s="2363" t="s">
        <v>5936</v>
      </c>
      <c r="AN160" s="2364"/>
      <c r="AO160" s="2364"/>
      <c r="AP160" s="2364"/>
      <c r="AQ160" s="2364"/>
      <c r="AR160" s="2365"/>
      <c r="AS160" s="465"/>
      <c r="AT160" s="466"/>
      <c r="AU160" s="465"/>
      <c r="AV160" s="465"/>
      <c r="AW160" s="465"/>
      <c r="AX160" s="464"/>
      <c r="AY160" s="464"/>
      <c r="AZ160" s="464"/>
      <c r="BA160" s="464"/>
      <c r="BB160" s="464"/>
      <c r="BC160" s="464"/>
      <c r="BD160" s="464"/>
      <c r="BE160" s="464"/>
      <c r="BF160" s="464"/>
      <c r="BG160" s="464"/>
      <c r="BH160" s="464"/>
      <c r="BI160" s="464"/>
    </row>
    <row r="161" spans="1:61" s="463" customFormat="1" ht="35.15" customHeight="1">
      <c r="A161" s="464"/>
      <c r="B161" s="2333"/>
      <c r="C161" s="2346"/>
      <c r="D161" s="477">
        <v>4</v>
      </c>
      <c r="E161" s="476" t="s">
        <v>5937</v>
      </c>
      <c r="F161" s="2335"/>
      <c r="G161" s="2334"/>
      <c r="H161" s="2335"/>
      <c r="I161" s="2334"/>
      <c r="J161" s="475"/>
      <c r="K161" s="475"/>
      <c r="L161" s="481"/>
      <c r="N161" s="2366" t="s">
        <v>5938</v>
      </c>
      <c r="O161" s="2367"/>
      <c r="P161" s="2367"/>
      <c r="Q161" s="2367"/>
      <c r="R161" s="2367"/>
      <c r="S161" s="2367"/>
      <c r="T161" s="2367"/>
      <c r="U161" s="2367"/>
      <c r="V161" s="2368"/>
      <c r="W161" s="456"/>
      <c r="X161" s="474" t="s">
        <v>5792</v>
      </c>
      <c r="Y161" s="2340" t="s">
        <v>5939</v>
      </c>
      <c r="Z161" s="2340"/>
      <c r="AA161" s="2340"/>
      <c r="AB161" s="2340"/>
      <c r="AC161" s="2341"/>
      <c r="AD161" s="464"/>
      <c r="AE161" s="480" t="s">
        <v>5744</v>
      </c>
      <c r="AF161" s="2350" t="s">
        <v>5940</v>
      </c>
      <c r="AG161" s="2351"/>
      <c r="AH161" s="2351"/>
      <c r="AI161" s="2351"/>
      <c r="AJ161" s="2351"/>
      <c r="AK161" s="2352"/>
      <c r="AL161" s="464"/>
      <c r="AM161" s="480" t="s">
        <v>5800</v>
      </c>
      <c r="AN161" s="2350" t="s">
        <v>5941</v>
      </c>
      <c r="AO161" s="2351"/>
      <c r="AP161" s="2351"/>
      <c r="AQ161" s="2351"/>
      <c r="AR161" s="2352"/>
      <c r="AS161" s="465"/>
      <c r="AT161" s="466"/>
      <c r="AU161" s="465"/>
      <c r="AV161" s="465"/>
      <c r="AW161" s="465"/>
      <c r="AX161" s="464"/>
      <c r="AY161" s="464"/>
      <c r="AZ161" s="464"/>
      <c r="BA161" s="464"/>
      <c r="BB161" s="464"/>
      <c r="BC161" s="464"/>
      <c r="BD161" s="464"/>
      <c r="BE161" s="464"/>
      <c r="BF161" s="464"/>
      <c r="BG161" s="464"/>
      <c r="BH161" s="464"/>
      <c r="BI161" s="464"/>
    </row>
    <row r="162" spans="1:61" s="463" customFormat="1" ht="35.15" customHeight="1">
      <c r="B162" s="2333" t="s">
        <v>5942</v>
      </c>
      <c r="C162" s="2346"/>
      <c r="D162" s="479">
        <v>3</v>
      </c>
      <c r="E162" s="476" t="s">
        <v>5592</v>
      </c>
      <c r="F162" s="2353" t="s">
        <v>5593</v>
      </c>
      <c r="G162" s="2354"/>
      <c r="H162" s="2335" t="s">
        <v>5943</v>
      </c>
      <c r="I162" s="2334"/>
      <c r="J162" s="475" t="s">
        <v>5595</v>
      </c>
      <c r="K162" s="475" t="s">
        <v>5596</v>
      </c>
      <c r="L162" s="464"/>
      <c r="N162" s="2355" t="s">
        <v>5944</v>
      </c>
      <c r="O162" s="2356"/>
      <c r="P162" s="2356"/>
      <c r="Q162" s="2356"/>
      <c r="R162" s="2356"/>
      <c r="S162" s="2356"/>
      <c r="T162" s="2356"/>
      <c r="U162" s="2356"/>
      <c r="V162" s="2357"/>
      <c r="W162" s="456"/>
      <c r="X162" s="478" t="s">
        <v>5866</v>
      </c>
      <c r="Y162" s="2358" t="s">
        <v>5945</v>
      </c>
      <c r="Z162" s="2358"/>
      <c r="AA162" s="2358"/>
      <c r="AB162" s="2358"/>
      <c r="AC162" s="2359"/>
      <c r="AD162" s="464"/>
      <c r="AE162" s="474" t="s">
        <v>5946</v>
      </c>
      <c r="AF162" s="2345" t="s">
        <v>5947</v>
      </c>
      <c r="AG162" s="2336"/>
      <c r="AH162" s="2336"/>
      <c r="AI162" s="2336"/>
      <c r="AJ162" s="2336"/>
      <c r="AK162" s="2334"/>
      <c r="AL162" s="464"/>
      <c r="AM162" s="474" t="s">
        <v>5794</v>
      </c>
      <c r="AN162" s="2345" t="s">
        <v>5948</v>
      </c>
      <c r="AO162" s="2336"/>
      <c r="AP162" s="2336"/>
      <c r="AQ162" s="2336"/>
      <c r="AR162" s="2334"/>
      <c r="AS162" s="465"/>
      <c r="AT162" s="466"/>
      <c r="AU162" s="465"/>
      <c r="AV162" s="465"/>
      <c r="AW162" s="465"/>
      <c r="AX162" s="464"/>
      <c r="AY162" s="464"/>
      <c r="AZ162" s="464"/>
      <c r="BA162" s="464"/>
      <c r="BB162" s="464"/>
      <c r="BC162" s="464"/>
      <c r="BD162" s="464"/>
      <c r="BE162" s="464"/>
      <c r="BF162" s="464"/>
      <c r="BG162" s="464"/>
      <c r="BH162" s="464"/>
      <c r="BI162" s="464"/>
    </row>
    <row r="163" spans="1:61" s="463" customFormat="1" ht="35.15" customHeight="1">
      <c r="B163" s="2333" t="s">
        <v>5949</v>
      </c>
      <c r="C163" s="2346"/>
      <c r="D163" s="477">
        <v>2</v>
      </c>
      <c r="E163" s="476" t="s">
        <v>5592</v>
      </c>
      <c r="F163" s="2335" t="s">
        <v>5950</v>
      </c>
      <c r="G163" s="2334"/>
      <c r="H163" s="2335" t="s">
        <v>5943</v>
      </c>
      <c r="I163" s="2334"/>
      <c r="J163" s="475" t="s">
        <v>5595</v>
      </c>
      <c r="K163" s="475" t="s">
        <v>5596</v>
      </c>
      <c r="L163" s="464"/>
      <c r="N163" s="2347"/>
      <c r="O163" s="2348"/>
      <c r="P163" s="2348"/>
      <c r="Q163" s="2348"/>
      <c r="R163" s="2348"/>
      <c r="S163" s="2348"/>
      <c r="T163" s="2348"/>
      <c r="U163" s="2348"/>
      <c r="V163" s="2349"/>
      <c r="W163" s="456"/>
      <c r="X163" s="474" t="s">
        <v>5743</v>
      </c>
      <c r="Y163" s="2340" t="s">
        <v>5951</v>
      </c>
      <c r="Z163" s="2340"/>
      <c r="AA163" s="2340"/>
      <c r="AB163" s="2340"/>
      <c r="AC163" s="2341"/>
      <c r="AD163" s="464"/>
      <c r="AE163" s="474" t="s">
        <v>5793</v>
      </c>
      <c r="AF163" s="2345" t="s">
        <v>5952</v>
      </c>
      <c r="AG163" s="2336"/>
      <c r="AH163" s="2336"/>
      <c r="AI163" s="2336"/>
      <c r="AJ163" s="2336"/>
      <c r="AK163" s="2334"/>
      <c r="AL163" s="464"/>
      <c r="AM163" s="474" t="s">
        <v>5836</v>
      </c>
      <c r="AN163" s="2345" t="s">
        <v>5953</v>
      </c>
      <c r="AO163" s="2336"/>
      <c r="AP163" s="2336"/>
      <c r="AQ163" s="2336"/>
      <c r="AR163" s="2334"/>
      <c r="AS163" s="465"/>
      <c r="AT163" s="466"/>
      <c r="AU163" s="465"/>
      <c r="AV163" s="465"/>
      <c r="AW163" s="465"/>
      <c r="AX163" s="464"/>
      <c r="AY163" s="464"/>
      <c r="AZ163" s="464"/>
      <c r="BA163" s="464"/>
      <c r="BB163" s="464"/>
      <c r="BC163" s="464"/>
      <c r="BD163" s="464"/>
      <c r="BE163" s="464"/>
      <c r="BF163" s="464"/>
      <c r="BG163" s="464"/>
      <c r="BH163" s="464"/>
      <c r="BI163" s="464"/>
    </row>
    <row r="164" spans="1:61" s="463" customFormat="1" ht="35.15" customHeight="1" thickBot="1">
      <c r="B164" s="2333" t="s">
        <v>5954</v>
      </c>
      <c r="C164" s="2346"/>
      <c r="D164" s="477">
        <v>1</v>
      </c>
      <c r="E164" s="476" t="s">
        <v>5592</v>
      </c>
      <c r="F164" s="2335" t="s">
        <v>5950</v>
      </c>
      <c r="G164" s="2334"/>
      <c r="H164" s="2335" t="s">
        <v>5943</v>
      </c>
      <c r="I164" s="2334"/>
      <c r="J164" s="475" t="s">
        <v>5595</v>
      </c>
      <c r="K164" s="475" t="s">
        <v>5596</v>
      </c>
      <c r="L164" s="464"/>
      <c r="N164" s="2347"/>
      <c r="O164" s="2348"/>
      <c r="P164" s="2348"/>
      <c r="Q164" s="2348"/>
      <c r="R164" s="2348"/>
      <c r="S164" s="2348"/>
      <c r="T164" s="2348"/>
      <c r="U164" s="2348"/>
      <c r="V164" s="2349"/>
      <c r="W164" s="456"/>
      <c r="X164" s="474" t="s">
        <v>5753</v>
      </c>
      <c r="Y164" s="2340" t="s">
        <v>5955</v>
      </c>
      <c r="Z164" s="2340"/>
      <c r="AA164" s="2340"/>
      <c r="AB164" s="2340"/>
      <c r="AC164" s="2341"/>
      <c r="AD164" s="464"/>
      <c r="AE164" s="471" t="s">
        <v>5787</v>
      </c>
      <c r="AF164" s="2342" t="s">
        <v>5956</v>
      </c>
      <c r="AG164" s="2343"/>
      <c r="AH164" s="2343"/>
      <c r="AI164" s="2343"/>
      <c r="AJ164" s="2343"/>
      <c r="AK164" s="2344"/>
      <c r="AL164" s="464"/>
      <c r="AM164" s="474" t="s">
        <v>5745</v>
      </c>
      <c r="AN164" s="2345" t="s">
        <v>5957</v>
      </c>
      <c r="AO164" s="2336"/>
      <c r="AP164" s="2336"/>
      <c r="AQ164" s="2336"/>
      <c r="AR164" s="2334"/>
      <c r="AS164" s="465"/>
      <c r="AT164" s="466"/>
      <c r="AU164" s="465"/>
      <c r="AV164" s="465"/>
      <c r="AW164" s="465"/>
      <c r="AX164" s="464"/>
      <c r="AY164" s="464"/>
      <c r="AZ164" s="464"/>
      <c r="BA164" s="464"/>
      <c r="BB164" s="464"/>
      <c r="BC164" s="464"/>
      <c r="BD164" s="464"/>
      <c r="BE164" s="464"/>
      <c r="BF164" s="464"/>
      <c r="BG164" s="464"/>
      <c r="BH164" s="464"/>
      <c r="BI164" s="464"/>
    </row>
    <row r="165" spans="1:61" s="463" customFormat="1" ht="35.15" customHeight="1" thickBot="1">
      <c r="B165" s="2333" t="s">
        <v>5958</v>
      </c>
      <c r="C165" s="2334"/>
      <c r="D165" s="477">
        <v>0</v>
      </c>
      <c r="E165" s="476" t="s">
        <v>5592</v>
      </c>
      <c r="F165" s="2335" t="s">
        <v>5950</v>
      </c>
      <c r="G165" s="2336"/>
      <c r="H165" s="2335" t="s">
        <v>5959</v>
      </c>
      <c r="I165" s="2334"/>
      <c r="J165" s="475" t="s">
        <v>5595</v>
      </c>
      <c r="K165" s="475" t="s">
        <v>5596</v>
      </c>
      <c r="L165" s="464"/>
      <c r="N165" s="2337"/>
      <c r="O165" s="2338"/>
      <c r="P165" s="2338"/>
      <c r="Q165" s="2338"/>
      <c r="R165" s="2338"/>
      <c r="S165" s="2338"/>
      <c r="T165" s="2338"/>
      <c r="U165" s="2338"/>
      <c r="V165" s="2339"/>
      <c r="W165" s="456"/>
      <c r="X165" s="474" t="s">
        <v>5786</v>
      </c>
      <c r="Y165" s="2340" t="s">
        <v>5960</v>
      </c>
      <c r="Z165" s="2340"/>
      <c r="AA165" s="2340"/>
      <c r="AB165" s="2340"/>
      <c r="AC165" s="2341"/>
      <c r="AD165" s="464"/>
      <c r="AE165" s="464"/>
      <c r="AF165" s="464"/>
      <c r="AG165" s="464"/>
      <c r="AH165" s="464"/>
      <c r="AI165" s="464"/>
      <c r="AJ165" s="464"/>
      <c r="AK165" s="464"/>
      <c r="AL165" s="464"/>
      <c r="AM165" s="471" t="s">
        <v>154</v>
      </c>
      <c r="AN165" s="2342" t="s">
        <v>5961</v>
      </c>
      <c r="AO165" s="2343"/>
      <c r="AP165" s="2343"/>
      <c r="AQ165" s="2343"/>
      <c r="AR165" s="2344"/>
      <c r="AS165" s="465"/>
      <c r="AT165" s="466"/>
      <c r="AU165" s="465"/>
      <c r="AV165" s="465"/>
      <c r="AW165" s="465"/>
      <c r="AX165" s="464"/>
      <c r="AY165" s="464"/>
      <c r="AZ165" s="464"/>
      <c r="BA165" s="464"/>
      <c r="BB165" s="464"/>
      <c r="BC165" s="464"/>
      <c r="BD165" s="464"/>
      <c r="BE165" s="464"/>
      <c r="BF165" s="464"/>
      <c r="BG165" s="464"/>
      <c r="BH165" s="464"/>
      <c r="BI165" s="464"/>
    </row>
    <row r="166" spans="1:61" s="463" customFormat="1" ht="16" thickBot="1">
      <c r="B166" s="2328" t="s">
        <v>5597</v>
      </c>
      <c r="C166" s="2329"/>
      <c r="D166" s="473" t="s">
        <v>3656</v>
      </c>
      <c r="E166" s="472" t="s">
        <v>5599</v>
      </c>
      <c r="F166" s="2328" t="s">
        <v>5600</v>
      </c>
      <c r="G166" s="2330"/>
      <c r="H166" s="2330" t="s">
        <v>5601</v>
      </c>
      <c r="I166" s="2330"/>
      <c r="J166" s="472" t="s">
        <v>5602</v>
      </c>
      <c r="K166" s="472" t="s">
        <v>5602</v>
      </c>
      <c r="L166" s="464"/>
      <c r="M166" s="464"/>
      <c r="N166" s="464"/>
      <c r="O166" s="464"/>
      <c r="P166" s="464"/>
      <c r="Q166" s="464"/>
      <c r="R166" s="464"/>
      <c r="S166" s="464"/>
      <c r="T166" s="464"/>
      <c r="U166" s="464"/>
      <c r="V166" s="456"/>
      <c r="W166" s="469"/>
      <c r="X166" s="471" t="s">
        <v>5761</v>
      </c>
      <c r="Y166" s="2331" t="s">
        <v>5962</v>
      </c>
      <c r="Z166" s="2331"/>
      <c r="AA166" s="2331"/>
      <c r="AB166" s="2331"/>
      <c r="AC166" s="2332"/>
      <c r="AD166" s="456"/>
      <c r="AE166" s="456"/>
      <c r="AF166" s="456"/>
      <c r="AG166" s="456"/>
      <c r="AH166" s="456"/>
      <c r="AI166" s="456"/>
      <c r="AJ166" s="464"/>
      <c r="AK166" s="464"/>
      <c r="AL166" s="464"/>
      <c r="AM166" s="464"/>
      <c r="AN166" s="464"/>
      <c r="AO166" s="464"/>
      <c r="AP166" s="464"/>
      <c r="AQ166" s="464"/>
      <c r="AR166" s="464"/>
      <c r="AS166" s="465"/>
      <c r="AT166" s="466"/>
      <c r="AU166" s="465"/>
      <c r="AV166" s="465"/>
      <c r="AW166" s="465"/>
      <c r="AX166" s="464"/>
      <c r="AY166" s="464"/>
      <c r="AZ166" s="464"/>
      <c r="BA166" s="464"/>
      <c r="BB166" s="464"/>
      <c r="BC166" s="464"/>
      <c r="BD166" s="464"/>
      <c r="BE166" s="464"/>
      <c r="BF166" s="464"/>
      <c r="BG166" s="464"/>
      <c r="BH166" s="464"/>
      <c r="BI166" s="464"/>
    </row>
    <row r="167" spans="1:61" s="463" customFormat="1">
      <c r="B167" s="468"/>
      <c r="C167" s="470"/>
      <c r="D167" s="469"/>
      <c r="E167" s="469"/>
      <c r="F167" s="469"/>
      <c r="G167" s="464"/>
      <c r="H167" s="464"/>
      <c r="I167" s="468"/>
      <c r="J167" s="456"/>
      <c r="K167" s="456"/>
      <c r="L167" s="464"/>
      <c r="M167" s="456"/>
      <c r="N167" s="459"/>
      <c r="O167" s="459"/>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64"/>
      <c r="AK167" s="464"/>
      <c r="AL167" s="464"/>
      <c r="AM167" s="464"/>
      <c r="AN167" s="464"/>
      <c r="AO167" s="464"/>
      <c r="AP167" s="464"/>
      <c r="AQ167" s="464"/>
      <c r="AR167" s="464"/>
      <c r="AS167" s="465"/>
      <c r="AT167" s="466"/>
      <c r="AU167" s="465"/>
      <c r="AV167" s="465"/>
      <c r="AW167" s="465"/>
      <c r="AX167" s="464"/>
      <c r="AY167" s="464"/>
      <c r="AZ167" s="464"/>
      <c r="BA167" s="464"/>
      <c r="BB167" s="464"/>
      <c r="BC167" s="464"/>
      <c r="BD167" s="464"/>
      <c r="BE167" s="464"/>
      <c r="BF167" s="464"/>
      <c r="BG167" s="464"/>
      <c r="BH167" s="464"/>
      <c r="BI167" s="464"/>
    </row>
    <row r="168" spans="1:61" s="463" customFormat="1">
      <c r="B168" s="468"/>
      <c r="C168" s="470"/>
      <c r="D168" s="469"/>
      <c r="E168" s="469"/>
      <c r="F168" s="469"/>
      <c r="G168" s="464"/>
      <c r="H168" s="464"/>
      <c r="I168" s="468"/>
      <c r="J168" s="456"/>
      <c r="K168" s="456"/>
      <c r="L168" s="456"/>
      <c r="M168" s="456"/>
      <c r="N168" s="459"/>
      <c r="O168" s="459"/>
      <c r="P168" s="456"/>
      <c r="Q168" s="456"/>
      <c r="R168" s="456"/>
      <c r="S168" s="456"/>
      <c r="T168" s="456"/>
      <c r="U168" s="456"/>
      <c r="V168" s="456"/>
      <c r="W168" s="464"/>
      <c r="X168" s="464"/>
      <c r="Y168" s="464"/>
      <c r="Z168" s="464"/>
      <c r="AA168" s="464"/>
      <c r="AB168" s="464"/>
      <c r="AC168" s="464"/>
      <c r="AD168" s="456"/>
      <c r="AE168" s="456"/>
      <c r="AF168" s="456"/>
      <c r="AG168" s="456"/>
      <c r="AH168" s="456"/>
      <c r="AI168" s="456"/>
      <c r="AJ168" s="464"/>
      <c r="AK168" s="464"/>
      <c r="AL168" s="464"/>
      <c r="AM168" s="464"/>
      <c r="AN168" s="464"/>
      <c r="AO168" s="464"/>
      <c r="AP168" s="464"/>
      <c r="AQ168" s="464"/>
      <c r="AR168" s="464"/>
      <c r="AS168" s="465"/>
      <c r="AT168" s="466"/>
      <c r="AU168" s="465"/>
      <c r="AV168" s="465"/>
      <c r="AW168" s="465"/>
      <c r="AX168" s="464"/>
      <c r="AY168" s="464"/>
      <c r="AZ168" s="464"/>
      <c r="BA168" s="464"/>
      <c r="BB168" s="464"/>
      <c r="BC168" s="464"/>
      <c r="BD168" s="464"/>
      <c r="BE168" s="464"/>
      <c r="BF168" s="464"/>
      <c r="BG168" s="464"/>
      <c r="BH168" s="464"/>
      <c r="BI168" s="464"/>
    </row>
    <row r="169" spans="1:61" s="463" customFormat="1" ht="20.25" customHeight="1">
      <c r="B169" s="467"/>
      <c r="C169" s="467"/>
      <c r="D169" s="464"/>
      <c r="E169" s="464"/>
      <c r="F169" s="464"/>
      <c r="G169" s="464"/>
      <c r="H169" s="468"/>
      <c r="I169" s="468"/>
      <c r="J169" s="464"/>
      <c r="K169" s="464"/>
      <c r="L169" s="456"/>
      <c r="M169" s="464"/>
      <c r="N169" s="467"/>
      <c r="O169" s="467"/>
      <c r="P169" s="464"/>
      <c r="Q169" s="464"/>
      <c r="R169" s="464"/>
      <c r="S169" s="464"/>
      <c r="T169" s="464"/>
      <c r="U169" s="464"/>
      <c r="V169" s="464"/>
      <c r="W169" s="456"/>
      <c r="X169" s="456"/>
      <c r="Y169" s="456"/>
      <c r="Z169" s="456"/>
      <c r="AA169" s="456"/>
      <c r="AB169" s="456"/>
      <c r="AC169" s="456"/>
      <c r="AD169" s="464"/>
      <c r="AE169" s="464"/>
      <c r="AF169" s="464"/>
      <c r="AG169" s="464"/>
      <c r="AH169" s="464"/>
      <c r="AI169" s="464"/>
      <c r="AJ169" s="464"/>
      <c r="AK169" s="464"/>
      <c r="AL169" s="464"/>
      <c r="AM169" s="464"/>
      <c r="AN169" s="464"/>
      <c r="AO169" s="464"/>
      <c r="AP169" s="464"/>
      <c r="AQ169" s="464"/>
      <c r="AR169" s="464"/>
      <c r="AS169" s="465"/>
      <c r="AT169" s="466"/>
      <c r="AU169" s="465"/>
      <c r="AV169" s="465"/>
      <c r="AW169" s="465"/>
      <c r="AX169" s="464"/>
      <c r="AY169" s="464"/>
      <c r="AZ169" s="464"/>
      <c r="BA169" s="464"/>
      <c r="BB169" s="464"/>
      <c r="BC169" s="464"/>
      <c r="BD169" s="464"/>
      <c r="BE169" s="464"/>
      <c r="BF169" s="464"/>
      <c r="BG169" s="464"/>
      <c r="BH169" s="464"/>
      <c r="BI169" s="464"/>
    </row>
    <row r="170" spans="1:61" s="463" customFormat="1">
      <c r="B170" s="459"/>
      <c r="C170" s="459"/>
      <c r="D170" s="456"/>
      <c r="E170" s="456"/>
      <c r="F170" s="456"/>
      <c r="G170" s="456"/>
      <c r="H170" s="460"/>
      <c r="I170" s="460"/>
      <c r="J170" s="456"/>
      <c r="K170" s="456"/>
      <c r="L170" s="464"/>
      <c r="M170" s="456"/>
      <c r="N170" s="459"/>
      <c r="O170" s="459"/>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64"/>
      <c r="AS170" s="465"/>
      <c r="AT170" s="466"/>
      <c r="AU170" s="465"/>
      <c r="AV170" s="465"/>
      <c r="AW170" s="465"/>
      <c r="AX170" s="464"/>
      <c r="AY170" s="464"/>
      <c r="AZ170" s="464"/>
      <c r="BA170" s="464"/>
      <c r="BB170" s="464"/>
      <c r="BC170" s="464"/>
      <c r="BD170" s="464"/>
      <c r="BE170" s="464"/>
      <c r="BF170" s="464"/>
      <c r="BG170" s="464"/>
      <c r="BH170" s="464"/>
      <c r="BI170" s="464"/>
    </row>
    <row r="171" spans="1:61">
      <c r="B171" s="462"/>
      <c r="C171" s="462"/>
      <c r="D171" s="462"/>
      <c r="E171" s="462"/>
      <c r="F171" s="462"/>
      <c r="G171" s="462"/>
      <c r="H171" s="462"/>
      <c r="I171" s="462"/>
      <c r="J171" s="462"/>
      <c r="K171" s="461"/>
    </row>
    <row r="172" spans="1:61" ht="35.15" customHeight="1">
      <c r="B172" s="455"/>
      <c r="C172" s="455"/>
      <c r="D172" s="455"/>
      <c r="E172" s="455"/>
      <c r="F172" s="455"/>
      <c r="G172" s="455"/>
      <c r="H172" s="455"/>
      <c r="I172" s="455"/>
      <c r="J172" s="455"/>
      <c r="K172" s="455"/>
    </row>
    <row r="173" spans="1:61" ht="35.15" customHeight="1">
      <c r="B173" s="455"/>
      <c r="C173" s="455"/>
      <c r="D173" s="455"/>
      <c r="E173" s="455"/>
      <c r="F173" s="455"/>
      <c r="G173" s="455"/>
      <c r="H173" s="455"/>
      <c r="I173" s="455"/>
      <c r="J173" s="455"/>
      <c r="K173" s="455"/>
      <c r="M173" s="455"/>
      <c r="N173" s="455"/>
      <c r="O173" s="455"/>
      <c r="P173" s="455"/>
      <c r="Q173" s="455"/>
      <c r="R173" s="455"/>
      <c r="S173" s="455"/>
      <c r="T173" s="455"/>
      <c r="U173" s="455"/>
      <c r="V173" s="455"/>
      <c r="W173" s="455"/>
      <c r="AD173" s="455"/>
      <c r="AE173" s="455"/>
      <c r="AF173" s="455"/>
      <c r="AG173" s="455"/>
      <c r="AH173" s="455"/>
      <c r="AI173" s="455"/>
      <c r="AJ173" s="455"/>
      <c r="AK173" s="455"/>
      <c r="AL173" s="455"/>
      <c r="AM173" s="455"/>
      <c r="AN173" s="455"/>
      <c r="AO173" s="455"/>
      <c r="AP173" s="455"/>
      <c r="AQ173" s="455"/>
    </row>
    <row r="174" spans="1:61" ht="35.15" customHeight="1">
      <c r="B174" s="455"/>
      <c r="C174" s="455"/>
      <c r="D174" s="455"/>
      <c r="E174" s="455"/>
      <c r="F174" s="455"/>
      <c r="G174" s="455"/>
      <c r="H174" s="455"/>
      <c r="I174" s="455"/>
      <c r="J174" s="455"/>
      <c r="K174" s="455"/>
      <c r="M174" s="455"/>
      <c r="N174" s="455"/>
      <c r="O174" s="455"/>
      <c r="P174" s="455"/>
      <c r="Q174" s="455"/>
      <c r="R174" s="455"/>
      <c r="S174" s="455"/>
      <c r="T174" s="455"/>
      <c r="U174" s="455"/>
      <c r="V174" s="455"/>
      <c r="W174" s="455"/>
      <c r="AD174" s="455"/>
      <c r="AE174" s="455"/>
      <c r="AF174" s="455"/>
      <c r="AG174" s="455"/>
      <c r="AH174" s="455"/>
      <c r="AI174" s="455"/>
      <c r="AJ174" s="455"/>
      <c r="AK174" s="455"/>
      <c r="AL174" s="455"/>
      <c r="AM174" s="455"/>
      <c r="AN174" s="455"/>
      <c r="AO174" s="455"/>
      <c r="AP174" s="455"/>
      <c r="AQ174" s="455"/>
    </row>
    <row r="175" spans="1:61" ht="35.15" customHeight="1">
      <c r="B175" s="455"/>
      <c r="C175" s="455"/>
      <c r="D175" s="455"/>
      <c r="E175" s="455"/>
      <c r="F175" s="455"/>
      <c r="G175" s="455"/>
      <c r="H175" s="455"/>
      <c r="I175" s="455"/>
      <c r="J175" s="455"/>
      <c r="K175" s="455"/>
      <c r="M175" s="455"/>
      <c r="N175" s="455"/>
      <c r="O175" s="455"/>
      <c r="P175" s="455"/>
      <c r="Q175" s="455"/>
      <c r="R175" s="455"/>
      <c r="S175" s="455"/>
      <c r="T175" s="455"/>
      <c r="U175" s="455"/>
      <c r="V175" s="455"/>
      <c r="W175" s="455"/>
      <c r="AD175" s="455"/>
      <c r="AE175" s="455"/>
      <c r="AF175" s="455"/>
      <c r="AG175" s="455"/>
      <c r="AH175" s="455"/>
      <c r="AI175" s="455"/>
      <c r="AJ175" s="455"/>
      <c r="AK175" s="455"/>
      <c r="AL175" s="455"/>
      <c r="AM175" s="455"/>
      <c r="AN175" s="455"/>
      <c r="AO175" s="455"/>
      <c r="AP175" s="455"/>
      <c r="AQ175" s="455"/>
    </row>
    <row r="176" spans="1:61" ht="35.15" customHeight="1">
      <c r="B176" s="455"/>
      <c r="C176" s="455"/>
      <c r="D176" s="455"/>
      <c r="E176" s="455"/>
      <c r="F176" s="455"/>
      <c r="G176" s="455"/>
      <c r="H176" s="455"/>
      <c r="I176" s="455"/>
      <c r="J176" s="455"/>
      <c r="K176" s="455"/>
      <c r="M176" s="455"/>
      <c r="N176" s="455"/>
      <c r="O176" s="455"/>
      <c r="P176" s="455"/>
      <c r="Q176" s="455"/>
      <c r="R176" s="455"/>
      <c r="S176" s="455"/>
      <c r="T176" s="455"/>
      <c r="U176" s="455"/>
      <c r="V176" s="455"/>
      <c r="W176" s="455"/>
      <c r="X176" s="455"/>
      <c r="Y176" s="455"/>
      <c r="Z176" s="455"/>
      <c r="AA176" s="455"/>
      <c r="AB176" s="455"/>
      <c r="AC176" s="455"/>
      <c r="AD176" s="455"/>
      <c r="AE176" s="455"/>
      <c r="AF176" s="455"/>
      <c r="AG176" s="455"/>
      <c r="AH176" s="455"/>
      <c r="AI176" s="455"/>
      <c r="AJ176" s="455"/>
      <c r="AK176" s="455"/>
      <c r="AL176" s="455"/>
      <c r="AM176" s="455"/>
      <c r="AN176" s="455"/>
      <c r="AO176" s="455"/>
      <c r="AP176" s="455"/>
      <c r="AQ176" s="455"/>
    </row>
    <row r="177" spans="12:12" s="455" customFormat="1" ht="35.15" customHeight="1">
      <c r="L177" s="456"/>
    </row>
    <row r="178" spans="12:12" s="455" customFormat="1" ht="35.15" customHeight="1">
      <c r="L178" s="456"/>
    </row>
  </sheetData>
  <autoFilter ref="A11:AR158" xr:uid="{00000000-0009-0000-0000-000025000000}"/>
  <dataConsolidate/>
  <mergeCells count="212">
    <mergeCell ref="E153:G153"/>
    <mergeCell ref="E126:G126"/>
    <mergeCell ref="E127:G127"/>
    <mergeCell ref="E100:G100"/>
    <mergeCell ref="E110:G110"/>
    <mergeCell ref="E101:G101"/>
    <mergeCell ref="E102:G102"/>
    <mergeCell ref="E133:G133"/>
    <mergeCell ref="E119:G119"/>
    <mergeCell ref="E121:G121"/>
    <mergeCell ref="E123:G123"/>
    <mergeCell ref="E120:G120"/>
    <mergeCell ref="E116:G116"/>
    <mergeCell ref="E157:G157"/>
    <mergeCell ref="E82:G82"/>
    <mergeCell ref="E83:G83"/>
    <mergeCell ref="E98:G98"/>
    <mergeCell ref="E92:G92"/>
    <mergeCell ref="E112:G112"/>
    <mergeCell ref="E114:G114"/>
    <mergeCell ref="E113:G113"/>
    <mergeCell ref="E142:G142"/>
    <mergeCell ref="E115:G115"/>
    <mergeCell ref="E117:G117"/>
    <mergeCell ref="E118:G118"/>
    <mergeCell ref="E111:G111"/>
    <mergeCell ref="E141:G141"/>
    <mergeCell ref="E144:G144"/>
    <mergeCell ref="E137:G137"/>
    <mergeCell ref="E132:G132"/>
    <mergeCell ref="E154:G154"/>
    <mergeCell ref="E145:G145"/>
    <mergeCell ref="E131:G131"/>
    <mergeCell ref="E99:G99"/>
    <mergeCell ref="E124:G124"/>
    <mergeCell ref="E125:G125"/>
    <mergeCell ref="E107:G107"/>
    <mergeCell ref="B166:C166"/>
    <mergeCell ref="F166:G166"/>
    <mergeCell ref="E150:G150"/>
    <mergeCell ref="E139:G139"/>
    <mergeCell ref="E140:G140"/>
    <mergeCell ref="L9:M9"/>
    <mergeCell ref="B9:J9"/>
    <mergeCell ref="N9:U9"/>
    <mergeCell ref="E103:G103"/>
    <mergeCell ref="E104:G104"/>
    <mergeCell ref="E108:G108"/>
    <mergeCell ref="E109:G109"/>
    <mergeCell ref="E19:G19"/>
    <mergeCell ref="E93:G93"/>
    <mergeCell ref="E91:G91"/>
    <mergeCell ref="E66:G66"/>
    <mergeCell ref="E67:G67"/>
    <mergeCell ref="E68:G68"/>
    <mergeCell ref="E71:G71"/>
    <mergeCell ref="E106:G106"/>
    <mergeCell ref="E77:G77"/>
    <mergeCell ref="E78:G78"/>
    <mergeCell ref="E79:G79"/>
    <mergeCell ref="E80:G80"/>
    <mergeCell ref="Y166:AC166"/>
    <mergeCell ref="E86:G86"/>
    <mergeCell ref="E87:G87"/>
    <mergeCell ref="E88:G88"/>
    <mergeCell ref="E89:G89"/>
    <mergeCell ref="E90:G90"/>
    <mergeCell ref="E105:G105"/>
    <mergeCell ref="E52:G52"/>
    <mergeCell ref="E53:G53"/>
    <mergeCell ref="E54:G54"/>
    <mergeCell ref="E55:G55"/>
    <mergeCell ref="E56:G56"/>
    <mergeCell ref="E72:G72"/>
    <mergeCell ref="E73:G73"/>
    <mergeCell ref="E75:G75"/>
    <mergeCell ref="E94:G94"/>
    <mergeCell ref="E130:G130"/>
    <mergeCell ref="E136:G136"/>
    <mergeCell ref="E128:G128"/>
    <mergeCell ref="E129:G129"/>
    <mergeCell ref="H166:I166"/>
    <mergeCell ref="E134:G134"/>
    <mergeCell ref="E76:G76"/>
    <mergeCell ref="E74:G74"/>
    <mergeCell ref="AX9:BI9"/>
    <mergeCell ref="AX10:AY10"/>
    <mergeCell ref="BA10:BD10"/>
    <mergeCell ref="BE10:BF10"/>
    <mergeCell ref="BG10:BH10"/>
    <mergeCell ref="AD9:AR9"/>
    <mergeCell ref="E148:G148"/>
    <mergeCell ref="E152:G152"/>
    <mergeCell ref="E27:G27"/>
    <mergeCell ref="E95:G95"/>
    <mergeCell ref="E96:G96"/>
    <mergeCell ref="E81:G81"/>
    <mergeCell ref="E84:G84"/>
    <mergeCell ref="E44:G44"/>
    <mergeCell ref="E151:G151"/>
    <mergeCell ref="E143:G143"/>
    <mergeCell ref="E58:G58"/>
    <mergeCell ref="E63:G63"/>
    <mergeCell ref="E64:G64"/>
    <mergeCell ref="E57:G57"/>
    <mergeCell ref="E34:G34"/>
    <mergeCell ref="E35:G35"/>
    <mergeCell ref="E60:G60"/>
    <mergeCell ref="E38:G38"/>
    <mergeCell ref="E97:G97"/>
    <mergeCell ref="E47:G47"/>
    <mergeCell ref="E50:G50"/>
    <mergeCell ref="E62:G62"/>
    <mergeCell ref="B161:C161"/>
    <mergeCell ref="F161:G161"/>
    <mergeCell ref="H161:I161"/>
    <mergeCell ref="E59:G59"/>
    <mergeCell ref="E39:G39"/>
    <mergeCell ref="E40:G40"/>
    <mergeCell ref="E41:G41"/>
    <mergeCell ref="E42:G42"/>
    <mergeCell ref="E85:G85"/>
    <mergeCell ref="E69:G69"/>
    <mergeCell ref="E70:G70"/>
    <mergeCell ref="E65:G65"/>
    <mergeCell ref="E48:G48"/>
    <mergeCell ref="E51:G51"/>
    <mergeCell ref="E49:G49"/>
    <mergeCell ref="E138:G138"/>
    <mergeCell ref="E135:G135"/>
    <mergeCell ref="E146:G146"/>
    <mergeCell ref="E147:G147"/>
    <mergeCell ref="E149:G149"/>
    <mergeCell ref="B165:C165"/>
    <mergeCell ref="B162:C162"/>
    <mergeCell ref="F162:G162"/>
    <mergeCell ref="H162:I162"/>
    <mergeCell ref="Y162:AC162"/>
    <mergeCell ref="B164:C164"/>
    <mergeCell ref="F164:G164"/>
    <mergeCell ref="B160:C160"/>
    <mergeCell ref="F160:G160"/>
    <mergeCell ref="F165:G165"/>
    <mergeCell ref="H165:I165"/>
    <mergeCell ref="Y164:AC164"/>
    <mergeCell ref="Y165:AC165"/>
    <mergeCell ref="H160:I160"/>
    <mergeCell ref="N160:V160"/>
    <mergeCell ref="N161:V161"/>
    <mergeCell ref="N162:V162"/>
    <mergeCell ref="N163:V163"/>
    <mergeCell ref="N164:V164"/>
    <mergeCell ref="H163:I163"/>
    <mergeCell ref="H164:I164"/>
    <mergeCell ref="B163:C163"/>
    <mergeCell ref="F163:G163"/>
    <mergeCell ref="AF164:AK164"/>
    <mergeCell ref="AN161:AR161"/>
    <mergeCell ref="AN162:AR162"/>
    <mergeCell ref="AN163:AR163"/>
    <mergeCell ref="AN164:AR164"/>
    <mergeCell ref="AN3:AR3"/>
    <mergeCell ref="AN4:AR4"/>
    <mergeCell ref="X160:AC160"/>
    <mergeCell ref="N165:V165"/>
    <mergeCell ref="Y161:AC161"/>
    <mergeCell ref="Y163:AC163"/>
    <mergeCell ref="AN165:AR165"/>
    <mergeCell ref="AE160:AK160"/>
    <mergeCell ref="AM160:AR160"/>
    <mergeCell ref="AF161:AK161"/>
    <mergeCell ref="AF162:AK162"/>
    <mergeCell ref="AF163:AK163"/>
    <mergeCell ref="Y9:AC9"/>
    <mergeCell ref="V9:X9"/>
    <mergeCell ref="AL2:AR2"/>
    <mergeCell ref="E156:G156"/>
    <mergeCell ref="E122:G122"/>
    <mergeCell ref="E30:G30"/>
    <mergeCell ref="E43:G43"/>
    <mergeCell ref="E61:G61"/>
    <mergeCell ref="E31:G31"/>
    <mergeCell ref="E32:G32"/>
    <mergeCell ref="E33:G33"/>
    <mergeCell ref="E15:G15"/>
    <mergeCell ref="E14:G14"/>
    <mergeCell ref="E18:G18"/>
    <mergeCell ref="E21:G21"/>
    <mergeCell ref="E22:G22"/>
    <mergeCell ref="E13:G13"/>
    <mergeCell ref="E23:G23"/>
    <mergeCell ref="E12:G12"/>
    <mergeCell ref="E16:G16"/>
    <mergeCell ref="E17:G17"/>
    <mergeCell ref="E10:G11"/>
    <mergeCell ref="J10:J11"/>
    <mergeCell ref="K10:K11"/>
    <mergeCell ref="E20:G20"/>
    <mergeCell ref="E155:G155"/>
    <mergeCell ref="A2:D2"/>
    <mergeCell ref="C10:C11"/>
    <mergeCell ref="E24:G24"/>
    <mergeCell ref="E25:G25"/>
    <mergeCell ref="E26:G26"/>
    <mergeCell ref="A9:A10"/>
    <mergeCell ref="E45:G45"/>
    <mergeCell ref="E46:G46"/>
    <mergeCell ref="D10:D11"/>
    <mergeCell ref="E28:G28"/>
    <mergeCell ref="E29:G29"/>
    <mergeCell ref="E36:G36"/>
    <mergeCell ref="E37:G37"/>
  </mergeCells>
  <conditionalFormatting sqref="V18:AC84 V12:AC15 U98 AD12:AW84 V85:AW157">
    <cfRule type="cellIs" dxfId="480" priority="1" stopIfTrue="1" operator="equal">
      <formula>"•"</formula>
    </cfRule>
  </conditionalFormatting>
  <pageMargins left="0.43307086614173229" right="0.39370078740157483" top="0.35433070866141736" bottom="0.51181102362204722" header="0.31496062992125984" footer="0.31496062992125984"/>
  <pageSetup paperSize="17" scale="37" fitToHeight="2" pageOrder="overThenDown" orientation="landscape" r:id="rId1"/>
  <headerFooter alignWithMargins="0">
    <oddFooter>&amp;L&amp;"Arial,Regular"&amp;14Printed &amp;D&amp;T&amp;R&amp;"Arial,Regular"&amp;14&amp;F, Rev.3
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00B050"/>
  </sheetPr>
  <dimension ref="A2:U980"/>
  <sheetViews>
    <sheetView topLeftCell="D1" zoomScaleNormal="100" workbookViewId="0">
      <selection activeCell="D29" sqref="D29"/>
    </sheetView>
  </sheetViews>
  <sheetFormatPr defaultRowHeight="14.5"/>
  <cols>
    <col min="1" max="1" width="6.7265625" style="1099" customWidth="1"/>
    <col min="2" max="2" width="20.1796875" bestFit="1" customWidth="1"/>
    <col min="3" max="3" width="6.7265625" customWidth="1"/>
    <col min="4" max="4" width="22" style="7" customWidth="1"/>
    <col min="5" max="5" width="6.7265625" customWidth="1"/>
    <col min="6" max="6" width="31.7265625" customWidth="1"/>
    <col min="7" max="7" width="6.7265625" customWidth="1"/>
    <col min="8" max="8" width="32.7265625" style="7" customWidth="1"/>
    <col min="9" max="9" width="10.81640625" style="818" bestFit="1" customWidth="1"/>
    <col min="10" max="10" width="10.81640625" bestFit="1" customWidth="1"/>
    <col min="11" max="11" width="10.26953125" bestFit="1" customWidth="1"/>
    <col min="12" max="12" width="12.453125" bestFit="1" customWidth="1"/>
    <col min="13" max="13" width="11.1796875" bestFit="1" customWidth="1"/>
    <col min="14" max="14" width="10.81640625" bestFit="1" customWidth="1"/>
    <col min="15" max="19" width="9.81640625" customWidth="1"/>
    <col min="20" max="21" width="9.81640625" bestFit="1" customWidth="1"/>
  </cols>
  <sheetData>
    <row r="2" spans="1:21">
      <c r="A2" s="2454" t="s">
        <v>6564</v>
      </c>
      <c r="B2" s="2454"/>
      <c r="C2" s="2454" t="s">
        <v>6565</v>
      </c>
      <c r="D2" s="2454"/>
      <c r="E2" s="2454" t="s">
        <v>6585</v>
      </c>
      <c r="F2" s="2454"/>
      <c r="G2" s="2454" t="s">
        <v>6586</v>
      </c>
      <c r="H2" s="2454"/>
    </row>
    <row r="3" spans="1:21" s="1099" customFormat="1">
      <c r="I3" s="1270"/>
      <c r="J3" s="1270"/>
      <c r="K3" s="1270"/>
      <c r="L3" s="1270"/>
      <c r="M3" s="1270"/>
      <c r="N3" s="1270"/>
      <c r="O3"/>
      <c r="P3"/>
      <c r="Q3"/>
      <c r="R3"/>
      <c r="S3"/>
      <c r="T3"/>
      <c r="U3"/>
    </row>
    <row r="4" spans="1:21" s="1099" customFormat="1">
      <c r="A4" s="1269" t="s">
        <v>5</v>
      </c>
      <c r="B4" s="1269" t="s">
        <v>6</v>
      </c>
      <c r="C4" s="1269" t="s">
        <v>7</v>
      </c>
      <c r="D4" s="1271" t="s">
        <v>8</v>
      </c>
      <c r="E4" s="1269" t="s">
        <v>9</v>
      </c>
      <c r="F4" s="1269" t="s">
        <v>10</v>
      </c>
      <c r="G4" s="1269" t="s">
        <v>11</v>
      </c>
      <c r="H4" s="1271" t="s">
        <v>12</v>
      </c>
      <c r="O4"/>
      <c r="P4"/>
      <c r="Q4"/>
      <c r="R4"/>
      <c r="S4"/>
      <c r="T4"/>
      <c r="U4"/>
    </row>
    <row r="5" spans="1:21" s="1099" customFormat="1" ht="26.5">
      <c r="A5" s="1099">
        <v>1000</v>
      </c>
      <c r="B5" s="1099" t="s">
        <v>78</v>
      </c>
      <c r="C5" s="1099">
        <v>1100</v>
      </c>
      <c r="D5" s="1100" t="s">
        <v>79</v>
      </c>
      <c r="E5" s="1099">
        <v>1100</v>
      </c>
      <c r="F5" s="1099" t="s">
        <v>79</v>
      </c>
      <c r="G5" s="1099">
        <v>1100</v>
      </c>
      <c r="H5" s="1100" t="s">
        <v>79</v>
      </c>
      <c r="I5" s="1270"/>
      <c r="J5" s="1270"/>
      <c r="K5" s="1270"/>
      <c r="L5" s="1270"/>
      <c r="M5" s="1270"/>
      <c r="N5" s="1270"/>
      <c r="O5"/>
      <c r="P5"/>
      <c r="Q5"/>
      <c r="R5"/>
      <c r="S5"/>
      <c r="T5"/>
      <c r="U5"/>
    </row>
    <row r="6" spans="1:21" s="1099" customFormat="1">
      <c r="C6" s="1099" t="s">
        <v>3347</v>
      </c>
      <c r="D6" s="1099" t="s">
        <v>3347</v>
      </c>
      <c r="E6" s="1099" t="s">
        <v>3347</v>
      </c>
      <c r="F6" s="1099" t="s">
        <v>3347</v>
      </c>
      <c r="G6" s="1099" t="s">
        <v>3347</v>
      </c>
      <c r="H6" s="1100" t="s">
        <v>3347</v>
      </c>
      <c r="I6" s="1270"/>
      <c r="J6" s="1270"/>
      <c r="K6" s="1270"/>
      <c r="L6" s="1270"/>
      <c r="M6" s="1270"/>
      <c r="N6" s="1270"/>
      <c r="O6"/>
      <c r="P6"/>
      <c r="Q6"/>
      <c r="R6"/>
      <c r="S6"/>
      <c r="T6"/>
      <c r="U6"/>
    </row>
    <row r="7" spans="1:21" s="1099" customFormat="1" ht="26.5">
      <c r="A7" s="1099">
        <v>2000</v>
      </c>
      <c r="B7" s="1099" t="s">
        <v>119</v>
      </c>
      <c r="C7" s="1099">
        <v>2500</v>
      </c>
      <c r="D7" s="1100" t="s">
        <v>452</v>
      </c>
      <c r="E7" s="1099">
        <v>2540</v>
      </c>
      <c r="F7" s="1099" t="s">
        <v>790</v>
      </c>
      <c r="G7" s="1099">
        <v>2540</v>
      </c>
      <c r="H7" s="1100" t="s">
        <v>790</v>
      </c>
      <c r="I7" s="1270"/>
      <c r="J7" s="1270"/>
      <c r="K7" s="1270"/>
      <c r="L7" s="1270"/>
      <c r="M7" s="1270"/>
      <c r="N7" s="1270"/>
      <c r="O7"/>
      <c r="P7"/>
      <c r="Q7"/>
      <c r="R7"/>
      <c r="S7"/>
      <c r="T7"/>
      <c r="U7"/>
    </row>
    <row r="8" spans="1:21" s="1099" customFormat="1">
      <c r="D8" s="1100"/>
      <c r="E8" s="1099">
        <v>2550</v>
      </c>
      <c r="F8" s="1099" t="s">
        <v>819</v>
      </c>
      <c r="G8" s="1099">
        <v>2550</v>
      </c>
      <c r="H8" s="1100" t="s">
        <v>819</v>
      </c>
      <c r="I8" s="1270"/>
      <c r="J8" s="1270"/>
      <c r="K8" s="1270"/>
      <c r="L8" s="1270"/>
      <c r="M8" s="1270"/>
      <c r="N8" s="1270"/>
      <c r="O8"/>
      <c r="P8"/>
      <c r="Q8"/>
      <c r="R8"/>
      <c r="S8"/>
      <c r="T8"/>
      <c r="U8"/>
    </row>
    <row r="9" spans="1:21" s="1099" customFormat="1">
      <c r="D9" s="1100"/>
      <c r="E9" s="1099" t="s">
        <v>453</v>
      </c>
      <c r="F9" s="1099" t="s">
        <v>454</v>
      </c>
      <c r="G9" s="1099">
        <v>2511</v>
      </c>
      <c r="H9" s="1100" t="s">
        <v>565</v>
      </c>
      <c r="I9" s="1270"/>
      <c r="J9" s="1270"/>
      <c r="K9" s="1270"/>
      <c r="L9" s="1270"/>
      <c r="M9" s="1270"/>
      <c r="N9" s="1270"/>
      <c r="O9"/>
      <c r="P9"/>
      <c r="Q9"/>
      <c r="R9"/>
      <c r="S9"/>
      <c r="T9"/>
      <c r="U9"/>
    </row>
    <row r="10" spans="1:21" s="1099" customFormat="1">
      <c r="D10" s="1100"/>
      <c r="G10" s="1099">
        <v>2512</v>
      </c>
      <c r="H10" s="1100" t="s">
        <v>456</v>
      </c>
      <c r="I10" s="1270"/>
      <c r="J10" s="1270"/>
      <c r="K10" s="1270"/>
      <c r="L10" s="1270"/>
      <c r="M10" s="1270"/>
      <c r="N10" s="1270"/>
      <c r="O10"/>
      <c r="P10"/>
      <c r="Q10"/>
      <c r="R10"/>
      <c r="S10"/>
      <c r="T10"/>
      <c r="U10"/>
    </row>
    <row r="11" spans="1:21" s="1099" customFormat="1">
      <c r="D11" s="1100"/>
      <c r="G11" s="1099" t="s">
        <v>4127</v>
      </c>
      <c r="H11" s="1100" t="s">
        <v>454</v>
      </c>
      <c r="I11" s="1270"/>
      <c r="J11" s="1270"/>
      <c r="K11" s="1270"/>
      <c r="L11" s="1270"/>
      <c r="M11" s="1270"/>
      <c r="N11" s="1270"/>
      <c r="O11"/>
      <c r="P11"/>
      <c r="Q11"/>
      <c r="R11"/>
      <c r="S11"/>
      <c r="T11"/>
      <c r="U11"/>
    </row>
    <row r="12" spans="1:21" s="1099" customFormat="1">
      <c r="D12" s="1100"/>
      <c r="G12" s="1099" t="s">
        <v>564</v>
      </c>
      <c r="H12" s="1100" t="s">
        <v>565</v>
      </c>
      <c r="I12" s="1270"/>
      <c r="J12" s="1270"/>
      <c r="K12" s="1270"/>
      <c r="L12" s="1270"/>
      <c r="M12" s="1270"/>
      <c r="N12" s="1270"/>
      <c r="O12"/>
      <c r="P12"/>
      <c r="Q12"/>
      <c r="R12"/>
      <c r="S12"/>
      <c r="T12"/>
      <c r="U12"/>
    </row>
    <row r="13" spans="1:21" s="1099" customFormat="1">
      <c r="D13" s="1100"/>
      <c r="G13" s="1099" t="s">
        <v>455</v>
      </c>
      <c r="H13" s="1100" t="s">
        <v>456</v>
      </c>
      <c r="I13" s="1270"/>
      <c r="J13" s="1270"/>
      <c r="K13" s="1270"/>
      <c r="L13" s="1270"/>
      <c r="M13" s="1270"/>
      <c r="N13" s="1270"/>
      <c r="O13"/>
      <c r="P13"/>
      <c r="Q13"/>
      <c r="R13"/>
      <c r="S13"/>
      <c r="T13"/>
      <c r="U13"/>
    </row>
    <row r="14" spans="1:21" s="1099" customFormat="1">
      <c r="D14" s="1100"/>
      <c r="G14" s="1099" t="s">
        <v>513</v>
      </c>
      <c r="H14" s="1100" t="s">
        <v>514</v>
      </c>
      <c r="I14" s="1270"/>
      <c r="J14" s="1270"/>
      <c r="K14" s="1270"/>
      <c r="L14" s="1270"/>
      <c r="M14" s="1270"/>
      <c r="N14" s="1270"/>
      <c r="O14"/>
      <c r="P14"/>
      <c r="Q14"/>
      <c r="R14"/>
      <c r="S14"/>
      <c r="T14"/>
      <c r="U14"/>
    </row>
    <row r="15" spans="1:21" s="1099" customFormat="1">
      <c r="D15" s="1100"/>
      <c r="G15" s="1099" t="s">
        <v>528</v>
      </c>
      <c r="H15" s="1100" t="s">
        <v>514</v>
      </c>
      <c r="I15" s="1270"/>
      <c r="J15" s="1270"/>
      <c r="K15" s="1270"/>
      <c r="L15" s="1270"/>
      <c r="M15" s="1270"/>
      <c r="N15" s="1270"/>
      <c r="O15"/>
      <c r="P15"/>
      <c r="Q15"/>
      <c r="R15"/>
      <c r="S15"/>
      <c r="T15"/>
      <c r="U15"/>
    </row>
    <row r="16" spans="1:21" s="1099" customFormat="1">
      <c r="D16" s="1100"/>
      <c r="E16" s="1099" t="s">
        <v>604</v>
      </c>
      <c r="F16" s="1099" t="s">
        <v>605</v>
      </c>
      <c r="G16" s="1099">
        <v>2521</v>
      </c>
      <c r="H16" s="1100" t="s">
        <v>621</v>
      </c>
      <c r="I16" s="1270"/>
      <c r="J16" s="1270"/>
      <c r="K16" s="1270"/>
      <c r="L16" s="1270"/>
      <c r="M16" s="1270"/>
      <c r="N16" s="1270"/>
      <c r="O16"/>
      <c r="P16"/>
      <c r="Q16"/>
      <c r="R16"/>
      <c r="S16"/>
      <c r="T16"/>
      <c r="U16"/>
    </row>
    <row r="17" spans="3:21" s="1099" customFormat="1">
      <c r="D17" s="1100"/>
      <c r="G17" s="1099" t="s">
        <v>620</v>
      </c>
      <c r="H17" s="1100" t="s">
        <v>621</v>
      </c>
      <c r="I17" s="1270"/>
      <c r="J17" s="1270"/>
      <c r="K17" s="1270"/>
      <c r="L17" s="1270"/>
      <c r="M17" s="1270"/>
      <c r="N17" s="1270"/>
      <c r="O17"/>
      <c r="P17"/>
      <c r="Q17"/>
      <c r="R17"/>
      <c r="S17"/>
      <c r="T17"/>
      <c r="U17"/>
    </row>
    <row r="18" spans="3:21" s="1099" customFormat="1">
      <c r="D18" s="1100"/>
      <c r="G18" s="1099" t="s">
        <v>643</v>
      </c>
      <c r="H18" s="1100" t="s">
        <v>621</v>
      </c>
      <c r="I18" s="1270"/>
      <c r="J18" s="1270"/>
      <c r="K18" s="1270"/>
      <c r="L18" s="1270"/>
      <c r="M18" s="1270"/>
      <c r="N18" s="1270"/>
      <c r="O18"/>
      <c r="P18"/>
      <c r="Q18"/>
      <c r="R18"/>
      <c r="S18"/>
      <c r="T18"/>
      <c r="U18"/>
    </row>
    <row r="19" spans="3:21" s="1099" customFormat="1">
      <c r="D19" s="1100"/>
      <c r="G19" s="1099" t="s">
        <v>683</v>
      </c>
      <c r="H19" s="1100" t="s">
        <v>684</v>
      </c>
      <c r="I19" s="1270"/>
      <c r="J19" s="1270"/>
      <c r="K19" s="1270"/>
      <c r="L19" s="1270"/>
      <c r="M19" s="1270"/>
      <c r="N19" s="1270"/>
      <c r="O19"/>
      <c r="P19"/>
      <c r="Q19"/>
      <c r="R19"/>
      <c r="S19"/>
      <c r="T19"/>
      <c r="U19"/>
    </row>
    <row r="20" spans="3:21" s="1099" customFormat="1">
      <c r="D20" s="1100"/>
      <c r="G20" s="1099">
        <v>2523</v>
      </c>
      <c r="H20" s="1100" t="s">
        <v>605</v>
      </c>
      <c r="I20" s="1270"/>
      <c r="J20" s="1270"/>
      <c r="K20" s="1270"/>
      <c r="L20" s="1270"/>
      <c r="M20" s="1270"/>
      <c r="N20" s="1270"/>
      <c r="O20"/>
      <c r="P20"/>
      <c r="Q20"/>
      <c r="R20"/>
      <c r="S20"/>
      <c r="T20"/>
      <c r="U20"/>
    </row>
    <row r="21" spans="3:21" s="1099" customFormat="1">
      <c r="D21" s="1100"/>
      <c r="E21" s="1099" t="s">
        <v>700</v>
      </c>
      <c r="F21" s="1099" t="s">
        <v>701</v>
      </c>
      <c r="G21" s="1099" t="s">
        <v>700</v>
      </c>
      <c r="H21" s="1100" t="s">
        <v>701</v>
      </c>
      <c r="I21" s="1270"/>
      <c r="J21" s="1270"/>
      <c r="K21" s="1270"/>
      <c r="L21" s="1270"/>
      <c r="M21" s="1270"/>
      <c r="N21" s="1270"/>
      <c r="O21"/>
      <c r="P21"/>
      <c r="Q21"/>
      <c r="R21"/>
      <c r="S21"/>
      <c r="T21"/>
      <c r="U21"/>
    </row>
    <row r="22" spans="3:21" s="1099" customFormat="1">
      <c r="D22" s="1100"/>
      <c r="E22" s="1099" t="s">
        <v>3347</v>
      </c>
      <c r="F22" s="1099" t="s">
        <v>3347</v>
      </c>
      <c r="G22" s="1099" t="s">
        <v>3347</v>
      </c>
      <c r="H22" s="1100" t="s">
        <v>3347</v>
      </c>
      <c r="I22" s="1270"/>
      <c r="J22" s="1270"/>
      <c r="K22" s="1270"/>
      <c r="L22" s="1270"/>
      <c r="M22" s="1270"/>
      <c r="N22" s="1270"/>
      <c r="O22"/>
      <c r="P22"/>
      <c r="Q22"/>
      <c r="R22"/>
      <c r="S22"/>
      <c r="T22"/>
      <c r="U22"/>
    </row>
    <row r="23" spans="3:21" s="1099" customFormat="1">
      <c r="C23" s="1099" t="s">
        <v>3347</v>
      </c>
      <c r="D23" s="1099" t="s">
        <v>3347</v>
      </c>
      <c r="E23" s="1099" t="s">
        <v>3347</v>
      </c>
      <c r="F23" s="1099" t="s">
        <v>3347</v>
      </c>
      <c r="G23" s="1099" t="s">
        <v>3347</v>
      </c>
      <c r="H23" s="1100" t="s">
        <v>3347</v>
      </c>
      <c r="I23" s="1270"/>
      <c r="J23" s="1270"/>
      <c r="K23" s="1270"/>
      <c r="L23" s="1270"/>
      <c r="M23" s="1270"/>
      <c r="N23" s="1270"/>
      <c r="O23"/>
      <c r="P23"/>
      <c r="Q23"/>
      <c r="R23"/>
      <c r="S23"/>
      <c r="T23"/>
      <c r="U23"/>
    </row>
    <row r="24" spans="3:21" s="1099" customFormat="1">
      <c r="C24" s="1099">
        <v>2100</v>
      </c>
      <c r="D24" s="1099" t="s">
        <v>120</v>
      </c>
      <c r="E24" s="1099">
        <v>2110</v>
      </c>
      <c r="F24" s="1099" t="s">
        <v>122</v>
      </c>
      <c r="G24" s="1099">
        <v>2110</v>
      </c>
      <c r="H24" s="1100" t="s">
        <v>122</v>
      </c>
      <c r="I24" s="1270"/>
      <c r="J24" s="1270"/>
      <c r="K24" s="1270"/>
      <c r="L24" s="1270"/>
      <c r="M24" s="1270"/>
      <c r="N24" s="1270"/>
      <c r="O24"/>
      <c r="P24"/>
      <c r="Q24"/>
      <c r="R24"/>
      <c r="S24"/>
      <c r="T24"/>
      <c r="U24"/>
    </row>
    <row r="25" spans="3:21" s="1099" customFormat="1">
      <c r="E25" s="1099">
        <v>2130</v>
      </c>
      <c r="F25" s="1099" t="s">
        <v>148</v>
      </c>
      <c r="G25" s="1099">
        <v>2131</v>
      </c>
      <c r="H25" s="1100" t="s">
        <v>149</v>
      </c>
      <c r="I25" s="1270"/>
      <c r="J25" s="1270"/>
      <c r="K25" s="1270"/>
      <c r="L25" s="1270"/>
      <c r="M25" s="1270"/>
      <c r="N25" s="1270"/>
      <c r="O25"/>
      <c r="P25"/>
      <c r="Q25"/>
      <c r="R25"/>
      <c r="S25"/>
      <c r="T25"/>
      <c r="U25"/>
    </row>
    <row r="26" spans="3:21" s="1099" customFormat="1">
      <c r="G26" s="1099">
        <v>2133</v>
      </c>
      <c r="H26" s="1100" t="s">
        <v>3485</v>
      </c>
      <c r="I26" s="1270"/>
      <c r="J26" s="1270"/>
      <c r="K26" s="1270"/>
      <c r="L26" s="1270"/>
      <c r="M26" s="1270"/>
      <c r="N26" s="1270"/>
      <c r="O26"/>
      <c r="P26"/>
      <c r="Q26"/>
      <c r="R26"/>
      <c r="S26"/>
      <c r="T26"/>
      <c r="U26"/>
    </row>
    <row r="27" spans="3:21" s="1099" customFormat="1">
      <c r="G27" s="1099">
        <v>2134</v>
      </c>
      <c r="H27" s="1100" t="s">
        <v>3347</v>
      </c>
      <c r="I27" s="1270"/>
      <c r="J27" s="1270"/>
      <c r="K27" s="1270"/>
      <c r="L27" s="1270"/>
      <c r="M27" s="1270"/>
      <c r="N27" s="1270"/>
      <c r="O27"/>
      <c r="P27"/>
      <c r="Q27"/>
      <c r="R27"/>
      <c r="S27"/>
      <c r="T27"/>
      <c r="U27"/>
    </row>
    <row r="28" spans="3:21" s="1099" customFormat="1">
      <c r="G28" s="1099">
        <v>2136</v>
      </c>
      <c r="H28" s="1100" t="s">
        <v>119</v>
      </c>
      <c r="I28" s="1270"/>
      <c r="J28" s="1270"/>
      <c r="K28" s="1270"/>
      <c r="L28" s="1270"/>
      <c r="M28" s="1270"/>
      <c r="N28" s="1270"/>
      <c r="O28"/>
      <c r="P28"/>
      <c r="Q28"/>
      <c r="R28"/>
      <c r="S28"/>
      <c r="T28"/>
      <c r="U28"/>
    </row>
    <row r="29" spans="3:21" s="1099" customFormat="1">
      <c r="G29" s="1099">
        <v>2138</v>
      </c>
      <c r="H29" s="1100" t="s">
        <v>1245</v>
      </c>
      <c r="I29" s="1270"/>
      <c r="J29" s="1270"/>
      <c r="K29" s="1270"/>
      <c r="L29" s="1270"/>
      <c r="M29" s="1270"/>
      <c r="N29" s="1270"/>
      <c r="O29"/>
      <c r="P29"/>
      <c r="Q29"/>
      <c r="R29"/>
      <c r="S29"/>
      <c r="T29"/>
      <c r="U29"/>
    </row>
    <row r="30" spans="3:21" s="1099" customFormat="1">
      <c r="G30" s="1099">
        <v>2139</v>
      </c>
      <c r="H30" s="1100" t="s">
        <v>172</v>
      </c>
      <c r="I30" s="1270"/>
      <c r="J30" s="1270"/>
      <c r="K30" s="1270"/>
      <c r="L30" s="1270"/>
      <c r="M30" s="1270"/>
      <c r="N30" s="1270"/>
      <c r="O30"/>
      <c r="P30"/>
      <c r="Q30"/>
      <c r="R30"/>
      <c r="S30"/>
      <c r="T30"/>
      <c r="U30"/>
    </row>
    <row r="31" spans="3:21" s="1099" customFormat="1">
      <c r="E31" s="1099">
        <v>2140</v>
      </c>
      <c r="F31" s="1099" t="s">
        <v>176</v>
      </c>
      <c r="G31" s="1099">
        <v>2140</v>
      </c>
      <c r="H31" s="1100" t="s">
        <v>176</v>
      </c>
      <c r="I31" s="1270"/>
      <c r="J31" s="1270"/>
      <c r="K31" s="1270"/>
      <c r="L31" s="1270"/>
      <c r="M31" s="1270"/>
      <c r="N31" s="1270"/>
      <c r="O31"/>
      <c r="P31"/>
      <c r="Q31"/>
      <c r="R31"/>
      <c r="S31"/>
      <c r="T31"/>
      <c r="U31"/>
    </row>
    <row r="32" spans="3:21" s="1099" customFormat="1">
      <c r="G32" s="1099">
        <v>2142</v>
      </c>
      <c r="H32" s="1100" t="s">
        <v>3491</v>
      </c>
      <c r="I32" s="1270"/>
      <c r="J32" s="1270"/>
      <c r="K32" s="1270"/>
      <c r="L32" s="1270"/>
      <c r="M32" s="1270"/>
      <c r="N32" s="1270"/>
      <c r="O32"/>
      <c r="P32"/>
      <c r="Q32"/>
      <c r="R32"/>
      <c r="S32"/>
      <c r="T32"/>
      <c r="U32"/>
    </row>
    <row r="33" spans="3:21" s="1099" customFormat="1">
      <c r="E33" s="1099" t="s">
        <v>133</v>
      </c>
      <c r="F33" s="1099" t="s">
        <v>122</v>
      </c>
      <c r="G33" s="1099">
        <v>2110</v>
      </c>
      <c r="H33" s="1100" t="s">
        <v>122</v>
      </c>
      <c r="I33" s="1270"/>
      <c r="J33" s="1270"/>
      <c r="K33" s="1270"/>
      <c r="L33" s="1270"/>
      <c r="M33" s="1270"/>
      <c r="N33" s="1270"/>
      <c r="O33"/>
      <c r="P33"/>
      <c r="Q33"/>
      <c r="R33"/>
      <c r="S33"/>
      <c r="T33"/>
      <c r="U33"/>
    </row>
    <row r="34" spans="3:21" s="1099" customFormat="1">
      <c r="E34" s="1099" t="s">
        <v>175</v>
      </c>
      <c r="F34" s="1099" t="s">
        <v>176</v>
      </c>
      <c r="G34" s="1099">
        <v>2140</v>
      </c>
      <c r="H34" s="1100" t="s">
        <v>176</v>
      </c>
      <c r="I34" s="1270"/>
      <c r="J34" s="1270"/>
      <c r="K34" s="1270"/>
      <c r="L34" s="1270"/>
      <c r="M34" s="1270"/>
      <c r="N34" s="1270"/>
      <c r="O34"/>
      <c r="P34"/>
      <c r="Q34"/>
      <c r="R34"/>
      <c r="S34"/>
      <c r="T34"/>
      <c r="U34"/>
    </row>
    <row r="35" spans="3:21" s="1099" customFormat="1">
      <c r="G35" s="1099">
        <v>2142</v>
      </c>
      <c r="H35" s="1100" t="s">
        <v>3491</v>
      </c>
      <c r="I35" s="1270"/>
      <c r="J35" s="1270"/>
      <c r="K35" s="1270"/>
      <c r="L35" s="1270"/>
      <c r="M35" s="1270"/>
      <c r="N35" s="1270"/>
      <c r="O35"/>
      <c r="P35"/>
      <c r="Q35"/>
      <c r="R35"/>
      <c r="S35"/>
      <c r="T35"/>
      <c r="U35"/>
    </row>
    <row r="36" spans="3:21" s="1099" customFormat="1">
      <c r="G36" s="1099">
        <v>2143</v>
      </c>
      <c r="H36" s="1100" t="s">
        <v>3494</v>
      </c>
      <c r="I36" s="1270"/>
      <c r="J36" s="1270"/>
      <c r="K36" s="1270"/>
      <c r="L36" s="1270"/>
      <c r="M36" s="1270"/>
      <c r="N36" s="1270"/>
      <c r="O36"/>
      <c r="P36"/>
      <c r="Q36"/>
      <c r="R36"/>
      <c r="S36"/>
      <c r="T36"/>
      <c r="U36"/>
    </row>
    <row r="37" spans="3:21" s="1099" customFormat="1">
      <c r="G37" s="1099">
        <v>2144</v>
      </c>
      <c r="H37" s="1100" t="s">
        <v>3495</v>
      </c>
      <c r="I37" s="1270"/>
      <c r="J37" s="1270"/>
      <c r="K37" s="1270"/>
      <c r="L37" s="1270"/>
      <c r="M37" s="1270"/>
      <c r="N37" s="1270"/>
      <c r="O37"/>
      <c r="P37"/>
      <c r="Q37"/>
      <c r="R37"/>
      <c r="S37"/>
      <c r="T37"/>
      <c r="U37"/>
    </row>
    <row r="38" spans="3:21" s="1099" customFormat="1">
      <c r="G38" s="1099" t="s">
        <v>3684</v>
      </c>
      <c r="H38" s="1100" t="s">
        <v>176</v>
      </c>
      <c r="I38" s="1270"/>
      <c r="J38" s="1270"/>
      <c r="K38" s="1270"/>
      <c r="L38" s="1270"/>
      <c r="M38" s="1270"/>
      <c r="N38" s="1270"/>
      <c r="O38"/>
      <c r="P38"/>
      <c r="Q38"/>
      <c r="R38"/>
      <c r="S38"/>
      <c r="T38"/>
      <c r="U38"/>
    </row>
    <row r="39" spans="3:21" s="1099" customFormat="1">
      <c r="G39" s="1099" t="s">
        <v>3703</v>
      </c>
      <c r="H39" s="1100" t="s">
        <v>3491</v>
      </c>
      <c r="I39" s="1270"/>
      <c r="J39" s="1270"/>
      <c r="K39" s="1270"/>
      <c r="L39" s="1270"/>
      <c r="M39" s="1270"/>
      <c r="N39" s="1270"/>
      <c r="O39"/>
      <c r="P39"/>
      <c r="Q39"/>
      <c r="R39"/>
      <c r="S39"/>
      <c r="T39"/>
      <c r="U39"/>
    </row>
    <row r="40" spans="3:21" s="1099" customFormat="1">
      <c r="G40" s="1099" t="s">
        <v>3750</v>
      </c>
      <c r="H40" s="1100" t="s">
        <v>3494</v>
      </c>
      <c r="I40" s="1270"/>
      <c r="J40" s="1270"/>
      <c r="K40" s="1270"/>
      <c r="L40" s="1270"/>
      <c r="M40" s="1270"/>
      <c r="N40" s="1270"/>
      <c r="O40"/>
      <c r="P40"/>
      <c r="Q40"/>
      <c r="R40"/>
      <c r="S40"/>
      <c r="T40"/>
      <c r="U40"/>
    </row>
    <row r="41" spans="3:21" s="1099" customFormat="1">
      <c r="G41" s="1099" t="s">
        <v>3878</v>
      </c>
      <c r="H41" s="1100" t="s">
        <v>3495</v>
      </c>
      <c r="I41" s="1270"/>
      <c r="J41" s="1270"/>
      <c r="K41" s="1270"/>
      <c r="L41" s="1270"/>
      <c r="M41" s="1270"/>
      <c r="N41" s="1270"/>
      <c r="O41"/>
      <c r="P41"/>
      <c r="Q41"/>
      <c r="R41"/>
      <c r="S41"/>
      <c r="T41"/>
      <c r="U41"/>
    </row>
    <row r="42" spans="3:21" s="1099" customFormat="1">
      <c r="E42" s="1099" t="s">
        <v>3347</v>
      </c>
      <c r="F42" s="1099" t="s">
        <v>3347</v>
      </c>
      <c r="G42" s="1099" t="s">
        <v>3347</v>
      </c>
      <c r="H42" s="1100" t="s">
        <v>3347</v>
      </c>
      <c r="I42" s="1270"/>
      <c r="J42" s="1270"/>
      <c r="K42" s="1270"/>
      <c r="L42" s="1270"/>
      <c r="M42" s="1270"/>
      <c r="N42" s="1270"/>
      <c r="O42"/>
      <c r="P42"/>
      <c r="Q42"/>
      <c r="R42"/>
      <c r="S42"/>
      <c r="T42"/>
      <c r="U42"/>
    </row>
    <row r="43" spans="3:21" s="1099" customFormat="1" ht="26.5">
      <c r="C43" s="1099">
        <v>2200</v>
      </c>
      <c r="D43" s="1099" t="s">
        <v>208</v>
      </c>
      <c r="E43" s="1099">
        <v>2220</v>
      </c>
      <c r="F43" s="1099" t="s">
        <v>210</v>
      </c>
      <c r="G43" s="1099">
        <v>2221</v>
      </c>
      <c r="H43" s="1100" t="s">
        <v>3496</v>
      </c>
      <c r="I43" s="1270"/>
      <c r="J43" s="1270"/>
      <c r="K43" s="1270"/>
      <c r="L43" s="1270"/>
      <c r="M43" s="1270"/>
      <c r="N43" s="1270"/>
      <c r="O43"/>
      <c r="P43"/>
      <c r="Q43"/>
      <c r="R43"/>
      <c r="S43"/>
      <c r="T43"/>
      <c r="U43"/>
    </row>
    <row r="44" spans="3:21" s="1099" customFormat="1">
      <c r="G44" s="1099">
        <v>2225</v>
      </c>
      <c r="H44" s="1100" t="s">
        <v>3498</v>
      </c>
      <c r="I44" s="1270"/>
      <c r="J44" s="1270"/>
      <c r="K44" s="1270"/>
      <c r="L44" s="1270"/>
      <c r="M44" s="1270"/>
      <c r="N44" s="1270"/>
      <c r="O44"/>
      <c r="P44"/>
      <c r="Q44"/>
      <c r="R44"/>
      <c r="S44"/>
      <c r="T44"/>
      <c r="U44"/>
    </row>
    <row r="45" spans="3:21" s="1099" customFormat="1">
      <c r="G45" s="1099">
        <v>2230</v>
      </c>
      <c r="H45" s="1100" t="s">
        <v>3499</v>
      </c>
      <c r="I45" s="1270"/>
      <c r="J45" s="1270"/>
      <c r="K45" s="1270"/>
      <c r="L45" s="1270"/>
      <c r="M45" s="1270"/>
      <c r="N45" s="1270"/>
      <c r="O45"/>
      <c r="P45"/>
      <c r="Q45"/>
      <c r="R45"/>
      <c r="S45"/>
      <c r="T45"/>
      <c r="U45"/>
    </row>
    <row r="46" spans="3:21" s="1099" customFormat="1">
      <c r="E46" s="1099">
        <v>2240</v>
      </c>
      <c r="F46" s="1099" t="s">
        <v>3500</v>
      </c>
      <c r="G46" s="1099">
        <v>2240</v>
      </c>
      <c r="H46" s="1100" t="s">
        <v>3500</v>
      </c>
      <c r="I46" s="1270"/>
      <c r="J46" s="1270"/>
      <c r="K46" s="1270"/>
      <c r="L46" s="1270"/>
      <c r="M46" s="1270"/>
      <c r="N46" s="1270"/>
      <c r="O46"/>
      <c r="P46"/>
      <c r="Q46"/>
      <c r="R46"/>
      <c r="S46"/>
      <c r="T46"/>
      <c r="U46"/>
    </row>
    <row r="47" spans="3:21" s="1099" customFormat="1">
      <c r="E47" s="1099" t="s">
        <v>209</v>
      </c>
      <c r="F47" s="1099" t="s">
        <v>210</v>
      </c>
      <c r="G47" s="1099" t="s">
        <v>211</v>
      </c>
      <c r="H47" s="1100" t="s">
        <v>212</v>
      </c>
      <c r="I47" s="1270"/>
      <c r="J47" s="1270"/>
      <c r="K47" s="1270"/>
      <c r="L47" s="1270"/>
      <c r="M47" s="1270"/>
      <c r="N47" s="1270"/>
      <c r="O47"/>
      <c r="P47"/>
      <c r="Q47"/>
      <c r="R47"/>
      <c r="S47"/>
      <c r="T47"/>
      <c r="U47"/>
    </row>
    <row r="48" spans="3:21" s="1099" customFormat="1">
      <c r="E48" s="1099" t="s">
        <v>3347</v>
      </c>
      <c r="F48" s="1099" t="s">
        <v>3347</v>
      </c>
      <c r="G48" s="1099" t="s">
        <v>3347</v>
      </c>
      <c r="H48" s="1100" t="s">
        <v>3347</v>
      </c>
      <c r="I48" s="1270"/>
      <c r="J48" s="1270"/>
      <c r="K48" s="1270"/>
      <c r="L48" s="1270"/>
      <c r="M48" s="1270"/>
      <c r="N48" s="1270"/>
      <c r="O48"/>
      <c r="P48"/>
      <c r="Q48"/>
      <c r="R48"/>
      <c r="S48"/>
      <c r="T48"/>
      <c r="U48"/>
    </row>
    <row r="49" spans="2:21" s="1099" customFormat="1">
      <c r="C49" s="1099">
        <v>2300</v>
      </c>
      <c r="D49" s="1099" t="s">
        <v>222</v>
      </c>
      <c r="E49" s="1099">
        <v>2340</v>
      </c>
      <c r="F49" s="1099" t="s">
        <v>224</v>
      </c>
      <c r="G49" s="1099">
        <v>2345</v>
      </c>
      <c r="H49" s="1100" t="s">
        <v>254</v>
      </c>
      <c r="I49" s="1270"/>
      <c r="J49" s="1270"/>
      <c r="K49" s="1270"/>
      <c r="L49" s="1270"/>
      <c r="M49" s="1270"/>
      <c r="N49" s="1270"/>
      <c r="O49"/>
      <c r="P49"/>
      <c r="Q49"/>
      <c r="R49"/>
      <c r="S49"/>
      <c r="T49"/>
      <c r="U49"/>
    </row>
    <row r="50" spans="2:21" s="1099" customFormat="1">
      <c r="G50" s="1099" t="s">
        <v>244</v>
      </c>
      <c r="H50" s="1100" t="s">
        <v>245</v>
      </c>
      <c r="I50" s="1270"/>
      <c r="J50" s="1270"/>
      <c r="K50" s="1270"/>
      <c r="L50" s="1270"/>
      <c r="M50" s="1270"/>
      <c r="N50" s="1270"/>
      <c r="O50"/>
      <c r="P50"/>
      <c r="Q50"/>
      <c r="R50"/>
      <c r="S50"/>
      <c r="T50"/>
      <c r="U50"/>
    </row>
    <row r="51" spans="2:21" s="1099" customFormat="1">
      <c r="E51" s="1099" t="s">
        <v>223</v>
      </c>
      <c r="F51" s="1099" t="s">
        <v>224</v>
      </c>
      <c r="G51" s="1099">
        <v>2341</v>
      </c>
      <c r="H51" s="1100" t="s">
        <v>245</v>
      </c>
      <c r="I51" s="1270"/>
      <c r="J51" s="1270"/>
      <c r="K51" s="1270"/>
      <c r="L51" s="1270"/>
      <c r="M51" s="1270"/>
      <c r="N51" s="1270"/>
      <c r="O51"/>
      <c r="P51"/>
      <c r="Q51"/>
      <c r="R51"/>
      <c r="S51"/>
      <c r="T51"/>
      <c r="U51"/>
    </row>
    <row r="52" spans="2:21" s="1099" customFormat="1">
      <c r="G52" s="1099">
        <v>2342</v>
      </c>
      <c r="H52" s="1100" t="s">
        <v>226</v>
      </c>
      <c r="I52" s="1270"/>
      <c r="J52" s="1270"/>
      <c r="K52" s="1270"/>
      <c r="L52" s="1270"/>
      <c r="M52" s="1270"/>
      <c r="N52" s="1270"/>
      <c r="O52"/>
      <c r="P52"/>
      <c r="Q52"/>
      <c r="R52"/>
      <c r="S52"/>
      <c r="T52"/>
      <c r="U52"/>
    </row>
    <row r="53" spans="2:21" s="1099" customFormat="1">
      <c r="G53" s="1099" t="s">
        <v>244</v>
      </c>
      <c r="H53" s="1100" t="s">
        <v>245</v>
      </c>
      <c r="I53" s="1270"/>
      <c r="J53" s="1270"/>
      <c r="K53" s="1270"/>
      <c r="L53" s="1270"/>
      <c r="M53" s="1270"/>
      <c r="N53" s="1270"/>
      <c r="O53"/>
      <c r="P53"/>
      <c r="Q53"/>
      <c r="R53"/>
      <c r="S53"/>
      <c r="T53"/>
      <c r="U53"/>
    </row>
    <row r="54" spans="2:21" s="1099" customFormat="1">
      <c r="G54" s="1099" t="s">
        <v>233</v>
      </c>
      <c r="H54" s="1100" t="s">
        <v>226</v>
      </c>
      <c r="I54" s="1270"/>
      <c r="J54" s="1270"/>
      <c r="K54" s="1270"/>
      <c r="L54" s="1270"/>
      <c r="M54" s="1270"/>
      <c r="N54" s="1270"/>
      <c r="O54"/>
      <c r="P54"/>
      <c r="Q54"/>
      <c r="R54"/>
      <c r="S54"/>
      <c r="T54"/>
      <c r="U54"/>
    </row>
    <row r="55" spans="2:21" s="1099" customFormat="1">
      <c r="G55" s="1099" t="s">
        <v>225</v>
      </c>
      <c r="H55" s="1100" t="s">
        <v>226</v>
      </c>
      <c r="I55" s="1270"/>
      <c r="J55" s="1270"/>
      <c r="K55" s="1270"/>
      <c r="L55" s="1270"/>
      <c r="M55" s="1270"/>
      <c r="N55" s="1270"/>
      <c r="O55"/>
      <c r="P55"/>
      <c r="Q55"/>
      <c r="R55"/>
      <c r="S55"/>
      <c r="T55"/>
      <c r="U55"/>
    </row>
    <row r="56" spans="2:21" s="1099" customFormat="1">
      <c r="E56" s="1099" t="s">
        <v>263</v>
      </c>
      <c r="F56" s="1099" t="s">
        <v>264</v>
      </c>
      <c r="G56" s="1099" t="s">
        <v>265</v>
      </c>
      <c r="H56" s="1100" t="s">
        <v>266</v>
      </c>
      <c r="I56" s="1270"/>
      <c r="J56" s="1270"/>
      <c r="K56" s="1270"/>
      <c r="L56" s="1270"/>
      <c r="M56" s="1270"/>
      <c r="N56" s="1270"/>
      <c r="O56"/>
      <c r="P56"/>
      <c r="Q56"/>
      <c r="R56"/>
      <c r="S56"/>
      <c r="T56"/>
      <c r="U56"/>
    </row>
    <row r="57" spans="2:21">
      <c r="B57" s="1099"/>
      <c r="C57" s="1099"/>
      <c r="D57" s="1099"/>
      <c r="E57" s="1099"/>
      <c r="F57" s="1099"/>
      <c r="G57" s="1099" t="s">
        <v>280</v>
      </c>
      <c r="H57" s="1100" t="s">
        <v>266</v>
      </c>
      <c r="I57" s="1270"/>
      <c r="J57" s="1270"/>
      <c r="K57" s="1270"/>
      <c r="L57" s="1270"/>
      <c r="M57" s="1270"/>
      <c r="N57" s="1270"/>
    </row>
    <row r="58" spans="2:21" s="1099" customFormat="1">
      <c r="E58" s="1099" t="s">
        <v>3347</v>
      </c>
      <c r="F58" s="1099" t="s">
        <v>3347</v>
      </c>
      <c r="G58" s="1099" t="s">
        <v>3347</v>
      </c>
      <c r="H58" s="1100" t="s">
        <v>3347</v>
      </c>
      <c r="I58" s="1270"/>
      <c r="J58" s="1270"/>
      <c r="K58" s="1270"/>
      <c r="L58" s="1270"/>
      <c r="M58" s="1270"/>
      <c r="N58" s="1270"/>
      <c r="O58"/>
      <c r="P58"/>
      <c r="Q58"/>
      <c r="R58"/>
      <c r="S58"/>
      <c r="T58"/>
      <c r="U58"/>
    </row>
    <row r="59" spans="2:21" s="1099" customFormat="1">
      <c r="C59" s="1099">
        <v>2400</v>
      </c>
      <c r="D59" s="1099" t="s">
        <v>451</v>
      </c>
      <c r="E59" s="1099">
        <v>2430</v>
      </c>
      <c r="F59" s="1099" t="s">
        <v>1511</v>
      </c>
      <c r="G59" s="1099">
        <v>2430</v>
      </c>
      <c r="H59" s="1100" t="s">
        <v>1511</v>
      </c>
      <c r="I59" s="1270"/>
      <c r="J59" s="1270"/>
      <c r="K59" s="1270"/>
      <c r="L59" s="1270"/>
      <c r="M59" s="1270"/>
      <c r="N59" s="1270"/>
      <c r="O59"/>
      <c r="P59"/>
      <c r="Q59"/>
      <c r="R59"/>
      <c r="S59"/>
      <c r="T59"/>
      <c r="U59"/>
    </row>
    <row r="60" spans="2:21" s="1099" customFormat="1">
      <c r="G60" s="1099">
        <v>2435</v>
      </c>
      <c r="H60" s="1100" t="s">
        <v>1538</v>
      </c>
      <c r="I60" s="1270"/>
      <c r="J60" s="1270"/>
      <c r="K60" s="1270"/>
      <c r="L60" s="1270"/>
      <c r="M60" s="1270"/>
      <c r="N60" s="1270"/>
      <c r="O60"/>
      <c r="P60"/>
      <c r="Q60"/>
      <c r="R60"/>
      <c r="S60"/>
      <c r="T60"/>
      <c r="U60"/>
    </row>
    <row r="61" spans="2:21" s="1099" customFormat="1">
      <c r="E61" s="1099" t="s">
        <v>3347</v>
      </c>
      <c r="F61" s="1099" t="s">
        <v>3347</v>
      </c>
      <c r="G61" s="1099" t="s">
        <v>3347</v>
      </c>
      <c r="H61" s="1100" t="s">
        <v>3347</v>
      </c>
      <c r="I61" s="1270"/>
      <c r="J61" s="1270"/>
      <c r="K61" s="1270"/>
      <c r="L61" s="1270"/>
      <c r="M61" s="1270"/>
      <c r="N61" s="1270"/>
      <c r="O61"/>
      <c r="P61"/>
      <c r="Q61"/>
      <c r="R61"/>
      <c r="S61"/>
      <c r="T61"/>
      <c r="U61"/>
    </row>
    <row r="62" spans="2:21" s="1099" customFormat="1">
      <c r="C62" s="1099">
        <v>2600</v>
      </c>
      <c r="D62" s="1099" t="s">
        <v>838</v>
      </c>
      <c r="E62" s="1099">
        <v>2610</v>
      </c>
      <c r="F62" s="1099" t="s">
        <v>840</v>
      </c>
      <c r="G62" s="1099">
        <v>2611</v>
      </c>
      <c r="H62" s="1100" t="s">
        <v>877</v>
      </c>
      <c r="I62" s="1270"/>
      <c r="J62" s="1270"/>
      <c r="K62" s="1270"/>
      <c r="L62" s="1270"/>
      <c r="M62" s="1270"/>
      <c r="N62" s="1270"/>
      <c r="O62"/>
      <c r="P62"/>
      <c r="Q62"/>
      <c r="R62"/>
      <c r="S62"/>
      <c r="T62"/>
      <c r="U62"/>
    </row>
    <row r="63" spans="2:21" s="1099" customFormat="1">
      <c r="E63" s="1099" t="s">
        <v>839</v>
      </c>
      <c r="F63" s="1099" t="s">
        <v>840</v>
      </c>
      <c r="G63" s="1099">
        <v>2614</v>
      </c>
      <c r="H63" s="1100" t="s">
        <v>880</v>
      </c>
      <c r="I63" s="1270"/>
      <c r="J63" s="1270"/>
      <c r="K63" s="1270"/>
      <c r="L63" s="1270"/>
      <c r="M63" s="1270"/>
      <c r="N63" s="1270"/>
      <c r="O63"/>
      <c r="P63"/>
      <c r="Q63"/>
      <c r="R63"/>
      <c r="S63"/>
      <c r="T63"/>
      <c r="U63"/>
    </row>
    <row r="64" spans="2:21" s="1099" customFormat="1">
      <c r="G64" s="1099" t="s">
        <v>4356</v>
      </c>
      <c r="H64" s="1100" t="s">
        <v>840</v>
      </c>
      <c r="I64" s="1270"/>
      <c r="J64" s="1270"/>
      <c r="K64" s="1270"/>
      <c r="L64" s="1270"/>
      <c r="M64" s="1270"/>
      <c r="N64" s="1270"/>
      <c r="O64"/>
      <c r="P64"/>
      <c r="Q64"/>
      <c r="R64"/>
      <c r="S64"/>
      <c r="T64"/>
      <c r="U64"/>
    </row>
    <row r="65" spans="3:21" s="1099" customFormat="1">
      <c r="G65" s="1099" t="s">
        <v>861</v>
      </c>
      <c r="H65" s="1100" t="s">
        <v>842</v>
      </c>
      <c r="I65" s="1270"/>
      <c r="J65" s="1270"/>
      <c r="K65" s="1270"/>
      <c r="L65" s="1270"/>
      <c r="M65" s="1270"/>
      <c r="N65" s="1270"/>
      <c r="O65"/>
      <c r="P65"/>
      <c r="Q65"/>
      <c r="R65"/>
      <c r="S65"/>
      <c r="T65"/>
      <c r="U65"/>
    </row>
    <row r="66" spans="3:21" s="1099" customFormat="1">
      <c r="G66" s="1099" t="s">
        <v>841</v>
      </c>
      <c r="H66" s="1100" t="s">
        <v>842</v>
      </c>
      <c r="I66" s="1270"/>
      <c r="J66" s="1270"/>
      <c r="K66" s="1270"/>
      <c r="L66" s="1270"/>
      <c r="M66" s="1270"/>
      <c r="N66" s="1270"/>
      <c r="O66"/>
      <c r="P66"/>
      <c r="Q66"/>
      <c r="R66"/>
      <c r="S66"/>
      <c r="T66"/>
      <c r="U66"/>
    </row>
    <row r="67" spans="3:21" s="1099" customFormat="1">
      <c r="G67" s="1099" t="s">
        <v>892</v>
      </c>
      <c r="H67" s="1100" t="s">
        <v>880</v>
      </c>
      <c r="I67" s="1270"/>
      <c r="J67" s="1270"/>
      <c r="K67" s="1270"/>
      <c r="L67" s="1270"/>
      <c r="M67" s="1270"/>
      <c r="N67" s="1270"/>
      <c r="O67"/>
      <c r="P67"/>
      <c r="Q67"/>
      <c r="R67"/>
      <c r="S67"/>
      <c r="T67"/>
      <c r="U67"/>
    </row>
    <row r="68" spans="3:21" s="1099" customFormat="1">
      <c r="G68" s="1099" t="s">
        <v>879</v>
      </c>
      <c r="H68" s="1100" t="s">
        <v>880</v>
      </c>
      <c r="I68" s="1270"/>
      <c r="J68" s="1270"/>
      <c r="K68" s="1270"/>
      <c r="L68" s="1270"/>
      <c r="M68" s="1270"/>
      <c r="N68" s="1270"/>
      <c r="O68"/>
      <c r="P68"/>
      <c r="Q68"/>
      <c r="R68"/>
      <c r="S68"/>
      <c r="T68"/>
      <c r="U68"/>
    </row>
    <row r="69" spans="3:21" s="1099" customFormat="1">
      <c r="G69" s="1099" t="s">
        <v>901</v>
      </c>
      <c r="H69" s="1100" t="s">
        <v>902</v>
      </c>
      <c r="I69" s="1270"/>
      <c r="J69" s="1270"/>
      <c r="K69" s="1270"/>
      <c r="L69" s="1270"/>
      <c r="M69" s="1270"/>
      <c r="N69" s="1270"/>
      <c r="O69"/>
      <c r="P69"/>
      <c r="Q69"/>
      <c r="R69"/>
      <c r="S69"/>
      <c r="T69"/>
      <c r="U69"/>
    </row>
    <row r="70" spans="3:21" s="1099" customFormat="1">
      <c r="G70" s="1099" t="s">
        <v>4395</v>
      </c>
      <c r="H70" s="1100" t="s">
        <v>701</v>
      </c>
      <c r="I70" s="1270"/>
      <c r="J70" s="1270"/>
      <c r="K70" s="1270"/>
      <c r="L70" s="1270"/>
      <c r="M70" s="1270"/>
      <c r="N70" s="1270"/>
      <c r="O70"/>
      <c r="P70"/>
      <c r="Q70"/>
      <c r="R70"/>
      <c r="S70"/>
      <c r="T70"/>
      <c r="U70"/>
    </row>
    <row r="71" spans="3:21" s="1099" customFormat="1">
      <c r="G71" s="1099">
        <v>2616</v>
      </c>
      <c r="H71" s="1100" t="s">
        <v>910</v>
      </c>
      <c r="I71" s="1270"/>
      <c r="J71" s="1270"/>
      <c r="K71" s="1270"/>
      <c r="L71" s="1270"/>
      <c r="M71" s="1270"/>
      <c r="N71" s="1270"/>
      <c r="O71"/>
      <c r="P71"/>
      <c r="Q71"/>
      <c r="R71"/>
      <c r="S71"/>
      <c r="T71"/>
      <c r="U71"/>
    </row>
    <row r="72" spans="3:21" s="1099" customFormat="1">
      <c r="E72" s="1099" t="s">
        <v>3347</v>
      </c>
      <c r="F72" s="1099" t="s">
        <v>3347</v>
      </c>
      <c r="G72" s="1099" t="s">
        <v>3347</v>
      </c>
      <c r="H72" s="1100" t="s">
        <v>3347</v>
      </c>
      <c r="I72" s="1270"/>
      <c r="J72" s="1270"/>
      <c r="K72" s="1270"/>
      <c r="L72" s="1270"/>
      <c r="M72" s="1270"/>
      <c r="N72" s="1270"/>
      <c r="O72"/>
      <c r="P72"/>
      <c r="Q72"/>
      <c r="R72"/>
      <c r="S72"/>
      <c r="T72"/>
      <c r="U72"/>
    </row>
    <row r="73" spans="3:21" s="1099" customFormat="1">
      <c r="C73" s="1099">
        <v>2700</v>
      </c>
      <c r="D73" s="1099" t="s">
        <v>912</v>
      </c>
      <c r="E73" s="1099">
        <v>2730</v>
      </c>
      <c r="F73" s="1099" t="s">
        <v>958</v>
      </c>
      <c r="G73" s="1099">
        <v>2731</v>
      </c>
      <c r="H73" s="1100" t="s">
        <v>1010</v>
      </c>
      <c r="I73" s="1270"/>
      <c r="J73" s="1270"/>
      <c r="K73" s="1270"/>
      <c r="L73" s="1270"/>
      <c r="M73" s="1270"/>
      <c r="N73" s="1270"/>
      <c r="O73"/>
      <c r="P73"/>
      <c r="Q73"/>
      <c r="R73"/>
      <c r="S73"/>
      <c r="T73"/>
      <c r="U73"/>
    </row>
    <row r="74" spans="3:21" s="1099" customFormat="1">
      <c r="G74" s="1099">
        <v>2735</v>
      </c>
      <c r="H74" s="1100" t="s">
        <v>959</v>
      </c>
      <c r="I74" s="1270"/>
      <c r="J74" s="1270"/>
      <c r="K74" s="1270"/>
      <c r="L74" s="1270"/>
      <c r="M74" s="1270"/>
      <c r="N74" s="1270"/>
      <c r="O74"/>
      <c r="P74"/>
      <c r="Q74"/>
      <c r="R74"/>
      <c r="S74"/>
      <c r="T74"/>
      <c r="U74"/>
    </row>
    <row r="75" spans="3:21" s="1099" customFormat="1">
      <c r="E75" s="1099" t="s">
        <v>839</v>
      </c>
      <c r="F75" s="1099" t="s">
        <v>840</v>
      </c>
      <c r="G75" s="1099" t="s">
        <v>841</v>
      </c>
      <c r="H75" s="1100" t="s">
        <v>842</v>
      </c>
      <c r="I75" s="1270"/>
      <c r="J75" s="1270"/>
      <c r="K75" s="1270"/>
      <c r="L75" s="1270"/>
      <c r="M75" s="1270"/>
      <c r="N75" s="1270"/>
      <c r="O75"/>
      <c r="P75"/>
      <c r="Q75"/>
      <c r="R75"/>
      <c r="S75"/>
      <c r="T75"/>
      <c r="U75"/>
    </row>
    <row r="76" spans="3:21" s="1099" customFormat="1">
      <c r="E76" s="1099" t="s">
        <v>922</v>
      </c>
      <c r="F76" s="1099" t="s">
        <v>923</v>
      </c>
      <c r="G76" s="1099">
        <v>2720</v>
      </c>
      <c r="H76" s="1100" t="s">
        <v>923</v>
      </c>
      <c r="I76" s="1270"/>
      <c r="J76" s="1270"/>
      <c r="K76" s="1270"/>
      <c r="L76" s="1270"/>
      <c r="M76" s="1270"/>
      <c r="N76" s="1270"/>
      <c r="O76"/>
      <c r="P76"/>
      <c r="Q76"/>
      <c r="R76"/>
      <c r="S76"/>
      <c r="T76"/>
      <c r="U76"/>
    </row>
    <row r="77" spans="3:21" s="1099" customFormat="1">
      <c r="G77" s="1099" t="s">
        <v>922</v>
      </c>
      <c r="H77" s="1100" t="s">
        <v>923</v>
      </c>
      <c r="I77" s="1270"/>
      <c r="J77" s="1270"/>
      <c r="K77" s="1270"/>
      <c r="L77" s="1270"/>
      <c r="M77" s="1270"/>
      <c r="N77" s="1270"/>
      <c r="O77"/>
      <c r="P77"/>
      <c r="Q77"/>
      <c r="R77"/>
      <c r="S77"/>
      <c r="T77"/>
      <c r="U77"/>
    </row>
    <row r="78" spans="3:21" s="1099" customFormat="1">
      <c r="G78" s="1099" t="s">
        <v>929</v>
      </c>
      <c r="H78" s="1100" t="s">
        <v>923</v>
      </c>
      <c r="I78" s="1270"/>
      <c r="J78" s="1270"/>
      <c r="K78" s="1270"/>
      <c r="L78" s="1270"/>
      <c r="M78" s="1270"/>
      <c r="N78" s="1270"/>
      <c r="O78"/>
      <c r="P78"/>
      <c r="Q78"/>
      <c r="R78"/>
      <c r="S78"/>
      <c r="T78"/>
      <c r="U78"/>
    </row>
    <row r="79" spans="3:21" s="1099" customFormat="1">
      <c r="E79" s="1099" t="s">
        <v>966</v>
      </c>
      <c r="F79" s="1099" t="s">
        <v>958</v>
      </c>
      <c r="G79" s="1099" t="s">
        <v>967</v>
      </c>
      <c r="H79" s="1100" t="s">
        <v>968</v>
      </c>
      <c r="I79" s="1270"/>
      <c r="J79" s="1270"/>
      <c r="K79" s="1270"/>
      <c r="L79" s="1270"/>
      <c r="M79" s="1270"/>
      <c r="N79" s="1270"/>
      <c r="O79"/>
      <c r="P79"/>
      <c r="Q79"/>
      <c r="R79"/>
      <c r="S79"/>
      <c r="T79"/>
      <c r="U79"/>
    </row>
    <row r="80" spans="3:21" s="1099" customFormat="1">
      <c r="G80" s="1099" t="s">
        <v>975</v>
      </c>
      <c r="H80" s="1100" t="s">
        <v>968</v>
      </c>
      <c r="I80" s="1270"/>
      <c r="J80" s="1270"/>
      <c r="K80" s="1270"/>
      <c r="L80" s="1270"/>
      <c r="M80" s="1270"/>
      <c r="N80" s="1270"/>
      <c r="O80"/>
      <c r="P80"/>
      <c r="Q80"/>
      <c r="R80"/>
      <c r="S80"/>
      <c r="T80"/>
      <c r="U80"/>
    </row>
    <row r="81" spans="1:21">
      <c r="B81" s="1099"/>
      <c r="C81" s="1099"/>
      <c r="D81" s="1099"/>
      <c r="E81" s="1099"/>
      <c r="F81" s="1099"/>
      <c r="G81" s="1099" t="s">
        <v>997</v>
      </c>
      <c r="H81" s="1100" t="s">
        <v>998</v>
      </c>
      <c r="I81" s="1270"/>
      <c r="J81" s="1270"/>
      <c r="K81" s="1270"/>
      <c r="L81" s="1270"/>
      <c r="M81" s="1270"/>
      <c r="N81" s="1270"/>
    </row>
    <row r="82" spans="1:21" s="1099" customFormat="1">
      <c r="G82" s="1099" t="s">
        <v>1002</v>
      </c>
      <c r="H82" s="1100" t="s">
        <v>998</v>
      </c>
      <c r="I82" s="1270"/>
      <c r="J82" s="1270"/>
      <c r="K82" s="1270"/>
      <c r="L82" s="1270"/>
      <c r="M82" s="1270"/>
      <c r="N82" s="1270"/>
      <c r="O82"/>
      <c r="P82"/>
      <c r="Q82"/>
      <c r="R82"/>
      <c r="S82"/>
      <c r="T82"/>
      <c r="U82"/>
    </row>
    <row r="83" spans="1:21" s="1099" customFormat="1">
      <c r="G83" s="1099" t="s">
        <v>6587</v>
      </c>
      <c r="H83" s="1100" t="s">
        <v>1010</v>
      </c>
      <c r="I83" s="1270"/>
      <c r="J83" s="1270"/>
      <c r="K83" s="1270"/>
      <c r="L83" s="1270"/>
      <c r="M83" s="1270"/>
      <c r="N83" s="1270"/>
      <c r="O83"/>
      <c r="P83"/>
      <c r="Q83"/>
      <c r="R83"/>
      <c r="S83"/>
      <c r="T83"/>
      <c r="U83"/>
    </row>
    <row r="84" spans="1:21" s="1099" customFormat="1">
      <c r="E84" s="1099" t="s">
        <v>1026</v>
      </c>
      <c r="F84" s="1099" t="s">
        <v>913</v>
      </c>
      <c r="G84" s="1099">
        <v>2750</v>
      </c>
      <c r="H84" s="1100" t="s">
        <v>913</v>
      </c>
      <c r="I84" s="1270"/>
      <c r="J84" s="1270"/>
      <c r="K84" s="1270"/>
      <c r="L84" s="1270"/>
      <c r="M84" s="1270"/>
      <c r="N84" s="1270"/>
      <c r="O84"/>
      <c r="P84"/>
      <c r="Q84"/>
      <c r="R84"/>
      <c r="S84"/>
      <c r="T84"/>
      <c r="U84"/>
    </row>
    <row r="85" spans="1:21" s="1099" customFormat="1">
      <c r="G85" s="1099" t="s">
        <v>1026</v>
      </c>
      <c r="H85" s="1100" t="s">
        <v>913</v>
      </c>
      <c r="I85" s="1270"/>
      <c r="J85" s="1270"/>
      <c r="K85" s="1270"/>
      <c r="L85" s="1270"/>
      <c r="M85" s="1270"/>
      <c r="N85" s="1270"/>
      <c r="O85"/>
      <c r="P85"/>
      <c r="Q85"/>
      <c r="R85"/>
      <c r="S85"/>
      <c r="T85"/>
      <c r="U85"/>
    </row>
    <row r="86" spans="1:21" s="1099" customFormat="1">
      <c r="E86" s="1099" t="s">
        <v>3347</v>
      </c>
      <c r="F86" s="1099" t="s">
        <v>3347</v>
      </c>
      <c r="G86" s="1099" t="s">
        <v>3347</v>
      </c>
      <c r="H86" s="1100" t="s">
        <v>3347</v>
      </c>
      <c r="I86" s="1270"/>
      <c r="J86" s="1270"/>
      <c r="K86" s="1270"/>
      <c r="L86" s="1270"/>
      <c r="M86" s="1270"/>
      <c r="N86" s="1270"/>
      <c r="O86"/>
      <c r="P86"/>
      <c r="Q86"/>
      <c r="R86"/>
      <c r="S86"/>
      <c r="T86"/>
      <c r="U86"/>
    </row>
    <row r="87" spans="1:21" s="1099" customFormat="1">
      <c r="E87" s="1099">
        <v>2710</v>
      </c>
      <c r="F87" s="1099" t="s">
        <v>917</v>
      </c>
      <c r="G87" s="1099">
        <v>2710</v>
      </c>
      <c r="H87" s="1100" t="s">
        <v>917</v>
      </c>
      <c r="I87" s="1270"/>
      <c r="J87" s="1270"/>
      <c r="K87" s="1270"/>
      <c r="L87" s="1270"/>
      <c r="M87" s="1270"/>
      <c r="N87" s="1270"/>
      <c r="O87"/>
      <c r="P87"/>
      <c r="Q87"/>
      <c r="R87"/>
      <c r="S87"/>
      <c r="T87"/>
      <c r="U87"/>
    </row>
    <row r="88" spans="1:21" s="1099" customFormat="1">
      <c r="E88" s="1099" t="s">
        <v>6588</v>
      </c>
      <c r="F88" s="1099" t="s">
        <v>913</v>
      </c>
      <c r="G88" s="1099" t="s">
        <v>121</v>
      </c>
      <c r="H88" s="1100" t="s">
        <v>913</v>
      </c>
      <c r="I88" s="1270"/>
      <c r="J88" s="1270"/>
      <c r="K88" s="1270"/>
      <c r="L88" s="1270"/>
      <c r="M88" s="1270"/>
      <c r="N88" s="1270"/>
      <c r="O88"/>
      <c r="P88"/>
      <c r="Q88"/>
      <c r="R88"/>
      <c r="S88"/>
      <c r="T88"/>
      <c r="U88"/>
    </row>
    <row r="89" spans="1:21" s="1099" customFormat="1">
      <c r="A89" s="1099">
        <v>3000</v>
      </c>
      <c r="B89" s="1099" t="s">
        <v>1316</v>
      </c>
      <c r="C89" s="1099">
        <v>3500</v>
      </c>
      <c r="D89" s="1099" t="s">
        <v>452</v>
      </c>
      <c r="E89" s="1099">
        <v>3510</v>
      </c>
      <c r="F89" s="1099" t="s">
        <v>454</v>
      </c>
      <c r="G89" s="1099">
        <v>3512</v>
      </c>
      <c r="H89" s="1100" t="s">
        <v>456</v>
      </c>
      <c r="I89" s="1270"/>
      <c r="J89" s="1270"/>
      <c r="K89" s="1270"/>
      <c r="L89" s="1270"/>
      <c r="M89" s="1270"/>
      <c r="N89" s="1270"/>
      <c r="O89"/>
      <c r="P89"/>
      <c r="Q89"/>
      <c r="R89"/>
      <c r="S89"/>
      <c r="T89"/>
      <c r="U89"/>
    </row>
    <row r="90" spans="1:21" s="1099" customFormat="1">
      <c r="B90" s="1099" t="s">
        <v>1072</v>
      </c>
      <c r="C90" s="1099" t="s">
        <v>3347</v>
      </c>
      <c r="D90" s="1099" t="s">
        <v>3347</v>
      </c>
      <c r="E90" s="1099" t="s">
        <v>3347</v>
      </c>
      <c r="F90" s="1099" t="s">
        <v>3347</v>
      </c>
      <c r="G90" s="1099" t="s">
        <v>3347</v>
      </c>
      <c r="H90" s="1100" t="s">
        <v>3347</v>
      </c>
      <c r="I90" s="1270"/>
      <c r="J90" s="1270"/>
      <c r="K90" s="1270"/>
      <c r="L90" s="1270"/>
      <c r="M90" s="1270"/>
      <c r="N90" s="1270"/>
      <c r="O90"/>
      <c r="P90"/>
      <c r="Q90"/>
      <c r="R90"/>
      <c r="S90"/>
      <c r="T90"/>
      <c r="U90"/>
    </row>
    <row r="91" spans="1:21" s="1099" customFormat="1">
      <c r="C91" s="1099">
        <v>3100</v>
      </c>
      <c r="D91" s="1099" t="s">
        <v>120</v>
      </c>
      <c r="E91" s="1099">
        <v>3110</v>
      </c>
      <c r="F91" s="1099" t="s">
        <v>122</v>
      </c>
      <c r="G91" s="1099">
        <v>3114</v>
      </c>
      <c r="H91" s="1100" t="s">
        <v>3535</v>
      </c>
      <c r="I91" s="1270"/>
      <c r="J91" s="1270"/>
      <c r="K91" s="1270"/>
      <c r="L91" s="1270"/>
      <c r="M91" s="1270"/>
      <c r="N91" s="1270"/>
      <c r="O91"/>
      <c r="P91"/>
      <c r="Q91"/>
      <c r="R91"/>
      <c r="S91"/>
      <c r="T91"/>
      <c r="U91"/>
    </row>
    <row r="92" spans="1:21" s="1099" customFormat="1">
      <c r="E92" s="1099">
        <v>3130</v>
      </c>
      <c r="F92" s="1099" t="s">
        <v>148</v>
      </c>
      <c r="G92" s="1099">
        <v>3130</v>
      </c>
      <c r="H92" s="1100" t="s">
        <v>148</v>
      </c>
      <c r="I92" s="1270"/>
      <c r="J92" s="1270"/>
      <c r="K92" s="1270"/>
      <c r="L92" s="1270"/>
      <c r="M92" s="1270"/>
      <c r="N92" s="1270"/>
      <c r="O92"/>
      <c r="P92"/>
      <c r="Q92"/>
      <c r="R92"/>
      <c r="S92"/>
      <c r="T92"/>
      <c r="U92"/>
    </row>
    <row r="93" spans="1:21" s="1099" customFormat="1">
      <c r="G93" s="1099">
        <v>3131</v>
      </c>
      <c r="H93" s="1100" t="s">
        <v>203</v>
      </c>
      <c r="I93" s="1270"/>
      <c r="J93" s="1270"/>
      <c r="K93" s="1270"/>
      <c r="L93" s="1270"/>
      <c r="M93" s="1270"/>
      <c r="N93" s="1270"/>
      <c r="O93"/>
      <c r="P93"/>
      <c r="Q93"/>
      <c r="R93"/>
      <c r="S93"/>
      <c r="T93"/>
      <c r="U93"/>
    </row>
    <row r="94" spans="1:21" s="1099" customFormat="1">
      <c r="G94" s="1099">
        <v>3132</v>
      </c>
      <c r="H94" s="1100" t="s">
        <v>1247</v>
      </c>
      <c r="I94" s="1270"/>
      <c r="J94" s="1270"/>
      <c r="K94" s="1270"/>
      <c r="L94" s="1270"/>
      <c r="M94" s="1270"/>
      <c r="N94" s="1270"/>
      <c r="O94"/>
      <c r="P94"/>
      <c r="Q94"/>
      <c r="R94"/>
      <c r="S94"/>
      <c r="T94"/>
      <c r="U94"/>
    </row>
    <row r="95" spans="1:21" s="1099" customFormat="1">
      <c r="G95" s="1099">
        <v>3133</v>
      </c>
      <c r="H95" s="1100" t="s">
        <v>1253</v>
      </c>
      <c r="I95" s="1270"/>
      <c r="J95" s="1270"/>
      <c r="K95" s="1270"/>
      <c r="L95" s="1270"/>
      <c r="M95" s="1270"/>
      <c r="N95" s="1270"/>
      <c r="O95"/>
      <c r="P95"/>
      <c r="Q95"/>
      <c r="R95"/>
      <c r="S95"/>
      <c r="T95"/>
      <c r="U95"/>
    </row>
    <row r="96" spans="1:21" s="1099" customFormat="1">
      <c r="G96" s="1099">
        <v>3134</v>
      </c>
      <c r="H96" s="1100" t="s">
        <v>1254</v>
      </c>
      <c r="I96" s="1270"/>
      <c r="J96" s="1270"/>
      <c r="K96" s="1270"/>
      <c r="L96" s="1270"/>
      <c r="M96" s="1270"/>
      <c r="N96" s="1270"/>
      <c r="O96"/>
      <c r="P96"/>
      <c r="Q96"/>
      <c r="R96"/>
      <c r="S96"/>
      <c r="T96"/>
      <c r="U96"/>
    </row>
    <row r="97" spans="7:21" s="1099" customFormat="1">
      <c r="G97" s="1099">
        <v>3135</v>
      </c>
      <c r="H97" s="1100" t="s">
        <v>1255</v>
      </c>
      <c r="I97" s="1270"/>
      <c r="J97" s="1270"/>
      <c r="K97" s="1270"/>
      <c r="L97" s="1270"/>
      <c r="M97" s="1270"/>
      <c r="N97" s="1270"/>
      <c r="O97"/>
      <c r="P97"/>
      <c r="Q97"/>
      <c r="R97"/>
      <c r="S97"/>
      <c r="T97"/>
      <c r="U97"/>
    </row>
    <row r="98" spans="7:21" s="1099" customFormat="1">
      <c r="G98" s="1099">
        <v>3136</v>
      </c>
      <c r="H98" s="1100" t="s">
        <v>1192</v>
      </c>
      <c r="I98" s="1270"/>
      <c r="J98" s="1270"/>
      <c r="K98" s="1270"/>
      <c r="L98" s="1270"/>
      <c r="M98" s="1270"/>
      <c r="N98" s="1270"/>
      <c r="O98"/>
      <c r="P98"/>
      <c r="Q98"/>
      <c r="R98"/>
      <c r="S98"/>
      <c r="T98"/>
      <c r="U98"/>
    </row>
    <row r="99" spans="7:21" s="1099" customFormat="1">
      <c r="G99" s="1099">
        <v>3138</v>
      </c>
      <c r="H99" s="1100" t="s">
        <v>3551</v>
      </c>
      <c r="I99" s="1270"/>
      <c r="J99" s="1270"/>
      <c r="K99" s="1270"/>
      <c r="L99" s="1270"/>
      <c r="M99" s="1270"/>
      <c r="N99" s="1270"/>
      <c r="O99"/>
      <c r="P99"/>
      <c r="Q99"/>
      <c r="R99"/>
      <c r="S99"/>
      <c r="T99"/>
      <c r="U99"/>
    </row>
    <row r="100" spans="7:21" s="1099" customFormat="1">
      <c r="H100" s="1100" t="s">
        <v>3549</v>
      </c>
      <c r="I100" s="1270"/>
      <c r="J100" s="1270"/>
      <c r="K100" s="1270"/>
      <c r="L100" s="1270"/>
      <c r="M100" s="1270"/>
      <c r="N100" s="1270"/>
      <c r="O100"/>
      <c r="P100"/>
      <c r="Q100"/>
      <c r="R100"/>
      <c r="S100"/>
      <c r="T100"/>
      <c r="U100"/>
    </row>
    <row r="101" spans="7:21" s="1099" customFormat="1">
      <c r="H101" s="1100" t="s">
        <v>1170</v>
      </c>
      <c r="I101" s="1270"/>
      <c r="J101" s="1270"/>
      <c r="K101" s="1270"/>
      <c r="L101" s="1270"/>
      <c r="M101" s="1270"/>
      <c r="N101" s="1270"/>
      <c r="O101"/>
      <c r="P101"/>
      <c r="Q101"/>
      <c r="R101"/>
      <c r="S101"/>
      <c r="T101"/>
      <c r="U101"/>
    </row>
    <row r="102" spans="7:21" s="1099" customFormat="1">
      <c r="H102" s="1100" t="s">
        <v>1213</v>
      </c>
      <c r="I102" s="1270"/>
      <c r="J102" s="1270"/>
      <c r="K102" s="1270"/>
      <c r="L102" s="1270"/>
      <c r="M102" s="1270"/>
      <c r="N102" s="1270"/>
      <c r="O102"/>
      <c r="P102"/>
      <c r="Q102"/>
      <c r="R102"/>
      <c r="S102"/>
      <c r="T102"/>
      <c r="U102"/>
    </row>
    <row r="103" spans="7:21" s="1099" customFormat="1">
      <c r="H103" s="1100" t="s">
        <v>1222</v>
      </c>
      <c r="I103" s="1270"/>
      <c r="J103" s="1270"/>
      <c r="K103" s="1270"/>
      <c r="L103" s="1270"/>
      <c r="M103" s="1270"/>
      <c r="N103" s="1270"/>
      <c r="O103"/>
      <c r="P103"/>
      <c r="Q103"/>
      <c r="R103"/>
      <c r="S103"/>
      <c r="T103"/>
      <c r="U103"/>
    </row>
    <row r="104" spans="7:21" s="1099" customFormat="1">
      <c r="H104" s="1100" t="s">
        <v>1232</v>
      </c>
      <c r="I104" s="1270"/>
      <c r="J104" s="1270"/>
      <c r="K104" s="1270"/>
      <c r="L104" s="1270"/>
      <c r="M104" s="1270"/>
      <c r="N104" s="1270"/>
      <c r="O104"/>
      <c r="P104"/>
      <c r="Q104"/>
      <c r="R104"/>
      <c r="S104"/>
      <c r="T104"/>
      <c r="U104"/>
    </row>
    <row r="105" spans="7:21" s="1099" customFormat="1">
      <c r="H105" s="1100" t="s">
        <v>1243</v>
      </c>
      <c r="I105" s="1270"/>
      <c r="J105" s="1270"/>
      <c r="K105" s="1270"/>
      <c r="L105" s="1270"/>
      <c r="M105" s="1270"/>
      <c r="N105" s="1270"/>
      <c r="O105"/>
      <c r="P105"/>
      <c r="Q105"/>
      <c r="R105"/>
      <c r="S105"/>
      <c r="T105"/>
      <c r="U105"/>
    </row>
    <row r="106" spans="7:21" s="1099" customFormat="1">
      <c r="H106" s="1100" t="s">
        <v>1245</v>
      </c>
      <c r="I106" s="1270"/>
      <c r="J106" s="1270"/>
      <c r="K106" s="1270"/>
      <c r="L106" s="1270"/>
      <c r="M106" s="1270"/>
      <c r="N106" s="1270"/>
      <c r="O106"/>
      <c r="P106"/>
      <c r="Q106"/>
      <c r="R106"/>
      <c r="S106"/>
      <c r="T106"/>
      <c r="U106"/>
    </row>
    <row r="107" spans="7:21" s="1099" customFormat="1">
      <c r="H107" s="1100" t="s">
        <v>1276</v>
      </c>
      <c r="I107" s="1270"/>
      <c r="J107" s="1270"/>
      <c r="K107" s="1270"/>
      <c r="L107" s="1270"/>
      <c r="M107" s="1270"/>
      <c r="N107" s="1270"/>
      <c r="O107"/>
      <c r="P107"/>
      <c r="Q107"/>
      <c r="R107"/>
      <c r="S107"/>
      <c r="T107"/>
      <c r="U107"/>
    </row>
    <row r="108" spans="7:21" s="1099" customFormat="1">
      <c r="H108" s="1100" t="s">
        <v>1165</v>
      </c>
      <c r="I108" s="1270"/>
      <c r="J108" s="1270"/>
      <c r="K108" s="1270"/>
      <c r="L108" s="1270"/>
      <c r="M108" s="1270"/>
      <c r="N108" s="1270"/>
      <c r="O108"/>
      <c r="P108"/>
      <c r="Q108"/>
      <c r="R108"/>
      <c r="S108"/>
      <c r="T108"/>
      <c r="U108"/>
    </row>
    <row r="109" spans="7:21" s="1099" customFormat="1">
      <c r="H109" s="1100" t="s">
        <v>1225</v>
      </c>
      <c r="I109" s="1270"/>
      <c r="J109" s="1270"/>
      <c r="K109" s="1270"/>
      <c r="L109" s="1270"/>
      <c r="M109" s="1270"/>
      <c r="N109" s="1270"/>
      <c r="O109"/>
      <c r="P109"/>
      <c r="Q109"/>
      <c r="R109"/>
      <c r="S109"/>
      <c r="T109"/>
      <c r="U109"/>
    </row>
    <row r="110" spans="7:21" s="1099" customFormat="1">
      <c r="H110" s="1100" t="s">
        <v>1226</v>
      </c>
      <c r="I110" s="1270"/>
      <c r="J110" s="1270"/>
      <c r="K110" s="1270"/>
      <c r="L110" s="1270"/>
      <c r="M110" s="1270"/>
      <c r="N110" s="1270"/>
      <c r="O110"/>
      <c r="P110"/>
      <c r="Q110"/>
      <c r="R110"/>
      <c r="S110"/>
      <c r="T110"/>
      <c r="U110"/>
    </row>
    <row r="111" spans="7:21" s="1099" customFormat="1">
      <c r="H111" s="1100" t="s">
        <v>1228</v>
      </c>
      <c r="I111" s="1270"/>
      <c r="J111" s="1270"/>
      <c r="K111" s="1270"/>
      <c r="L111" s="1270"/>
      <c r="M111" s="1270"/>
      <c r="N111" s="1270"/>
      <c r="O111"/>
      <c r="P111"/>
      <c r="Q111"/>
      <c r="R111"/>
      <c r="S111"/>
      <c r="T111"/>
      <c r="U111"/>
    </row>
    <row r="112" spans="7:21" s="1099" customFormat="1">
      <c r="H112" s="1100" t="s">
        <v>1230</v>
      </c>
      <c r="I112" s="1270"/>
      <c r="J112" s="1270"/>
      <c r="K112" s="1270"/>
      <c r="L112" s="1270"/>
      <c r="M112" s="1270"/>
      <c r="N112" s="1270"/>
      <c r="O112"/>
      <c r="P112"/>
      <c r="Q112"/>
      <c r="R112"/>
      <c r="S112"/>
      <c r="T112"/>
      <c r="U112"/>
    </row>
    <row r="113" spans="8:21" s="1099" customFormat="1">
      <c r="H113" s="1100" t="s">
        <v>1205</v>
      </c>
      <c r="I113" s="1270"/>
      <c r="J113" s="1270"/>
      <c r="K113" s="1270"/>
      <c r="L113" s="1270"/>
      <c r="M113" s="1270"/>
      <c r="N113" s="1270"/>
      <c r="O113"/>
      <c r="P113"/>
      <c r="Q113"/>
      <c r="R113"/>
      <c r="S113"/>
      <c r="T113"/>
      <c r="U113"/>
    </row>
    <row r="114" spans="8:21" s="1099" customFormat="1">
      <c r="H114" s="1100" t="s">
        <v>1207</v>
      </c>
      <c r="I114" s="1270"/>
      <c r="J114" s="1270"/>
      <c r="K114" s="1270"/>
      <c r="L114" s="1270"/>
      <c r="M114" s="1270"/>
      <c r="N114" s="1270"/>
      <c r="O114"/>
      <c r="P114"/>
      <c r="Q114"/>
      <c r="R114"/>
      <c r="S114"/>
      <c r="T114"/>
      <c r="U114"/>
    </row>
    <row r="115" spans="8:21" s="1099" customFormat="1">
      <c r="H115" s="1100" t="s">
        <v>1209</v>
      </c>
      <c r="I115" s="1270"/>
      <c r="J115" s="1270"/>
      <c r="K115" s="1270"/>
      <c r="L115" s="1270"/>
      <c r="M115" s="1270"/>
      <c r="N115" s="1270"/>
      <c r="O115"/>
      <c r="P115"/>
      <c r="Q115"/>
      <c r="R115"/>
      <c r="S115"/>
      <c r="T115"/>
      <c r="U115"/>
    </row>
    <row r="116" spans="8:21" s="1099" customFormat="1">
      <c r="H116" s="1100" t="s">
        <v>1211</v>
      </c>
      <c r="I116" s="1270"/>
      <c r="J116" s="1270"/>
      <c r="K116" s="1270"/>
      <c r="L116" s="1270"/>
      <c r="M116" s="1270"/>
      <c r="N116" s="1270"/>
      <c r="O116"/>
      <c r="P116"/>
      <c r="Q116"/>
      <c r="R116"/>
      <c r="S116"/>
      <c r="T116"/>
      <c r="U116"/>
    </row>
    <row r="117" spans="8:21" s="1099" customFormat="1">
      <c r="H117" s="1100" t="s">
        <v>1195</v>
      </c>
      <c r="I117" s="1270"/>
      <c r="J117" s="1270"/>
      <c r="K117" s="1270"/>
      <c r="L117" s="1270"/>
      <c r="M117" s="1270"/>
      <c r="N117" s="1270"/>
      <c r="O117"/>
      <c r="P117"/>
      <c r="Q117"/>
      <c r="R117"/>
      <c r="S117"/>
      <c r="T117"/>
      <c r="U117"/>
    </row>
    <row r="118" spans="8:21" s="1099" customFormat="1">
      <c r="H118" s="1100" t="s">
        <v>1198</v>
      </c>
      <c r="I118" s="1270"/>
      <c r="J118" s="1270"/>
      <c r="K118" s="1270"/>
      <c r="L118" s="1270"/>
      <c r="M118" s="1270"/>
      <c r="N118" s="1270"/>
      <c r="O118"/>
      <c r="P118"/>
      <c r="Q118"/>
      <c r="R118"/>
      <c r="S118"/>
      <c r="T118"/>
      <c r="U118"/>
    </row>
    <row r="119" spans="8:21" s="1099" customFormat="1">
      <c r="H119" s="1100" t="s">
        <v>1200</v>
      </c>
      <c r="I119" s="1270"/>
      <c r="J119" s="1270"/>
      <c r="K119" s="1270"/>
      <c r="L119" s="1270"/>
      <c r="M119" s="1270"/>
      <c r="N119" s="1270"/>
      <c r="O119"/>
      <c r="P119"/>
      <c r="Q119"/>
      <c r="R119"/>
      <c r="S119"/>
      <c r="T119"/>
      <c r="U119"/>
    </row>
    <row r="120" spans="8:21" s="1099" customFormat="1">
      <c r="H120" s="1100" t="s">
        <v>1202</v>
      </c>
      <c r="I120" s="1270"/>
      <c r="J120" s="1270"/>
      <c r="K120" s="1270"/>
      <c r="L120" s="1270"/>
      <c r="M120" s="1270"/>
      <c r="N120" s="1270"/>
      <c r="O120"/>
      <c r="P120"/>
      <c r="Q120"/>
      <c r="R120"/>
      <c r="S120"/>
      <c r="T120"/>
      <c r="U120"/>
    </row>
    <row r="121" spans="8:21" s="1099" customFormat="1">
      <c r="H121" s="1100" t="s">
        <v>6589</v>
      </c>
      <c r="I121" s="1270"/>
      <c r="J121" s="1270"/>
      <c r="K121" s="1270"/>
      <c r="L121" s="1270"/>
      <c r="M121" s="1270"/>
      <c r="N121" s="1270"/>
      <c r="O121"/>
      <c r="P121"/>
      <c r="Q121"/>
      <c r="R121"/>
      <c r="S121"/>
      <c r="T121"/>
      <c r="U121"/>
    </row>
    <row r="122" spans="8:21" s="1099" customFormat="1">
      <c r="H122" s="1100" t="s">
        <v>6590</v>
      </c>
      <c r="I122" s="1270"/>
      <c r="J122" s="1270"/>
      <c r="K122" s="1270"/>
      <c r="L122" s="1270"/>
      <c r="M122" s="1270"/>
      <c r="N122" s="1270"/>
      <c r="O122"/>
      <c r="P122"/>
      <c r="Q122"/>
      <c r="R122"/>
      <c r="S122"/>
      <c r="T122"/>
      <c r="U122"/>
    </row>
    <row r="123" spans="8:21" s="1099" customFormat="1">
      <c r="H123" s="1100" t="s">
        <v>6591</v>
      </c>
      <c r="I123" s="1270"/>
      <c r="J123" s="1270"/>
      <c r="K123" s="1270"/>
      <c r="L123" s="1270"/>
      <c r="M123" s="1270"/>
      <c r="N123" s="1270"/>
      <c r="O123"/>
      <c r="P123"/>
      <c r="Q123"/>
      <c r="R123"/>
      <c r="S123"/>
      <c r="T123"/>
      <c r="U123"/>
    </row>
    <row r="124" spans="8:21" s="1099" customFormat="1">
      <c r="H124" s="1100" t="s">
        <v>6592</v>
      </c>
      <c r="I124" s="1270"/>
      <c r="J124" s="1270"/>
      <c r="K124" s="1270"/>
      <c r="L124" s="1270"/>
      <c r="M124" s="1270"/>
      <c r="N124" s="1270"/>
      <c r="O124"/>
      <c r="P124"/>
      <c r="Q124"/>
      <c r="R124"/>
      <c r="S124"/>
      <c r="T124"/>
      <c r="U124"/>
    </row>
    <row r="125" spans="8:21" s="1099" customFormat="1">
      <c r="H125" s="1100" t="s">
        <v>6593</v>
      </c>
      <c r="I125" s="1270"/>
      <c r="J125" s="1270"/>
      <c r="K125" s="1270"/>
      <c r="L125" s="1270"/>
      <c r="M125" s="1270"/>
      <c r="N125" s="1270"/>
      <c r="O125"/>
      <c r="P125"/>
      <c r="Q125"/>
      <c r="R125"/>
      <c r="S125"/>
      <c r="T125"/>
      <c r="U125"/>
    </row>
    <row r="126" spans="8:21" s="1099" customFormat="1">
      <c r="H126" s="1100" t="s">
        <v>6594</v>
      </c>
      <c r="I126" s="1270"/>
      <c r="J126" s="1270"/>
      <c r="K126" s="1270"/>
      <c r="L126" s="1270"/>
      <c r="M126" s="1270"/>
      <c r="N126" s="1270"/>
      <c r="O126"/>
      <c r="P126"/>
      <c r="Q126"/>
      <c r="R126"/>
      <c r="S126"/>
      <c r="T126"/>
      <c r="U126"/>
    </row>
    <row r="127" spans="8:21" s="1099" customFormat="1">
      <c r="H127" s="1100" t="s">
        <v>6595</v>
      </c>
      <c r="I127" s="1270"/>
      <c r="J127" s="1270"/>
      <c r="K127" s="1270"/>
      <c r="L127" s="1270"/>
      <c r="M127" s="1270"/>
      <c r="N127" s="1270"/>
      <c r="O127"/>
      <c r="P127"/>
      <c r="Q127"/>
      <c r="R127"/>
      <c r="S127"/>
      <c r="T127"/>
      <c r="U127"/>
    </row>
    <row r="128" spans="8:21" s="1099" customFormat="1">
      <c r="H128" s="1100" t="s">
        <v>6596</v>
      </c>
      <c r="I128" s="1270"/>
      <c r="J128" s="1270"/>
      <c r="K128" s="1270"/>
      <c r="L128" s="1270"/>
      <c r="M128" s="1270"/>
      <c r="N128" s="1270"/>
      <c r="O128"/>
      <c r="P128"/>
      <c r="Q128"/>
      <c r="R128"/>
      <c r="S128"/>
      <c r="T128"/>
      <c r="U128"/>
    </row>
    <row r="129" spans="3:21" s="1099" customFormat="1">
      <c r="H129" s="1100" t="s">
        <v>6597</v>
      </c>
      <c r="I129" s="1270"/>
      <c r="J129" s="1270"/>
      <c r="K129" s="1270"/>
      <c r="L129" s="1270"/>
      <c r="M129" s="1270"/>
      <c r="N129" s="1270"/>
      <c r="O129"/>
      <c r="P129"/>
      <c r="Q129"/>
      <c r="R129"/>
      <c r="S129"/>
      <c r="T129"/>
      <c r="U129"/>
    </row>
    <row r="130" spans="3:21" s="1099" customFormat="1">
      <c r="H130" s="1100" t="s">
        <v>6598</v>
      </c>
      <c r="I130" s="1270"/>
      <c r="J130" s="1270"/>
      <c r="K130" s="1270"/>
      <c r="L130" s="1270"/>
      <c r="M130" s="1270"/>
      <c r="N130" s="1270"/>
      <c r="O130"/>
      <c r="P130"/>
      <c r="Q130"/>
      <c r="R130"/>
      <c r="S130"/>
      <c r="T130"/>
      <c r="U130"/>
    </row>
    <row r="131" spans="3:21" s="1099" customFormat="1">
      <c r="H131" s="1100" t="s">
        <v>6599</v>
      </c>
      <c r="I131" s="1270"/>
      <c r="J131" s="1270"/>
      <c r="K131" s="1270"/>
      <c r="L131" s="1270"/>
      <c r="M131" s="1270"/>
      <c r="N131" s="1270"/>
      <c r="O131"/>
      <c r="P131"/>
      <c r="Q131"/>
      <c r="R131"/>
      <c r="S131"/>
      <c r="T131"/>
      <c r="U131"/>
    </row>
    <row r="132" spans="3:21" s="1099" customFormat="1">
      <c r="H132" s="1100" t="s">
        <v>1235</v>
      </c>
      <c r="I132" s="1270"/>
      <c r="J132" s="1270"/>
      <c r="K132" s="1270"/>
      <c r="L132" s="1270"/>
      <c r="M132" s="1270"/>
      <c r="N132" s="1270"/>
      <c r="O132"/>
      <c r="P132"/>
      <c r="Q132"/>
      <c r="R132"/>
      <c r="S132"/>
      <c r="T132"/>
      <c r="U132"/>
    </row>
    <row r="133" spans="3:21" s="1099" customFormat="1" ht="26.5">
      <c r="H133" s="1100" t="s">
        <v>1193</v>
      </c>
      <c r="I133" s="1270"/>
      <c r="J133" s="1270"/>
      <c r="K133" s="1270"/>
      <c r="L133" s="1270"/>
      <c r="M133" s="1270"/>
      <c r="N133" s="1270"/>
      <c r="O133"/>
      <c r="P133"/>
      <c r="Q133"/>
      <c r="R133"/>
      <c r="S133"/>
      <c r="T133"/>
      <c r="U133"/>
    </row>
    <row r="134" spans="3:21" s="1099" customFormat="1">
      <c r="G134" s="1099">
        <v>3139</v>
      </c>
      <c r="H134" s="1100" t="s">
        <v>1172</v>
      </c>
      <c r="I134" s="1270"/>
      <c r="J134" s="1270"/>
      <c r="K134" s="1270"/>
      <c r="L134" s="1270"/>
      <c r="M134" s="1270"/>
      <c r="N134" s="1270"/>
      <c r="O134"/>
      <c r="P134"/>
      <c r="Q134"/>
      <c r="R134"/>
      <c r="S134"/>
      <c r="T134"/>
      <c r="U134"/>
    </row>
    <row r="135" spans="3:21" s="1099" customFormat="1">
      <c r="G135" s="1099" t="s">
        <v>2678</v>
      </c>
      <c r="H135" s="1100" t="s">
        <v>3541</v>
      </c>
      <c r="I135" s="1270"/>
      <c r="J135" s="1270"/>
      <c r="K135" s="1270"/>
      <c r="L135" s="1270"/>
      <c r="M135" s="1270"/>
      <c r="N135" s="1270"/>
      <c r="O135"/>
      <c r="P135"/>
      <c r="Q135"/>
      <c r="R135"/>
      <c r="S135"/>
      <c r="T135"/>
      <c r="U135"/>
    </row>
    <row r="136" spans="3:21" s="1099" customFormat="1">
      <c r="H136" s="1100" t="s">
        <v>3542</v>
      </c>
      <c r="I136" s="1270"/>
      <c r="J136" s="1270"/>
      <c r="K136" s="1270"/>
      <c r="L136" s="1270"/>
      <c r="M136" s="1270"/>
      <c r="N136" s="1270"/>
      <c r="O136"/>
      <c r="P136"/>
      <c r="Q136"/>
      <c r="R136"/>
      <c r="S136"/>
      <c r="T136"/>
      <c r="U136"/>
    </row>
    <row r="137" spans="3:21" s="1099" customFormat="1">
      <c r="H137" s="1100" t="s">
        <v>3543</v>
      </c>
      <c r="I137" s="1270"/>
      <c r="J137" s="1270"/>
      <c r="K137" s="1270"/>
      <c r="L137" s="1270"/>
      <c r="M137" s="1270"/>
      <c r="N137" s="1270"/>
      <c r="O137"/>
      <c r="P137"/>
      <c r="Q137"/>
      <c r="R137"/>
      <c r="S137"/>
      <c r="T137"/>
      <c r="U137"/>
    </row>
    <row r="138" spans="3:21" s="1099" customFormat="1">
      <c r="H138" s="1100" t="s">
        <v>3544</v>
      </c>
      <c r="I138" s="1270"/>
      <c r="J138" s="1270"/>
      <c r="K138" s="1270"/>
      <c r="L138" s="1270"/>
      <c r="M138" s="1270"/>
      <c r="N138" s="1270"/>
      <c r="O138"/>
      <c r="P138"/>
      <c r="Q138"/>
      <c r="R138"/>
      <c r="S138"/>
      <c r="T138"/>
      <c r="U138"/>
    </row>
    <row r="139" spans="3:21" s="1099" customFormat="1">
      <c r="E139" s="1099" t="s">
        <v>1073</v>
      </c>
      <c r="F139" s="1099" t="s">
        <v>122</v>
      </c>
      <c r="G139" s="1099" t="s">
        <v>1074</v>
      </c>
      <c r="H139" s="1100" t="s">
        <v>1075</v>
      </c>
      <c r="I139" s="1270"/>
      <c r="J139" s="1270"/>
      <c r="K139" s="1270"/>
      <c r="L139" s="1270"/>
      <c r="M139" s="1270"/>
      <c r="N139" s="1270"/>
      <c r="O139"/>
      <c r="P139"/>
      <c r="Q139"/>
      <c r="R139"/>
      <c r="S139"/>
      <c r="T139"/>
      <c r="U139"/>
    </row>
    <row r="140" spans="3:21" s="1099" customFormat="1">
      <c r="G140" s="1099" t="s">
        <v>1112</v>
      </c>
      <c r="H140" s="1100" t="s">
        <v>1113</v>
      </c>
      <c r="I140" s="1270"/>
      <c r="J140" s="1270"/>
      <c r="K140" s="1270"/>
      <c r="L140" s="1270"/>
      <c r="M140" s="1270"/>
      <c r="N140" s="1270"/>
      <c r="O140"/>
      <c r="P140"/>
      <c r="Q140"/>
      <c r="R140"/>
      <c r="S140"/>
      <c r="T140"/>
      <c r="U140"/>
    </row>
    <row r="141" spans="3:21" s="1099" customFormat="1">
      <c r="G141" s="1099" t="s">
        <v>1142</v>
      </c>
      <c r="H141" s="1100" t="s">
        <v>1143</v>
      </c>
      <c r="I141" s="1270"/>
      <c r="J141" s="1270"/>
      <c r="K141" s="1270"/>
      <c r="L141" s="1270"/>
      <c r="M141" s="1270"/>
      <c r="N141" s="1270"/>
      <c r="O141"/>
      <c r="P141"/>
      <c r="Q141"/>
      <c r="R141"/>
      <c r="S141"/>
      <c r="T141"/>
      <c r="U141"/>
    </row>
    <row r="142" spans="3:21" s="1099" customFormat="1">
      <c r="E142" s="1099" t="s">
        <v>1277</v>
      </c>
      <c r="F142" s="1099" t="s">
        <v>1278</v>
      </c>
      <c r="G142" s="1099" t="s">
        <v>1277</v>
      </c>
      <c r="H142" s="1100" t="s">
        <v>1278</v>
      </c>
      <c r="I142" s="1270"/>
      <c r="J142" s="1270"/>
      <c r="K142" s="1270"/>
      <c r="L142" s="1270"/>
      <c r="M142" s="1270"/>
      <c r="N142" s="1270"/>
      <c r="O142"/>
      <c r="P142"/>
      <c r="Q142"/>
      <c r="R142"/>
      <c r="S142"/>
      <c r="T142"/>
      <c r="U142"/>
    </row>
    <row r="143" spans="3:21" s="1099" customFormat="1">
      <c r="E143" s="1099" t="s">
        <v>3347</v>
      </c>
      <c r="F143" s="1099" t="s">
        <v>3347</v>
      </c>
      <c r="G143" s="1099" t="s">
        <v>3347</v>
      </c>
      <c r="H143" s="1100" t="s">
        <v>3347</v>
      </c>
      <c r="I143" s="1270"/>
      <c r="J143" s="1270"/>
      <c r="K143" s="1270"/>
      <c r="L143" s="1270"/>
      <c r="M143" s="1270"/>
      <c r="N143" s="1270"/>
      <c r="O143"/>
      <c r="P143"/>
      <c r="Q143"/>
      <c r="R143"/>
      <c r="S143"/>
      <c r="T143"/>
      <c r="U143"/>
    </row>
    <row r="144" spans="3:21" s="1099" customFormat="1">
      <c r="C144" s="1099">
        <v>3200</v>
      </c>
      <c r="D144" s="1099" t="s">
        <v>120</v>
      </c>
      <c r="E144" s="1099">
        <v>3210</v>
      </c>
      <c r="F144" s="1099" t="s">
        <v>2421</v>
      </c>
      <c r="G144" s="1099">
        <v>3212</v>
      </c>
      <c r="H144" s="1100" t="s">
        <v>2422</v>
      </c>
      <c r="I144" s="1270"/>
      <c r="J144" s="1270"/>
      <c r="K144" s="1270"/>
      <c r="L144" s="1270"/>
      <c r="M144" s="1270"/>
      <c r="N144" s="1270"/>
      <c r="O144"/>
      <c r="P144"/>
      <c r="Q144"/>
      <c r="R144"/>
      <c r="S144"/>
      <c r="T144"/>
      <c r="U144"/>
    </row>
    <row r="145" spans="1:21" s="1099" customFormat="1">
      <c r="F145" s="1099" t="s">
        <v>1311</v>
      </c>
      <c r="G145" s="1099">
        <v>3213</v>
      </c>
      <c r="H145" s="1100" t="s">
        <v>1307</v>
      </c>
      <c r="I145" s="1270"/>
      <c r="J145" s="1270"/>
      <c r="K145" s="1270"/>
      <c r="L145" s="1270"/>
      <c r="M145" s="1270"/>
      <c r="N145" s="1270"/>
      <c r="O145"/>
      <c r="P145"/>
      <c r="Q145"/>
      <c r="R145"/>
      <c r="S145"/>
      <c r="T145"/>
      <c r="U145"/>
    </row>
    <row r="146" spans="1:21" s="1099" customFormat="1">
      <c r="A146" s="1099">
        <v>4000</v>
      </c>
      <c r="B146" s="1099" t="s">
        <v>2420</v>
      </c>
      <c r="C146" s="1099">
        <v>4100</v>
      </c>
      <c r="D146" s="1099" t="s">
        <v>120</v>
      </c>
      <c r="E146" s="1099">
        <v>4130</v>
      </c>
      <c r="F146" s="1099" t="s">
        <v>148</v>
      </c>
      <c r="G146" s="1099">
        <v>4131</v>
      </c>
      <c r="H146" s="1100" t="s">
        <v>1330</v>
      </c>
      <c r="I146" s="1270"/>
      <c r="J146" s="1270"/>
      <c r="K146" s="1270"/>
      <c r="L146" s="1270"/>
      <c r="M146" s="1270"/>
      <c r="N146" s="1270"/>
      <c r="O146"/>
      <c r="P146"/>
      <c r="Q146"/>
      <c r="R146"/>
      <c r="S146"/>
      <c r="T146"/>
      <c r="U146"/>
    </row>
    <row r="147" spans="1:21" s="1099" customFormat="1">
      <c r="B147" s="1099" t="s">
        <v>119</v>
      </c>
      <c r="C147" s="1099">
        <v>4100</v>
      </c>
      <c r="D147" s="1099" t="s">
        <v>120</v>
      </c>
      <c r="E147" s="1099">
        <v>4130</v>
      </c>
      <c r="F147" s="1099" t="s">
        <v>148</v>
      </c>
      <c r="G147" s="1099">
        <v>4131</v>
      </c>
      <c r="H147" s="1100" t="s">
        <v>1330</v>
      </c>
      <c r="I147" s="1270"/>
      <c r="J147" s="1270"/>
      <c r="K147" s="1270"/>
      <c r="L147" s="1270"/>
      <c r="M147" s="1270"/>
      <c r="N147" s="1270"/>
      <c r="O147"/>
      <c r="P147"/>
      <c r="Q147"/>
      <c r="R147"/>
      <c r="S147"/>
      <c r="T147"/>
      <c r="U147"/>
    </row>
    <row r="148" spans="1:21" s="1099" customFormat="1">
      <c r="B148" s="1099" t="s">
        <v>1316</v>
      </c>
      <c r="C148" s="1099">
        <v>4100</v>
      </c>
      <c r="D148" s="1099" t="s">
        <v>120</v>
      </c>
      <c r="E148" s="1099">
        <v>4130</v>
      </c>
      <c r="F148" s="1099" t="s">
        <v>148</v>
      </c>
      <c r="G148" s="1099">
        <v>4131</v>
      </c>
      <c r="H148" s="1100" t="s">
        <v>1330</v>
      </c>
      <c r="I148" s="1270"/>
      <c r="J148" s="1270"/>
      <c r="K148" s="1270"/>
      <c r="L148" s="1270"/>
      <c r="M148" s="1270"/>
      <c r="N148" s="1270"/>
      <c r="O148"/>
      <c r="P148"/>
      <c r="Q148"/>
      <c r="R148"/>
      <c r="S148"/>
      <c r="T148"/>
      <c r="U148"/>
    </row>
    <row r="149" spans="1:21" s="1099" customFormat="1">
      <c r="H149" s="1100" t="s">
        <v>1390</v>
      </c>
      <c r="I149" s="1270"/>
      <c r="J149" s="1270"/>
      <c r="K149" s="1270"/>
      <c r="L149" s="1270"/>
      <c r="M149" s="1270"/>
      <c r="N149" s="1270"/>
      <c r="O149"/>
      <c r="P149"/>
      <c r="Q149"/>
      <c r="R149"/>
      <c r="S149"/>
      <c r="T149"/>
      <c r="U149"/>
    </row>
    <row r="150" spans="1:21" s="1099" customFormat="1">
      <c r="H150" s="1100" t="s">
        <v>1957</v>
      </c>
      <c r="I150" s="1270"/>
      <c r="J150" s="1270"/>
      <c r="K150" s="1270"/>
      <c r="L150" s="1270"/>
      <c r="M150" s="1270"/>
      <c r="N150" s="1270"/>
      <c r="O150"/>
      <c r="P150"/>
      <c r="Q150"/>
      <c r="R150"/>
      <c r="S150"/>
      <c r="T150"/>
      <c r="U150"/>
    </row>
    <row r="151" spans="1:21" s="1099" customFormat="1">
      <c r="G151" s="1099">
        <v>4133</v>
      </c>
      <c r="H151" s="1100" t="s">
        <v>1368</v>
      </c>
      <c r="I151" s="1270"/>
      <c r="J151" s="1270"/>
      <c r="K151" s="1270"/>
      <c r="L151" s="1270"/>
      <c r="M151" s="1270"/>
      <c r="N151" s="1270"/>
      <c r="O151"/>
      <c r="P151"/>
      <c r="Q151"/>
      <c r="R151"/>
      <c r="S151"/>
      <c r="T151"/>
      <c r="U151"/>
    </row>
    <row r="152" spans="1:21" s="1099" customFormat="1">
      <c r="G152" s="1099">
        <v>4135</v>
      </c>
      <c r="H152" s="1100" t="s">
        <v>3553</v>
      </c>
      <c r="I152" s="1270"/>
      <c r="J152" s="1270"/>
      <c r="K152" s="1270"/>
      <c r="L152" s="1270"/>
      <c r="M152" s="1270"/>
      <c r="N152" s="1270"/>
      <c r="O152"/>
      <c r="P152"/>
      <c r="Q152"/>
      <c r="R152"/>
      <c r="S152"/>
      <c r="T152"/>
      <c r="U152"/>
    </row>
    <row r="153" spans="1:21" s="1099" customFormat="1">
      <c r="G153" s="1099">
        <v>4138</v>
      </c>
      <c r="H153" s="1100" t="s">
        <v>1245</v>
      </c>
      <c r="I153" s="1270"/>
      <c r="J153" s="1270"/>
      <c r="K153" s="1270"/>
      <c r="L153" s="1270"/>
      <c r="M153" s="1270"/>
      <c r="N153" s="1270"/>
      <c r="O153"/>
      <c r="P153"/>
      <c r="Q153"/>
      <c r="R153"/>
      <c r="S153"/>
      <c r="T153"/>
      <c r="U153"/>
    </row>
    <row r="154" spans="1:21" s="1099" customFormat="1">
      <c r="G154" s="1099">
        <v>4139</v>
      </c>
      <c r="H154" s="1100" t="s">
        <v>172</v>
      </c>
      <c r="I154" s="1270"/>
      <c r="J154" s="1270"/>
      <c r="K154" s="1270"/>
      <c r="L154" s="1270"/>
      <c r="M154" s="1270"/>
      <c r="N154" s="1270"/>
      <c r="O154"/>
      <c r="P154"/>
      <c r="Q154"/>
      <c r="R154"/>
      <c r="S154"/>
      <c r="T154"/>
      <c r="U154"/>
    </row>
    <row r="155" spans="1:21" s="1099" customFormat="1">
      <c r="E155" s="1099">
        <v>4140</v>
      </c>
      <c r="F155" s="1099" t="s">
        <v>176</v>
      </c>
      <c r="G155" s="1099">
        <v>4140</v>
      </c>
      <c r="H155" s="1100" t="s">
        <v>176</v>
      </c>
      <c r="I155" s="1270"/>
      <c r="J155" s="1270"/>
      <c r="K155" s="1270"/>
      <c r="L155" s="1270"/>
      <c r="M155" s="1270"/>
      <c r="N155" s="1270"/>
      <c r="O155"/>
      <c r="P155"/>
      <c r="Q155"/>
      <c r="R155"/>
      <c r="S155"/>
      <c r="T155"/>
      <c r="U155"/>
    </row>
    <row r="156" spans="1:21" s="1099" customFormat="1">
      <c r="E156" s="1099" t="s">
        <v>1389</v>
      </c>
      <c r="F156" s="1099" t="s">
        <v>176</v>
      </c>
      <c r="G156" s="1099">
        <v>4141</v>
      </c>
      <c r="H156" s="1100" t="s">
        <v>1390</v>
      </c>
      <c r="I156" s="1270"/>
      <c r="J156" s="1270"/>
      <c r="K156" s="1270"/>
      <c r="L156" s="1270"/>
      <c r="M156" s="1270"/>
      <c r="N156" s="1270"/>
      <c r="O156"/>
      <c r="P156"/>
      <c r="Q156"/>
      <c r="R156"/>
      <c r="S156"/>
      <c r="T156"/>
      <c r="U156"/>
    </row>
    <row r="157" spans="1:21" s="1099" customFormat="1">
      <c r="G157" s="1099">
        <v>4142</v>
      </c>
      <c r="H157" s="1100" t="s">
        <v>3491</v>
      </c>
      <c r="I157" s="1270"/>
      <c r="J157" s="1270"/>
      <c r="K157" s="1270"/>
      <c r="L157" s="1270"/>
      <c r="M157" s="1270"/>
      <c r="N157" s="1270"/>
      <c r="O157"/>
      <c r="P157"/>
      <c r="Q157"/>
      <c r="R157"/>
      <c r="S157"/>
      <c r="T157"/>
      <c r="U157"/>
    </row>
    <row r="158" spans="1:21" s="1099" customFormat="1">
      <c r="H158" s="1100" t="s">
        <v>3495</v>
      </c>
      <c r="I158" s="1270"/>
      <c r="J158" s="1270"/>
      <c r="K158" s="1270"/>
      <c r="L158" s="1270"/>
      <c r="M158" s="1270"/>
      <c r="N158" s="1270"/>
      <c r="O158"/>
      <c r="P158"/>
      <c r="Q158"/>
      <c r="R158"/>
      <c r="S158"/>
      <c r="T158"/>
      <c r="U158"/>
    </row>
    <row r="159" spans="1:21" s="1099" customFormat="1">
      <c r="G159" s="1099">
        <v>4143</v>
      </c>
      <c r="H159" s="1100" t="s">
        <v>3494</v>
      </c>
      <c r="I159" s="1270"/>
      <c r="J159" s="1270"/>
      <c r="K159" s="1270"/>
      <c r="L159" s="1270"/>
      <c r="M159" s="1270"/>
      <c r="N159" s="1270"/>
      <c r="O159"/>
      <c r="P159"/>
      <c r="Q159"/>
      <c r="R159"/>
      <c r="S159"/>
      <c r="T159"/>
      <c r="U159"/>
    </row>
    <row r="160" spans="1:21" s="1099" customFormat="1">
      <c r="G160" s="1099">
        <v>4144</v>
      </c>
      <c r="H160" s="1100" t="s">
        <v>3495</v>
      </c>
      <c r="I160" s="1270"/>
      <c r="J160" s="1270"/>
      <c r="K160" s="1270"/>
      <c r="L160" s="1270"/>
      <c r="M160" s="1270"/>
      <c r="N160" s="1270"/>
      <c r="O160"/>
      <c r="P160"/>
      <c r="Q160"/>
      <c r="R160"/>
      <c r="S160"/>
      <c r="T160"/>
      <c r="U160"/>
    </row>
    <row r="161" spans="2:21" s="1099" customFormat="1">
      <c r="G161" s="1099" t="s">
        <v>4459</v>
      </c>
      <c r="H161" s="1100" t="s">
        <v>1390</v>
      </c>
      <c r="I161" s="1270"/>
      <c r="J161" s="1270"/>
      <c r="K161" s="1270"/>
      <c r="L161" s="1270"/>
      <c r="M161" s="1270"/>
      <c r="N161" s="1270"/>
      <c r="O161"/>
      <c r="P161"/>
      <c r="Q161"/>
      <c r="R161"/>
      <c r="S161"/>
      <c r="T161"/>
      <c r="U161"/>
    </row>
    <row r="162" spans="2:21" s="1099" customFormat="1">
      <c r="G162" s="1099" t="s">
        <v>4505</v>
      </c>
      <c r="H162" s="1100" t="s">
        <v>3491</v>
      </c>
      <c r="I162" s="1270"/>
      <c r="J162" s="1270"/>
      <c r="K162" s="1270"/>
      <c r="L162" s="1270"/>
      <c r="M162" s="1270"/>
      <c r="N162" s="1270"/>
      <c r="O162"/>
      <c r="P162"/>
      <c r="Q162"/>
      <c r="R162"/>
      <c r="S162"/>
      <c r="T162"/>
      <c r="U162"/>
    </row>
    <row r="163" spans="2:21" s="1099" customFormat="1">
      <c r="G163" s="1099" t="s">
        <v>4624</v>
      </c>
      <c r="H163" s="1100" t="s">
        <v>3494</v>
      </c>
      <c r="I163" s="1270"/>
      <c r="J163" s="1270"/>
      <c r="K163" s="1270"/>
      <c r="L163" s="1270"/>
      <c r="M163" s="1270"/>
      <c r="N163" s="1270"/>
      <c r="O163"/>
      <c r="P163"/>
      <c r="Q163"/>
      <c r="R163"/>
      <c r="S163"/>
      <c r="T163"/>
      <c r="U163"/>
    </row>
    <row r="164" spans="2:21" s="1099" customFormat="1">
      <c r="G164" s="1099" t="s">
        <v>4735</v>
      </c>
      <c r="H164" s="1100" t="s">
        <v>3495</v>
      </c>
      <c r="I164" s="1270"/>
      <c r="J164" s="1270"/>
      <c r="K164" s="1270"/>
      <c r="L164" s="1270"/>
      <c r="M164" s="1270"/>
      <c r="N164" s="1270"/>
      <c r="O164"/>
      <c r="P164"/>
      <c r="Q164"/>
      <c r="R164"/>
      <c r="S164"/>
      <c r="T164"/>
      <c r="U164"/>
    </row>
    <row r="165" spans="2:21" s="1099" customFormat="1">
      <c r="E165" s="1099" t="s">
        <v>3347</v>
      </c>
      <c r="F165" s="1099" t="s">
        <v>3347</v>
      </c>
      <c r="G165" s="1099" t="s">
        <v>3347</v>
      </c>
      <c r="H165" s="1100" t="s">
        <v>3347</v>
      </c>
      <c r="I165" s="1270"/>
      <c r="J165" s="1270"/>
      <c r="K165" s="1270"/>
      <c r="L165" s="1270"/>
      <c r="M165" s="1270"/>
      <c r="N165" s="1270"/>
      <c r="O165"/>
      <c r="P165"/>
      <c r="Q165"/>
      <c r="R165"/>
      <c r="S165"/>
      <c r="T165"/>
      <c r="U165"/>
    </row>
    <row r="166" spans="2:21" s="1099" customFormat="1">
      <c r="E166" s="1099">
        <v>4110</v>
      </c>
      <c r="F166" s="1099" t="s">
        <v>122</v>
      </c>
      <c r="G166" s="1099">
        <v>4110</v>
      </c>
      <c r="H166" s="1100" t="s">
        <v>122</v>
      </c>
      <c r="I166" s="1270"/>
      <c r="J166" s="1270"/>
      <c r="K166" s="1270"/>
      <c r="L166" s="1270"/>
      <c r="M166" s="1270"/>
      <c r="N166" s="1270"/>
      <c r="O166"/>
      <c r="P166"/>
      <c r="Q166"/>
      <c r="R166"/>
      <c r="S166"/>
      <c r="T166"/>
      <c r="U166"/>
    </row>
    <row r="167" spans="2:21" s="1099" customFormat="1">
      <c r="F167" s="1099" t="s">
        <v>148</v>
      </c>
      <c r="G167" s="1099">
        <v>4136</v>
      </c>
      <c r="H167" s="1100" t="s">
        <v>1072</v>
      </c>
      <c r="I167" s="1270"/>
      <c r="J167" s="1270"/>
      <c r="K167" s="1270"/>
      <c r="L167" s="1270"/>
      <c r="M167" s="1270"/>
      <c r="N167" s="1270"/>
      <c r="O167"/>
      <c r="P167"/>
      <c r="Q167"/>
      <c r="R167"/>
      <c r="S167"/>
      <c r="T167"/>
      <c r="U167"/>
    </row>
    <row r="168" spans="2:21" s="1099" customFormat="1">
      <c r="C168" s="1099">
        <v>4200</v>
      </c>
      <c r="D168" s="1099" t="s">
        <v>1394</v>
      </c>
      <c r="E168" s="1099">
        <v>4210</v>
      </c>
      <c r="F168" s="1099" t="s">
        <v>1311</v>
      </c>
      <c r="G168" s="1099">
        <v>4211</v>
      </c>
      <c r="H168" s="1100" t="s">
        <v>1402</v>
      </c>
      <c r="I168" s="1270"/>
      <c r="J168" s="1270"/>
      <c r="K168" s="1270"/>
      <c r="L168" s="1270"/>
      <c r="M168" s="1270"/>
      <c r="N168" s="1270"/>
      <c r="O168"/>
      <c r="P168"/>
      <c r="Q168"/>
      <c r="R168"/>
      <c r="S168"/>
      <c r="T168"/>
      <c r="U168"/>
    </row>
    <row r="169" spans="2:21" s="1099" customFormat="1">
      <c r="G169" s="1099">
        <v>4212</v>
      </c>
      <c r="H169" s="1100" t="s">
        <v>1410</v>
      </c>
      <c r="I169" s="1270"/>
      <c r="J169" s="1270"/>
      <c r="K169" s="1270"/>
      <c r="L169" s="1270"/>
      <c r="M169" s="1270"/>
      <c r="N169" s="1270"/>
      <c r="O169"/>
      <c r="P169"/>
      <c r="Q169"/>
      <c r="R169"/>
      <c r="S169"/>
      <c r="T169"/>
      <c r="U169"/>
    </row>
    <row r="170" spans="2:21" s="1099" customFormat="1">
      <c r="G170" s="1099">
        <v>4213</v>
      </c>
      <c r="H170" s="1100" t="s">
        <v>1307</v>
      </c>
      <c r="I170" s="1270"/>
      <c r="J170" s="1270"/>
      <c r="K170" s="1270"/>
      <c r="L170" s="1270"/>
      <c r="M170" s="1270"/>
      <c r="N170" s="1270"/>
      <c r="O170"/>
      <c r="P170"/>
      <c r="Q170"/>
      <c r="R170"/>
      <c r="S170"/>
      <c r="T170"/>
      <c r="U170"/>
    </row>
    <row r="171" spans="2:21" s="1099" customFormat="1">
      <c r="E171" s="1099">
        <v>4220</v>
      </c>
      <c r="F171" s="1099" t="s">
        <v>454</v>
      </c>
      <c r="G171" s="1099">
        <v>4222</v>
      </c>
      <c r="H171" s="1100" t="s">
        <v>1418</v>
      </c>
      <c r="I171" s="1270"/>
      <c r="J171" s="1270"/>
      <c r="K171" s="1270"/>
      <c r="L171" s="1270"/>
      <c r="M171" s="1270"/>
      <c r="N171" s="1270"/>
      <c r="O171"/>
      <c r="P171"/>
      <c r="Q171"/>
      <c r="R171"/>
      <c r="S171"/>
      <c r="T171"/>
      <c r="U171"/>
    </row>
    <row r="172" spans="2:21" s="1099" customFormat="1">
      <c r="F172" s="1099" t="s">
        <v>3560</v>
      </c>
      <c r="G172" s="1099">
        <v>4221</v>
      </c>
      <c r="H172" s="1100" t="s">
        <v>3561</v>
      </c>
      <c r="I172" s="1270"/>
      <c r="J172" s="1270"/>
      <c r="K172" s="1270"/>
      <c r="L172" s="1270"/>
      <c r="M172" s="1270"/>
      <c r="N172" s="1270"/>
      <c r="O172"/>
      <c r="P172"/>
      <c r="Q172"/>
      <c r="R172"/>
      <c r="S172"/>
      <c r="T172"/>
      <c r="U172"/>
    </row>
    <row r="173" spans="2:21">
      <c r="B173" s="1099"/>
      <c r="C173" s="1099"/>
      <c r="D173" s="1099"/>
      <c r="E173" s="1099">
        <v>4230</v>
      </c>
      <c r="F173" s="1099" t="s">
        <v>1419</v>
      </c>
      <c r="G173" s="1099">
        <v>4230</v>
      </c>
      <c r="H173" s="1100" t="s">
        <v>1419</v>
      </c>
      <c r="I173" s="1270"/>
      <c r="J173" s="1270"/>
      <c r="K173" s="1270"/>
      <c r="L173" s="1270"/>
      <c r="M173" s="1270"/>
      <c r="N173" s="1270"/>
    </row>
    <row r="174" spans="2:21" s="1099" customFormat="1">
      <c r="F174" s="1099" t="s">
        <v>1423</v>
      </c>
      <c r="G174" s="1099">
        <v>4230</v>
      </c>
      <c r="H174" s="1100" t="s">
        <v>1423</v>
      </c>
      <c r="I174" s="1270"/>
      <c r="J174" s="1270"/>
      <c r="K174" s="1270"/>
      <c r="L174" s="1270"/>
      <c r="M174" s="1270"/>
      <c r="N174" s="1270"/>
      <c r="O174"/>
      <c r="P174"/>
      <c r="Q174"/>
      <c r="R174"/>
      <c r="S174"/>
      <c r="T174"/>
      <c r="U174"/>
    </row>
    <row r="175" spans="2:21" s="1099" customFormat="1">
      <c r="E175" s="1099">
        <v>4250</v>
      </c>
      <c r="F175" s="1099" t="s">
        <v>1426</v>
      </c>
      <c r="G175" s="1099">
        <v>4250</v>
      </c>
      <c r="H175" s="1100" t="s">
        <v>1426</v>
      </c>
      <c r="I175" s="1270"/>
      <c r="J175" s="1270"/>
      <c r="K175" s="1270"/>
      <c r="L175" s="1270"/>
      <c r="M175" s="1270"/>
      <c r="N175" s="1270"/>
      <c r="O175"/>
      <c r="P175"/>
      <c r="Q175"/>
      <c r="R175"/>
      <c r="S175"/>
      <c r="T175"/>
      <c r="U175"/>
    </row>
    <row r="176" spans="2:21" s="1099" customFormat="1">
      <c r="E176" s="1099">
        <v>4280</v>
      </c>
      <c r="F176" s="1099" t="s">
        <v>1439</v>
      </c>
      <c r="G176" s="1099" t="s">
        <v>1440</v>
      </c>
      <c r="H176" s="1100" t="s">
        <v>1441</v>
      </c>
      <c r="I176" s="1270"/>
      <c r="J176" s="1270"/>
      <c r="K176" s="1270"/>
      <c r="L176" s="1270"/>
      <c r="M176" s="1270"/>
      <c r="N176" s="1270"/>
      <c r="O176"/>
      <c r="P176"/>
      <c r="Q176"/>
      <c r="R176"/>
      <c r="S176"/>
      <c r="T176"/>
      <c r="U176"/>
    </row>
    <row r="177" spans="3:21" s="1099" customFormat="1">
      <c r="E177" s="1099" t="s">
        <v>1438</v>
      </c>
      <c r="F177" s="1099" t="s">
        <v>1439</v>
      </c>
      <c r="G177" s="1099">
        <v>4281</v>
      </c>
      <c r="H177" s="1100" t="s">
        <v>1441</v>
      </c>
      <c r="I177" s="1270"/>
      <c r="J177" s="1270"/>
      <c r="K177" s="1270"/>
      <c r="L177" s="1270"/>
      <c r="M177" s="1270"/>
      <c r="N177" s="1270"/>
      <c r="O177"/>
      <c r="P177"/>
      <c r="Q177"/>
      <c r="R177"/>
      <c r="S177"/>
      <c r="T177"/>
      <c r="U177"/>
    </row>
    <row r="178" spans="3:21" s="1099" customFormat="1">
      <c r="G178" s="1099" t="s">
        <v>1440</v>
      </c>
      <c r="H178" s="1100" t="s">
        <v>1441</v>
      </c>
      <c r="I178" s="1270"/>
      <c r="J178" s="1270"/>
      <c r="K178" s="1270"/>
      <c r="L178" s="1270"/>
      <c r="M178" s="1270"/>
      <c r="N178" s="1270"/>
      <c r="O178"/>
      <c r="P178"/>
      <c r="Q178"/>
      <c r="R178"/>
      <c r="S178"/>
      <c r="T178"/>
      <c r="U178"/>
    </row>
    <row r="179" spans="3:21" s="1099" customFormat="1">
      <c r="E179" s="1099" t="s">
        <v>3347</v>
      </c>
      <c r="F179" s="1099" t="s">
        <v>3347</v>
      </c>
      <c r="G179" s="1099" t="s">
        <v>3347</v>
      </c>
      <c r="H179" s="1100" t="s">
        <v>3347</v>
      </c>
      <c r="I179" s="1270"/>
      <c r="J179" s="1270"/>
      <c r="K179" s="1270"/>
      <c r="L179" s="1270"/>
      <c r="M179" s="1270"/>
      <c r="N179" s="1270"/>
      <c r="O179"/>
      <c r="P179"/>
      <c r="Q179"/>
      <c r="R179"/>
      <c r="S179"/>
      <c r="T179"/>
      <c r="U179"/>
    </row>
    <row r="180" spans="3:21" s="1099" customFormat="1">
      <c r="C180" s="1099" t="s">
        <v>3347</v>
      </c>
      <c r="D180" s="1099" t="s">
        <v>3347</v>
      </c>
      <c r="E180" s="1099" t="s">
        <v>3347</v>
      </c>
      <c r="F180" s="1099" t="s">
        <v>3347</v>
      </c>
      <c r="G180" s="1099" t="s">
        <v>3347</v>
      </c>
      <c r="H180" s="1100" t="s">
        <v>3347</v>
      </c>
      <c r="I180" s="1270"/>
      <c r="J180" s="1270"/>
      <c r="K180" s="1270"/>
      <c r="L180" s="1270"/>
      <c r="M180" s="1270"/>
      <c r="N180" s="1270"/>
      <c r="O180"/>
      <c r="P180"/>
      <c r="Q180"/>
      <c r="R180"/>
      <c r="S180"/>
      <c r="T180"/>
      <c r="U180"/>
    </row>
    <row r="181" spans="3:21" s="1099" customFormat="1">
      <c r="C181" s="1099">
        <v>4300</v>
      </c>
      <c r="D181" s="1099" t="s">
        <v>222</v>
      </c>
      <c r="E181" s="1099">
        <v>4380</v>
      </c>
      <c r="F181" s="1099" t="s">
        <v>1466</v>
      </c>
      <c r="G181" s="1099">
        <v>4381</v>
      </c>
      <c r="H181" s="1100" t="s">
        <v>1467</v>
      </c>
      <c r="I181" s="1270"/>
      <c r="J181" s="1270"/>
      <c r="K181" s="1270"/>
      <c r="L181" s="1270"/>
      <c r="M181" s="1270"/>
      <c r="N181" s="1270"/>
      <c r="O181"/>
      <c r="P181"/>
      <c r="Q181"/>
      <c r="R181"/>
      <c r="S181"/>
      <c r="T181"/>
      <c r="U181"/>
    </row>
    <row r="182" spans="3:21" s="1099" customFormat="1">
      <c r="G182" s="1099">
        <v>4382</v>
      </c>
      <c r="H182" s="1100" t="s">
        <v>1502</v>
      </c>
      <c r="I182" s="1270"/>
      <c r="J182" s="1270"/>
      <c r="K182" s="1270"/>
      <c r="L182" s="1270"/>
      <c r="M182" s="1270"/>
      <c r="N182" s="1270"/>
      <c r="O182"/>
      <c r="P182"/>
      <c r="Q182"/>
      <c r="R182"/>
      <c r="S182"/>
      <c r="T182"/>
      <c r="U182"/>
    </row>
    <row r="183" spans="3:21" s="1099" customFormat="1">
      <c r="G183" s="1099">
        <v>4385</v>
      </c>
      <c r="H183" s="1100" t="s">
        <v>1484</v>
      </c>
      <c r="I183" s="1270"/>
      <c r="J183" s="1270"/>
      <c r="K183" s="1270"/>
      <c r="L183" s="1270"/>
      <c r="M183" s="1270"/>
      <c r="N183" s="1270"/>
      <c r="O183"/>
      <c r="P183"/>
      <c r="Q183"/>
      <c r="R183"/>
      <c r="S183"/>
      <c r="T183"/>
      <c r="U183"/>
    </row>
    <row r="184" spans="3:21" s="1099" customFormat="1">
      <c r="E184" s="1099" t="s">
        <v>1471</v>
      </c>
      <c r="F184" s="1099" t="s">
        <v>1466</v>
      </c>
      <c r="G184" s="1099">
        <v>4381</v>
      </c>
      <c r="H184" s="1100" t="s">
        <v>1467</v>
      </c>
      <c r="I184" s="1270"/>
      <c r="J184" s="1270"/>
      <c r="K184" s="1270"/>
      <c r="L184" s="1270"/>
      <c r="M184" s="1270"/>
      <c r="N184" s="1270"/>
      <c r="O184"/>
      <c r="P184"/>
      <c r="Q184"/>
      <c r="R184"/>
      <c r="S184"/>
      <c r="T184"/>
      <c r="U184"/>
    </row>
    <row r="185" spans="3:21" s="1099" customFormat="1">
      <c r="G185" s="1099">
        <v>4382</v>
      </c>
      <c r="H185" s="1100" t="s">
        <v>1502</v>
      </c>
      <c r="I185" s="1270"/>
      <c r="J185" s="1270"/>
      <c r="K185" s="1270"/>
      <c r="L185" s="1270"/>
      <c r="M185" s="1270"/>
      <c r="N185" s="1270"/>
      <c r="O185"/>
      <c r="P185"/>
      <c r="Q185"/>
      <c r="R185"/>
      <c r="S185"/>
      <c r="T185"/>
      <c r="U185"/>
    </row>
    <row r="186" spans="3:21" s="1099" customFormat="1">
      <c r="G186" s="1099">
        <v>4385</v>
      </c>
      <c r="H186" s="1100" t="s">
        <v>1484</v>
      </c>
      <c r="I186" s="1270"/>
      <c r="J186" s="1270"/>
      <c r="K186" s="1270"/>
      <c r="L186" s="1270"/>
      <c r="M186" s="1270"/>
      <c r="N186" s="1270"/>
      <c r="O186"/>
      <c r="P186"/>
      <c r="Q186"/>
      <c r="R186"/>
      <c r="S186"/>
      <c r="T186"/>
      <c r="U186"/>
    </row>
    <row r="187" spans="3:21" s="1099" customFormat="1">
      <c r="G187" s="1099" t="s">
        <v>1472</v>
      </c>
      <c r="H187" s="1100" t="s">
        <v>1467</v>
      </c>
      <c r="I187" s="1270"/>
      <c r="J187" s="1270"/>
      <c r="K187" s="1270"/>
      <c r="L187" s="1270"/>
      <c r="M187" s="1270"/>
      <c r="N187" s="1270"/>
      <c r="O187"/>
      <c r="P187"/>
      <c r="Q187"/>
      <c r="R187"/>
      <c r="S187"/>
      <c r="T187"/>
      <c r="U187"/>
    </row>
    <row r="188" spans="3:21" s="1099" customFormat="1">
      <c r="G188" s="1099" t="s">
        <v>4806</v>
      </c>
      <c r="H188" s="1100" t="s">
        <v>1467</v>
      </c>
      <c r="I188" s="1270"/>
      <c r="J188" s="1270"/>
      <c r="K188" s="1270"/>
      <c r="L188" s="1270"/>
      <c r="M188" s="1270"/>
      <c r="N188" s="1270"/>
      <c r="O188"/>
      <c r="P188"/>
      <c r="Q188"/>
      <c r="R188"/>
      <c r="S188"/>
      <c r="T188"/>
      <c r="U188"/>
    </row>
    <row r="189" spans="3:21" s="1099" customFormat="1">
      <c r="E189" s="1099" t="s">
        <v>3347</v>
      </c>
      <c r="F189" s="1099" t="s">
        <v>3347</v>
      </c>
      <c r="G189" s="1099" t="s">
        <v>3347</v>
      </c>
      <c r="H189" s="1100" t="s">
        <v>3347</v>
      </c>
      <c r="I189" s="1270"/>
      <c r="J189" s="1270"/>
      <c r="K189" s="1270"/>
      <c r="L189" s="1270"/>
      <c r="M189" s="1270"/>
      <c r="N189" s="1270"/>
      <c r="O189"/>
      <c r="P189"/>
      <c r="Q189"/>
      <c r="R189"/>
      <c r="S189"/>
      <c r="T189"/>
      <c r="U189"/>
    </row>
    <row r="190" spans="3:21" s="1099" customFormat="1">
      <c r="C190" s="1099">
        <v>4400</v>
      </c>
      <c r="D190" s="1099" t="s">
        <v>451</v>
      </c>
      <c r="E190" s="1099">
        <v>4410</v>
      </c>
      <c r="F190" s="1099" t="s">
        <v>3570</v>
      </c>
      <c r="G190" s="1099">
        <v>4410</v>
      </c>
      <c r="H190" s="1100" t="s">
        <v>3570</v>
      </c>
      <c r="I190" s="1270"/>
      <c r="J190" s="1270"/>
      <c r="K190" s="1270"/>
      <c r="L190" s="1270"/>
      <c r="M190" s="1270"/>
      <c r="N190" s="1270"/>
      <c r="O190"/>
      <c r="P190"/>
      <c r="Q190"/>
      <c r="R190"/>
      <c r="S190"/>
      <c r="T190"/>
      <c r="U190"/>
    </row>
    <row r="191" spans="3:21" s="1099" customFormat="1">
      <c r="E191" s="1099">
        <v>4430</v>
      </c>
      <c r="F191" s="1099" t="s">
        <v>1511</v>
      </c>
      <c r="G191" s="1099">
        <v>4430</v>
      </c>
      <c r="H191" s="1100" t="s">
        <v>1511</v>
      </c>
      <c r="I191" s="1270"/>
      <c r="J191" s="1270"/>
      <c r="K191" s="1270"/>
      <c r="L191" s="1270"/>
      <c r="M191" s="1270"/>
      <c r="N191" s="1270"/>
      <c r="O191"/>
      <c r="P191"/>
      <c r="Q191"/>
      <c r="R191"/>
      <c r="S191"/>
      <c r="T191"/>
      <c r="U191"/>
    </row>
    <row r="192" spans="3:21" s="1099" customFormat="1">
      <c r="G192" s="1099">
        <v>4436</v>
      </c>
      <c r="H192" s="1100" t="s">
        <v>3578</v>
      </c>
      <c r="I192" s="1270"/>
      <c r="J192" s="1270"/>
      <c r="K192" s="1270"/>
      <c r="L192" s="1270"/>
      <c r="M192" s="1270"/>
      <c r="N192" s="1270"/>
      <c r="O192"/>
      <c r="P192"/>
      <c r="Q192"/>
      <c r="R192"/>
      <c r="S192"/>
      <c r="T192"/>
      <c r="U192"/>
    </row>
    <row r="193" spans="2:21" s="1099" customFormat="1">
      <c r="G193" s="1099">
        <v>4439</v>
      </c>
      <c r="H193" s="1100" t="s">
        <v>701</v>
      </c>
      <c r="I193" s="1270"/>
      <c r="J193" s="1270"/>
      <c r="K193" s="1270"/>
      <c r="L193" s="1270"/>
      <c r="M193" s="1270"/>
      <c r="N193" s="1270"/>
      <c r="O193"/>
      <c r="P193"/>
      <c r="Q193"/>
      <c r="R193"/>
      <c r="S193"/>
      <c r="T193"/>
      <c r="U193"/>
    </row>
    <row r="194" spans="2:21" s="1099" customFormat="1">
      <c r="E194" s="1099" t="s">
        <v>1513</v>
      </c>
      <c r="F194" s="1099" t="s">
        <v>1511</v>
      </c>
      <c r="G194" s="1099" t="s">
        <v>1519</v>
      </c>
      <c r="H194" s="1100" t="s">
        <v>1515</v>
      </c>
      <c r="I194" s="1270"/>
      <c r="J194" s="1270"/>
      <c r="K194" s="1270"/>
      <c r="L194" s="1270"/>
      <c r="M194" s="1270"/>
      <c r="N194" s="1270"/>
      <c r="O194"/>
      <c r="P194"/>
      <c r="Q194"/>
      <c r="R194"/>
      <c r="S194"/>
      <c r="T194"/>
      <c r="U194"/>
    </row>
    <row r="195" spans="2:21" s="1099" customFormat="1">
      <c r="G195" s="1099" t="s">
        <v>1514</v>
      </c>
      <c r="H195" s="1100" t="s">
        <v>1515</v>
      </c>
      <c r="I195" s="1270"/>
      <c r="J195" s="1270"/>
      <c r="K195" s="1270"/>
      <c r="L195" s="1270"/>
      <c r="M195" s="1270"/>
      <c r="N195" s="1270"/>
      <c r="O195"/>
      <c r="P195"/>
      <c r="Q195"/>
      <c r="R195"/>
      <c r="S195"/>
      <c r="T195"/>
      <c r="U195"/>
    </row>
    <row r="196" spans="2:21" s="1099" customFormat="1">
      <c r="G196" s="1099" t="s">
        <v>1530</v>
      </c>
      <c r="H196" s="1100" t="s">
        <v>1531</v>
      </c>
      <c r="I196" s="1270"/>
      <c r="J196" s="1270"/>
      <c r="K196" s="1270"/>
      <c r="L196" s="1270"/>
      <c r="M196" s="1270"/>
      <c r="N196" s="1270"/>
      <c r="O196"/>
      <c r="P196"/>
      <c r="Q196"/>
      <c r="R196"/>
      <c r="S196"/>
      <c r="T196"/>
      <c r="U196"/>
    </row>
    <row r="197" spans="2:21" s="1099" customFormat="1">
      <c r="G197" s="1099" t="s">
        <v>4883</v>
      </c>
      <c r="H197" s="1100" t="s">
        <v>3574</v>
      </c>
      <c r="I197" s="1270"/>
      <c r="J197" s="1270"/>
      <c r="K197" s="1270"/>
      <c r="L197" s="1270"/>
      <c r="M197" s="1270"/>
      <c r="N197" s="1270"/>
      <c r="O197"/>
      <c r="P197"/>
      <c r="Q197"/>
      <c r="R197"/>
      <c r="S197"/>
      <c r="T197"/>
      <c r="U197"/>
    </row>
    <row r="198" spans="2:21" s="1099" customFormat="1">
      <c r="G198" s="1099" t="s">
        <v>1537</v>
      </c>
      <c r="H198" s="1100" t="s">
        <v>1538</v>
      </c>
      <c r="I198" s="1270"/>
      <c r="J198" s="1270"/>
      <c r="K198" s="1270"/>
      <c r="L198" s="1270"/>
      <c r="M198" s="1270"/>
      <c r="N198" s="1270"/>
      <c r="O198"/>
      <c r="P198"/>
      <c r="Q198"/>
      <c r="R198"/>
      <c r="S198"/>
      <c r="T198"/>
      <c r="U198"/>
    </row>
    <row r="199" spans="2:21" s="1099" customFormat="1">
      <c r="G199" s="1099">
        <v>4434</v>
      </c>
      <c r="H199" s="1100" t="s">
        <v>3574</v>
      </c>
      <c r="I199" s="1270"/>
      <c r="J199" s="1270"/>
      <c r="K199" s="1270"/>
      <c r="L199" s="1270"/>
      <c r="M199" s="1270"/>
      <c r="N199" s="1270"/>
      <c r="O199"/>
      <c r="P199"/>
      <c r="Q199"/>
      <c r="R199"/>
      <c r="S199"/>
      <c r="T199"/>
      <c r="U199"/>
    </row>
    <row r="200" spans="2:21">
      <c r="B200" s="1099"/>
      <c r="C200" s="1099"/>
      <c r="D200" s="1099"/>
      <c r="E200" s="1099" t="s">
        <v>3347</v>
      </c>
      <c r="F200" s="1099" t="s">
        <v>3347</v>
      </c>
      <c r="G200" s="1099" t="s">
        <v>3347</v>
      </c>
      <c r="H200" s="1100" t="s">
        <v>3347</v>
      </c>
      <c r="I200" s="1270"/>
      <c r="J200" s="1270"/>
      <c r="K200" s="1270"/>
      <c r="L200" s="1270"/>
      <c r="M200" s="1270"/>
      <c r="N200" s="1270"/>
    </row>
    <row r="201" spans="2:21" s="1099" customFormat="1">
      <c r="D201" s="1099" t="s">
        <v>452</v>
      </c>
      <c r="E201" s="1099" t="s">
        <v>1513</v>
      </c>
      <c r="F201" s="1099" t="s">
        <v>1511</v>
      </c>
      <c r="G201" s="1099" t="s">
        <v>1530</v>
      </c>
      <c r="H201" s="1100" t="s">
        <v>1531</v>
      </c>
      <c r="I201" s="1270"/>
      <c r="J201" s="1270"/>
      <c r="K201" s="1270"/>
      <c r="L201" s="1270"/>
      <c r="M201" s="1270"/>
      <c r="N201" s="1270"/>
      <c r="O201"/>
      <c r="P201"/>
      <c r="Q201"/>
      <c r="R201"/>
      <c r="S201"/>
      <c r="T201"/>
      <c r="U201"/>
    </row>
    <row r="202" spans="2:21" s="1099" customFormat="1">
      <c r="C202" s="1099">
        <v>4500</v>
      </c>
      <c r="D202" s="1099" t="s">
        <v>452</v>
      </c>
      <c r="E202" s="1099">
        <v>4520</v>
      </c>
      <c r="F202" s="1099" t="s">
        <v>605</v>
      </c>
      <c r="G202" s="1099">
        <v>4521</v>
      </c>
      <c r="H202" s="1100" t="s">
        <v>621</v>
      </c>
      <c r="I202" s="1270"/>
      <c r="J202" s="1270"/>
      <c r="K202" s="1270"/>
      <c r="L202" s="1270"/>
      <c r="M202" s="1270"/>
      <c r="N202" s="1270"/>
      <c r="O202"/>
      <c r="P202"/>
      <c r="Q202"/>
      <c r="R202"/>
      <c r="S202"/>
      <c r="T202"/>
      <c r="U202"/>
    </row>
    <row r="203" spans="2:21" s="1099" customFormat="1">
      <c r="E203" s="1099">
        <v>4540</v>
      </c>
      <c r="F203" s="1099" t="s">
        <v>1882</v>
      </c>
      <c r="G203" s="1099">
        <v>4540</v>
      </c>
      <c r="H203" s="1100" t="s">
        <v>1883</v>
      </c>
      <c r="I203" s="1270"/>
      <c r="J203" s="1270"/>
      <c r="K203" s="1270"/>
      <c r="L203" s="1270"/>
      <c r="M203" s="1270"/>
      <c r="N203" s="1270"/>
      <c r="O203"/>
      <c r="P203"/>
      <c r="Q203"/>
      <c r="R203"/>
      <c r="S203"/>
      <c r="T203"/>
      <c r="U203"/>
    </row>
    <row r="204" spans="2:21" s="1099" customFormat="1">
      <c r="E204" s="1099" t="s">
        <v>1546</v>
      </c>
      <c r="F204" s="1099" t="s">
        <v>454</v>
      </c>
      <c r="G204" s="1099">
        <v>4510</v>
      </c>
      <c r="H204" s="1100" t="s">
        <v>454</v>
      </c>
      <c r="I204" s="1270"/>
      <c r="J204" s="1270"/>
      <c r="K204" s="1270"/>
      <c r="L204" s="1270"/>
      <c r="M204" s="1270"/>
      <c r="N204" s="1270"/>
      <c r="O204"/>
      <c r="P204"/>
      <c r="Q204"/>
      <c r="R204"/>
      <c r="S204"/>
      <c r="T204"/>
      <c r="U204"/>
    </row>
    <row r="205" spans="2:21" s="1099" customFormat="1">
      <c r="G205" s="1099">
        <v>4511</v>
      </c>
      <c r="H205" s="1100" t="s">
        <v>565</v>
      </c>
      <c r="I205" s="1270"/>
      <c r="J205" s="1270"/>
      <c r="K205" s="1270"/>
      <c r="L205" s="1270"/>
      <c r="M205" s="1270"/>
      <c r="N205" s="1270"/>
      <c r="O205"/>
      <c r="P205"/>
      <c r="Q205"/>
      <c r="R205"/>
      <c r="S205"/>
      <c r="T205"/>
      <c r="U205"/>
    </row>
    <row r="206" spans="2:21" s="1099" customFormat="1">
      <c r="G206" s="1099">
        <v>4512</v>
      </c>
      <c r="H206" s="1100" t="s">
        <v>456</v>
      </c>
      <c r="I206" s="1270"/>
      <c r="J206" s="1270"/>
      <c r="K206" s="1270"/>
      <c r="L206" s="1270"/>
      <c r="M206" s="1270"/>
      <c r="N206" s="1270"/>
      <c r="O206"/>
      <c r="P206"/>
      <c r="Q206"/>
      <c r="R206"/>
      <c r="S206"/>
      <c r="T206"/>
      <c r="U206"/>
    </row>
    <row r="207" spans="2:21" s="1099" customFormat="1">
      <c r="G207" s="1099">
        <v>4513</v>
      </c>
      <c r="H207" s="1100" t="s">
        <v>514</v>
      </c>
      <c r="I207" s="1270"/>
      <c r="J207" s="1270"/>
      <c r="K207" s="1270"/>
      <c r="L207" s="1270"/>
      <c r="M207" s="1270"/>
      <c r="N207" s="1270"/>
      <c r="O207"/>
      <c r="P207"/>
      <c r="Q207"/>
      <c r="R207"/>
      <c r="S207"/>
      <c r="T207"/>
      <c r="U207"/>
    </row>
    <row r="208" spans="2:21" s="1099" customFormat="1">
      <c r="E208" s="1099" t="s">
        <v>1692</v>
      </c>
      <c r="F208" s="1099" t="s">
        <v>605</v>
      </c>
      <c r="G208" s="1099">
        <v>4521</v>
      </c>
      <c r="H208" s="1100" t="s">
        <v>621</v>
      </c>
      <c r="I208" s="1270"/>
      <c r="J208" s="1270"/>
      <c r="K208" s="1270"/>
      <c r="L208" s="1270"/>
      <c r="M208" s="1270"/>
      <c r="N208" s="1270"/>
      <c r="O208"/>
      <c r="P208"/>
      <c r="Q208"/>
      <c r="R208"/>
      <c r="S208"/>
      <c r="T208"/>
      <c r="U208"/>
    </row>
    <row r="209" spans="3:21" s="1099" customFormat="1">
      <c r="G209" s="1099">
        <v>4522</v>
      </c>
      <c r="H209" s="1100" t="s">
        <v>684</v>
      </c>
      <c r="I209" s="1270"/>
      <c r="J209" s="1270"/>
      <c r="K209" s="1270"/>
      <c r="L209" s="1270"/>
      <c r="M209" s="1270"/>
      <c r="N209" s="1270"/>
      <c r="O209"/>
      <c r="P209"/>
      <c r="Q209"/>
      <c r="R209"/>
      <c r="S209"/>
      <c r="T209"/>
      <c r="U209"/>
    </row>
    <row r="210" spans="3:21" s="1099" customFormat="1">
      <c r="G210" s="1099">
        <v>4523</v>
      </c>
      <c r="H210" s="1100" t="s">
        <v>1793</v>
      </c>
      <c r="I210" s="1270"/>
      <c r="J210" s="1270"/>
      <c r="K210" s="1270"/>
      <c r="L210" s="1270"/>
      <c r="M210" s="1270"/>
      <c r="N210" s="1270"/>
      <c r="O210"/>
      <c r="P210"/>
      <c r="Q210"/>
      <c r="R210"/>
      <c r="S210"/>
      <c r="T210"/>
      <c r="U210"/>
    </row>
    <row r="211" spans="3:21" s="1099" customFormat="1">
      <c r="E211" s="1099" t="s">
        <v>1809</v>
      </c>
      <c r="F211" s="1099" t="s">
        <v>1511</v>
      </c>
      <c r="G211" s="1099">
        <v>4530</v>
      </c>
      <c r="H211" s="1100" t="s">
        <v>1511</v>
      </c>
      <c r="I211" s="1270"/>
      <c r="J211" s="1270"/>
      <c r="K211" s="1270"/>
      <c r="L211" s="1270"/>
      <c r="M211" s="1270"/>
      <c r="N211" s="1270"/>
      <c r="O211"/>
      <c r="P211"/>
      <c r="Q211"/>
      <c r="R211"/>
      <c r="S211"/>
      <c r="T211"/>
      <c r="U211"/>
    </row>
    <row r="212" spans="3:21" s="1099" customFormat="1">
      <c r="F212" s="1099" t="s">
        <v>1466</v>
      </c>
      <c r="G212" s="1099">
        <v>4530</v>
      </c>
      <c r="H212" s="1100" t="s">
        <v>1466</v>
      </c>
      <c r="I212" s="1270"/>
      <c r="J212" s="1270"/>
      <c r="K212" s="1270"/>
      <c r="L212" s="1270"/>
      <c r="M212" s="1270"/>
      <c r="N212" s="1270"/>
      <c r="O212"/>
      <c r="P212"/>
      <c r="Q212"/>
      <c r="R212"/>
      <c r="S212"/>
      <c r="T212"/>
      <c r="U212"/>
    </row>
    <row r="213" spans="3:21" s="1099" customFormat="1">
      <c r="F213" s="1099" t="s">
        <v>176</v>
      </c>
      <c r="G213" s="1099">
        <v>4530</v>
      </c>
      <c r="H213" s="1100" t="s">
        <v>176</v>
      </c>
      <c r="I213" s="1270"/>
      <c r="J213" s="1270"/>
      <c r="K213" s="1270"/>
      <c r="L213" s="1270"/>
      <c r="M213" s="1270"/>
      <c r="N213" s="1270"/>
      <c r="O213"/>
      <c r="P213"/>
      <c r="Q213"/>
      <c r="R213"/>
      <c r="S213"/>
      <c r="T213"/>
      <c r="U213"/>
    </row>
    <row r="214" spans="3:21" s="1099" customFormat="1">
      <c r="F214" s="1099" t="s">
        <v>701</v>
      </c>
      <c r="G214" s="1099">
        <v>4530</v>
      </c>
      <c r="H214" s="1100" t="s">
        <v>701</v>
      </c>
      <c r="I214" s="1270"/>
      <c r="J214" s="1270"/>
      <c r="K214" s="1270"/>
      <c r="L214" s="1270"/>
      <c r="M214" s="1270"/>
      <c r="N214" s="1270"/>
      <c r="O214"/>
      <c r="P214"/>
      <c r="Q214"/>
      <c r="R214"/>
      <c r="S214"/>
      <c r="T214"/>
      <c r="U214"/>
    </row>
    <row r="215" spans="3:21" s="1099" customFormat="1">
      <c r="F215" s="1099" t="s">
        <v>1956</v>
      </c>
      <c r="G215" s="1099">
        <v>4530</v>
      </c>
      <c r="H215" s="1100" t="s">
        <v>1956</v>
      </c>
      <c r="I215" s="1270"/>
      <c r="J215" s="1270"/>
      <c r="K215" s="1270"/>
      <c r="L215" s="1270"/>
      <c r="M215" s="1270"/>
      <c r="N215" s="1270"/>
      <c r="O215"/>
      <c r="P215"/>
      <c r="Q215"/>
      <c r="R215"/>
      <c r="S215"/>
      <c r="T215"/>
      <c r="U215"/>
    </row>
    <row r="216" spans="3:21" s="1099" customFormat="1">
      <c r="F216" s="1099" t="s">
        <v>605</v>
      </c>
      <c r="G216" s="1099">
        <v>4530</v>
      </c>
      <c r="H216" s="1100" t="s">
        <v>605</v>
      </c>
      <c r="I216" s="1270"/>
      <c r="J216" s="1270"/>
      <c r="K216" s="1270"/>
      <c r="L216" s="1270"/>
      <c r="M216" s="1270"/>
      <c r="N216" s="1270"/>
      <c r="O216"/>
      <c r="P216"/>
      <c r="Q216"/>
      <c r="R216"/>
      <c r="S216"/>
      <c r="T216"/>
      <c r="U216"/>
    </row>
    <row r="217" spans="3:21" s="1099" customFormat="1">
      <c r="F217" s="1099" t="s">
        <v>1882</v>
      </c>
      <c r="G217" s="1099">
        <v>4530</v>
      </c>
      <c r="H217" s="1100" t="s">
        <v>1882</v>
      </c>
      <c r="I217" s="1270"/>
      <c r="J217" s="1270"/>
      <c r="K217" s="1270"/>
      <c r="L217" s="1270"/>
      <c r="M217" s="1270"/>
      <c r="N217" s="1270"/>
      <c r="O217"/>
      <c r="P217"/>
      <c r="Q217"/>
      <c r="R217"/>
      <c r="S217"/>
      <c r="T217"/>
      <c r="U217"/>
    </row>
    <row r="218" spans="3:21" s="1099" customFormat="1">
      <c r="E218" s="1099" t="s">
        <v>1885</v>
      </c>
      <c r="F218" s="1099" t="s">
        <v>1882</v>
      </c>
      <c r="G218" s="1099">
        <v>4540</v>
      </c>
      <c r="H218" s="1100" t="s">
        <v>1883</v>
      </c>
      <c r="I218" s="1270"/>
      <c r="J218" s="1270"/>
      <c r="K218" s="1270"/>
      <c r="L218" s="1270"/>
      <c r="M218" s="1270"/>
      <c r="N218" s="1270"/>
      <c r="O218"/>
      <c r="P218"/>
      <c r="Q218"/>
      <c r="R218"/>
      <c r="S218"/>
      <c r="T218"/>
      <c r="U218"/>
    </row>
    <row r="219" spans="3:21" s="1099" customFormat="1">
      <c r="E219" s="1099" t="s">
        <v>3347</v>
      </c>
      <c r="F219" s="1099" t="s">
        <v>3347</v>
      </c>
      <c r="G219" s="1099" t="s">
        <v>3347</v>
      </c>
      <c r="H219" s="1100" t="s">
        <v>3347</v>
      </c>
      <c r="I219" s="1270"/>
      <c r="J219" s="1270"/>
      <c r="K219" s="1270"/>
      <c r="L219" s="1270"/>
      <c r="M219" s="1270"/>
      <c r="N219" s="1270"/>
      <c r="O219"/>
      <c r="P219"/>
      <c r="Q219"/>
      <c r="R219"/>
      <c r="S219"/>
      <c r="T219"/>
      <c r="U219"/>
    </row>
    <row r="220" spans="3:21" s="1099" customFormat="1">
      <c r="C220" s="1099">
        <v>4600</v>
      </c>
      <c r="D220" s="1099" t="s">
        <v>838</v>
      </c>
      <c r="E220" s="1099">
        <v>4610</v>
      </c>
      <c r="F220" s="1099" t="s">
        <v>1924</v>
      </c>
      <c r="G220" s="1099">
        <v>4611</v>
      </c>
      <c r="H220" s="1100" t="s">
        <v>877</v>
      </c>
      <c r="I220" s="1270"/>
      <c r="J220" s="1270"/>
      <c r="K220" s="1270"/>
      <c r="L220" s="1270"/>
      <c r="M220" s="1270"/>
      <c r="N220" s="1270"/>
      <c r="O220"/>
      <c r="P220"/>
      <c r="Q220"/>
      <c r="R220"/>
      <c r="S220"/>
      <c r="T220"/>
      <c r="U220"/>
    </row>
    <row r="221" spans="3:21" s="1099" customFormat="1">
      <c r="G221" s="1099">
        <v>4613</v>
      </c>
      <c r="H221" s="1100" t="s">
        <v>842</v>
      </c>
      <c r="I221" s="1270"/>
      <c r="J221" s="1270"/>
      <c r="K221" s="1270"/>
      <c r="L221" s="1270"/>
      <c r="M221" s="1270"/>
      <c r="N221" s="1270"/>
      <c r="O221"/>
      <c r="P221"/>
      <c r="Q221"/>
      <c r="R221"/>
      <c r="S221"/>
      <c r="T221"/>
      <c r="U221"/>
    </row>
    <row r="222" spans="3:21" s="1099" customFormat="1">
      <c r="G222" s="1099" t="s">
        <v>1937</v>
      </c>
      <c r="H222" s="1100" t="s">
        <v>842</v>
      </c>
      <c r="I222" s="1270"/>
      <c r="J222" s="1270"/>
      <c r="K222" s="1270"/>
      <c r="L222" s="1270"/>
      <c r="M222" s="1270"/>
      <c r="N222" s="1270"/>
      <c r="O222"/>
      <c r="P222"/>
      <c r="Q222"/>
      <c r="R222"/>
      <c r="S222"/>
      <c r="T222"/>
      <c r="U222"/>
    </row>
    <row r="223" spans="3:21" s="1099" customFormat="1">
      <c r="G223" s="1099" t="s">
        <v>1925</v>
      </c>
      <c r="H223" s="1100" t="s">
        <v>842</v>
      </c>
      <c r="I223" s="1270"/>
      <c r="J223" s="1270"/>
      <c r="K223" s="1270"/>
      <c r="L223" s="1270"/>
      <c r="M223" s="1270"/>
      <c r="N223" s="1270"/>
      <c r="O223"/>
      <c r="P223"/>
      <c r="Q223"/>
      <c r="R223"/>
      <c r="S223"/>
      <c r="T223"/>
      <c r="U223"/>
    </row>
    <row r="224" spans="3:21" s="1099" customFormat="1">
      <c r="G224" s="1099">
        <v>4614</v>
      </c>
      <c r="H224" s="1100" t="s">
        <v>880</v>
      </c>
      <c r="I224" s="1270"/>
      <c r="J224" s="1270"/>
      <c r="K224" s="1270"/>
      <c r="L224" s="1270"/>
      <c r="M224" s="1270"/>
      <c r="N224" s="1270"/>
      <c r="O224"/>
      <c r="P224"/>
      <c r="Q224"/>
      <c r="R224"/>
      <c r="S224"/>
      <c r="T224"/>
      <c r="U224"/>
    </row>
    <row r="225" spans="1:21" s="1099" customFormat="1">
      <c r="G225" s="1099">
        <v>4619</v>
      </c>
      <c r="H225" s="1100" t="s">
        <v>6600</v>
      </c>
      <c r="I225" s="1270"/>
      <c r="J225" s="1270"/>
      <c r="K225" s="1270"/>
      <c r="L225" s="1270"/>
      <c r="M225" s="1270"/>
      <c r="N225" s="1270"/>
      <c r="O225"/>
      <c r="P225"/>
      <c r="Q225"/>
      <c r="R225"/>
      <c r="S225"/>
      <c r="T225"/>
      <c r="U225"/>
    </row>
    <row r="226" spans="1:21" s="1099" customFormat="1">
      <c r="E226" s="1099" t="s">
        <v>3347</v>
      </c>
      <c r="F226" s="1099" t="s">
        <v>3347</v>
      </c>
      <c r="G226" s="1099" t="s">
        <v>3347</v>
      </c>
      <c r="H226" s="1100" t="s">
        <v>3347</v>
      </c>
      <c r="I226" s="1270"/>
      <c r="J226" s="1270"/>
      <c r="K226" s="1270"/>
      <c r="L226" s="1270"/>
      <c r="M226" s="1270"/>
      <c r="N226" s="1270"/>
      <c r="O226"/>
      <c r="P226"/>
      <c r="Q226"/>
      <c r="R226"/>
      <c r="S226"/>
      <c r="T226"/>
      <c r="U226"/>
    </row>
    <row r="227" spans="1:21" s="1099" customFormat="1">
      <c r="C227" s="1099">
        <v>4700</v>
      </c>
      <c r="D227" s="1099" t="s">
        <v>912</v>
      </c>
      <c r="E227" s="1099">
        <v>4710</v>
      </c>
      <c r="F227" s="1099" t="s">
        <v>1956</v>
      </c>
      <c r="G227" s="1099">
        <v>4711</v>
      </c>
      <c r="H227" s="1100" t="s">
        <v>3584</v>
      </c>
      <c r="I227" s="1270"/>
      <c r="J227" s="1270"/>
      <c r="K227" s="1270"/>
      <c r="L227" s="1270"/>
      <c r="M227" s="1270"/>
      <c r="N227" s="1270"/>
      <c r="O227"/>
      <c r="P227"/>
      <c r="Q227"/>
      <c r="R227"/>
      <c r="S227"/>
      <c r="T227"/>
      <c r="U227"/>
    </row>
    <row r="228" spans="1:21" s="1099" customFormat="1">
      <c r="G228" s="1099">
        <v>4712</v>
      </c>
      <c r="H228" s="1100" t="s">
        <v>1957</v>
      </c>
      <c r="I228" s="1270"/>
      <c r="J228" s="1270"/>
      <c r="K228" s="1270"/>
      <c r="L228" s="1270"/>
      <c r="M228" s="1270"/>
      <c r="N228" s="1270"/>
      <c r="O228"/>
      <c r="P228"/>
      <c r="Q228"/>
      <c r="R228"/>
      <c r="S228"/>
      <c r="T228"/>
      <c r="U228"/>
    </row>
    <row r="229" spans="1:21" s="1099" customFormat="1">
      <c r="E229" s="1099">
        <v>4720</v>
      </c>
      <c r="F229" s="1099" t="s">
        <v>923</v>
      </c>
      <c r="G229" s="1099">
        <v>4720</v>
      </c>
      <c r="H229" s="1100" t="s">
        <v>923</v>
      </c>
      <c r="I229" s="1270"/>
      <c r="J229" s="1270"/>
      <c r="K229" s="1270"/>
      <c r="L229" s="1270"/>
      <c r="M229" s="1270"/>
      <c r="N229" s="1270"/>
      <c r="O229"/>
      <c r="P229"/>
      <c r="Q229"/>
      <c r="R229"/>
      <c r="S229"/>
      <c r="T229"/>
      <c r="U229"/>
    </row>
    <row r="230" spans="1:21" s="1099" customFormat="1">
      <c r="E230" s="1099">
        <v>4730</v>
      </c>
      <c r="F230" s="1099" t="s">
        <v>958</v>
      </c>
      <c r="G230" s="1099">
        <v>4731</v>
      </c>
      <c r="H230" s="1100" t="s">
        <v>968</v>
      </c>
      <c r="I230" s="1270"/>
      <c r="J230" s="1270"/>
      <c r="K230" s="1270"/>
      <c r="L230" s="1270"/>
      <c r="M230" s="1270"/>
      <c r="N230" s="1270"/>
      <c r="O230"/>
      <c r="P230"/>
      <c r="Q230"/>
      <c r="R230"/>
      <c r="S230"/>
      <c r="T230"/>
      <c r="U230"/>
    </row>
    <row r="231" spans="1:21">
      <c r="B231" s="1099"/>
      <c r="C231" s="1099"/>
      <c r="D231" s="1099"/>
      <c r="E231" s="1099"/>
      <c r="F231" s="1099"/>
      <c r="G231" s="1099">
        <v>4732</v>
      </c>
      <c r="H231" s="1100" t="s">
        <v>998</v>
      </c>
      <c r="I231" s="1270"/>
      <c r="J231" s="1270"/>
      <c r="K231" s="1270"/>
      <c r="L231" s="1270"/>
      <c r="M231" s="1270"/>
      <c r="N231" s="1270"/>
    </row>
    <row r="232" spans="1:21" s="1099" customFormat="1">
      <c r="G232" s="1099">
        <v>4733</v>
      </c>
      <c r="H232" s="1100" t="s">
        <v>2035</v>
      </c>
      <c r="I232" s="1270"/>
      <c r="J232" s="1270"/>
      <c r="K232" s="1270"/>
      <c r="L232" s="1270"/>
      <c r="M232" s="1270"/>
      <c r="N232" s="1270"/>
      <c r="O232"/>
      <c r="P232"/>
      <c r="Q232"/>
      <c r="R232"/>
      <c r="S232"/>
      <c r="T232"/>
      <c r="U232"/>
    </row>
    <row r="233" spans="1:21" s="1099" customFormat="1">
      <c r="G233" s="1099">
        <v>4734</v>
      </c>
      <c r="H233" s="1100" t="s">
        <v>1010</v>
      </c>
      <c r="I233" s="1270"/>
      <c r="J233" s="1270"/>
      <c r="K233" s="1270"/>
      <c r="L233" s="1270"/>
      <c r="M233" s="1270"/>
      <c r="N233" s="1270"/>
      <c r="O233"/>
      <c r="P233"/>
      <c r="Q233"/>
      <c r="R233"/>
      <c r="S233"/>
      <c r="T233"/>
      <c r="U233"/>
    </row>
    <row r="234" spans="1:21" s="1099" customFormat="1">
      <c r="E234" s="1099">
        <v>4750</v>
      </c>
      <c r="F234" s="1099" t="s">
        <v>913</v>
      </c>
      <c r="G234" s="1099">
        <v>4750</v>
      </c>
      <c r="H234" s="1100" t="s">
        <v>913</v>
      </c>
      <c r="I234" s="1270"/>
      <c r="J234" s="1270"/>
      <c r="K234" s="1270"/>
      <c r="L234" s="1270"/>
      <c r="M234" s="1270"/>
      <c r="N234" s="1270"/>
      <c r="O234"/>
      <c r="P234"/>
      <c r="Q234"/>
      <c r="R234"/>
      <c r="S234"/>
      <c r="T234"/>
      <c r="U234"/>
    </row>
    <row r="235" spans="1:21" s="1099" customFormat="1">
      <c r="E235" s="1099" t="s">
        <v>1973</v>
      </c>
      <c r="F235" s="1099" t="s">
        <v>923</v>
      </c>
      <c r="G235" s="1099">
        <v>4720</v>
      </c>
      <c r="H235" s="1100" t="s">
        <v>923</v>
      </c>
      <c r="I235" s="1270"/>
      <c r="J235" s="1270"/>
      <c r="K235" s="1270"/>
      <c r="L235" s="1270"/>
      <c r="M235" s="1270"/>
      <c r="N235" s="1270"/>
      <c r="O235"/>
      <c r="P235"/>
      <c r="Q235"/>
      <c r="R235"/>
      <c r="S235"/>
      <c r="T235"/>
      <c r="U235"/>
    </row>
    <row r="236" spans="1:21" s="1099" customFormat="1">
      <c r="E236" s="1099" t="s">
        <v>3347</v>
      </c>
      <c r="F236" s="1099" t="s">
        <v>3347</v>
      </c>
      <c r="G236" s="1099" t="s">
        <v>3347</v>
      </c>
      <c r="H236" s="1100" t="s">
        <v>3347</v>
      </c>
      <c r="I236" s="1270"/>
      <c r="J236" s="1270"/>
      <c r="K236" s="1270"/>
      <c r="L236" s="1270"/>
      <c r="M236" s="1270"/>
      <c r="N236" s="1270"/>
      <c r="O236"/>
      <c r="P236"/>
      <c r="Q236"/>
      <c r="R236"/>
      <c r="S236"/>
      <c r="T236"/>
      <c r="U236"/>
    </row>
    <row r="237" spans="1:21" s="1099" customFormat="1">
      <c r="E237" s="1099">
        <v>4740</v>
      </c>
      <c r="F237" s="1099" t="s">
        <v>917</v>
      </c>
      <c r="G237" s="1099">
        <v>4740</v>
      </c>
      <c r="H237" s="1100" t="s">
        <v>917</v>
      </c>
      <c r="I237" s="1270"/>
      <c r="J237" s="1270"/>
      <c r="K237" s="1270"/>
      <c r="L237" s="1270"/>
      <c r="M237" s="1270"/>
      <c r="N237" s="1270"/>
      <c r="O237"/>
      <c r="P237"/>
      <c r="Q237"/>
      <c r="R237"/>
      <c r="S237"/>
      <c r="T237"/>
      <c r="U237"/>
    </row>
    <row r="238" spans="1:21" s="1099" customFormat="1">
      <c r="B238" s="1099" t="s">
        <v>1072</v>
      </c>
      <c r="C238" s="1099">
        <v>4100</v>
      </c>
      <c r="D238" s="1099" t="s">
        <v>120</v>
      </c>
      <c r="E238" s="1099">
        <v>4130</v>
      </c>
      <c r="F238" s="1099" t="s">
        <v>148</v>
      </c>
      <c r="G238" s="1099">
        <v>4131</v>
      </c>
      <c r="H238" s="1100" t="s">
        <v>1330</v>
      </c>
      <c r="I238" s="1270"/>
      <c r="J238" s="1270"/>
      <c r="K238" s="1270"/>
      <c r="L238" s="1270"/>
      <c r="M238" s="1270"/>
      <c r="N238" s="1270"/>
      <c r="O238"/>
      <c r="P238"/>
      <c r="Q238"/>
      <c r="R238"/>
      <c r="S238"/>
      <c r="T238"/>
      <c r="U238"/>
    </row>
    <row r="239" spans="1:21" s="1099" customFormat="1" ht="26.5">
      <c r="A239" s="1099">
        <v>7000</v>
      </c>
      <c r="B239" s="1100" t="s">
        <v>2420</v>
      </c>
      <c r="C239" s="1099">
        <v>7200</v>
      </c>
      <c r="D239" s="1099" t="s">
        <v>119</v>
      </c>
      <c r="E239" s="1099">
        <v>7210</v>
      </c>
      <c r="F239" s="1099" t="s">
        <v>2421</v>
      </c>
      <c r="G239" s="1099">
        <v>7211</v>
      </c>
      <c r="H239" s="1100" t="s">
        <v>2426</v>
      </c>
      <c r="I239" s="1270"/>
      <c r="J239" s="1270"/>
      <c r="K239" s="1270"/>
      <c r="L239" s="1270"/>
      <c r="M239" s="1270"/>
      <c r="N239" s="1270"/>
      <c r="O239"/>
      <c r="P239"/>
      <c r="Q239"/>
      <c r="R239"/>
      <c r="S239"/>
      <c r="T239"/>
      <c r="U239"/>
    </row>
    <row r="240" spans="1:21" s="1099" customFormat="1">
      <c r="B240" s="1100"/>
      <c r="G240" s="1099">
        <v>7212</v>
      </c>
      <c r="H240" s="1100" t="s">
        <v>2422</v>
      </c>
      <c r="I240" s="1270"/>
      <c r="J240" s="1270"/>
      <c r="K240" s="1270"/>
      <c r="L240" s="1270"/>
      <c r="M240" s="1270"/>
      <c r="N240" s="1270"/>
      <c r="O240"/>
      <c r="P240"/>
      <c r="Q240"/>
      <c r="R240"/>
      <c r="S240"/>
      <c r="T240"/>
      <c r="U240"/>
    </row>
    <row r="241" spans="2:21" s="1099" customFormat="1">
      <c r="B241" s="1100"/>
      <c r="G241" s="1099">
        <v>7213</v>
      </c>
      <c r="H241" s="1100" t="s">
        <v>2594</v>
      </c>
      <c r="I241" s="1270"/>
      <c r="J241" s="1270"/>
      <c r="K241" s="1270"/>
      <c r="L241" s="1270"/>
      <c r="M241" s="1270"/>
      <c r="N241" s="1270"/>
      <c r="O241"/>
      <c r="P241"/>
      <c r="Q241"/>
      <c r="R241"/>
      <c r="S241"/>
      <c r="T241"/>
      <c r="U241"/>
    </row>
    <row r="242" spans="2:21" s="1099" customFormat="1">
      <c r="B242" s="1100"/>
      <c r="G242" s="1099">
        <v>7214</v>
      </c>
      <c r="H242" s="1100" t="s">
        <v>3596</v>
      </c>
      <c r="I242" s="1270"/>
      <c r="J242" s="1270"/>
      <c r="K242" s="1270"/>
      <c r="L242" s="1270"/>
      <c r="M242" s="1270"/>
      <c r="N242" s="1270"/>
      <c r="O242"/>
      <c r="P242"/>
      <c r="Q242"/>
      <c r="R242"/>
      <c r="S242"/>
      <c r="T242"/>
      <c r="U242"/>
    </row>
    <row r="243" spans="2:21" s="1099" customFormat="1">
      <c r="B243" s="1100"/>
      <c r="E243" s="1099">
        <v>7230</v>
      </c>
      <c r="F243" s="1099" t="s">
        <v>2430</v>
      </c>
      <c r="G243" s="1099">
        <v>7231</v>
      </c>
      <c r="H243" s="1100" t="s">
        <v>2443</v>
      </c>
      <c r="I243" s="1270"/>
      <c r="J243" s="1270"/>
      <c r="K243" s="1270"/>
      <c r="L243" s="1270"/>
      <c r="M243" s="1270"/>
      <c r="N243" s="1270"/>
      <c r="O243"/>
      <c r="P243"/>
      <c r="Q243"/>
      <c r="R243"/>
      <c r="S243"/>
      <c r="T243"/>
      <c r="U243"/>
    </row>
    <row r="244" spans="2:21" s="1099" customFormat="1">
      <c r="B244" s="1100"/>
      <c r="G244" s="1099">
        <v>7232</v>
      </c>
      <c r="H244" s="1100" t="s">
        <v>2486</v>
      </c>
      <c r="I244" s="1270"/>
      <c r="J244" s="1270"/>
      <c r="K244" s="1270"/>
      <c r="L244" s="1270"/>
      <c r="M244" s="1270"/>
      <c r="N244" s="1270"/>
      <c r="O244"/>
      <c r="P244"/>
      <c r="Q244"/>
      <c r="R244"/>
      <c r="S244"/>
      <c r="T244"/>
      <c r="U244"/>
    </row>
    <row r="245" spans="2:21" s="1099" customFormat="1">
      <c r="B245" s="1100"/>
      <c r="G245" s="1099">
        <v>7234</v>
      </c>
      <c r="H245" s="1100" t="s">
        <v>2431</v>
      </c>
      <c r="I245" s="1270"/>
      <c r="J245" s="1270"/>
      <c r="K245" s="1270"/>
      <c r="L245" s="1270"/>
      <c r="M245" s="1270"/>
      <c r="N245" s="1270"/>
      <c r="O245"/>
      <c r="P245"/>
      <c r="Q245"/>
      <c r="R245"/>
      <c r="S245"/>
      <c r="T245"/>
      <c r="U245"/>
    </row>
    <row r="246" spans="2:21" s="1099" customFormat="1">
      <c r="B246" s="1100"/>
      <c r="G246" s="1099">
        <v>7235</v>
      </c>
      <c r="H246" s="1100" t="s">
        <v>2459</v>
      </c>
      <c r="I246" s="1270"/>
      <c r="J246" s="1270"/>
      <c r="K246" s="1270"/>
      <c r="L246" s="1270"/>
      <c r="M246" s="1270"/>
      <c r="N246" s="1270"/>
      <c r="O246"/>
      <c r="P246"/>
      <c r="Q246"/>
      <c r="R246"/>
      <c r="S246"/>
      <c r="T246"/>
      <c r="U246"/>
    </row>
    <row r="247" spans="2:21" s="1099" customFormat="1">
      <c r="B247" s="1100"/>
      <c r="G247" s="1099">
        <v>7238</v>
      </c>
      <c r="H247" s="1100" t="s">
        <v>3599</v>
      </c>
      <c r="I247" s="1270"/>
      <c r="J247" s="1270"/>
      <c r="K247" s="1270"/>
      <c r="L247" s="1270"/>
      <c r="M247" s="1270"/>
      <c r="N247" s="1270"/>
      <c r="O247"/>
      <c r="P247"/>
      <c r="Q247"/>
      <c r="R247"/>
      <c r="S247"/>
      <c r="T247"/>
      <c r="U247"/>
    </row>
    <row r="248" spans="2:21" s="1099" customFormat="1">
      <c r="B248" s="1100"/>
      <c r="E248" s="1099">
        <v>7240</v>
      </c>
      <c r="F248" s="1099" t="s">
        <v>3600</v>
      </c>
      <c r="G248" s="1099">
        <v>7241</v>
      </c>
      <c r="H248" s="1100" t="s">
        <v>3601</v>
      </c>
      <c r="I248" s="1270"/>
      <c r="J248" s="1270"/>
      <c r="K248" s="1270"/>
      <c r="L248" s="1270"/>
      <c r="M248" s="1270"/>
      <c r="N248" s="1270"/>
      <c r="O248"/>
      <c r="P248"/>
      <c r="Q248"/>
      <c r="R248"/>
      <c r="S248"/>
      <c r="T248"/>
      <c r="U248"/>
    </row>
    <row r="249" spans="2:21" s="1099" customFormat="1">
      <c r="B249" s="1100"/>
      <c r="G249" s="1099">
        <v>7242</v>
      </c>
      <c r="H249" s="1100" t="s">
        <v>3602</v>
      </c>
      <c r="I249" s="1270"/>
      <c r="J249" s="1270"/>
      <c r="K249" s="1270"/>
      <c r="L249" s="1270"/>
      <c r="M249" s="1270"/>
      <c r="N249" s="1270"/>
      <c r="O249"/>
      <c r="P249"/>
      <c r="Q249"/>
      <c r="R249"/>
      <c r="S249"/>
      <c r="T249"/>
      <c r="U249"/>
    </row>
    <row r="250" spans="2:21" s="1099" customFormat="1">
      <c r="B250" s="1100"/>
      <c r="G250" s="1099">
        <v>7244</v>
      </c>
      <c r="H250" s="1100" t="s">
        <v>3603</v>
      </c>
      <c r="I250" s="1270"/>
      <c r="J250" s="1270"/>
      <c r="K250" s="1270"/>
      <c r="L250" s="1270"/>
      <c r="M250" s="1270"/>
      <c r="N250" s="1270"/>
      <c r="O250"/>
      <c r="P250"/>
      <c r="Q250"/>
      <c r="R250"/>
      <c r="S250"/>
      <c r="T250"/>
      <c r="U250"/>
    </row>
    <row r="251" spans="2:21" s="1099" customFormat="1">
      <c r="B251" s="1100"/>
      <c r="G251" s="1099">
        <v>7243</v>
      </c>
      <c r="H251" s="1100" t="s">
        <v>6601</v>
      </c>
      <c r="I251" s="1270"/>
      <c r="J251" s="1270"/>
      <c r="K251" s="1270"/>
      <c r="L251" s="1270"/>
      <c r="M251" s="1270"/>
      <c r="N251" s="1270"/>
      <c r="O251"/>
      <c r="P251"/>
      <c r="Q251"/>
      <c r="R251"/>
      <c r="S251"/>
      <c r="T251"/>
      <c r="U251"/>
    </row>
    <row r="252" spans="2:21" s="1099" customFormat="1">
      <c r="B252" s="1100"/>
      <c r="G252" s="1099">
        <v>7245</v>
      </c>
      <c r="H252" s="1100" t="s">
        <v>6602</v>
      </c>
      <c r="I252" s="1270"/>
      <c r="J252" s="1270"/>
      <c r="K252" s="1270"/>
      <c r="L252" s="1270"/>
      <c r="M252" s="1270"/>
      <c r="N252" s="1270"/>
      <c r="O252"/>
      <c r="P252"/>
      <c r="Q252"/>
      <c r="R252"/>
      <c r="S252"/>
      <c r="T252"/>
      <c r="U252"/>
    </row>
    <row r="253" spans="2:21" s="1099" customFormat="1">
      <c r="B253" s="1100"/>
      <c r="E253" s="1099">
        <v>7250</v>
      </c>
      <c r="F253" s="1099" t="s">
        <v>2569</v>
      </c>
      <c r="G253" s="1099">
        <v>7251</v>
      </c>
      <c r="H253" s="1100" t="s">
        <v>2570</v>
      </c>
      <c r="I253" s="1270"/>
      <c r="J253" s="1270"/>
      <c r="K253" s="1270"/>
      <c r="L253" s="1270"/>
      <c r="M253" s="1270"/>
      <c r="N253" s="1270"/>
      <c r="O253"/>
      <c r="P253"/>
      <c r="Q253"/>
      <c r="R253"/>
      <c r="S253"/>
      <c r="T253"/>
      <c r="U253"/>
    </row>
    <row r="254" spans="2:21" s="1099" customFormat="1">
      <c r="B254" s="1100"/>
      <c r="G254" s="1099">
        <v>7252</v>
      </c>
      <c r="H254" s="1100" t="s">
        <v>3607</v>
      </c>
      <c r="I254" s="1270"/>
      <c r="J254" s="1270"/>
      <c r="K254" s="1270"/>
      <c r="L254" s="1270"/>
      <c r="M254" s="1270"/>
      <c r="N254" s="1270"/>
      <c r="O254"/>
      <c r="P254"/>
      <c r="Q254"/>
      <c r="R254"/>
      <c r="S254"/>
      <c r="T254"/>
      <c r="U254"/>
    </row>
    <row r="255" spans="2:21" s="1099" customFormat="1">
      <c r="B255" s="1100"/>
      <c r="E255" s="1099">
        <v>7270</v>
      </c>
      <c r="F255" s="1099" t="s">
        <v>2580</v>
      </c>
      <c r="G255" s="1099">
        <v>7271</v>
      </c>
      <c r="H255" s="1100" t="s">
        <v>3609</v>
      </c>
      <c r="I255" s="1270"/>
      <c r="J255" s="1270"/>
      <c r="K255" s="1270"/>
      <c r="L255" s="1270"/>
      <c r="M255" s="1270"/>
      <c r="N255" s="1270"/>
      <c r="O255"/>
      <c r="P255"/>
      <c r="Q255"/>
      <c r="R255"/>
      <c r="S255"/>
      <c r="T255"/>
      <c r="U255"/>
    </row>
    <row r="256" spans="2:21" s="1099" customFormat="1">
      <c r="B256" s="1100"/>
      <c r="G256" s="1099">
        <v>7273</v>
      </c>
      <c r="H256" s="1100" t="s">
        <v>2581</v>
      </c>
      <c r="I256" s="1270"/>
      <c r="J256" s="1270"/>
      <c r="K256" s="1270"/>
      <c r="L256" s="1270"/>
      <c r="M256" s="1270"/>
      <c r="N256" s="1270"/>
      <c r="O256"/>
      <c r="P256"/>
      <c r="Q256"/>
      <c r="R256"/>
      <c r="S256"/>
      <c r="T256"/>
      <c r="U256"/>
    </row>
    <row r="257" spans="2:21" s="1099" customFormat="1">
      <c r="B257" s="1100"/>
      <c r="G257" s="1099">
        <v>7275</v>
      </c>
      <c r="H257" s="1100" t="s">
        <v>3611</v>
      </c>
      <c r="I257" s="1270"/>
      <c r="J257" s="1270"/>
      <c r="K257" s="1270"/>
      <c r="L257" s="1270"/>
      <c r="M257" s="1270"/>
      <c r="N257" s="1270"/>
      <c r="O257"/>
      <c r="P257"/>
      <c r="Q257"/>
      <c r="R257"/>
      <c r="S257"/>
      <c r="T257"/>
      <c r="U257"/>
    </row>
    <row r="258" spans="2:21" s="1099" customFormat="1">
      <c r="B258" s="1100"/>
      <c r="E258" s="1099" t="s">
        <v>3347</v>
      </c>
      <c r="F258" s="1099" t="s">
        <v>3347</v>
      </c>
      <c r="G258" s="1099" t="s">
        <v>3347</v>
      </c>
      <c r="H258" s="1100" t="s">
        <v>3347</v>
      </c>
      <c r="I258" s="1270"/>
      <c r="J258" s="1270"/>
      <c r="K258" s="1270"/>
      <c r="L258" s="1270"/>
      <c r="M258" s="1270"/>
      <c r="N258" s="1270"/>
      <c r="O258"/>
      <c r="P258"/>
      <c r="Q258"/>
      <c r="R258"/>
      <c r="S258"/>
      <c r="T258"/>
      <c r="U258"/>
    </row>
    <row r="259" spans="2:21" s="1099" customFormat="1">
      <c r="B259" s="1100"/>
      <c r="C259" s="1099" t="s">
        <v>3347</v>
      </c>
      <c r="D259" s="1099" t="s">
        <v>3347</v>
      </c>
      <c r="E259" s="1099" t="s">
        <v>3347</v>
      </c>
      <c r="F259" s="1099" t="s">
        <v>3347</v>
      </c>
      <c r="G259" s="1099" t="s">
        <v>3347</v>
      </c>
      <c r="H259" s="1100" t="s">
        <v>3347</v>
      </c>
      <c r="I259" s="1270"/>
      <c r="J259" s="1270"/>
      <c r="K259" s="1270"/>
      <c r="L259" s="1270"/>
      <c r="M259" s="1270"/>
      <c r="N259" s="1270"/>
      <c r="O259"/>
      <c r="P259"/>
      <c r="Q259"/>
      <c r="R259"/>
      <c r="S259"/>
      <c r="T259"/>
      <c r="U259"/>
    </row>
    <row r="260" spans="2:21">
      <c r="B260" s="1100"/>
      <c r="C260" s="1099">
        <v>7100</v>
      </c>
      <c r="D260" s="1099" t="s">
        <v>78</v>
      </c>
      <c r="E260" s="1099">
        <v>7110</v>
      </c>
      <c r="F260" s="1099" t="s">
        <v>3588</v>
      </c>
      <c r="G260" s="1099">
        <v>7111</v>
      </c>
      <c r="H260" s="1100" t="s">
        <v>3589</v>
      </c>
      <c r="I260" s="1270"/>
      <c r="J260" s="1270"/>
      <c r="K260" s="1270"/>
      <c r="L260" s="1270"/>
      <c r="M260" s="1270"/>
      <c r="N260" s="1270"/>
    </row>
    <row r="261" spans="2:21" s="1099" customFormat="1">
      <c r="B261" s="1100"/>
      <c r="E261" s="1099">
        <v>7120</v>
      </c>
      <c r="F261" s="1099" t="s">
        <v>3591</v>
      </c>
      <c r="G261" s="1099">
        <v>7121</v>
      </c>
      <c r="H261" s="1100" t="s">
        <v>3592</v>
      </c>
      <c r="I261" s="1270"/>
      <c r="J261" s="1270"/>
      <c r="K261" s="1270"/>
      <c r="L261" s="1270"/>
      <c r="M261" s="1270"/>
      <c r="N261" s="1270"/>
      <c r="O261"/>
      <c r="P261"/>
      <c r="Q261"/>
      <c r="R261"/>
      <c r="S261"/>
      <c r="T261"/>
      <c r="U261"/>
    </row>
    <row r="262" spans="2:21" s="1099" customFormat="1">
      <c r="B262" s="1100"/>
      <c r="G262" s="1099">
        <v>7122</v>
      </c>
      <c r="H262" s="1100" t="s">
        <v>3593</v>
      </c>
      <c r="I262" s="1270"/>
      <c r="J262" s="1270"/>
      <c r="K262" s="1270"/>
      <c r="L262" s="1270"/>
      <c r="M262" s="1270"/>
      <c r="N262" s="1270"/>
      <c r="O262"/>
      <c r="P262"/>
      <c r="Q262"/>
      <c r="R262"/>
      <c r="S262"/>
      <c r="T262"/>
      <c r="U262"/>
    </row>
    <row r="263" spans="2:21" s="1099" customFormat="1">
      <c r="B263" s="1100"/>
      <c r="G263" s="1099">
        <v>7123</v>
      </c>
      <c r="H263" s="1100" t="s">
        <v>3594</v>
      </c>
      <c r="I263" s="1270"/>
      <c r="J263" s="1270"/>
      <c r="K263" s="1270"/>
      <c r="L263" s="1270"/>
      <c r="M263" s="1270"/>
      <c r="N263" s="1270"/>
      <c r="O263"/>
      <c r="P263"/>
      <c r="Q263"/>
      <c r="R263"/>
      <c r="S263"/>
      <c r="T263"/>
      <c r="U263"/>
    </row>
    <row r="264" spans="2:21" s="1099" customFormat="1">
      <c r="B264" s="1100"/>
      <c r="E264" s="1099" t="s">
        <v>3347</v>
      </c>
      <c r="F264" s="1099" t="s">
        <v>3347</v>
      </c>
      <c r="G264" s="1099" t="s">
        <v>3347</v>
      </c>
      <c r="H264" s="1100" t="s">
        <v>3347</v>
      </c>
      <c r="I264" s="1270"/>
      <c r="J264" s="1270"/>
      <c r="K264" s="1270"/>
      <c r="L264" s="1270"/>
      <c r="M264" s="1270"/>
      <c r="N264" s="1270"/>
      <c r="O264"/>
      <c r="P264"/>
      <c r="Q264"/>
      <c r="R264"/>
      <c r="S264"/>
      <c r="T264"/>
      <c r="U264"/>
    </row>
    <row r="265" spans="2:21" s="1099" customFormat="1">
      <c r="B265" s="1100"/>
      <c r="C265" s="1099">
        <v>7300</v>
      </c>
      <c r="D265" s="1099" t="s">
        <v>1072</v>
      </c>
      <c r="E265" s="1099" t="s">
        <v>3347</v>
      </c>
      <c r="F265" s="1099" t="s">
        <v>3347</v>
      </c>
      <c r="G265" s="1099" t="s">
        <v>3347</v>
      </c>
      <c r="H265" s="1100" t="s">
        <v>3347</v>
      </c>
      <c r="I265" s="1270"/>
      <c r="J265" s="1270"/>
      <c r="K265" s="1270"/>
      <c r="L265" s="1270"/>
      <c r="M265" s="1270"/>
      <c r="N265" s="1270"/>
      <c r="O265"/>
      <c r="P265"/>
      <c r="Q265"/>
      <c r="R265"/>
      <c r="S265"/>
      <c r="T265"/>
      <c r="U265"/>
    </row>
    <row r="266" spans="2:21" s="1099" customFormat="1">
      <c r="B266" s="1100"/>
      <c r="E266" s="1099">
        <v>7340</v>
      </c>
      <c r="F266" s="1099" t="s">
        <v>3600</v>
      </c>
      <c r="G266" s="1099">
        <v>7340</v>
      </c>
      <c r="H266" s="1100" t="s">
        <v>3600</v>
      </c>
      <c r="I266" s="1270"/>
      <c r="J266" s="1270"/>
      <c r="K266" s="1270"/>
      <c r="L266" s="1270"/>
      <c r="M266" s="1270"/>
      <c r="N266" s="1270"/>
      <c r="O266"/>
      <c r="P266"/>
      <c r="Q266"/>
      <c r="R266"/>
      <c r="S266"/>
      <c r="T266"/>
      <c r="U266"/>
    </row>
    <row r="267" spans="2:21" s="1099" customFormat="1">
      <c r="B267" s="1100"/>
      <c r="C267" s="1099">
        <v>7400</v>
      </c>
      <c r="D267" s="1099" t="s">
        <v>1316</v>
      </c>
      <c r="E267" s="1099">
        <v>7410</v>
      </c>
      <c r="F267" s="1099" t="s">
        <v>2421</v>
      </c>
      <c r="G267" s="1099">
        <v>7411</v>
      </c>
      <c r="H267" s="1100" t="s">
        <v>2426</v>
      </c>
      <c r="I267" s="1270"/>
      <c r="J267" s="1270"/>
      <c r="K267" s="1270"/>
      <c r="L267" s="1270"/>
      <c r="M267" s="1270"/>
      <c r="N267" s="1270"/>
      <c r="O267"/>
      <c r="P267"/>
      <c r="Q267"/>
      <c r="R267"/>
      <c r="S267"/>
      <c r="T267"/>
      <c r="U267"/>
    </row>
    <row r="268" spans="2:21" s="1099" customFormat="1">
      <c r="B268" s="1100"/>
      <c r="G268" s="1099">
        <v>7412</v>
      </c>
      <c r="H268" s="1100" t="s">
        <v>2594</v>
      </c>
      <c r="I268" s="1270"/>
      <c r="J268" s="1270"/>
      <c r="K268" s="1270"/>
      <c r="L268" s="1270"/>
      <c r="M268" s="1270"/>
      <c r="N268" s="1270"/>
      <c r="O268"/>
      <c r="P268"/>
      <c r="Q268"/>
      <c r="R268"/>
      <c r="S268"/>
      <c r="T268"/>
      <c r="U268"/>
    </row>
    <row r="269" spans="2:21" s="1099" customFormat="1">
      <c r="B269" s="1100"/>
      <c r="E269" s="1099">
        <v>7430</v>
      </c>
      <c r="F269" s="1099" t="s">
        <v>2430</v>
      </c>
      <c r="G269" s="1099">
        <v>7431</v>
      </c>
      <c r="H269" s="1100" t="s">
        <v>2443</v>
      </c>
      <c r="I269" s="1270"/>
      <c r="J269" s="1270"/>
      <c r="K269" s="1270"/>
      <c r="L269" s="1270"/>
      <c r="M269" s="1270"/>
      <c r="N269" s="1270"/>
      <c r="O269"/>
      <c r="P269"/>
      <c r="Q269"/>
      <c r="R269"/>
      <c r="S269"/>
      <c r="T269"/>
      <c r="U269"/>
    </row>
    <row r="270" spans="2:21" s="1099" customFormat="1">
      <c r="B270" s="1100"/>
      <c r="G270" s="1099">
        <v>7432</v>
      </c>
      <c r="H270" s="1100" t="s">
        <v>2486</v>
      </c>
      <c r="I270" s="1270"/>
      <c r="J270" s="1270"/>
      <c r="K270" s="1270"/>
      <c r="L270" s="1270"/>
      <c r="M270" s="1270"/>
      <c r="N270" s="1270"/>
      <c r="O270"/>
      <c r="P270"/>
      <c r="Q270"/>
      <c r="R270"/>
      <c r="S270"/>
      <c r="T270"/>
      <c r="U270"/>
    </row>
    <row r="271" spans="2:21" s="1099" customFormat="1">
      <c r="B271" s="1100"/>
      <c r="G271" s="1099">
        <v>7434</v>
      </c>
      <c r="H271" s="1100" t="s">
        <v>2431</v>
      </c>
      <c r="I271" s="1270"/>
      <c r="J271" s="1270"/>
      <c r="K271" s="1270"/>
      <c r="L271" s="1270"/>
      <c r="M271" s="1270"/>
      <c r="N271" s="1270"/>
      <c r="O271"/>
      <c r="P271"/>
      <c r="Q271"/>
      <c r="R271"/>
      <c r="S271"/>
      <c r="T271"/>
      <c r="U271"/>
    </row>
    <row r="272" spans="2:21" s="1099" customFormat="1">
      <c r="B272" s="1100"/>
      <c r="G272" s="1099">
        <v>7435</v>
      </c>
      <c r="H272" s="1100" t="s">
        <v>2459</v>
      </c>
      <c r="I272" s="1270"/>
      <c r="J272" s="1270"/>
      <c r="K272" s="1270"/>
      <c r="L272" s="1270"/>
      <c r="M272" s="1270"/>
      <c r="N272" s="1270"/>
      <c r="O272"/>
      <c r="P272"/>
      <c r="Q272"/>
      <c r="R272"/>
      <c r="S272"/>
      <c r="T272"/>
      <c r="U272"/>
    </row>
    <row r="273" spans="1:21" s="1099" customFormat="1">
      <c r="B273" s="1100"/>
      <c r="E273" s="1099">
        <v>7470</v>
      </c>
      <c r="F273" s="1099" t="s">
        <v>2580</v>
      </c>
      <c r="G273" s="1099">
        <v>7470</v>
      </c>
      <c r="H273" s="1100" t="s">
        <v>2580</v>
      </c>
      <c r="I273" s="1270"/>
      <c r="J273" s="1270"/>
      <c r="K273" s="1270"/>
      <c r="L273" s="1270"/>
      <c r="M273" s="1270"/>
      <c r="N273" s="1270"/>
      <c r="O273"/>
      <c r="P273"/>
      <c r="Q273"/>
      <c r="R273"/>
      <c r="S273"/>
      <c r="T273"/>
      <c r="U273"/>
    </row>
    <row r="274" spans="1:21" s="1099" customFormat="1">
      <c r="B274" s="1100"/>
      <c r="G274" s="1099">
        <v>7471</v>
      </c>
      <c r="H274" s="1100" t="s">
        <v>3609</v>
      </c>
      <c r="I274" s="1270"/>
      <c r="J274" s="1270"/>
      <c r="K274" s="1270"/>
      <c r="L274" s="1270"/>
      <c r="M274" s="1270"/>
      <c r="N274" s="1270"/>
      <c r="O274"/>
      <c r="P274"/>
      <c r="Q274"/>
      <c r="R274"/>
      <c r="S274"/>
      <c r="T274"/>
      <c r="U274"/>
    </row>
    <row r="275" spans="1:21" s="1099" customFormat="1">
      <c r="B275" s="1100"/>
      <c r="G275" s="1099">
        <v>7473</v>
      </c>
      <c r="H275" s="1100" t="s">
        <v>2581</v>
      </c>
      <c r="I275" s="1270"/>
      <c r="J275" s="1270"/>
      <c r="K275" s="1270"/>
      <c r="L275" s="1270"/>
      <c r="M275" s="1270"/>
      <c r="N275" s="1270"/>
      <c r="O275"/>
      <c r="P275"/>
      <c r="Q275"/>
      <c r="R275"/>
      <c r="S275"/>
      <c r="T275"/>
      <c r="U275"/>
    </row>
    <row r="276" spans="1:21" s="1099" customFormat="1">
      <c r="B276" s="1100"/>
      <c r="G276" s="1099">
        <v>7475</v>
      </c>
      <c r="H276" s="1100" t="s">
        <v>3611</v>
      </c>
      <c r="I276" s="1270"/>
      <c r="J276" s="1270"/>
      <c r="K276" s="1270"/>
      <c r="L276" s="1270"/>
      <c r="M276" s="1270"/>
      <c r="N276" s="1270"/>
      <c r="O276"/>
      <c r="P276"/>
      <c r="Q276"/>
      <c r="R276"/>
      <c r="S276"/>
      <c r="T276"/>
      <c r="U276"/>
    </row>
    <row r="277" spans="1:21" s="1099" customFormat="1">
      <c r="B277" s="1100"/>
      <c r="E277" s="1099">
        <v>7480</v>
      </c>
      <c r="F277" s="1099" t="s">
        <v>3613</v>
      </c>
      <c r="G277" s="1099">
        <v>7482</v>
      </c>
      <c r="H277" s="1100" t="s">
        <v>3617</v>
      </c>
      <c r="I277" s="1270"/>
      <c r="J277" s="1270"/>
      <c r="K277" s="1270"/>
      <c r="L277" s="1270"/>
      <c r="M277" s="1270"/>
      <c r="N277" s="1270"/>
      <c r="O277"/>
      <c r="P277"/>
      <c r="Q277"/>
      <c r="R277"/>
      <c r="S277"/>
      <c r="T277"/>
      <c r="U277"/>
    </row>
    <row r="278" spans="1:21" s="1099" customFormat="1">
      <c r="B278" s="1100"/>
      <c r="G278" s="1099">
        <v>7484</v>
      </c>
      <c r="H278" s="1100" t="s">
        <v>3618</v>
      </c>
      <c r="I278" s="1270"/>
      <c r="J278" s="1270"/>
      <c r="K278" s="1270"/>
      <c r="L278" s="1270"/>
      <c r="M278" s="1270"/>
      <c r="N278" s="1270"/>
      <c r="O278"/>
      <c r="P278"/>
      <c r="Q278"/>
      <c r="R278"/>
      <c r="S278"/>
      <c r="T278"/>
      <c r="U278"/>
    </row>
    <row r="279" spans="1:21" s="1099" customFormat="1">
      <c r="B279" s="1100"/>
      <c r="E279" s="1099" t="s">
        <v>2656</v>
      </c>
      <c r="F279" s="1099" t="s">
        <v>2569</v>
      </c>
      <c r="G279" s="1099" t="s">
        <v>2657</v>
      </c>
      <c r="H279" s="1100" t="s">
        <v>2570</v>
      </c>
      <c r="I279" s="1270"/>
      <c r="J279" s="1270"/>
      <c r="K279" s="1270"/>
      <c r="L279" s="1270"/>
      <c r="M279" s="1270"/>
      <c r="N279" s="1270"/>
      <c r="O279"/>
      <c r="P279"/>
      <c r="Q279"/>
      <c r="R279"/>
      <c r="S279"/>
      <c r="T279"/>
      <c r="U279"/>
    </row>
    <row r="280" spans="1:21" s="1099" customFormat="1">
      <c r="B280" s="1100"/>
      <c r="E280" s="1099" t="s">
        <v>3347</v>
      </c>
      <c r="F280" s="1099" t="s">
        <v>3347</v>
      </c>
      <c r="G280" s="1099" t="s">
        <v>3347</v>
      </c>
      <c r="H280" s="1100" t="s">
        <v>3347</v>
      </c>
      <c r="I280" s="1270"/>
      <c r="J280" s="1270"/>
      <c r="K280" s="1270"/>
      <c r="L280" s="1270"/>
      <c r="M280" s="1270"/>
      <c r="N280" s="1270"/>
      <c r="O280"/>
      <c r="P280"/>
      <c r="Q280"/>
      <c r="R280"/>
      <c r="S280"/>
      <c r="T280"/>
      <c r="U280"/>
    </row>
    <row r="281" spans="1:21" s="1099" customFormat="1">
      <c r="B281" s="1100"/>
      <c r="E281" s="1099">
        <v>7440</v>
      </c>
      <c r="F281" s="1099" t="s">
        <v>3600</v>
      </c>
      <c r="G281" s="1099">
        <v>7441</v>
      </c>
      <c r="H281" s="1100" t="s">
        <v>3601</v>
      </c>
      <c r="I281" s="1270"/>
      <c r="J281" s="1270"/>
      <c r="K281" s="1270"/>
      <c r="L281" s="1270"/>
      <c r="M281" s="1270"/>
      <c r="N281" s="1270"/>
      <c r="O281"/>
      <c r="P281"/>
      <c r="Q281"/>
      <c r="R281"/>
      <c r="S281"/>
      <c r="T281"/>
      <c r="U281"/>
    </row>
    <row r="282" spans="1:21" s="1099" customFormat="1">
      <c r="B282" s="1100"/>
      <c r="G282" s="1099">
        <v>7443</v>
      </c>
      <c r="H282" s="1100" t="s">
        <v>6601</v>
      </c>
      <c r="I282" s="1270"/>
      <c r="J282" s="1270"/>
      <c r="K282" s="1270"/>
      <c r="L282" s="1270"/>
      <c r="M282" s="1270"/>
      <c r="N282" s="1270"/>
      <c r="O282"/>
      <c r="P282"/>
      <c r="Q282"/>
      <c r="R282"/>
      <c r="S282"/>
      <c r="T282"/>
      <c r="U282"/>
    </row>
    <row r="283" spans="1:21" s="1099" customFormat="1">
      <c r="B283" s="1100"/>
      <c r="G283" s="1099">
        <v>7444</v>
      </c>
      <c r="H283" s="1100" t="s">
        <v>3603</v>
      </c>
      <c r="I283" s="1270"/>
      <c r="J283" s="1270"/>
      <c r="K283" s="1270"/>
      <c r="L283" s="1270"/>
      <c r="M283" s="1270"/>
      <c r="N283" s="1270"/>
      <c r="O283"/>
      <c r="P283"/>
      <c r="Q283"/>
      <c r="R283"/>
      <c r="S283"/>
      <c r="T283"/>
      <c r="U283"/>
    </row>
    <row r="284" spans="1:21" s="1099" customFormat="1">
      <c r="B284" s="1100"/>
      <c r="G284" s="1099">
        <v>7445</v>
      </c>
      <c r="H284" s="1100" t="s">
        <v>6602</v>
      </c>
      <c r="I284" s="1270"/>
      <c r="J284" s="1270"/>
      <c r="K284" s="1270"/>
      <c r="L284" s="1270"/>
      <c r="M284" s="1270"/>
      <c r="N284" s="1270"/>
      <c r="O284"/>
      <c r="P284"/>
      <c r="Q284"/>
      <c r="R284"/>
      <c r="S284"/>
      <c r="T284"/>
      <c r="U284"/>
    </row>
    <row r="285" spans="1:21" s="1099" customFormat="1">
      <c r="A285" s="1099">
        <v>8000</v>
      </c>
      <c r="B285" s="1099" t="s">
        <v>2666</v>
      </c>
      <c r="C285" s="1099" t="s">
        <v>3347</v>
      </c>
      <c r="D285" s="1099" t="s">
        <v>3347</v>
      </c>
      <c r="E285" s="1099" t="s">
        <v>3347</v>
      </c>
      <c r="F285" s="1099" t="s">
        <v>3347</v>
      </c>
      <c r="G285" s="1099" t="s">
        <v>3347</v>
      </c>
      <c r="H285" s="1100" t="s">
        <v>3347</v>
      </c>
      <c r="I285" s="1270"/>
      <c r="J285" s="1270"/>
      <c r="K285" s="1270"/>
      <c r="L285" s="1270"/>
      <c r="M285" s="1270"/>
      <c r="N285" s="1270"/>
      <c r="O285"/>
      <c r="P285"/>
      <c r="Q285"/>
      <c r="R285"/>
      <c r="S285"/>
      <c r="T285"/>
      <c r="U285"/>
    </row>
    <row r="286" spans="1:21" s="1099" customFormat="1">
      <c r="C286" s="1099">
        <v>8100</v>
      </c>
      <c r="D286" s="1099" t="s">
        <v>2666</v>
      </c>
      <c r="E286" s="1099">
        <v>8110</v>
      </c>
      <c r="F286" s="1099" t="s">
        <v>2667</v>
      </c>
      <c r="G286" s="1099">
        <v>8111</v>
      </c>
      <c r="H286" s="1100" t="s">
        <v>2667</v>
      </c>
      <c r="I286" s="1270"/>
      <c r="J286" s="1270"/>
      <c r="K286" s="1270"/>
      <c r="L286" s="1270"/>
      <c r="M286" s="1270"/>
      <c r="N286" s="1270"/>
      <c r="O286"/>
      <c r="P286"/>
      <c r="Q286"/>
      <c r="R286"/>
      <c r="S286"/>
      <c r="T286"/>
      <c r="U286"/>
    </row>
    <row r="287" spans="1:21" s="1099" customFormat="1" ht="26.5">
      <c r="H287" s="1100" t="s">
        <v>2675</v>
      </c>
      <c r="I287" s="1270"/>
      <c r="J287" s="1270"/>
      <c r="K287" s="1270"/>
      <c r="L287" s="1270"/>
      <c r="M287" s="1270"/>
      <c r="N287" s="1270"/>
      <c r="O287"/>
      <c r="P287"/>
      <c r="Q287"/>
      <c r="R287"/>
      <c r="S287"/>
      <c r="T287"/>
      <c r="U287"/>
    </row>
    <row r="288" spans="1:21" s="1099" customFormat="1" ht="26.5">
      <c r="G288" s="1099">
        <v>8112</v>
      </c>
      <c r="H288" s="1100" t="s">
        <v>2675</v>
      </c>
      <c r="I288" s="1270"/>
      <c r="J288" s="1270"/>
      <c r="K288" s="1270"/>
      <c r="L288" s="1270"/>
      <c r="M288" s="1270"/>
      <c r="N288" s="1270"/>
      <c r="O288"/>
      <c r="P288"/>
      <c r="Q288"/>
      <c r="R288"/>
      <c r="S288"/>
      <c r="T288"/>
      <c r="U288"/>
    </row>
    <row r="289" spans="1:21" ht="26.5">
      <c r="B289" s="1099"/>
      <c r="C289" s="1099"/>
      <c r="D289" s="1099"/>
      <c r="E289" s="1099">
        <v>8120</v>
      </c>
      <c r="F289" s="1099" t="s">
        <v>3636</v>
      </c>
      <c r="G289" s="1099">
        <v>8121</v>
      </c>
      <c r="H289" s="1100" t="s">
        <v>2675</v>
      </c>
      <c r="I289" s="1270"/>
      <c r="J289" s="1270"/>
      <c r="K289" s="1270"/>
      <c r="L289" s="1270"/>
      <c r="M289" s="1270"/>
      <c r="N289" s="1270"/>
    </row>
    <row r="290" spans="1:21" s="1099" customFormat="1">
      <c r="G290" s="1099" t="s">
        <v>2678</v>
      </c>
      <c r="H290" s="1100" t="s">
        <v>3159</v>
      </c>
      <c r="I290" s="1270"/>
      <c r="J290" s="1270"/>
      <c r="K290" s="1270"/>
      <c r="L290" s="1270"/>
      <c r="M290" s="1270"/>
      <c r="N290" s="1270"/>
      <c r="O290"/>
      <c r="P290"/>
      <c r="Q290"/>
      <c r="R290"/>
      <c r="S290"/>
      <c r="T290"/>
      <c r="U290"/>
    </row>
    <row r="291" spans="1:21" s="1099" customFormat="1">
      <c r="H291" s="1100" t="s">
        <v>3638</v>
      </c>
      <c r="I291" s="1270"/>
      <c r="J291" s="1270"/>
      <c r="K291" s="1270"/>
      <c r="L291" s="1270"/>
      <c r="M291" s="1270"/>
      <c r="N291" s="1270"/>
      <c r="O291"/>
      <c r="P291"/>
      <c r="Q291"/>
      <c r="R291"/>
      <c r="S291"/>
      <c r="T291"/>
      <c r="U291"/>
    </row>
    <row r="292" spans="1:21" s="1099" customFormat="1">
      <c r="E292" s="1099" t="s">
        <v>2678</v>
      </c>
      <c r="F292" s="1099" t="s">
        <v>2682</v>
      </c>
      <c r="G292" s="1099" t="s">
        <v>2678</v>
      </c>
      <c r="H292" s="1100" t="s">
        <v>2692</v>
      </c>
      <c r="I292" s="1270"/>
      <c r="J292" s="1270"/>
      <c r="K292" s="1270"/>
      <c r="L292" s="1270"/>
      <c r="M292" s="1270"/>
      <c r="N292" s="1270"/>
      <c r="O292"/>
      <c r="P292"/>
      <c r="Q292"/>
      <c r="R292"/>
      <c r="S292"/>
      <c r="T292"/>
      <c r="U292"/>
    </row>
    <row r="293" spans="1:21" s="1099" customFormat="1">
      <c r="H293" s="1100" t="s">
        <v>2683</v>
      </c>
      <c r="I293" s="1270"/>
      <c r="J293" s="1270"/>
      <c r="K293" s="1270"/>
      <c r="L293" s="1270"/>
      <c r="M293" s="1270"/>
      <c r="N293" s="1270"/>
      <c r="O293"/>
      <c r="P293"/>
      <c r="Q293"/>
      <c r="R293"/>
      <c r="S293"/>
      <c r="T293"/>
      <c r="U293"/>
    </row>
    <row r="294" spans="1:21" s="1099" customFormat="1">
      <c r="H294" s="1100" t="s">
        <v>2742</v>
      </c>
      <c r="I294" s="1270"/>
      <c r="J294" s="1270"/>
      <c r="K294" s="1270"/>
      <c r="L294" s="1270"/>
      <c r="M294" s="1270"/>
      <c r="N294" s="1270"/>
      <c r="O294"/>
      <c r="P294"/>
      <c r="Q294"/>
      <c r="R294"/>
      <c r="S294"/>
      <c r="T294"/>
      <c r="U294"/>
    </row>
    <row r="295" spans="1:21" s="1099" customFormat="1">
      <c r="H295" s="1100" t="s">
        <v>2686</v>
      </c>
      <c r="I295" s="1270"/>
      <c r="J295" s="1270"/>
      <c r="K295" s="1270"/>
      <c r="L295" s="1270"/>
      <c r="M295" s="1270"/>
      <c r="N295" s="1270"/>
      <c r="O295"/>
      <c r="P295"/>
      <c r="Q295"/>
      <c r="R295"/>
      <c r="S295"/>
      <c r="T295"/>
      <c r="U295"/>
    </row>
    <row r="296" spans="1:21" s="1099" customFormat="1">
      <c r="F296" s="1099" t="s">
        <v>2694</v>
      </c>
      <c r="G296" s="1099" t="s">
        <v>2678</v>
      </c>
      <c r="H296" s="1100" t="s">
        <v>2695</v>
      </c>
      <c r="I296" s="1270"/>
      <c r="J296" s="1270"/>
      <c r="K296" s="1270"/>
      <c r="L296" s="1270"/>
      <c r="M296" s="1270"/>
      <c r="N296" s="1270"/>
      <c r="O296"/>
      <c r="P296"/>
      <c r="Q296"/>
      <c r="R296"/>
      <c r="S296"/>
      <c r="T296"/>
      <c r="U296"/>
    </row>
    <row r="297" spans="1:21" s="1099" customFormat="1" ht="26.5">
      <c r="H297" s="1100" t="s">
        <v>2743</v>
      </c>
      <c r="I297" s="1270"/>
      <c r="J297" s="1270"/>
      <c r="K297" s="1270"/>
      <c r="L297" s="1270"/>
      <c r="M297" s="1270"/>
      <c r="N297" s="1270"/>
      <c r="O297"/>
      <c r="P297"/>
      <c r="Q297"/>
      <c r="R297"/>
      <c r="S297"/>
      <c r="T297"/>
      <c r="U297"/>
    </row>
    <row r="298" spans="1:21" s="1099" customFormat="1">
      <c r="E298" s="1099" t="s">
        <v>3347</v>
      </c>
      <c r="F298" s="1099" t="s">
        <v>3347</v>
      </c>
      <c r="G298" s="1099" t="s">
        <v>3347</v>
      </c>
      <c r="H298" s="1100" t="s">
        <v>3347</v>
      </c>
      <c r="I298" s="1270"/>
      <c r="J298" s="1270"/>
      <c r="K298" s="1270"/>
      <c r="L298" s="1270"/>
      <c r="M298" s="1270"/>
      <c r="N298" s="1270"/>
      <c r="O298"/>
      <c r="P298"/>
      <c r="Q298"/>
      <c r="R298"/>
      <c r="S298"/>
      <c r="T298"/>
      <c r="U298"/>
    </row>
    <row r="299" spans="1:21" s="1099" customFormat="1">
      <c r="A299" s="1099">
        <v>9000</v>
      </c>
      <c r="B299" s="1099" t="s">
        <v>2745</v>
      </c>
      <c r="C299" s="1099">
        <v>9100</v>
      </c>
      <c r="D299" s="1099" t="s">
        <v>2745</v>
      </c>
      <c r="E299" s="1099">
        <v>9120</v>
      </c>
      <c r="F299" s="1099" t="s">
        <v>6603</v>
      </c>
      <c r="G299" s="1099">
        <v>9121</v>
      </c>
      <c r="H299" s="1100" t="s">
        <v>3643</v>
      </c>
      <c r="I299" s="1270"/>
      <c r="J299" s="1270"/>
      <c r="K299" s="1270"/>
      <c r="L299" s="1270"/>
      <c r="M299" s="1270"/>
      <c r="N299" s="1270"/>
      <c r="O299"/>
      <c r="P299"/>
      <c r="Q299"/>
      <c r="R299"/>
      <c r="S299"/>
      <c r="T299"/>
      <c r="U299"/>
    </row>
    <row r="300" spans="1:21" s="1099" customFormat="1">
      <c r="E300" s="1099">
        <v>9190</v>
      </c>
      <c r="F300" s="1099" t="s">
        <v>2746</v>
      </c>
      <c r="G300" s="1099">
        <v>9191</v>
      </c>
      <c r="H300" s="1100" t="s">
        <v>2747</v>
      </c>
      <c r="I300" s="1270"/>
      <c r="J300" s="1270"/>
      <c r="K300" s="1270"/>
      <c r="L300" s="1270"/>
      <c r="M300" s="1270"/>
      <c r="N300" s="1270"/>
      <c r="O300"/>
      <c r="P300"/>
      <c r="Q300"/>
      <c r="R300"/>
      <c r="S300"/>
      <c r="T300"/>
      <c r="U300"/>
    </row>
    <row r="301" spans="1:21" s="1099" customFormat="1">
      <c r="E301" s="1099" t="s">
        <v>3347</v>
      </c>
      <c r="F301" s="1099" t="s">
        <v>3347</v>
      </c>
      <c r="G301" s="1099" t="s">
        <v>3347</v>
      </c>
      <c r="H301" s="1100" t="s">
        <v>3347</v>
      </c>
      <c r="I301" s="1270"/>
      <c r="J301" s="1270"/>
      <c r="K301" s="1270"/>
      <c r="L301" s="1270"/>
      <c r="M301" s="1270"/>
      <c r="N301" s="1270"/>
      <c r="O301"/>
      <c r="P301"/>
      <c r="Q301"/>
      <c r="R301"/>
      <c r="S301"/>
      <c r="T301"/>
      <c r="U301"/>
    </row>
    <row r="302" spans="1:21" s="1099" customFormat="1" ht="26.5">
      <c r="A302" s="1100" t="s">
        <v>3357</v>
      </c>
      <c r="B302" s="1100"/>
      <c r="C302" s="1100"/>
      <c r="D302" s="1100"/>
      <c r="E302" s="1100"/>
      <c r="F302" s="1100"/>
      <c r="G302" s="1100"/>
      <c r="H302" s="1100"/>
      <c r="I302" s="1270"/>
      <c r="J302" s="1270"/>
      <c r="K302" s="1270"/>
      <c r="L302" s="1270"/>
      <c r="M302" s="1270"/>
      <c r="N302" s="1270"/>
      <c r="O302"/>
      <c r="P302"/>
      <c r="Q302"/>
      <c r="R302"/>
      <c r="S302"/>
      <c r="T302"/>
      <c r="U302"/>
    </row>
    <row r="303" spans="1:21" s="1099" customFormat="1">
      <c r="A303"/>
      <c r="B303"/>
      <c r="C303"/>
      <c r="D303"/>
      <c r="E303"/>
      <c r="F303"/>
      <c r="G303"/>
      <c r="H303"/>
      <c r="I303"/>
      <c r="J303"/>
      <c r="K303"/>
      <c r="L303"/>
      <c r="M303"/>
      <c r="N303"/>
      <c r="O303"/>
      <c r="P303"/>
      <c r="Q303"/>
      <c r="R303"/>
      <c r="S303"/>
      <c r="T303"/>
      <c r="U303"/>
    </row>
    <row r="304" spans="1:21" s="1099" customFormat="1">
      <c r="A304"/>
      <c r="B304"/>
      <c r="C304"/>
      <c r="D304"/>
      <c r="E304"/>
      <c r="F304"/>
      <c r="G304"/>
      <c r="H304"/>
      <c r="I304"/>
      <c r="J304"/>
      <c r="K304"/>
      <c r="L304"/>
      <c r="M304"/>
      <c r="N304"/>
      <c r="O304"/>
      <c r="P304"/>
      <c r="Q304"/>
      <c r="R304"/>
      <c r="S304"/>
      <c r="T304"/>
      <c r="U304"/>
    </row>
    <row r="305" spans="1:21" s="1099" customFormat="1">
      <c r="A305"/>
      <c r="B305"/>
      <c r="C305"/>
      <c r="D305"/>
      <c r="E305"/>
      <c r="F305"/>
      <c r="G305"/>
      <c r="H305"/>
      <c r="I305"/>
      <c r="J305"/>
      <c r="K305"/>
      <c r="L305"/>
      <c r="M305"/>
      <c r="N305"/>
      <c r="O305"/>
      <c r="P305"/>
      <c r="Q305"/>
      <c r="R305"/>
      <c r="S305"/>
      <c r="T305"/>
      <c r="U305"/>
    </row>
    <row r="306" spans="1:21" s="1099" customFormat="1">
      <c r="A306"/>
      <c r="B306"/>
      <c r="C306"/>
      <c r="D306"/>
      <c r="E306"/>
      <c r="F306"/>
      <c r="G306"/>
      <c r="H306"/>
      <c r="I306"/>
      <c r="J306"/>
      <c r="K306"/>
      <c r="L306"/>
      <c r="M306"/>
      <c r="N306"/>
      <c r="O306"/>
      <c r="P306"/>
      <c r="Q306"/>
      <c r="R306"/>
      <c r="S306"/>
      <c r="T306"/>
      <c r="U306"/>
    </row>
    <row r="307" spans="1:21" s="1099" customFormat="1">
      <c r="A307"/>
      <c r="B307"/>
      <c r="C307"/>
      <c r="D307"/>
      <c r="E307"/>
      <c r="F307"/>
      <c r="G307"/>
      <c r="H307"/>
      <c r="I307"/>
      <c r="J307"/>
      <c r="K307"/>
      <c r="L307"/>
      <c r="M307"/>
      <c r="N307"/>
      <c r="O307"/>
      <c r="P307"/>
      <c r="Q307"/>
      <c r="R307"/>
      <c r="S307"/>
      <c r="T307"/>
      <c r="U307"/>
    </row>
    <row r="308" spans="1:21" s="1099" customFormat="1">
      <c r="A308"/>
      <c r="B308"/>
      <c r="C308"/>
      <c r="D308"/>
      <c r="E308"/>
      <c r="F308"/>
      <c r="G308"/>
      <c r="H308"/>
      <c r="I308"/>
      <c r="J308"/>
      <c r="K308"/>
      <c r="L308"/>
      <c r="M308"/>
      <c r="N308"/>
      <c r="O308"/>
      <c r="P308"/>
      <c r="Q308"/>
      <c r="R308"/>
      <c r="S308"/>
      <c r="T308"/>
      <c r="U308"/>
    </row>
    <row r="309" spans="1:21" s="1099" customFormat="1">
      <c r="A309"/>
      <c r="B309"/>
      <c r="C309"/>
      <c r="D309"/>
      <c r="E309"/>
      <c r="F309"/>
      <c r="G309"/>
      <c r="H309"/>
      <c r="I309"/>
      <c r="J309"/>
      <c r="K309"/>
      <c r="L309"/>
      <c r="M309"/>
      <c r="N309"/>
      <c r="O309"/>
      <c r="P309"/>
      <c r="Q309"/>
      <c r="R309"/>
      <c r="S309"/>
      <c r="T309"/>
      <c r="U309"/>
    </row>
    <row r="310" spans="1:21" s="1099" customFormat="1">
      <c r="A310"/>
      <c r="B310"/>
      <c r="C310"/>
      <c r="D310"/>
      <c r="E310"/>
      <c r="F310"/>
      <c r="G310"/>
      <c r="H310"/>
      <c r="I310"/>
      <c r="J310"/>
      <c r="K310"/>
      <c r="L310"/>
      <c r="M310"/>
      <c r="N310"/>
      <c r="O310"/>
      <c r="P310"/>
      <c r="Q310"/>
      <c r="R310"/>
      <c r="S310"/>
      <c r="T310"/>
      <c r="U310"/>
    </row>
    <row r="311" spans="1:21" s="1099" customFormat="1">
      <c r="A311"/>
      <c r="B311"/>
      <c r="C311"/>
      <c r="D311"/>
      <c r="E311"/>
      <c r="F311"/>
      <c r="G311"/>
      <c r="H311"/>
      <c r="I311"/>
      <c r="J311"/>
      <c r="K311"/>
      <c r="L311"/>
      <c r="M311"/>
      <c r="N311"/>
      <c r="O311"/>
      <c r="P311"/>
      <c r="Q311"/>
      <c r="R311"/>
      <c r="S311"/>
      <c r="T311"/>
      <c r="U311"/>
    </row>
    <row r="312" spans="1:21" s="1099" customFormat="1">
      <c r="A312"/>
      <c r="B312"/>
      <c r="C312"/>
      <c r="D312"/>
      <c r="E312"/>
      <c r="F312"/>
      <c r="G312"/>
      <c r="H312"/>
      <c r="I312"/>
      <c r="J312"/>
      <c r="K312"/>
      <c r="L312"/>
      <c r="M312"/>
      <c r="N312"/>
      <c r="O312"/>
      <c r="P312"/>
      <c r="Q312"/>
      <c r="R312"/>
      <c r="S312"/>
      <c r="T312"/>
      <c r="U312"/>
    </row>
    <row r="313" spans="1:21" s="1099" customFormat="1">
      <c r="A313"/>
      <c r="B313"/>
      <c r="C313"/>
      <c r="D313"/>
      <c r="E313"/>
      <c r="F313"/>
      <c r="G313"/>
      <c r="H313"/>
      <c r="I313"/>
      <c r="J313"/>
      <c r="K313"/>
      <c r="L313"/>
      <c r="M313"/>
      <c r="N313"/>
      <c r="O313"/>
      <c r="P313"/>
      <c r="Q313"/>
      <c r="R313"/>
      <c r="S313"/>
      <c r="T313"/>
      <c r="U313"/>
    </row>
    <row r="314" spans="1:21" s="1099" customFormat="1">
      <c r="A314"/>
      <c r="B314"/>
      <c r="C314"/>
      <c r="D314"/>
      <c r="E314"/>
      <c r="F314"/>
      <c r="G314"/>
      <c r="H314"/>
      <c r="I314"/>
      <c r="J314"/>
      <c r="K314"/>
      <c r="L314"/>
      <c r="M314"/>
      <c r="N314"/>
      <c r="O314"/>
      <c r="P314"/>
      <c r="Q314"/>
      <c r="R314"/>
      <c r="S314"/>
      <c r="T314"/>
      <c r="U314"/>
    </row>
    <row r="315" spans="1:21" s="1099" customFormat="1">
      <c r="A315"/>
      <c r="B315"/>
      <c r="C315"/>
      <c r="D315"/>
      <c r="E315"/>
      <c r="F315"/>
      <c r="G315"/>
      <c r="H315"/>
      <c r="I315"/>
      <c r="J315"/>
      <c r="K315"/>
      <c r="L315"/>
      <c r="M315"/>
      <c r="N315"/>
      <c r="O315"/>
      <c r="P315"/>
      <c r="Q315"/>
      <c r="R315"/>
      <c r="S315"/>
      <c r="T315"/>
      <c r="U315"/>
    </row>
    <row r="316" spans="1:21" s="1099" customFormat="1">
      <c r="A316"/>
      <c r="B316"/>
      <c r="C316"/>
      <c r="D316"/>
      <c r="E316"/>
      <c r="F316"/>
      <c r="G316"/>
      <c r="H316"/>
      <c r="I316"/>
      <c r="J316"/>
      <c r="K316"/>
      <c r="L316"/>
      <c r="M316"/>
      <c r="N316"/>
      <c r="O316"/>
      <c r="P316"/>
      <c r="Q316"/>
      <c r="R316"/>
      <c r="S316"/>
      <c r="T316"/>
      <c r="U316"/>
    </row>
    <row r="317" spans="1:21" s="1099" customFormat="1">
      <c r="A317"/>
      <c r="B317"/>
      <c r="C317"/>
      <c r="D317"/>
      <c r="E317"/>
      <c r="F317"/>
      <c r="G317"/>
      <c r="H317"/>
      <c r="I317"/>
      <c r="J317"/>
      <c r="K317"/>
      <c r="L317"/>
      <c r="M317"/>
      <c r="N317"/>
      <c r="O317"/>
      <c r="P317"/>
      <c r="Q317"/>
      <c r="R317"/>
      <c r="S317"/>
      <c r="T317"/>
      <c r="U317"/>
    </row>
    <row r="318" spans="1:21">
      <c r="A318"/>
      <c r="D318"/>
      <c r="H318"/>
      <c r="I318"/>
    </row>
    <row r="319" spans="1:21" s="1099" customFormat="1">
      <c r="A319"/>
      <c r="B319"/>
      <c r="C319"/>
      <c r="D319"/>
      <c r="E319"/>
      <c r="F319"/>
      <c r="G319"/>
      <c r="H319"/>
      <c r="I319"/>
      <c r="J319"/>
      <c r="K319"/>
      <c r="L319"/>
      <c r="M319"/>
      <c r="N319"/>
      <c r="O319"/>
      <c r="P319"/>
      <c r="Q319"/>
      <c r="R319"/>
      <c r="S319"/>
      <c r="T319"/>
      <c r="U319"/>
    </row>
    <row r="320" spans="1:21" s="1099" customFormat="1">
      <c r="A320"/>
      <c r="B320"/>
      <c r="C320"/>
      <c r="D320"/>
      <c r="E320"/>
      <c r="F320"/>
      <c r="G320"/>
      <c r="H320"/>
      <c r="I320"/>
      <c r="J320"/>
      <c r="K320"/>
      <c r="L320"/>
      <c r="M320"/>
      <c r="N320"/>
      <c r="O320"/>
      <c r="P320"/>
      <c r="Q320"/>
      <c r="R320"/>
      <c r="S320"/>
      <c r="T320"/>
      <c r="U320"/>
    </row>
    <row r="321" spans="1:21" s="1099" customFormat="1">
      <c r="A321"/>
      <c r="B321"/>
      <c r="C321"/>
      <c r="D321"/>
      <c r="E321"/>
      <c r="F321"/>
      <c r="G321"/>
      <c r="H321"/>
      <c r="I321"/>
      <c r="J321"/>
      <c r="K321"/>
      <c r="L321"/>
      <c r="M321"/>
      <c r="N321"/>
      <c r="O321"/>
      <c r="P321"/>
      <c r="Q321"/>
      <c r="R321"/>
      <c r="S321"/>
      <c r="T321"/>
      <c r="U321"/>
    </row>
    <row r="322" spans="1:21" s="1099" customFormat="1">
      <c r="A322"/>
      <c r="B322"/>
      <c r="C322"/>
      <c r="D322"/>
      <c r="E322"/>
      <c r="F322"/>
      <c r="G322"/>
      <c r="H322"/>
      <c r="I322"/>
      <c r="J322"/>
      <c r="K322"/>
      <c r="L322"/>
      <c r="M322"/>
      <c r="N322"/>
      <c r="O322"/>
      <c r="P322"/>
      <c r="Q322"/>
      <c r="R322"/>
      <c r="S322"/>
      <c r="T322"/>
      <c r="U322"/>
    </row>
    <row r="323" spans="1:21" s="1099" customFormat="1">
      <c r="A323"/>
      <c r="B323"/>
      <c r="C323"/>
      <c r="D323"/>
      <c r="E323"/>
      <c r="F323"/>
      <c r="G323"/>
      <c r="H323"/>
      <c r="I323"/>
      <c r="J323"/>
      <c r="K323"/>
      <c r="L323"/>
      <c r="M323"/>
      <c r="N323"/>
      <c r="O323"/>
      <c r="P323"/>
      <c r="Q323"/>
      <c r="R323"/>
      <c r="S323"/>
      <c r="T323"/>
      <c r="U323"/>
    </row>
    <row r="324" spans="1:21" s="1099" customFormat="1">
      <c r="A324"/>
      <c r="B324"/>
      <c r="C324"/>
      <c r="D324"/>
      <c r="E324"/>
      <c r="F324"/>
      <c r="G324"/>
      <c r="H324"/>
      <c r="I324"/>
      <c r="J324"/>
      <c r="K324"/>
      <c r="L324"/>
      <c r="M324"/>
      <c r="N324"/>
      <c r="O324"/>
      <c r="P324"/>
      <c r="Q324"/>
      <c r="R324"/>
      <c r="S324"/>
      <c r="T324"/>
      <c r="U324"/>
    </row>
    <row r="325" spans="1:21" s="1099" customFormat="1">
      <c r="A325"/>
      <c r="B325"/>
      <c r="C325"/>
      <c r="D325"/>
      <c r="E325"/>
      <c r="F325"/>
      <c r="G325"/>
      <c r="H325"/>
      <c r="I325"/>
      <c r="J325"/>
      <c r="K325"/>
      <c r="L325"/>
      <c r="M325"/>
      <c r="N325"/>
      <c r="O325"/>
      <c r="P325"/>
      <c r="Q325"/>
      <c r="R325"/>
      <c r="S325"/>
      <c r="T325"/>
      <c r="U325"/>
    </row>
    <row r="326" spans="1:21" s="1099" customFormat="1">
      <c r="A326"/>
      <c r="B326"/>
      <c r="C326"/>
      <c r="D326"/>
      <c r="E326"/>
      <c r="F326"/>
      <c r="G326"/>
      <c r="H326"/>
      <c r="I326"/>
      <c r="J326"/>
      <c r="K326"/>
      <c r="L326"/>
      <c r="M326"/>
      <c r="N326"/>
      <c r="O326"/>
      <c r="P326"/>
      <c r="Q326"/>
      <c r="R326"/>
      <c r="S326"/>
      <c r="T326"/>
      <c r="U326"/>
    </row>
    <row r="327" spans="1:21" s="1099" customFormat="1">
      <c r="A327"/>
      <c r="B327"/>
      <c r="C327"/>
      <c r="D327"/>
      <c r="E327"/>
      <c r="F327"/>
      <c r="G327"/>
      <c r="H327"/>
      <c r="I327"/>
      <c r="J327"/>
      <c r="K327"/>
      <c r="L327"/>
      <c r="M327"/>
      <c r="N327"/>
      <c r="O327"/>
      <c r="P327"/>
      <c r="Q327"/>
      <c r="R327"/>
      <c r="S327"/>
      <c r="T327"/>
      <c r="U327"/>
    </row>
    <row r="328" spans="1:21" s="1099" customFormat="1">
      <c r="A328"/>
      <c r="B328"/>
      <c r="C328"/>
      <c r="D328"/>
      <c r="E328"/>
      <c r="F328"/>
      <c r="G328"/>
      <c r="H328"/>
      <c r="I328"/>
      <c r="J328"/>
      <c r="K328"/>
      <c r="L328"/>
      <c r="M328"/>
      <c r="N328"/>
      <c r="O328"/>
      <c r="P328"/>
      <c r="Q328"/>
      <c r="R328"/>
      <c r="S328"/>
      <c r="T328"/>
      <c r="U328"/>
    </row>
    <row r="329" spans="1:21" s="1099" customFormat="1">
      <c r="A329"/>
      <c r="B329"/>
      <c r="C329"/>
      <c r="D329"/>
      <c r="E329"/>
      <c r="F329"/>
      <c r="G329"/>
      <c r="H329"/>
      <c r="I329"/>
      <c r="J329"/>
      <c r="K329"/>
      <c r="L329"/>
      <c r="M329"/>
      <c r="N329"/>
      <c r="O329"/>
      <c r="P329"/>
      <c r="Q329"/>
      <c r="R329"/>
      <c r="S329"/>
      <c r="T329"/>
      <c r="U329"/>
    </row>
    <row r="330" spans="1:21" s="1099" customFormat="1">
      <c r="A330"/>
      <c r="B330"/>
      <c r="C330"/>
      <c r="D330"/>
      <c r="E330"/>
      <c r="F330"/>
      <c r="G330"/>
      <c r="H330"/>
      <c r="I330"/>
      <c r="J330"/>
      <c r="K330"/>
      <c r="L330"/>
      <c r="M330"/>
      <c r="N330"/>
      <c r="O330"/>
      <c r="P330"/>
      <c r="Q330"/>
      <c r="R330"/>
      <c r="S330"/>
      <c r="T330"/>
      <c r="U330"/>
    </row>
    <row r="331" spans="1:21" s="1099" customFormat="1">
      <c r="A331"/>
      <c r="B331"/>
      <c r="C331"/>
      <c r="D331"/>
      <c r="E331"/>
      <c r="F331"/>
      <c r="G331"/>
      <c r="H331"/>
      <c r="I331"/>
      <c r="J331"/>
      <c r="K331"/>
      <c r="L331"/>
      <c r="M331"/>
      <c r="N331"/>
      <c r="O331"/>
      <c r="P331"/>
      <c r="Q331"/>
      <c r="R331"/>
      <c r="S331"/>
      <c r="T331"/>
      <c r="U331"/>
    </row>
    <row r="332" spans="1:21" s="1099" customFormat="1">
      <c r="A332"/>
      <c r="B332"/>
      <c r="C332"/>
      <c r="D332"/>
      <c r="E332"/>
      <c r="F332"/>
      <c r="G332"/>
      <c r="H332"/>
      <c r="I332"/>
      <c r="J332"/>
      <c r="K332"/>
      <c r="L332"/>
      <c r="M332"/>
      <c r="N332"/>
      <c r="O332"/>
      <c r="P332"/>
      <c r="Q332"/>
      <c r="R332"/>
      <c r="S332"/>
      <c r="T332"/>
      <c r="U332"/>
    </row>
    <row r="333" spans="1:21" s="1099" customFormat="1">
      <c r="A333"/>
      <c r="B333"/>
      <c r="C333"/>
      <c r="D333"/>
      <c r="E333"/>
      <c r="F333"/>
      <c r="G333"/>
      <c r="H333"/>
      <c r="I333"/>
      <c r="J333"/>
      <c r="K333"/>
      <c r="L333"/>
      <c r="M333"/>
      <c r="N333"/>
      <c r="O333"/>
      <c r="P333"/>
      <c r="Q333"/>
      <c r="R333"/>
      <c r="S333"/>
      <c r="T333"/>
      <c r="U333"/>
    </row>
    <row r="334" spans="1:21" s="1099" customFormat="1">
      <c r="A334"/>
      <c r="B334"/>
      <c r="C334"/>
      <c r="D334"/>
      <c r="E334"/>
      <c r="F334"/>
      <c r="G334"/>
      <c r="H334"/>
      <c r="I334"/>
      <c r="J334"/>
      <c r="K334"/>
      <c r="L334"/>
      <c r="M334"/>
      <c r="N334"/>
      <c r="O334"/>
      <c r="P334"/>
      <c r="Q334"/>
      <c r="R334"/>
      <c r="S334"/>
      <c r="T334"/>
      <c r="U334"/>
    </row>
    <row r="335" spans="1:21" s="1099" customFormat="1">
      <c r="A335"/>
      <c r="B335"/>
      <c r="C335"/>
      <c r="D335"/>
      <c r="E335"/>
      <c r="F335"/>
      <c r="G335"/>
      <c r="H335"/>
      <c r="I335"/>
      <c r="J335"/>
      <c r="K335"/>
      <c r="L335"/>
      <c r="M335"/>
      <c r="N335"/>
      <c r="O335"/>
      <c r="P335"/>
      <c r="Q335"/>
      <c r="R335"/>
      <c r="S335"/>
      <c r="T335"/>
      <c r="U335"/>
    </row>
    <row r="336" spans="1:21" s="1099" customFormat="1">
      <c r="A336"/>
      <c r="B336"/>
      <c r="C336"/>
      <c r="D336"/>
      <c r="E336"/>
      <c r="F336"/>
      <c r="G336"/>
      <c r="H336"/>
      <c r="I336"/>
      <c r="J336"/>
      <c r="K336"/>
      <c r="L336"/>
      <c r="M336"/>
      <c r="N336"/>
      <c r="O336"/>
      <c r="P336"/>
      <c r="Q336"/>
      <c r="R336"/>
      <c r="S336"/>
      <c r="T336"/>
      <c r="U336"/>
    </row>
    <row r="337" spans="1:21" s="1099" customFormat="1">
      <c r="A337"/>
      <c r="B337"/>
      <c r="C337"/>
      <c r="D337"/>
      <c r="E337"/>
      <c r="F337"/>
      <c r="G337"/>
      <c r="H337"/>
      <c r="I337"/>
      <c r="J337"/>
      <c r="K337"/>
      <c r="L337"/>
      <c r="M337"/>
      <c r="N337"/>
      <c r="O337"/>
      <c r="P337"/>
      <c r="Q337"/>
      <c r="R337"/>
      <c r="S337"/>
      <c r="T337"/>
      <c r="U337"/>
    </row>
    <row r="338" spans="1:21" s="1099" customFormat="1">
      <c r="A338"/>
      <c r="B338"/>
      <c r="C338"/>
      <c r="D338"/>
      <c r="E338"/>
      <c r="F338"/>
      <c r="G338"/>
      <c r="H338"/>
      <c r="I338"/>
      <c r="J338"/>
      <c r="K338"/>
      <c r="L338"/>
      <c r="M338"/>
      <c r="N338"/>
      <c r="O338"/>
      <c r="P338"/>
      <c r="Q338"/>
      <c r="R338"/>
      <c r="S338"/>
      <c r="T338"/>
      <c r="U338"/>
    </row>
    <row r="339" spans="1:21" s="1099" customFormat="1">
      <c r="A339"/>
      <c r="B339"/>
      <c r="C339"/>
      <c r="D339"/>
      <c r="E339"/>
      <c r="F339"/>
      <c r="G339"/>
      <c r="H339"/>
      <c r="I339"/>
      <c r="J339"/>
      <c r="K339"/>
      <c r="L339"/>
      <c r="M339"/>
      <c r="N339"/>
      <c r="O339"/>
      <c r="P339"/>
      <c r="Q339"/>
      <c r="R339"/>
      <c r="S339"/>
      <c r="T339"/>
      <c r="U339"/>
    </row>
    <row r="340" spans="1:21" s="1099" customFormat="1">
      <c r="A340"/>
      <c r="B340"/>
      <c r="C340"/>
      <c r="D340"/>
      <c r="E340"/>
      <c r="F340"/>
      <c r="G340"/>
      <c r="H340"/>
      <c r="I340"/>
      <c r="J340"/>
      <c r="K340"/>
      <c r="L340"/>
      <c r="M340"/>
      <c r="N340"/>
      <c r="O340"/>
      <c r="P340"/>
      <c r="Q340"/>
      <c r="R340"/>
      <c r="S340"/>
      <c r="T340"/>
      <c r="U340"/>
    </row>
    <row r="341" spans="1:21" s="1099" customFormat="1">
      <c r="A341"/>
      <c r="B341"/>
      <c r="C341"/>
      <c r="D341"/>
      <c r="E341"/>
      <c r="F341"/>
      <c r="G341"/>
      <c r="H341"/>
      <c r="I341"/>
      <c r="J341"/>
      <c r="K341"/>
      <c r="L341"/>
      <c r="M341"/>
      <c r="N341"/>
      <c r="O341"/>
      <c r="P341"/>
      <c r="Q341"/>
      <c r="R341"/>
      <c r="S341"/>
      <c r="T341"/>
      <c r="U341"/>
    </row>
    <row r="342" spans="1:21" s="1099" customFormat="1">
      <c r="A342"/>
      <c r="B342"/>
      <c r="C342"/>
      <c r="D342"/>
      <c r="E342"/>
      <c r="F342"/>
      <c r="G342"/>
      <c r="H342"/>
      <c r="I342"/>
      <c r="J342"/>
      <c r="K342"/>
      <c r="L342"/>
      <c r="M342"/>
      <c r="N342"/>
      <c r="O342"/>
      <c r="P342"/>
      <c r="Q342"/>
      <c r="R342"/>
      <c r="S342"/>
      <c r="T342"/>
      <c r="U342"/>
    </row>
    <row r="343" spans="1:21" s="1099" customFormat="1">
      <c r="A343"/>
      <c r="B343"/>
      <c r="C343"/>
      <c r="D343"/>
      <c r="E343"/>
      <c r="F343"/>
      <c r="G343"/>
      <c r="H343"/>
      <c r="I343"/>
      <c r="J343"/>
      <c r="K343"/>
      <c r="L343"/>
      <c r="M343"/>
      <c r="N343"/>
      <c r="O343"/>
      <c r="P343"/>
      <c r="Q343"/>
      <c r="R343"/>
      <c r="S343"/>
      <c r="T343"/>
      <c r="U343"/>
    </row>
    <row r="344" spans="1:21" s="1099" customFormat="1">
      <c r="A344"/>
      <c r="B344"/>
      <c r="C344"/>
      <c r="D344"/>
      <c r="E344"/>
      <c r="F344"/>
      <c r="G344"/>
      <c r="H344"/>
      <c r="I344"/>
      <c r="J344"/>
      <c r="K344"/>
      <c r="L344"/>
      <c r="M344"/>
      <c r="N344"/>
      <c r="O344"/>
      <c r="P344"/>
      <c r="Q344"/>
      <c r="R344"/>
      <c r="S344"/>
      <c r="T344"/>
      <c r="U344"/>
    </row>
    <row r="345" spans="1:21" s="1099" customFormat="1">
      <c r="A345"/>
      <c r="B345"/>
      <c r="C345"/>
      <c r="D345"/>
      <c r="E345"/>
      <c r="F345"/>
      <c r="G345"/>
      <c r="H345"/>
      <c r="I345"/>
      <c r="J345"/>
      <c r="K345"/>
      <c r="L345"/>
      <c r="M345"/>
      <c r="N345"/>
      <c r="O345"/>
      <c r="P345"/>
      <c r="Q345"/>
      <c r="R345"/>
      <c r="S345"/>
      <c r="T345"/>
      <c r="U345"/>
    </row>
    <row r="346" spans="1:21" s="1099" customFormat="1">
      <c r="A346"/>
      <c r="B346"/>
      <c r="C346"/>
      <c r="D346"/>
      <c r="E346"/>
      <c r="F346"/>
      <c r="G346"/>
      <c r="H346"/>
      <c r="I346"/>
      <c r="J346"/>
      <c r="K346"/>
      <c r="L346"/>
      <c r="M346"/>
      <c r="N346"/>
      <c r="O346"/>
      <c r="P346"/>
      <c r="Q346"/>
      <c r="R346"/>
      <c r="S346"/>
      <c r="T346"/>
      <c r="U346"/>
    </row>
    <row r="347" spans="1:21" s="1099" customFormat="1">
      <c r="A347"/>
      <c r="B347"/>
      <c r="C347"/>
      <c r="D347"/>
      <c r="E347"/>
      <c r="F347"/>
      <c r="G347"/>
      <c r="H347"/>
      <c r="I347"/>
      <c r="J347"/>
      <c r="K347"/>
      <c r="L347"/>
      <c r="M347"/>
      <c r="N347"/>
      <c r="O347"/>
      <c r="P347"/>
      <c r="Q347"/>
      <c r="R347"/>
      <c r="S347"/>
      <c r="T347"/>
      <c r="U347"/>
    </row>
    <row r="348" spans="1:21" s="1099" customFormat="1">
      <c r="A348"/>
      <c r="B348"/>
      <c r="C348"/>
      <c r="D348"/>
      <c r="E348"/>
      <c r="F348"/>
      <c r="G348"/>
      <c r="H348"/>
      <c r="I348"/>
      <c r="J348"/>
      <c r="K348"/>
      <c r="L348"/>
      <c r="M348"/>
      <c r="N348"/>
      <c r="O348"/>
      <c r="P348"/>
      <c r="Q348"/>
      <c r="R348"/>
      <c r="S348"/>
      <c r="T348"/>
      <c r="U348"/>
    </row>
    <row r="349" spans="1:21" s="1099" customFormat="1">
      <c r="A349"/>
      <c r="B349"/>
      <c r="C349"/>
      <c r="D349"/>
      <c r="E349"/>
      <c r="F349"/>
      <c r="G349"/>
      <c r="H349"/>
      <c r="I349"/>
      <c r="J349"/>
      <c r="K349"/>
      <c r="L349"/>
      <c r="M349"/>
      <c r="N349"/>
      <c r="O349"/>
      <c r="P349"/>
      <c r="Q349"/>
      <c r="R349"/>
      <c r="S349"/>
      <c r="T349"/>
      <c r="U349"/>
    </row>
    <row r="350" spans="1:21" s="1099" customFormat="1">
      <c r="A350"/>
      <c r="B350"/>
      <c r="C350"/>
      <c r="D350"/>
      <c r="E350"/>
      <c r="F350"/>
      <c r="G350"/>
      <c r="H350"/>
      <c r="I350"/>
      <c r="J350"/>
      <c r="K350"/>
      <c r="L350"/>
      <c r="M350"/>
      <c r="N350"/>
      <c r="O350"/>
      <c r="P350"/>
      <c r="Q350"/>
      <c r="R350"/>
      <c r="S350"/>
      <c r="T350"/>
      <c r="U350"/>
    </row>
    <row r="351" spans="1:21" s="1099" customFormat="1">
      <c r="A351"/>
      <c r="B351"/>
      <c r="C351"/>
      <c r="D351"/>
      <c r="E351"/>
      <c r="F351"/>
      <c r="G351"/>
      <c r="H351"/>
      <c r="I351"/>
      <c r="J351"/>
      <c r="K351"/>
      <c r="L351"/>
      <c r="M351"/>
      <c r="N351"/>
    </row>
    <row r="352" spans="1:21" s="1099" customFormat="1">
      <c r="A352"/>
      <c r="B352"/>
      <c r="C352"/>
      <c r="D352"/>
      <c r="E352"/>
      <c r="F352"/>
      <c r="G352"/>
      <c r="H352"/>
      <c r="I352"/>
      <c r="J352"/>
      <c r="K352"/>
      <c r="L352"/>
      <c r="M352"/>
      <c r="N352"/>
    </row>
    <row r="353" spans="1:14" s="1099" customFormat="1">
      <c r="A353"/>
      <c r="B353"/>
      <c r="C353"/>
      <c r="D353"/>
      <c r="E353"/>
      <c r="F353"/>
      <c r="G353"/>
      <c r="H353"/>
      <c r="I353"/>
      <c r="J353"/>
      <c r="K353"/>
      <c r="L353"/>
      <c r="M353"/>
      <c r="N353"/>
    </row>
    <row r="354" spans="1:14" s="1099" customFormat="1">
      <c r="A354"/>
      <c r="B354"/>
      <c r="C354"/>
      <c r="D354"/>
      <c r="E354"/>
      <c r="F354"/>
      <c r="G354"/>
      <c r="H354"/>
      <c r="I354"/>
      <c r="J354"/>
      <c r="K354"/>
      <c r="L354"/>
      <c r="M354"/>
      <c r="N354"/>
    </row>
    <row r="355" spans="1:14" s="1099" customFormat="1">
      <c r="A355"/>
      <c r="B355"/>
      <c r="C355"/>
      <c r="D355"/>
      <c r="E355"/>
      <c r="F355"/>
      <c r="G355"/>
      <c r="H355"/>
      <c r="I355"/>
      <c r="J355"/>
      <c r="K355"/>
      <c r="L355"/>
      <c r="M355"/>
      <c r="N355"/>
    </row>
    <row r="356" spans="1:14" s="1099" customFormat="1">
      <c r="A356"/>
      <c r="B356"/>
      <c r="C356"/>
      <c r="D356"/>
      <c r="E356"/>
      <c r="F356"/>
      <c r="G356"/>
      <c r="H356"/>
      <c r="I356"/>
      <c r="J356"/>
      <c r="K356"/>
      <c r="L356"/>
      <c r="M356"/>
      <c r="N356"/>
    </row>
    <row r="357" spans="1:14" s="1099" customFormat="1">
      <c r="A357"/>
      <c r="B357"/>
      <c r="C357"/>
      <c r="D357"/>
      <c r="E357"/>
      <c r="F357"/>
      <c r="G357"/>
      <c r="H357"/>
      <c r="I357"/>
      <c r="J357"/>
      <c r="K357"/>
      <c r="L357"/>
      <c r="M357"/>
      <c r="N357"/>
    </row>
    <row r="358" spans="1:14" s="1099" customFormat="1">
      <c r="A358"/>
      <c r="B358"/>
      <c r="C358"/>
      <c r="D358"/>
      <c r="E358"/>
      <c r="F358"/>
      <c r="G358"/>
      <c r="H358"/>
      <c r="I358"/>
      <c r="J358"/>
      <c r="K358"/>
      <c r="L358"/>
      <c r="M358"/>
      <c r="N358"/>
    </row>
    <row r="359" spans="1:14" s="1099" customFormat="1">
      <c r="A359"/>
      <c r="B359"/>
      <c r="C359"/>
      <c r="D359"/>
      <c r="E359"/>
      <c r="F359"/>
      <c r="G359"/>
      <c r="H359"/>
      <c r="I359"/>
      <c r="J359"/>
      <c r="K359"/>
      <c r="L359"/>
      <c r="M359"/>
      <c r="N359"/>
    </row>
    <row r="360" spans="1:14" s="1099" customFormat="1">
      <c r="A360"/>
      <c r="B360"/>
      <c r="C360"/>
      <c r="D360"/>
      <c r="E360"/>
      <c r="F360"/>
      <c r="G360"/>
      <c r="H360"/>
      <c r="I360"/>
      <c r="J360"/>
      <c r="K360"/>
      <c r="L360"/>
      <c r="M360"/>
      <c r="N360"/>
    </row>
    <row r="361" spans="1:14" s="1099" customFormat="1">
      <c r="A361"/>
      <c r="B361"/>
      <c r="C361"/>
      <c r="D361"/>
      <c r="E361"/>
      <c r="F361"/>
      <c r="G361"/>
      <c r="H361"/>
      <c r="I361"/>
      <c r="J361"/>
      <c r="K361"/>
      <c r="L361"/>
      <c r="M361"/>
      <c r="N361"/>
    </row>
    <row r="362" spans="1:14" s="1099" customFormat="1">
      <c r="A362"/>
      <c r="B362"/>
      <c r="C362"/>
      <c r="D362"/>
      <c r="E362"/>
      <c r="F362"/>
      <c r="G362"/>
      <c r="H362"/>
      <c r="I362"/>
      <c r="J362"/>
      <c r="K362"/>
      <c r="L362"/>
      <c r="M362"/>
      <c r="N362"/>
    </row>
    <row r="363" spans="1:14" s="1099" customFormat="1">
      <c r="A363"/>
      <c r="B363"/>
      <c r="C363"/>
      <c r="D363"/>
      <c r="E363"/>
      <c r="F363"/>
      <c r="G363"/>
      <c r="H363"/>
      <c r="I363"/>
      <c r="J363"/>
      <c r="K363"/>
      <c r="L363"/>
      <c r="M363"/>
      <c r="N363"/>
    </row>
    <row r="364" spans="1:14" s="1099" customFormat="1">
      <c r="A364"/>
      <c r="B364"/>
      <c r="C364"/>
      <c r="D364"/>
      <c r="E364"/>
      <c r="F364"/>
      <c r="G364"/>
      <c r="H364"/>
      <c r="I364"/>
      <c r="J364"/>
      <c r="K364"/>
      <c r="L364"/>
      <c r="M364"/>
      <c r="N364"/>
    </row>
    <row r="365" spans="1:14" s="1099" customFormat="1">
      <c r="A365"/>
      <c r="B365"/>
      <c r="C365"/>
      <c r="D365"/>
      <c r="E365"/>
      <c r="F365"/>
      <c r="G365"/>
      <c r="H365"/>
      <c r="I365"/>
      <c r="J365"/>
      <c r="K365"/>
      <c r="L365"/>
      <c r="M365"/>
      <c r="N365"/>
    </row>
    <row r="366" spans="1:14" s="1099" customFormat="1">
      <c r="A366"/>
      <c r="B366"/>
      <c r="C366"/>
      <c r="D366"/>
      <c r="E366"/>
      <c r="F366"/>
      <c r="G366"/>
      <c r="H366"/>
      <c r="I366"/>
      <c r="J366"/>
      <c r="K366"/>
      <c r="L366"/>
      <c r="M366"/>
      <c r="N366"/>
    </row>
    <row r="367" spans="1:14" s="1099" customFormat="1">
      <c r="A367"/>
      <c r="B367"/>
      <c r="C367"/>
      <c r="D367"/>
      <c r="E367"/>
      <c r="F367"/>
      <c r="G367"/>
      <c r="H367"/>
      <c r="I367"/>
      <c r="J367"/>
      <c r="K367"/>
      <c r="L367"/>
      <c r="M367"/>
      <c r="N367"/>
    </row>
    <row r="368" spans="1:14" s="1099" customFormat="1">
      <c r="A368"/>
      <c r="B368"/>
      <c r="C368"/>
      <c r="D368"/>
      <c r="E368"/>
      <c r="F368"/>
      <c r="G368"/>
      <c r="H368"/>
      <c r="I368"/>
      <c r="J368"/>
      <c r="K368"/>
      <c r="L368"/>
      <c r="M368"/>
      <c r="N368"/>
    </row>
    <row r="369" spans="1:14" s="1099" customFormat="1">
      <c r="A369"/>
      <c r="B369"/>
      <c r="C369"/>
      <c r="D369"/>
      <c r="E369"/>
      <c r="F369"/>
      <c r="G369"/>
      <c r="H369"/>
      <c r="I369"/>
      <c r="J369"/>
      <c r="K369"/>
      <c r="L369"/>
      <c r="M369"/>
      <c r="N369"/>
    </row>
    <row r="370" spans="1:14" s="1099" customFormat="1">
      <c r="A370"/>
      <c r="B370"/>
      <c r="C370"/>
      <c r="D370"/>
      <c r="E370"/>
      <c r="F370"/>
      <c r="G370"/>
      <c r="H370"/>
      <c r="I370"/>
      <c r="J370"/>
      <c r="K370"/>
      <c r="L370"/>
      <c r="M370"/>
      <c r="N370"/>
    </row>
    <row r="371" spans="1:14" s="1099" customFormat="1">
      <c r="A371"/>
      <c r="B371"/>
      <c r="C371"/>
      <c r="D371"/>
      <c r="E371"/>
      <c r="F371"/>
      <c r="G371"/>
      <c r="H371"/>
      <c r="I371"/>
      <c r="J371"/>
      <c r="K371"/>
      <c r="L371"/>
      <c r="M371"/>
      <c r="N371"/>
    </row>
    <row r="372" spans="1:14" s="1099" customFormat="1">
      <c r="A372"/>
      <c r="B372"/>
      <c r="C372"/>
      <c r="D372"/>
      <c r="E372"/>
      <c r="F372"/>
      <c r="G372"/>
      <c r="H372"/>
      <c r="I372"/>
      <c r="J372"/>
      <c r="K372"/>
      <c r="L372"/>
      <c r="M372"/>
      <c r="N372"/>
    </row>
    <row r="373" spans="1:14" s="1099" customFormat="1">
      <c r="A373"/>
      <c r="B373"/>
      <c r="C373"/>
      <c r="D373"/>
      <c r="E373"/>
      <c r="F373"/>
      <c r="G373"/>
      <c r="H373"/>
      <c r="I373"/>
      <c r="J373"/>
      <c r="K373"/>
      <c r="L373"/>
      <c r="M373"/>
      <c r="N373"/>
    </row>
    <row r="374" spans="1:14" s="1099" customFormat="1">
      <c r="A374"/>
      <c r="B374"/>
      <c r="C374"/>
      <c r="D374"/>
      <c r="E374"/>
      <c r="F374"/>
      <c r="G374"/>
      <c r="H374"/>
      <c r="I374"/>
      <c r="J374"/>
      <c r="K374"/>
      <c r="L374"/>
      <c r="M374"/>
      <c r="N374"/>
    </row>
    <row r="375" spans="1:14" s="1099" customFormat="1">
      <c r="A375"/>
      <c r="B375"/>
      <c r="C375"/>
      <c r="D375"/>
      <c r="E375"/>
      <c r="F375"/>
      <c r="G375"/>
      <c r="H375"/>
      <c r="I375"/>
      <c r="J375"/>
      <c r="K375"/>
      <c r="L375"/>
      <c r="M375"/>
      <c r="N375"/>
    </row>
    <row r="376" spans="1:14" s="1099" customFormat="1">
      <c r="A376"/>
      <c r="B376"/>
      <c r="C376"/>
      <c r="D376"/>
      <c r="E376"/>
      <c r="F376"/>
      <c r="G376"/>
      <c r="H376"/>
      <c r="I376"/>
      <c r="J376"/>
      <c r="K376"/>
      <c r="L376"/>
      <c r="M376"/>
      <c r="N376"/>
    </row>
    <row r="377" spans="1:14" s="1099" customFormat="1">
      <c r="A377"/>
      <c r="B377"/>
      <c r="C377"/>
      <c r="D377"/>
      <c r="E377"/>
      <c r="F377"/>
      <c r="G377"/>
      <c r="H377"/>
      <c r="I377"/>
      <c r="J377"/>
      <c r="K377"/>
      <c r="L377"/>
      <c r="M377"/>
      <c r="N377"/>
    </row>
    <row r="378" spans="1:14" s="1099" customFormat="1">
      <c r="A378"/>
      <c r="B378"/>
      <c r="C378"/>
      <c r="D378"/>
      <c r="E378"/>
      <c r="F378"/>
      <c r="G378"/>
      <c r="H378"/>
      <c r="I378"/>
      <c r="J378"/>
      <c r="K378"/>
      <c r="L378"/>
      <c r="M378"/>
      <c r="N378"/>
    </row>
    <row r="379" spans="1:14" s="1099" customFormat="1">
      <c r="A379"/>
      <c r="B379"/>
      <c r="C379"/>
      <c r="D379"/>
      <c r="E379"/>
      <c r="F379"/>
      <c r="G379"/>
      <c r="H379"/>
      <c r="I379"/>
      <c r="J379"/>
      <c r="K379"/>
      <c r="L379"/>
      <c r="M379"/>
      <c r="N379"/>
    </row>
    <row r="380" spans="1:14" s="1099" customFormat="1">
      <c r="A380"/>
      <c r="B380"/>
      <c r="C380"/>
      <c r="D380"/>
      <c r="E380"/>
      <c r="F380"/>
      <c r="G380"/>
      <c r="H380"/>
      <c r="I380"/>
      <c r="J380"/>
      <c r="K380"/>
      <c r="L380"/>
      <c r="M380"/>
      <c r="N380"/>
    </row>
    <row r="381" spans="1:14" s="1099" customFormat="1">
      <c r="A381"/>
      <c r="B381"/>
      <c r="C381"/>
      <c r="D381"/>
      <c r="E381"/>
      <c r="F381"/>
      <c r="G381"/>
      <c r="H381"/>
      <c r="I381"/>
      <c r="J381"/>
      <c r="K381"/>
      <c r="L381"/>
      <c r="M381"/>
      <c r="N381"/>
    </row>
    <row r="382" spans="1:14" s="1099" customFormat="1">
      <c r="A382"/>
      <c r="B382"/>
      <c r="C382"/>
      <c r="D382"/>
      <c r="E382"/>
      <c r="F382"/>
      <c r="G382"/>
      <c r="H382"/>
      <c r="I382"/>
      <c r="J382"/>
      <c r="K382"/>
      <c r="L382"/>
      <c r="M382"/>
      <c r="N382"/>
    </row>
    <row r="383" spans="1:14" s="1099" customFormat="1">
      <c r="A383"/>
      <c r="B383"/>
      <c r="C383"/>
      <c r="D383"/>
      <c r="E383"/>
      <c r="F383"/>
      <c r="G383"/>
      <c r="H383"/>
      <c r="I383"/>
      <c r="J383"/>
      <c r="K383"/>
      <c r="L383"/>
      <c r="M383"/>
      <c r="N383"/>
    </row>
    <row r="384" spans="1:14" s="1099" customFormat="1">
      <c r="A384"/>
      <c r="B384"/>
      <c r="C384"/>
      <c r="D384"/>
      <c r="E384"/>
      <c r="F384"/>
      <c r="G384"/>
      <c r="H384"/>
      <c r="I384"/>
      <c r="J384"/>
      <c r="K384"/>
      <c r="L384"/>
      <c r="M384"/>
      <c r="N384"/>
    </row>
    <row r="385" spans="1:14" s="1099" customFormat="1">
      <c r="A385"/>
      <c r="B385"/>
      <c r="C385"/>
      <c r="D385"/>
      <c r="E385"/>
      <c r="F385"/>
      <c r="G385"/>
      <c r="H385"/>
      <c r="I385"/>
      <c r="J385"/>
      <c r="K385"/>
      <c r="L385"/>
      <c r="M385"/>
      <c r="N385"/>
    </row>
    <row r="386" spans="1:14" s="1099" customFormat="1">
      <c r="A386"/>
      <c r="B386"/>
      <c r="C386"/>
      <c r="D386"/>
      <c r="E386"/>
      <c r="F386"/>
      <c r="G386"/>
      <c r="H386"/>
      <c r="I386"/>
      <c r="J386"/>
      <c r="K386"/>
      <c r="L386"/>
      <c r="M386"/>
      <c r="N386"/>
    </row>
    <row r="387" spans="1:14" s="1099" customFormat="1">
      <c r="A387"/>
      <c r="B387"/>
      <c r="C387"/>
      <c r="D387"/>
      <c r="E387"/>
      <c r="F387"/>
      <c r="G387"/>
      <c r="H387"/>
      <c r="I387"/>
      <c r="J387"/>
      <c r="K387"/>
      <c r="L387"/>
      <c r="M387"/>
      <c r="N387"/>
    </row>
    <row r="388" spans="1:14" s="1099" customFormat="1">
      <c r="A388"/>
      <c r="B388"/>
      <c r="C388"/>
      <c r="D388"/>
      <c r="E388"/>
      <c r="F388"/>
      <c r="G388"/>
      <c r="H388"/>
      <c r="I388"/>
      <c r="J388"/>
      <c r="K388"/>
      <c r="L388"/>
      <c r="M388"/>
      <c r="N388"/>
    </row>
    <row r="389" spans="1:14" s="1099" customFormat="1">
      <c r="A389"/>
      <c r="B389"/>
      <c r="C389"/>
      <c r="D389"/>
      <c r="E389"/>
      <c r="F389"/>
      <c r="G389"/>
      <c r="H389"/>
      <c r="I389"/>
      <c r="J389"/>
      <c r="K389"/>
      <c r="L389"/>
      <c r="M389"/>
      <c r="N389"/>
    </row>
    <row r="390" spans="1:14" s="1099" customFormat="1">
      <c r="A390"/>
      <c r="B390"/>
      <c r="C390"/>
      <c r="D390"/>
      <c r="E390"/>
      <c r="F390"/>
      <c r="G390"/>
      <c r="H390"/>
      <c r="I390"/>
      <c r="J390"/>
      <c r="K390"/>
      <c r="L390"/>
      <c r="M390"/>
      <c r="N390"/>
    </row>
    <row r="391" spans="1:14" s="1099" customFormat="1">
      <c r="A391"/>
      <c r="B391"/>
      <c r="C391"/>
      <c r="D391"/>
      <c r="E391"/>
      <c r="F391"/>
      <c r="G391"/>
      <c r="H391"/>
      <c r="I391"/>
      <c r="J391"/>
      <c r="K391"/>
      <c r="L391"/>
      <c r="M391"/>
      <c r="N391"/>
    </row>
    <row r="392" spans="1:14" s="1099" customFormat="1">
      <c r="A392"/>
      <c r="B392"/>
      <c r="C392"/>
      <c r="D392"/>
      <c r="E392"/>
      <c r="F392"/>
      <c r="G392"/>
      <c r="H392"/>
      <c r="I392"/>
      <c r="J392"/>
      <c r="K392"/>
      <c r="L392"/>
      <c r="M392"/>
      <c r="N392"/>
    </row>
    <row r="393" spans="1:14" s="1099" customFormat="1">
      <c r="A393"/>
      <c r="B393"/>
      <c r="C393"/>
      <c r="D393"/>
      <c r="E393"/>
      <c r="F393"/>
      <c r="G393"/>
      <c r="H393"/>
      <c r="I393"/>
      <c r="J393"/>
      <c r="K393"/>
      <c r="L393"/>
      <c r="M393"/>
      <c r="N393"/>
    </row>
    <row r="394" spans="1:14" s="1099" customFormat="1">
      <c r="A394"/>
      <c r="B394"/>
      <c r="C394"/>
      <c r="D394"/>
      <c r="E394"/>
      <c r="F394"/>
      <c r="G394"/>
      <c r="H394"/>
      <c r="I394"/>
      <c r="J394"/>
      <c r="K394"/>
      <c r="L394"/>
      <c r="M394"/>
      <c r="N394"/>
    </row>
    <row r="395" spans="1:14" s="1099" customFormat="1">
      <c r="A395"/>
      <c r="B395"/>
      <c r="C395"/>
      <c r="D395"/>
      <c r="E395"/>
      <c r="F395"/>
      <c r="G395"/>
      <c r="H395"/>
      <c r="I395"/>
      <c r="J395"/>
      <c r="K395"/>
      <c r="L395"/>
      <c r="M395"/>
      <c r="N395"/>
    </row>
    <row r="396" spans="1:14" s="1099" customFormat="1">
      <c r="A396"/>
      <c r="B396"/>
      <c r="C396"/>
      <c r="D396"/>
      <c r="E396"/>
      <c r="F396"/>
      <c r="G396"/>
      <c r="H396"/>
      <c r="I396"/>
      <c r="J396"/>
      <c r="K396"/>
      <c r="L396"/>
      <c r="M396"/>
      <c r="N396"/>
    </row>
    <row r="397" spans="1:14" s="1099" customFormat="1">
      <c r="A397"/>
      <c r="B397"/>
      <c r="C397"/>
      <c r="D397"/>
      <c r="E397"/>
      <c r="F397"/>
      <c r="G397"/>
      <c r="H397"/>
      <c r="I397"/>
      <c r="J397"/>
      <c r="K397"/>
      <c r="L397"/>
      <c r="M397"/>
      <c r="N397"/>
    </row>
    <row r="398" spans="1:14" s="1099" customFormat="1">
      <c r="A398"/>
      <c r="B398"/>
      <c r="C398"/>
      <c r="D398"/>
      <c r="E398"/>
      <c r="F398"/>
      <c r="G398"/>
      <c r="H398"/>
      <c r="I398"/>
      <c r="J398"/>
      <c r="K398"/>
      <c r="L398"/>
      <c r="M398"/>
      <c r="N398"/>
    </row>
    <row r="399" spans="1:14" s="1099" customFormat="1" ht="13">
      <c r="D399" s="1100"/>
      <c r="H399" s="1100"/>
    </row>
    <row r="400" spans="1:14" s="1099" customFormat="1" ht="13">
      <c r="D400" s="1100"/>
      <c r="H400" s="1100"/>
    </row>
    <row r="401" spans="4:8" s="1099" customFormat="1" ht="13">
      <c r="D401" s="1100"/>
      <c r="H401" s="1100"/>
    </row>
    <row r="402" spans="4:8" s="1099" customFormat="1" ht="13">
      <c r="D402" s="1100"/>
      <c r="H402" s="1100"/>
    </row>
    <row r="403" spans="4:8" s="1099" customFormat="1" ht="13">
      <c r="D403" s="1100"/>
      <c r="H403" s="1100"/>
    </row>
    <row r="404" spans="4:8" s="1099" customFormat="1" ht="13">
      <c r="D404" s="1100"/>
      <c r="H404" s="1100"/>
    </row>
    <row r="405" spans="4:8" s="1099" customFormat="1" ht="13">
      <c r="D405" s="1100"/>
      <c r="H405" s="1100"/>
    </row>
    <row r="406" spans="4:8" s="1099" customFormat="1" ht="13">
      <c r="D406" s="1100"/>
      <c r="H406" s="1100"/>
    </row>
    <row r="407" spans="4:8" s="1099" customFormat="1" ht="13">
      <c r="D407" s="1100"/>
      <c r="H407" s="1100"/>
    </row>
    <row r="408" spans="4:8" s="1099" customFormat="1" ht="13">
      <c r="D408" s="1100"/>
      <c r="H408" s="1100"/>
    </row>
    <row r="409" spans="4:8" s="1099" customFormat="1" ht="13">
      <c r="D409" s="1100"/>
      <c r="H409" s="1100"/>
    </row>
    <row r="410" spans="4:8" s="1099" customFormat="1" ht="13">
      <c r="D410" s="1100"/>
      <c r="H410" s="1100"/>
    </row>
    <row r="411" spans="4:8" s="1099" customFormat="1" ht="13">
      <c r="D411" s="1100"/>
      <c r="H411" s="1100"/>
    </row>
    <row r="412" spans="4:8" s="1099" customFormat="1" ht="13">
      <c r="D412" s="1100"/>
      <c r="H412" s="1100"/>
    </row>
    <row r="413" spans="4:8" s="1099" customFormat="1" ht="13">
      <c r="D413" s="1100"/>
      <c r="H413" s="1100"/>
    </row>
    <row r="414" spans="4:8" s="1099" customFormat="1" ht="13">
      <c r="D414" s="1100"/>
      <c r="H414" s="1100"/>
    </row>
    <row r="415" spans="4:8" s="1099" customFormat="1" ht="13">
      <c r="D415" s="1100"/>
      <c r="H415" s="1100"/>
    </row>
    <row r="416" spans="4:8" s="1099" customFormat="1" ht="13">
      <c r="D416" s="1100"/>
      <c r="H416" s="1100"/>
    </row>
    <row r="417" spans="4:8" s="1099" customFormat="1" ht="13">
      <c r="D417" s="1100"/>
      <c r="H417" s="1100"/>
    </row>
    <row r="418" spans="4:8" s="1099" customFormat="1" ht="13">
      <c r="D418" s="1100"/>
      <c r="H418" s="1100"/>
    </row>
    <row r="419" spans="4:8" s="1099" customFormat="1" ht="13">
      <c r="D419" s="1100"/>
      <c r="H419" s="1100"/>
    </row>
    <row r="420" spans="4:8" s="1099" customFormat="1" ht="13">
      <c r="D420" s="1100"/>
      <c r="H420" s="1100"/>
    </row>
    <row r="421" spans="4:8" s="1099" customFormat="1" ht="13">
      <c r="D421" s="1100"/>
      <c r="H421" s="1100"/>
    </row>
    <row r="422" spans="4:8" s="1099" customFormat="1" ht="13">
      <c r="D422" s="1100"/>
      <c r="H422" s="1100"/>
    </row>
    <row r="423" spans="4:8" s="1099" customFormat="1" ht="13">
      <c r="D423" s="1100"/>
      <c r="H423" s="1100"/>
    </row>
    <row r="424" spans="4:8" s="1099" customFormat="1" ht="13">
      <c r="D424" s="1100"/>
      <c r="H424" s="1100"/>
    </row>
    <row r="425" spans="4:8" s="1099" customFormat="1" ht="13">
      <c r="D425" s="1100"/>
      <c r="H425" s="1100"/>
    </row>
    <row r="426" spans="4:8" s="1099" customFormat="1" ht="13">
      <c r="D426" s="1100"/>
      <c r="H426" s="1100"/>
    </row>
    <row r="427" spans="4:8" s="1099" customFormat="1" ht="13">
      <c r="D427" s="1100"/>
      <c r="H427" s="1100"/>
    </row>
    <row r="428" spans="4:8" s="1099" customFormat="1" ht="13">
      <c r="D428" s="1100"/>
      <c r="H428" s="1100"/>
    </row>
    <row r="429" spans="4:8" s="1099" customFormat="1" ht="13">
      <c r="D429" s="1100"/>
      <c r="H429" s="1100"/>
    </row>
    <row r="430" spans="4:8" s="1099" customFormat="1" ht="13">
      <c r="D430" s="1100"/>
      <c r="H430" s="1100"/>
    </row>
    <row r="431" spans="4:8" s="1099" customFormat="1" ht="13">
      <c r="D431" s="1100"/>
      <c r="H431" s="1100"/>
    </row>
    <row r="432" spans="4:8" s="1099" customFormat="1" ht="13">
      <c r="D432" s="1100"/>
      <c r="H432" s="1100"/>
    </row>
    <row r="433" spans="4:8" s="1099" customFormat="1" ht="13">
      <c r="D433" s="1100"/>
      <c r="H433" s="1100"/>
    </row>
    <row r="434" spans="4:8" s="1099" customFormat="1" ht="13">
      <c r="D434" s="1100"/>
      <c r="H434" s="1100"/>
    </row>
    <row r="435" spans="4:8" s="1099" customFormat="1" ht="13">
      <c r="D435" s="1100"/>
      <c r="H435" s="1100"/>
    </row>
    <row r="436" spans="4:8" s="1099" customFormat="1" ht="13">
      <c r="D436" s="1100"/>
      <c r="H436" s="1100"/>
    </row>
    <row r="437" spans="4:8" s="1099" customFormat="1" ht="13">
      <c r="D437" s="1100"/>
      <c r="H437" s="1100"/>
    </row>
    <row r="438" spans="4:8" s="1099" customFormat="1" ht="13">
      <c r="D438" s="1100"/>
      <c r="H438" s="1100"/>
    </row>
    <row r="439" spans="4:8" s="1099" customFormat="1" ht="13">
      <c r="D439" s="1100"/>
      <c r="H439" s="1100"/>
    </row>
    <row r="440" spans="4:8" s="1099" customFormat="1" ht="13">
      <c r="D440" s="1100"/>
      <c r="H440" s="1100"/>
    </row>
    <row r="441" spans="4:8" s="1099" customFormat="1" ht="13">
      <c r="D441" s="1100"/>
      <c r="H441" s="1100"/>
    </row>
    <row r="442" spans="4:8" s="1099" customFormat="1" ht="13">
      <c r="D442" s="1100"/>
      <c r="H442" s="1100"/>
    </row>
    <row r="443" spans="4:8" s="1099" customFormat="1" ht="13">
      <c r="D443" s="1100"/>
      <c r="H443" s="1100"/>
    </row>
    <row r="444" spans="4:8" s="1099" customFormat="1" ht="13">
      <c r="D444" s="1100"/>
      <c r="H444" s="1100"/>
    </row>
    <row r="445" spans="4:8" s="1099" customFormat="1" ht="13">
      <c r="D445" s="1100"/>
      <c r="H445" s="1100"/>
    </row>
    <row r="446" spans="4:8" s="1099" customFormat="1" ht="13">
      <c r="D446" s="1100"/>
      <c r="H446" s="1100"/>
    </row>
    <row r="447" spans="4:8" s="1099" customFormat="1" ht="13">
      <c r="D447" s="1100"/>
      <c r="H447" s="1100"/>
    </row>
    <row r="448" spans="4:8" s="1099" customFormat="1" ht="13">
      <c r="D448" s="1100"/>
      <c r="H448" s="1100"/>
    </row>
    <row r="449" spans="4:8" s="1099" customFormat="1" ht="13">
      <c r="D449" s="1100"/>
      <c r="H449" s="1100"/>
    </row>
    <row r="450" spans="4:8" s="1099" customFormat="1" ht="13">
      <c r="D450" s="1100"/>
      <c r="H450" s="1100"/>
    </row>
    <row r="451" spans="4:8" s="1099" customFormat="1" ht="13">
      <c r="D451" s="1100"/>
      <c r="H451" s="1100"/>
    </row>
    <row r="452" spans="4:8" s="1099" customFormat="1" ht="13">
      <c r="D452" s="1100"/>
      <c r="H452" s="1100"/>
    </row>
    <row r="453" spans="4:8" s="1099" customFormat="1" ht="13">
      <c r="D453" s="1100"/>
      <c r="H453" s="1100"/>
    </row>
    <row r="454" spans="4:8" s="1099" customFormat="1" ht="13">
      <c r="D454" s="1100"/>
      <c r="H454" s="1100"/>
    </row>
    <row r="455" spans="4:8" s="1099" customFormat="1" ht="13">
      <c r="D455" s="1100"/>
      <c r="H455" s="1100"/>
    </row>
    <row r="456" spans="4:8" s="1099" customFormat="1" ht="13">
      <c r="D456" s="1100"/>
      <c r="H456" s="1100"/>
    </row>
    <row r="457" spans="4:8" s="1099" customFormat="1" ht="13">
      <c r="D457" s="1100"/>
      <c r="H457" s="1100"/>
    </row>
    <row r="458" spans="4:8" s="1099" customFormat="1" ht="13">
      <c r="D458" s="1100"/>
      <c r="H458" s="1100"/>
    </row>
    <row r="459" spans="4:8" s="1099" customFormat="1" ht="13">
      <c r="D459" s="1100"/>
      <c r="H459" s="1100"/>
    </row>
    <row r="460" spans="4:8" s="1099" customFormat="1" ht="13">
      <c r="D460" s="1100"/>
      <c r="H460" s="1100"/>
    </row>
    <row r="461" spans="4:8" s="1099" customFormat="1" ht="13">
      <c r="D461" s="1100"/>
      <c r="H461" s="1100"/>
    </row>
    <row r="462" spans="4:8" s="1099" customFormat="1" ht="13">
      <c r="D462" s="1100"/>
      <c r="H462" s="1100"/>
    </row>
    <row r="463" spans="4:8" s="1099" customFormat="1" ht="13">
      <c r="D463" s="1100"/>
      <c r="H463" s="1100"/>
    </row>
    <row r="464" spans="4:8" s="1099" customFormat="1" ht="13">
      <c r="D464" s="1100"/>
      <c r="H464" s="1100"/>
    </row>
    <row r="465" spans="4:8" s="1099" customFormat="1" ht="13">
      <c r="D465" s="1100"/>
      <c r="H465" s="1100"/>
    </row>
    <row r="466" spans="4:8" s="1099" customFormat="1" ht="13">
      <c r="D466" s="1100"/>
      <c r="H466" s="1100"/>
    </row>
    <row r="467" spans="4:8" s="1099" customFormat="1" ht="13">
      <c r="D467" s="1100"/>
      <c r="H467" s="1100"/>
    </row>
    <row r="468" spans="4:8" s="1099" customFormat="1" ht="13">
      <c r="D468" s="1100"/>
      <c r="H468" s="1100"/>
    </row>
    <row r="469" spans="4:8" s="1099" customFormat="1" ht="13">
      <c r="D469" s="1100"/>
      <c r="H469" s="1100"/>
    </row>
    <row r="470" spans="4:8" s="1099" customFormat="1" ht="13">
      <c r="D470" s="1100"/>
      <c r="H470" s="1100"/>
    </row>
    <row r="471" spans="4:8" s="1099" customFormat="1" ht="13">
      <c r="D471" s="1100"/>
      <c r="H471" s="1100"/>
    </row>
    <row r="472" spans="4:8" s="1099" customFormat="1" ht="13">
      <c r="D472" s="1100"/>
      <c r="H472" s="1100"/>
    </row>
    <row r="473" spans="4:8" s="1099" customFormat="1" ht="13">
      <c r="D473" s="1100"/>
      <c r="H473" s="1100"/>
    </row>
    <row r="474" spans="4:8" s="1099" customFormat="1" ht="13">
      <c r="D474" s="1100"/>
      <c r="H474" s="1100"/>
    </row>
    <row r="475" spans="4:8" s="1099" customFormat="1" ht="13">
      <c r="D475" s="1100"/>
      <c r="H475" s="1100"/>
    </row>
    <row r="476" spans="4:8" s="1099" customFormat="1" ht="13">
      <c r="D476" s="1100"/>
      <c r="H476" s="1100"/>
    </row>
    <row r="477" spans="4:8" s="1099" customFormat="1" ht="13">
      <c r="D477" s="1100"/>
      <c r="H477" s="1100"/>
    </row>
    <row r="478" spans="4:8" s="1099" customFormat="1" ht="13">
      <c r="D478" s="1100"/>
      <c r="H478" s="1100"/>
    </row>
    <row r="479" spans="4:8" s="1099" customFormat="1" ht="13">
      <c r="D479" s="1100"/>
      <c r="H479" s="1100"/>
    </row>
    <row r="480" spans="4:8" s="1099" customFormat="1" ht="13">
      <c r="D480" s="1100"/>
      <c r="H480" s="1100"/>
    </row>
    <row r="481" spans="4:9" s="1099" customFormat="1" ht="13">
      <c r="D481" s="1100"/>
      <c r="H481" s="1100"/>
    </row>
    <row r="482" spans="4:9" s="1099" customFormat="1" ht="13">
      <c r="D482" s="1100"/>
      <c r="H482" s="1100"/>
    </row>
    <row r="483" spans="4:9" s="1099" customFormat="1" ht="13">
      <c r="D483" s="1100"/>
      <c r="H483" s="1100"/>
    </row>
    <row r="484" spans="4:9" s="1099" customFormat="1" ht="13">
      <c r="D484" s="1100"/>
      <c r="H484" s="1100"/>
    </row>
    <row r="485" spans="4:9" s="1099" customFormat="1" ht="13">
      <c r="D485" s="1100"/>
      <c r="H485" s="1100"/>
    </row>
    <row r="486" spans="4:9">
      <c r="I486"/>
    </row>
    <row r="487" spans="4:9">
      <c r="I487"/>
    </row>
    <row r="488" spans="4:9">
      <c r="I488"/>
    </row>
    <row r="489" spans="4:9">
      <c r="I489"/>
    </row>
    <row r="490" spans="4:9">
      <c r="I490"/>
    </row>
    <row r="491" spans="4:9">
      <c r="I491"/>
    </row>
    <row r="492" spans="4:9">
      <c r="I492"/>
    </row>
    <row r="493" spans="4:9">
      <c r="I493"/>
    </row>
    <row r="494" spans="4:9">
      <c r="I494"/>
    </row>
    <row r="495" spans="4:9">
      <c r="I495"/>
    </row>
    <row r="496" spans="4: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9">
      <c r="I561"/>
    </row>
    <row r="562" spans="9:9">
      <c r="I562"/>
    </row>
    <row r="563" spans="9:9">
      <c r="I563"/>
    </row>
    <row r="564" spans="9:9">
      <c r="I564"/>
    </row>
    <row r="565" spans="9:9">
      <c r="I565"/>
    </row>
    <row r="566" spans="9:9">
      <c r="I566"/>
    </row>
    <row r="567" spans="9:9">
      <c r="I567"/>
    </row>
    <row r="568" spans="9:9">
      <c r="I568"/>
    </row>
    <row r="569" spans="9:9">
      <c r="I569"/>
    </row>
    <row r="570" spans="9:9">
      <c r="I570"/>
    </row>
    <row r="571" spans="9:9">
      <c r="I571"/>
    </row>
    <row r="572" spans="9:9">
      <c r="I572"/>
    </row>
    <row r="573" spans="9:9">
      <c r="I573"/>
    </row>
    <row r="574" spans="9:9">
      <c r="I574"/>
    </row>
    <row r="575" spans="9:9">
      <c r="I575"/>
    </row>
    <row r="576" spans="9:9">
      <c r="I576"/>
    </row>
    <row r="577" spans="9:9">
      <c r="I577"/>
    </row>
    <row r="578" spans="9:9">
      <c r="I578"/>
    </row>
    <row r="579" spans="9:9">
      <c r="I579"/>
    </row>
    <row r="580" spans="9:9">
      <c r="I580"/>
    </row>
    <row r="581" spans="9:9">
      <c r="I581"/>
    </row>
    <row r="582" spans="9:9">
      <c r="I582"/>
    </row>
    <row r="583" spans="9:9">
      <c r="I583"/>
    </row>
    <row r="584" spans="9:9">
      <c r="I584"/>
    </row>
    <row r="585" spans="9:9">
      <c r="I585"/>
    </row>
    <row r="586" spans="9:9">
      <c r="I586"/>
    </row>
    <row r="587" spans="9:9">
      <c r="I587"/>
    </row>
    <row r="588" spans="9:9">
      <c r="I588"/>
    </row>
    <row r="589" spans="9:9">
      <c r="I589"/>
    </row>
    <row r="590" spans="9:9">
      <c r="I590"/>
    </row>
    <row r="591" spans="9:9">
      <c r="I591"/>
    </row>
    <row r="592" spans="9:9">
      <c r="I592"/>
    </row>
    <row r="593" spans="9:9">
      <c r="I593"/>
    </row>
    <row r="594" spans="9:9">
      <c r="I594"/>
    </row>
    <row r="595" spans="9:9">
      <c r="I595"/>
    </row>
    <row r="596" spans="9:9">
      <c r="I596"/>
    </row>
    <row r="597" spans="9:9">
      <c r="I597"/>
    </row>
    <row r="598" spans="9:9">
      <c r="I598"/>
    </row>
    <row r="599" spans="9:9">
      <c r="I599"/>
    </row>
    <row r="600" spans="9:9">
      <c r="I600"/>
    </row>
    <row r="601" spans="9:9">
      <c r="I601"/>
    </row>
    <row r="602" spans="9:9">
      <c r="I602"/>
    </row>
    <row r="603" spans="9:9">
      <c r="I603"/>
    </row>
    <row r="604" spans="9:9">
      <c r="I604"/>
    </row>
    <row r="605" spans="9:9">
      <c r="I605"/>
    </row>
    <row r="606" spans="9:9">
      <c r="I606"/>
    </row>
    <row r="607" spans="9:9">
      <c r="I607"/>
    </row>
    <row r="608" spans="9:9">
      <c r="I608"/>
    </row>
    <row r="609" spans="9:9">
      <c r="I609"/>
    </row>
    <row r="610" spans="9:9">
      <c r="I610"/>
    </row>
    <row r="611" spans="9:9">
      <c r="I611"/>
    </row>
    <row r="612" spans="9:9">
      <c r="I612"/>
    </row>
    <row r="613" spans="9:9">
      <c r="I613"/>
    </row>
    <row r="614" spans="9:9">
      <c r="I614"/>
    </row>
    <row r="615" spans="9:9">
      <c r="I615"/>
    </row>
    <row r="616" spans="9:9">
      <c r="I616"/>
    </row>
    <row r="617" spans="9:9">
      <c r="I617"/>
    </row>
    <row r="618" spans="9:9">
      <c r="I618"/>
    </row>
    <row r="619" spans="9:9">
      <c r="I619"/>
    </row>
    <row r="620" spans="9:9">
      <c r="I620"/>
    </row>
    <row r="621" spans="9:9">
      <c r="I621"/>
    </row>
    <row r="622" spans="9:9">
      <c r="I622"/>
    </row>
    <row r="623" spans="9:9">
      <c r="I623"/>
    </row>
    <row r="624" spans="9:9">
      <c r="I624"/>
    </row>
    <row r="625" spans="9:9">
      <c r="I625"/>
    </row>
    <row r="626" spans="9:9">
      <c r="I626"/>
    </row>
    <row r="627" spans="9:9">
      <c r="I627"/>
    </row>
    <row r="628" spans="9:9">
      <c r="I628"/>
    </row>
    <row r="629" spans="9:9">
      <c r="I629"/>
    </row>
    <row r="630" spans="9:9">
      <c r="I630"/>
    </row>
    <row r="631" spans="9:9">
      <c r="I631"/>
    </row>
    <row r="632" spans="9:9">
      <c r="I632"/>
    </row>
    <row r="633" spans="9:9">
      <c r="I633"/>
    </row>
    <row r="634" spans="9:9">
      <c r="I634"/>
    </row>
    <row r="635" spans="9:9">
      <c r="I635"/>
    </row>
    <row r="636" spans="9:9">
      <c r="I636"/>
    </row>
    <row r="637" spans="9:9">
      <c r="I637"/>
    </row>
    <row r="638" spans="9:9">
      <c r="I638"/>
    </row>
    <row r="639" spans="9:9">
      <c r="I639"/>
    </row>
    <row r="640" spans="9:9">
      <c r="I640"/>
    </row>
    <row r="641" spans="9:9">
      <c r="I641"/>
    </row>
    <row r="642" spans="9:9">
      <c r="I642"/>
    </row>
    <row r="643" spans="9:9">
      <c r="I643"/>
    </row>
    <row r="644" spans="9:9">
      <c r="I644"/>
    </row>
    <row r="645" spans="9:9">
      <c r="I645"/>
    </row>
    <row r="646" spans="9:9">
      <c r="I646"/>
    </row>
    <row r="647" spans="9:9">
      <c r="I647"/>
    </row>
    <row r="648" spans="9:9">
      <c r="I648"/>
    </row>
    <row r="649" spans="9:9">
      <c r="I649"/>
    </row>
    <row r="650" spans="9:9">
      <c r="I650"/>
    </row>
    <row r="651" spans="9:9">
      <c r="I651"/>
    </row>
    <row r="652" spans="9:9">
      <c r="I652"/>
    </row>
    <row r="653" spans="9:9">
      <c r="I653"/>
    </row>
    <row r="654" spans="9:9">
      <c r="I654"/>
    </row>
    <row r="655" spans="9:9">
      <c r="I655"/>
    </row>
    <row r="656" spans="9:9">
      <c r="I656"/>
    </row>
    <row r="657" spans="9:9">
      <c r="I657"/>
    </row>
    <row r="658" spans="9:9">
      <c r="I658"/>
    </row>
    <row r="659" spans="9:9">
      <c r="I659"/>
    </row>
    <row r="660" spans="9:9">
      <c r="I660"/>
    </row>
    <row r="661" spans="9:9">
      <c r="I661"/>
    </row>
    <row r="662" spans="9:9">
      <c r="I662"/>
    </row>
    <row r="663" spans="9:9">
      <c r="I663"/>
    </row>
    <row r="664" spans="9:9">
      <c r="I664"/>
    </row>
    <row r="665" spans="9:9">
      <c r="I665"/>
    </row>
    <row r="666" spans="9:9">
      <c r="I666"/>
    </row>
    <row r="667" spans="9:9">
      <c r="I667"/>
    </row>
    <row r="668" spans="9:9">
      <c r="I668"/>
    </row>
    <row r="669" spans="9:9">
      <c r="I669"/>
    </row>
    <row r="670" spans="9:9">
      <c r="I670"/>
    </row>
    <row r="671" spans="9:9">
      <c r="I671"/>
    </row>
    <row r="672" spans="9:9">
      <c r="I672"/>
    </row>
    <row r="673" spans="9:9">
      <c r="I673"/>
    </row>
    <row r="674" spans="9:9">
      <c r="I674"/>
    </row>
    <row r="675" spans="9:9">
      <c r="I675"/>
    </row>
    <row r="676" spans="9:9">
      <c r="I676"/>
    </row>
    <row r="677" spans="9:9">
      <c r="I677"/>
    </row>
    <row r="678" spans="9:9">
      <c r="I678"/>
    </row>
    <row r="679" spans="9:9">
      <c r="I679"/>
    </row>
    <row r="680" spans="9:9">
      <c r="I680"/>
    </row>
    <row r="681" spans="9:9">
      <c r="I681"/>
    </row>
    <row r="682" spans="9:9">
      <c r="I682"/>
    </row>
    <row r="683" spans="9:9">
      <c r="I683"/>
    </row>
    <row r="684" spans="9:9">
      <c r="I684"/>
    </row>
    <row r="685" spans="9:9">
      <c r="I685"/>
    </row>
    <row r="686" spans="9:9">
      <c r="I686"/>
    </row>
    <row r="687" spans="9:9">
      <c r="I687"/>
    </row>
    <row r="688" spans="9:9">
      <c r="I688"/>
    </row>
    <row r="689" spans="9:9">
      <c r="I689"/>
    </row>
    <row r="690" spans="9:9">
      <c r="I690"/>
    </row>
    <row r="691" spans="9:9">
      <c r="I691"/>
    </row>
    <row r="692" spans="9:9">
      <c r="I692"/>
    </row>
    <row r="693" spans="9:9">
      <c r="I693"/>
    </row>
    <row r="694" spans="9:9">
      <c r="I694"/>
    </row>
    <row r="695" spans="9:9">
      <c r="I695"/>
    </row>
    <row r="696" spans="9:9">
      <c r="I696"/>
    </row>
    <row r="697" spans="9:9">
      <c r="I697"/>
    </row>
    <row r="698" spans="9:9">
      <c r="I698"/>
    </row>
    <row r="699" spans="9:9">
      <c r="I699"/>
    </row>
    <row r="700" spans="9:9">
      <c r="I700"/>
    </row>
    <row r="701" spans="9:9">
      <c r="I701"/>
    </row>
    <row r="702" spans="9:9">
      <c r="I702"/>
    </row>
    <row r="703" spans="9:9">
      <c r="I703"/>
    </row>
    <row r="704" spans="9:9">
      <c r="I704"/>
    </row>
    <row r="705" spans="9:9">
      <c r="I705"/>
    </row>
    <row r="706" spans="9:9">
      <c r="I706"/>
    </row>
    <row r="707" spans="9:9">
      <c r="I707"/>
    </row>
    <row r="708" spans="9:9">
      <c r="I708"/>
    </row>
    <row r="709" spans="9:9">
      <c r="I709"/>
    </row>
    <row r="710" spans="9:9">
      <c r="I710"/>
    </row>
    <row r="711" spans="9:9">
      <c r="I711"/>
    </row>
    <row r="712" spans="9:9">
      <c r="I712"/>
    </row>
    <row r="713" spans="9:9">
      <c r="I713"/>
    </row>
    <row r="714" spans="9:9">
      <c r="I714"/>
    </row>
    <row r="715" spans="9:9">
      <c r="I715"/>
    </row>
    <row r="716" spans="9:9">
      <c r="I716"/>
    </row>
    <row r="717" spans="9:9">
      <c r="I717"/>
    </row>
    <row r="718" spans="9:9">
      <c r="I718"/>
    </row>
    <row r="719" spans="9:9">
      <c r="I719"/>
    </row>
    <row r="720" spans="9:9">
      <c r="I720"/>
    </row>
    <row r="721" spans="9:9">
      <c r="I721"/>
    </row>
    <row r="722" spans="9:9">
      <c r="I722"/>
    </row>
    <row r="723" spans="9:9">
      <c r="I723"/>
    </row>
    <row r="724" spans="9:9">
      <c r="I724"/>
    </row>
    <row r="725" spans="9:9">
      <c r="I725"/>
    </row>
    <row r="726" spans="9:9">
      <c r="I726"/>
    </row>
    <row r="727" spans="9:9">
      <c r="I727"/>
    </row>
    <row r="728" spans="9:9">
      <c r="I728"/>
    </row>
    <row r="729" spans="9:9">
      <c r="I729"/>
    </row>
    <row r="730" spans="9:9">
      <c r="I730"/>
    </row>
    <row r="731" spans="9:9">
      <c r="I731"/>
    </row>
    <row r="732" spans="9:9">
      <c r="I732"/>
    </row>
    <row r="733" spans="9:9">
      <c r="I733"/>
    </row>
    <row r="734" spans="9:9">
      <c r="I734"/>
    </row>
    <row r="735" spans="9:9">
      <c r="I735"/>
    </row>
    <row r="736" spans="9:9">
      <c r="I736"/>
    </row>
    <row r="737" spans="9:9">
      <c r="I737"/>
    </row>
    <row r="738" spans="9:9">
      <c r="I738"/>
    </row>
    <row r="739" spans="9:9">
      <c r="I739"/>
    </row>
    <row r="740" spans="9:9">
      <c r="I740"/>
    </row>
    <row r="741" spans="9:9">
      <c r="I741"/>
    </row>
    <row r="742" spans="9:9">
      <c r="I742"/>
    </row>
    <row r="743" spans="9:9">
      <c r="I743"/>
    </row>
    <row r="744" spans="9:9">
      <c r="I744"/>
    </row>
    <row r="745" spans="9:9">
      <c r="I745"/>
    </row>
    <row r="746" spans="9:9">
      <c r="I746"/>
    </row>
    <row r="747" spans="9:9">
      <c r="I747"/>
    </row>
    <row r="748" spans="9:9">
      <c r="I748"/>
    </row>
    <row r="749" spans="9:9">
      <c r="I749"/>
    </row>
    <row r="750" spans="9:9">
      <c r="I750"/>
    </row>
    <row r="751" spans="9:9">
      <c r="I751"/>
    </row>
    <row r="752" spans="9:9">
      <c r="I752"/>
    </row>
    <row r="753" spans="9:9">
      <c r="I753"/>
    </row>
    <row r="754" spans="9:9">
      <c r="I754"/>
    </row>
    <row r="755" spans="9:9">
      <c r="I755"/>
    </row>
    <row r="756" spans="9:9">
      <c r="I756"/>
    </row>
    <row r="757" spans="9:9">
      <c r="I757"/>
    </row>
    <row r="758" spans="9:9">
      <c r="I758"/>
    </row>
    <row r="759" spans="9:9">
      <c r="I759"/>
    </row>
    <row r="760" spans="9:9">
      <c r="I760"/>
    </row>
    <row r="761" spans="9:9">
      <c r="I761"/>
    </row>
    <row r="762" spans="9:9">
      <c r="I762"/>
    </row>
    <row r="763" spans="9:9">
      <c r="I763"/>
    </row>
    <row r="764" spans="9:9">
      <c r="I764"/>
    </row>
    <row r="765" spans="9:9">
      <c r="I765"/>
    </row>
    <row r="766" spans="9:9">
      <c r="I766"/>
    </row>
    <row r="767" spans="9:9">
      <c r="I767"/>
    </row>
    <row r="768" spans="9:9">
      <c r="I768"/>
    </row>
    <row r="769" spans="9:9">
      <c r="I769"/>
    </row>
    <row r="770" spans="9:9">
      <c r="I770"/>
    </row>
    <row r="771" spans="9:9">
      <c r="I771"/>
    </row>
    <row r="772" spans="9:9">
      <c r="I772"/>
    </row>
    <row r="773" spans="9:9">
      <c r="I773"/>
    </row>
    <row r="774" spans="9:9">
      <c r="I774"/>
    </row>
    <row r="775" spans="9:9">
      <c r="I775"/>
    </row>
    <row r="776" spans="9:9">
      <c r="I776"/>
    </row>
    <row r="777" spans="9:9">
      <c r="I777"/>
    </row>
    <row r="778" spans="9:9">
      <c r="I778"/>
    </row>
    <row r="779" spans="9:9">
      <c r="I779"/>
    </row>
    <row r="780" spans="9:9">
      <c r="I780"/>
    </row>
    <row r="781" spans="9:9">
      <c r="I781"/>
    </row>
    <row r="782" spans="9:9">
      <c r="I782"/>
    </row>
    <row r="783" spans="9:9">
      <c r="I783"/>
    </row>
    <row r="784" spans="9:9">
      <c r="I784"/>
    </row>
    <row r="785" spans="9:9">
      <c r="I785"/>
    </row>
    <row r="786" spans="9:9">
      <c r="I786"/>
    </row>
    <row r="787" spans="9:9">
      <c r="I787"/>
    </row>
    <row r="788" spans="9:9">
      <c r="I788"/>
    </row>
    <row r="789" spans="9:9">
      <c r="I789"/>
    </row>
    <row r="790" spans="9:9">
      <c r="I790"/>
    </row>
    <row r="791" spans="9:9">
      <c r="I791"/>
    </row>
    <row r="792" spans="9:9">
      <c r="I792"/>
    </row>
    <row r="793" spans="9:9">
      <c r="I793"/>
    </row>
    <row r="794" spans="9:9">
      <c r="I794"/>
    </row>
    <row r="795" spans="9:9">
      <c r="I795"/>
    </row>
    <row r="796" spans="9:9">
      <c r="I796"/>
    </row>
    <row r="797" spans="9:9">
      <c r="I797"/>
    </row>
    <row r="798" spans="9:9">
      <c r="I798"/>
    </row>
    <row r="799" spans="9:9">
      <c r="I799"/>
    </row>
    <row r="800" spans="9:9">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9:9">
      <c r="I849"/>
    </row>
    <row r="850" spans="9:9">
      <c r="I850"/>
    </row>
    <row r="851" spans="9:9">
      <c r="I851"/>
    </row>
    <row r="852" spans="9:9">
      <c r="I852"/>
    </row>
    <row r="853" spans="9:9">
      <c r="I853"/>
    </row>
    <row r="854" spans="9:9">
      <c r="I854"/>
    </row>
    <row r="855" spans="9:9">
      <c r="I855"/>
    </row>
    <row r="856" spans="9:9">
      <c r="I856"/>
    </row>
    <row r="857" spans="9:9">
      <c r="I857"/>
    </row>
    <row r="858" spans="9:9">
      <c r="I858"/>
    </row>
    <row r="859" spans="9:9">
      <c r="I859"/>
    </row>
    <row r="860" spans="9:9">
      <c r="I860"/>
    </row>
    <row r="861" spans="9:9">
      <c r="I861"/>
    </row>
    <row r="862" spans="9:9">
      <c r="I862"/>
    </row>
    <row r="863" spans="9:9">
      <c r="I863"/>
    </row>
    <row r="864" spans="9:9">
      <c r="I864"/>
    </row>
    <row r="865" spans="9:9">
      <c r="I865"/>
    </row>
    <row r="866" spans="9:9">
      <c r="I866"/>
    </row>
    <row r="867" spans="9:9">
      <c r="I867"/>
    </row>
    <row r="868" spans="9:9">
      <c r="I868"/>
    </row>
    <row r="869" spans="9:9">
      <c r="I869"/>
    </row>
    <row r="870" spans="9:9">
      <c r="I870"/>
    </row>
    <row r="871" spans="9:9">
      <c r="I871"/>
    </row>
    <row r="872" spans="9:9">
      <c r="I872"/>
    </row>
    <row r="873" spans="9:9">
      <c r="I873"/>
    </row>
    <row r="874" spans="9:9">
      <c r="I874"/>
    </row>
    <row r="875" spans="9:9">
      <c r="I875"/>
    </row>
    <row r="876" spans="9:9">
      <c r="I876"/>
    </row>
    <row r="877" spans="9:9">
      <c r="I877"/>
    </row>
    <row r="878" spans="9:9">
      <c r="I878"/>
    </row>
    <row r="879" spans="9:9">
      <c r="I879"/>
    </row>
    <row r="880" spans="9:9">
      <c r="I880"/>
    </row>
    <row r="881" spans="9:9">
      <c r="I881"/>
    </row>
    <row r="882" spans="9:9">
      <c r="I882"/>
    </row>
    <row r="883" spans="9:9">
      <c r="I883"/>
    </row>
    <row r="884" spans="9:9">
      <c r="I884"/>
    </row>
    <row r="885" spans="9:9">
      <c r="I885"/>
    </row>
    <row r="886" spans="9:9">
      <c r="I886"/>
    </row>
    <row r="887" spans="9:9">
      <c r="I887"/>
    </row>
    <row r="888" spans="9:9">
      <c r="I888"/>
    </row>
    <row r="889" spans="9:9">
      <c r="I889"/>
    </row>
    <row r="890" spans="9:9">
      <c r="I890"/>
    </row>
    <row r="891" spans="9:9">
      <c r="I891"/>
    </row>
    <row r="892" spans="9:9">
      <c r="I892"/>
    </row>
    <row r="893" spans="9:9">
      <c r="I893"/>
    </row>
    <row r="894" spans="9:9">
      <c r="I894"/>
    </row>
    <row r="895" spans="9:9">
      <c r="I895"/>
    </row>
    <row r="896" spans="9:9">
      <c r="I896"/>
    </row>
    <row r="897" spans="9:9">
      <c r="I897"/>
    </row>
    <row r="898" spans="9:9">
      <c r="I898"/>
    </row>
    <row r="899" spans="9:9">
      <c r="I899"/>
    </row>
    <row r="900" spans="9:9">
      <c r="I900"/>
    </row>
    <row r="901" spans="9:9">
      <c r="I901"/>
    </row>
    <row r="902" spans="9:9">
      <c r="I902"/>
    </row>
    <row r="903" spans="9:9">
      <c r="I903"/>
    </row>
    <row r="904" spans="9:9">
      <c r="I904"/>
    </row>
    <row r="905" spans="9:9">
      <c r="I905"/>
    </row>
    <row r="906" spans="9:9">
      <c r="I906"/>
    </row>
    <row r="907" spans="9:9">
      <c r="I907"/>
    </row>
    <row r="908" spans="9:9">
      <c r="I908"/>
    </row>
    <row r="909" spans="9:9">
      <c r="I909"/>
    </row>
    <row r="910" spans="9:9">
      <c r="I910"/>
    </row>
    <row r="911" spans="9:9">
      <c r="I911"/>
    </row>
    <row r="912" spans="9:9">
      <c r="I912"/>
    </row>
    <row r="913" spans="9:9">
      <c r="I913"/>
    </row>
    <row r="914" spans="9:9">
      <c r="I914"/>
    </row>
    <row r="915" spans="9:9">
      <c r="I915"/>
    </row>
    <row r="916" spans="9:9">
      <c r="I916"/>
    </row>
    <row r="917" spans="9:9">
      <c r="I917"/>
    </row>
    <row r="918" spans="9:9">
      <c r="I918"/>
    </row>
    <row r="919" spans="9:9">
      <c r="I919"/>
    </row>
    <row r="920" spans="9:9">
      <c r="I920"/>
    </row>
    <row r="921" spans="9:9">
      <c r="I921"/>
    </row>
    <row r="922" spans="9:9">
      <c r="I922"/>
    </row>
    <row r="923" spans="9:9">
      <c r="I923"/>
    </row>
    <row r="924" spans="9:9">
      <c r="I924"/>
    </row>
    <row r="925" spans="9:9">
      <c r="I925"/>
    </row>
    <row r="926" spans="9:9">
      <c r="I926"/>
    </row>
    <row r="927" spans="9:9">
      <c r="I927"/>
    </row>
    <row r="928" spans="9:9">
      <c r="I928"/>
    </row>
    <row r="929" spans="9:9">
      <c r="I929"/>
    </row>
    <row r="930" spans="9:9">
      <c r="I930"/>
    </row>
    <row r="931" spans="9:9">
      <c r="I931"/>
    </row>
    <row r="932" spans="9:9">
      <c r="I932"/>
    </row>
    <row r="933" spans="9:9">
      <c r="I933"/>
    </row>
    <row r="934" spans="9:9">
      <c r="I934"/>
    </row>
    <row r="935" spans="9:9">
      <c r="I935"/>
    </row>
    <row r="936" spans="9:9">
      <c r="I936"/>
    </row>
    <row r="937" spans="9:9">
      <c r="I937"/>
    </row>
    <row r="938" spans="9:9">
      <c r="I938"/>
    </row>
    <row r="939" spans="9:9">
      <c r="I939"/>
    </row>
    <row r="940" spans="9:9">
      <c r="I940"/>
    </row>
    <row r="941" spans="9:9">
      <c r="I941"/>
    </row>
    <row r="942" spans="9:9">
      <c r="I942"/>
    </row>
    <row r="943" spans="9:9">
      <c r="I943"/>
    </row>
    <row r="944" spans="9:9">
      <c r="I944"/>
    </row>
    <row r="945" spans="9:9">
      <c r="I945"/>
    </row>
    <row r="946" spans="9:9">
      <c r="I946"/>
    </row>
    <row r="947" spans="9:9">
      <c r="I947"/>
    </row>
    <row r="948" spans="9:9">
      <c r="I948"/>
    </row>
    <row r="949" spans="9:9">
      <c r="I949"/>
    </row>
    <row r="950" spans="9:9">
      <c r="I950"/>
    </row>
    <row r="951" spans="9:9">
      <c r="I951"/>
    </row>
    <row r="952" spans="9:9">
      <c r="I952"/>
    </row>
    <row r="953" spans="9:9">
      <c r="I953"/>
    </row>
    <row r="954" spans="9:9">
      <c r="I954"/>
    </row>
    <row r="955" spans="9:9">
      <c r="I955"/>
    </row>
    <row r="956" spans="9:9">
      <c r="I956"/>
    </row>
    <row r="957" spans="9:9">
      <c r="I957"/>
    </row>
    <row r="958" spans="9:9">
      <c r="I958"/>
    </row>
    <row r="959" spans="9:9">
      <c r="I959"/>
    </row>
    <row r="960" spans="9:9">
      <c r="I960"/>
    </row>
    <row r="961" spans="9:9">
      <c r="I961"/>
    </row>
    <row r="962" spans="9:9">
      <c r="I962"/>
    </row>
    <row r="963" spans="9:9">
      <c r="I963"/>
    </row>
    <row r="964" spans="9:9">
      <c r="I964"/>
    </row>
    <row r="965" spans="9:9">
      <c r="I965"/>
    </row>
    <row r="966" spans="9:9">
      <c r="I966"/>
    </row>
    <row r="967" spans="9:9">
      <c r="I967"/>
    </row>
    <row r="968" spans="9:9">
      <c r="I968"/>
    </row>
    <row r="969" spans="9:9">
      <c r="I969"/>
    </row>
    <row r="970" spans="9:9">
      <c r="I970"/>
    </row>
    <row r="971" spans="9:9">
      <c r="I971"/>
    </row>
    <row r="972" spans="9:9">
      <c r="I972"/>
    </row>
    <row r="973" spans="9:9">
      <c r="I973"/>
    </row>
    <row r="974" spans="9:9">
      <c r="I974"/>
    </row>
    <row r="975" spans="9:9">
      <c r="I975"/>
    </row>
    <row r="976" spans="9:9">
      <c r="I976"/>
    </row>
    <row r="977" spans="9:9">
      <c r="I977"/>
    </row>
    <row r="978" spans="9:9">
      <c r="I978"/>
    </row>
    <row r="979" spans="9:9">
      <c r="I979"/>
    </row>
    <row r="980" spans="9:9">
      <c r="I980"/>
    </row>
  </sheetData>
  <mergeCells count="4">
    <mergeCell ref="A2:B2"/>
    <mergeCell ref="C2:D2"/>
    <mergeCell ref="G2:H2"/>
    <mergeCell ref="E2:F2"/>
  </mergeCells>
  <pageMargins left="0.7" right="0.7" top="0.75" bottom="0.75" header="0.3" footer="0.3"/>
  <pageSetup paperSize="17"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sheetPr>
  <dimension ref="A3:A46"/>
  <sheetViews>
    <sheetView workbookViewId="0">
      <selection activeCell="K27" sqref="K27"/>
    </sheetView>
  </sheetViews>
  <sheetFormatPr defaultRowHeight="14.5"/>
  <cols>
    <col min="1" max="1" width="13.1796875" bestFit="1" customWidth="1"/>
  </cols>
  <sheetData>
    <row r="3" spans="1:1">
      <c r="A3" s="800" t="s">
        <v>3418</v>
      </c>
    </row>
    <row r="4" spans="1:1">
      <c r="A4" s="169" t="s">
        <v>2460</v>
      </c>
    </row>
    <row r="5" spans="1:1">
      <c r="A5" s="169" t="s">
        <v>80</v>
      </c>
    </row>
    <row r="6" spans="1:1">
      <c r="A6" s="169" t="s">
        <v>150</v>
      </c>
    </row>
    <row r="7" spans="1:1">
      <c r="A7" s="169" t="s">
        <v>255</v>
      </c>
    </row>
    <row r="8" spans="1:1">
      <c r="A8" s="169" t="s">
        <v>1269</v>
      </c>
    </row>
    <row r="9" spans="1:1">
      <c r="A9" s="169" t="s">
        <v>1248</v>
      </c>
    </row>
    <row r="10" spans="1:1">
      <c r="A10" s="169" t="s">
        <v>2914</v>
      </c>
    </row>
    <row r="11" spans="1:1">
      <c r="A11" s="169" t="s">
        <v>523</v>
      </c>
    </row>
    <row r="12" spans="1:1">
      <c r="A12" s="169" t="s">
        <v>506</v>
      </c>
    </row>
    <row r="13" spans="1:1">
      <c r="A13" s="169" t="s">
        <v>204</v>
      </c>
    </row>
    <row r="14" spans="1:1">
      <c r="A14" s="169" t="s">
        <v>229</v>
      </c>
    </row>
    <row r="15" spans="1:1">
      <c r="A15" s="169" t="s">
        <v>140</v>
      </c>
    </row>
    <row r="16" spans="1:1">
      <c r="A16" s="169" t="s">
        <v>784</v>
      </c>
    </row>
    <row r="17" spans="1:1">
      <c r="A17" s="169" t="s">
        <v>2857</v>
      </c>
    </row>
    <row r="18" spans="1:1">
      <c r="A18" s="169" t="s">
        <v>516</v>
      </c>
    </row>
    <row r="19" spans="1:1">
      <c r="A19" s="169" t="s">
        <v>1747</v>
      </c>
    </row>
    <row r="20" spans="1:1">
      <c r="A20" s="169" t="s">
        <v>1642</v>
      </c>
    </row>
    <row r="21" spans="1:1">
      <c r="A21" s="169" t="s">
        <v>2022</v>
      </c>
    </row>
    <row r="22" spans="1:1">
      <c r="A22" s="169" t="s">
        <v>125</v>
      </c>
    </row>
    <row r="23" spans="1:1">
      <c r="A23" s="169" t="s">
        <v>145</v>
      </c>
    </row>
    <row r="24" spans="1:1">
      <c r="A24" s="169" t="s">
        <v>687</v>
      </c>
    </row>
    <row r="25" spans="1:1">
      <c r="A25" s="169" t="s">
        <v>1768</v>
      </c>
    </row>
    <row r="26" spans="1:1">
      <c r="A26" s="169" t="s">
        <v>2123</v>
      </c>
    </row>
    <row r="27" spans="1:1">
      <c r="A27" s="169" t="s">
        <v>2120</v>
      </c>
    </row>
    <row r="28" spans="1:1">
      <c r="A28" s="169" t="s">
        <v>196</v>
      </c>
    </row>
    <row r="29" spans="1:1">
      <c r="A29" s="169" t="s">
        <v>188</v>
      </c>
    </row>
    <row r="30" spans="1:1">
      <c r="A30" s="169" t="s">
        <v>530</v>
      </c>
    </row>
    <row r="31" spans="1:1">
      <c r="A31" s="169" t="s">
        <v>882</v>
      </c>
    </row>
    <row r="32" spans="1:1">
      <c r="A32" s="169" t="s">
        <v>855</v>
      </c>
    </row>
    <row r="33" spans="1:1">
      <c r="A33" s="169" t="s">
        <v>844</v>
      </c>
    </row>
    <row r="34" spans="1:1">
      <c r="A34" s="169" t="s">
        <v>2129</v>
      </c>
    </row>
    <row r="35" spans="1:1">
      <c r="A35" s="169" t="s">
        <v>2127</v>
      </c>
    </row>
    <row r="36" spans="1:1">
      <c r="A36" s="169" t="s">
        <v>2125</v>
      </c>
    </row>
    <row r="37" spans="1:1">
      <c r="A37" s="169" t="s">
        <v>1971</v>
      </c>
    </row>
    <row r="38" spans="1:1">
      <c r="A38" s="169" t="s">
        <v>800</v>
      </c>
    </row>
    <row r="39" spans="1:1">
      <c r="A39" s="169" t="s">
        <v>931</v>
      </c>
    </row>
    <row r="40" spans="1:1">
      <c r="A40" s="169" t="s">
        <v>977</v>
      </c>
    </row>
    <row r="41" spans="1:1">
      <c r="A41" s="169" t="s">
        <v>268</v>
      </c>
    </row>
    <row r="42" spans="1:1">
      <c r="A42" s="169" t="s">
        <v>3347</v>
      </c>
    </row>
    <row r="43" spans="1:1">
      <c r="A43" s="169" t="s">
        <v>178</v>
      </c>
    </row>
    <row r="44" spans="1:1">
      <c r="A44" s="169" t="s">
        <v>823</v>
      </c>
    </row>
    <row r="45" spans="1:1">
      <c r="A45" s="169" t="s">
        <v>91</v>
      </c>
    </row>
    <row r="46" spans="1:1">
      <c r="A46" s="169" t="s">
        <v>3357</v>
      </c>
    </row>
  </sheetData>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O211"/>
  <sheetViews>
    <sheetView topLeftCell="N1" zoomScale="55" zoomScaleNormal="55" workbookViewId="0">
      <pane ySplit="4" topLeftCell="A5" activePane="bottomLeft" state="frozen"/>
      <selection activeCell="A11" sqref="A11"/>
      <selection pane="bottomLeft" activeCell="A11" sqref="A11"/>
    </sheetView>
  </sheetViews>
  <sheetFormatPr defaultColWidth="9.1796875" defaultRowHeight="14.5"/>
  <cols>
    <col min="1" max="1" width="7.54296875" customWidth="1"/>
    <col min="2" max="2" width="20.7265625" customWidth="1"/>
    <col min="3" max="3" width="7.54296875" customWidth="1"/>
    <col min="4" max="4" width="20.7265625" customWidth="1"/>
    <col min="5" max="5" width="7.54296875" customWidth="1"/>
    <col min="6" max="6" width="20.7265625" customWidth="1"/>
    <col min="7" max="7" width="7.54296875" customWidth="1"/>
    <col min="8" max="8" width="20.7265625" customWidth="1"/>
    <col min="9" max="11" width="7.54296875" customWidth="1"/>
    <col min="12" max="12" width="20.7265625" customWidth="1"/>
    <col min="13" max="15" width="14.54296875" customWidth="1"/>
    <col min="16" max="16" width="20.7265625" customWidth="1"/>
    <col min="17" max="17" width="42.453125" customWidth="1"/>
    <col min="18" max="18" width="18.1796875" customWidth="1"/>
    <col min="19" max="19" width="14.54296875" customWidth="1"/>
    <col min="20" max="20" width="5.54296875" customWidth="1"/>
    <col min="21" max="21" width="12.26953125" customWidth="1"/>
    <col min="22" max="22" width="13.26953125" customWidth="1"/>
    <col min="23" max="23" width="16.26953125" customWidth="1"/>
    <col min="24" max="25" width="16.1796875" customWidth="1"/>
    <col min="26" max="26" width="10.26953125" customWidth="1"/>
    <col min="27" max="27" width="16.26953125" bestFit="1" customWidth="1"/>
    <col min="28" max="29" width="14" customWidth="1"/>
    <col min="30" max="30" width="16.54296875" customWidth="1"/>
    <col min="31" max="31" width="6.7265625" customWidth="1"/>
    <col min="32" max="32" width="12.7265625" customWidth="1"/>
    <col min="33" max="33" width="7.54296875" customWidth="1"/>
    <col min="34" max="36" width="8.1796875" customWidth="1"/>
    <col min="37" max="37" width="13.54296875" customWidth="1"/>
    <col min="38" max="38" width="14.1796875" customWidth="1"/>
    <col min="39" max="39" width="8.1796875" customWidth="1"/>
    <col min="40" max="40" width="17.7265625" customWidth="1"/>
    <col min="41" max="41" width="16.7265625" customWidth="1"/>
    <col min="42" max="42" width="15.1796875" customWidth="1"/>
    <col min="43" max="43" width="9.54296875" customWidth="1"/>
    <col min="44" max="44" width="9" customWidth="1"/>
    <col min="45" max="47" width="6.7265625" customWidth="1"/>
    <col min="48" max="52" width="5" customWidth="1"/>
    <col min="53" max="54" width="11.81640625" customWidth="1"/>
    <col min="55" max="57" width="13.1796875" customWidth="1"/>
    <col min="58" max="60" width="8.1796875" customWidth="1"/>
    <col min="61" max="62" width="19" customWidth="1"/>
    <col min="63" max="63" width="35.81640625" customWidth="1"/>
  </cols>
  <sheetData>
    <row r="1" spans="1:63" ht="26">
      <c r="A1" s="1290" t="s">
        <v>6604</v>
      </c>
      <c r="B1" s="1290"/>
    </row>
    <row r="4" spans="1:63" s="1137" customFormat="1" ht="141">
      <c r="A4" s="1279" t="s">
        <v>5</v>
      </c>
      <c r="B4" s="1128" t="s">
        <v>6</v>
      </c>
      <c r="C4" s="1279" t="s">
        <v>7</v>
      </c>
      <c r="D4" s="1128" t="s">
        <v>8</v>
      </c>
      <c r="E4" s="1280" t="s">
        <v>9</v>
      </c>
      <c r="F4" s="1128" t="s">
        <v>10</v>
      </c>
      <c r="G4" s="1280" t="s">
        <v>11</v>
      </c>
      <c r="H4" s="1128" t="s">
        <v>12</v>
      </c>
      <c r="I4" s="1281" t="s">
        <v>13</v>
      </c>
      <c r="J4" s="1281" t="s">
        <v>14</v>
      </c>
      <c r="K4" s="1281" t="s">
        <v>15</v>
      </c>
      <c r="L4" s="1130" t="s">
        <v>16</v>
      </c>
      <c r="M4" s="1130" t="s">
        <v>17</v>
      </c>
      <c r="N4" s="1130" t="s">
        <v>18</v>
      </c>
      <c r="O4" s="1130" t="s">
        <v>19</v>
      </c>
      <c r="P4" s="1130" t="s">
        <v>20</v>
      </c>
      <c r="Q4" s="1128" t="s">
        <v>21</v>
      </c>
      <c r="R4" s="1128" t="s">
        <v>22</v>
      </c>
      <c r="S4" s="1155" t="s">
        <v>23</v>
      </c>
      <c r="T4" s="1280" t="s">
        <v>24</v>
      </c>
      <c r="U4" s="1282" t="s">
        <v>25</v>
      </c>
      <c r="V4" s="1282" t="s">
        <v>26</v>
      </c>
      <c r="W4" s="1283" t="s">
        <v>27</v>
      </c>
      <c r="X4" s="1283" t="s">
        <v>28</v>
      </c>
      <c r="Y4" s="1283" t="s">
        <v>29</v>
      </c>
      <c r="Z4" s="1283" t="s">
        <v>30</v>
      </c>
      <c r="AA4" s="1283" t="s">
        <v>31</v>
      </c>
      <c r="AB4" s="1283" t="s">
        <v>32</v>
      </c>
      <c r="AC4" s="1283" t="s">
        <v>33</v>
      </c>
      <c r="AD4" s="1284" t="s">
        <v>34</v>
      </c>
      <c r="AE4" s="1285" t="s">
        <v>35</v>
      </c>
      <c r="AF4" s="1285" t="s">
        <v>36</v>
      </c>
      <c r="AG4" s="1286" t="s">
        <v>37</v>
      </c>
      <c r="AH4" s="1286" t="s">
        <v>38</v>
      </c>
      <c r="AI4" s="1286" t="s">
        <v>39</v>
      </c>
      <c r="AJ4" s="1286" t="s">
        <v>40</v>
      </c>
      <c r="AK4" s="1283" t="s">
        <v>41</v>
      </c>
      <c r="AL4" s="1283" t="s">
        <v>42</v>
      </c>
      <c r="AM4" s="1283" t="s">
        <v>43</v>
      </c>
      <c r="AN4" s="1283" t="s">
        <v>44</v>
      </c>
      <c r="AO4" s="1283" t="s">
        <v>45</v>
      </c>
      <c r="AP4" s="1283" t="s">
        <v>46</v>
      </c>
      <c r="AQ4" s="1287" t="s">
        <v>47</v>
      </c>
      <c r="AR4" s="1283" t="s">
        <v>48</v>
      </c>
      <c r="AS4" s="1286" t="s">
        <v>51</v>
      </c>
      <c r="AT4" s="1286" t="s">
        <v>52</v>
      </c>
      <c r="AU4" s="1286" t="s">
        <v>53</v>
      </c>
      <c r="AV4" s="1286" t="s">
        <v>54</v>
      </c>
      <c r="AW4" s="1286" t="s">
        <v>55</v>
      </c>
      <c r="AX4" s="1286" t="s">
        <v>56</v>
      </c>
      <c r="AY4" s="1286" t="s">
        <v>57</v>
      </c>
      <c r="AZ4" s="1286" t="s">
        <v>58</v>
      </c>
      <c r="BA4" s="1283" t="s">
        <v>64</v>
      </c>
      <c r="BB4" s="1283" t="s">
        <v>65</v>
      </c>
      <c r="BC4" s="1283" t="s">
        <v>66</v>
      </c>
      <c r="BD4" s="1283" t="s">
        <v>67</v>
      </c>
      <c r="BE4" s="1283" t="s">
        <v>68</v>
      </c>
      <c r="BF4" s="1283" t="s">
        <v>69</v>
      </c>
      <c r="BG4" s="1283" t="s">
        <v>70</v>
      </c>
      <c r="BH4" s="1283" t="s">
        <v>71</v>
      </c>
      <c r="BI4" s="1128" t="s">
        <v>75</v>
      </c>
      <c r="BJ4" s="1128" t="s">
        <v>76</v>
      </c>
      <c r="BK4" s="1128" t="s">
        <v>77</v>
      </c>
    </row>
    <row r="5" spans="1:63" s="1278" customFormat="1" ht="66">
      <c r="A5" s="1272">
        <v>2000</v>
      </c>
      <c r="B5" s="971" t="s">
        <v>119</v>
      </c>
      <c r="C5" s="1272">
        <v>2500</v>
      </c>
      <c r="D5" s="971" t="s">
        <v>452</v>
      </c>
      <c r="E5" s="971" t="s">
        <v>453</v>
      </c>
      <c r="F5" s="971" t="s">
        <v>454</v>
      </c>
      <c r="G5" s="971">
        <v>2511</v>
      </c>
      <c r="H5" s="971" t="s">
        <v>565</v>
      </c>
      <c r="I5" s="1273" t="s">
        <v>123</v>
      </c>
      <c r="J5" s="971" t="s">
        <v>124</v>
      </c>
      <c r="K5" s="971" t="s">
        <v>784</v>
      </c>
      <c r="L5" s="971" t="s">
        <v>2852</v>
      </c>
      <c r="M5" s="971" t="s">
        <v>458</v>
      </c>
      <c r="N5" s="971" t="s">
        <v>127</v>
      </c>
      <c r="O5" s="971" t="s">
        <v>459</v>
      </c>
      <c r="P5" s="971"/>
      <c r="Q5" s="971" t="s">
        <v>587</v>
      </c>
      <c r="R5" s="971" t="s">
        <v>568</v>
      </c>
      <c r="S5" s="1274">
        <v>200</v>
      </c>
      <c r="T5" s="971" t="s">
        <v>136</v>
      </c>
      <c r="U5" s="1275">
        <v>0.22416666666666665</v>
      </c>
      <c r="V5" s="1275">
        <v>3.3624999999999998</v>
      </c>
      <c r="W5" s="1275">
        <v>22.397249563492064</v>
      </c>
      <c r="X5" s="1275">
        <v>33.625</v>
      </c>
      <c r="Y5" s="1275">
        <v>59.384749563492065</v>
      </c>
      <c r="Z5" s="1129">
        <v>44.833333333333329</v>
      </c>
      <c r="AA5" s="1129">
        <v>672.5</v>
      </c>
      <c r="AB5" s="1129">
        <v>4479.4499126984128</v>
      </c>
      <c r="AC5" s="1129">
        <v>6725</v>
      </c>
      <c r="AD5" s="1267">
        <v>11876.949912698414</v>
      </c>
      <c r="AE5" s="1135">
        <v>1</v>
      </c>
      <c r="AF5" s="1129">
        <v>200</v>
      </c>
      <c r="AG5" s="1127">
        <v>1</v>
      </c>
      <c r="AH5" s="1127">
        <v>0</v>
      </c>
      <c r="AI5" s="1127">
        <v>0</v>
      </c>
      <c r="AJ5" s="1127">
        <v>1</v>
      </c>
      <c r="AK5" s="1129">
        <v>11876.949912698414</v>
      </c>
      <c r="AL5" s="1129">
        <v>0</v>
      </c>
      <c r="AM5" s="1129">
        <v>0</v>
      </c>
      <c r="AN5" s="1129">
        <v>11876.949912698414</v>
      </c>
      <c r="AO5" s="1129" t="s">
        <v>85</v>
      </c>
      <c r="AP5" s="1129" t="s">
        <v>6605</v>
      </c>
      <c r="AQ5" s="1157" t="s">
        <v>107</v>
      </c>
      <c r="AR5" s="1129" t="s">
        <v>87</v>
      </c>
      <c r="AS5" s="1127">
        <v>0.33333333333333331</v>
      </c>
      <c r="AT5" s="1127">
        <v>0.33333333333333331</v>
      </c>
      <c r="AU5" s="1127">
        <v>0.33333333333333331</v>
      </c>
      <c r="AV5" s="1127"/>
      <c r="AW5" s="1127"/>
      <c r="AX5" s="1127"/>
      <c r="AY5" s="1127"/>
      <c r="AZ5" s="1127"/>
      <c r="BA5" s="1129">
        <v>3958.9833042328046</v>
      </c>
      <c r="BB5" s="1129">
        <v>3958.9833042328046</v>
      </c>
      <c r="BC5" s="1129">
        <v>3958.9833042328046</v>
      </c>
      <c r="BD5" s="1129">
        <v>0</v>
      </c>
      <c r="BE5" s="1129">
        <v>0</v>
      </c>
      <c r="BF5" s="1129">
        <v>0</v>
      </c>
      <c r="BG5" s="1129">
        <v>0</v>
      </c>
      <c r="BH5" s="1129">
        <v>0</v>
      </c>
      <c r="BI5" s="971" t="s">
        <v>132</v>
      </c>
      <c r="BJ5" s="971"/>
      <c r="BK5" s="971"/>
    </row>
    <row r="6" spans="1:63" s="1278" customFormat="1" ht="49.5">
      <c r="A6" s="1272">
        <v>2000</v>
      </c>
      <c r="B6" s="971" t="s">
        <v>119</v>
      </c>
      <c r="C6" s="1272">
        <v>2500</v>
      </c>
      <c r="D6" s="971" t="s">
        <v>452</v>
      </c>
      <c r="E6" s="971" t="s">
        <v>453</v>
      </c>
      <c r="F6" s="971" t="s">
        <v>454</v>
      </c>
      <c r="G6" s="971">
        <v>2511</v>
      </c>
      <c r="H6" s="971" t="s">
        <v>565</v>
      </c>
      <c r="I6" s="1273" t="s">
        <v>123</v>
      </c>
      <c r="J6" s="971" t="s">
        <v>124</v>
      </c>
      <c r="K6" s="971" t="s">
        <v>140</v>
      </c>
      <c r="L6" s="971" t="s">
        <v>2909</v>
      </c>
      <c r="M6" s="971" t="s">
        <v>140</v>
      </c>
      <c r="N6" s="971" t="s">
        <v>141</v>
      </c>
      <c r="O6" s="971" t="s">
        <v>3280</v>
      </c>
      <c r="P6" s="971"/>
      <c r="Q6" s="971" t="s">
        <v>588</v>
      </c>
      <c r="R6" s="971" t="s">
        <v>568</v>
      </c>
      <c r="S6" s="1274">
        <v>200</v>
      </c>
      <c r="T6" s="971" t="s">
        <v>136</v>
      </c>
      <c r="U6" s="1275">
        <v>0</v>
      </c>
      <c r="V6" s="1275">
        <v>0</v>
      </c>
      <c r="W6" s="1275">
        <v>0</v>
      </c>
      <c r="X6" s="1275">
        <v>0</v>
      </c>
      <c r="Y6" s="1275">
        <v>0</v>
      </c>
      <c r="Z6" s="1129">
        <v>0</v>
      </c>
      <c r="AA6" s="1129">
        <v>0</v>
      </c>
      <c r="AB6" s="1129">
        <v>0</v>
      </c>
      <c r="AC6" s="1129">
        <v>0</v>
      </c>
      <c r="AD6" s="1267">
        <v>0</v>
      </c>
      <c r="AE6" s="1135">
        <v>0</v>
      </c>
      <c r="AF6" s="1129">
        <v>0</v>
      </c>
      <c r="AG6" s="1127">
        <v>1</v>
      </c>
      <c r="AH6" s="1127">
        <v>0</v>
      </c>
      <c r="AI6" s="1127">
        <v>0</v>
      </c>
      <c r="AJ6" s="1127">
        <v>1</v>
      </c>
      <c r="AK6" s="1129">
        <v>0</v>
      </c>
      <c r="AL6" s="1129">
        <v>0</v>
      </c>
      <c r="AM6" s="1129">
        <v>0</v>
      </c>
      <c r="AN6" s="1129">
        <v>0</v>
      </c>
      <c r="AO6" s="1129" t="s">
        <v>85</v>
      </c>
      <c r="AP6" s="1129" t="s">
        <v>6605</v>
      </c>
      <c r="AQ6" s="1157" t="s">
        <v>107</v>
      </c>
      <c r="AR6" s="1129" t="s">
        <v>87</v>
      </c>
      <c r="AS6" s="1127">
        <v>0.33333333333333331</v>
      </c>
      <c r="AT6" s="1127">
        <v>0.33333333333333331</v>
      </c>
      <c r="AU6" s="1127">
        <v>0.33333333333333331</v>
      </c>
      <c r="AV6" s="1127"/>
      <c r="AW6" s="1127"/>
      <c r="AX6" s="1127"/>
      <c r="AY6" s="1127"/>
      <c r="AZ6" s="1127"/>
      <c r="BA6" s="1129">
        <v>0</v>
      </c>
      <c r="BB6" s="1129">
        <v>0</v>
      </c>
      <c r="BC6" s="1129">
        <v>0</v>
      </c>
      <c r="BD6" s="1129">
        <v>0</v>
      </c>
      <c r="BE6" s="1129">
        <v>0</v>
      </c>
      <c r="BF6" s="1129">
        <v>0</v>
      </c>
      <c r="BG6" s="1129">
        <v>0</v>
      </c>
      <c r="BH6" s="1129">
        <v>0</v>
      </c>
      <c r="BI6" s="971"/>
      <c r="BJ6" s="971"/>
      <c r="BK6" s="971"/>
    </row>
    <row r="7" spans="1:63" s="1278" customFormat="1" ht="49.5">
      <c r="A7" s="1272">
        <v>2000</v>
      </c>
      <c r="B7" s="971" t="s">
        <v>119</v>
      </c>
      <c r="C7" s="1272">
        <v>2500</v>
      </c>
      <c r="D7" s="971" t="s">
        <v>452</v>
      </c>
      <c r="E7" s="971" t="s">
        <v>453</v>
      </c>
      <c r="F7" s="971" t="s">
        <v>454</v>
      </c>
      <c r="G7" s="971">
        <v>2511</v>
      </c>
      <c r="H7" s="971" t="s">
        <v>565</v>
      </c>
      <c r="I7" s="1273" t="s">
        <v>123</v>
      </c>
      <c r="J7" s="971" t="s">
        <v>124</v>
      </c>
      <c r="K7" s="971"/>
      <c r="L7" s="971" t="e">
        <v>#N/A</v>
      </c>
      <c r="M7" s="971" t="s">
        <v>145</v>
      </c>
      <c r="N7" s="971" t="s">
        <v>141</v>
      </c>
      <c r="O7" s="971" t="s">
        <v>146</v>
      </c>
      <c r="P7" s="971"/>
      <c r="Q7" s="971" t="s">
        <v>589</v>
      </c>
      <c r="R7" s="971" t="s">
        <v>568</v>
      </c>
      <c r="S7" s="1274">
        <v>200</v>
      </c>
      <c r="T7" s="971" t="s">
        <v>136</v>
      </c>
      <c r="U7" s="1275" t="s">
        <v>6588</v>
      </c>
      <c r="V7" s="1275" t="s">
        <v>6588</v>
      </c>
      <c r="W7" s="1275" t="s">
        <v>6588</v>
      </c>
      <c r="X7" s="1275" t="s">
        <v>6588</v>
      </c>
      <c r="Y7" s="1275" t="s">
        <v>6588</v>
      </c>
      <c r="Z7" s="1129">
        <v>0</v>
      </c>
      <c r="AA7" s="1129">
        <v>0</v>
      </c>
      <c r="AB7" s="1129">
        <v>0</v>
      </c>
      <c r="AC7" s="1129">
        <v>0</v>
      </c>
      <c r="AD7" s="1267">
        <v>0</v>
      </c>
      <c r="AE7" s="1135">
        <v>0</v>
      </c>
      <c r="AF7" s="1129">
        <v>0</v>
      </c>
      <c r="AG7" s="1127">
        <v>1</v>
      </c>
      <c r="AH7" s="1127">
        <v>0</v>
      </c>
      <c r="AI7" s="1127">
        <v>0</v>
      </c>
      <c r="AJ7" s="1127">
        <v>1</v>
      </c>
      <c r="AK7" s="1129">
        <v>0</v>
      </c>
      <c r="AL7" s="1129">
        <v>0</v>
      </c>
      <c r="AM7" s="1129">
        <v>0</v>
      </c>
      <c r="AN7" s="1129">
        <v>0</v>
      </c>
      <c r="AO7" s="1129" t="s">
        <v>85</v>
      </c>
      <c r="AP7" s="1129" t="s">
        <v>6605</v>
      </c>
      <c r="AQ7" s="1157" t="s">
        <v>107</v>
      </c>
      <c r="AR7" s="1129" t="s">
        <v>87</v>
      </c>
      <c r="AS7" s="1127">
        <v>0.33333333333333331</v>
      </c>
      <c r="AT7" s="1127">
        <v>0.33333333333333331</v>
      </c>
      <c r="AU7" s="1127">
        <v>0.33333333333333331</v>
      </c>
      <c r="AV7" s="1127"/>
      <c r="AW7" s="1127"/>
      <c r="AX7" s="1127"/>
      <c r="AY7" s="1127"/>
      <c r="AZ7" s="1127"/>
      <c r="BA7" s="1129">
        <v>0</v>
      </c>
      <c r="BB7" s="1129">
        <v>0</v>
      </c>
      <c r="BC7" s="1129">
        <v>0</v>
      </c>
      <c r="BD7" s="1129">
        <v>0</v>
      </c>
      <c r="BE7" s="1129">
        <v>0</v>
      </c>
      <c r="BF7" s="1129">
        <v>0</v>
      </c>
      <c r="BG7" s="1129">
        <v>0</v>
      </c>
      <c r="BH7" s="1129">
        <v>0</v>
      </c>
      <c r="BI7" s="971"/>
      <c r="BJ7" s="971"/>
      <c r="BK7" s="971"/>
    </row>
    <row r="8" spans="1:63" s="1278" customFormat="1" ht="66">
      <c r="A8" s="1272">
        <v>2000</v>
      </c>
      <c r="B8" s="971" t="s">
        <v>119</v>
      </c>
      <c r="C8" s="1272">
        <v>2500</v>
      </c>
      <c r="D8" s="971" t="s">
        <v>452</v>
      </c>
      <c r="E8" s="971" t="s">
        <v>453</v>
      </c>
      <c r="F8" s="971" t="s">
        <v>454</v>
      </c>
      <c r="G8" s="971">
        <v>2511</v>
      </c>
      <c r="H8" s="971" t="s">
        <v>565</v>
      </c>
      <c r="I8" s="1273" t="s">
        <v>590</v>
      </c>
      <c r="J8" s="971" t="s">
        <v>124</v>
      </c>
      <c r="K8" s="971" t="s">
        <v>784</v>
      </c>
      <c r="L8" s="971" t="s">
        <v>2852</v>
      </c>
      <c r="M8" s="971" t="s">
        <v>458</v>
      </c>
      <c r="N8" s="971" t="s">
        <v>127</v>
      </c>
      <c r="O8" s="971" t="s">
        <v>459</v>
      </c>
      <c r="P8" s="971"/>
      <c r="Q8" s="971" t="s">
        <v>591</v>
      </c>
      <c r="R8" s="971" t="s">
        <v>592</v>
      </c>
      <c r="S8" s="1274">
        <v>267.56076555824046</v>
      </c>
      <c r="T8" s="971" t="s">
        <v>136</v>
      </c>
      <c r="U8" s="1275">
        <v>0.22416666666666665</v>
      </c>
      <c r="V8" s="1275">
        <v>3.3624999999999998</v>
      </c>
      <c r="W8" s="1275">
        <v>22.397249563492064</v>
      </c>
      <c r="X8" s="1275">
        <v>33.625</v>
      </c>
      <c r="Y8" s="1275">
        <v>59.384749563492065</v>
      </c>
      <c r="Z8" s="1129">
        <v>59.97820494597223</v>
      </c>
      <c r="AA8" s="1129">
        <v>899.67307418958353</v>
      </c>
      <c r="AB8" s="1129">
        <v>5992.625239606904</v>
      </c>
      <c r="AC8" s="1129">
        <v>8996.7307418958353</v>
      </c>
      <c r="AD8" s="1267">
        <v>15889.029055692323</v>
      </c>
      <c r="AE8" s="1135">
        <v>1</v>
      </c>
      <c r="AF8" s="1129">
        <v>267.56076555824046</v>
      </c>
      <c r="AG8" s="1127">
        <v>1</v>
      </c>
      <c r="AH8" s="1127">
        <v>0</v>
      </c>
      <c r="AI8" s="1127">
        <v>0</v>
      </c>
      <c r="AJ8" s="1127">
        <v>1</v>
      </c>
      <c r="AK8" s="1129">
        <v>15889.029055692323</v>
      </c>
      <c r="AL8" s="1129">
        <v>0</v>
      </c>
      <c r="AM8" s="1129">
        <v>0</v>
      </c>
      <c r="AN8" s="1129">
        <v>15889.029055692323</v>
      </c>
      <c r="AO8" s="1129" t="s">
        <v>85</v>
      </c>
      <c r="AP8" s="1129" t="s">
        <v>6605</v>
      </c>
      <c r="AQ8" s="1157" t="s">
        <v>107</v>
      </c>
      <c r="AR8" s="1129" t="s">
        <v>87</v>
      </c>
      <c r="AS8" s="1127">
        <v>0.33333333333333331</v>
      </c>
      <c r="AT8" s="1127">
        <v>0.33333333333333331</v>
      </c>
      <c r="AU8" s="1127">
        <v>0.33333333333333331</v>
      </c>
      <c r="AV8" s="1127"/>
      <c r="AW8" s="1127"/>
      <c r="AX8" s="1127"/>
      <c r="AY8" s="1127"/>
      <c r="AZ8" s="1127"/>
      <c r="BA8" s="1129">
        <v>5296.3430185641073</v>
      </c>
      <c r="BB8" s="1129">
        <v>5296.3430185641073</v>
      </c>
      <c r="BC8" s="1129">
        <v>5296.3430185641073</v>
      </c>
      <c r="BD8" s="1129">
        <v>0</v>
      </c>
      <c r="BE8" s="1129">
        <v>0</v>
      </c>
      <c r="BF8" s="1129">
        <v>0</v>
      </c>
      <c r="BG8" s="1129">
        <v>0</v>
      </c>
      <c r="BH8" s="1129">
        <v>0</v>
      </c>
      <c r="BI8" s="971" t="s">
        <v>132</v>
      </c>
      <c r="BJ8" s="971"/>
      <c r="BK8" s="971"/>
    </row>
    <row r="9" spans="1:63" s="1278" customFormat="1" ht="49.5">
      <c r="A9" s="1272">
        <v>2000</v>
      </c>
      <c r="B9" s="971" t="s">
        <v>119</v>
      </c>
      <c r="C9" s="1272">
        <v>2500</v>
      </c>
      <c r="D9" s="971" t="s">
        <v>452</v>
      </c>
      <c r="E9" s="971" t="s">
        <v>453</v>
      </c>
      <c r="F9" s="971" t="s">
        <v>454</v>
      </c>
      <c r="G9" s="971">
        <v>2511</v>
      </c>
      <c r="H9" s="971" t="s">
        <v>565</v>
      </c>
      <c r="I9" s="1273" t="s">
        <v>590</v>
      </c>
      <c r="J9" s="971" t="s">
        <v>124</v>
      </c>
      <c r="K9" s="971" t="s">
        <v>140</v>
      </c>
      <c r="L9" s="971" t="s">
        <v>2909</v>
      </c>
      <c r="M9" s="971" t="s">
        <v>140</v>
      </c>
      <c r="N9" s="971" t="s">
        <v>141</v>
      </c>
      <c r="O9" s="971" t="s">
        <v>3280</v>
      </c>
      <c r="P9" s="971"/>
      <c r="Q9" s="971" t="s">
        <v>593</v>
      </c>
      <c r="R9" s="971" t="s">
        <v>592</v>
      </c>
      <c r="S9" s="1274">
        <v>267.56076555824046</v>
      </c>
      <c r="T9" s="971" t="s">
        <v>136</v>
      </c>
      <c r="U9" s="1275">
        <v>0</v>
      </c>
      <c r="V9" s="1275">
        <v>0</v>
      </c>
      <c r="W9" s="1275">
        <v>0</v>
      </c>
      <c r="X9" s="1275">
        <v>0</v>
      </c>
      <c r="Y9" s="1275">
        <v>0</v>
      </c>
      <c r="Z9" s="1129">
        <v>0</v>
      </c>
      <c r="AA9" s="1129">
        <v>0</v>
      </c>
      <c r="AB9" s="1129">
        <v>0</v>
      </c>
      <c r="AC9" s="1129">
        <v>0</v>
      </c>
      <c r="AD9" s="1267">
        <v>0</v>
      </c>
      <c r="AE9" s="1135">
        <v>0</v>
      </c>
      <c r="AF9" s="1129">
        <v>0</v>
      </c>
      <c r="AG9" s="1127">
        <v>1</v>
      </c>
      <c r="AH9" s="1127">
        <v>0</v>
      </c>
      <c r="AI9" s="1127">
        <v>0</v>
      </c>
      <c r="AJ9" s="1127">
        <v>1</v>
      </c>
      <c r="AK9" s="1129">
        <v>0</v>
      </c>
      <c r="AL9" s="1129">
        <v>0</v>
      </c>
      <c r="AM9" s="1129">
        <v>0</v>
      </c>
      <c r="AN9" s="1129">
        <v>0</v>
      </c>
      <c r="AO9" s="1129" t="s">
        <v>85</v>
      </c>
      <c r="AP9" s="1129" t="s">
        <v>6605</v>
      </c>
      <c r="AQ9" s="1157" t="s">
        <v>107</v>
      </c>
      <c r="AR9" s="1129" t="s">
        <v>87</v>
      </c>
      <c r="AS9" s="1127">
        <v>0.33333333333333331</v>
      </c>
      <c r="AT9" s="1127">
        <v>0.33333333333333331</v>
      </c>
      <c r="AU9" s="1127">
        <v>0.33333333333333331</v>
      </c>
      <c r="AV9" s="1127"/>
      <c r="AW9" s="1127"/>
      <c r="AX9" s="1127"/>
      <c r="AY9" s="1127"/>
      <c r="AZ9" s="1127"/>
      <c r="BA9" s="1129">
        <v>0</v>
      </c>
      <c r="BB9" s="1129">
        <v>0</v>
      </c>
      <c r="BC9" s="1129">
        <v>0</v>
      </c>
      <c r="BD9" s="1129">
        <v>0</v>
      </c>
      <c r="BE9" s="1129">
        <v>0</v>
      </c>
      <c r="BF9" s="1129">
        <v>0</v>
      </c>
      <c r="BG9" s="1129">
        <v>0</v>
      </c>
      <c r="BH9" s="1129">
        <v>0</v>
      </c>
      <c r="BI9" s="971"/>
      <c r="BJ9" s="971"/>
      <c r="BK9" s="971"/>
    </row>
    <row r="10" spans="1:63" s="1278" customFormat="1" ht="49.5">
      <c r="A10" s="1272">
        <v>2000</v>
      </c>
      <c r="B10" s="971" t="s">
        <v>119</v>
      </c>
      <c r="C10" s="1272">
        <v>2500</v>
      </c>
      <c r="D10" s="971" t="s">
        <v>452</v>
      </c>
      <c r="E10" s="971" t="s">
        <v>453</v>
      </c>
      <c r="F10" s="971" t="s">
        <v>454</v>
      </c>
      <c r="G10" s="971">
        <v>2511</v>
      </c>
      <c r="H10" s="971" t="s">
        <v>565</v>
      </c>
      <c r="I10" s="1273" t="s">
        <v>590</v>
      </c>
      <c r="J10" s="971" t="s">
        <v>124</v>
      </c>
      <c r="K10" s="971"/>
      <c r="L10" s="971" t="e">
        <v>#N/A</v>
      </c>
      <c r="M10" s="971" t="s">
        <v>145</v>
      </c>
      <c r="N10" s="971" t="s">
        <v>141</v>
      </c>
      <c r="O10" s="971" t="s">
        <v>146</v>
      </c>
      <c r="P10" s="971"/>
      <c r="Q10" s="971" t="s">
        <v>594</v>
      </c>
      <c r="R10" s="971" t="s">
        <v>592</v>
      </c>
      <c r="S10" s="1274">
        <v>267.56076555824046</v>
      </c>
      <c r="T10" s="971" t="s">
        <v>136</v>
      </c>
      <c r="U10" s="1275" t="s">
        <v>6588</v>
      </c>
      <c r="V10" s="1275" t="s">
        <v>6588</v>
      </c>
      <c r="W10" s="1275" t="s">
        <v>6588</v>
      </c>
      <c r="X10" s="1275" t="s">
        <v>6588</v>
      </c>
      <c r="Y10" s="1275" t="s">
        <v>6588</v>
      </c>
      <c r="Z10" s="1129">
        <v>0</v>
      </c>
      <c r="AA10" s="1129">
        <v>0</v>
      </c>
      <c r="AB10" s="1129">
        <v>0</v>
      </c>
      <c r="AC10" s="1129">
        <v>0</v>
      </c>
      <c r="AD10" s="1267">
        <v>0</v>
      </c>
      <c r="AE10" s="1135">
        <v>0</v>
      </c>
      <c r="AF10" s="1129">
        <v>0</v>
      </c>
      <c r="AG10" s="1127">
        <v>1</v>
      </c>
      <c r="AH10" s="1127">
        <v>0</v>
      </c>
      <c r="AI10" s="1127">
        <v>0</v>
      </c>
      <c r="AJ10" s="1127">
        <v>1</v>
      </c>
      <c r="AK10" s="1129">
        <v>0</v>
      </c>
      <c r="AL10" s="1129">
        <v>0</v>
      </c>
      <c r="AM10" s="1129">
        <v>0</v>
      </c>
      <c r="AN10" s="1129">
        <v>0</v>
      </c>
      <c r="AO10" s="1129" t="s">
        <v>85</v>
      </c>
      <c r="AP10" s="1129" t="s">
        <v>6605</v>
      </c>
      <c r="AQ10" s="1157" t="s">
        <v>107</v>
      </c>
      <c r="AR10" s="1129" t="s">
        <v>87</v>
      </c>
      <c r="AS10" s="1127">
        <v>0.33333333333333331</v>
      </c>
      <c r="AT10" s="1127">
        <v>0.33333333333333331</v>
      </c>
      <c r="AU10" s="1127">
        <v>0.33333333333333331</v>
      </c>
      <c r="AV10" s="1127"/>
      <c r="AW10" s="1127"/>
      <c r="AX10" s="1127"/>
      <c r="AY10" s="1127"/>
      <c r="AZ10" s="1127"/>
      <c r="BA10" s="1129">
        <v>0</v>
      </c>
      <c r="BB10" s="1129">
        <v>0</v>
      </c>
      <c r="BC10" s="1129">
        <v>0</v>
      </c>
      <c r="BD10" s="1129">
        <v>0</v>
      </c>
      <c r="BE10" s="1129">
        <v>0</v>
      </c>
      <c r="BF10" s="1129">
        <v>0</v>
      </c>
      <c r="BG10" s="1129">
        <v>0</v>
      </c>
      <c r="BH10" s="1129">
        <v>0</v>
      </c>
      <c r="BI10" s="971"/>
      <c r="BJ10" s="971"/>
      <c r="BK10" s="971"/>
    </row>
    <row r="11" spans="1:63" s="1278" customFormat="1" ht="66">
      <c r="A11" s="1272">
        <v>2000</v>
      </c>
      <c r="B11" s="971" t="s">
        <v>119</v>
      </c>
      <c r="C11" s="1272">
        <v>2500</v>
      </c>
      <c r="D11" s="971" t="s">
        <v>452</v>
      </c>
      <c r="E11" s="971" t="s">
        <v>453</v>
      </c>
      <c r="F11" s="971" t="s">
        <v>454</v>
      </c>
      <c r="G11" s="971">
        <v>2511</v>
      </c>
      <c r="H11" s="971" t="s">
        <v>565</v>
      </c>
      <c r="I11" s="1273" t="s">
        <v>490</v>
      </c>
      <c r="J11" s="971" t="s">
        <v>124</v>
      </c>
      <c r="K11" s="971" t="s">
        <v>784</v>
      </c>
      <c r="L11" s="971" t="s">
        <v>2852</v>
      </c>
      <c r="M11" s="971" t="s">
        <v>458</v>
      </c>
      <c r="N11" s="971" t="s">
        <v>127</v>
      </c>
      <c r="O11" s="971" t="s">
        <v>459</v>
      </c>
      <c r="P11" s="971"/>
      <c r="Q11" s="971" t="s">
        <v>595</v>
      </c>
      <c r="R11" s="971" t="s">
        <v>596</v>
      </c>
      <c r="S11" s="1274">
        <v>200.67057416868036</v>
      </c>
      <c r="T11" s="971" t="s">
        <v>136</v>
      </c>
      <c r="U11" s="1275">
        <v>0.22416666666666665</v>
      </c>
      <c r="V11" s="1275">
        <v>3.3624999999999998</v>
      </c>
      <c r="W11" s="1275">
        <v>22.397249563492064</v>
      </c>
      <c r="X11" s="1275">
        <v>33.625</v>
      </c>
      <c r="Y11" s="1275">
        <v>59.384749563492065</v>
      </c>
      <c r="Z11" s="1129">
        <v>44.983653709479178</v>
      </c>
      <c r="AA11" s="1129">
        <v>674.75480564218765</v>
      </c>
      <c r="AB11" s="1129">
        <v>4494.4689297051782</v>
      </c>
      <c r="AC11" s="1129">
        <v>6747.5480564218769</v>
      </c>
      <c r="AD11" s="1267">
        <v>11916.771791769243</v>
      </c>
      <c r="AE11" s="1135">
        <v>1</v>
      </c>
      <c r="AF11" s="1129">
        <v>200.67057416868036</v>
      </c>
      <c r="AG11" s="1127">
        <v>1</v>
      </c>
      <c r="AH11" s="1127">
        <v>0</v>
      </c>
      <c r="AI11" s="1127">
        <v>0</v>
      </c>
      <c r="AJ11" s="1127">
        <v>1</v>
      </c>
      <c r="AK11" s="1129">
        <v>11916.771791769243</v>
      </c>
      <c r="AL11" s="1129">
        <v>0</v>
      </c>
      <c r="AM11" s="1129">
        <v>0</v>
      </c>
      <c r="AN11" s="1129">
        <v>11916.771791769243</v>
      </c>
      <c r="AO11" s="1129" t="s">
        <v>85</v>
      </c>
      <c r="AP11" s="1129" t="s">
        <v>6605</v>
      </c>
      <c r="AQ11" s="1157" t="s">
        <v>107</v>
      </c>
      <c r="AR11" s="1129" t="s">
        <v>87</v>
      </c>
      <c r="AS11" s="1127">
        <v>0.33333333333333331</v>
      </c>
      <c r="AT11" s="1127">
        <v>0.33333333333333331</v>
      </c>
      <c r="AU11" s="1127">
        <v>0.33333333333333331</v>
      </c>
      <c r="AV11" s="1127"/>
      <c r="AW11" s="1127"/>
      <c r="AX11" s="1127"/>
      <c r="AY11" s="1127"/>
      <c r="AZ11" s="1127"/>
      <c r="BA11" s="1129">
        <v>3972.2572639230807</v>
      </c>
      <c r="BB11" s="1129">
        <v>3972.2572639230807</v>
      </c>
      <c r="BC11" s="1129">
        <v>3972.2572639230807</v>
      </c>
      <c r="BD11" s="1129">
        <v>0</v>
      </c>
      <c r="BE11" s="1129">
        <v>0</v>
      </c>
      <c r="BF11" s="1129">
        <v>0</v>
      </c>
      <c r="BG11" s="1129">
        <v>0</v>
      </c>
      <c r="BH11" s="1129">
        <v>0</v>
      </c>
      <c r="BI11" s="971" t="s">
        <v>132</v>
      </c>
      <c r="BJ11" s="971"/>
      <c r="BK11" s="971"/>
    </row>
    <row r="12" spans="1:63" s="1278" customFormat="1" ht="49.5">
      <c r="A12" s="1272">
        <v>2000</v>
      </c>
      <c r="B12" s="971" t="s">
        <v>119</v>
      </c>
      <c r="C12" s="1272">
        <v>2500</v>
      </c>
      <c r="D12" s="971" t="s">
        <v>452</v>
      </c>
      <c r="E12" s="971" t="s">
        <v>453</v>
      </c>
      <c r="F12" s="971" t="s">
        <v>454</v>
      </c>
      <c r="G12" s="971">
        <v>2511</v>
      </c>
      <c r="H12" s="971" t="s">
        <v>565</v>
      </c>
      <c r="I12" s="1273" t="s">
        <v>490</v>
      </c>
      <c r="J12" s="971" t="s">
        <v>124</v>
      </c>
      <c r="K12" s="971" t="s">
        <v>140</v>
      </c>
      <c r="L12" s="971" t="s">
        <v>2909</v>
      </c>
      <c r="M12" s="971" t="s">
        <v>140</v>
      </c>
      <c r="N12" s="971" t="s">
        <v>141</v>
      </c>
      <c r="O12" s="971" t="s">
        <v>3280</v>
      </c>
      <c r="P12" s="971"/>
      <c r="Q12" s="971" t="s">
        <v>597</v>
      </c>
      <c r="R12" s="971" t="s">
        <v>596</v>
      </c>
      <c r="S12" s="1274">
        <v>200.67057416868036</v>
      </c>
      <c r="T12" s="971" t="s">
        <v>136</v>
      </c>
      <c r="U12" s="1275">
        <v>0</v>
      </c>
      <c r="V12" s="1275">
        <v>0</v>
      </c>
      <c r="W12" s="1275">
        <v>0</v>
      </c>
      <c r="X12" s="1275">
        <v>0</v>
      </c>
      <c r="Y12" s="1275">
        <v>0</v>
      </c>
      <c r="Z12" s="1129">
        <v>0</v>
      </c>
      <c r="AA12" s="1129">
        <v>0</v>
      </c>
      <c r="AB12" s="1129">
        <v>0</v>
      </c>
      <c r="AC12" s="1129">
        <v>0</v>
      </c>
      <c r="AD12" s="1267">
        <v>0</v>
      </c>
      <c r="AE12" s="1135">
        <v>0</v>
      </c>
      <c r="AF12" s="1129">
        <v>0</v>
      </c>
      <c r="AG12" s="1127">
        <v>1</v>
      </c>
      <c r="AH12" s="1127">
        <v>0</v>
      </c>
      <c r="AI12" s="1127">
        <v>0</v>
      </c>
      <c r="AJ12" s="1127">
        <v>1</v>
      </c>
      <c r="AK12" s="1129">
        <v>0</v>
      </c>
      <c r="AL12" s="1129">
        <v>0</v>
      </c>
      <c r="AM12" s="1129">
        <v>0</v>
      </c>
      <c r="AN12" s="1129">
        <v>0</v>
      </c>
      <c r="AO12" s="1129" t="s">
        <v>85</v>
      </c>
      <c r="AP12" s="1129" t="s">
        <v>6605</v>
      </c>
      <c r="AQ12" s="1157" t="s">
        <v>107</v>
      </c>
      <c r="AR12" s="1129" t="s">
        <v>87</v>
      </c>
      <c r="AS12" s="1127">
        <v>0.33333333333333331</v>
      </c>
      <c r="AT12" s="1127">
        <v>0.33333333333333331</v>
      </c>
      <c r="AU12" s="1127">
        <v>0.33333333333333331</v>
      </c>
      <c r="AV12" s="1127"/>
      <c r="AW12" s="1127"/>
      <c r="AX12" s="1127"/>
      <c r="AY12" s="1127"/>
      <c r="AZ12" s="1127"/>
      <c r="BA12" s="1129">
        <v>0</v>
      </c>
      <c r="BB12" s="1129">
        <v>0</v>
      </c>
      <c r="BC12" s="1129">
        <v>0</v>
      </c>
      <c r="BD12" s="1129">
        <v>0</v>
      </c>
      <c r="BE12" s="1129">
        <v>0</v>
      </c>
      <c r="BF12" s="1129">
        <v>0</v>
      </c>
      <c r="BG12" s="1129">
        <v>0</v>
      </c>
      <c r="BH12" s="1129">
        <v>0</v>
      </c>
      <c r="BI12" s="971"/>
      <c r="BJ12" s="971"/>
      <c r="BK12" s="971"/>
    </row>
    <row r="13" spans="1:63" s="1278" customFormat="1" ht="49.5">
      <c r="A13" s="1272">
        <v>2000</v>
      </c>
      <c r="B13" s="971" t="s">
        <v>119</v>
      </c>
      <c r="C13" s="1272">
        <v>2500</v>
      </c>
      <c r="D13" s="971" t="s">
        <v>452</v>
      </c>
      <c r="E13" s="971" t="s">
        <v>453</v>
      </c>
      <c r="F13" s="971" t="s">
        <v>454</v>
      </c>
      <c r="G13" s="971">
        <v>2511</v>
      </c>
      <c r="H13" s="971" t="s">
        <v>565</v>
      </c>
      <c r="I13" s="1273" t="s">
        <v>490</v>
      </c>
      <c r="J13" s="971" t="s">
        <v>124</v>
      </c>
      <c r="K13" s="971"/>
      <c r="L13" s="971" t="e">
        <v>#N/A</v>
      </c>
      <c r="M13" s="971" t="s">
        <v>145</v>
      </c>
      <c r="N13" s="971" t="s">
        <v>141</v>
      </c>
      <c r="O13" s="971" t="s">
        <v>146</v>
      </c>
      <c r="P13" s="971"/>
      <c r="Q13" s="971" t="s">
        <v>598</v>
      </c>
      <c r="R13" s="971" t="s">
        <v>596</v>
      </c>
      <c r="S13" s="1274">
        <v>200.67057416868036</v>
      </c>
      <c r="T13" s="971" t="s">
        <v>136</v>
      </c>
      <c r="U13" s="1275" t="s">
        <v>6588</v>
      </c>
      <c r="V13" s="1275" t="s">
        <v>6588</v>
      </c>
      <c r="W13" s="1275" t="s">
        <v>6588</v>
      </c>
      <c r="X13" s="1275" t="s">
        <v>6588</v>
      </c>
      <c r="Y13" s="1275" t="s">
        <v>6588</v>
      </c>
      <c r="Z13" s="1129">
        <v>0</v>
      </c>
      <c r="AA13" s="1129">
        <v>0</v>
      </c>
      <c r="AB13" s="1129">
        <v>0</v>
      </c>
      <c r="AC13" s="1129">
        <v>0</v>
      </c>
      <c r="AD13" s="1267">
        <v>0</v>
      </c>
      <c r="AE13" s="1135">
        <v>0</v>
      </c>
      <c r="AF13" s="1129">
        <v>0</v>
      </c>
      <c r="AG13" s="1127">
        <v>1</v>
      </c>
      <c r="AH13" s="1127">
        <v>0</v>
      </c>
      <c r="AI13" s="1127">
        <v>0</v>
      </c>
      <c r="AJ13" s="1127">
        <v>1</v>
      </c>
      <c r="AK13" s="1129">
        <v>0</v>
      </c>
      <c r="AL13" s="1129">
        <v>0</v>
      </c>
      <c r="AM13" s="1129">
        <v>0</v>
      </c>
      <c r="AN13" s="1129">
        <v>0</v>
      </c>
      <c r="AO13" s="1129" t="s">
        <v>85</v>
      </c>
      <c r="AP13" s="1129" t="s">
        <v>6605</v>
      </c>
      <c r="AQ13" s="1157" t="s">
        <v>107</v>
      </c>
      <c r="AR13" s="1129" t="s">
        <v>87</v>
      </c>
      <c r="AS13" s="1127">
        <v>0.33333333333333331</v>
      </c>
      <c r="AT13" s="1127">
        <v>0.33333333333333331</v>
      </c>
      <c r="AU13" s="1127">
        <v>0.33333333333333331</v>
      </c>
      <c r="AV13" s="1127"/>
      <c r="AW13" s="1127"/>
      <c r="AX13" s="1127"/>
      <c r="AY13" s="1127"/>
      <c r="AZ13" s="1127"/>
      <c r="BA13" s="1129">
        <v>0</v>
      </c>
      <c r="BB13" s="1129">
        <v>0</v>
      </c>
      <c r="BC13" s="1129">
        <v>0</v>
      </c>
      <c r="BD13" s="1129">
        <v>0</v>
      </c>
      <c r="BE13" s="1129">
        <v>0</v>
      </c>
      <c r="BF13" s="1129">
        <v>0</v>
      </c>
      <c r="BG13" s="1129">
        <v>0</v>
      </c>
      <c r="BH13" s="1129">
        <v>0</v>
      </c>
      <c r="BI13" s="971"/>
      <c r="BJ13" s="971"/>
      <c r="BK13" s="971"/>
    </row>
    <row r="14" spans="1:63" s="1278" customFormat="1" ht="66">
      <c r="A14" s="1272">
        <v>2000</v>
      </c>
      <c r="B14" s="971" t="s">
        <v>119</v>
      </c>
      <c r="C14" s="1272">
        <v>2500</v>
      </c>
      <c r="D14" s="971" t="s">
        <v>452</v>
      </c>
      <c r="E14" s="971" t="s">
        <v>453</v>
      </c>
      <c r="F14" s="971" t="s">
        <v>454</v>
      </c>
      <c r="G14" s="971">
        <v>2511</v>
      </c>
      <c r="H14" s="971" t="s">
        <v>565</v>
      </c>
      <c r="I14" s="1273" t="s">
        <v>495</v>
      </c>
      <c r="J14" s="971" t="s">
        <v>124</v>
      </c>
      <c r="K14" s="971" t="s">
        <v>784</v>
      </c>
      <c r="L14" s="971" t="s">
        <v>2852</v>
      </c>
      <c r="M14" s="971" t="s">
        <v>458</v>
      </c>
      <c r="N14" s="971" t="s">
        <v>127</v>
      </c>
      <c r="O14" s="971" t="s">
        <v>459</v>
      </c>
      <c r="P14" s="971"/>
      <c r="Q14" s="971" t="s">
        <v>599</v>
      </c>
      <c r="R14" s="971" t="s">
        <v>600</v>
      </c>
      <c r="S14" s="1274">
        <v>210</v>
      </c>
      <c r="T14" s="971" t="s">
        <v>136</v>
      </c>
      <c r="U14" s="1275">
        <v>0.22416666666666665</v>
      </c>
      <c r="V14" s="1275">
        <v>3.3624999999999998</v>
      </c>
      <c r="W14" s="1275">
        <v>22.397249563492064</v>
      </c>
      <c r="X14" s="1275">
        <v>33.625</v>
      </c>
      <c r="Y14" s="1275">
        <v>59.384749563492065</v>
      </c>
      <c r="Z14" s="1129">
        <v>47.074999999999996</v>
      </c>
      <c r="AA14" s="1129">
        <v>706.125</v>
      </c>
      <c r="AB14" s="1129">
        <v>4703.4224083333338</v>
      </c>
      <c r="AC14" s="1129">
        <v>7061.25</v>
      </c>
      <c r="AD14" s="1267">
        <v>12470.797408333334</v>
      </c>
      <c r="AE14" s="1135">
        <v>1</v>
      </c>
      <c r="AF14" s="1129">
        <v>210</v>
      </c>
      <c r="AG14" s="1127">
        <v>1</v>
      </c>
      <c r="AH14" s="1127">
        <v>0</v>
      </c>
      <c r="AI14" s="1127">
        <v>0</v>
      </c>
      <c r="AJ14" s="1127">
        <v>1</v>
      </c>
      <c r="AK14" s="1129">
        <v>12470.797408333334</v>
      </c>
      <c r="AL14" s="1129">
        <v>0</v>
      </c>
      <c r="AM14" s="1129">
        <v>0</v>
      </c>
      <c r="AN14" s="1129">
        <v>12470.797408333334</v>
      </c>
      <c r="AO14" s="1129" t="s">
        <v>85</v>
      </c>
      <c r="AP14" s="1129" t="s">
        <v>6605</v>
      </c>
      <c r="AQ14" s="1157" t="s">
        <v>107</v>
      </c>
      <c r="AR14" s="1129" t="s">
        <v>87</v>
      </c>
      <c r="AS14" s="1127">
        <v>0.33333333333333331</v>
      </c>
      <c r="AT14" s="1127">
        <v>0.33333333333333331</v>
      </c>
      <c r="AU14" s="1127">
        <v>0.33333333333333331</v>
      </c>
      <c r="AV14" s="1127"/>
      <c r="AW14" s="1127"/>
      <c r="AX14" s="1127"/>
      <c r="AY14" s="1127"/>
      <c r="AZ14" s="1127"/>
      <c r="BA14" s="1129">
        <v>4156.932469444444</v>
      </c>
      <c r="BB14" s="1129">
        <v>4156.932469444444</v>
      </c>
      <c r="BC14" s="1129">
        <v>4156.932469444444</v>
      </c>
      <c r="BD14" s="1129">
        <v>0</v>
      </c>
      <c r="BE14" s="1129">
        <v>0</v>
      </c>
      <c r="BF14" s="1129">
        <v>0</v>
      </c>
      <c r="BG14" s="1129">
        <v>0</v>
      </c>
      <c r="BH14" s="1129">
        <v>0</v>
      </c>
      <c r="BI14" s="971" t="s">
        <v>132</v>
      </c>
      <c r="BJ14" s="971"/>
      <c r="BK14" s="971"/>
    </row>
    <row r="15" spans="1:63" s="1278" customFormat="1" ht="49.5">
      <c r="A15" s="1272">
        <v>2000</v>
      </c>
      <c r="B15" s="971" t="s">
        <v>119</v>
      </c>
      <c r="C15" s="1272">
        <v>2500</v>
      </c>
      <c r="D15" s="971" t="s">
        <v>452</v>
      </c>
      <c r="E15" s="971" t="s">
        <v>453</v>
      </c>
      <c r="F15" s="971" t="s">
        <v>454</v>
      </c>
      <c r="G15" s="971">
        <v>2511</v>
      </c>
      <c r="H15" s="971" t="s">
        <v>565</v>
      </c>
      <c r="I15" s="1273" t="s">
        <v>495</v>
      </c>
      <c r="J15" s="971" t="s">
        <v>124</v>
      </c>
      <c r="K15" s="971" t="s">
        <v>140</v>
      </c>
      <c r="L15" s="971" t="s">
        <v>2909</v>
      </c>
      <c r="M15" s="971" t="s">
        <v>140</v>
      </c>
      <c r="N15" s="971" t="s">
        <v>141</v>
      </c>
      <c r="O15" s="971" t="s">
        <v>3280</v>
      </c>
      <c r="P15" s="971"/>
      <c r="Q15" s="971" t="s">
        <v>601</v>
      </c>
      <c r="R15" s="971" t="s">
        <v>600</v>
      </c>
      <c r="S15" s="1274">
        <v>210</v>
      </c>
      <c r="T15" s="971" t="s">
        <v>136</v>
      </c>
      <c r="U15" s="1275">
        <v>0</v>
      </c>
      <c r="V15" s="1275">
        <v>0</v>
      </c>
      <c r="W15" s="1275">
        <v>0</v>
      </c>
      <c r="X15" s="1275">
        <v>0</v>
      </c>
      <c r="Y15" s="1275">
        <v>0</v>
      </c>
      <c r="Z15" s="1129">
        <v>0</v>
      </c>
      <c r="AA15" s="1129">
        <v>0</v>
      </c>
      <c r="AB15" s="1129">
        <v>0</v>
      </c>
      <c r="AC15" s="1129">
        <v>0</v>
      </c>
      <c r="AD15" s="1267">
        <v>0</v>
      </c>
      <c r="AE15" s="1135">
        <v>0</v>
      </c>
      <c r="AF15" s="1129">
        <v>0</v>
      </c>
      <c r="AG15" s="1127">
        <v>1</v>
      </c>
      <c r="AH15" s="1127">
        <v>0</v>
      </c>
      <c r="AI15" s="1127">
        <v>0</v>
      </c>
      <c r="AJ15" s="1127">
        <v>1</v>
      </c>
      <c r="AK15" s="1129">
        <v>0</v>
      </c>
      <c r="AL15" s="1129">
        <v>0</v>
      </c>
      <c r="AM15" s="1129">
        <v>0</v>
      </c>
      <c r="AN15" s="1129">
        <v>0</v>
      </c>
      <c r="AO15" s="1129" t="s">
        <v>85</v>
      </c>
      <c r="AP15" s="1129" t="s">
        <v>6605</v>
      </c>
      <c r="AQ15" s="1157" t="s">
        <v>107</v>
      </c>
      <c r="AR15" s="1129" t="s">
        <v>87</v>
      </c>
      <c r="AS15" s="1127">
        <v>0.33333333333333331</v>
      </c>
      <c r="AT15" s="1127">
        <v>0.33333333333333331</v>
      </c>
      <c r="AU15" s="1127">
        <v>0.33333333333333331</v>
      </c>
      <c r="AV15" s="1127"/>
      <c r="AW15" s="1127"/>
      <c r="AX15" s="1127"/>
      <c r="AY15" s="1127"/>
      <c r="AZ15" s="1127"/>
      <c r="BA15" s="1129">
        <v>0</v>
      </c>
      <c r="BB15" s="1129">
        <v>0</v>
      </c>
      <c r="BC15" s="1129">
        <v>0</v>
      </c>
      <c r="BD15" s="1129">
        <v>0</v>
      </c>
      <c r="BE15" s="1129">
        <v>0</v>
      </c>
      <c r="BF15" s="1129">
        <v>0</v>
      </c>
      <c r="BG15" s="1129">
        <v>0</v>
      </c>
      <c r="BH15" s="1129">
        <v>0</v>
      </c>
      <c r="BI15" s="971"/>
      <c r="BJ15" s="971"/>
      <c r="BK15" s="971"/>
    </row>
    <row r="16" spans="1:63" s="1278" customFormat="1" ht="49.5">
      <c r="A16" s="1272">
        <v>2000</v>
      </c>
      <c r="B16" s="971" t="s">
        <v>119</v>
      </c>
      <c r="C16" s="1272">
        <v>2500</v>
      </c>
      <c r="D16" s="971" t="s">
        <v>452</v>
      </c>
      <c r="E16" s="971" t="s">
        <v>453</v>
      </c>
      <c r="F16" s="971" t="s">
        <v>454</v>
      </c>
      <c r="G16" s="971">
        <v>2511</v>
      </c>
      <c r="H16" s="971" t="s">
        <v>565</v>
      </c>
      <c r="I16" s="1273" t="s">
        <v>495</v>
      </c>
      <c r="J16" s="971" t="s">
        <v>124</v>
      </c>
      <c r="K16" s="971"/>
      <c r="L16" s="971" t="e">
        <v>#N/A</v>
      </c>
      <c r="M16" s="971" t="s">
        <v>145</v>
      </c>
      <c r="N16" s="971" t="s">
        <v>141</v>
      </c>
      <c r="O16" s="971" t="s">
        <v>146</v>
      </c>
      <c r="P16" s="971"/>
      <c r="Q16" s="971" t="s">
        <v>602</v>
      </c>
      <c r="R16" s="971" t="s">
        <v>600</v>
      </c>
      <c r="S16" s="1274">
        <v>210</v>
      </c>
      <c r="T16" s="971" t="s">
        <v>136</v>
      </c>
      <c r="U16" s="1275" t="s">
        <v>6588</v>
      </c>
      <c r="V16" s="1275" t="s">
        <v>6588</v>
      </c>
      <c r="W16" s="1275" t="s">
        <v>6588</v>
      </c>
      <c r="X16" s="1275" t="s">
        <v>6588</v>
      </c>
      <c r="Y16" s="1275" t="s">
        <v>6588</v>
      </c>
      <c r="Z16" s="1129">
        <v>0</v>
      </c>
      <c r="AA16" s="1129">
        <v>0</v>
      </c>
      <c r="AB16" s="1129">
        <v>0</v>
      </c>
      <c r="AC16" s="1129">
        <v>0</v>
      </c>
      <c r="AD16" s="1267">
        <v>0</v>
      </c>
      <c r="AE16" s="1135">
        <v>0</v>
      </c>
      <c r="AF16" s="1129">
        <v>0</v>
      </c>
      <c r="AG16" s="1127">
        <v>1</v>
      </c>
      <c r="AH16" s="1127">
        <v>0</v>
      </c>
      <c r="AI16" s="1127">
        <v>0</v>
      </c>
      <c r="AJ16" s="1127">
        <v>1</v>
      </c>
      <c r="AK16" s="1129">
        <v>0</v>
      </c>
      <c r="AL16" s="1129">
        <v>0</v>
      </c>
      <c r="AM16" s="1129">
        <v>0</v>
      </c>
      <c r="AN16" s="1129">
        <v>0</v>
      </c>
      <c r="AO16" s="1129" t="s">
        <v>85</v>
      </c>
      <c r="AP16" s="1129" t="s">
        <v>6605</v>
      </c>
      <c r="AQ16" s="1157" t="s">
        <v>107</v>
      </c>
      <c r="AR16" s="1129" t="s">
        <v>87</v>
      </c>
      <c r="AS16" s="1127">
        <v>0.33333333333333331</v>
      </c>
      <c r="AT16" s="1127">
        <v>0.33333333333333331</v>
      </c>
      <c r="AU16" s="1127">
        <v>0.33333333333333331</v>
      </c>
      <c r="AV16" s="1127"/>
      <c r="AW16" s="1127"/>
      <c r="AX16" s="1127"/>
      <c r="AY16" s="1127"/>
      <c r="AZ16" s="1127"/>
      <c r="BA16" s="1129">
        <v>0</v>
      </c>
      <c r="BB16" s="1129">
        <v>0</v>
      </c>
      <c r="BC16" s="1129">
        <v>0</v>
      </c>
      <c r="BD16" s="1129">
        <v>0</v>
      </c>
      <c r="BE16" s="1129">
        <v>0</v>
      </c>
      <c r="BF16" s="1129">
        <v>0</v>
      </c>
      <c r="BG16" s="1129">
        <v>0</v>
      </c>
      <c r="BH16" s="1129">
        <v>0</v>
      </c>
      <c r="BI16" s="971"/>
      <c r="BJ16" s="971"/>
      <c r="BK16" s="971"/>
    </row>
    <row r="17" spans="1:63" s="1278" customFormat="1" ht="66">
      <c r="A17" s="1272">
        <v>2000</v>
      </c>
      <c r="B17" s="971" t="s">
        <v>119</v>
      </c>
      <c r="C17" s="1272">
        <v>2500</v>
      </c>
      <c r="D17" s="971" t="s">
        <v>452</v>
      </c>
      <c r="E17" s="971" t="s">
        <v>453</v>
      </c>
      <c r="F17" s="971" t="s">
        <v>454</v>
      </c>
      <c r="G17" s="971">
        <v>2512</v>
      </c>
      <c r="H17" s="971" t="s">
        <v>456</v>
      </c>
      <c r="I17" s="1273" t="s">
        <v>490</v>
      </c>
      <c r="J17" s="971" t="s">
        <v>124</v>
      </c>
      <c r="K17" s="971" t="s">
        <v>784</v>
      </c>
      <c r="L17" s="971" t="s">
        <v>2852</v>
      </c>
      <c r="M17" s="971" t="s">
        <v>458</v>
      </c>
      <c r="N17" s="971" t="s">
        <v>127</v>
      </c>
      <c r="O17" s="971" t="s">
        <v>459</v>
      </c>
      <c r="P17" s="971"/>
      <c r="Q17" s="971" t="s">
        <v>491</v>
      </c>
      <c r="R17" s="971" t="s">
        <v>492</v>
      </c>
      <c r="S17" s="1274">
        <v>611.58073599649208</v>
      </c>
      <c r="T17" s="971" t="s">
        <v>136</v>
      </c>
      <c r="U17" s="1275">
        <v>0.22416666666666665</v>
      </c>
      <c r="V17" s="1275">
        <v>3.3624999999999998</v>
      </c>
      <c r="W17" s="1275">
        <v>22.397249563492064</v>
      </c>
      <c r="X17" s="1275">
        <v>33.625</v>
      </c>
      <c r="Y17" s="1275">
        <v>59.384749563492065</v>
      </c>
      <c r="Z17" s="1129">
        <v>137.09601498588029</v>
      </c>
      <c r="AA17" s="1129">
        <v>2056.4402247882044</v>
      </c>
      <c r="AB17" s="1129">
        <v>13697.726372337587</v>
      </c>
      <c r="AC17" s="1129">
        <v>20564.402247882048</v>
      </c>
      <c r="AD17" s="1267">
        <v>36318.568845007838</v>
      </c>
      <c r="AE17" s="1135">
        <v>1</v>
      </c>
      <c r="AF17" s="1129">
        <v>611.58073599649208</v>
      </c>
      <c r="AG17" s="1127">
        <v>1</v>
      </c>
      <c r="AH17" s="1127">
        <v>0</v>
      </c>
      <c r="AI17" s="1127">
        <v>0</v>
      </c>
      <c r="AJ17" s="1127">
        <v>1</v>
      </c>
      <c r="AK17" s="1129">
        <v>36318.568845007838</v>
      </c>
      <c r="AL17" s="1129">
        <v>0</v>
      </c>
      <c r="AM17" s="1129">
        <v>0</v>
      </c>
      <c r="AN17" s="1129">
        <v>36318.568845007838</v>
      </c>
      <c r="AO17" s="1129" t="s">
        <v>85</v>
      </c>
      <c r="AP17" s="1129" t="s">
        <v>6605</v>
      </c>
      <c r="AQ17" s="1157" t="s">
        <v>107</v>
      </c>
      <c r="AR17" s="1129" t="s">
        <v>87</v>
      </c>
      <c r="AS17" s="1127">
        <v>0.33333333333333331</v>
      </c>
      <c r="AT17" s="1127">
        <v>0.33333333333333331</v>
      </c>
      <c r="AU17" s="1127">
        <v>0.33333333333333331</v>
      </c>
      <c r="AV17" s="1127"/>
      <c r="AW17" s="1127"/>
      <c r="AX17" s="1127"/>
      <c r="AY17" s="1127"/>
      <c r="AZ17" s="1127"/>
      <c r="BA17" s="1129">
        <v>12106.189615002611</v>
      </c>
      <c r="BB17" s="1129">
        <v>12106.189615002611</v>
      </c>
      <c r="BC17" s="1129">
        <v>12106.189615002611</v>
      </c>
      <c r="BD17" s="1129">
        <v>0</v>
      </c>
      <c r="BE17" s="1129">
        <v>0</v>
      </c>
      <c r="BF17" s="1129">
        <v>0</v>
      </c>
      <c r="BG17" s="1129">
        <v>0</v>
      </c>
      <c r="BH17" s="1129">
        <v>0</v>
      </c>
      <c r="BI17" s="971" t="s">
        <v>132</v>
      </c>
      <c r="BJ17" s="971"/>
      <c r="BK17" s="971"/>
    </row>
    <row r="18" spans="1:63" s="1278" customFormat="1" ht="49.5">
      <c r="A18" s="1272">
        <v>2000</v>
      </c>
      <c r="B18" s="971" t="s">
        <v>119</v>
      </c>
      <c r="C18" s="1272">
        <v>2500</v>
      </c>
      <c r="D18" s="971" t="s">
        <v>452</v>
      </c>
      <c r="E18" s="971" t="s">
        <v>453</v>
      </c>
      <c r="F18" s="971" t="s">
        <v>454</v>
      </c>
      <c r="G18" s="971">
        <v>2512</v>
      </c>
      <c r="H18" s="971" t="s">
        <v>456</v>
      </c>
      <c r="I18" s="1273" t="s">
        <v>490</v>
      </c>
      <c r="J18" s="971" t="s">
        <v>124</v>
      </c>
      <c r="K18" s="971" t="s">
        <v>140</v>
      </c>
      <c r="L18" s="971" t="s">
        <v>2909</v>
      </c>
      <c r="M18" s="971" t="s">
        <v>140</v>
      </c>
      <c r="N18" s="971" t="s">
        <v>141</v>
      </c>
      <c r="O18" s="971" t="s">
        <v>3280</v>
      </c>
      <c r="P18" s="971"/>
      <c r="Q18" s="971" t="s">
        <v>493</v>
      </c>
      <c r="R18" s="971" t="s">
        <v>492</v>
      </c>
      <c r="S18" s="1274">
        <v>611.58073599649208</v>
      </c>
      <c r="T18" s="971" t="s">
        <v>136</v>
      </c>
      <c r="U18" s="1275">
        <v>0</v>
      </c>
      <c r="V18" s="1275">
        <v>0</v>
      </c>
      <c r="W18" s="1275">
        <v>0</v>
      </c>
      <c r="X18" s="1275">
        <v>0</v>
      </c>
      <c r="Y18" s="1275">
        <v>0</v>
      </c>
      <c r="Z18" s="1129">
        <v>0</v>
      </c>
      <c r="AA18" s="1129">
        <v>0</v>
      </c>
      <c r="AB18" s="1129">
        <v>0</v>
      </c>
      <c r="AC18" s="1129">
        <v>0</v>
      </c>
      <c r="AD18" s="1267">
        <v>0</v>
      </c>
      <c r="AE18" s="1135">
        <v>0</v>
      </c>
      <c r="AF18" s="1129">
        <v>0</v>
      </c>
      <c r="AG18" s="1127">
        <v>1</v>
      </c>
      <c r="AH18" s="1127">
        <v>0</v>
      </c>
      <c r="AI18" s="1127">
        <v>0</v>
      </c>
      <c r="AJ18" s="1127">
        <v>1</v>
      </c>
      <c r="AK18" s="1129">
        <v>0</v>
      </c>
      <c r="AL18" s="1129">
        <v>0</v>
      </c>
      <c r="AM18" s="1129">
        <v>0</v>
      </c>
      <c r="AN18" s="1129">
        <v>0</v>
      </c>
      <c r="AO18" s="1129" t="s">
        <v>85</v>
      </c>
      <c r="AP18" s="1129" t="s">
        <v>6605</v>
      </c>
      <c r="AQ18" s="1157" t="s">
        <v>107</v>
      </c>
      <c r="AR18" s="1129" t="s">
        <v>87</v>
      </c>
      <c r="AS18" s="1127">
        <v>0.33333333333333331</v>
      </c>
      <c r="AT18" s="1127">
        <v>0.33333333333333331</v>
      </c>
      <c r="AU18" s="1127">
        <v>0.33333333333333331</v>
      </c>
      <c r="AV18" s="1127"/>
      <c r="AW18" s="1127"/>
      <c r="AX18" s="1127"/>
      <c r="AY18" s="1127"/>
      <c r="AZ18" s="1127"/>
      <c r="BA18" s="1129">
        <v>0</v>
      </c>
      <c r="BB18" s="1129">
        <v>0</v>
      </c>
      <c r="BC18" s="1129">
        <v>0</v>
      </c>
      <c r="BD18" s="1129">
        <v>0</v>
      </c>
      <c r="BE18" s="1129">
        <v>0</v>
      </c>
      <c r="BF18" s="1129">
        <v>0</v>
      </c>
      <c r="BG18" s="1129">
        <v>0</v>
      </c>
      <c r="BH18" s="1129">
        <v>0</v>
      </c>
      <c r="BI18" s="971"/>
      <c r="BJ18" s="971"/>
      <c r="BK18" s="971"/>
    </row>
    <row r="19" spans="1:63" s="1278" customFormat="1" ht="49.5">
      <c r="A19" s="1272">
        <v>2000</v>
      </c>
      <c r="B19" s="971" t="s">
        <v>119</v>
      </c>
      <c r="C19" s="1272">
        <v>2500</v>
      </c>
      <c r="D19" s="971" t="s">
        <v>452</v>
      </c>
      <c r="E19" s="971" t="s">
        <v>453</v>
      </c>
      <c r="F19" s="971" t="s">
        <v>454</v>
      </c>
      <c r="G19" s="971">
        <v>2512</v>
      </c>
      <c r="H19" s="971" t="s">
        <v>456</v>
      </c>
      <c r="I19" s="1273" t="s">
        <v>490</v>
      </c>
      <c r="J19" s="971" t="s">
        <v>124</v>
      </c>
      <c r="K19" s="971"/>
      <c r="L19" s="971" t="e">
        <v>#N/A</v>
      </c>
      <c r="M19" s="971" t="s">
        <v>145</v>
      </c>
      <c r="N19" s="971" t="s">
        <v>141</v>
      </c>
      <c r="O19" s="971" t="s">
        <v>146</v>
      </c>
      <c r="P19" s="971"/>
      <c r="Q19" s="971" t="s">
        <v>494</v>
      </c>
      <c r="R19" s="971" t="s">
        <v>492</v>
      </c>
      <c r="S19" s="1274">
        <v>611.58073599649208</v>
      </c>
      <c r="T19" s="971" t="s">
        <v>136</v>
      </c>
      <c r="U19" s="1275" t="s">
        <v>6588</v>
      </c>
      <c r="V19" s="1275" t="s">
        <v>6588</v>
      </c>
      <c r="W19" s="1275" t="s">
        <v>6588</v>
      </c>
      <c r="X19" s="1275" t="s">
        <v>6588</v>
      </c>
      <c r="Y19" s="1275" t="s">
        <v>6588</v>
      </c>
      <c r="Z19" s="1129">
        <v>0</v>
      </c>
      <c r="AA19" s="1129">
        <v>0</v>
      </c>
      <c r="AB19" s="1129">
        <v>0</v>
      </c>
      <c r="AC19" s="1129">
        <v>0</v>
      </c>
      <c r="AD19" s="1267">
        <v>0</v>
      </c>
      <c r="AE19" s="1135">
        <v>0</v>
      </c>
      <c r="AF19" s="1129">
        <v>0</v>
      </c>
      <c r="AG19" s="1127">
        <v>1</v>
      </c>
      <c r="AH19" s="1127">
        <v>0</v>
      </c>
      <c r="AI19" s="1127">
        <v>0</v>
      </c>
      <c r="AJ19" s="1127">
        <v>1</v>
      </c>
      <c r="AK19" s="1129">
        <v>0</v>
      </c>
      <c r="AL19" s="1129">
        <v>0</v>
      </c>
      <c r="AM19" s="1129">
        <v>0</v>
      </c>
      <c r="AN19" s="1129">
        <v>0</v>
      </c>
      <c r="AO19" s="1129" t="s">
        <v>85</v>
      </c>
      <c r="AP19" s="1129" t="s">
        <v>6605</v>
      </c>
      <c r="AQ19" s="1157" t="s">
        <v>107</v>
      </c>
      <c r="AR19" s="1129" t="s">
        <v>87</v>
      </c>
      <c r="AS19" s="1127">
        <v>0.33333333333333331</v>
      </c>
      <c r="AT19" s="1127">
        <v>0.33333333333333331</v>
      </c>
      <c r="AU19" s="1127">
        <v>0.33333333333333331</v>
      </c>
      <c r="AV19" s="1127"/>
      <c r="AW19" s="1127"/>
      <c r="AX19" s="1127"/>
      <c r="AY19" s="1127"/>
      <c r="AZ19" s="1127"/>
      <c r="BA19" s="1129">
        <v>0</v>
      </c>
      <c r="BB19" s="1129">
        <v>0</v>
      </c>
      <c r="BC19" s="1129">
        <v>0</v>
      </c>
      <c r="BD19" s="1129">
        <v>0</v>
      </c>
      <c r="BE19" s="1129">
        <v>0</v>
      </c>
      <c r="BF19" s="1129">
        <v>0</v>
      </c>
      <c r="BG19" s="1129">
        <v>0</v>
      </c>
      <c r="BH19" s="1129">
        <v>0</v>
      </c>
      <c r="BI19" s="971"/>
      <c r="BJ19" s="971"/>
      <c r="BK19" s="971"/>
    </row>
    <row r="20" spans="1:63" s="1278" customFormat="1" ht="66">
      <c r="A20" s="1272">
        <v>2000</v>
      </c>
      <c r="B20" s="971" t="s">
        <v>119</v>
      </c>
      <c r="C20" s="1272">
        <v>2500</v>
      </c>
      <c r="D20" s="971" t="s">
        <v>452</v>
      </c>
      <c r="E20" s="971" t="s">
        <v>453</v>
      </c>
      <c r="F20" s="971" t="s">
        <v>454</v>
      </c>
      <c r="G20" s="971">
        <v>2512</v>
      </c>
      <c r="H20" s="971" t="s">
        <v>456</v>
      </c>
      <c r="I20" s="1273" t="s">
        <v>495</v>
      </c>
      <c r="J20" s="971" t="s">
        <v>124</v>
      </c>
      <c r="K20" s="971" t="s">
        <v>784</v>
      </c>
      <c r="L20" s="971" t="s">
        <v>2852</v>
      </c>
      <c r="M20" s="971" t="s">
        <v>458</v>
      </c>
      <c r="N20" s="971" t="s">
        <v>127</v>
      </c>
      <c r="O20" s="971" t="s">
        <v>459</v>
      </c>
      <c r="P20" s="971"/>
      <c r="Q20" s="971" t="s">
        <v>496</v>
      </c>
      <c r="R20" s="971" t="s">
        <v>497</v>
      </c>
      <c r="S20" s="1274">
        <v>611.58073599649208</v>
      </c>
      <c r="T20" s="971" t="s">
        <v>136</v>
      </c>
      <c r="U20" s="1275">
        <v>0.22416666666666665</v>
      </c>
      <c r="V20" s="1275">
        <v>3.3624999999999998</v>
      </c>
      <c r="W20" s="1275">
        <v>22.397249563492064</v>
      </c>
      <c r="X20" s="1275">
        <v>33.625</v>
      </c>
      <c r="Y20" s="1275">
        <v>59.384749563492065</v>
      </c>
      <c r="Z20" s="1129">
        <v>137.09601498588029</v>
      </c>
      <c r="AA20" s="1129">
        <v>2056.4402247882044</v>
      </c>
      <c r="AB20" s="1129">
        <v>13697.726372337587</v>
      </c>
      <c r="AC20" s="1129">
        <v>20564.402247882048</v>
      </c>
      <c r="AD20" s="1267">
        <v>36318.568845007838</v>
      </c>
      <c r="AE20" s="1135">
        <v>1</v>
      </c>
      <c r="AF20" s="1129">
        <v>611.58073599649208</v>
      </c>
      <c r="AG20" s="1127">
        <v>1</v>
      </c>
      <c r="AH20" s="1127">
        <v>0</v>
      </c>
      <c r="AI20" s="1127">
        <v>0</v>
      </c>
      <c r="AJ20" s="1127">
        <v>1</v>
      </c>
      <c r="AK20" s="1129">
        <v>36318.568845007838</v>
      </c>
      <c r="AL20" s="1129">
        <v>0</v>
      </c>
      <c r="AM20" s="1129">
        <v>0</v>
      </c>
      <c r="AN20" s="1129">
        <v>36318.568845007838</v>
      </c>
      <c r="AO20" s="1129" t="s">
        <v>85</v>
      </c>
      <c r="AP20" s="1129" t="s">
        <v>6605</v>
      </c>
      <c r="AQ20" s="1157" t="s">
        <v>107</v>
      </c>
      <c r="AR20" s="1129" t="s">
        <v>87</v>
      </c>
      <c r="AS20" s="1127">
        <v>0.33333333333333331</v>
      </c>
      <c r="AT20" s="1127">
        <v>0.33333333333333331</v>
      </c>
      <c r="AU20" s="1127">
        <v>0.33333333333333331</v>
      </c>
      <c r="AV20" s="1127"/>
      <c r="AW20" s="1127"/>
      <c r="AX20" s="1127"/>
      <c r="AY20" s="1127"/>
      <c r="AZ20" s="1127"/>
      <c r="BA20" s="1129">
        <v>12106.189615002611</v>
      </c>
      <c r="BB20" s="1129">
        <v>12106.189615002611</v>
      </c>
      <c r="BC20" s="1129">
        <v>12106.189615002611</v>
      </c>
      <c r="BD20" s="1129">
        <v>0</v>
      </c>
      <c r="BE20" s="1129">
        <v>0</v>
      </c>
      <c r="BF20" s="1129">
        <v>0</v>
      </c>
      <c r="BG20" s="1129">
        <v>0</v>
      </c>
      <c r="BH20" s="1129">
        <v>0</v>
      </c>
      <c r="BI20" s="971" t="s">
        <v>132</v>
      </c>
      <c r="BJ20" s="971"/>
      <c r="BK20" s="971"/>
    </row>
    <row r="21" spans="1:63" s="1278" customFormat="1" ht="49.5">
      <c r="A21" s="1272">
        <v>2000</v>
      </c>
      <c r="B21" s="971" t="s">
        <v>119</v>
      </c>
      <c r="C21" s="1272">
        <v>2500</v>
      </c>
      <c r="D21" s="971" t="s">
        <v>452</v>
      </c>
      <c r="E21" s="971" t="s">
        <v>453</v>
      </c>
      <c r="F21" s="971" t="s">
        <v>454</v>
      </c>
      <c r="G21" s="971">
        <v>2512</v>
      </c>
      <c r="H21" s="971" t="s">
        <v>456</v>
      </c>
      <c r="I21" s="1273" t="s">
        <v>495</v>
      </c>
      <c r="J21" s="971" t="s">
        <v>124</v>
      </c>
      <c r="K21" s="971" t="s">
        <v>140</v>
      </c>
      <c r="L21" s="971" t="s">
        <v>2909</v>
      </c>
      <c r="M21" s="971" t="s">
        <v>140</v>
      </c>
      <c r="N21" s="971" t="s">
        <v>141</v>
      </c>
      <c r="O21" s="971" t="s">
        <v>3280</v>
      </c>
      <c r="P21" s="971"/>
      <c r="Q21" s="971" t="s">
        <v>498</v>
      </c>
      <c r="R21" s="971" t="s">
        <v>497</v>
      </c>
      <c r="S21" s="1274">
        <v>611.58073599649208</v>
      </c>
      <c r="T21" s="971" t="s">
        <v>136</v>
      </c>
      <c r="U21" s="1275">
        <v>0</v>
      </c>
      <c r="V21" s="1275">
        <v>0</v>
      </c>
      <c r="W21" s="1275">
        <v>0</v>
      </c>
      <c r="X21" s="1275">
        <v>0</v>
      </c>
      <c r="Y21" s="1275">
        <v>0</v>
      </c>
      <c r="Z21" s="1129">
        <v>0</v>
      </c>
      <c r="AA21" s="1129">
        <v>0</v>
      </c>
      <c r="AB21" s="1129">
        <v>0</v>
      </c>
      <c r="AC21" s="1129">
        <v>0</v>
      </c>
      <c r="AD21" s="1267">
        <v>0</v>
      </c>
      <c r="AE21" s="1135">
        <v>0</v>
      </c>
      <c r="AF21" s="1129">
        <v>0</v>
      </c>
      <c r="AG21" s="1127">
        <v>1</v>
      </c>
      <c r="AH21" s="1127">
        <v>0</v>
      </c>
      <c r="AI21" s="1127">
        <v>0</v>
      </c>
      <c r="AJ21" s="1127">
        <v>1</v>
      </c>
      <c r="AK21" s="1129">
        <v>0</v>
      </c>
      <c r="AL21" s="1129">
        <v>0</v>
      </c>
      <c r="AM21" s="1129">
        <v>0</v>
      </c>
      <c r="AN21" s="1129">
        <v>0</v>
      </c>
      <c r="AO21" s="1129" t="s">
        <v>85</v>
      </c>
      <c r="AP21" s="1129" t="s">
        <v>6605</v>
      </c>
      <c r="AQ21" s="1157" t="s">
        <v>107</v>
      </c>
      <c r="AR21" s="1129" t="s">
        <v>87</v>
      </c>
      <c r="AS21" s="1127">
        <v>0.33333333333333331</v>
      </c>
      <c r="AT21" s="1127">
        <v>0.33333333333333331</v>
      </c>
      <c r="AU21" s="1127">
        <v>0.33333333333333331</v>
      </c>
      <c r="AV21" s="1127"/>
      <c r="AW21" s="1127"/>
      <c r="AX21" s="1127"/>
      <c r="AY21" s="1127"/>
      <c r="AZ21" s="1127"/>
      <c r="BA21" s="1129">
        <v>0</v>
      </c>
      <c r="BB21" s="1129">
        <v>0</v>
      </c>
      <c r="BC21" s="1129">
        <v>0</v>
      </c>
      <c r="BD21" s="1129">
        <v>0</v>
      </c>
      <c r="BE21" s="1129">
        <v>0</v>
      </c>
      <c r="BF21" s="1129">
        <v>0</v>
      </c>
      <c r="BG21" s="1129">
        <v>0</v>
      </c>
      <c r="BH21" s="1129">
        <v>0</v>
      </c>
      <c r="BI21" s="971"/>
      <c r="BJ21" s="971"/>
      <c r="BK21" s="971"/>
    </row>
    <row r="22" spans="1:63" s="1278" customFormat="1" ht="49.5">
      <c r="A22" s="1272">
        <v>2000</v>
      </c>
      <c r="B22" s="971" t="s">
        <v>119</v>
      </c>
      <c r="C22" s="1272">
        <v>2500</v>
      </c>
      <c r="D22" s="971" t="s">
        <v>452</v>
      </c>
      <c r="E22" s="971" t="s">
        <v>453</v>
      </c>
      <c r="F22" s="971" t="s">
        <v>454</v>
      </c>
      <c r="G22" s="971">
        <v>2512</v>
      </c>
      <c r="H22" s="971" t="s">
        <v>456</v>
      </c>
      <c r="I22" s="1273" t="s">
        <v>495</v>
      </c>
      <c r="J22" s="971" t="s">
        <v>124</v>
      </c>
      <c r="K22" s="971"/>
      <c r="L22" s="971" t="e">
        <v>#N/A</v>
      </c>
      <c r="M22" s="971" t="s">
        <v>145</v>
      </c>
      <c r="N22" s="971" t="s">
        <v>141</v>
      </c>
      <c r="O22" s="971" t="s">
        <v>146</v>
      </c>
      <c r="P22" s="971"/>
      <c r="Q22" s="971" t="s">
        <v>499</v>
      </c>
      <c r="R22" s="971" t="s">
        <v>497</v>
      </c>
      <c r="S22" s="1274">
        <v>611.58073599649208</v>
      </c>
      <c r="T22" s="971" t="s">
        <v>136</v>
      </c>
      <c r="U22" s="1275" t="s">
        <v>6588</v>
      </c>
      <c r="V22" s="1275" t="s">
        <v>6588</v>
      </c>
      <c r="W22" s="1275" t="s">
        <v>6588</v>
      </c>
      <c r="X22" s="1275" t="s">
        <v>6588</v>
      </c>
      <c r="Y22" s="1275" t="s">
        <v>6588</v>
      </c>
      <c r="Z22" s="1129">
        <v>0</v>
      </c>
      <c r="AA22" s="1129">
        <v>0</v>
      </c>
      <c r="AB22" s="1129">
        <v>0</v>
      </c>
      <c r="AC22" s="1129">
        <v>0</v>
      </c>
      <c r="AD22" s="1267">
        <v>0</v>
      </c>
      <c r="AE22" s="1135">
        <v>0</v>
      </c>
      <c r="AF22" s="1129">
        <v>0</v>
      </c>
      <c r="AG22" s="1127">
        <v>1</v>
      </c>
      <c r="AH22" s="1127">
        <v>0</v>
      </c>
      <c r="AI22" s="1127">
        <v>0</v>
      </c>
      <c r="AJ22" s="1127">
        <v>1</v>
      </c>
      <c r="AK22" s="1129">
        <v>0</v>
      </c>
      <c r="AL22" s="1129">
        <v>0</v>
      </c>
      <c r="AM22" s="1129">
        <v>0</v>
      </c>
      <c r="AN22" s="1129">
        <v>0</v>
      </c>
      <c r="AO22" s="1129" t="s">
        <v>85</v>
      </c>
      <c r="AP22" s="1129" t="s">
        <v>6605</v>
      </c>
      <c r="AQ22" s="1157" t="s">
        <v>107</v>
      </c>
      <c r="AR22" s="1129" t="s">
        <v>87</v>
      </c>
      <c r="AS22" s="1127">
        <v>0.33333333333333331</v>
      </c>
      <c r="AT22" s="1127">
        <v>0.33333333333333331</v>
      </c>
      <c r="AU22" s="1127">
        <v>0.33333333333333331</v>
      </c>
      <c r="AV22" s="1127"/>
      <c r="AW22" s="1127"/>
      <c r="AX22" s="1127"/>
      <c r="AY22" s="1127"/>
      <c r="AZ22" s="1127"/>
      <c r="BA22" s="1129">
        <v>0</v>
      </c>
      <c r="BB22" s="1129">
        <v>0</v>
      </c>
      <c r="BC22" s="1129">
        <v>0</v>
      </c>
      <c r="BD22" s="1129">
        <v>0</v>
      </c>
      <c r="BE22" s="1129">
        <v>0</v>
      </c>
      <c r="BF22" s="1129">
        <v>0</v>
      </c>
      <c r="BG22" s="1129">
        <v>0</v>
      </c>
      <c r="BH22" s="1129">
        <v>0</v>
      </c>
      <c r="BI22" s="971"/>
      <c r="BJ22" s="971"/>
      <c r="BK22" s="971"/>
    </row>
    <row r="23" spans="1:63" s="1278" customFormat="1" ht="66">
      <c r="A23" s="1272">
        <v>2000</v>
      </c>
      <c r="B23" s="971" t="s">
        <v>119</v>
      </c>
      <c r="C23" s="1272">
        <v>2500</v>
      </c>
      <c r="D23" s="971" t="s">
        <v>452</v>
      </c>
      <c r="E23" s="971" t="s">
        <v>453</v>
      </c>
      <c r="F23" s="971" t="s">
        <v>454</v>
      </c>
      <c r="G23" s="971">
        <v>2512</v>
      </c>
      <c r="H23" s="971" t="s">
        <v>456</v>
      </c>
      <c r="I23" s="1273" t="s">
        <v>500</v>
      </c>
      <c r="J23" s="971" t="s">
        <v>124</v>
      </c>
      <c r="K23" s="971" t="s">
        <v>784</v>
      </c>
      <c r="L23" s="971" t="s">
        <v>2852</v>
      </c>
      <c r="M23" s="971" t="s">
        <v>458</v>
      </c>
      <c r="N23" s="971" t="s">
        <v>127</v>
      </c>
      <c r="O23" s="971" t="s">
        <v>459</v>
      </c>
      <c r="P23" s="971"/>
      <c r="Q23" s="971" t="s">
        <v>501</v>
      </c>
      <c r="R23" s="971" t="s">
        <v>502</v>
      </c>
      <c r="S23" s="1274">
        <v>611.58073599649208</v>
      </c>
      <c r="T23" s="971" t="s">
        <v>136</v>
      </c>
      <c r="U23" s="1275">
        <v>0.22416666666666665</v>
      </c>
      <c r="V23" s="1275">
        <v>3.3624999999999998</v>
      </c>
      <c r="W23" s="1275">
        <v>22.397249563492064</v>
      </c>
      <c r="X23" s="1275">
        <v>33.625</v>
      </c>
      <c r="Y23" s="1275">
        <v>59.384749563492065</v>
      </c>
      <c r="Z23" s="1129">
        <v>137.09601498588029</v>
      </c>
      <c r="AA23" s="1129">
        <v>2056.4402247882044</v>
      </c>
      <c r="AB23" s="1129">
        <v>13697.726372337587</v>
      </c>
      <c r="AC23" s="1129">
        <v>20564.402247882048</v>
      </c>
      <c r="AD23" s="1267">
        <v>36318.568845007838</v>
      </c>
      <c r="AE23" s="1135">
        <v>1</v>
      </c>
      <c r="AF23" s="1129">
        <v>611.58073599649208</v>
      </c>
      <c r="AG23" s="1127">
        <v>1</v>
      </c>
      <c r="AH23" s="1127">
        <v>0</v>
      </c>
      <c r="AI23" s="1127">
        <v>0</v>
      </c>
      <c r="AJ23" s="1127">
        <v>1</v>
      </c>
      <c r="AK23" s="1129">
        <v>36318.568845007838</v>
      </c>
      <c r="AL23" s="1129">
        <v>0</v>
      </c>
      <c r="AM23" s="1129">
        <v>0</v>
      </c>
      <c r="AN23" s="1129">
        <v>36318.568845007838</v>
      </c>
      <c r="AO23" s="1129" t="s">
        <v>85</v>
      </c>
      <c r="AP23" s="1129" t="s">
        <v>6605</v>
      </c>
      <c r="AQ23" s="1157" t="s">
        <v>107</v>
      </c>
      <c r="AR23" s="1129" t="s">
        <v>87</v>
      </c>
      <c r="AS23" s="1127">
        <v>0.33333333333333331</v>
      </c>
      <c r="AT23" s="1127">
        <v>0.33333333333333331</v>
      </c>
      <c r="AU23" s="1127">
        <v>0.33333333333333331</v>
      </c>
      <c r="AV23" s="1127"/>
      <c r="AW23" s="1127"/>
      <c r="AX23" s="1127"/>
      <c r="AY23" s="1127"/>
      <c r="AZ23" s="1127"/>
      <c r="BA23" s="1129">
        <v>12106.189615002611</v>
      </c>
      <c r="BB23" s="1129">
        <v>12106.189615002611</v>
      </c>
      <c r="BC23" s="1129">
        <v>12106.189615002611</v>
      </c>
      <c r="BD23" s="1129">
        <v>0</v>
      </c>
      <c r="BE23" s="1129">
        <v>0</v>
      </c>
      <c r="BF23" s="1129">
        <v>0</v>
      </c>
      <c r="BG23" s="1129">
        <v>0</v>
      </c>
      <c r="BH23" s="1129">
        <v>0</v>
      </c>
      <c r="BI23" s="971" t="s">
        <v>132</v>
      </c>
      <c r="BJ23" s="971"/>
      <c r="BK23" s="971"/>
    </row>
    <row r="24" spans="1:63" s="1278" customFormat="1" ht="49.5">
      <c r="A24" s="1272">
        <v>2000</v>
      </c>
      <c r="B24" s="971" t="s">
        <v>119</v>
      </c>
      <c r="C24" s="1272">
        <v>2500</v>
      </c>
      <c r="D24" s="971" t="s">
        <v>452</v>
      </c>
      <c r="E24" s="971" t="s">
        <v>453</v>
      </c>
      <c r="F24" s="971" t="s">
        <v>454</v>
      </c>
      <c r="G24" s="971">
        <v>2512</v>
      </c>
      <c r="H24" s="971" t="s">
        <v>456</v>
      </c>
      <c r="I24" s="1273" t="s">
        <v>500</v>
      </c>
      <c r="J24" s="971" t="s">
        <v>124</v>
      </c>
      <c r="K24" s="971" t="s">
        <v>140</v>
      </c>
      <c r="L24" s="971" t="s">
        <v>2909</v>
      </c>
      <c r="M24" s="971" t="s">
        <v>140</v>
      </c>
      <c r="N24" s="971" t="s">
        <v>141</v>
      </c>
      <c r="O24" s="971" t="s">
        <v>3280</v>
      </c>
      <c r="P24" s="971"/>
      <c r="Q24" s="971" t="s">
        <v>501</v>
      </c>
      <c r="R24" s="971" t="s">
        <v>502</v>
      </c>
      <c r="S24" s="1274">
        <v>611.58073599649208</v>
      </c>
      <c r="T24" s="971" t="s">
        <v>136</v>
      </c>
      <c r="U24" s="1275">
        <v>0</v>
      </c>
      <c r="V24" s="1275">
        <v>0</v>
      </c>
      <c r="W24" s="1275">
        <v>0</v>
      </c>
      <c r="X24" s="1275">
        <v>0</v>
      </c>
      <c r="Y24" s="1275">
        <v>0</v>
      </c>
      <c r="Z24" s="1129">
        <v>0</v>
      </c>
      <c r="AA24" s="1129">
        <v>0</v>
      </c>
      <c r="AB24" s="1129">
        <v>0</v>
      </c>
      <c r="AC24" s="1129">
        <v>0</v>
      </c>
      <c r="AD24" s="1267">
        <v>0</v>
      </c>
      <c r="AE24" s="1135">
        <v>0</v>
      </c>
      <c r="AF24" s="1129">
        <v>0</v>
      </c>
      <c r="AG24" s="1127">
        <v>1</v>
      </c>
      <c r="AH24" s="1127">
        <v>0</v>
      </c>
      <c r="AI24" s="1127">
        <v>0</v>
      </c>
      <c r="AJ24" s="1127">
        <v>1</v>
      </c>
      <c r="AK24" s="1129">
        <v>0</v>
      </c>
      <c r="AL24" s="1129">
        <v>0</v>
      </c>
      <c r="AM24" s="1129">
        <v>0</v>
      </c>
      <c r="AN24" s="1129">
        <v>0</v>
      </c>
      <c r="AO24" s="1129" t="s">
        <v>85</v>
      </c>
      <c r="AP24" s="1129" t="s">
        <v>6605</v>
      </c>
      <c r="AQ24" s="1157" t="s">
        <v>107</v>
      </c>
      <c r="AR24" s="1129" t="s">
        <v>87</v>
      </c>
      <c r="AS24" s="1127">
        <v>0.33333333333333331</v>
      </c>
      <c r="AT24" s="1127">
        <v>0.33333333333333331</v>
      </c>
      <c r="AU24" s="1127">
        <v>0.33333333333333331</v>
      </c>
      <c r="AV24" s="1127"/>
      <c r="AW24" s="1127"/>
      <c r="AX24" s="1127"/>
      <c r="AY24" s="1127"/>
      <c r="AZ24" s="1127"/>
      <c r="BA24" s="1129">
        <v>0</v>
      </c>
      <c r="BB24" s="1129">
        <v>0</v>
      </c>
      <c r="BC24" s="1129">
        <v>0</v>
      </c>
      <c r="BD24" s="1129">
        <v>0</v>
      </c>
      <c r="BE24" s="1129">
        <v>0</v>
      </c>
      <c r="BF24" s="1129">
        <v>0</v>
      </c>
      <c r="BG24" s="1129">
        <v>0</v>
      </c>
      <c r="BH24" s="1129">
        <v>0</v>
      </c>
      <c r="BI24" s="971"/>
      <c r="BJ24" s="971"/>
      <c r="BK24" s="971"/>
    </row>
    <row r="25" spans="1:63" s="1278" customFormat="1" ht="49.5">
      <c r="A25" s="1272">
        <v>2000</v>
      </c>
      <c r="B25" s="971" t="s">
        <v>119</v>
      </c>
      <c r="C25" s="1272">
        <v>2500</v>
      </c>
      <c r="D25" s="971" t="s">
        <v>452</v>
      </c>
      <c r="E25" s="971" t="s">
        <v>453</v>
      </c>
      <c r="F25" s="971" t="s">
        <v>454</v>
      </c>
      <c r="G25" s="971">
        <v>2512</v>
      </c>
      <c r="H25" s="971" t="s">
        <v>456</v>
      </c>
      <c r="I25" s="1273" t="s">
        <v>500</v>
      </c>
      <c r="J25" s="971" t="s">
        <v>124</v>
      </c>
      <c r="K25" s="971"/>
      <c r="L25" s="971" t="e">
        <v>#N/A</v>
      </c>
      <c r="M25" s="971" t="s">
        <v>145</v>
      </c>
      <c r="N25" s="971" t="s">
        <v>141</v>
      </c>
      <c r="O25" s="971" t="s">
        <v>146</v>
      </c>
      <c r="P25" s="971"/>
      <c r="Q25" s="971" t="s">
        <v>501</v>
      </c>
      <c r="R25" s="971" t="s">
        <v>502</v>
      </c>
      <c r="S25" s="1274">
        <v>611.58073599649208</v>
      </c>
      <c r="T25" s="971" t="s">
        <v>136</v>
      </c>
      <c r="U25" s="1275" t="s">
        <v>6588</v>
      </c>
      <c r="V25" s="1275" t="s">
        <v>6588</v>
      </c>
      <c r="W25" s="1275" t="s">
        <v>6588</v>
      </c>
      <c r="X25" s="1275" t="s">
        <v>6588</v>
      </c>
      <c r="Y25" s="1275" t="s">
        <v>6588</v>
      </c>
      <c r="Z25" s="1129">
        <v>0</v>
      </c>
      <c r="AA25" s="1129">
        <v>0</v>
      </c>
      <c r="AB25" s="1129">
        <v>0</v>
      </c>
      <c r="AC25" s="1129">
        <v>0</v>
      </c>
      <c r="AD25" s="1267">
        <v>0</v>
      </c>
      <c r="AE25" s="1135">
        <v>0</v>
      </c>
      <c r="AF25" s="1129">
        <v>0</v>
      </c>
      <c r="AG25" s="1127">
        <v>1</v>
      </c>
      <c r="AH25" s="1127">
        <v>0</v>
      </c>
      <c r="AI25" s="1127">
        <v>0</v>
      </c>
      <c r="AJ25" s="1127">
        <v>1</v>
      </c>
      <c r="AK25" s="1129">
        <v>0</v>
      </c>
      <c r="AL25" s="1129">
        <v>0</v>
      </c>
      <c r="AM25" s="1129">
        <v>0</v>
      </c>
      <c r="AN25" s="1129">
        <v>0</v>
      </c>
      <c r="AO25" s="1129" t="s">
        <v>85</v>
      </c>
      <c r="AP25" s="1129" t="s">
        <v>6605</v>
      </c>
      <c r="AQ25" s="1157" t="s">
        <v>107</v>
      </c>
      <c r="AR25" s="1129" t="s">
        <v>87</v>
      </c>
      <c r="AS25" s="1127">
        <v>0.33333333333333331</v>
      </c>
      <c r="AT25" s="1127">
        <v>0.33333333333333331</v>
      </c>
      <c r="AU25" s="1127">
        <v>0.33333333333333331</v>
      </c>
      <c r="AV25" s="1127"/>
      <c r="AW25" s="1127"/>
      <c r="AX25" s="1127"/>
      <c r="AY25" s="1127"/>
      <c r="AZ25" s="1127"/>
      <c r="BA25" s="1129">
        <v>0</v>
      </c>
      <c r="BB25" s="1129">
        <v>0</v>
      </c>
      <c r="BC25" s="1129">
        <v>0</v>
      </c>
      <c r="BD25" s="1129">
        <v>0</v>
      </c>
      <c r="BE25" s="1129">
        <v>0</v>
      </c>
      <c r="BF25" s="1129">
        <v>0</v>
      </c>
      <c r="BG25" s="1129">
        <v>0</v>
      </c>
      <c r="BH25" s="1129">
        <v>0</v>
      </c>
      <c r="BI25" s="971"/>
      <c r="BJ25" s="971"/>
      <c r="BK25" s="971"/>
    </row>
    <row r="26" spans="1:63" s="1278" customFormat="1" ht="66">
      <c r="A26" s="1272">
        <v>2000</v>
      </c>
      <c r="B26" s="971" t="s">
        <v>119</v>
      </c>
      <c r="C26" s="1272">
        <v>2500</v>
      </c>
      <c r="D26" s="971" t="s">
        <v>452</v>
      </c>
      <c r="E26" s="971" t="s">
        <v>453</v>
      </c>
      <c r="F26" s="971" t="s">
        <v>454</v>
      </c>
      <c r="G26" s="971">
        <v>2512</v>
      </c>
      <c r="H26" s="971" t="s">
        <v>456</v>
      </c>
      <c r="I26" s="1273" t="s">
        <v>503</v>
      </c>
      <c r="J26" s="971" t="s">
        <v>124</v>
      </c>
      <c r="K26" s="971" t="s">
        <v>784</v>
      </c>
      <c r="L26" s="971" t="s">
        <v>2852</v>
      </c>
      <c r="M26" s="971" t="s">
        <v>458</v>
      </c>
      <c r="N26" s="971" t="s">
        <v>127</v>
      </c>
      <c r="O26" s="971" t="s">
        <v>459</v>
      </c>
      <c r="P26" s="971"/>
      <c r="Q26" s="971" t="s">
        <v>504</v>
      </c>
      <c r="R26" s="971" t="s">
        <v>505</v>
      </c>
      <c r="S26" s="1274">
        <v>611.58073599649208</v>
      </c>
      <c r="T26" s="971" t="s">
        <v>136</v>
      </c>
      <c r="U26" s="1275">
        <v>0.22416666666666665</v>
      </c>
      <c r="V26" s="1275">
        <v>3.3624999999999998</v>
      </c>
      <c r="W26" s="1275">
        <v>22.397249563492064</v>
      </c>
      <c r="X26" s="1275">
        <v>33.625</v>
      </c>
      <c r="Y26" s="1275">
        <v>59.384749563492065</v>
      </c>
      <c r="Z26" s="1129">
        <v>137.09601498588029</v>
      </c>
      <c r="AA26" s="1129">
        <v>2056.4402247882044</v>
      </c>
      <c r="AB26" s="1129">
        <v>13697.726372337587</v>
      </c>
      <c r="AC26" s="1129">
        <v>20564.402247882048</v>
      </c>
      <c r="AD26" s="1267">
        <v>36318.568845007838</v>
      </c>
      <c r="AE26" s="1135">
        <v>1</v>
      </c>
      <c r="AF26" s="1129">
        <v>611.58073599649208</v>
      </c>
      <c r="AG26" s="1127">
        <v>1</v>
      </c>
      <c r="AH26" s="1127">
        <v>0</v>
      </c>
      <c r="AI26" s="1127">
        <v>0</v>
      </c>
      <c r="AJ26" s="1127">
        <v>1</v>
      </c>
      <c r="AK26" s="1129">
        <v>36318.568845007838</v>
      </c>
      <c r="AL26" s="1129">
        <v>0</v>
      </c>
      <c r="AM26" s="1129">
        <v>0</v>
      </c>
      <c r="AN26" s="1129">
        <v>36318.568845007838</v>
      </c>
      <c r="AO26" s="1129" t="s">
        <v>85</v>
      </c>
      <c r="AP26" s="1129" t="s">
        <v>6605</v>
      </c>
      <c r="AQ26" s="1157" t="s">
        <v>107</v>
      </c>
      <c r="AR26" s="1129" t="s">
        <v>87</v>
      </c>
      <c r="AS26" s="1127">
        <v>0.33333333333333331</v>
      </c>
      <c r="AT26" s="1127">
        <v>0.33333333333333331</v>
      </c>
      <c r="AU26" s="1127">
        <v>0.33333333333333331</v>
      </c>
      <c r="AV26" s="1127"/>
      <c r="AW26" s="1127"/>
      <c r="AX26" s="1127"/>
      <c r="AY26" s="1127"/>
      <c r="AZ26" s="1127"/>
      <c r="BA26" s="1129">
        <v>12106.189615002611</v>
      </c>
      <c r="BB26" s="1129">
        <v>12106.189615002611</v>
      </c>
      <c r="BC26" s="1129">
        <v>12106.189615002611</v>
      </c>
      <c r="BD26" s="1129">
        <v>0</v>
      </c>
      <c r="BE26" s="1129">
        <v>0</v>
      </c>
      <c r="BF26" s="1129">
        <v>0</v>
      </c>
      <c r="BG26" s="1129">
        <v>0</v>
      </c>
      <c r="BH26" s="1129">
        <v>0</v>
      </c>
      <c r="BI26" s="971" t="s">
        <v>132</v>
      </c>
      <c r="BJ26" s="971"/>
      <c r="BK26" s="971"/>
    </row>
    <row r="27" spans="1:63" s="1278" customFormat="1" ht="49.5">
      <c r="A27" s="1272">
        <v>2000</v>
      </c>
      <c r="B27" s="971" t="s">
        <v>119</v>
      </c>
      <c r="C27" s="1272">
        <v>2500</v>
      </c>
      <c r="D27" s="971" t="s">
        <v>452</v>
      </c>
      <c r="E27" s="971" t="s">
        <v>453</v>
      </c>
      <c r="F27" s="971" t="s">
        <v>454</v>
      </c>
      <c r="G27" s="971">
        <v>2512</v>
      </c>
      <c r="H27" s="971" t="s">
        <v>456</v>
      </c>
      <c r="I27" s="1273" t="s">
        <v>503</v>
      </c>
      <c r="J27" s="971" t="s">
        <v>124</v>
      </c>
      <c r="K27" s="971" t="s">
        <v>140</v>
      </c>
      <c r="L27" s="971" t="s">
        <v>2909</v>
      </c>
      <c r="M27" s="971" t="s">
        <v>140</v>
      </c>
      <c r="N27" s="971" t="s">
        <v>141</v>
      </c>
      <c r="O27" s="971" t="s">
        <v>3280</v>
      </c>
      <c r="P27" s="971"/>
      <c r="Q27" s="971" t="s">
        <v>504</v>
      </c>
      <c r="R27" s="971" t="s">
        <v>505</v>
      </c>
      <c r="S27" s="1274">
        <v>611.58073599649208</v>
      </c>
      <c r="T27" s="971" t="s">
        <v>136</v>
      </c>
      <c r="U27" s="1275">
        <v>0</v>
      </c>
      <c r="V27" s="1275">
        <v>0</v>
      </c>
      <c r="W27" s="1275">
        <v>0</v>
      </c>
      <c r="X27" s="1275">
        <v>0</v>
      </c>
      <c r="Y27" s="1275">
        <v>0</v>
      </c>
      <c r="Z27" s="1129">
        <v>0</v>
      </c>
      <c r="AA27" s="1129">
        <v>0</v>
      </c>
      <c r="AB27" s="1129">
        <v>0</v>
      </c>
      <c r="AC27" s="1129">
        <v>0</v>
      </c>
      <c r="AD27" s="1267">
        <v>0</v>
      </c>
      <c r="AE27" s="1135">
        <v>0</v>
      </c>
      <c r="AF27" s="1129">
        <v>0</v>
      </c>
      <c r="AG27" s="1127">
        <v>1</v>
      </c>
      <c r="AH27" s="1127">
        <v>0</v>
      </c>
      <c r="AI27" s="1127">
        <v>0</v>
      </c>
      <c r="AJ27" s="1127">
        <v>1</v>
      </c>
      <c r="AK27" s="1129">
        <v>0</v>
      </c>
      <c r="AL27" s="1129">
        <v>0</v>
      </c>
      <c r="AM27" s="1129">
        <v>0</v>
      </c>
      <c r="AN27" s="1129">
        <v>0</v>
      </c>
      <c r="AO27" s="1129" t="s">
        <v>85</v>
      </c>
      <c r="AP27" s="1129" t="s">
        <v>6605</v>
      </c>
      <c r="AQ27" s="1157" t="s">
        <v>107</v>
      </c>
      <c r="AR27" s="1129" t="s">
        <v>87</v>
      </c>
      <c r="AS27" s="1127">
        <v>0.33333333333333331</v>
      </c>
      <c r="AT27" s="1127">
        <v>0.33333333333333331</v>
      </c>
      <c r="AU27" s="1127">
        <v>0.33333333333333331</v>
      </c>
      <c r="AV27" s="1127"/>
      <c r="AW27" s="1127"/>
      <c r="AX27" s="1127"/>
      <c r="AY27" s="1127"/>
      <c r="AZ27" s="1127"/>
      <c r="BA27" s="1129">
        <v>0</v>
      </c>
      <c r="BB27" s="1129">
        <v>0</v>
      </c>
      <c r="BC27" s="1129">
        <v>0</v>
      </c>
      <c r="BD27" s="1129">
        <v>0</v>
      </c>
      <c r="BE27" s="1129">
        <v>0</v>
      </c>
      <c r="BF27" s="1129">
        <v>0</v>
      </c>
      <c r="BG27" s="1129">
        <v>0</v>
      </c>
      <c r="BH27" s="1129">
        <v>0</v>
      </c>
      <c r="BI27" s="971"/>
      <c r="BJ27" s="971"/>
      <c r="BK27" s="971"/>
    </row>
    <row r="28" spans="1:63" s="1278" customFormat="1" ht="49.5">
      <c r="A28" s="1272">
        <v>2000</v>
      </c>
      <c r="B28" s="971" t="s">
        <v>119</v>
      </c>
      <c r="C28" s="1272">
        <v>2500</v>
      </c>
      <c r="D28" s="971" t="s">
        <v>452</v>
      </c>
      <c r="E28" s="971" t="s">
        <v>453</v>
      </c>
      <c r="F28" s="971" t="s">
        <v>454</v>
      </c>
      <c r="G28" s="971">
        <v>2512</v>
      </c>
      <c r="H28" s="971" t="s">
        <v>456</v>
      </c>
      <c r="I28" s="1273" t="s">
        <v>503</v>
      </c>
      <c r="J28" s="971" t="s">
        <v>124</v>
      </c>
      <c r="K28" s="971"/>
      <c r="L28" s="971" t="e">
        <v>#N/A</v>
      </c>
      <c r="M28" s="971" t="s">
        <v>145</v>
      </c>
      <c r="N28" s="971" t="s">
        <v>141</v>
      </c>
      <c r="O28" s="971" t="s">
        <v>146</v>
      </c>
      <c r="P28" s="971"/>
      <c r="Q28" s="971" t="s">
        <v>504</v>
      </c>
      <c r="R28" s="971" t="s">
        <v>505</v>
      </c>
      <c r="S28" s="1274">
        <v>611.58073599649208</v>
      </c>
      <c r="T28" s="971" t="s">
        <v>136</v>
      </c>
      <c r="U28" s="1275" t="s">
        <v>6588</v>
      </c>
      <c r="V28" s="1275" t="s">
        <v>6588</v>
      </c>
      <c r="W28" s="1275" t="s">
        <v>6588</v>
      </c>
      <c r="X28" s="1275" t="s">
        <v>6588</v>
      </c>
      <c r="Y28" s="1275" t="s">
        <v>6588</v>
      </c>
      <c r="Z28" s="1129">
        <v>0</v>
      </c>
      <c r="AA28" s="1129">
        <v>0</v>
      </c>
      <c r="AB28" s="1129">
        <v>0</v>
      </c>
      <c r="AC28" s="1129">
        <v>0</v>
      </c>
      <c r="AD28" s="1267">
        <v>0</v>
      </c>
      <c r="AE28" s="1135">
        <v>0</v>
      </c>
      <c r="AF28" s="1129">
        <v>0</v>
      </c>
      <c r="AG28" s="1127">
        <v>1</v>
      </c>
      <c r="AH28" s="1127">
        <v>0</v>
      </c>
      <c r="AI28" s="1127">
        <v>0</v>
      </c>
      <c r="AJ28" s="1127">
        <v>1</v>
      </c>
      <c r="AK28" s="1129">
        <v>0</v>
      </c>
      <c r="AL28" s="1129">
        <v>0</v>
      </c>
      <c r="AM28" s="1129">
        <v>0</v>
      </c>
      <c r="AN28" s="1129">
        <v>0</v>
      </c>
      <c r="AO28" s="1129" t="s">
        <v>85</v>
      </c>
      <c r="AP28" s="1129" t="s">
        <v>6605</v>
      </c>
      <c r="AQ28" s="1157" t="s">
        <v>107</v>
      </c>
      <c r="AR28" s="1129" t="s">
        <v>87</v>
      </c>
      <c r="AS28" s="1127">
        <v>0.33333333333333331</v>
      </c>
      <c r="AT28" s="1127">
        <v>0.33333333333333331</v>
      </c>
      <c r="AU28" s="1127">
        <v>0.33333333333333331</v>
      </c>
      <c r="AV28" s="1127"/>
      <c r="AW28" s="1127"/>
      <c r="AX28" s="1127"/>
      <c r="AY28" s="1127"/>
      <c r="AZ28" s="1127"/>
      <c r="BA28" s="1129">
        <v>0</v>
      </c>
      <c r="BB28" s="1129">
        <v>0</v>
      </c>
      <c r="BC28" s="1129">
        <v>0</v>
      </c>
      <c r="BD28" s="1129">
        <v>0</v>
      </c>
      <c r="BE28" s="1129">
        <v>0</v>
      </c>
      <c r="BF28" s="1129">
        <v>0</v>
      </c>
      <c r="BG28" s="1129">
        <v>0</v>
      </c>
      <c r="BH28" s="1129">
        <v>0</v>
      </c>
      <c r="BI28" s="971"/>
      <c r="BJ28" s="971"/>
      <c r="BK28" s="971"/>
    </row>
    <row r="29" spans="1:63" s="1278" customFormat="1" ht="66">
      <c r="A29" s="1272">
        <v>2000</v>
      </c>
      <c r="B29" s="971" t="s">
        <v>119</v>
      </c>
      <c r="C29" s="1272">
        <v>2500</v>
      </c>
      <c r="D29" s="971" t="s">
        <v>452</v>
      </c>
      <c r="E29" s="971" t="s">
        <v>604</v>
      </c>
      <c r="F29" s="971" t="s">
        <v>605</v>
      </c>
      <c r="G29" s="971">
        <v>2521</v>
      </c>
      <c r="H29" s="971" t="s">
        <v>621</v>
      </c>
      <c r="I29" s="1273" t="s">
        <v>490</v>
      </c>
      <c r="J29" s="971" t="s">
        <v>124</v>
      </c>
      <c r="K29" s="971" t="s">
        <v>1747</v>
      </c>
      <c r="L29" s="971" t="s">
        <v>6606</v>
      </c>
      <c r="M29" s="971" t="s">
        <v>606</v>
      </c>
      <c r="N29" s="971" t="s">
        <v>488</v>
      </c>
      <c r="O29" s="971" t="s">
        <v>518</v>
      </c>
      <c r="P29" s="971"/>
      <c r="Q29" s="971" t="s">
        <v>673</v>
      </c>
      <c r="R29" s="971" t="s">
        <v>674</v>
      </c>
      <c r="S29" s="1274">
        <v>557.41826157966761</v>
      </c>
      <c r="T29" s="971" t="s">
        <v>136</v>
      </c>
      <c r="U29" s="1275">
        <v>0.56041666666666667</v>
      </c>
      <c r="V29" s="1275">
        <v>2.3537499999999998</v>
      </c>
      <c r="W29" s="1275">
        <v>55.993123908730162</v>
      </c>
      <c r="X29" s="1275">
        <v>84.0625</v>
      </c>
      <c r="Y29" s="1275">
        <v>142.40937390873017</v>
      </c>
      <c r="Z29" s="1129">
        <v>312.38648409360542</v>
      </c>
      <c r="AA29" s="1129">
        <v>1312.0232331931425</v>
      </c>
      <c r="AB29" s="1129">
        <v>31211.589789619291</v>
      </c>
      <c r="AC29" s="1129">
        <v>46857.972614040809</v>
      </c>
      <c r="AD29" s="1267">
        <v>79381.585636853255</v>
      </c>
      <c r="AE29" s="1135">
        <v>1</v>
      </c>
      <c r="AF29" s="1129">
        <v>557.41826157966761</v>
      </c>
      <c r="AG29" s="1127">
        <v>1</v>
      </c>
      <c r="AH29" s="1127">
        <v>0</v>
      </c>
      <c r="AI29" s="1127">
        <v>0</v>
      </c>
      <c r="AJ29" s="1127">
        <v>1</v>
      </c>
      <c r="AK29" s="1129">
        <v>79381.585636853255</v>
      </c>
      <c r="AL29" s="1129">
        <v>0</v>
      </c>
      <c r="AM29" s="1129">
        <v>0</v>
      </c>
      <c r="AN29" s="1129">
        <v>79381.585636853255</v>
      </c>
      <c r="AO29" s="1129" t="s">
        <v>85</v>
      </c>
      <c r="AP29" s="1129" t="s">
        <v>6605</v>
      </c>
      <c r="AQ29" s="1157" t="s">
        <v>107</v>
      </c>
      <c r="AR29" s="1129" t="s">
        <v>87</v>
      </c>
      <c r="AS29" s="1127">
        <v>0.33333333333333331</v>
      </c>
      <c r="AT29" s="1127">
        <v>0.33333333333333331</v>
      </c>
      <c r="AU29" s="1127">
        <v>0.33333333333333331</v>
      </c>
      <c r="AV29" s="1127"/>
      <c r="AW29" s="1127"/>
      <c r="AX29" s="1127"/>
      <c r="AY29" s="1127"/>
      <c r="AZ29" s="1127"/>
      <c r="BA29" s="1129">
        <v>26460.528545617752</v>
      </c>
      <c r="BB29" s="1129">
        <v>26460.528545617752</v>
      </c>
      <c r="BC29" s="1129">
        <v>26460.528545617752</v>
      </c>
      <c r="BD29" s="1129">
        <v>0</v>
      </c>
      <c r="BE29" s="1129">
        <v>0</v>
      </c>
      <c r="BF29" s="1129">
        <v>0</v>
      </c>
      <c r="BG29" s="1129">
        <v>0</v>
      </c>
      <c r="BH29" s="1129">
        <v>0</v>
      </c>
      <c r="BI29" s="971" t="s">
        <v>625</v>
      </c>
      <c r="BJ29" s="971"/>
      <c r="BK29" s="971"/>
    </row>
    <row r="30" spans="1:63" s="1278" customFormat="1" ht="49.5">
      <c r="A30" s="1272">
        <v>2000</v>
      </c>
      <c r="B30" s="971" t="s">
        <v>119</v>
      </c>
      <c r="C30" s="1272">
        <v>2500</v>
      </c>
      <c r="D30" s="971" t="s">
        <v>452</v>
      </c>
      <c r="E30" s="971" t="s">
        <v>604</v>
      </c>
      <c r="F30" s="971" t="s">
        <v>605</v>
      </c>
      <c r="G30" s="971">
        <v>2521</v>
      </c>
      <c r="H30" s="971" t="s">
        <v>621</v>
      </c>
      <c r="I30" s="1273" t="s">
        <v>490</v>
      </c>
      <c r="J30" s="971" t="s">
        <v>124</v>
      </c>
      <c r="K30" s="971" t="s">
        <v>523</v>
      </c>
      <c r="L30" s="971" t="s">
        <v>6607</v>
      </c>
      <c r="M30" s="971" t="s">
        <v>523</v>
      </c>
      <c r="N30" s="971" t="s">
        <v>141</v>
      </c>
      <c r="O30" s="971" t="s">
        <v>524</v>
      </c>
      <c r="P30" s="971"/>
      <c r="Q30" s="971" t="s">
        <v>675</v>
      </c>
      <c r="R30" s="971" t="s">
        <v>674</v>
      </c>
      <c r="S30" s="1274">
        <v>557.41826157966761</v>
      </c>
      <c r="T30" s="971" t="s">
        <v>136</v>
      </c>
      <c r="U30" s="1275">
        <v>0.14520631503408685</v>
      </c>
      <c r="V30" s="1275">
        <v>2.1780947255113023</v>
      </c>
      <c r="W30" s="1275">
        <v>14.50805387069216</v>
      </c>
      <c r="X30" s="1275">
        <v>21.780947255113027</v>
      </c>
      <c r="Y30" s="1275">
        <v>38.4670958513165</v>
      </c>
      <c r="Z30" s="1129">
        <v>80.940651696690239</v>
      </c>
      <c r="AA30" s="1129">
        <v>1214.1097754503535</v>
      </c>
      <c r="AB30" s="1129">
        <v>8087.0541675053919</v>
      </c>
      <c r="AC30" s="1129">
        <v>12141.097754503537</v>
      </c>
      <c r="AD30" s="1267">
        <v>21442.261697459286</v>
      </c>
      <c r="AE30" s="1135">
        <v>0.75</v>
      </c>
      <c r="AF30" s="1129">
        <v>418.06369618475071</v>
      </c>
      <c r="AG30" s="1127">
        <v>1</v>
      </c>
      <c r="AH30" s="1127">
        <v>0</v>
      </c>
      <c r="AI30" s="1127">
        <v>0</v>
      </c>
      <c r="AJ30" s="1127">
        <v>1</v>
      </c>
      <c r="AK30" s="1129">
        <v>21442.261697459286</v>
      </c>
      <c r="AL30" s="1129">
        <v>0</v>
      </c>
      <c r="AM30" s="1129">
        <v>0</v>
      </c>
      <c r="AN30" s="1129">
        <v>21442.261697459286</v>
      </c>
      <c r="AO30" s="1129" t="s">
        <v>85</v>
      </c>
      <c r="AP30" s="1129" t="s">
        <v>6605</v>
      </c>
      <c r="AQ30" s="1157" t="s">
        <v>107</v>
      </c>
      <c r="AR30" s="1129" t="s">
        <v>87</v>
      </c>
      <c r="AS30" s="1127">
        <v>0.33333333333333331</v>
      </c>
      <c r="AT30" s="1127">
        <v>0.33333333333333331</v>
      </c>
      <c r="AU30" s="1127">
        <v>0.33333333333333331</v>
      </c>
      <c r="AV30" s="1127"/>
      <c r="AW30" s="1127"/>
      <c r="AX30" s="1127"/>
      <c r="AY30" s="1127"/>
      <c r="AZ30" s="1127"/>
      <c r="BA30" s="1129">
        <v>7147.4205658197616</v>
      </c>
      <c r="BB30" s="1129">
        <v>7147.4205658197616</v>
      </c>
      <c r="BC30" s="1129">
        <v>7147.4205658197616</v>
      </c>
      <c r="BD30" s="1129">
        <v>0</v>
      </c>
      <c r="BE30" s="1129">
        <v>0</v>
      </c>
      <c r="BF30" s="1129">
        <v>0</v>
      </c>
      <c r="BG30" s="1129">
        <v>0</v>
      </c>
      <c r="BH30" s="1129">
        <v>0</v>
      </c>
      <c r="BI30" s="971"/>
      <c r="BJ30" s="971"/>
      <c r="BK30" s="971"/>
    </row>
    <row r="31" spans="1:63" s="1278" customFormat="1" ht="49.5">
      <c r="A31" s="1272">
        <v>2000</v>
      </c>
      <c r="B31" s="971" t="s">
        <v>119</v>
      </c>
      <c r="C31" s="1272">
        <v>2500</v>
      </c>
      <c r="D31" s="971" t="s">
        <v>452</v>
      </c>
      <c r="E31" s="971" t="s">
        <v>604</v>
      </c>
      <c r="F31" s="971" t="s">
        <v>605</v>
      </c>
      <c r="G31" s="971">
        <v>2521</v>
      </c>
      <c r="H31" s="971" t="s">
        <v>621</v>
      </c>
      <c r="I31" s="1273" t="s">
        <v>490</v>
      </c>
      <c r="J31" s="971" t="s">
        <v>124</v>
      </c>
      <c r="K31" s="971" t="s">
        <v>506</v>
      </c>
      <c r="L31" s="971" t="s">
        <v>6608</v>
      </c>
      <c r="M31" s="971" t="s">
        <v>506</v>
      </c>
      <c r="N31" s="971" t="s">
        <v>141</v>
      </c>
      <c r="O31" s="971" t="s">
        <v>507</v>
      </c>
      <c r="P31" s="971"/>
      <c r="Q31" s="971" t="s">
        <v>676</v>
      </c>
      <c r="R31" s="971" t="s">
        <v>674</v>
      </c>
      <c r="S31" s="1274">
        <v>557.41826157966761</v>
      </c>
      <c r="T31" s="971" t="s">
        <v>136</v>
      </c>
      <c r="U31" s="1275">
        <v>0.125</v>
      </c>
      <c r="V31" s="1275">
        <v>1.875</v>
      </c>
      <c r="W31" s="1275">
        <v>12.48917261904762</v>
      </c>
      <c r="X31" s="1275">
        <v>18.75</v>
      </c>
      <c r="Y31" s="1275">
        <v>33.114172619047601</v>
      </c>
      <c r="Z31" s="1129">
        <v>69.677282697458452</v>
      </c>
      <c r="AA31" s="1129">
        <v>1045.1592404618768</v>
      </c>
      <c r="AB31" s="1129">
        <v>6961.6928898779088</v>
      </c>
      <c r="AC31" s="1129">
        <v>10451.592404618768</v>
      </c>
      <c r="AD31" s="1267">
        <v>18458.444534958599</v>
      </c>
      <c r="AE31" s="1135">
        <v>0</v>
      </c>
      <c r="AF31" s="1129">
        <v>0</v>
      </c>
      <c r="AG31" s="1127">
        <v>1</v>
      </c>
      <c r="AH31" s="1127">
        <v>0</v>
      </c>
      <c r="AI31" s="1127">
        <v>0</v>
      </c>
      <c r="AJ31" s="1127">
        <v>1</v>
      </c>
      <c r="AK31" s="1129">
        <v>18458.444534958555</v>
      </c>
      <c r="AL31" s="1129">
        <v>0</v>
      </c>
      <c r="AM31" s="1129">
        <v>0</v>
      </c>
      <c r="AN31" s="1129">
        <v>18458.444534958555</v>
      </c>
      <c r="AO31" s="1129" t="s">
        <v>85</v>
      </c>
      <c r="AP31" s="1129" t="s">
        <v>6605</v>
      </c>
      <c r="AQ31" s="1157" t="s">
        <v>107</v>
      </c>
      <c r="AR31" s="1129" t="s">
        <v>87</v>
      </c>
      <c r="AS31" s="1127">
        <v>0.33333333333333331</v>
      </c>
      <c r="AT31" s="1127">
        <v>0.33333333333333331</v>
      </c>
      <c r="AU31" s="1127">
        <v>0.33333333333333331</v>
      </c>
      <c r="AV31" s="1127"/>
      <c r="AW31" s="1127"/>
      <c r="AX31" s="1127"/>
      <c r="AY31" s="1127"/>
      <c r="AZ31" s="1127"/>
      <c r="BA31" s="1129">
        <v>6152.8148449861847</v>
      </c>
      <c r="BB31" s="1129">
        <v>6152.8148449861847</v>
      </c>
      <c r="BC31" s="1129">
        <v>6152.8148449861847</v>
      </c>
      <c r="BD31" s="1129">
        <v>0</v>
      </c>
      <c r="BE31" s="1129">
        <v>0</v>
      </c>
      <c r="BF31" s="1129">
        <v>0</v>
      </c>
      <c r="BG31" s="1129">
        <v>0</v>
      </c>
      <c r="BH31" s="1129">
        <v>0</v>
      </c>
      <c r="BI31" s="971"/>
      <c r="BJ31" s="971"/>
      <c r="BK31" s="971"/>
    </row>
    <row r="32" spans="1:63" s="1278" customFormat="1" ht="66">
      <c r="A32" s="1272">
        <v>2000</v>
      </c>
      <c r="B32" s="971" t="s">
        <v>119</v>
      </c>
      <c r="C32" s="1272">
        <v>2500</v>
      </c>
      <c r="D32" s="971" t="s">
        <v>452</v>
      </c>
      <c r="E32" s="971" t="s">
        <v>604</v>
      </c>
      <c r="F32" s="971" t="s">
        <v>605</v>
      </c>
      <c r="G32" s="971">
        <v>2521</v>
      </c>
      <c r="H32" s="971" t="s">
        <v>621</v>
      </c>
      <c r="I32" s="1273" t="s">
        <v>495</v>
      </c>
      <c r="J32" s="971" t="s">
        <v>124</v>
      </c>
      <c r="K32" s="971" t="s">
        <v>1747</v>
      </c>
      <c r="L32" s="971" t="s">
        <v>6606</v>
      </c>
      <c r="M32" s="971" t="s">
        <v>606</v>
      </c>
      <c r="N32" s="971" t="s">
        <v>488</v>
      </c>
      <c r="O32" s="971" t="s">
        <v>518</v>
      </c>
      <c r="P32" s="971"/>
      <c r="Q32" s="971" t="s">
        <v>1751</v>
      </c>
      <c r="R32" s="971" t="s">
        <v>678</v>
      </c>
      <c r="S32" s="1274">
        <v>148.64486975457805</v>
      </c>
      <c r="T32" s="971" t="s">
        <v>136</v>
      </c>
      <c r="U32" s="1275">
        <v>0.56041666666666667</v>
      </c>
      <c r="V32" s="1275">
        <v>2.3537499999999998</v>
      </c>
      <c r="W32" s="1275">
        <v>55.993123908730162</v>
      </c>
      <c r="X32" s="1275">
        <v>84.0625</v>
      </c>
      <c r="Y32" s="1275">
        <v>142.40937390873017</v>
      </c>
      <c r="Z32" s="1129">
        <v>83.303062424961453</v>
      </c>
      <c r="AA32" s="1129">
        <v>349.87286218483808</v>
      </c>
      <c r="AB32" s="1129">
        <v>8323.0906105651447</v>
      </c>
      <c r="AC32" s="1129">
        <v>12495.459363744218</v>
      </c>
      <c r="AD32" s="1267">
        <v>21168.422836494203</v>
      </c>
      <c r="AE32" s="1135">
        <v>1</v>
      </c>
      <c r="AF32" s="1129">
        <v>148.64486975457805</v>
      </c>
      <c r="AG32" s="1127">
        <v>1</v>
      </c>
      <c r="AH32" s="1127">
        <v>0</v>
      </c>
      <c r="AI32" s="1127">
        <v>0</v>
      </c>
      <c r="AJ32" s="1127">
        <v>1</v>
      </c>
      <c r="AK32" s="1129">
        <v>21168.422836494203</v>
      </c>
      <c r="AL32" s="1129">
        <v>0</v>
      </c>
      <c r="AM32" s="1129">
        <v>0</v>
      </c>
      <c r="AN32" s="1129">
        <v>21168.422836494203</v>
      </c>
      <c r="AO32" s="1129" t="s">
        <v>85</v>
      </c>
      <c r="AP32" s="1129" t="s">
        <v>6605</v>
      </c>
      <c r="AQ32" s="1157" t="s">
        <v>107</v>
      </c>
      <c r="AR32" s="1129" t="s">
        <v>87</v>
      </c>
      <c r="AS32" s="1127">
        <v>0.33333333333333331</v>
      </c>
      <c r="AT32" s="1127">
        <v>0.33333333333333331</v>
      </c>
      <c r="AU32" s="1127">
        <v>0.33333333333333331</v>
      </c>
      <c r="AV32" s="1127"/>
      <c r="AW32" s="1127"/>
      <c r="AX32" s="1127"/>
      <c r="AY32" s="1127"/>
      <c r="AZ32" s="1127"/>
      <c r="BA32" s="1129">
        <v>7056.1409454980676</v>
      </c>
      <c r="BB32" s="1129">
        <v>7056.1409454980676</v>
      </c>
      <c r="BC32" s="1129">
        <v>7056.1409454980676</v>
      </c>
      <c r="BD32" s="1129">
        <v>0</v>
      </c>
      <c r="BE32" s="1129">
        <v>0</v>
      </c>
      <c r="BF32" s="1129">
        <v>0</v>
      </c>
      <c r="BG32" s="1129">
        <v>0</v>
      </c>
      <c r="BH32" s="1129">
        <v>0</v>
      </c>
      <c r="BI32" s="971" t="s">
        <v>625</v>
      </c>
      <c r="BJ32" s="971"/>
      <c r="BK32" s="971"/>
    </row>
    <row r="33" spans="1:63" s="1278" customFormat="1" ht="49.5">
      <c r="A33" s="1272">
        <v>2000</v>
      </c>
      <c r="B33" s="971" t="s">
        <v>119</v>
      </c>
      <c r="C33" s="1272">
        <v>2500</v>
      </c>
      <c r="D33" s="971" t="s">
        <v>452</v>
      </c>
      <c r="E33" s="971" t="s">
        <v>604</v>
      </c>
      <c r="F33" s="971" t="s">
        <v>605</v>
      </c>
      <c r="G33" s="971">
        <v>2521</v>
      </c>
      <c r="H33" s="971" t="s">
        <v>621</v>
      </c>
      <c r="I33" s="1273" t="s">
        <v>495</v>
      </c>
      <c r="J33" s="971" t="s">
        <v>124</v>
      </c>
      <c r="K33" s="971" t="s">
        <v>523</v>
      </c>
      <c r="L33" s="971" t="s">
        <v>6607</v>
      </c>
      <c r="M33" s="971" t="s">
        <v>523</v>
      </c>
      <c r="N33" s="971" t="s">
        <v>141</v>
      </c>
      <c r="O33" s="971" t="s">
        <v>524</v>
      </c>
      <c r="P33" s="971"/>
      <c r="Q33" s="971" t="s">
        <v>677</v>
      </c>
      <c r="R33" s="971" t="s">
        <v>678</v>
      </c>
      <c r="S33" s="1274">
        <v>148.64486975457805</v>
      </c>
      <c r="T33" s="971" t="s">
        <v>136</v>
      </c>
      <c r="U33" s="1275">
        <v>0.14520631503408685</v>
      </c>
      <c r="V33" s="1275">
        <v>2.1780947255113023</v>
      </c>
      <c r="W33" s="1275">
        <v>14.50805387069216</v>
      </c>
      <c r="X33" s="1275">
        <v>21.780947255113027</v>
      </c>
      <c r="Y33" s="1275">
        <v>38.467095851316493</v>
      </c>
      <c r="Z33" s="1129">
        <v>21.584173785784067</v>
      </c>
      <c r="AA33" s="1129">
        <v>323.76260678676095</v>
      </c>
      <c r="AB33" s="1129">
        <v>2156.547778001438</v>
      </c>
      <c r="AC33" s="1129">
        <v>3237.6260678676103</v>
      </c>
      <c r="AD33" s="1267">
        <v>5717.9364526558102</v>
      </c>
      <c r="AE33" s="1135">
        <v>0.75</v>
      </c>
      <c r="AF33" s="1129">
        <v>111.48365231593354</v>
      </c>
      <c r="AG33" s="1127">
        <v>1</v>
      </c>
      <c r="AH33" s="1127">
        <v>0</v>
      </c>
      <c r="AI33" s="1127">
        <v>0</v>
      </c>
      <c r="AJ33" s="1127">
        <v>1</v>
      </c>
      <c r="AK33" s="1129">
        <v>5717.9364526558102</v>
      </c>
      <c r="AL33" s="1129">
        <v>0</v>
      </c>
      <c r="AM33" s="1129">
        <v>0</v>
      </c>
      <c r="AN33" s="1129">
        <v>5717.9364526558102</v>
      </c>
      <c r="AO33" s="1129" t="s">
        <v>85</v>
      </c>
      <c r="AP33" s="1129" t="s">
        <v>6605</v>
      </c>
      <c r="AQ33" s="1157" t="s">
        <v>107</v>
      </c>
      <c r="AR33" s="1129" t="s">
        <v>87</v>
      </c>
      <c r="AS33" s="1127">
        <v>0.33333333333333331</v>
      </c>
      <c r="AT33" s="1127">
        <v>0.33333333333333331</v>
      </c>
      <c r="AU33" s="1127">
        <v>0.33333333333333331</v>
      </c>
      <c r="AV33" s="1127"/>
      <c r="AW33" s="1127"/>
      <c r="AX33" s="1127"/>
      <c r="AY33" s="1127"/>
      <c r="AZ33" s="1127"/>
      <c r="BA33" s="1129">
        <v>1905.9788175519366</v>
      </c>
      <c r="BB33" s="1129">
        <v>1905.9788175519366</v>
      </c>
      <c r="BC33" s="1129">
        <v>1905.9788175519366</v>
      </c>
      <c r="BD33" s="1129">
        <v>0</v>
      </c>
      <c r="BE33" s="1129">
        <v>0</v>
      </c>
      <c r="BF33" s="1129">
        <v>0</v>
      </c>
      <c r="BG33" s="1129">
        <v>0</v>
      </c>
      <c r="BH33" s="1129">
        <v>0</v>
      </c>
      <c r="BI33" s="971"/>
      <c r="BJ33" s="971"/>
      <c r="BK33" s="971"/>
    </row>
    <row r="34" spans="1:63" s="1278" customFormat="1" ht="49.5">
      <c r="A34" s="1272">
        <v>4000</v>
      </c>
      <c r="B34" s="971" t="s">
        <v>1316</v>
      </c>
      <c r="C34" s="1272">
        <v>4500</v>
      </c>
      <c r="D34" s="971" t="s">
        <v>452</v>
      </c>
      <c r="E34" s="971" t="s">
        <v>1692</v>
      </c>
      <c r="F34" s="971" t="s">
        <v>605</v>
      </c>
      <c r="G34" s="971" t="s">
        <v>6609</v>
      </c>
      <c r="H34" s="971" t="s">
        <v>621</v>
      </c>
      <c r="I34" s="1273" t="s">
        <v>500</v>
      </c>
      <c r="J34" s="971" t="s">
        <v>124</v>
      </c>
      <c r="K34" s="971" t="s">
        <v>506</v>
      </c>
      <c r="L34" s="971" t="s">
        <v>6608</v>
      </c>
      <c r="M34" s="971" t="s">
        <v>506</v>
      </c>
      <c r="N34" s="971" t="s">
        <v>141</v>
      </c>
      <c r="O34" s="971" t="s">
        <v>507</v>
      </c>
      <c r="P34" s="971"/>
      <c r="Q34" s="971" t="s">
        <v>1754</v>
      </c>
      <c r="R34" s="971" t="s">
        <v>1752</v>
      </c>
      <c r="S34" s="1274">
        <v>334.45095694780059</v>
      </c>
      <c r="T34" s="971" t="s">
        <v>136</v>
      </c>
      <c r="U34" s="1275">
        <v>0.125</v>
      </c>
      <c r="V34" s="1275">
        <v>1.875</v>
      </c>
      <c r="W34" s="1275">
        <v>12.48917261904762</v>
      </c>
      <c r="X34" s="1275">
        <v>18.75</v>
      </c>
      <c r="Y34" s="1275">
        <v>33.114172619047622</v>
      </c>
      <c r="Z34" s="1129">
        <v>41.806369618475074</v>
      </c>
      <c r="AA34" s="1129">
        <v>627.09554427712612</v>
      </c>
      <c r="AB34" s="1129">
        <v>4177.0157339267453</v>
      </c>
      <c r="AC34" s="1129">
        <v>6270.955442771261</v>
      </c>
      <c r="AD34" s="1267">
        <v>11075.066720975134</v>
      </c>
      <c r="AE34" s="1135">
        <v>0</v>
      </c>
      <c r="AF34" s="1129">
        <v>0</v>
      </c>
      <c r="AG34" s="1127">
        <v>1</v>
      </c>
      <c r="AH34" s="1127">
        <v>0</v>
      </c>
      <c r="AI34" s="1127">
        <v>0</v>
      </c>
      <c r="AJ34" s="1127">
        <v>1</v>
      </c>
      <c r="AK34" s="1129">
        <v>11075.066720975134</v>
      </c>
      <c r="AL34" s="1129">
        <v>0</v>
      </c>
      <c r="AM34" s="1129">
        <v>0</v>
      </c>
      <c r="AN34" s="1129">
        <v>11075.066720975134</v>
      </c>
      <c r="AO34" s="1129" t="s">
        <v>85</v>
      </c>
      <c r="AP34" s="1129" t="s">
        <v>6605</v>
      </c>
      <c r="AQ34" s="1157" t="s">
        <v>107</v>
      </c>
      <c r="AR34" s="1129" t="s">
        <v>87</v>
      </c>
      <c r="AS34" s="1127">
        <v>0.33333333333333331</v>
      </c>
      <c r="AT34" s="1127">
        <v>0.33333333333333331</v>
      </c>
      <c r="AU34" s="1127">
        <v>0.33333333333333331</v>
      </c>
      <c r="AV34" s="1127"/>
      <c r="AW34" s="1127"/>
      <c r="AX34" s="1127"/>
      <c r="AY34" s="1127"/>
      <c r="AZ34" s="1127"/>
      <c r="BA34" s="1129">
        <v>3691.6889069917111</v>
      </c>
      <c r="BB34" s="1129">
        <v>3691.6889069917111</v>
      </c>
      <c r="BC34" s="1129">
        <v>3691.6889069917111</v>
      </c>
      <c r="BD34" s="1129">
        <v>0</v>
      </c>
      <c r="BE34" s="1129">
        <v>0</v>
      </c>
      <c r="BF34" s="1129">
        <v>0</v>
      </c>
      <c r="BG34" s="1129">
        <v>0</v>
      </c>
      <c r="BH34" s="1129">
        <v>0</v>
      </c>
      <c r="BI34" s="971"/>
      <c r="BJ34" s="971"/>
      <c r="BK34" s="971"/>
    </row>
    <row r="35" spans="1:63" s="1278" customFormat="1" ht="66">
      <c r="A35" s="1272">
        <v>2000</v>
      </c>
      <c r="B35" s="971" t="s">
        <v>119</v>
      </c>
      <c r="C35" s="1272">
        <v>2500</v>
      </c>
      <c r="D35" s="971" t="s">
        <v>452</v>
      </c>
      <c r="E35" s="971" t="s">
        <v>604</v>
      </c>
      <c r="F35" s="971" t="s">
        <v>605</v>
      </c>
      <c r="G35" s="971">
        <v>2523</v>
      </c>
      <c r="H35" s="971" t="s">
        <v>605</v>
      </c>
      <c r="I35" s="1273" t="s">
        <v>123</v>
      </c>
      <c r="J35" s="971" t="s">
        <v>124</v>
      </c>
      <c r="K35" s="971" t="s">
        <v>1747</v>
      </c>
      <c r="L35" s="971" t="s">
        <v>6606</v>
      </c>
      <c r="M35" s="971" t="s">
        <v>606</v>
      </c>
      <c r="N35" s="971" t="s">
        <v>488</v>
      </c>
      <c r="O35" s="971" t="s">
        <v>518</v>
      </c>
      <c r="P35" s="971"/>
      <c r="Q35" s="971" t="s">
        <v>607</v>
      </c>
      <c r="R35" s="971" t="s">
        <v>608</v>
      </c>
      <c r="S35" s="1274">
        <v>371.61217438644508</v>
      </c>
      <c r="T35" s="971" t="s">
        <v>136</v>
      </c>
      <c r="U35" s="1275">
        <v>0.56041666666666667</v>
      </c>
      <c r="V35" s="1275">
        <v>2.3537499999999998</v>
      </c>
      <c r="W35" s="1275">
        <v>55.993123908730162</v>
      </c>
      <c r="X35" s="1275">
        <v>84.0625</v>
      </c>
      <c r="Y35" s="1275">
        <v>142.40937390873017</v>
      </c>
      <c r="Z35" s="1129">
        <v>208.25765606240358</v>
      </c>
      <c r="AA35" s="1129">
        <v>874.68215546209501</v>
      </c>
      <c r="AB35" s="1129">
        <v>20807.726526412862</v>
      </c>
      <c r="AC35" s="1129">
        <v>31238.64840936054</v>
      </c>
      <c r="AD35" s="1267">
        <v>52921.057091235496</v>
      </c>
      <c r="AE35" s="1135">
        <v>1</v>
      </c>
      <c r="AF35" s="1129">
        <v>371.61217438644508</v>
      </c>
      <c r="AG35" s="1127">
        <v>1</v>
      </c>
      <c r="AH35" s="1127">
        <v>0</v>
      </c>
      <c r="AI35" s="1127">
        <v>0</v>
      </c>
      <c r="AJ35" s="1127">
        <v>1</v>
      </c>
      <c r="AK35" s="1129">
        <v>52921.057091235496</v>
      </c>
      <c r="AL35" s="1129">
        <v>0</v>
      </c>
      <c r="AM35" s="1129">
        <v>0</v>
      </c>
      <c r="AN35" s="1129">
        <v>52921.057091235496</v>
      </c>
      <c r="AO35" s="1129" t="s">
        <v>85</v>
      </c>
      <c r="AP35" s="1129" t="s">
        <v>6605</v>
      </c>
      <c r="AQ35" s="1157" t="s">
        <v>107</v>
      </c>
      <c r="AR35" s="1129" t="s">
        <v>87</v>
      </c>
      <c r="AS35" s="1127">
        <v>0.33333333333333331</v>
      </c>
      <c r="AT35" s="1127">
        <v>0.33333333333333331</v>
      </c>
      <c r="AU35" s="1127">
        <v>0.33333333333333331</v>
      </c>
      <c r="AV35" s="1127"/>
      <c r="AW35" s="1127"/>
      <c r="AX35" s="1127"/>
      <c r="AY35" s="1127"/>
      <c r="AZ35" s="1127"/>
      <c r="BA35" s="1129">
        <v>17640.352363745165</v>
      </c>
      <c r="BB35" s="1129">
        <v>17640.352363745165</v>
      </c>
      <c r="BC35" s="1129">
        <v>17640.352363745165</v>
      </c>
      <c r="BD35" s="1129">
        <v>0</v>
      </c>
      <c r="BE35" s="1129">
        <v>0</v>
      </c>
      <c r="BF35" s="1129">
        <v>0</v>
      </c>
      <c r="BG35" s="1129">
        <v>0</v>
      </c>
      <c r="BH35" s="1129">
        <v>0</v>
      </c>
      <c r="BI35" s="971" t="s">
        <v>132</v>
      </c>
      <c r="BJ35" s="971"/>
      <c r="BK35" s="971"/>
    </row>
    <row r="36" spans="1:63" s="1278" customFormat="1" ht="49.5">
      <c r="A36" s="1272">
        <v>2000</v>
      </c>
      <c r="B36" s="971" t="s">
        <v>119</v>
      </c>
      <c r="C36" s="1272">
        <v>2500</v>
      </c>
      <c r="D36" s="971" t="s">
        <v>452</v>
      </c>
      <c r="E36" s="971" t="s">
        <v>604</v>
      </c>
      <c r="F36" s="971" t="s">
        <v>605</v>
      </c>
      <c r="G36" s="971">
        <v>2523</v>
      </c>
      <c r="H36" s="971" t="s">
        <v>605</v>
      </c>
      <c r="I36" s="1273" t="s">
        <v>123</v>
      </c>
      <c r="J36" s="971" t="s">
        <v>124</v>
      </c>
      <c r="K36" s="971" t="s">
        <v>523</v>
      </c>
      <c r="L36" s="971" t="s">
        <v>6607</v>
      </c>
      <c r="M36" s="971" t="s">
        <v>523</v>
      </c>
      <c r="N36" s="971" t="s">
        <v>141</v>
      </c>
      <c r="O36" s="971" t="s">
        <v>524</v>
      </c>
      <c r="P36" s="971"/>
      <c r="Q36" s="971" t="s">
        <v>609</v>
      </c>
      <c r="R36" s="971" t="s">
        <v>608</v>
      </c>
      <c r="S36" s="1274">
        <v>371.61217438644508</v>
      </c>
      <c r="T36" s="971" t="s">
        <v>136</v>
      </c>
      <c r="U36" s="1275">
        <v>0.14520631503408685</v>
      </c>
      <c r="V36" s="1275">
        <v>2.1780947255113023</v>
      </c>
      <c r="W36" s="1275">
        <v>14.50805387069216</v>
      </c>
      <c r="X36" s="1275">
        <v>21.780947255113027</v>
      </c>
      <c r="Y36" s="1275">
        <v>38.467095851316493</v>
      </c>
      <c r="Z36" s="1129">
        <v>53.960434464460164</v>
      </c>
      <c r="AA36" s="1129">
        <v>809.40651696690236</v>
      </c>
      <c r="AB36" s="1129">
        <v>5391.3694450035946</v>
      </c>
      <c r="AC36" s="1129">
        <v>8094.0651696690247</v>
      </c>
      <c r="AD36" s="1267">
        <v>14294.841131639523</v>
      </c>
      <c r="AE36" s="1135">
        <v>0.75</v>
      </c>
      <c r="AF36" s="1129">
        <v>278.70913078983381</v>
      </c>
      <c r="AG36" s="1127">
        <v>1</v>
      </c>
      <c r="AH36" s="1127">
        <v>0</v>
      </c>
      <c r="AI36" s="1127">
        <v>0</v>
      </c>
      <c r="AJ36" s="1127">
        <v>1</v>
      </c>
      <c r="AK36" s="1129">
        <v>14294.841131639523</v>
      </c>
      <c r="AL36" s="1129">
        <v>0</v>
      </c>
      <c r="AM36" s="1129">
        <v>0</v>
      </c>
      <c r="AN36" s="1129">
        <v>14294.841131639523</v>
      </c>
      <c r="AO36" s="1129" t="s">
        <v>85</v>
      </c>
      <c r="AP36" s="1129" t="s">
        <v>6605</v>
      </c>
      <c r="AQ36" s="1157" t="s">
        <v>107</v>
      </c>
      <c r="AR36" s="1129" t="s">
        <v>87</v>
      </c>
      <c r="AS36" s="1127">
        <v>0.33333333333333331</v>
      </c>
      <c r="AT36" s="1127">
        <v>0.33333333333333331</v>
      </c>
      <c r="AU36" s="1127">
        <v>0.33333333333333331</v>
      </c>
      <c r="AV36" s="1127"/>
      <c r="AW36" s="1127"/>
      <c r="AX36" s="1127"/>
      <c r="AY36" s="1127"/>
      <c r="AZ36" s="1127"/>
      <c r="BA36" s="1129">
        <v>4764.9470438798407</v>
      </c>
      <c r="BB36" s="1129">
        <v>4764.9470438798407</v>
      </c>
      <c r="BC36" s="1129">
        <v>4764.9470438798407</v>
      </c>
      <c r="BD36" s="1129">
        <v>0</v>
      </c>
      <c r="BE36" s="1129">
        <v>0</v>
      </c>
      <c r="BF36" s="1129">
        <v>0</v>
      </c>
      <c r="BG36" s="1129">
        <v>0</v>
      </c>
      <c r="BH36" s="1129">
        <v>0</v>
      </c>
      <c r="BI36" s="971"/>
      <c r="BJ36" s="971"/>
      <c r="BK36" s="971"/>
    </row>
    <row r="37" spans="1:63" s="1278" customFormat="1" ht="49.5">
      <c r="A37" s="1272">
        <v>2000</v>
      </c>
      <c r="B37" s="971" t="s">
        <v>119</v>
      </c>
      <c r="C37" s="1272">
        <v>2500</v>
      </c>
      <c r="D37" s="971" t="s">
        <v>452</v>
      </c>
      <c r="E37" s="971" t="s">
        <v>604</v>
      </c>
      <c r="F37" s="971" t="s">
        <v>605</v>
      </c>
      <c r="G37" s="971">
        <v>2523</v>
      </c>
      <c r="H37" s="971" t="s">
        <v>605</v>
      </c>
      <c r="I37" s="1273" t="s">
        <v>123</v>
      </c>
      <c r="J37" s="971" t="s">
        <v>124</v>
      </c>
      <c r="K37" s="971" t="s">
        <v>140</v>
      </c>
      <c r="L37" s="971" t="s">
        <v>2909</v>
      </c>
      <c r="M37" s="971" t="s">
        <v>140</v>
      </c>
      <c r="N37" s="971" t="s">
        <v>141</v>
      </c>
      <c r="O37" s="971" t="s">
        <v>3280</v>
      </c>
      <c r="P37" s="971"/>
      <c r="Q37" s="971" t="s">
        <v>610</v>
      </c>
      <c r="R37" s="971" t="s">
        <v>608</v>
      </c>
      <c r="S37" s="1274">
        <v>371.61217438644508</v>
      </c>
      <c r="T37" s="971" t="s">
        <v>136</v>
      </c>
      <c r="U37" s="1275">
        <v>0</v>
      </c>
      <c r="V37" s="1275">
        <v>0</v>
      </c>
      <c r="W37" s="1275">
        <v>0</v>
      </c>
      <c r="X37" s="1275">
        <v>0</v>
      </c>
      <c r="Y37" s="1275">
        <v>0</v>
      </c>
      <c r="Z37" s="1129">
        <v>0</v>
      </c>
      <c r="AA37" s="1129">
        <v>0</v>
      </c>
      <c r="AB37" s="1129">
        <v>0</v>
      </c>
      <c r="AC37" s="1129">
        <v>0</v>
      </c>
      <c r="AD37" s="1267">
        <v>0</v>
      </c>
      <c r="AE37" s="1135">
        <v>0</v>
      </c>
      <c r="AF37" s="1129">
        <v>0</v>
      </c>
      <c r="AG37" s="1127">
        <v>1</v>
      </c>
      <c r="AH37" s="1127">
        <v>0</v>
      </c>
      <c r="AI37" s="1127">
        <v>0</v>
      </c>
      <c r="AJ37" s="1127">
        <v>1</v>
      </c>
      <c r="AK37" s="1129">
        <v>0</v>
      </c>
      <c r="AL37" s="1129">
        <v>0</v>
      </c>
      <c r="AM37" s="1129">
        <v>0</v>
      </c>
      <c r="AN37" s="1129">
        <v>0</v>
      </c>
      <c r="AO37" s="1129" t="s">
        <v>85</v>
      </c>
      <c r="AP37" s="1129" t="s">
        <v>6605</v>
      </c>
      <c r="AQ37" s="1157" t="s">
        <v>107</v>
      </c>
      <c r="AR37" s="1129" t="s">
        <v>87</v>
      </c>
      <c r="AS37" s="1127">
        <v>0.33333333333333331</v>
      </c>
      <c r="AT37" s="1127">
        <v>0.33333333333333331</v>
      </c>
      <c r="AU37" s="1127">
        <v>0.33333333333333331</v>
      </c>
      <c r="AV37" s="1127"/>
      <c r="AW37" s="1127"/>
      <c r="AX37" s="1127"/>
      <c r="AY37" s="1127"/>
      <c r="AZ37" s="1127"/>
      <c r="BA37" s="1129">
        <v>0</v>
      </c>
      <c r="BB37" s="1129">
        <v>0</v>
      </c>
      <c r="BC37" s="1129">
        <v>0</v>
      </c>
      <c r="BD37" s="1129">
        <v>0</v>
      </c>
      <c r="BE37" s="1129">
        <v>0</v>
      </c>
      <c r="BF37" s="1129">
        <v>0</v>
      </c>
      <c r="BG37" s="1129">
        <v>0</v>
      </c>
      <c r="BH37" s="1129">
        <v>0</v>
      </c>
      <c r="BI37" s="971"/>
      <c r="BJ37" s="971"/>
      <c r="BK37" s="971"/>
    </row>
    <row r="38" spans="1:63" s="1278" customFormat="1" ht="66">
      <c r="A38" s="1272">
        <v>2000</v>
      </c>
      <c r="B38" s="971" t="s">
        <v>119</v>
      </c>
      <c r="C38" s="1272">
        <v>2700</v>
      </c>
      <c r="D38" s="971" t="s">
        <v>912</v>
      </c>
      <c r="E38" s="971" t="s">
        <v>1026</v>
      </c>
      <c r="F38" s="971" t="s">
        <v>913</v>
      </c>
      <c r="G38" s="971">
        <v>2750</v>
      </c>
      <c r="H38" s="971" t="s">
        <v>913</v>
      </c>
      <c r="I38" s="1273" t="s">
        <v>503</v>
      </c>
      <c r="J38" s="971" t="s">
        <v>124</v>
      </c>
      <c r="K38" s="971" t="s">
        <v>784</v>
      </c>
      <c r="L38" s="971" t="s">
        <v>2852</v>
      </c>
      <c r="M38" s="971" t="s">
        <v>458</v>
      </c>
      <c r="N38" s="971" t="s">
        <v>127</v>
      </c>
      <c r="O38" s="971" t="s">
        <v>459</v>
      </c>
      <c r="P38" s="971"/>
      <c r="Q38" s="971" t="s">
        <v>1063</v>
      </c>
      <c r="R38" s="971" t="s">
        <v>1064</v>
      </c>
      <c r="S38" s="1274">
        <v>37.161217438644513</v>
      </c>
      <c r="T38" s="971" t="s">
        <v>136</v>
      </c>
      <c r="U38" s="1275">
        <v>0.22416666666666665</v>
      </c>
      <c r="V38" s="1275">
        <v>3.3624999999999998</v>
      </c>
      <c r="W38" s="1275">
        <v>22.397249563492064</v>
      </c>
      <c r="X38" s="1275">
        <v>33.625</v>
      </c>
      <c r="Y38" s="1275">
        <v>59.384749563492065</v>
      </c>
      <c r="Z38" s="1129">
        <v>8.3303062424961443</v>
      </c>
      <c r="AA38" s="1129">
        <v>124.95459363744217</v>
      </c>
      <c r="AB38" s="1129">
        <v>832.30906105651445</v>
      </c>
      <c r="AC38" s="1129">
        <v>1249.5459363744217</v>
      </c>
      <c r="AD38" s="1267">
        <v>2206.8095910683783</v>
      </c>
      <c r="AE38" s="1135">
        <v>1</v>
      </c>
      <c r="AF38" s="1129">
        <v>37.161217438644513</v>
      </c>
      <c r="AG38" s="1127">
        <v>1</v>
      </c>
      <c r="AH38" s="1127">
        <v>0</v>
      </c>
      <c r="AI38" s="1127">
        <v>0</v>
      </c>
      <c r="AJ38" s="1127">
        <v>1</v>
      </c>
      <c r="AK38" s="1129">
        <v>2206.8095910683783</v>
      </c>
      <c r="AL38" s="1129">
        <v>0</v>
      </c>
      <c r="AM38" s="1129">
        <v>0</v>
      </c>
      <c r="AN38" s="1129">
        <v>2206.8095910683783</v>
      </c>
      <c r="AO38" s="1129" t="s">
        <v>85</v>
      </c>
      <c r="AP38" s="1129" t="s">
        <v>6605</v>
      </c>
      <c r="AQ38" s="1157" t="s">
        <v>107</v>
      </c>
      <c r="AR38" s="1129" t="s">
        <v>87</v>
      </c>
      <c r="AS38" s="1127">
        <v>0.33333333333333331</v>
      </c>
      <c r="AT38" s="1127">
        <v>0.33333333333333331</v>
      </c>
      <c r="AU38" s="1127">
        <v>0.33333333333333331</v>
      </c>
      <c r="AV38" s="1127"/>
      <c r="AW38" s="1127"/>
      <c r="AX38" s="1127"/>
      <c r="AY38" s="1127"/>
      <c r="AZ38" s="1127"/>
      <c r="BA38" s="1129">
        <v>735.60319702279276</v>
      </c>
      <c r="BB38" s="1129">
        <v>735.60319702279276</v>
      </c>
      <c r="BC38" s="1129">
        <v>735.60319702279276</v>
      </c>
      <c r="BD38" s="1129">
        <v>0</v>
      </c>
      <c r="BE38" s="1129">
        <v>0</v>
      </c>
      <c r="BF38" s="1129">
        <v>0</v>
      </c>
      <c r="BG38" s="1129">
        <v>0</v>
      </c>
      <c r="BH38" s="1129">
        <v>0</v>
      </c>
      <c r="BI38" s="971" t="s">
        <v>132</v>
      </c>
      <c r="BJ38" s="971"/>
      <c r="BK38" s="971"/>
    </row>
    <row r="39" spans="1:63" s="1278" customFormat="1" ht="49.5">
      <c r="A39" s="1272">
        <v>2000</v>
      </c>
      <c r="B39" s="971" t="s">
        <v>119</v>
      </c>
      <c r="C39" s="1272">
        <v>2700</v>
      </c>
      <c r="D39" s="971" t="s">
        <v>912</v>
      </c>
      <c r="E39" s="971" t="s">
        <v>1026</v>
      </c>
      <c r="F39" s="971" t="s">
        <v>913</v>
      </c>
      <c r="G39" s="971">
        <v>2750</v>
      </c>
      <c r="H39" s="971" t="s">
        <v>913</v>
      </c>
      <c r="I39" s="1273" t="s">
        <v>503</v>
      </c>
      <c r="J39" s="971" t="s">
        <v>124</v>
      </c>
      <c r="K39" s="971" t="s">
        <v>140</v>
      </c>
      <c r="L39" s="971" t="s">
        <v>2909</v>
      </c>
      <c r="M39" s="971" t="s">
        <v>140</v>
      </c>
      <c r="N39" s="971" t="s">
        <v>141</v>
      </c>
      <c r="O39" s="971" t="s">
        <v>3280</v>
      </c>
      <c r="P39" s="971"/>
      <c r="Q39" s="971" t="s">
        <v>1065</v>
      </c>
      <c r="R39" s="971" t="s">
        <v>1064</v>
      </c>
      <c r="S39" s="1274">
        <v>37.161217438644513</v>
      </c>
      <c r="T39" s="971" t="s">
        <v>136</v>
      </c>
      <c r="U39" s="1275">
        <v>0</v>
      </c>
      <c r="V39" s="1275">
        <v>0</v>
      </c>
      <c r="W39" s="1275">
        <v>0</v>
      </c>
      <c r="X39" s="1275">
        <v>0</v>
      </c>
      <c r="Y39" s="1275">
        <v>0</v>
      </c>
      <c r="Z39" s="1129">
        <v>0</v>
      </c>
      <c r="AA39" s="1129">
        <v>0</v>
      </c>
      <c r="AB39" s="1129">
        <v>0</v>
      </c>
      <c r="AC39" s="1129">
        <v>0</v>
      </c>
      <c r="AD39" s="1267">
        <v>0</v>
      </c>
      <c r="AE39" s="1135">
        <v>0</v>
      </c>
      <c r="AF39" s="1129">
        <v>0</v>
      </c>
      <c r="AG39" s="1127">
        <v>1</v>
      </c>
      <c r="AH39" s="1127">
        <v>0</v>
      </c>
      <c r="AI39" s="1127">
        <v>0</v>
      </c>
      <c r="AJ39" s="1127">
        <v>1</v>
      </c>
      <c r="AK39" s="1129">
        <v>0</v>
      </c>
      <c r="AL39" s="1129">
        <v>0</v>
      </c>
      <c r="AM39" s="1129">
        <v>0</v>
      </c>
      <c r="AN39" s="1129">
        <v>0</v>
      </c>
      <c r="AO39" s="1129" t="s">
        <v>85</v>
      </c>
      <c r="AP39" s="1129" t="s">
        <v>6605</v>
      </c>
      <c r="AQ39" s="1157" t="s">
        <v>107</v>
      </c>
      <c r="AR39" s="1129" t="s">
        <v>87</v>
      </c>
      <c r="AS39" s="1127">
        <v>0.33333333333333331</v>
      </c>
      <c r="AT39" s="1127">
        <v>0.33333333333333331</v>
      </c>
      <c r="AU39" s="1127">
        <v>0.33333333333333331</v>
      </c>
      <c r="AV39" s="1127"/>
      <c r="AW39" s="1127"/>
      <c r="AX39" s="1127"/>
      <c r="AY39" s="1127"/>
      <c r="AZ39" s="1127"/>
      <c r="BA39" s="1129">
        <v>0</v>
      </c>
      <c r="BB39" s="1129">
        <v>0</v>
      </c>
      <c r="BC39" s="1129">
        <v>0</v>
      </c>
      <c r="BD39" s="1129">
        <v>0</v>
      </c>
      <c r="BE39" s="1129">
        <v>0</v>
      </c>
      <c r="BF39" s="1129">
        <v>0</v>
      </c>
      <c r="BG39" s="1129">
        <v>0</v>
      </c>
      <c r="BH39" s="1129">
        <v>0</v>
      </c>
      <c r="BI39" s="971"/>
      <c r="BJ39" s="971"/>
      <c r="BK39" s="971"/>
    </row>
    <row r="40" spans="1:63" s="1278" customFormat="1" ht="49.5">
      <c r="A40" s="1272">
        <v>2000</v>
      </c>
      <c r="B40" s="971" t="s">
        <v>119</v>
      </c>
      <c r="C40" s="1272">
        <v>2700</v>
      </c>
      <c r="D40" s="971" t="s">
        <v>912</v>
      </c>
      <c r="E40" s="971" t="s">
        <v>1026</v>
      </c>
      <c r="F40" s="971" t="s">
        <v>913</v>
      </c>
      <c r="G40" s="971">
        <v>2750</v>
      </c>
      <c r="H40" s="971" t="s">
        <v>913</v>
      </c>
      <c r="I40" s="1273" t="s">
        <v>503</v>
      </c>
      <c r="J40" s="971" t="s">
        <v>124</v>
      </c>
      <c r="K40" s="971"/>
      <c r="L40" s="971" t="e">
        <v>#N/A</v>
      </c>
      <c r="M40" s="971" t="s">
        <v>145</v>
      </c>
      <c r="N40" s="971" t="s">
        <v>141</v>
      </c>
      <c r="O40" s="971" t="s">
        <v>146</v>
      </c>
      <c r="P40" s="971"/>
      <c r="Q40" s="971" t="s">
        <v>1066</v>
      </c>
      <c r="R40" s="971" t="s">
        <v>1064</v>
      </c>
      <c r="S40" s="1274">
        <v>37.161217438644513</v>
      </c>
      <c r="T40" s="971" t="s">
        <v>136</v>
      </c>
      <c r="U40" s="1275" t="s">
        <v>6588</v>
      </c>
      <c r="V40" s="1275" t="s">
        <v>6588</v>
      </c>
      <c r="W40" s="1275" t="s">
        <v>6588</v>
      </c>
      <c r="X40" s="1275" t="s">
        <v>6588</v>
      </c>
      <c r="Y40" s="1275" t="s">
        <v>6588</v>
      </c>
      <c r="Z40" s="1129">
        <v>0</v>
      </c>
      <c r="AA40" s="1129">
        <v>0</v>
      </c>
      <c r="AB40" s="1129">
        <v>0</v>
      </c>
      <c r="AC40" s="1129">
        <v>0</v>
      </c>
      <c r="AD40" s="1267">
        <v>0</v>
      </c>
      <c r="AE40" s="1135">
        <v>0</v>
      </c>
      <c r="AF40" s="1129">
        <v>0</v>
      </c>
      <c r="AG40" s="1127">
        <v>1</v>
      </c>
      <c r="AH40" s="1127">
        <v>0</v>
      </c>
      <c r="AI40" s="1127">
        <v>0</v>
      </c>
      <c r="AJ40" s="1127">
        <v>1</v>
      </c>
      <c r="AK40" s="1129">
        <v>0</v>
      </c>
      <c r="AL40" s="1129">
        <v>0</v>
      </c>
      <c r="AM40" s="1129">
        <v>0</v>
      </c>
      <c r="AN40" s="1129">
        <v>0</v>
      </c>
      <c r="AO40" s="1129" t="s">
        <v>85</v>
      </c>
      <c r="AP40" s="1129" t="s">
        <v>6605</v>
      </c>
      <c r="AQ40" s="1157" t="s">
        <v>107</v>
      </c>
      <c r="AR40" s="1129" t="s">
        <v>87</v>
      </c>
      <c r="AS40" s="1127">
        <v>0.33333333333333331</v>
      </c>
      <c r="AT40" s="1127">
        <v>0.33333333333333331</v>
      </c>
      <c r="AU40" s="1127">
        <v>0.33333333333333331</v>
      </c>
      <c r="AV40" s="1127"/>
      <c r="AW40" s="1127"/>
      <c r="AX40" s="1127"/>
      <c r="AY40" s="1127"/>
      <c r="AZ40" s="1127"/>
      <c r="BA40" s="1129">
        <v>0</v>
      </c>
      <c r="BB40" s="1129">
        <v>0</v>
      </c>
      <c r="BC40" s="1129">
        <v>0</v>
      </c>
      <c r="BD40" s="1129">
        <v>0</v>
      </c>
      <c r="BE40" s="1129">
        <v>0</v>
      </c>
      <c r="BF40" s="1129">
        <v>0</v>
      </c>
      <c r="BG40" s="1129">
        <v>0</v>
      </c>
      <c r="BH40" s="1129">
        <v>0</v>
      </c>
      <c r="BI40" s="971"/>
      <c r="BJ40" s="971"/>
      <c r="BK40" s="971"/>
    </row>
    <row r="41" spans="1:63" s="1278" customFormat="1" ht="66">
      <c r="A41" s="1272">
        <v>2000</v>
      </c>
      <c r="B41" s="971" t="s">
        <v>119</v>
      </c>
      <c r="C41" s="1272">
        <v>2700</v>
      </c>
      <c r="D41" s="971" t="s">
        <v>912</v>
      </c>
      <c r="E41" s="971" t="s">
        <v>1026</v>
      </c>
      <c r="F41" s="971" t="s">
        <v>913</v>
      </c>
      <c r="G41" s="971">
        <v>2750</v>
      </c>
      <c r="H41" s="971" t="s">
        <v>913</v>
      </c>
      <c r="I41" s="1273" t="s">
        <v>1067</v>
      </c>
      <c r="J41" s="971" t="s">
        <v>124</v>
      </c>
      <c r="K41" s="971" t="s">
        <v>784</v>
      </c>
      <c r="L41" s="971" t="s">
        <v>2852</v>
      </c>
      <c r="M41" s="971" t="s">
        <v>458</v>
      </c>
      <c r="N41" s="971" t="s">
        <v>127</v>
      </c>
      <c r="O41" s="971" t="s">
        <v>459</v>
      </c>
      <c r="P41" s="971"/>
      <c r="Q41" s="971" t="s">
        <v>1068</v>
      </c>
      <c r="R41" s="971" t="s">
        <v>1069</v>
      </c>
      <c r="S41" s="1274">
        <v>37.161217438644513</v>
      </c>
      <c r="T41" s="971" t="s">
        <v>136</v>
      </c>
      <c r="U41" s="1275">
        <v>0.22416666666666665</v>
      </c>
      <c r="V41" s="1275">
        <v>3.3624999999999998</v>
      </c>
      <c r="W41" s="1275">
        <v>22.397249563492064</v>
      </c>
      <c r="X41" s="1275">
        <v>33.625</v>
      </c>
      <c r="Y41" s="1275">
        <v>59.384749563492065</v>
      </c>
      <c r="Z41" s="1129">
        <v>8.3303062424961443</v>
      </c>
      <c r="AA41" s="1129">
        <v>124.95459363744217</v>
      </c>
      <c r="AB41" s="1129">
        <v>832.30906105651445</v>
      </c>
      <c r="AC41" s="1129">
        <v>1249.5459363744217</v>
      </c>
      <c r="AD41" s="1267">
        <v>2206.8095910683783</v>
      </c>
      <c r="AE41" s="1135">
        <v>1</v>
      </c>
      <c r="AF41" s="1129">
        <v>37.161217438644513</v>
      </c>
      <c r="AG41" s="1127">
        <v>1</v>
      </c>
      <c r="AH41" s="1127">
        <v>0</v>
      </c>
      <c r="AI41" s="1127">
        <v>0</v>
      </c>
      <c r="AJ41" s="1127">
        <v>1</v>
      </c>
      <c r="AK41" s="1129">
        <v>2206.8095910683783</v>
      </c>
      <c r="AL41" s="1129">
        <v>0</v>
      </c>
      <c r="AM41" s="1129">
        <v>0</v>
      </c>
      <c r="AN41" s="1129">
        <v>2206.8095910683783</v>
      </c>
      <c r="AO41" s="1129" t="s">
        <v>85</v>
      </c>
      <c r="AP41" s="1129" t="s">
        <v>6605</v>
      </c>
      <c r="AQ41" s="1157" t="s">
        <v>107</v>
      </c>
      <c r="AR41" s="1129" t="s">
        <v>87</v>
      </c>
      <c r="AS41" s="1127">
        <v>0.33333333333333331</v>
      </c>
      <c r="AT41" s="1127">
        <v>0.33333333333333331</v>
      </c>
      <c r="AU41" s="1127">
        <v>0.33333333333333331</v>
      </c>
      <c r="AV41" s="1127"/>
      <c r="AW41" s="1127"/>
      <c r="AX41" s="1127"/>
      <c r="AY41" s="1127"/>
      <c r="AZ41" s="1127"/>
      <c r="BA41" s="1129">
        <v>735.60319702279276</v>
      </c>
      <c r="BB41" s="1129">
        <v>735.60319702279276</v>
      </c>
      <c r="BC41" s="1129">
        <v>735.60319702279276</v>
      </c>
      <c r="BD41" s="1129">
        <v>0</v>
      </c>
      <c r="BE41" s="1129">
        <v>0</v>
      </c>
      <c r="BF41" s="1129">
        <v>0</v>
      </c>
      <c r="BG41" s="1129">
        <v>0</v>
      </c>
      <c r="BH41" s="1129">
        <v>0</v>
      </c>
      <c r="BI41" s="971" t="s">
        <v>132</v>
      </c>
      <c r="BJ41" s="971"/>
      <c r="BK41" s="971"/>
    </row>
    <row r="42" spans="1:63" s="1278" customFormat="1" ht="49.5">
      <c r="A42" s="1272">
        <v>2000</v>
      </c>
      <c r="B42" s="971" t="s">
        <v>119</v>
      </c>
      <c r="C42" s="1272">
        <v>2700</v>
      </c>
      <c r="D42" s="971" t="s">
        <v>912</v>
      </c>
      <c r="E42" s="971" t="s">
        <v>1026</v>
      </c>
      <c r="F42" s="971" t="s">
        <v>913</v>
      </c>
      <c r="G42" s="971">
        <v>2750</v>
      </c>
      <c r="H42" s="971" t="s">
        <v>913</v>
      </c>
      <c r="I42" s="1273" t="s">
        <v>1067</v>
      </c>
      <c r="J42" s="971" t="s">
        <v>124</v>
      </c>
      <c r="K42" s="971" t="s">
        <v>140</v>
      </c>
      <c r="L42" s="971" t="s">
        <v>2909</v>
      </c>
      <c r="M42" s="971" t="s">
        <v>140</v>
      </c>
      <c r="N42" s="971" t="s">
        <v>141</v>
      </c>
      <c r="O42" s="971" t="s">
        <v>3280</v>
      </c>
      <c r="P42" s="971"/>
      <c r="Q42" s="971" t="s">
        <v>1070</v>
      </c>
      <c r="R42" s="971" t="s">
        <v>1069</v>
      </c>
      <c r="S42" s="1274">
        <v>37.161217438644513</v>
      </c>
      <c r="T42" s="971" t="s">
        <v>136</v>
      </c>
      <c r="U42" s="1275">
        <v>0</v>
      </c>
      <c r="V42" s="1275">
        <v>0</v>
      </c>
      <c r="W42" s="1275">
        <v>0</v>
      </c>
      <c r="X42" s="1275">
        <v>0</v>
      </c>
      <c r="Y42" s="1275">
        <v>0</v>
      </c>
      <c r="Z42" s="1129">
        <v>0</v>
      </c>
      <c r="AA42" s="1129">
        <v>0</v>
      </c>
      <c r="AB42" s="1129">
        <v>0</v>
      </c>
      <c r="AC42" s="1129">
        <v>0</v>
      </c>
      <c r="AD42" s="1267">
        <v>0</v>
      </c>
      <c r="AE42" s="1135">
        <v>0</v>
      </c>
      <c r="AF42" s="1129">
        <v>0</v>
      </c>
      <c r="AG42" s="1127">
        <v>1</v>
      </c>
      <c r="AH42" s="1127">
        <v>0</v>
      </c>
      <c r="AI42" s="1127">
        <v>0</v>
      </c>
      <c r="AJ42" s="1127">
        <v>1</v>
      </c>
      <c r="AK42" s="1129">
        <v>0</v>
      </c>
      <c r="AL42" s="1129">
        <v>0</v>
      </c>
      <c r="AM42" s="1129">
        <v>0</v>
      </c>
      <c r="AN42" s="1129">
        <v>0</v>
      </c>
      <c r="AO42" s="1129" t="s">
        <v>85</v>
      </c>
      <c r="AP42" s="1129" t="s">
        <v>6605</v>
      </c>
      <c r="AQ42" s="1157" t="s">
        <v>107</v>
      </c>
      <c r="AR42" s="1129" t="s">
        <v>87</v>
      </c>
      <c r="AS42" s="1127">
        <v>0.33333333333333331</v>
      </c>
      <c r="AT42" s="1127">
        <v>0.33333333333333331</v>
      </c>
      <c r="AU42" s="1127">
        <v>0.33333333333333331</v>
      </c>
      <c r="AV42" s="1127"/>
      <c r="AW42" s="1127"/>
      <c r="AX42" s="1127"/>
      <c r="AY42" s="1127"/>
      <c r="AZ42" s="1127"/>
      <c r="BA42" s="1129">
        <v>0</v>
      </c>
      <c r="BB42" s="1129">
        <v>0</v>
      </c>
      <c r="BC42" s="1129">
        <v>0</v>
      </c>
      <c r="BD42" s="1129">
        <v>0</v>
      </c>
      <c r="BE42" s="1129">
        <v>0</v>
      </c>
      <c r="BF42" s="1129">
        <v>0</v>
      </c>
      <c r="BG42" s="1129">
        <v>0</v>
      </c>
      <c r="BH42" s="1129">
        <v>0</v>
      </c>
      <c r="BI42" s="971"/>
      <c r="BJ42" s="971"/>
      <c r="BK42" s="971"/>
    </row>
    <row r="43" spans="1:63" s="1278" customFormat="1" ht="49.5">
      <c r="A43" s="1272">
        <v>2000</v>
      </c>
      <c r="B43" s="971" t="s">
        <v>119</v>
      </c>
      <c r="C43" s="1272">
        <v>2700</v>
      </c>
      <c r="D43" s="971" t="s">
        <v>912</v>
      </c>
      <c r="E43" s="971" t="s">
        <v>1026</v>
      </c>
      <c r="F43" s="971" t="s">
        <v>913</v>
      </c>
      <c r="G43" s="971">
        <v>2750</v>
      </c>
      <c r="H43" s="971" t="s">
        <v>913</v>
      </c>
      <c r="I43" s="1273" t="s">
        <v>1067</v>
      </c>
      <c r="J43" s="971" t="s">
        <v>124</v>
      </c>
      <c r="K43" s="971"/>
      <c r="L43" s="971" t="e">
        <v>#N/A</v>
      </c>
      <c r="M43" s="971" t="s">
        <v>145</v>
      </c>
      <c r="N43" s="971" t="s">
        <v>141</v>
      </c>
      <c r="O43" s="971" t="s">
        <v>146</v>
      </c>
      <c r="P43" s="971"/>
      <c r="Q43" s="971" t="s">
        <v>1071</v>
      </c>
      <c r="R43" s="971" t="s">
        <v>1069</v>
      </c>
      <c r="S43" s="1274">
        <v>37.161217438644513</v>
      </c>
      <c r="T43" s="971" t="s">
        <v>136</v>
      </c>
      <c r="U43" s="1275" t="s">
        <v>6588</v>
      </c>
      <c r="V43" s="1275" t="s">
        <v>6588</v>
      </c>
      <c r="W43" s="1275" t="s">
        <v>6588</v>
      </c>
      <c r="X43" s="1275" t="s">
        <v>6588</v>
      </c>
      <c r="Y43" s="1275" t="s">
        <v>6588</v>
      </c>
      <c r="Z43" s="1129">
        <v>0</v>
      </c>
      <c r="AA43" s="1129">
        <v>0</v>
      </c>
      <c r="AB43" s="1129">
        <v>0</v>
      </c>
      <c r="AC43" s="1129">
        <v>0</v>
      </c>
      <c r="AD43" s="1267">
        <v>0</v>
      </c>
      <c r="AE43" s="1135">
        <v>0</v>
      </c>
      <c r="AF43" s="1129">
        <v>0</v>
      </c>
      <c r="AG43" s="1127">
        <v>1</v>
      </c>
      <c r="AH43" s="1127">
        <v>0</v>
      </c>
      <c r="AI43" s="1127">
        <v>0</v>
      </c>
      <c r="AJ43" s="1127">
        <v>1</v>
      </c>
      <c r="AK43" s="1129">
        <v>0</v>
      </c>
      <c r="AL43" s="1129">
        <v>0</v>
      </c>
      <c r="AM43" s="1129">
        <v>0</v>
      </c>
      <c r="AN43" s="1129">
        <v>0</v>
      </c>
      <c r="AO43" s="1129" t="s">
        <v>85</v>
      </c>
      <c r="AP43" s="1129" t="s">
        <v>6605</v>
      </c>
      <c r="AQ43" s="1157" t="s">
        <v>107</v>
      </c>
      <c r="AR43" s="1129" t="s">
        <v>87</v>
      </c>
      <c r="AS43" s="1127">
        <v>0.33333333333333331</v>
      </c>
      <c r="AT43" s="1127">
        <v>0.33333333333333331</v>
      </c>
      <c r="AU43" s="1127">
        <v>0.33333333333333331</v>
      </c>
      <c r="AV43" s="1127"/>
      <c r="AW43" s="1127"/>
      <c r="AX43" s="1127"/>
      <c r="AY43" s="1127"/>
      <c r="AZ43" s="1127"/>
      <c r="BA43" s="1129">
        <v>0</v>
      </c>
      <c r="BB43" s="1129">
        <v>0</v>
      </c>
      <c r="BC43" s="1129">
        <v>0</v>
      </c>
      <c r="BD43" s="1129">
        <v>0</v>
      </c>
      <c r="BE43" s="1129">
        <v>0</v>
      </c>
      <c r="BF43" s="1129">
        <v>0</v>
      </c>
      <c r="BG43" s="1129">
        <v>0</v>
      </c>
      <c r="BH43" s="1129">
        <v>0</v>
      </c>
      <c r="BI43" s="971"/>
      <c r="BJ43" s="971"/>
      <c r="BK43" s="971"/>
    </row>
    <row r="44" spans="1:63" s="1278" customFormat="1" ht="82.5" customHeight="1">
      <c r="A44" s="1272">
        <v>3000</v>
      </c>
      <c r="B44" s="971" t="s">
        <v>1072</v>
      </c>
      <c r="C44" s="1272">
        <v>3100</v>
      </c>
      <c r="D44" s="971" t="s">
        <v>120</v>
      </c>
      <c r="E44" s="971">
        <v>3130</v>
      </c>
      <c r="F44" s="971" t="s">
        <v>148</v>
      </c>
      <c r="G44" s="971">
        <v>3130</v>
      </c>
      <c r="H44" s="971" t="s">
        <v>148</v>
      </c>
      <c r="I44" s="1273"/>
      <c r="J44" s="971"/>
      <c r="K44" s="971" t="s">
        <v>1269</v>
      </c>
      <c r="L44" s="971" t="s">
        <v>2804</v>
      </c>
      <c r="M44" s="971" t="s">
        <v>1269</v>
      </c>
      <c r="N44" s="971" t="s">
        <v>83</v>
      </c>
      <c r="O44" s="971" t="s">
        <v>1270</v>
      </c>
      <c r="P44" s="1266"/>
      <c r="Q44" s="971" t="s">
        <v>1272</v>
      </c>
      <c r="R44" s="971"/>
      <c r="S44" s="1274">
        <v>31521</v>
      </c>
      <c r="T44" s="971" t="s">
        <v>136</v>
      </c>
      <c r="U44" s="1275">
        <v>1.9034821406249999E-2</v>
      </c>
      <c r="V44" s="1275">
        <v>0.21937499999999999</v>
      </c>
      <c r="W44" s="1275">
        <v>1.9034821406249995</v>
      </c>
      <c r="X44" s="1275">
        <v>0.59481801866319439</v>
      </c>
      <c r="Y44" s="1275">
        <v>2.7154430186631942</v>
      </c>
      <c r="Z44" s="1129">
        <v>599.99660554640627</v>
      </c>
      <c r="AA44" s="1129">
        <v>6914.9193749999995</v>
      </c>
      <c r="AB44" s="1129">
        <v>59999.660554640614</v>
      </c>
      <c r="AC44" s="1129">
        <v>18749.25876628255</v>
      </c>
      <c r="AD44" s="1098">
        <v>85663.838695923201</v>
      </c>
      <c r="AE44" s="1237">
        <v>0</v>
      </c>
      <c r="AF44" s="1133">
        <v>0</v>
      </c>
      <c r="AG44" s="1127">
        <v>1</v>
      </c>
      <c r="AH44" s="1127">
        <v>0</v>
      </c>
      <c r="AI44" s="1127">
        <v>0</v>
      </c>
      <c r="AJ44" s="1127">
        <v>1</v>
      </c>
      <c r="AK44" s="1129">
        <v>85663.838695923172</v>
      </c>
      <c r="AL44" s="1129">
        <v>0</v>
      </c>
      <c r="AM44" s="1129">
        <v>0</v>
      </c>
      <c r="AN44" s="1129">
        <v>85663.838695923172</v>
      </c>
      <c r="AO44" s="1129" t="s">
        <v>85</v>
      </c>
      <c r="AP44" s="1129" t="s">
        <v>6605</v>
      </c>
      <c r="AQ44" s="1157">
        <v>2014</v>
      </c>
      <c r="AR44" s="1129" t="s">
        <v>87</v>
      </c>
      <c r="AS44" s="1127">
        <v>0.5</v>
      </c>
      <c r="AT44" s="1127">
        <v>0.5</v>
      </c>
      <c r="AU44" s="1127"/>
      <c r="AV44" s="1127"/>
      <c r="AW44" s="1127"/>
      <c r="AX44" s="1127"/>
      <c r="AY44" s="1127"/>
      <c r="AZ44" s="1127"/>
      <c r="BA44" s="1129">
        <v>42831.919347961586</v>
      </c>
      <c r="BB44" s="1129">
        <v>42831.919347961586</v>
      </c>
      <c r="BC44" s="1129">
        <v>0</v>
      </c>
      <c r="BD44" s="1129">
        <v>0</v>
      </c>
      <c r="BE44" s="1129">
        <v>0</v>
      </c>
      <c r="BF44" s="1129">
        <v>0</v>
      </c>
      <c r="BG44" s="1129">
        <v>0</v>
      </c>
      <c r="BH44" s="1129">
        <v>0</v>
      </c>
      <c r="BI44" s="971" t="s">
        <v>1273</v>
      </c>
      <c r="BJ44" s="971"/>
      <c r="BK44" s="971"/>
    </row>
    <row r="45" spans="1:63" s="1278" customFormat="1" ht="49.5" customHeight="1">
      <c r="A45" s="1272">
        <v>3000</v>
      </c>
      <c r="B45" s="971" t="s">
        <v>1072</v>
      </c>
      <c r="C45" s="1272">
        <v>3100</v>
      </c>
      <c r="D45" s="971" t="s">
        <v>120</v>
      </c>
      <c r="E45" s="971">
        <v>3130</v>
      </c>
      <c r="F45" s="971" t="s">
        <v>148</v>
      </c>
      <c r="G45" s="971">
        <v>3138</v>
      </c>
      <c r="H45" s="971" t="s">
        <v>1276</v>
      </c>
      <c r="I45" s="1273"/>
      <c r="J45" s="971" t="s">
        <v>121</v>
      </c>
      <c r="K45" s="971" t="s">
        <v>150</v>
      </c>
      <c r="L45" s="971" t="s">
        <v>2800</v>
      </c>
      <c r="M45" s="971" t="s">
        <v>80</v>
      </c>
      <c r="N45" s="971" t="s">
        <v>83</v>
      </c>
      <c r="O45" s="971" t="s">
        <v>151</v>
      </c>
      <c r="P45" s="1266" t="s">
        <v>152</v>
      </c>
      <c r="Q45" s="971" t="s">
        <v>1276</v>
      </c>
      <c r="R45" s="971"/>
      <c r="S45" s="1274">
        <v>948730</v>
      </c>
      <c r="T45" s="971" t="s">
        <v>136</v>
      </c>
      <c r="U45" s="1275">
        <v>1.2689880937499998E-2</v>
      </c>
      <c r="V45" s="1275">
        <v>0.14624999999999999</v>
      </c>
      <c r="W45" s="1275">
        <v>1.2689880937499998</v>
      </c>
      <c r="X45" s="1275">
        <v>0.39654534577546297</v>
      </c>
      <c r="Y45" s="1275">
        <v>1.81029534577546</v>
      </c>
      <c r="Z45" s="1129">
        <v>12039.270741834374</v>
      </c>
      <c r="AA45" s="1129">
        <v>138751.76249999998</v>
      </c>
      <c r="AB45" s="1129">
        <v>1203927.0741834373</v>
      </c>
      <c r="AC45" s="1129">
        <v>376214.465897555</v>
      </c>
      <c r="AD45" s="1098">
        <v>1718893.3025809922</v>
      </c>
      <c r="AE45" s="1237">
        <v>0</v>
      </c>
      <c r="AF45" s="1133">
        <v>0</v>
      </c>
      <c r="AG45" s="1127">
        <v>1</v>
      </c>
      <c r="AH45" s="1127">
        <v>0</v>
      </c>
      <c r="AI45" s="1127">
        <v>0</v>
      </c>
      <c r="AJ45" s="1127">
        <v>1</v>
      </c>
      <c r="AK45" s="1129">
        <v>1718893.3025809922</v>
      </c>
      <c r="AL45" s="1129">
        <v>0</v>
      </c>
      <c r="AM45" s="1129">
        <v>0</v>
      </c>
      <c r="AN45" s="1129">
        <v>1718893.3025809922</v>
      </c>
      <c r="AO45" s="1129" t="s">
        <v>85</v>
      </c>
      <c r="AP45" s="1129" t="s">
        <v>6605</v>
      </c>
      <c r="AQ45" s="1157">
        <v>2014</v>
      </c>
      <c r="AR45" s="1129" t="s">
        <v>87</v>
      </c>
      <c r="AS45" s="1127">
        <v>0.5</v>
      </c>
      <c r="AT45" s="1127">
        <v>0.5</v>
      </c>
      <c r="AU45" s="1127"/>
      <c r="AV45" s="1127"/>
      <c r="AW45" s="1127"/>
      <c r="AX45" s="1127"/>
      <c r="AY45" s="1127"/>
      <c r="AZ45" s="1127"/>
      <c r="BA45" s="1129">
        <v>859446.65129049611</v>
      </c>
      <c r="BB45" s="1129">
        <v>859446.65129049611</v>
      </c>
      <c r="BC45" s="1129">
        <v>0</v>
      </c>
      <c r="BD45" s="1129">
        <v>0</v>
      </c>
      <c r="BE45" s="1129">
        <v>0</v>
      </c>
      <c r="BF45" s="1129">
        <v>0</v>
      </c>
      <c r="BG45" s="1129">
        <v>0</v>
      </c>
      <c r="BH45" s="1129">
        <v>0</v>
      </c>
      <c r="BI45" s="971"/>
      <c r="BJ45" s="971"/>
      <c r="BK45" s="971" t="s">
        <v>173</v>
      </c>
    </row>
    <row r="46" spans="1:63" s="1278" customFormat="1" ht="66">
      <c r="A46" s="1272">
        <v>4000</v>
      </c>
      <c r="B46" s="971" t="s">
        <v>1316</v>
      </c>
      <c r="C46" s="1272">
        <v>4200</v>
      </c>
      <c r="D46" s="971" t="s">
        <v>1394</v>
      </c>
      <c r="E46" s="971" t="s">
        <v>1438</v>
      </c>
      <c r="F46" s="971" t="s">
        <v>1439</v>
      </c>
      <c r="G46" s="971">
        <v>4281</v>
      </c>
      <c r="H46" s="971" t="s">
        <v>1441</v>
      </c>
      <c r="I46" s="1273" t="s">
        <v>1067</v>
      </c>
      <c r="J46" s="971" t="s">
        <v>124</v>
      </c>
      <c r="K46" s="971" t="s">
        <v>784</v>
      </c>
      <c r="L46" s="971" t="s">
        <v>2852</v>
      </c>
      <c r="M46" s="971" t="s">
        <v>214</v>
      </c>
      <c r="N46" s="971" t="s">
        <v>127</v>
      </c>
      <c r="O46" s="971" t="s">
        <v>215</v>
      </c>
      <c r="P46" s="971"/>
      <c r="Q46" s="971" t="s">
        <v>1456</v>
      </c>
      <c r="R46" s="971" t="s">
        <v>1444</v>
      </c>
      <c r="S46" s="1274">
        <v>66.890191389560115</v>
      </c>
      <c r="T46" s="971" t="s">
        <v>136</v>
      </c>
      <c r="U46" s="1275">
        <v>0.22416666666666665</v>
      </c>
      <c r="V46" s="1275">
        <v>3.3624999999999998</v>
      </c>
      <c r="W46" s="1275">
        <v>22.397249563492064</v>
      </c>
      <c r="X46" s="1275">
        <v>33.625</v>
      </c>
      <c r="Y46" s="1275">
        <v>59.384749563492065</v>
      </c>
      <c r="Z46" s="1129">
        <v>14.994551236493058</v>
      </c>
      <c r="AA46" s="1129">
        <v>224.91826854739588</v>
      </c>
      <c r="AB46" s="1129">
        <v>1498.156309901726</v>
      </c>
      <c r="AC46" s="1129">
        <v>2249.1826854739588</v>
      </c>
      <c r="AD46" s="1267">
        <v>3972.2572639230807</v>
      </c>
      <c r="AE46" s="1135">
        <v>1</v>
      </c>
      <c r="AF46" s="1129">
        <v>66.890191389560115</v>
      </c>
      <c r="AG46" s="1127">
        <v>1</v>
      </c>
      <c r="AH46" s="1127">
        <v>0</v>
      </c>
      <c r="AI46" s="1127">
        <v>0</v>
      </c>
      <c r="AJ46" s="1127">
        <v>1</v>
      </c>
      <c r="AK46" s="1129">
        <v>3972.2572639230807</v>
      </c>
      <c r="AL46" s="1129">
        <v>0</v>
      </c>
      <c r="AM46" s="1129">
        <v>0</v>
      </c>
      <c r="AN46" s="1129">
        <v>3972.2572639230807</v>
      </c>
      <c r="AO46" s="1129" t="s">
        <v>85</v>
      </c>
      <c r="AP46" s="1129" t="s">
        <v>6605</v>
      </c>
      <c r="AQ46" s="1157" t="s">
        <v>107</v>
      </c>
      <c r="AR46" s="1129" t="s">
        <v>87</v>
      </c>
      <c r="AS46" s="1127">
        <v>0.33333333333333331</v>
      </c>
      <c r="AT46" s="1127">
        <v>0.33333333333333331</v>
      </c>
      <c r="AU46" s="1127">
        <v>0.33333333333333331</v>
      </c>
      <c r="AV46" s="1127"/>
      <c r="AW46" s="1127"/>
      <c r="AX46" s="1127"/>
      <c r="AY46" s="1127"/>
      <c r="AZ46" s="1127"/>
      <c r="BA46" s="1129">
        <v>1324.0857546410268</v>
      </c>
      <c r="BB46" s="1129">
        <v>1324.0857546410268</v>
      </c>
      <c r="BC46" s="1129">
        <v>1324.0857546410268</v>
      </c>
      <c r="BD46" s="1129">
        <v>0</v>
      </c>
      <c r="BE46" s="1129">
        <v>0</v>
      </c>
      <c r="BF46" s="1129">
        <v>0</v>
      </c>
      <c r="BG46" s="1129">
        <v>0</v>
      </c>
      <c r="BH46" s="1129">
        <v>0</v>
      </c>
      <c r="BI46" s="971">
        <v>224.91826854739588</v>
      </c>
      <c r="BJ46" s="971"/>
      <c r="BK46" s="971"/>
    </row>
    <row r="47" spans="1:63" s="1278" customFormat="1" ht="49.5">
      <c r="A47" s="1272">
        <v>4000</v>
      </c>
      <c r="B47" s="971" t="s">
        <v>1316</v>
      </c>
      <c r="C47" s="1272">
        <v>4200</v>
      </c>
      <c r="D47" s="971" t="s">
        <v>1394</v>
      </c>
      <c r="E47" s="971" t="s">
        <v>1438</v>
      </c>
      <c r="F47" s="971" t="s">
        <v>1439</v>
      </c>
      <c r="G47" s="971">
        <v>4281</v>
      </c>
      <c r="H47" s="971" t="s">
        <v>1441</v>
      </c>
      <c r="I47" s="1273" t="s">
        <v>1067</v>
      </c>
      <c r="J47" s="971" t="s">
        <v>124</v>
      </c>
      <c r="K47" s="971" t="s">
        <v>145</v>
      </c>
      <c r="L47" s="971" t="s">
        <v>2871</v>
      </c>
      <c r="M47" s="971" t="s">
        <v>556</v>
      </c>
      <c r="N47" s="971" t="s">
        <v>141</v>
      </c>
      <c r="O47" s="971" t="s">
        <v>557</v>
      </c>
      <c r="P47" s="971"/>
      <c r="Q47" s="971" t="s">
        <v>1457</v>
      </c>
      <c r="R47" s="971" t="s">
        <v>1444</v>
      </c>
      <c r="S47" s="1274">
        <v>66.890191389560115</v>
      </c>
      <c r="T47" s="971" t="s">
        <v>136</v>
      </c>
      <c r="U47" s="1275">
        <v>0.12329166666666667</v>
      </c>
      <c r="V47" s="1275">
        <v>1.1768750000000001</v>
      </c>
      <c r="W47" s="1275">
        <v>7.8390373472222228</v>
      </c>
      <c r="X47" s="1275">
        <v>11.768750000000001</v>
      </c>
      <c r="Y47" s="1275">
        <v>20.784662347222223</v>
      </c>
      <c r="Z47" s="1129">
        <v>8.2470031800711823</v>
      </c>
      <c r="AA47" s="1129">
        <v>78.72139399158857</v>
      </c>
      <c r="AB47" s="1129">
        <v>524.35470846560406</v>
      </c>
      <c r="AC47" s="1129">
        <v>787.2139399158857</v>
      </c>
      <c r="AD47" s="1267">
        <v>1390.2900423730782</v>
      </c>
      <c r="AE47" s="1135">
        <v>0.3</v>
      </c>
      <c r="AF47" s="1129">
        <v>20.067057416868035</v>
      </c>
      <c r="AG47" s="1127">
        <v>1</v>
      </c>
      <c r="AH47" s="1127">
        <v>0</v>
      </c>
      <c r="AI47" s="1127">
        <v>0</v>
      </c>
      <c r="AJ47" s="1127">
        <v>1</v>
      </c>
      <c r="AK47" s="1129">
        <v>1390.2900423730782</v>
      </c>
      <c r="AL47" s="1129">
        <v>0</v>
      </c>
      <c r="AM47" s="1129">
        <v>0</v>
      </c>
      <c r="AN47" s="1129">
        <v>1390.2900423730782</v>
      </c>
      <c r="AO47" s="1129" t="s">
        <v>85</v>
      </c>
      <c r="AP47" s="1129" t="s">
        <v>6605</v>
      </c>
      <c r="AQ47" s="1157" t="s">
        <v>107</v>
      </c>
      <c r="AR47" s="1129" t="s">
        <v>87</v>
      </c>
      <c r="AS47" s="1127">
        <v>0.33333333333333331</v>
      </c>
      <c r="AT47" s="1127">
        <v>0.33333333333333331</v>
      </c>
      <c r="AU47" s="1127">
        <v>0.33333333333333331</v>
      </c>
      <c r="AV47" s="1127"/>
      <c r="AW47" s="1127"/>
      <c r="AX47" s="1127"/>
      <c r="AY47" s="1127"/>
      <c r="AZ47" s="1127"/>
      <c r="BA47" s="1129">
        <v>463.43001412435939</v>
      </c>
      <c r="BB47" s="1129">
        <v>463.43001412435939</v>
      </c>
      <c r="BC47" s="1129">
        <v>463.43001412435939</v>
      </c>
      <c r="BD47" s="1129">
        <v>0</v>
      </c>
      <c r="BE47" s="1129">
        <v>0</v>
      </c>
      <c r="BF47" s="1129">
        <v>0</v>
      </c>
      <c r="BG47" s="1129">
        <v>0</v>
      </c>
      <c r="BH47" s="1129">
        <v>0</v>
      </c>
      <c r="BI47" s="971"/>
      <c r="BJ47" s="971"/>
      <c r="BK47" s="971"/>
    </row>
    <row r="48" spans="1:63" s="1278" customFormat="1" ht="49.5">
      <c r="A48" s="1272">
        <v>4000</v>
      </c>
      <c r="B48" s="971" t="s">
        <v>1316</v>
      </c>
      <c r="C48" s="1272">
        <v>4200</v>
      </c>
      <c r="D48" s="971" t="s">
        <v>1394</v>
      </c>
      <c r="E48" s="971" t="s">
        <v>1438</v>
      </c>
      <c r="F48" s="971" t="s">
        <v>1439</v>
      </c>
      <c r="G48" s="971">
        <v>4281</v>
      </c>
      <c r="H48" s="971" t="s">
        <v>1441</v>
      </c>
      <c r="I48" s="1273" t="s">
        <v>1067</v>
      </c>
      <c r="J48" s="971" t="s">
        <v>124</v>
      </c>
      <c r="K48" s="971"/>
      <c r="L48" s="971" t="e">
        <v>#N/A</v>
      </c>
      <c r="M48" s="971" t="s">
        <v>145</v>
      </c>
      <c r="N48" s="971" t="s">
        <v>141</v>
      </c>
      <c r="O48" s="971" t="s">
        <v>146</v>
      </c>
      <c r="P48" s="971"/>
      <c r="Q48" s="971" t="s">
        <v>1458</v>
      </c>
      <c r="R48" s="971" t="s">
        <v>1444</v>
      </c>
      <c r="S48" s="1274">
        <v>66.890191389560115</v>
      </c>
      <c r="T48" s="971" t="s">
        <v>136</v>
      </c>
      <c r="U48" s="1275" t="s">
        <v>6588</v>
      </c>
      <c r="V48" s="1275" t="s">
        <v>6588</v>
      </c>
      <c r="W48" s="1275" t="s">
        <v>6588</v>
      </c>
      <c r="X48" s="1275" t="s">
        <v>6588</v>
      </c>
      <c r="Y48" s="1275" t="s">
        <v>6588</v>
      </c>
      <c r="Z48" s="1129">
        <v>0</v>
      </c>
      <c r="AA48" s="1129">
        <v>0</v>
      </c>
      <c r="AB48" s="1129">
        <v>0</v>
      </c>
      <c r="AC48" s="1129">
        <v>0</v>
      </c>
      <c r="AD48" s="1267">
        <v>0</v>
      </c>
      <c r="AE48" s="1135">
        <v>0</v>
      </c>
      <c r="AF48" s="1129">
        <v>0</v>
      </c>
      <c r="AG48" s="1127">
        <v>1</v>
      </c>
      <c r="AH48" s="1127">
        <v>0</v>
      </c>
      <c r="AI48" s="1127">
        <v>0</v>
      </c>
      <c r="AJ48" s="1127">
        <v>1</v>
      </c>
      <c r="AK48" s="1129">
        <v>0</v>
      </c>
      <c r="AL48" s="1129">
        <v>0</v>
      </c>
      <c r="AM48" s="1129">
        <v>0</v>
      </c>
      <c r="AN48" s="1129">
        <v>0</v>
      </c>
      <c r="AO48" s="1129" t="s">
        <v>85</v>
      </c>
      <c r="AP48" s="1129" t="s">
        <v>6605</v>
      </c>
      <c r="AQ48" s="1157" t="s">
        <v>107</v>
      </c>
      <c r="AR48" s="1129" t="s">
        <v>87</v>
      </c>
      <c r="AS48" s="1127">
        <v>0.33333333333333331</v>
      </c>
      <c r="AT48" s="1127">
        <v>0.33333333333333331</v>
      </c>
      <c r="AU48" s="1127">
        <v>0.33333333333333331</v>
      </c>
      <c r="AV48" s="1127"/>
      <c r="AW48" s="1127"/>
      <c r="AX48" s="1127"/>
      <c r="AY48" s="1127"/>
      <c r="AZ48" s="1127"/>
      <c r="BA48" s="1129">
        <v>0</v>
      </c>
      <c r="BB48" s="1129">
        <v>0</v>
      </c>
      <c r="BC48" s="1129">
        <v>0</v>
      </c>
      <c r="BD48" s="1129">
        <v>0</v>
      </c>
      <c r="BE48" s="1129">
        <v>0</v>
      </c>
      <c r="BF48" s="1129">
        <v>0</v>
      </c>
      <c r="BG48" s="1129">
        <v>0</v>
      </c>
      <c r="BH48" s="1129">
        <v>0</v>
      </c>
      <c r="BI48" s="971"/>
      <c r="BJ48" s="971"/>
      <c r="BK48" s="971"/>
    </row>
    <row r="49" spans="1:63" s="1278" customFormat="1" ht="66">
      <c r="A49" s="1272">
        <v>4000</v>
      </c>
      <c r="B49" s="971" t="s">
        <v>1316</v>
      </c>
      <c r="C49" s="1272">
        <v>4500</v>
      </c>
      <c r="D49" s="971" t="s">
        <v>452</v>
      </c>
      <c r="E49" s="971" t="s">
        <v>1546</v>
      </c>
      <c r="F49" s="971" t="s">
        <v>454</v>
      </c>
      <c r="G49" s="971">
        <v>4511</v>
      </c>
      <c r="H49" s="971" t="s">
        <v>565</v>
      </c>
      <c r="I49" s="1273" t="s">
        <v>123</v>
      </c>
      <c r="J49" s="971" t="s">
        <v>124</v>
      </c>
      <c r="K49" s="971" t="s">
        <v>784</v>
      </c>
      <c r="L49" s="971" t="s">
        <v>2852</v>
      </c>
      <c r="M49" s="971" t="s">
        <v>458</v>
      </c>
      <c r="N49" s="971" t="s">
        <v>127</v>
      </c>
      <c r="O49" s="971" t="s">
        <v>459</v>
      </c>
      <c r="P49" s="971"/>
      <c r="Q49" s="971" t="s">
        <v>587</v>
      </c>
      <c r="R49" s="971" t="s">
        <v>1668</v>
      </c>
      <c r="S49" s="1274">
        <v>220</v>
      </c>
      <c r="T49" s="971" t="s">
        <v>136</v>
      </c>
      <c r="U49" s="1275">
        <v>0.22416666666666665</v>
      </c>
      <c r="V49" s="1275">
        <v>3.3624999999999998</v>
      </c>
      <c r="W49" s="1275">
        <v>22.397249563492064</v>
      </c>
      <c r="X49" s="1275">
        <v>33.625</v>
      </c>
      <c r="Y49" s="1275">
        <v>59.384749563492065</v>
      </c>
      <c r="Z49" s="1129">
        <v>49.316666666666663</v>
      </c>
      <c r="AA49" s="1129">
        <v>739.75</v>
      </c>
      <c r="AB49" s="1129">
        <v>4927.3949039682539</v>
      </c>
      <c r="AC49" s="1129">
        <v>7397.5</v>
      </c>
      <c r="AD49" s="1267">
        <v>13064.644903968254</v>
      </c>
      <c r="AE49" s="1135">
        <v>1</v>
      </c>
      <c r="AF49" s="1129">
        <v>220</v>
      </c>
      <c r="AG49" s="1127">
        <v>1</v>
      </c>
      <c r="AH49" s="1127">
        <v>0</v>
      </c>
      <c r="AI49" s="1127">
        <v>0</v>
      </c>
      <c r="AJ49" s="1127">
        <v>1</v>
      </c>
      <c r="AK49" s="1129">
        <v>13064.644903968254</v>
      </c>
      <c r="AL49" s="1129">
        <v>0</v>
      </c>
      <c r="AM49" s="1129">
        <v>0</v>
      </c>
      <c r="AN49" s="1129">
        <v>13064.644903968254</v>
      </c>
      <c r="AO49" s="1129" t="s">
        <v>85</v>
      </c>
      <c r="AP49" s="1129" t="s">
        <v>6605</v>
      </c>
      <c r="AQ49" s="1157" t="s">
        <v>107</v>
      </c>
      <c r="AR49" s="1129" t="s">
        <v>87</v>
      </c>
      <c r="AS49" s="1127">
        <v>0.33333333333333331</v>
      </c>
      <c r="AT49" s="1127">
        <v>0.33333333333333331</v>
      </c>
      <c r="AU49" s="1127">
        <v>0.33333333333333331</v>
      </c>
      <c r="AV49" s="1127"/>
      <c r="AW49" s="1127"/>
      <c r="AX49" s="1127"/>
      <c r="AY49" s="1127"/>
      <c r="AZ49" s="1127"/>
      <c r="BA49" s="1129">
        <v>4354.8816346560843</v>
      </c>
      <c r="BB49" s="1129">
        <v>4354.8816346560843</v>
      </c>
      <c r="BC49" s="1129">
        <v>4354.8816346560843</v>
      </c>
      <c r="BD49" s="1129">
        <v>0</v>
      </c>
      <c r="BE49" s="1129">
        <v>0</v>
      </c>
      <c r="BF49" s="1129">
        <v>0</v>
      </c>
      <c r="BG49" s="1129">
        <v>0</v>
      </c>
      <c r="BH49" s="1129">
        <v>0</v>
      </c>
      <c r="BI49" s="971"/>
      <c r="BJ49" s="971"/>
      <c r="BK49" s="971"/>
    </row>
    <row r="50" spans="1:63" s="1278" customFormat="1" ht="49.5">
      <c r="A50" s="1272">
        <v>4000</v>
      </c>
      <c r="B50" s="971" t="s">
        <v>1316</v>
      </c>
      <c r="C50" s="1272">
        <v>4500</v>
      </c>
      <c r="D50" s="971" t="s">
        <v>452</v>
      </c>
      <c r="E50" s="971" t="s">
        <v>1546</v>
      </c>
      <c r="F50" s="971" t="s">
        <v>454</v>
      </c>
      <c r="G50" s="971">
        <v>4511</v>
      </c>
      <c r="H50" s="971" t="s">
        <v>565</v>
      </c>
      <c r="I50" s="1273" t="s">
        <v>123</v>
      </c>
      <c r="J50" s="971" t="s">
        <v>124</v>
      </c>
      <c r="K50" s="971" t="s">
        <v>140</v>
      </c>
      <c r="L50" s="971" t="s">
        <v>2909</v>
      </c>
      <c r="M50" s="971" t="s">
        <v>140</v>
      </c>
      <c r="N50" s="971" t="s">
        <v>141</v>
      </c>
      <c r="O50" s="971" t="s">
        <v>3280</v>
      </c>
      <c r="P50" s="971"/>
      <c r="Q50" s="971" t="s">
        <v>588</v>
      </c>
      <c r="R50" s="971" t="s">
        <v>1668</v>
      </c>
      <c r="S50" s="1274">
        <v>220</v>
      </c>
      <c r="T50" s="971" t="s">
        <v>136</v>
      </c>
      <c r="U50" s="1275">
        <v>0</v>
      </c>
      <c r="V50" s="1275">
        <v>0</v>
      </c>
      <c r="W50" s="1275">
        <v>0</v>
      </c>
      <c r="X50" s="1275">
        <v>0</v>
      </c>
      <c r="Y50" s="1275">
        <v>0</v>
      </c>
      <c r="Z50" s="1129">
        <v>0</v>
      </c>
      <c r="AA50" s="1129">
        <v>0</v>
      </c>
      <c r="AB50" s="1129">
        <v>0</v>
      </c>
      <c r="AC50" s="1129">
        <v>0</v>
      </c>
      <c r="AD50" s="1267">
        <v>0</v>
      </c>
      <c r="AE50" s="1135">
        <v>0</v>
      </c>
      <c r="AF50" s="1129">
        <v>0</v>
      </c>
      <c r="AG50" s="1127">
        <v>1</v>
      </c>
      <c r="AH50" s="1127">
        <v>0</v>
      </c>
      <c r="AI50" s="1127">
        <v>0</v>
      </c>
      <c r="AJ50" s="1127">
        <v>1</v>
      </c>
      <c r="AK50" s="1129">
        <v>0</v>
      </c>
      <c r="AL50" s="1129">
        <v>0</v>
      </c>
      <c r="AM50" s="1129">
        <v>0</v>
      </c>
      <c r="AN50" s="1129">
        <v>0</v>
      </c>
      <c r="AO50" s="1129" t="s">
        <v>85</v>
      </c>
      <c r="AP50" s="1129" t="s">
        <v>6605</v>
      </c>
      <c r="AQ50" s="1157" t="s">
        <v>107</v>
      </c>
      <c r="AR50" s="1129" t="s">
        <v>87</v>
      </c>
      <c r="AS50" s="1127">
        <v>0.33333333333333331</v>
      </c>
      <c r="AT50" s="1127">
        <v>0.33333333333333331</v>
      </c>
      <c r="AU50" s="1127">
        <v>0.33333333333333331</v>
      </c>
      <c r="AV50" s="1127"/>
      <c r="AW50" s="1127"/>
      <c r="AX50" s="1127"/>
      <c r="AY50" s="1127"/>
      <c r="AZ50" s="1127"/>
      <c r="BA50" s="1129">
        <v>0</v>
      </c>
      <c r="BB50" s="1129">
        <v>0</v>
      </c>
      <c r="BC50" s="1129">
        <v>0</v>
      </c>
      <c r="BD50" s="1129">
        <v>0</v>
      </c>
      <c r="BE50" s="1129">
        <v>0</v>
      </c>
      <c r="BF50" s="1129">
        <v>0</v>
      </c>
      <c r="BG50" s="1129">
        <v>0</v>
      </c>
      <c r="BH50" s="1129">
        <v>0</v>
      </c>
      <c r="BI50" s="971"/>
      <c r="BJ50" s="971"/>
      <c r="BK50" s="971"/>
    </row>
    <row r="51" spans="1:63" s="1278" customFormat="1" ht="49.5">
      <c r="A51" s="1272">
        <v>4000</v>
      </c>
      <c r="B51" s="971" t="s">
        <v>1316</v>
      </c>
      <c r="C51" s="1272">
        <v>4500</v>
      </c>
      <c r="D51" s="971" t="s">
        <v>452</v>
      </c>
      <c r="E51" s="971" t="s">
        <v>1546</v>
      </c>
      <c r="F51" s="971" t="s">
        <v>454</v>
      </c>
      <c r="G51" s="971">
        <v>4511</v>
      </c>
      <c r="H51" s="971" t="s">
        <v>565</v>
      </c>
      <c r="I51" s="1273" t="s">
        <v>123</v>
      </c>
      <c r="J51" s="971" t="s">
        <v>124</v>
      </c>
      <c r="K51" s="971"/>
      <c r="L51" s="971" t="e">
        <v>#N/A</v>
      </c>
      <c r="M51" s="971" t="s">
        <v>145</v>
      </c>
      <c r="N51" s="971" t="s">
        <v>141</v>
      </c>
      <c r="O51" s="971" t="s">
        <v>146</v>
      </c>
      <c r="P51" s="971"/>
      <c r="Q51" s="971" t="s">
        <v>589</v>
      </c>
      <c r="R51" s="971" t="s">
        <v>1668</v>
      </c>
      <c r="S51" s="1274">
        <v>220</v>
      </c>
      <c r="T51" s="971" t="s">
        <v>136</v>
      </c>
      <c r="U51" s="1275" t="s">
        <v>6588</v>
      </c>
      <c r="V51" s="1275" t="s">
        <v>6588</v>
      </c>
      <c r="W51" s="1275" t="s">
        <v>6588</v>
      </c>
      <c r="X51" s="1275" t="s">
        <v>6588</v>
      </c>
      <c r="Y51" s="1275" t="s">
        <v>6588</v>
      </c>
      <c r="Z51" s="1129">
        <v>0</v>
      </c>
      <c r="AA51" s="1129">
        <v>0</v>
      </c>
      <c r="AB51" s="1129">
        <v>0</v>
      </c>
      <c r="AC51" s="1129">
        <v>0</v>
      </c>
      <c r="AD51" s="1267">
        <v>0</v>
      </c>
      <c r="AE51" s="1135">
        <v>0</v>
      </c>
      <c r="AF51" s="1129">
        <v>0</v>
      </c>
      <c r="AG51" s="1127">
        <v>1</v>
      </c>
      <c r="AH51" s="1127">
        <v>0</v>
      </c>
      <c r="AI51" s="1127">
        <v>0</v>
      </c>
      <c r="AJ51" s="1127">
        <v>1</v>
      </c>
      <c r="AK51" s="1129">
        <v>0</v>
      </c>
      <c r="AL51" s="1129">
        <v>0</v>
      </c>
      <c r="AM51" s="1129">
        <v>0</v>
      </c>
      <c r="AN51" s="1129">
        <v>0</v>
      </c>
      <c r="AO51" s="1129" t="s">
        <v>85</v>
      </c>
      <c r="AP51" s="1129" t="s">
        <v>6605</v>
      </c>
      <c r="AQ51" s="1157" t="s">
        <v>107</v>
      </c>
      <c r="AR51" s="1129" t="s">
        <v>87</v>
      </c>
      <c r="AS51" s="1127">
        <v>0.33333333333333331</v>
      </c>
      <c r="AT51" s="1127">
        <v>0.33333333333333331</v>
      </c>
      <c r="AU51" s="1127">
        <v>0.33333333333333331</v>
      </c>
      <c r="AV51" s="1127"/>
      <c r="AW51" s="1127"/>
      <c r="AX51" s="1127"/>
      <c r="AY51" s="1127"/>
      <c r="AZ51" s="1127"/>
      <c r="BA51" s="1129">
        <v>0</v>
      </c>
      <c r="BB51" s="1129">
        <v>0</v>
      </c>
      <c r="BC51" s="1129">
        <v>0</v>
      </c>
      <c r="BD51" s="1129">
        <v>0</v>
      </c>
      <c r="BE51" s="1129">
        <v>0</v>
      </c>
      <c r="BF51" s="1129">
        <v>0</v>
      </c>
      <c r="BG51" s="1129">
        <v>0</v>
      </c>
      <c r="BH51" s="1129">
        <v>0</v>
      </c>
      <c r="BI51" s="971"/>
      <c r="BJ51" s="971"/>
      <c r="BK51" s="971"/>
    </row>
    <row r="52" spans="1:63" s="1278" customFormat="1" ht="66">
      <c r="A52" s="1272">
        <v>4000</v>
      </c>
      <c r="B52" s="971" t="s">
        <v>1316</v>
      </c>
      <c r="C52" s="1272">
        <v>4500</v>
      </c>
      <c r="D52" s="971" t="s">
        <v>452</v>
      </c>
      <c r="E52" s="971" t="s">
        <v>1546</v>
      </c>
      <c r="F52" s="971" t="s">
        <v>454</v>
      </c>
      <c r="G52" s="971">
        <v>4511</v>
      </c>
      <c r="H52" s="971" t="s">
        <v>565</v>
      </c>
      <c r="I52" s="1273" t="s">
        <v>490</v>
      </c>
      <c r="J52" s="971" t="s">
        <v>124</v>
      </c>
      <c r="K52" s="971" t="s">
        <v>784</v>
      </c>
      <c r="L52" s="971" t="s">
        <v>2852</v>
      </c>
      <c r="M52" s="971" t="s">
        <v>458</v>
      </c>
      <c r="N52" s="971" t="s">
        <v>127</v>
      </c>
      <c r="O52" s="971" t="s">
        <v>459</v>
      </c>
      <c r="P52" s="971"/>
      <c r="Q52" s="971" t="s">
        <v>595</v>
      </c>
      <c r="R52" s="971" t="s">
        <v>1686</v>
      </c>
      <c r="S52" s="1274">
        <v>200.67057416868036</v>
      </c>
      <c r="T52" s="971" t="s">
        <v>136</v>
      </c>
      <c r="U52" s="1275">
        <v>0.22416666666666665</v>
      </c>
      <c r="V52" s="1275">
        <v>3.3624999999999998</v>
      </c>
      <c r="W52" s="1275">
        <v>22.397249563492064</v>
      </c>
      <c r="X52" s="1275">
        <v>33.625</v>
      </c>
      <c r="Y52" s="1275">
        <v>59.384749563492065</v>
      </c>
      <c r="Z52" s="1129">
        <v>44.983653709479178</v>
      </c>
      <c r="AA52" s="1129">
        <v>674.75480564218765</v>
      </c>
      <c r="AB52" s="1129">
        <v>4494.4689297051782</v>
      </c>
      <c r="AC52" s="1129">
        <v>6747.5480564218769</v>
      </c>
      <c r="AD52" s="1267">
        <v>11916.771791769243</v>
      </c>
      <c r="AE52" s="1135">
        <v>1</v>
      </c>
      <c r="AF52" s="1129">
        <v>200.67057416868036</v>
      </c>
      <c r="AG52" s="1127">
        <v>1</v>
      </c>
      <c r="AH52" s="1127">
        <v>0</v>
      </c>
      <c r="AI52" s="1127">
        <v>0</v>
      </c>
      <c r="AJ52" s="1127">
        <v>1</v>
      </c>
      <c r="AK52" s="1129">
        <v>11916.771791769243</v>
      </c>
      <c r="AL52" s="1129">
        <v>0</v>
      </c>
      <c r="AM52" s="1129">
        <v>0</v>
      </c>
      <c r="AN52" s="1129">
        <v>11916.771791769243</v>
      </c>
      <c r="AO52" s="1129" t="s">
        <v>85</v>
      </c>
      <c r="AP52" s="1129" t="s">
        <v>6605</v>
      </c>
      <c r="AQ52" s="1157" t="s">
        <v>107</v>
      </c>
      <c r="AR52" s="1129" t="s">
        <v>87</v>
      </c>
      <c r="AS52" s="1127">
        <v>0.33333333333333331</v>
      </c>
      <c r="AT52" s="1127">
        <v>0.33333333333333331</v>
      </c>
      <c r="AU52" s="1127">
        <v>0.33333333333333331</v>
      </c>
      <c r="AV52" s="1127"/>
      <c r="AW52" s="1127"/>
      <c r="AX52" s="1127"/>
      <c r="AY52" s="1127"/>
      <c r="AZ52" s="1127"/>
      <c r="BA52" s="1129">
        <v>3972.2572639230807</v>
      </c>
      <c r="BB52" s="1129">
        <v>3972.2572639230807</v>
      </c>
      <c r="BC52" s="1129">
        <v>3972.2572639230807</v>
      </c>
      <c r="BD52" s="1129">
        <v>0</v>
      </c>
      <c r="BE52" s="1129">
        <v>0</v>
      </c>
      <c r="BF52" s="1129">
        <v>0</v>
      </c>
      <c r="BG52" s="1129">
        <v>0</v>
      </c>
      <c r="BH52" s="1129">
        <v>0</v>
      </c>
      <c r="BI52" s="971"/>
      <c r="BJ52" s="971"/>
      <c r="BK52" s="971"/>
    </row>
    <row r="53" spans="1:63" s="1278" customFormat="1" ht="49.5">
      <c r="A53" s="1272">
        <v>4000</v>
      </c>
      <c r="B53" s="971" t="s">
        <v>1316</v>
      </c>
      <c r="C53" s="1272">
        <v>4500</v>
      </c>
      <c r="D53" s="971" t="s">
        <v>452</v>
      </c>
      <c r="E53" s="971" t="s">
        <v>1546</v>
      </c>
      <c r="F53" s="971" t="s">
        <v>454</v>
      </c>
      <c r="G53" s="971">
        <v>4511</v>
      </c>
      <c r="H53" s="971" t="s">
        <v>565</v>
      </c>
      <c r="I53" s="1273" t="s">
        <v>490</v>
      </c>
      <c r="J53" s="971" t="s">
        <v>124</v>
      </c>
      <c r="K53" s="971" t="s">
        <v>140</v>
      </c>
      <c r="L53" s="971" t="s">
        <v>2909</v>
      </c>
      <c r="M53" s="971" t="s">
        <v>140</v>
      </c>
      <c r="N53" s="971" t="s">
        <v>141</v>
      </c>
      <c r="O53" s="971" t="s">
        <v>3280</v>
      </c>
      <c r="P53" s="971"/>
      <c r="Q53" s="971" t="s">
        <v>597</v>
      </c>
      <c r="R53" s="971" t="s">
        <v>1686</v>
      </c>
      <c r="S53" s="1274">
        <v>200.67057416868036</v>
      </c>
      <c r="T53" s="971" t="s">
        <v>136</v>
      </c>
      <c r="U53" s="1275">
        <v>0</v>
      </c>
      <c r="V53" s="1275">
        <v>0</v>
      </c>
      <c r="W53" s="1275">
        <v>0</v>
      </c>
      <c r="X53" s="1275">
        <v>0</v>
      </c>
      <c r="Y53" s="1275">
        <v>0</v>
      </c>
      <c r="Z53" s="1129">
        <v>0</v>
      </c>
      <c r="AA53" s="1129">
        <v>0</v>
      </c>
      <c r="AB53" s="1129">
        <v>0</v>
      </c>
      <c r="AC53" s="1129">
        <v>0</v>
      </c>
      <c r="AD53" s="1267">
        <v>0</v>
      </c>
      <c r="AE53" s="1135">
        <v>0</v>
      </c>
      <c r="AF53" s="1129">
        <v>0</v>
      </c>
      <c r="AG53" s="1127">
        <v>1</v>
      </c>
      <c r="AH53" s="1127">
        <v>0</v>
      </c>
      <c r="AI53" s="1127">
        <v>0</v>
      </c>
      <c r="AJ53" s="1127">
        <v>1</v>
      </c>
      <c r="AK53" s="1129">
        <v>0</v>
      </c>
      <c r="AL53" s="1129">
        <v>0</v>
      </c>
      <c r="AM53" s="1129">
        <v>0</v>
      </c>
      <c r="AN53" s="1129">
        <v>0</v>
      </c>
      <c r="AO53" s="1129" t="s">
        <v>85</v>
      </c>
      <c r="AP53" s="1129" t="s">
        <v>6605</v>
      </c>
      <c r="AQ53" s="1157" t="s">
        <v>107</v>
      </c>
      <c r="AR53" s="1129" t="s">
        <v>87</v>
      </c>
      <c r="AS53" s="1127">
        <v>0.33333333333333331</v>
      </c>
      <c r="AT53" s="1127">
        <v>0.33333333333333331</v>
      </c>
      <c r="AU53" s="1127">
        <v>0.33333333333333331</v>
      </c>
      <c r="AV53" s="1127"/>
      <c r="AW53" s="1127"/>
      <c r="AX53" s="1127"/>
      <c r="AY53" s="1127"/>
      <c r="AZ53" s="1127"/>
      <c r="BA53" s="1129">
        <v>0</v>
      </c>
      <c r="BB53" s="1129">
        <v>0</v>
      </c>
      <c r="BC53" s="1129">
        <v>0</v>
      </c>
      <c r="BD53" s="1129">
        <v>0</v>
      </c>
      <c r="BE53" s="1129">
        <v>0</v>
      </c>
      <c r="BF53" s="1129">
        <v>0</v>
      </c>
      <c r="BG53" s="1129">
        <v>0</v>
      </c>
      <c r="BH53" s="1129">
        <v>0</v>
      </c>
      <c r="BI53" s="971"/>
      <c r="BJ53" s="971"/>
      <c r="BK53" s="971"/>
    </row>
    <row r="54" spans="1:63" s="1278" customFormat="1" ht="49.5">
      <c r="A54" s="1272">
        <v>4000</v>
      </c>
      <c r="B54" s="971" t="s">
        <v>1316</v>
      </c>
      <c r="C54" s="1272">
        <v>4500</v>
      </c>
      <c r="D54" s="971" t="s">
        <v>452</v>
      </c>
      <c r="E54" s="971" t="s">
        <v>1546</v>
      </c>
      <c r="F54" s="971" t="s">
        <v>454</v>
      </c>
      <c r="G54" s="971">
        <v>4511</v>
      </c>
      <c r="H54" s="971" t="s">
        <v>565</v>
      </c>
      <c r="I54" s="1273" t="s">
        <v>490</v>
      </c>
      <c r="J54" s="971" t="s">
        <v>124</v>
      </c>
      <c r="K54" s="971"/>
      <c r="L54" s="971" t="e">
        <v>#N/A</v>
      </c>
      <c r="M54" s="971" t="s">
        <v>145</v>
      </c>
      <c r="N54" s="971" t="s">
        <v>141</v>
      </c>
      <c r="O54" s="971" t="s">
        <v>146</v>
      </c>
      <c r="P54" s="971"/>
      <c r="Q54" s="971" t="s">
        <v>598</v>
      </c>
      <c r="R54" s="971" t="s">
        <v>1686</v>
      </c>
      <c r="S54" s="1274">
        <v>200.67057416868036</v>
      </c>
      <c r="T54" s="971" t="s">
        <v>136</v>
      </c>
      <c r="U54" s="1275" t="s">
        <v>6588</v>
      </c>
      <c r="V54" s="1275" t="s">
        <v>6588</v>
      </c>
      <c r="W54" s="1275" t="s">
        <v>6588</v>
      </c>
      <c r="X54" s="1275" t="s">
        <v>6588</v>
      </c>
      <c r="Y54" s="1275" t="s">
        <v>6588</v>
      </c>
      <c r="Z54" s="1129">
        <v>0</v>
      </c>
      <c r="AA54" s="1129">
        <v>0</v>
      </c>
      <c r="AB54" s="1129">
        <v>0</v>
      </c>
      <c r="AC54" s="1129">
        <v>0</v>
      </c>
      <c r="AD54" s="1267">
        <v>0</v>
      </c>
      <c r="AE54" s="1135">
        <v>0</v>
      </c>
      <c r="AF54" s="1129">
        <v>0</v>
      </c>
      <c r="AG54" s="1127">
        <v>1</v>
      </c>
      <c r="AH54" s="1127">
        <v>0</v>
      </c>
      <c r="AI54" s="1127">
        <v>0</v>
      </c>
      <c r="AJ54" s="1127">
        <v>1</v>
      </c>
      <c r="AK54" s="1129">
        <v>0</v>
      </c>
      <c r="AL54" s="1129">
        <v>0</v>
      </c>
      <c r="AM54" s="1129">
        <v>0</v>
      </c>
      <c r="AN54" s="1129">
        <v>0</v>
      </c>
      <c r="AO54" s="1129" t="s">
        <v>85</v>
      </c>
      <c r="AP54" s="1129" t="s">
        <v>6605</v>
      </c>
      <c r="AQ54" s="1157" t="s">
        <v>107</v>
      </c>
      <c r="AR54" s="1129" t="s">
        <v>87</v>
      </c>
      <c r="AS54" s="1127">
        <v>0.33333333333333331</v>
      </c>
      <c r="AT54" s="1127">
        <v>0.33333333333333331</v>
      </c>
      <c r="AU54" s="1127">
        <v>0.33333333333333331</v>
      </c>
      <c r="AV54" s="1127"/>
      <c r="AW54" s="1127"/>
      <c r="AX54" s="1127"/>
      <c r="AY54" s="1127"/>
      <c r="AZ54" s="1127"/>
      <c r="BA54" s="1129">
        <v>0</v>
      </c>
      <c r="BB54" s="1129">
        <v>0</v>
      </c>
      <c r="BC54" s="1129">
        <v>0</v>
      </c>
      <c r="BD54" s="1129">
        <v>0</v>
      </c>
      <c r="BE54" s="1129">
        <v>0</v>
      </c>
      <c r="BF54" s="1129">
        <v>0</v>
      </c>
      <c r="BG54" s="1129">
        <v>0</v>
      </c>
      <c r="BH54" s="1129">
        <v>0</v>
      </c>
      <c r="BI54" s="971"/>
      <c r="BJ54" s="971"/>
      <c r="BK54" s="971"/>
    </row>
    <row r="55" spans="1:63" s="1278" customFormat="1" ht="66">
      <c r="A55" s="1272">
        <v>4000</v>
      </c>
      <c r="B55" s="971" t="s">
        <v>1316</v>
      </c>
      <c r="C55" s="1272">
        <v>4500</v>
      </c>
      <c r="D55" s="971" t="s">
        <v>452</v>
      </c>
      <c r="E55" s="971" t="s">
        <v>1546</v>
      </c>
      <c r="F55" s="971" t="s">
        <v>454</v>
      </c>
      <c r="G55" s="971">
        <v>4511</v>
      </c>
      <c r="H55" s="971" t="s">
        <v>565</v>
      </c>
      <c r="I55" s="1273" t="s">
        <v>495</v>
      </c>
      <c r="J55" s="971" t="s">
        <v>124</v>
      </c>
      <c r="K55" s="971" t="s">
        <v>784</v>
      </c>
      <c r="L55" s="971" t="s">
        <v>2852</v>
      </c>
      <c r="M55" s="971" t="s">
        <v>458</v>
      </c>
      <c r="N55" s="971" t="s">
        <v>127</v>
      </c>
      <c r="O55" s="971" t="s">
        <v>459</v>
      </c>
      <c r="P55" s="971"/>
      <c r="Q55" s="971" t="s">
        <v>599</v>
      </c>
      <c r="R55" s="971" t="s">
        <v>1687</v>
      </c>
      <c r="S55" s="1274">
        <v>60</v>
      </c>
      <c r="T55" s="971" t="s">
        <v>136</v>
      </c>
      <c r="U55" s="1275">
        <v>0.22416666666666665</v>
      </c>
      <c r="V55" s="1275">
        <v>3.3624999999999998</v>
      </c>
      <c r="W55" s="1275">
        <v>22.397249563492064</v>
      </c>
      <c r="X55" s="1275">
        <v>33.625</v>
      </c>
      <c r="Y55" s="1275">
        <v>59.384749563492065</v>
      </c>
      <c r="Z55" s="1129">
        <v>13.45</v>
      </c>
      <c r="AA55" s="1129">
        <v>201.75</v>
      </c>
      <c r="AB55" s="1129">
        <v>1343.8349738095239</v>
      </c>
      <c r="AC55" s="1129">
        <v>2017.5</v>
      </c>
      <c r="AD55" s="1267">
        <v>3563.0849738095239</v>
      </c>
      <c r="AE55" s="1135">
        <v>1</v>
      </c>
      <c r="AF55" s="1129">
        <v>60</v>
      </c>
      <c r="AG55" s="1127">
        <v>1</v>
      </c>
      <c r="AH55" s="1127">
        <v>0</v>
      </c>
      <c r="AI55" s="1127">
        <v>0</v>
      </c>
      <c r="AJ55" s="1127">
        <v>1</v>
      </c>
      <c r="AK55" s="1129">
        <v>3563.0849738095239</v>
      </c>
      <c r="AL55" s="1129">
        <v>0</v>
      </c>
      <c r="AM55" s="1129">
        <v>0</v>
      </c>
      <c r="AN55" s="1129">
        <v>3563.0849738095239</v>
      </c>
      <c r="AO55" s="1129" t="s">
        <v>85</v>
      </c>
      <c r="AP55" s="1129" t="s">
        <v>6605</v>
      </c>
      <c r="AQ55" s="1157" t="s">
        <v>107</v>
      </c>
      <c r="AR55" s="1129" t="s">
        <v>87</v>
      </c>
      <c r="AS55" s="1127">
        <v>0.33333333333333331</v>
      </c>
      <c r="AT55" s="1127">
        <v>0.33333333333333331</v>
      </c>
      <c r="AU55" s="1127">
        <v>0.33333333333333331</v>
      </c>
      <c r="AV55" s="1127"/>
      <c r="AW55" s="1127"/>
      <c r="AX55" s="1127"/>
      <c r="AY55" s="1127"/>
      <c r="AZ55" s="1127"/>
      <c r="BA55" s="1129">
        <v>1187.6949912698412</v>
      </c>
      <c r="BB55" s="1129">
        <v>1187.6949912698412</v>
      </c>
      <c r="BC55" s="1129">
        <v>1187.6949912698412</v>
      </c>
      <c r="BD55" s="1129">
        <v>0</v>
      </c>
      <c r="BE55" s="1129">
        <v>0</v>
      </c>
      <c r="BF55" s="1129">
        <v>0</v>
      </c>
      <c r="BG55" s="1129">
        <v>0</v>
      </c>
      <c r="BH55" s="1129">
        <v>0</v>
      </c>
      <c r="BI55" s="971"/>
      <c r="BJ55" s="971"/>
      <c r="BK55" s="971"/>
    </row>
    <row r="56" spans="1:63" s="1278" customFormat="1" ht="49.5">
      <c r="A56" s="1272">
        <v>4000</v>
      </c>
      <c r="B56" s="971" t="s">
        <v>1316</v>
      </c>
      <c r="C56" s="1272">
        <v>4500</v>
      </c>
      <c r="D56" s="971" t="s">
        <v>452</v>
      </c>
      <c r="E56" s="971" t="s">
        <v>1546</v>
      </c>
      <c r="F56" s="971" t="s">
        <v>454</v>
      </c>
      <c r="G56" s="971">
        <v>4511</v>
      </c>
      <c r="H56" s="971" t="s">
        <v>565</v>
      </c>
      <c r="I56" s="1273" t="s">
        <v>495</v>
      </c>
      <c r="J56" s="971" t="s">
        <v>124</v>
      </c>
      <c r="K56" s="971" t="s">
        <v>140</v>
      </c>
      <c r="L56" s="971" t="s">
        <v>2909</v>
      </c>
      <c r="M56" s="971" t="s">
        <v>140</v>
      </c>
      <c r="N56" s="971" t="s">
        <v>141</v>
      </c>
      <c r="O56" s="971" t="s">
        <v>3280</v>
      </c>
      <c r="P56" s="971"/>
      <c r="Q56" s="971" t="s">
        <v>601</v>
      </c>
      <c r="R56" s="971" t="s">
        <v>1687</v>
      </c>
      <c r="S56" s="1274">
        <v>60</v>
      </c>
      <c r="T56" s="971" t="s">
        <v>136</v>
      </c>
      <c r="U56" s="1275">
        <v>0</v>
      </c>
      <c r="V56" s="1275">
        <v>0</v>
      </c>
      <c r="W56" s="1275">
        <v>0</v>
      </c>
      <c r="X56" s="1275">
        <v>0</v>
      </c>
      <c r="Y56" s="1275">
        <v>0</v>
      </c>
      <c r="Z56" s="1129">
        <v>0</v>
      </c>
      <c r="AA56" s="1129">
        <v>0</v>
      </c>
      <c r="AB56" s="1129">
        <v>0</v>
      </c>
      <c r="AC56" s="1129">
        <v>0</v>
      </c>
      <c r="AD56" s="1267">
        <v>0</v>
      </c>
      <c r="AE56" s="1135">
        <v>0</v>
      </c>
      <c r="AF56" s="1129">
        <v>0</v>
      </c>
      <c r="AG56" s="1127">
        <v>1</v>
      </c>
      <c r="AH56" s="1127">
        <v>0</v>
      </c>
      <c r="AI56" s="1127">
        <v>0</v>
      </c>
      <c r="AJ56" s="1127">
        <v>1</v>
      </c>
      <c r="AK56" s="1129">
        <v>0</v>
      </c>
      <c r="AL56" s="1129">
        <v>0</v>
      </c>
      <c r="AM56" s="1129">
        <v>0</v>
      </c>
      <c r="AN56" s="1129">
        <v>0</v>
      </c>
      <c r="AO56" s="1129" t="s">
        <v>85</v>
      </c>
      <c r="AP56" s="1129" t="s">
        <v>6605</v>
      </c>
      <c r="AQ56" s="1157" t="s">
        <v>107</v>
      </c>
      <c r="AR56" s="1129" t="s">
        <v>87</v>
      </c>
      <c r="AS56" s="1127">
        <v>0.33333333333333331</v>
      </c>
      <c r="AT56" s="1127">
        <v>0.33333333333333331</v>
      </c>
      <c r="AU56" s="1127">
        <v>0.33333333333333331</v>
      </c>
      <c r="AV56" s="1127"/>
      <c r="AW56" s="1127"/>
      <c r="AX56" s="1127"/>
      <c r="AY56" s="1127"/>
      <c r="AZ56" s="1127"/>
      <c r="BA56" s="1129">
        <v>0</v>
      </c>
      <c r="BB56" s="1129">
        <v>0</v>
      </c>
      <c r="BC56" s="1129">
        <v>0</v>
      </c>
      <c r="BD56" s="1129">
        <v>0</v>
      </c>
      <c r="BE56" s="1129">
        <v>0</v>
      </c>
      <c r="BF56" s="1129">
        <v>0</v>
      </c>
      <c r="BG56" s="1129">
        <v>0</v>
      </c>
      <c r="BH56" s="1129">
        <v>0</v>
      </c>
      <c r="BI56" s="971"/>
      <c r="BJ56" s="971"/>
      <c r="BK56" s="971"/>
    </row>
    <row r="57" spans="1:63" s="1278" customFormat="1" ht="49.5">
      <c r="A57" s="1272">
        <v>4000</v>
      </c>
      <c r="B57" s="971" t="s">
        <v>1316</v>
      </c>
      <c r="C57" s="1272">
        <v>4500</v>
      </c>
      <c r="D57" s="971" t="s">
        <v>452</v>
      </c>
      <c r="E57" s="971" t="s">
        <v>1546</v>
      </c>
      <c r="F57" s="971" t="s">
        <v>454</v>
      </c>
      <c r="G57" s="971">
        <v>4511</v>
      </c>
      <c r="H57" s="971" t="s">
        <v>565</v>
      </c>
      <c r="I57" s="1273" t="s">
        <v>495</v>
      </c>
      <c r="J57" s="971" t="s">
        <v>124</v>
      </c>
      <c r="K57" s="971"/>
      <c r="L57" s="971" t="e">
        <v>#N/A</v>
      </c>
      <c r="M57" s="971" t="s">
        <v>145</v>
      </c>
      <c r="N57" s="971" t="s">
        <v>141</v>
      </c>
      <c r="O57" s="971" t="s">
        <v>146</v>
      </c>
      <c r="P57" s="971"/>
      <c r="Q57" s="971" t="s">
        <v>602</v>
      </c>
      <c r="R57" s="971" t="s">
        <v>1687</v>
      </c>
      <c r="S57" s="1274">
        <v>60</v>
      </c>
      <c r="T57" s="971" t="s">
        <v>136</v>
      </c>
      <c r="U57" s="1275" t="s">
        <v>6588</v>
      </c>
      <c r="V57" s="1275" t="s">
        <v>6588</v>
      </c>
      <c r="W57" s="1275" t="s">
        <v>6588</v>
      </c>
      <c r="X57" s="1275" t="s">
        <v>6588</v>
      </c>
      <c r="Y57" s="1275" t="s">
        <v>6588</v>
      </c>
      <c r="Z57" s="1129">
        <v>0</v>
      </c>
      <c r="AA57" s="1129">
        <v>0</v>
      </c>
      <c r="AB57" s="1129">
        <v>0</v>
      </c>
      <c r="AC57" s="1129">
        <v>0</v>
      </c>
      <c r="AD57" s="1267">
        <v>0</v>
      </c>
      <c r="AE57" s="1135">
        <v>0</v>
      </c>
      <c r="AF57" s="1129">
        <v>0</v>
      </c>
      <c r="AG57" s="1127">
        <v>1</v>
      </c>
      <c r="AH57" s="1127">
        <v>0</v>
      </c>
      <c r="AI57" s="1127">
        <v>0</v>
      </c>
      <c r="AJ57" s="1127">
        <v>1</v>
      </c>
      <c r="AK57" s="1129">
        <v>0</v>
      </c>
      <c r="AL57" s="1129">
        <v>0</v>
      </c>
      <c r="AM57" s="1129">
        <v>0</v>
      </c>
      <c r="AN57" s="1129">
        <v>0</v>
      </c>
      <c r="AO57" s="1129" t="s">
        <v>85</v>
      </c>
      <c r="AP57" s="1129" t="s">
        <v>6605</v>
      </c>
      <c r="AQ57" s="1157" t="s">
        <v>107</v>
      </c>
      <c r="AR57" s="1129" t="s">
        <v>87</v>
      </c>
      <c r="AS57" s="1127">
        <v>0.33333333333333331</v>
      </c>
      <c r="AT57" s="1127">
        <v>0.33333333333333331</v>
      </c>
      <c r="AU57" s="1127">
        <v>0.33333333333333331</v>
      </c>
      <c r="AV57" s="1127"/>
      <c r="AW57" s="1127"/>
      <c r="AX57" s="1127"/>
      <c r="AY57" s="1127"/>
      <c r="AZ57" s="1127"/>
      <c r="BA57" s="1129">
        <v>0</v>
      </c>
      <c r="BB57" s="1129">
        <v>0</v>
      </c>
      <c r="BC57" s="1129">
        <v>0</v>
      </c>
      <c r="BD57" s="1129">
        <v>0</v>
      </c>
      <c r="BE57" s="1129">
        <v>0</v>
      </c>
      <c r="BF57" s="1129">
        <v>0</v>
      </c>
      <c r="BG57" s="1129">
        <v>0</v>
      </c>
      <c r="BH57" s="1129">
        <v>0</v>
      </c>
      <c r="BI57" s="971"/>
      <c r="BJ57" s="971"/>
      <c r="BK57" s="971"/>
    </row>
    <row r="58" spans="1:63" s="1278" customFormat="1" ht="66">
      <c r="A58" s="1272">
        <v>4000</v>
      </c>
      <c r="B58" s="971" t="s">
        <v>1316</v>
      </c>
      <c r="C58" s="1272">
        <v>4500</v>
      </c>
      <c r="D58" s="971" t="s">
        <v>452</v>
      </c>
      <c r="E58" s="971" t="s">
        <v>1546</v>
      </c>
      <c r="F58" s="971" t="s">
        <v>454</v>
      </c>
      <c r="G58" s="971">
        <v>4512</v>
      </c>
      <c r="H58" s="971" t="s">
        <v>456</v>
      </c>
      <c r="I58" s="1273" t="s">
        <v>503</v>
      </c>
      <c r="J58" s="971" t="s">
        <v>124</v>
      </c>
      <c r="K58" s="971" t="s">
        <v>784</v>
      </c>
      <c r="L58" s="971" t="s">
        <v>2852</v>
      </c>
      <c r="M58" s="971" t="s">
        <v>458</v>
      </c>
      <c r="N58" s="971" t="s">
        <v>127</v>
      </c>
      <c r="O58" s="971" t="s">
        <v>459</v>
      </c>
      <c r="P58" s="971"/>
      <c r="Q58" s="971" t="s">
        <v>1596</v>
      </c>
      <c r="R58" s="971" t="s">
        <v>1597</v>
      </c>
      <c r="S58" s="1274">
        <v>611.58073599649208</v>
      </c>
      <c r="T58" s="971" t="s">
        <v>136</v>
      </c>
      <c r="U58" s="1275">
        <v>0.22416666666666665</v>
      </c>
      <c r="V58" s="1275">
        <v>3.3624999999999998</v>
      </c>
      <c r="W58" s="1275">
        <v>22.397249563492064</v>
      </c>
      <c r="X58" s="1275">
        <v>33.625</v>
      </c>
      <c r="Y58" s="1275">
        <v>59.384749563492065</v>
      </c>
      <c r="Z58" s="1129">
        <v>137.09601498588029</v>
      </c>
      <c r="AA58" s="1129">
        <v>2056.4402247882044</v>
      </c>
      <c r="AB58" s="1129">
        <v>13697.726372337587</v>
      </c>
      <c r="AC58" s="1129">
        <v>20564.402247882048</v>
      </c>
      <c r="AD58" s="1267">
        <v>36318.568845007838</v>
      </c>
      <c r="AE58" s="1135">
        <v>1</v>
      </c>
      <c r="AF58" s="1129">
        <v>611.58073599649208</v>
      </c>
      <c r="AG58" s="1127">
        <v>1</v>
      </c>
      <c r="AH58" s="1127">
        <v>0</v>
      </c>
      <c r="AI58" s="1127">
        <v>0</v>
      </c>
      <c r="AJ58" s="1127">
        <v>1</v>
      </c>
      <c r="AK58" s="1129">
        <v>36318.568845007838</v>
      </c>
      <c r="AL58" s="1129">
        <v>0</v>
      </c>
      <c r="AM58" s="1129">
        <v>0</v>
      </c>
      <c r="AN58" s="1129">
        <v>36318.568845007838</v>
      </c>
      <c r="AO58" s="1129" t="s">
        <v>85</v>
      </c>
      <c r="AP58" s="1129" t="s">
        <v>6605</v>
      </c>
      <c r="AQ58" s="1157" t="s">
        <v>107</v>
      </c>
      <c r="AR58" s="1129" t="s">
        <v>87</v>
      </c>
      <c r="AS58" s="1127">
        <v>0.33333333333333331</v>
      </c>
      <c r="AT58" s="1127">
        <v>0.33333333333333331</v>
      </c>
      <c r="AU58" s="1127">
        <v>0.33333333333333331</v>
      </c>
      <c r="AV58" s="1127"/>
      <c r="AW58" s="1127"/>
      <c r="AX58" s="1127"/>
      <c r="AY58" s="1127"/>
      <c r="AZ58" s="1127"/>
      <c r="BA58" s="1129">
        <v>12106.189615002611</v>
      </c>
      <c r="BB58" s="1129">
        <v>12106.189615002611</v>
      </c>
      <c r="BC58" s="1129">
        <v>12106.189615002611</v>
      </c>
      <c r="BD58" s="1129">
        <v>0</v>
      </c>
      <c r="BE58" s="1129">
        <v>0</v>
      </c>
      <c r="BF58" s="1129">
        <v>0</v>
      </c>
      <c r="BG58" s="1129">
        <v>0</v>
      </c>
      <c r="BH58" s="1129">
        <v>0</v>
      </c>
      <c r="BI58" s="971"/>
      <c r="BJ58" s="971"/>
      <c r="BK58" s="971"/>
    </row>
    <row r="59" spans="1:63" s="1278" customFormat="1" ht="49.5">
      <c r="A59" s="1272">
        <v>4000</v>
      </c>
      <c r="B59" s="971" t="s">
        <v>1316</v>
      </c>
      <c r="C59" s="1272">
        <v>4500</v>
      </c>
      <c r="D59" s="971" t="s">
        <v>452</v>
      </c>
      <c r="E59" s="971" t="s">
        <v>1546</v>
      </c>
      <c r="F59" s="971" t="s">
        <v>454</v>
      </c>
      <c r="G59" s="971">
        <v>4512</v>
      </c>
      <c r="H59" s="971" t="s">
        <v>456</v>
      </c>
      <c r="I59" s="1273" t="s">
        <v>503</v>
      </c>
      <c r="J59" s="971" t="s">
        <v>124</v>
      </c>
      <c r="K59" s="971" t="s">
        <v>140</v>
      </c>
      <c r="L59" s="971" t="s">
        <v>2909</v>
      </c>
      <c r="M59" s="971" t="s">
        <v>140</v>
      </c>
      <c r="N59" s="971" t="s">
        <v>141</v>
      </c>
      <c r="O59" s="971" t="s">
        <v>3280</v>
      </c>
      <c r="P59" s="971"/>
      <c r="Q59" s="971" t="s">
        <v>1598</v>
      </c>
      <c r="R59" s="971" t="s">
        <v>1597</v>
      </c>
      <c r="S59" s="1274">
        <v>611.58073599649208</v>
      </c>
      <c r="T59" s="971" t="s">
        <v>136</v>
      </c>
      <c r="U59" s="1275">
        <v>0</v>
      </c>
      <c r="V59" s="1275">
        <v>0</v>
      </c>
      <c r="W59" s="1275">
        <v>0</v>
      </c>
      <c r="X59" s="1275">
        <v>0</v>
      </c>
      <c r="Y59" s="1275">
        <v>0</v>
      </c>
      <c r="Z59" s="1129">
        <v>0</v>
      </c>
      <c r="AA59" s="1129">
        <v>0</v>
      </c>
      <c r="AB59" s="1129">
        <v>0</v>
      </c>
      <c r="AC59" s="1129">
        <v>0</v>
      </c>
      <c r="AD59" s="1267">
        <v>0</v>
      </c>
      <c r="AE59" s="1135">
        <v>0</v>
      </c>
      <c r="AF59" s="1129">
        <v>0</v>
      </c>
      <c r="AG59" s="1127">
        <v>1</v>
      </c>
      <c r="AH59" s="1127">
        <v>0</v>
      </c>
      <c r="AI59" s="1127">
        <v>0</v>
      </c>
      <c r="AJ59" s="1127">
        <v>1</v>
      </c>
      <c r="AK59" s="1129">
        <v>0</v>
      </c>
      <c r="AL59" s="1129">
        <v>0</v>
      </c>
      <c r="AM59" s="1129">
        <v>0</v>
      </c>
      <c r="AN59" s="1129">
        <v>0</v>
      </c>
      <c r="AO59" s="1129" t="s">
        <v>85</v>
      </c>
      <c r="AP59" s="1129" t="s">
        <v>6605</v>
      </c>
      <c r="AQ59" s="1157" t="s">
        <v>107</v>
      </c>
      <c r="AR59" s="1129" t="s">
        <v>87</v>
      </c>
      <c r="AS59" s="1127">
        <v>0.33333333333333331</v>
      </c>
      <c r="AT59" s="1127">
        <v>0.33333333333333331</v>
      </c>
      <c r="AU59" s="1127">
        <v>0.33333333333333331</v>
      </c>
      <c r="AV59" s="1127"/>
      <c r="AW59" s="1127"/>
      <c r="AX59" s="1127"/>
      <c r="AY59" s="1127"/>
      <c r="AZ59" s="1127"/>
      <c r="BA59" s="1129">
        <v>0</v>
      </c>
      <c r="BB59" s="1129">
        <v>0</v>
      </c>
      <c r="BC59" s="1129">
        <v>0</v>
      </c>
      <c r="BD59" s="1129">
        <v>0</v>
      </c>
      <c r="BE59" s="1129">
        <v>0</v>
      </c>
      <c r="BF59" s="1129">
        <v>0</v>
      </c>
      <c r="BG59" s="1129">
        <v>0</v>
      </c>
      <c r="BH59" s="1129">
        <v>0</v>
      </c>
      <c r="BI59" s="971"/>
      <c r="BJ59" s="971"/>
      <c r="BK59" s="971"/>
    </row>
    <row r="60" spans="1:63" s="1278" customFormat="1" ht="49.5">
      <c r="A60" s="1272">
        <v>4000</v>
      </c>
      <c r="B60" s="971" t="s">
        <v>1316</v>
      </c>
      <c r="C60" s="1272">
        <v>4500</v>
      </c>
      <c r="D60" s="971" t="s">
        <v>452</v>
      </c>
      <c r="E60" s="971" t="s">
        <v>1546</v>
      </c>
      <c r="F60" s="971" t="s">
        <v>454</v>
      </c>
      <c r="G60" s="971">
        <v>4512</v>
      </c>
      <c r="H60" s="971" t="s">
        <v>456</v>
      </c>
      <c r="I60" s="1273" t="s">
        <v>503</v>
      </c>
      <c r="J60" s="971" t="s">
        <v>124</v>
      </c>
      <c r="K60" s="971"/>
      <c r="L60" s="971" t="e">
        <v>#N/A</v>
      </c>
      <c r="M60" s="971" t="s">
        <v>145</v>
      </c>
      <c r="N60" s="971" t="s">
        <v>141</v>
      </c>
      <c r="O60" s="971" t="s">
        <v>146</v>
      </c>
      <c r="P60" s="971"/>
      <c r="Q60" s="971" t="s">
        <v>1599</v>
      </c>
      <c r="R60" s="971" t="s">
        <v>1597</v>
      </c>
      <c r="S60" s="1274">
        <v>611.58073599649208</v>
      </c>
      <c r="T60" s="971" t="s">
        <v>136</v>
      </c>
      <c r="U60" s="1275" t="s">
        <v>6588</v>
      </c>
      <c r="V60" s="1275" t="s">
        <v>6588</v>
      </c>
      <c r="W60" s="1275" t="s">
        <v>6588</v>
      </c>
      <c r="X60" s="1275" t="s">
        <v>6588</v>
      </c>
      <c r="Y60" s="1275" t="s">
        <v>6588</v>
      </c>
      <c r="Z60" s="1129">
        <v>0</v>
      </c>
      <c r="AA60" s="1129">
        <v>0</v>
      </c>
      <c r="AB60" s="1129">
        <v>0</v>
      </c>
      <c r="AC60" s="1129">
        <v>0</v>
      </c>
      <c r="AD60" s="1267">
        <v>0</v>
      </c>
      <c r="AE60" s="1135">
        <v>0</v>
      </c>
      <c r="AF60" s="1129">
        <v>0</v>
      </c>
      <c r="AG60" s="1127">
        <v>1</v>
      </c>
      <c r="AH60" s="1127">
        <v>0</v>
      </c>
      <c r="AI60" s="1127">
        <v>0</v>
      </c>
      <c r="AJ60" s="1127">
        <v>1</v>
      </c>
      <c r="AK60" s="1129">
        <v>0</v>
      </c>
      <c r="AL60" s="1129">
        <v>0</v>
      </c>
      <c r="AM60" s="1129">
        <v>0</v>
      </c>
      <c r="AN60" s="1129">
        <v>0</v>
      </c>
      <c r="AO60" s="1129" t="s">
        <v>85</v>
      </c>
      <c r="AP60" s="1129" t="s">
        <v>6605</v>
      </c>
      <c r="AQ60" s="1157" t="s">
        <v>107</v>
      </c>
      <c r="AR60" s="1129" t="s">
        <v>87</v>
      </c>
      <c r="AS60" s="1127">
        <v>0.33333333333333331</v>
      </c>
      <c r="AT60" s="1127">
        <v>0.33333333333333331</v>
      </c>
      <c r="AU60" s="1127">
        <v>0.33333333333333331</v>
      </c>
      <c r="AV60" s="1127"/>
      <c r="AW60" s="1127"/>
      <c r="AX60" s="1127"/>
      <c r="AY60" s="1127"/>
      <c r="AZ60" s="1127"/>
      <c r="BA60" s="1129">
        <v>0</v>
      </c>
      <c r="BB60" s="1129">
        <v>0</v>
      </c>
      <c r="BC60" s="1129">
        <v>0</v>
      </c>
      <c r="BD60" s="1129">
        <v>0</v>
      </c>
      <c r="BE60" s="1129">
        <v>0</v>
      </c>
      <c r="BF60" s="1129">
        <v>0</v>
      </c>
      <c r="BG60" s="1129">
        <v>0</v>
      </c>
      <c r="BH60" s="1129">
        <v>0</v>
      </c>
      <c r="BI60" s="971"/>
      <c r="BJ60" s="971"/>
      <c r="BK60" s="971"/>
    </row>
    <row r="61" spans="1:63" s="1278" customFormat="1" ht="66">
      <c r="A61" s="1272">
        <v>4000</v>
      </c>
      <c r="B61" s="971" t="s">
        <v>1316</v>
      </c>
      <c r="C61" s="1272">
        <v>4500</v>
      </c>
      <c r="D61" s="971" t="s">
        <v>452</v>
      </c>
      <c r="E61" s="971" t="s">
        <v>1546</v>
      </c>
      <c r="F61" s="971" t="s">
        <v>454</v>
      </c>
      <c r="G61" s="971">
        <v>4512</v>
      </c>
      <c r="H61" s="971" t="s">
        <v>456</v>
      </c>
      <c r="I61" s="1273" t="s">
        <v>1067</v>
      </c>
      <c r="J61" s="971" t="s">
        <v>124</v>
      </c>
      <c r="K61" s="971" t="s">
        <v>784</v>
      </c>
      <c r="L61" s="971" t="s">
        <v>2852</v>
      </c>
      <c r="M61" s="971" t="s">
        <v>458</v>
      </c>
      <c r="N61" s="971" t="s">
        <v>127</v>
      </c>
      <c r="O61" s="971" t="s">
        <v>459</v>
      </c>
      <c r="P61" s="971"/>
      <c r="Q61" s="971" t="s">
        <v>1600</v>
      </c>
      <c r="R61" s="971" t="s">
        <v>1601</v>
      </c>
      <c r="S61" s="1274">
        <v>611.58073599649208</v>
      </c>
      <c r="T61" s="971" t="s">
        <v>136</v>
      </c>
      <c r="U61" s="1275">
        <v>0.22416666666666665</v>
      </c>
      <c r="V61" s="1275">
        <v>3.3624999999999998</v>
      </c>
      <c r="W61" s="1275">
        <v>22.397249563492064</v>
      </c>
      <c r="X61" s="1275">
        <v>33.625</v>
      </c>
      <c r="Y61" s="1275">
        <v>59.384749563492065</v>
      </c>
      <c r="Z61" s="1129">
        <v>137.09601498588029</v>
      </c>
      <c r="AA61" s="1129">
        <v>2056.4402247882044</v>
      </c>
      <c r="AB61" s="1129">
        <v>13697.726372337587</v>
      </c>
      <c r="AC61" s="1129">
        <v>20564.402247882048</v>
      </c>
      <c r="AD61" s="1267">
        <v>36318.568845007838</v>
      </c>
      <c r="AE61" s="1135">
        <v>1</v>
      </c>
      <c r="AF61" s="1129">
        <v>611.58073599649208</v>
      </c>
      <c r="AG61" s="1127">
        <v>1</v>
      </c>
      <c r="AH61" s="1127">
        <v>0</v>
      </c>
      <c r="AI61" s="1127">
        <v>0</v>
      </c>
      <c r="AJ61" s="1127">
        <v>1</v>
      </c>
      <c r="AK61" s="1129">
        <v>36318.568845007838</v>
      </c>
      <c r="AL61" s="1129">
        <v>0</v>
      </c>
      <c r="AM61" s="1129">
        <v>0</v>
      </c>
      <c r="AN61" s="1129">
        <v>36318.568845007838</v>
      </c>
      <c r="AO61" s="1129" t="s">
        <v>85</v>
      </c>
      <c r="AP61" s="1129" t="s">
        <v>6605</v>
      </c>
      <c r="AQ61" s="1157" t="s">
        <v>107</v>
      </c>
      <c r="AR61" s="1129" t="s">
        <v>87</v>
      </c>
      <c r="AS61" s="1127">
        <v>0.33333333333333331</v>
      </c>
      <c r="AT61" s="1127">
        <v>0.33333333333333331</v>
      </c>
      <c r="AU61" s="1127">
        <v>0.33333333333333331</v>
      </c>
      <c r="AV61" s="1127"/>
      <c r="AW61" s="1127"/>
      <c r="AX61" s="1127"/>
      <c r="AY61" s="1127"/>
      <c r="AZ61" s="1127"/>
      <c r="BA61" s="1129">
        <v>12106.189615002611</v>
      </c>
      <c r="BB61" s="1129">
        <v>12106.189615002611</v>
      </c>
      <c r="BC61" s="1129">
        <v>12106.189615002611</v>
      </c>
      <c r="BD61" s="1129">
        <v>0</v>
      </c>
      <c r="BE61" s="1129">
        <v>0</v>
      </c>
      <c r="BF61" s="1129">
        <v>0</v>
      </c>
      <c r="BG61" s="1129">
        <v>0</v>
      </c>
      <c r="BH61" s="1129">
        <v>0</v>
      </c>
      <c r="BI61" s="971"/>
      <c r="BJ61" s="971"/>
      <c r="BK61" s="971"/>
    </row>
    <row r="62" spans="1:63" s="1278" customFormat="1" ht="49.5">
      <c r="A62" s="1272">
        <v>4000</v>
      </c>
      <c r="B62" s="971" t="s">
        <v>1316</v>
      </c>
      <c r="C62" s="1272">
        <v>4500</v>
      </c>
      <c r="D62" s="971" t="s">
        <v>452</v>
      </c>
      <c r="E62" s="971" t="s">
        <v>1546</v>
      </c>
      <c r="F62" s="971" t="s">
        <v>454</v>
      </c>
      <c r="G62" s="971">
        <v>4512</v>
      </c>
      <c r="H62" s="971" t="s">
        <v>456</v>
      </c>
      <c r="I62" s="1273" t="s">
        <v>1067</v>
      </c>
      <c r="J62" s="971" t="s">
        <v>124</v>
      </c>
      <c r="K62" s="971" t="s">
        <v>140</v>
      </c>
      <c r="L62" s="971" t="s">
        <v>2909</v>
      </c>
      <c r="M62" s="971" t="s">
        <v>140</v>
      </c>
      <c r="N62" s="971" t="s">
        <v>141</v>
      </c>
      <c r="O62" s="971" t="s">
        <v>3280</v>
      </c>
      <c r="P62" s="971"/>
      <c r="Q62" s="971" t="s">
        <v>1602</v>
      </c>
      <c r="R62" s="971" t="s">
        <v>1601</v>
      </c>
      <c r="S62" s="1274">
        <v>611.58073599649208</v>
      </c>
      <c r="T62" s="971" t="s">
        <v>136</v>
      </c>
      <c r="U62" s="1275">
        <v>0</v>
      </c>
      <c r="V62" s="1275">
        <v>0</v>
      </c>
      <c r="W62" s="1275">
        <v>0</v>
      </c>
      <c r="X62" s="1275">
        <v>0</v>
      </c>
      <c r="Y62" s="1275">
        <v>0</v>
      </c>
      <c r="Z62" s="1129">
        <v>0</v>
      </c>
      <c r="AA62" s="1129">
        <v>0</v>
      </c>
      <c r="AB62" s="1129">
        <v>0</v>
      </c>
      <c r="AC62" s="1129">
        <v>0</v>
      </c>
      <c r="AD62" s="1267">
        <v>0</v>
      </c>
      <c r="AE62" s="1135">
        <v>0</v>
      </c>
      <c r="AF62" s="1129">
        <v>0</v>
      </c>
      <c r="AG62" s="1127">
        <v>1</v>
      </c>
      <c r="AH62" s="1127">
        <v>0</v>
      </c>
      <c r="AI62" s="1127">
        <v>0</v>
      </c>
      <c r="AJ62" s="1127">
        <v>1</v>
      </c>
      <c r="AK62" s="1129">
        <v>0</v>
      </c>
      <c r="AL62" s="1129">
        <v>0</v>
      </c>
      <c r="AM62" s="1129">
        <v>0</v>
      </c>
      <c r="AN62" s="1129">
        <v>0</v>
      </c>
      <c r="AO62" s="1129" t="s">
        <v>85</v>
      </c>
      <c r="AP62" s="1129" t="s">
        <v>6605</v>
      </c>
      <c r="AQ62" s="1157" t="s">
        <v>107</v>
      </c>
      <c r="AR62" s="1129" t="s">
        <v>87</v>
      </c>
      <c r="AS62" s="1127">
        <v>0.33333333333333331</v>
      </c>
      <c r="AT62" s="1127">
        <v>0.33333333333333331</v>
      </c>
      <c r="AU62" s="1127">
        <v>0.33333333333333331</v>
      </c>
      <c r="AV62" s="1127"/>
      <c r="AW62" s="1127"/>
      <c r="AX62" s="1127"/>
      <c r="AY62" s="1127"/>
      <c r="AZ62" s="1127"/>
      <c r="BA62" s="1129">
        <v>0</v>
      </c>
      <c r="BB62" s="1129">
        <v>0</v>
      </c>
      <c r="BC62" s="1129">
        <v>0</v>
      </c>
      <c r="BD62" s="1129">
        <v>0</v>
      </c>
      <c r="BE62" s="1129">
        <v>0</v>
      </c>
      <c r="BF62" s="1129">
        <v>0</v>
      </c>
      <c r="BG62" s="1129">
        <v>0</v>
      </c>
      <c r="BH62" s="1129">
        <v>0</v>
      </c>
      <c r="BI62" s="971"/>
      <c r="BJ62" s="971"/>
      <c r="BK62" s="971"/>
    </row>
    <row r="63" spans="1:63" s="1278" customFormat="1" ht="49.5">
      <c r="A63" s="1272">
        <v>4000</v>
      </c>
      <c r="B63" s="971" t="s">
        <v>1316</v>
      </c>
      <c r="C63" s="1272">
        <v>4500</v>
      </c>
      <c r="D63" s="971" t="s">
        <v>452</v>
      </c>
      <c r="E63" s="971" t="s">
        <v>1546</v>
      </c>
      <c r="F63" s="971" t="s">
        <v>454</v>
      </c>
      <c r="G63" s="971">
        <v>4512</v>
      </c>
      <c r="H63" s="971" t="s">
        <v>456</v>
      </c>
      <c r="I63" s="1273" t="s">
        <v>1067</v>
      </c>
      <c r="J63" s="971" t="s">
        <v>124</v>
      </c>
      <c r="K63" s="971"/>
      <c r="L63" s="971" t="e">
        <v>#N/A</v>
      </c>
      <c r="M63" s="971" t="s">
        <v>145</v>
      </c>
      <c r="N63" s="971" t="s">
        <v>141</v>
      </c>
      <c r="O63" s="971" t="s">
        <v>146</v>
      </c>
      <c r="P63" s="971"/>
      <c r="Q63" s="971" t="s">
        <v>1603</v>
      </c>
      <c r="R63" s="971" t="s">
        <v>1601</v>
      </c>
      <c r="S63" s="1274">
        <v>611.58073599649208</v>
      </c>
      <c r="T63" s="971" t="s">
        <v>136</v>
      </c>
      <c r="U63" s="1275" t="s">
        <v>6588</v>
      </c>
      <c r="V63" s="1275" t="s">
        <v>6588</v>
      </c>
      <c r="W63" s="1275" t="s">
        <v>6588</v>
      </c>
      <c r="X63" s="1275" t="s">
        <v>6588</v>
      </c>
      <c r="Y63" s="1275" t="s">
        <v>6588</v>
      </c>
      <c r="Z63" s="1129">
        <v>0</v>
      </c>
      <c r="AA63" s="1129">
        <v>0</v>
      </c>
      <c r="AB63" s="1129">
        <v>0</v>
      </c>
      <c r="AC63" s="1129">
        <v>0</v>
      </c>
      <c r="AD63" s="1267">
        <v>0</v>
      </c>
      <c r="AE63" s="1135">
        <v>0</v>
      </c>
      <c r="AF63" s="1129">
        <v>0</v>
      </c>
      <c r="AG63" s="1127">
        <v>1</v>
      </c>
      <c r="AH63" s="1127">
        <v>0</v>
      </c>
      <c r="AI63" s="1127">
        <v>0</v>
      </c>
      <c r="AJ63" s="1127">
        <v>1</v>
      </c>
      <c r="AK63" s="1129">
        <v>0</v>
      </c>
      <c r="AL63" s="1129">
        <v>0</v>
      </c>
      <c r="AM63" s="1129">
        <v>0</v>
      </c>
      <c r="AN63" s="1129">
        <v>0</v>
      </c>
      <c r="AO63" s="1129" t="s">
        <v>85</v>
      </c>
      <c r="AP63" s="1129" t="s">
        <v>6605</v>
      </c>
      <c r="AQ63" s="1157" t="s">
        <v>107</v>
      </c>
      <c r="AR63" s="1129" t="s">
        <v>87</v>
      </c>
      <c r="AS63" s="1127">
        <v>0.33333333333333331</v>
      </c>
      <c r="AT63" s="1127">
        <v>0.33333333333333331</v>
      </c>
      <c r="AU63" s="1127">
        <v>0.33333333333333331</v>
      </c>
      <c r="AV63" s="1127"/>
      <c r="AW63" s="1127"/>
      <c r="AX63" s="1127"/>
      <c r="AY63" s="1127"/>
      <c r="AZ63" s="1127"/>
      <c r="BA63" s="1129">
        <v>0</v>
      </c>
      <c r="BB63" s="1129">
        <v>0</v>
      </c>
      <c r="BC63" s="1129">
        <v>0</v>
      </c>
      <c r="BD63" s="1129">
        <v>0</v>
      </c>
      <c r="BE63" s="1129">
        <v>0</v>
      </c>
      <c r="BF63" s="1129">
        <v>0</v>
      </c>
      <c r="BG63" s="1129">
        <v>0</v>
      </c>
      <c r="BH63" s="1129">
        <v>0</v>
      </c>
      <c r="BI63" s="971"/>
      <c r="BJ63" s="971"/>
      <c r="BK63" s="971"/>
    </row>
    <row r="64" spans="1:63" s="1278" customFormat="1" ht="66">
      <c r="A64" s="1272">
        <v>4000</v>
      </c>
      <c r="B64" s="971" t="s">
        <v>1316</v>
      </c>
      <c r="C64" s="1272">
        <v>4500</v>
      </c>
      <c r="D64" s="971" t="s">
        <v>452</v>
      </c>
      <c r="E64" s="971" t="s">
        <v>1546</v>
      </c>
      <c r="F64" s="971" t="s">
        <v>454</v>
      </c>
      <c r="G64" s="971">
        <v>4512</v>
      </c>
      <c r="H64" s="971" t="s">
        <v>456</v>
      </c>
      <c r="I64" s="1273" t="s">
        <v>1604</v>
      </c>
      <c r="J64" s="971" t="s">
        <v>124</v>
      </c>
      <c r="K64" s="971" t="s">
        <v>784</v>
      </c>
      <c r="L64" s="971" t="s">
        <v>2852</v>
      </c>
      <c r="M64" s="971" t="s">
        <v>458</v>
      </c>
      <c r="N64" s="971" t="s">
        <v>127</v>
      </c>
      <c r="O64" s="971" t="s">
        <v>459</v>
      </c>
      <c r="P64" s="971"/>
      <c r="Q64" s="971" t="s">
        <v>1605</v>
      </c>
      <c r="R64" s="971" t="s">
        <v>1606</v>
      </c>
      <c r="S64" s="1274">
        <v>611.58073599649208</v>
      </c>
      <c r="T64" s="971" t="s">
        <v>136</v>
      </c>
      <c r="U64" s="1275">
        <v>0.22416666666666665</v>
      </c>
      <c r="V64" s="1275">
        <v>3.3624999999999998</v>
      </c>
      <c r="W64" s="1275">
        <v>22.397249563492064</v>
      </c>
      <c r="X64" s="1275">
        <v>33.625</v>
      </c>
      <c r="Y64" s="1275">
        <v>59.384749563492065</v>
      </c>
      <c r="Z64" s="1129">
        <v>137.09601498588029</v>
      </c>
      <c r="AA64" s="1129">
        <v>2056.4402247882044</v>
      </c>
      <c r="AB64" s="1129">
        <v>13697.726372337587</v>
      </c>
      <c r="AC64" s="1129">
        <v>20564.402247882048</v>
      </c>
      <c r="AD64" s="1267">
        <v>36318.568845007838</v>
      </c>
      <c r="AE64" s="1135">
        <v>1</v>
      </c>
      <c r="AF64" s="1129">
        <v>611.58073599649208</v>
      </c>
      <c r="AG64" s="1127">
        <v>1</v>
      </c>
      <c r="AH64" s="1127">
        <v>0</v>
      </c>
      <c r="AI64" s="1127">
        <v>0</v>
      </c>
      <c r="AJ64" s="1127">
        <v>1</v>
      </c>
      <c r="AK64" s="1129">
        <v>36318.568845007838</v>
      </c>
      <c r="AL64" s="1129">
        <v>0</v>
      </c>
      <c r="AM64" s="1129">
        <v>0</v>
      </c>
      <c r="AN64" s="1129">
        <v>36318.568845007838</v>
      </c>
      <c r="AO64" s="1129" t="s">
        <v>85</v>
      </c>
      <c r="AP64" s="1129" t="s">
        <v>6605</v>
      </c>
      <c r="AQ64" s="1157" t="s">
        <v>107</v>
      </c>
      <c r="AR64" s="1129" t="s">
        <v>87</v>
      </c>
      <c r="AS64" s="1127">
        <v>0.33333333333333331</v>
      </c>
      <c r="AT64" s="1127">
        <v>0.33333333333333331</v>
      </c>
      <c r="AU64" s="1127">
        <v>0.33333333333333331</v>
      </c>
      <c r="AV64" s="1127"/>
      <c r="AW64" s="1127"/>
      <c r="AX64" s="1127"/>
      <c r="AY64" s="1127"/>
      <c r="AZ64" s="1127"/>
      <c r="BA64" s="1129">
        <v>12106.189615002611</v>
      </c>
      <c r="BB64" s="1129">
        <v>12106.189615002611</v>
      </c>
      <c r="BC64" s="1129">
        <v>12106.189615002611</v>
      </c>
      <c r="BD64" s="1129">
        <v>0</v>
      </c>
      <c r="BE64" s="1129">
        <v>0</v>
      </c>
      <c r="BF64" s="1129">
        <v>0</v>
      </c>
      <c r="BG64" s="1129">
        <v>0</v>
      </c>
      <c r="BH64" s="1129">
        <v>0</v>
      </c>
      <c r="BI64" s="971"/>
      <c r="BJ64" s="971"/>
      <c r="BK64" s="971"/>
    </row>
    <row r="65" spans="1:63" s="1278" customFormat="1" ht="49.5">
      <c r="A65" s="1272">
        <v>4000</v>
      </c>
      <c r="B65" s="971" t="s">
        <v>1316</v>
      </c>
      <c r="C65" s="1272">
        <v>4500</v>
      </c>
      <c r="D65" s="971" t="s">
        <v>452</v>
      </c>
      <c r="E65" s="971" t="s">
        <v>1546</v>
      </c>
      <c r="F65" s="971" t="s">
        <v>454</v>
      </c>
      <c r="G65" s="971">
        <v>4512</v>
      </c>
      <c r="H65" s="971" t="s">
        <v>456</v>
      </c>
      <c r="I65" s="1273" t="s">
        <v>1604</v>
      </c>
      <c r="J65" s="971" t="s">
        <v>124</v>
      </c>
      <c r="K65" s="971" t="s">
        <v>140</v>
      </c>
      <c r="L65" s="971" t="s">
        <v>2909</v>
      </c>
      <c r="M65" s="971" t="s">
        <v>140</v>
      </c>
      <c r="N65" s="971" t="s">
        <v>141</v>
      </c>
      <c r="O65" s="971" t="s">
        <v>3280</v>
      </c>
      <c r="P65" s="971"/>
      <c r="Q65" s="971" t="s">
        <v>1607</v>
      </c>
      <c r="R65" s="971" t="s">
        <v>1606</v>
      </c>
      <c r="S65" s="1274">
        <v>611.58073599649208</v>
      </c>
      <c r="T65" s="971" t="s">
        <v>136</v>
      </c>
      <c r="U65" s="1275">
        <v>0</v>
      </c>
      <c r="V65" s="1275">
        <v>0</v>
      </c>
      <c r="W65" s="1275">
        <v>0</v>
      </c>
      <c r="X65" s="1275">
        <v>0</v>
      </c>
      <c r="Y65" s="1275">
        <v>0</v>
      </c>
      <c r="Z65" s="1129">
        <v>0</v>
      </c>
      <c r="AA65" s="1129">
        <v>0</v>
      </c>
      <c r="AB65" s="1129">
        <v>0</v>
      </c>
      <c r="AC65" s="1129">
        <v>0</v>
      </c>
      <c r="AD65" s="1267">
        <v>0</v>
      </c>
      <c r="AE65" s="1135">
        <v>0</v>
      </c>
      <c r="AF65" s="1129">
        <v>0</v>
      </c>
      <c r="AG65" s="1127">
        <v>1</v>
      </c>
      <c r="AH65" s="1127">
        <v>0</v>
      </c>
      <c r="AI65" s="1127">
        <v>0</v>
      </c>
      <c r="AJ65" s="1127">
        <v>1</v>
      </c>
      <c r="AK65" s="1129">
        <v>0</v>
      </c>
      <c r="AL65" s="1129">
        <v>0</v>
      </c>
      <c r="AM65" s="1129">
        <v>0</v>
      </c>
      <c r="AN65" s="1129">
        <v>0</v>
      </c>
      <c r="AO65" s="1129" t="s">
        <v>85</v>
      </c>
      <c r="AP65" s="1129" t="s">
        <v>6605</v>
      </c>
      <c r="AQ65" s="1157" t="s">
        <v>107</v>
      </c>
      <c r="AR65" s="1129" t="s">
        <v>87</v>
      </c>
      <c r="AS65" s="1127">
        <v>0.33333333333333331</v>
      </c>
      <c r="AT65" s="1127">
        <v>0.33333333333333331</v>
      </c>
      <c r="AU65" s="1127">
        <v>0.33333333333333331</v>
      </c>
      <c r="AV65" s="1127"/>
      <c r="AW65" s="1127"/>
      <c r="AX65" s="1127"/>
      <c r="AY65" s="1127"/>
      <c r="AZ65" s="1127"/>
      <c r="BA65" s="1129">
        <v>0</v>
      </c>
      <c r="BB65" s="1129">
        <v>0</v>
      </c>
      <c r="BC65" s="1129">
        <v>0</v>
      </c>
      <c r="BD65" s="1129">
        <v>0</v>
      </c>
      <c r="BE65" s="1129">
        <v>0</v>
      </c>
      <c r="BF65" s="1129">
        <v>0</v>
      </c>
      <c r="BG65" s="1129">
        <v>0</v>
      </c>
      <c r="BH65" s="1129">
        <v>0</v>
      </c>
      <c r="BI65" s="971"/>
      <c r="BJ65" s="971"/>
      <c r="BK65" s="971"/>
    </row>
    <row r="66" spans="1:63" s="1278" customFormat="1" ht="49.5">
      <c r="A66" s="1272">
        <v>4000</v>
      </c>
      <c r="B66" s="971" t="s">
        <v>1316</v>
      </c>
      <c r="C66" s="1272">
        <v>4500</v>
      </c>
      <c r="D66" s="971" t="s">
        <v>452</v>
      </c>
      <c r="E66" s="971" t="s">
        <v>1546</v>
      </c>
      <c r="F66" s="971" t="s">
        <v>454</v>
      </c>
      <c r="G66" s="971">
        <v>4512</v>
      </c>
      <c r="H66" s="971" t="s">
        <v>456</v>
      </c>
      <c r="I66" s="1273" t="s">
        <v>1604</v>
      </c>
      <c r="J66" s="971" t="s">
        <v>124</v>
      </c>
      <c r="K66" s="971"/>
      <c r="L66" s="971" t="e">
        <v>#N/A</v>
      </c>
      <c r="M66" s="971" t="s">
        <v>145</v>
      </c>
      <c r="N66" s="971" t="s">
        <v>141</v>
      </c>
      <c r="O66" s="971" t="s">
        <v>146</v>
      </c>
      <c r="P66" s="971"/>
      <c r="Q66" s="971" t="s">
        <v>1608</v>
      </c>
      <c r="R66" s="971" t="s">
        <v>1606</v>
      </c>
      <c r="S66" s="1274">
        <v>611.58073599649208</v>
      </c>
      <c r="T66" s="971" t="s">
        <v>136</v>
      </c>
      <c r="U66" s="1275" t="s">
        <v>6588</v>
      </c>
      <c r="V66" s="1275" t="s">
        <v>6588</v>
      </c>
      <c r="W66" s="1275" t="s">
        <v>6588</v>
      </c>
      <c r="X66" s="1275" t="s">
        <v>6588</v>
      </c>
      <c r="Y66" s="1275" t="s">
        <v>6588</v>
      </c>
      <c r="Z66" s="1129">
        <v>0</v>
      </c>
      <c r="AA66" s="1129">
        <v>0</v>
      </c>
      <c r="AB66" s="1129">
        <v>0</v>
      </c>
      <c r="AC66" s="1129">
        <v>0</v>
      </c>
      <c r="AD66" s="1267">
        <v>0</v>
      </c>
      <c r="AE66" s="1135">
        <v>0</v>
      </c>
      <c r="AF66" s="1129">
        <v>0</v>
      </c>
      <c r="AG66" s="1127">
        <v>1</v>
      </c>
      <c r="AH66" s="1127">
        <v>0</v>
      </c>
      <c r="AI66" s="1127">
        <v>0</v>
      </c>
      <c r="AJ66" s="1127">
        <v>1</v>
      </c>
      <c r="AK66" s="1129">
        <v>0</v>
      </c>
      <c r="AL66" s="1129">
        <v>0</v>
      </c>
      <c r="AM66" s="1129">
        <v>0</v>
      </c>
      <c r="AN66" s="1129">
        <v>0</v>
      </c>
      <c r="AO66" s="1129" t="s">
        <v>85</v>
      </c>
      <c r="AP66" s="1129" t="s">
        <v>6605</v>
      </c>
      <c r="AQ66" s="1157" t="s">
        <v>107</v>
      </c>
      <c r="AR66" s="1129" t="s">
        <v>87</v>
      </c>
      <c r="AS66" s="1127">
        <v>0.33333333333333331</v>
      </c>
      <c r="AT66" s="1127">
        <v>0.33333333333333331</v>
      </c>
      <c r="AU66" s="1127">
        <v>0.33333333333333331</v>
      </c>
      <c r="AV66" s="1127"/>
      <c r="AW66" s="1127"/>
      <c r="AX66" s="1127"/>
      <c r="AY66" s="1127"/>
      <c r="AZ66" s="1127"/>
      <c r="BA66" s="1129">
        <v>0</v>
      </c>
      <c r="BB66" s="1129">
        <v>0</v>
      </c>
      <c r="BC66" s="1129">
        <v>0</v>
      </c>
      <c r="BD66" s="1129">
        <v>0</v>
      </c>
      <c r="BE66" s="1129">
        <v>0</v>
      </c>
      <c r="BF66" s="1129">
        <v>0</v>
      </c>
      <c r="BG66" s="1129">
        <v>0</v>
      </c>
      <c r="BH66" s="1129">
        <v>0</v>
      </c>
      <c r="BI66" s="971"/>
      <c r="BJ66" s="971"/>
      <c r="BK66" s="971"/>
    </row>
    <row r="67" spans="1:63" s="1278" customFormat="1" ht="66">
      <c r="A67" s="1272">
        <v>4000</v>
      </c>
      <c r="B67" s="971" t="s">
        <v>1316</v>
      </c>
      <c r="C67" s="1272">
        <v>4500</v>
      </c>
      <c r="D67" s="971" t="s">
        <v>452</v>
      </c>
      <c r="E67" s="971" t="s">
        <v>1546</v>
      </c>
      <c r="F67" s="971" t="s">
        <v>454</v>
      </c>
      <c r="G67" s="971">
        <v>4512</v>
      </c>
      <c r="H67" s="971" t="s">
        <v>456</v>
      </c>
      <c r="I67" s="1273" t="s">
        <v>1609</v>
      </c>
      <c r="J67" s="971" t="s">
        <v>124</v>
      </c>
      <c r="K67" s="971" t="s">
        <v>784</v>
      </c>
      <c r="L67" s="971" t="s">
        <v>2852</v>
      </c>
      <c r="M67" s="971" t="s">
        <v>458</v>
      </c>
      <c r="N67" s="971" t="s">
        <v>127</v>
      </c>
      <c r="O67" s="971" t="s">
        <v>459</v>
      </c>
      <c r="P67" s="971"/>
      <c r="Q67" s="971" t="s">
        <v>1610</v>
      </c>
      <c r="R67" s="971" t="s">
        <v>1611</v>
      </c>
      <c r="S67" s="1274">
        <v>458.01200493129357</v>
      </c>
      <c r="T67" s="971" t="s">
        <v>136</v>
      </c>
      <c r="U67" s="1275">
        <v>0.22416666666666665</v>
      </c>
      <c r="V67" s="1275">
        <v>3.3624999999999998</v>
      </c>
      <c r="W67" s="1275">
        <v>22.397249563492064</v>
      </c>
      <c r="X67" s="1275">
        <v>33.625</v>
      </c>
      <c r="Y67" s="1275">
        <v>59.384749563492065</v>
      </c>
      <c r="Z67" s="1129">
        <v>102.67102443876497</v>
      </c>
      <c r="AA67" s="1129">
        <v>1540.0653665814746</v>
      </c>
      <c r="AB67" s="1129">
        <v>10258.209177521539</v>
      </c>
      <c r="AC67" s="1129">
        <v>15400.653665814747</v>
      </c>
      <c r="AD67" s="1267">
        <v>27198.928209917762</v>
      </c>
      <c r="AE67" s="1135">
        <v>1</v>
      </c>
      <c r="AF67" s="1129">
        <v>458.01200493129357</v>
      </c>
      <c r="AG67" s="1127">
        <v>1</v>
      </c>
      <c r="AH67" s="1127">
        <v>0</v>
      </c>
      <c r="AI67" s="1127">
        <v>0</v>
      </c>
      <c r="AJ67" s="1127">
        <v>1</v>
      </c>
      <c r="AK67" s="1129">
        <v>27198.928209917762</v>
      </c>
      <c r="AL67" s="1129">
        <v>0</v>
      </c>
      <c r="AM67" s="1129">
        <v>0</v>
      </c>
      <c r="AN67" s="1129">
        <v>27198.928209917762</v>
      </c>
      <c r="AO67" s="1129" t="s">
        <v>85</v>
      </c>
      <c r="AP67" s="1129" t="s">
        <v>6605</v>
      </c>
      <c r="AQ67" s="1157" t="s">
        <v>107</v>
      </c>
      <c r="AR67" s="1129" t="s">
        <v>87</v>
      </c>
      <c r="AS67" s="1127">
        <v>0.33333333333333331</v>
      </c>
      <c r="AT67" s="1127">
        <v>0.33333333333333331</v>
      </c>
      <c r="AU67" s="1127">
        <v>0.33333333333333331</v>
      </c>
      <c r="AV67" s="1127"/>
      <c r="AW67" s="1127"/>
      <c r="AX67" s="1127"/>
      <c r="AY67" s="1127"/>
      <c r="AZ67" s="1127"/>
      <c r="BA67" s="1129">
        <v>9066.3094033059206</v>
      </c>
      <c r="BB67" s="1129">
        <v>9066.3094033059206</v>
      </c>
      <c r="BC67" s="1129">
        <v>9066.3094033059206</v>
      </c>
      <c r="BD67" s="1129">
        <v>0</v>
      </c>
      <c r="BE67" s="1129">
        <v>0</v>
      </c>
      <c r="BF67" s="1129">
        <v>0</v>
      </c>
      <c r="BG67" s="1129">
        <v>0</v>
      </c>
      <c r="BH67" s="1129">
        <v>0</v>
      </c>
      <c r="BI67" s="971"/>
      <c r="BJ67" s="971"/>
      <c r="BK67" s="971"/>
    </row>
    <row r="68" spans="1:63" s="1278" customFormat="1" ht="49.5">
      <c r="A68" s="1272">
        <v>4000</v>
      </c>
      <c r="B68" s="971" t="s">
        <v>1316</v>
      </c>
      <c r="C68" s="1272">
        <v>4500</v>
      </c>
      <c r="D68" s="971" t="s">
        <v>452</v>
      </c>
      <c r="E68" s="971" t="s">
        <v>1546</v>
      </c>
      <c r="F68" s="971" t="s">
        <v>454</v>
      </c>
      <c r="G68" s="971">
        <v>4512</v>
      </c>
      <c r="H68" s="971" t="s">
        <v>456</v>
      </c>
      <c r="I68" s="1273" t="s">
        <v>1609</v>
      </c>
      <c r="J68" s="971" t="s">
        <v>124</v>
      </c>
      <c r="K68" s="971" t="s">
        <v>140</v>
      </c>
      <c r="L68" s="971" t="s">
        <v>2909</v>
      </c>
      <c r="M68" s="971" t="s">
        <v>140</v>
      </c>
      <c r="N68" s="971" t="s">
        <v>141</v>
      </c>
      <c r="O68" s="971" t="s">
        <v>3280</v>
      </c>
      <c r="P68" s="971"/>
      <c r="Q68" s="971" t="s">
        <v>1612</v>
      </c>
      <c r="R68" s="971" t="s">
        <v>1611</v>
      </c>
      <c r="S68" s="1274">
        <v>458.01200493129357</v>
      </c>
      <c r="T68" s="971" t="s">
        <v>136</v>
      </c>
      <c r="U68" s="1275">
        <v>0</v>
      </c>
      <c r="V68" s="1275">
        <v>0</v>
      </c>
      <c r="W68" s="1275">
        <v>0</v>
      </c>
      <c r="X68" s="1275">
        <v>0</v>
      </c>
      <c r="Y68" s="1275">
        <v>0</v>
      </c>
      <c r="Z68" s="1129">
        <v>0</v>
      </c>
      <c r="AA68" s="1129">
        <v>0</v>
      </c>
      <c r="AB68" s="1129">
        <v>0</v>
      </c>
      <c r="AC68" s="1129">
        <v>0</v>
      </c>
      <c r="AD68" s="1267">
        <v>0</v>
      </c>
      <c r="AE68" s="1135">
        <v>0</v>
      </c>
      <c r="AF68" s="1129">
        <v>0</v>
      </c>
      <c r="AG68" s="1127">
        <v>1</v>
      </c>
      <c r="AH68" s="1127">
        <v>0</v>
      </c>
      <c r="AI68" s="1127">
        <v>0</v>
      </c>
      <c r="AJ68" s="1127">
        <v>1</v>
      </c>
      <c r="AK68" s="1129">
        <v>0</v>
      </c>
      <c r="AL68" s="1129">
        <v>0</v>
      </c>
      <c r="AM68" s="1129">
        <v>0</v>
      </c>
      <c r="AN68" s="1129">
        <v>0</v>
      </c>
      <c r="AO68" s="1129" t="s">
        <v>85</v>
      </c>
      <c r="AP68" s="1129" t="s">
        <v>6605</v>
      </c>
      <c r="AQ68" s="1157" t="s">
        <v>107</v>
      </c>
      <c r="AR68" s="1129" t="s">
        <v>87</v>
      </c>
      <c r="AS68" s="1127">
        <v>0.33333333333333331</v>
      </c>
      <c r="AT68" s="1127">
        <v>0.33333333333333331</v>
      </c>
      <c r="AU68" s="1127">
        <v>0.33333333333333331</v>
      </c>
      <c r="AV68" s="1127"/>
      <c r="AW68" s="1127"/>
      <c r="AX68" s="1127"/>
      <c r="AY68" s="1127"/>
      <c r="AZ68" s="1127"/>
      <c r="BA68" s="1129">
        <v>0</v>
      </c>
      <c r="BB68" s="1129">
        <v>0</v>
      </c>
      <c r="BC68" s="1129">
        <v>0</v>
      </c>
      <c r="BD68" s="1129">
        <v>0</v>
      </c>
      <c r="BE68" s="1129">
        <v>0</v>
      </c>
      <c r="BF68" s="1129">
        <v>0</v>
      </c>
      <c r="BG68" s="1129">
        <v>0</v>
      </c>
      <c r="BH68" s="1129">
        <v>0</v>
      </c>
      <c r="BI68" s="971"/>
      <c r="BJ68" s="971"/>
      <c r="BK68" s="971"/>
    </row>
    <row r="69" spans="1:63" s="1278" customFormat="1" ht="49.5">
      <c r="A69" s="1272">
        <v>4000</v>
      </c>
      <c r="B69" s="971" t="s">
        <v>1316</v>
      </c>
      <c r="C69" s="1272">
        <v>4500</v>
      </c>
      <c r="D69" s="971" t="s">
        <v>452</v>
      </c>
      <c r="E69" s="971" t="s">
        <v>1546</v>
      </c>
      <c r="F69" s="971" t="s">
        <v>454</v>
      </c>
      <c r="G69" s="971">
        <v>4512</v>
      </c>
      <c r="H69" s="971" t="s">
        <v>456</v>
      </c>
      <c r="I69" s="1273" t="s">
        <v>1609</v>
      </c>
      <c r="J69" s="971" t="s">
        <v>124</v>
      </c>
      <c r="K69" s="971"/>
      <c r="L69" s="971" t="e">
        <v>#N/A</v>
      </c>
      <c r="M69" s="971" t="s">
        <v>145</v>
      </c>
      <c r="N69" s="971" t="s">
        <v>141</v>
      </c>
      <c r="O69" s="971" t="s">
        <v>146</v>
      </c>
      <c r="P69" s="971"/>
      <c r="Q69" s="971" t="s">
        <v>1613</v>
      </c>
      <c r="R69" s="971" t="s">
        <v>1611</v>
      </c>
      <c r="S69" s="1274">
        <v>458.01200493129357</v>
      </c>
      <c r="T69" s="971" t="s">
        <v>136</v>
      </c>
      <c r="U69" s="1275" t="s">
        <v>6588</v>
      </c>
      <c r="V69" s="1275" t="s">
        <v>6588</v>
      </c>
      <c r="W69" s="1275" t="s">
        <v>6588</v>
      </c>
      <c r="X69" s="1275" t="s">
        <v>6588</v>
      </c>
      <c r="Y69" s="1275" t="s">
        <v>6588</v>
      </c>
      <c r="Z69" s="1129">
        <v>0</v>
      </c>
      <c r="AA69" s="1129">
        <v>0</v>
      </c>
      <c r="AB69" s="1129">
        <v>0</v>
      </c>
      <c r="AC69" s="1129">
        <v>0</v>
      </c>
      <c r="AD69" s="1267">
        <v>0</v>
      </c>
      <c r="AE69" s="1135">
        <v>0</v>
      </c>
      <c r="AF69" s="1129">
        <v>0</v>
      </c>
      <c r="AG69" s="1127">
        <v>1</v>
      </c>
      <c r="AH69" s="1127">
        <v>0</v>
      </c>
      <c r="AI69" s="1127">
        <v>0</v>
      </c>
      <c r="AJ69" s="1127">
        <v>1</v>
      </c>
      <c r="AK69" s="1129">
        <v>0</v>
      </c>
      <c r="AL69" s="1129">
        <v>0</v>
      </c>
      <c r="AM69" s="1129">
        <v>0</v>
      </c>
      <c r="AN69" s="1129">
        <v>0</v>
      </c>
      <c r="AO69" s="1129" t="s">
        <v>85</v>
      </c>
      <c r="AP69" s="1129" t="s">
        <v>6605</v>
      </c>
      <c r="AQ69" s="1157" t="s">
        <v>107</v>
      </c>
      <c r="AR69" s="1129" t="s">
        <v>87</v>
      </c>
      <c r="AS69" s="1127">
        <v>0.33333333333333331</v>
      </c>
      <c r="AT69" s="1127">
        <v>0.33333333333333331</v>
      </c>
      <c r="AU69" s="1127">
        <v>0.33333333333333331</v>
      </c>
      <c r="AV69" s="1127"/>
      <c r="AW69" s="1127"/>
      <c r="AX69" s="1127"/>
      <c r="AY69" s="1127"/>
      <c r="AZ69" s="1127"/>
      <c r="BA69" s="1129">
        <v>0</v>
      </c>
      <c r="BB69" s="1129">
        <v>0</v>
      </c>
      <c r="BC69" s="1129">
        <v>0</v>
      </c>
      <c r="BD69" s="1129">
        <v>0</v>
      </c>
      <c r="BE69" s="1129">
        <v>0</v>
      </c>
      <c r="BF69" s="1129">
        <v>0</v>
      </c>
      <c r="BG69" s="1129">
        <v>0</v>
      </c>
      <c r="BH69" s="1129">
        <v>0</v>
      </c>
      <c r="BI69" s="971"/>
      <c r="BJ69" s="971"/>
      <c r="BK69" s="971"/>
    </row>
    <row r="70" spans="1:63" s="1278" customFormat="1" ht="66">
      <c r="A70" s="1272">
        <v>4000</v>
      </c>
      <c r="B70" s="971" t="s">
        <v>1316</v>
      </c>
      <c r="C70" s="1272">
        <v>4500</v>
      </c>
      <c r="D70" s="971" t="s">
        <v>452</v>
      </c>
      <c r="E70" s="971" t="s">
        <v>1546</v>
      </c>
      <c r="F70" s="971" t="s">
        <v>454</v>
      </c>
      <c r="G70" s="971">
        <v>4512</v>
      </c>
      <c r="H70" s="971" t="s">
        <v>456</v>
      </c>
      <c r="I70" s="1273" t="s">
        <v>1614</v>
      </c>
      <c r="J70" s="971" t="s">
        <v>124</v>
      </c>
      <c r="K70" s="971" t="s">
        <v>784</v>
      </c>
      <c r="L70" s="971" t="s">
        <v>2852</v>
      </c>
      <c r="M70" s="971" t="s">
        <v>458</v>
      </c>
      <c r="N70" s="971" t="s">
        <v>127</v>
      </c>
      <c r="O70" s="971" t="s">
        <v>459</v>
      </c>
      <c r="P70" s="971"/>
      <c r="Q70" s="971" t="s">
        <v>1615</v>
      </c>
      <c r="R70" s="971" t="s">
        <v>1616</v>
      </c>
      <c r="S70" s="1274">
        <v>611.58073599649208</v>
      </c>
      <c r="T70" s="971" t="s">
        <v>136</v>
      </c>
      <c r="U70" s="1275">
        <v>0.22416666666666665</v>
      </c>
      <c r="V70" s="1275">
        <v>3.3624999999999998</v>
      </c>
      <c r="W70" s="1275">
        <v>22.397249563492064</v>
      </c>
      <c r="X70" s="1275">
        <v>33.625</v>
      </c>
      <c r="Y70" s="1275">
        <v>59.384749563492065</v>
      </c>
      <c r="Z70" s="1129">
        <v>137.09601498588029</v>
      </c>
      <c r="AA70" s="1129">
        <v>2056.4402247882044</v>
      </c>
      <c r="AB70" s="1129">
        <v>13697.726372337587</v>
      </c>
      <c r="AC70" s="1129">
        <v>20564.402247882048</v>
      </c>
      <c r="AD70" s="1267">
        <v>36318.568845007838</v>
      </c>
      <c r="AE70" s="1135">
        <v>1</v>
      </c>
      <c r="AF70" s="1129">
        <v>611.58073599649208</v>
      </c>
      <c r="AG70" s="1127">
        <v>1</v>
      </c>
      <c r="AH70" s="1127">
        <v>0</v>
      </c>
      <c r="AI70" s="1127">
        <v>0</v>
      </c>
      <c r="AJ70" s="1127">
        <v>1</v>
      </c>
      <c r="AK70" s="1129">
        <v>36318.568845007838</v>
      </c>
      <c r="AL70" s="1129">
        <v>0</v>
      </c>
      <c r="AM70" s="1129">
        <v>0</v>
      </c>
      <c r="AN70" s="1129">
        <v>36318.568845007838</v>
      </c>
      <c r="AO70" s="1129" t="s">
        <v>85</v>
      </c>
      <c r="AP70" s="1129" t="s">
        <v>6605</v>
      </c>
      <c r="AQ70" s="1157" t="s">
        <v>107</v>
      </c>
      <c r="AR70" s="1129" t="s">
        <v>87</v>
      </c>
      <c r="AS70" s="1127">
        <v>0.33333333333333331</v>
      </c>
      <c r="AT70" s="1127">
        <v>0.33333333333333331</v>
      </c>
      <c r="AU70" s="1127">
        <v>0.33333333333333331</v>
      </c>
      <c r="AV70" s="1127"/>
      <c r="AW70" s="1127"/>
      <c r="AX70" s="1127"/>
      <c r="AY70" s="1127"/>
      <c r="AZ70" s="1127"/>
      <c r="BA70" s="1129">
        <v>12106.189615002611</v>
      </c>
      <c r="BB70" s="1129">
        <v>12106.189615002611</v>
      </c>
      <c r="BC70" s="1129">
        <v>12106.189615002611</v>
      </c>
      <c r="BD70" s="1129">
        <v>0</v>
      </c>
      <c r="BE70" s="1129">
        <v>0</v>
      </c>
      <c r="BF70" s="1129">
        <v>0</v>
      </c>
      <c r="BG70" s="1129">
        <v>0</v>
      </c>
      <c r="BH70" s="1129">
        <v>0</v>
      </c>
      <c r="BI70" s="971"/>
      <c r="BJ70" s="971"/>
      <c r="BK70" s="971"/>
    </row>
    <row r="71" spans="1:63" s="1278" customFormat="1" ht="49.5">
      <c r="A71" s="1272">
        <v>4000</v>
      </c>
      <c r="B71" s="971" t="s">
        <v>1316</v>
      </c>
      <c r="C71" s="1272">
        <v>4500</v>
      </c>
      <c r="D71" s="971" t="s">
        <v>452</v>
      </c>
      <c r="E71" s="971" t="s">
        <v>1546</v>
      </c>
      <c r="F71" s="971" t="s">
        <v>454</v>
      </c>
      <c r="G71" s="971">
        <v>4512</v>
      </c>
      <c r="H71" s="971" t="s">
        <v>456</v>
      </c>
      <c r="I71" s="1273" t="s">
        <v>1614</v>
      </c>
      <c r="J71" s="971" t="s">
        <v>124</v>
      </c>
      <c r="K71" s="971" t="s">
        <v>140</v>
      </c>
      <c r="L71" s="971" t="s">
        <v>2909</v>
      </c>
      <c r="M71" s="971" t="s">
        <v>140</v>
      </c>
      <c r="N71" s="971" t="s">
        <v>141</v>
      </c>
      <c r="O71" s="971" t="s">
        <v>3280</v>
      </c>
      <c r="P71" s="971"/>
      <c r="Q71" s="971" t="s">
        <v>1617</v>
      </c>
      <c r="R71" s="971" t="s">
        <v>1616</v>
      </c>
      <c r="S71" s="1274">
        <v>611.58073599649208</v>
      </c>
      <c r="T71" s="971" t="s">
        <v>136</v>
      </c>
      <c r="U71" s="1275">
        <v>0</v>
      </c>
      <c r="V71" s="1275">
        <v>0</v>
      </c>
      <c r="W71" s="1275">
        <v>0</v>
      </c>
      <c r="X71" s="1275">
        <v>0</v>
      </c>
      <c r="Y71" s="1275">
        <v>0</v>
      </c>
      <c r="Z71" s="1129">
        <v>0</v>
      </c>
      <c r="AA71" s="1129">
        <v>0</v>
      </c>
      <c r="AB71" s="1129">
        <v>0</v>
      </c>
      <c r="AC71" s="1129">
        <v>0</v>
      </c>
      <c r="AD71" s="1267">
        <v>0</v>
      </c>
      <c r="AE71" s="1135">
        <v>0</v>
      </c>
      <c r="AF71" s="1129">
        <v>0</v>
      </c>
      <c r="AG71" s="1127">
        <v>1</v>
      </c>
      <c r="AH71" s="1127">
        <v>0</v>
      </c>
      <c r="AI71" s="1127">
        <v>0</v>
      </c>
      <c r="AJ71" s="1127">
        <v>1</v>
      </c>
      <c r="AK71" s="1129">
        <v>0</v>
      </c>
      <c r="AL71" s="1129">
        <v>0</v>
      </c>
      <c r="AM71" s="1129">
        <v>0</v>
      </c>
      <c r="AN71" s="1129">
        <v>0</v>
      </c>
      <c r="AO71" s="1129" t="s">
        <v>85</v>
      </c>
      <c r="AP71" s="1129" t="s">
        <v>6605</v>
      </c>
      <c r="AQ71" s="1157" t="s">
        <v>107</v>
      </c>
      <c r="AR71" s="1129" t="s">
        <v>87</v>
      </c>
      <c r="AS71" s="1127">
        <v>0.33333333333333331</v>
      </c>
      <c r="AT71" s="1127">
        <v>0.33333333333333331</v>
      </c>
      <c r="AU71" s="1127">
        <v>0.33333333333333331</v>
      </c>
      <c r="AV71" s="1127"/>
      <c r="AW71" s="1127"/>
      <c r="AX71" s="1127"/>
      <c r="AY71" s="1127"/>
      <c r="AZ71" s="1127"/>
      <c r="BA71" s="1129">
        <v>0</v>
      </c>
      <c r="BB71" s="1129">
        <v>0</v>
      </c>
      <c r="BC71" s="1129">
        <v>0</v>
      </c>
      <c r="BD71" s="1129">
        <v>0</v>
      </c>
      <c r="BE71" s="1129">
        <v>0</v>
      </c>
      <c r="BF71" s="1129">
        <v>0</v>
      </c>
      <c r="BG71" s="1129">
        <v>0</v>
      </c>
      <c r="BH71" s="1129">
        <v>0</v>
      </c>
      <c r="BI71" s="971"/>
      <c r="BJ71" s="971"/>
      <c r="BK71" s="971"/>
    </row>
    <row r="72" spans="1:63" s="1278" customFormat="1" ht="49.5">
      <c r="A72" s="1272">
        <v>4000</v>
      </c>
      <c r="B72" s="971" t="s">
        <v>1316</v>
      </c>
      <c r="C72" s="1272">
        <v>4500</v>
      </c>
      <c r="D72" s="971" t="s">
        <v>452</v>
      </c>
      <c r="E72" s="971" t="s">
        <v>1546</v>
      </c>
      <c r="F72" s="971" t="s">
        <v>454</v>
      </c>
      <c r="G72" s="971">
        <v>4512</v>
      </c>
      <c r="H72" s="971" t="s">
        <v>456</v>
      </c>
      <c r="I72" s="1273" t="s">
        <v>1614</v>
      </c>
      <c r="J72" s="971" t="s">
        <v>124</v>
      </c>
      <c r="K72" s="971"/>
      <c r="L72" s="971" t="e">
        <v>#N/A</v>
      </c>
      <c r="M72" s="971" t="s">
        <v>145</v>
      </c>
      <c r="N72" s="971" t="s">
        <v>141</v>
      </c>
      <c r="O72" s="971" t="s">
        <v>146</v>
      </c>
      <c r="P72" s="971"/>
      <c r="Q72" s="971" t="s">
        <v>1618</v>
      </c>
      <c r="R72" s="971" t="s">
        <v>1616</v>
      </c>
      <c r="S72" s="1274">
        <v>611.58073599649208</v>
      </c>
      <c r="T72" s="971" t="s">
        <v>136</v>
      </c>
      <c r="U72" s="1275" t="s">
        <v>6588</v>
      </c>
      <c r="V72" s="1275" t="s">
        <v>6588</v>
      </c>
      <c r="W72" s="1275" t="s">
        <v>6588</v>
      </c>
      <c r="X72" s="1275" t="s">
        <v>6588</v>
      </c>
      <c r="Y72" s="1275" t="s">
        <v>6588</v>
      </c>
      <c r="Z72" s="1129">
        <v>0</v>
      </c>
      <c r="AA72" s="1129">
        <v>0</v>
      </c>
      <c r="AB72" s="1129">
        <v>0</v>
      </c>
      <c r="AC72" s="1129">
        <v>0</v>
      </c>
      <c r="AD72" s="1267">
        <v>0</v>
      </c>
      <c r="AE72" s="1135">
        <v>0</v>
      </c>
      <c r="AF72" s="1129">
        <v>0</v>
      </c>
      <c r="AG72" s="1127">
        <v>1</v>
      </c>
      <c r="AH72" s="1127">
        <v>0</v>
      </c>
      <c r="AI72" s="1127">
        <v>0</v>
      </c>
      <c r="AJ72" s="1127">
        <v>1</v>
      </c>
      <c r="AK72" s="1129">
        <v>0</v>
      </c>
      <c r="AL72" s="1129">
        <v>0</v>
      </c>
      <c r="AM72" s="1129">
        <v>0</v>
      </c>
      <c r="AN72" s="1129">
        <v>0</v>
      </c>
      <c r="AO72" s="1129" t="s">
        <v>85</v>
      </c>
      <c r="AP72" s="1129" t="s">
        <v>6605</v>
      </c>
      <c r="AQ72" s="1157" t="s">
        <v>107</v>
      </c>
      <c r="AR72" s="1129" t="s">
        <v>87</v>
      </c>
      <c r="AS72" s="1127">
        <v>0.33333333333333331</v>
      </c>
      <c r="AT72" s="1127">
        <v>0.33333333333333331</v>
      </c>
      <c r="AU72" s="1127">
        <v>0.33333333333333331</v>
      </c>
      <c r="AV72" s="1127"/>
      <c r="AW72" s="1127"/>
      <c r="AX72" s="1127"/>
      <c r="AY72" s="1127"/>
      <c r="AZ72" s="1127"/>
      <c r="BA72" s="1129">
        <v>0</v>
      </c>
      <c r="BB72" s="1129">
        <v>0</v>
      </c>
      <c r="BC72" s="1129">
        <v>0</v>
      </c>
      <c r="BD72" s="1129">
        <v>0</v>
      </c>
      <c r="BE72" s="1129">
        <v>0</v>
      </c>
      <c r="BF72" s="1129">
        <v>0</v>
      </c>
      <c r="BG72" s="1129">
        <v>0</v>
      </c>
      <c r="BH72" s="1129">
        <v>0</v>
      </c>
      <c r="BI72" s="971"/>
      <c r="BJ72" s="971"/>
      <c r="BK72" s="971"/>
    </row>
    <row r="73" spans="1:63" s="1278" customFormat="1" ht="66">
      <c r="A73" s="1272">
        <v>4000</v>
      </c>
      <c r="B73" s="971" t="s">
        <v>1316</v>
      </c>
      <c r="C73" s="1272">
        <v>4500</v>
      </c>
      <c r="D73" s="971" t="s">
        <v>452</v>
      </c>
      <c r="E73" s="971" t="s">
        <v>1546</v>
      </c>
      <c r="F73" s="971" t="s">
        <v>454</v>
      </c>
      <c r="G73" s="971">
        <v>4512</v>
      </c>
      <c r="H73" s="971" t="s">
        <v>456</v>
      </c>
      <c r="I73" s="1273" t="s">
        <v>1619</v>
      </c>
      <c r="J73" s="971" t="s">
        <v>124</v>
      </c>
      <c r="K73" s="971" t="s">
        <v>784</v>
      </c>
      <c r="L73" s="971" t="s">
        <v>2852</v>
      </c>
      <c r="M73" s="971" t="s">
        <v>458</v>
      </c>
      <c r="N73" s="971" t="s">
        <v>127</v>
      </c>
      <c r="O73" s="971" t="s">
        <v>459</v>
      </c>
      <c r="P73" s="971"/>
      <c r="Q73" s="971" t="s">
        <v>1620</v>
      </c>
      <c r="R73" s="971" t="s">
        <v>1621</v>
      </c>
      <c r="S73" s="1274">
        <v>611.58073599649208</v>
      </c>
      <c r="T73" s="971" t="s">
        <v>136</v>
      </c>
      <c r="U73" s="1275">
        <v>0.22416666666666665</v>
      </c>
      <c r="V73" s="1275">
        <v>3.3624999999999998</v>
      </c>
      <c r="W73" s="1275">
        <v>22.397249563492064</v>
      </c>
      <c r="X73" s="1275">
        <v>33.625</v>
      </c>
      <c r="Y73" s="1275">
        <v>59.384749563492065</v>
      </c>
      <c r="Z73" s="1129">
        <v>137.09601498588029</v>
      </c>
      <c r="AA73" s="1129">
        <v>2056.4402247882044</v>
      </c>
      <c r="AB73" s="1129">
        <v>13697.726372337587</v>
      </c>
      <c r="AC73" s="1129">
        <v>20564.402247882048</v>
      </c>
      <c r="AD73" s="1267">
        <v>36318.568845007838</v>
      </c>
      <c r="AE73" s="1135">
        <v>1</v>
      </c>
      <c r="AF73" s="1129">
        <v>611.58073599649208</v>
      </c>
      <c r="AG73" s="1127">
        <v>1</v>
      </c>
      <c r="AH73" s="1127">
        <v>0</v>
      </c>
      <c r="AI73" s="1127">
        <v>0</v>
      </c>
      <c r="AJ73" s="1127">
        <v>1</v>
      </c>
      <c r="AK73" s="1129">
        <v>36318.568845007838</v>
      </c>
      <c r="AL73" s="1129">
        <v>0</v>
      </c>
      <c r="AM73" s="1129">
        <v>0</v>
      </c>
      <c r="AN73" s="1129">
        <v>36318.568845007838</v>
      </c>
      <c r="AO73" s="1129" t="s">
        <v>85</v>
      </c>
      <c r="AP73" s="1129" t="s">
        <v>6605</v>
      </c>
      <c r="AQ73" s="1157" t="s">
        <v>107</v>
      </c>
      <c r="AR73" s="1129" t="s">
        <v>87</v>
      </c>
      <c r="AS73" s="1127">
        <v>0.33333333333333331</v>
      </c>
      <c r="AT73" s="1127">
        <v>0.33333333333333331</v>
      </c>
      <c r="AU73" s="1127">
        <v>0.33333333333333331</v>
      </c>
      <c r="AV73" s="1127"/>
      <c r="AW73" s="1127"/>
      <c r="AX73" s="1127"/>
      <c r="AY73" s="1127"/>
      <c r="AZ73" s="1127"/>
      <c r="BA73" s="1129">
        <v>12106.189615002611</v>
      </c>
      <c r="BB73" s="1129">
        <v>12106.189615002611</v>
      </c>
      <c r="BC73" s="1129">
        <v>12106.189615002611</v>
      </c>
      <c r="BD73" s="1129">
        <v>0</v>
      </c>
      <c r="BE73" s="1129">
        <v>0</v>
      </c>
      <c r="BF73" s="1129">
        <v>0</v>
      </c>
      <c r="BG73" s="1129">
        <v>0</v>
      </c>
      <c r="BH73" s="1129">
        <v>0</v>
      </c>
      <c r="BI73" s="971"/>
      <c r="BJ73" s="971"/>
      <c r="BK73" s="971"/>
    </row>
    <row r="74" spans="1:63" s="1278" customFormat="1" ht="49.5">
      <c r="A74" s="1272">
        <v>4000</v>
      </c>
      <c r="B74" s="971" t="s">
        <v>1316</v>
      </c>
      <c r="C74" s="1272">
        <v>4500</v>
      </c>
      <c r="D74" s="971" t="s">
        <v>452</v>
      </c>
      <c r="E74" s="971" t="s">
        <v>1546</v>
      </c>
      <c r="F74" s="971" t="s">
        <v>454</v>
      </c>
      <c r="G74" s="971">
        <v>4512</v>
      </c>
      <c r="H74" s="971" t="s">
        <v>456</v>
      </c>
      <c r="I74" s="1273" t="s">
        <v>1619</v>
      </c>
      <c r="J74" s="971" t="s">
        <v>124</v>
      </c>
      <c r="K74" s="971" t="s">
        <v>140</v>
      </c>
      <c r="L74" s="971" t="s">
        <v>2909</v>
      </c>
      <c r="M74" s="971" t="s">
        <v>140</v>
      </c>
      <c r="N74" s="971" t="s">
        <v>141</v>
      </c>
      <c r="O74" s="971" t="s">
        <v>3280</v>
      </c>
      <c r="P74" s="971"/>
      <c r="Q74" s="971" t="s">
        <v>1622</v>
      </c>
      <c r="R74" s="971" t="s">
        <v>1621</v>
      </c>
      <c r="S74" s="1274">
        <v>611.58073599649208</v>
      </c>
      <c r="T74" s="971" t="s">
        <v>136</v>
      </c>
      <c r="U74" s="1275">
        <v>0</v>
      </c>
      <c r="V74" s="1275">
        <v>0</v>
      </c>
      <c r="W74" s="1275">
        <v>0</v>
      </c>
      <c r="X74" s="1275">
        <v>0</v>
      </c>
      <c r="Y74" s="1275">
        <v>0</v>
      </c>
      <c r="Z74" s="1129">
        <v>0</v>
      </c>
      <c r="AA74" s="1129">
        <v>0</v>
      </c>
      <c r="AB74" s="1129">
        <v>0</v>
      </c>
      <c r="AC74" s="1129">
        <v>0</v>
      </c>
      <c r="AD74" s="1267">
        <v>0</v>
      </c>
      <c r="AE74" s="1135">
        <v>0</v>
      </c>
      <c r="AF74" s="1129">
        <v>0</v>
      </c>
      <c r="AG74" s="1127">
        <v>1</v>
      </c>
      <c r="AH74" s="1127">
        <v>0</v>
      </c>
      <c r="AI74" s="1127">
        <v>0</v>
      </c>
      <c r="AJ74" s="1127">
        <v>1</v>
      </c>
      <c r="AK74" s="1129">
        <v>0</v>
      </c>
      <c r="AL74" s="1129">
        <v>0</v>
      </c>
      <c r="AM74" s="1129">
        <v>0</v>
      </c>
      <c r="AN74" s="1129">
        <v>0</v>
      </c>
      <c r="AO74" s="1129" t="s">
        <v>85</v>
      </c>
      <c r="AP74" s="1129" t="s">
        <v>6605</v>
      </c>
      <c r="AQ74" s="1157" t="s">
        <v>107</v>
      </c>
      <c r="AR74" s="1129" t="s">
        <v>87</v>
      </c>
      <c r="AS74" s="1127">
        <v>0.33333333333333331</v>
      </c>
      <c r="AT74" s="1127">
        <v>0.33333333333333331</v>
      </c>
      <c r="AU74" s="1127">
        <v>0.33333333333333331</v>
      </c>
      <c r="AV74" s="1127"/>
      <c r="AW74" s="1127"/>
      <c r="AX74" s="1127"/>
      <c r="AY74" s="1127"/>
      <c r="AZ74" s="1127"/>
      <c r="BA74" s="1129">
        <v>0</v>
      </c>
      <c r="BB74" s="1129">
        <v>0</v>
      </c>
      <c r="BC74" s="1129">
        <v>0</v>
      </c>
      <c r="BD74" s="1129">
        <v>0</v>
      </c>
      <c r="BE74" s="1129">
        <v>0</v>
      </c>
      <c r="BF74" s="1129">
        <v>0</v>
      </c>
      <c r="BG74" s="1129">
        <v>0</v>
      </c>
      <c r="BH74" s="1129">
        <v>0</v>
      </c>
      <c r="BI74" s="971"/>
      <c r="BJ74" s="971"/>
      <c r="BK74" s="971"/>
    </row>
    <row r="75" spans="1:63" s="1278" customFormat="1" ht="49.5">
      <c r="A75" s="1272">
        <v>4000</v>
      </c>
      <c r="B75" s="971" t="s">
        <v>1316</v>
      </c>
      <c r="C75" s="1272">
        <v>4500</v>
      </c>
      <c r="D75" s="971" t="s">
        <v>452</v>
      </c>
      <c r="E75" s="971" t="s">
        <v>1546</v>
      </c>
      <c r="F75" s="971" t="s">
        <v>454</v>
      </c>
      <c r="G75" s="971">
        <v>4512</v>
      </c>
      <c r="H75" s="971" t="s">
        <v>456</v>
      </c>
      <c r="I75" s="1273" t="s">
        <v>1619</v>
      </c>
      <c r="J75" s="971" t="s">
        <v>124</v>
      </c>
      <c r="K75" s="971"/>
      <c r="L75" s="971" t="e">
        <v>#N/A</v>
      </c>
      <c r="M75" s="971" t="s">
        <v>145</v>
      </c>
      <c r="N75" s="971" t="s">
        <v>141</v>
      </c>
      <c r="O75" s="971" t="s">
        <v>146</v>
      </c>
      <c r="P75" s="971"/>
      <c r="Q75" s="971" t="s">
        <v>1623</v>
      </c>
      <c r="R75" s="971" t="s">
        <v>1621</v>
      </c>
      <c r="S75" s="1274">
        <v>611.58073599649208</v>
      </c>
      <c r="T75" s="971" t="s">
        <v>136</v>
      </c>
      <c r="U75" s="1275" t="s">
        <v>6588</v>
      </c>
      <c r="V75" s="1275" t="s">
        <v>6588</v>
      </c>
      <c r="W75" s="1275" t="s">
        <v>6588</v>
      </c>
      <c r="X75" s="1275" t="s">
        <v>6588</v>
      </c>
      <c r="Y75" s="1275" t="s">
        <v>6588</v>
      </c>
      <c r="Z75" s="1129">
        <v>0</v>
      </c>
      <c r="AA75" s="1129">
        <v>0</v>
      </c>
      <c r="AB75" s="1129">
        <v>0</v>
      </c>
      <c r="AC75" s="1129">
        <v>0</v>
      </c>
      <c r="AD75" s="1267">
        <v>0</v>
      </c>
      <c r="AE75" s="1135">
        <v>0</v>
      </c>
      <c r="AF75" s="1129">
        <v>0</v>
      </c>
      <c r="AG75" s="1127">
        <v>1</v>
      </c>
      <c r="AH75" s="1127">
        <v>0</v>
      </c>
      <c r="AI75" s="1127">
        <v>0</v>
      </c>
      <c r="AJ75" s="1127">
        <v>1</v>
      </c>
      <c r="AK75" s="1129">
        <v>0</v>
      </c>
      <c r="AL75" s="1129">
        <v>0</v>
      </c>
      <c r="AM75" s="1129">
        <v>0</v>
      </c>
      <c r="AN75" s="1129">
        <v>0</v>
      </c>
      <c r="AO75" s="1129" t="s">
        <v>85</v>
      </c>
      <c r="AP75" s="1129" t="s">
        <v>6605</v>
      </c>
      <c r="AQ75" s="1157" t="s">
        <v>107</v>
      </c>
      <c r="AR75" s="1129" t="s">
        <v>87</v>
      </c>
      <c r="AS75" s="1127">
        <v>0.33333333333333331</v>
      </c>
      <c r="AT75" s="1127">
        <v>0.33333333333333331</v>
      </c>
      <c r="AU75" s="1127">
        <v>0.33333333333333331</v>
      </c>
      <c r="AV75" s="1127"/>
      <c r="AW75" s="1127"/>
      <c r="AX75" s="1127"/>
      <c r="AY75" s="1127"/>
      <c r="AZ75" s="1127"/>
      <c r="BA75" s="1129">
        <v>0</v>
      </c>
      <c r="BB75" s="1129">
        <v>0</v>
      </c>
      <c r="BC75" s="1129">
        <v>0</v>
      </c>
      <c r="BD75" s="1129">
        <v>0</v>
      </c>
      <c r="BE75" s="1129">
        <v>0</v>
      </c>
      <c r="BF75" s="1129">
        <v>0</v>
      </c>
      <c r="BG75" s="1129">
        <v>0</v>
      </c>
      <c r="BH75" s="1129">
        <v>0</v>
      </c>
      <c r="BI75" s="971"/>
      <c r="BJ75" s="971"/>
      <c r="BK75" s="971"/>
    </row>
    <row r="76" spans="1:63" s="1278" customFormat="1" ht="49.5">
      <c r="A76" s="1272">
        <v>4000</v>
      </c>
      <c r="B76" s="971" t="s">
        <v>1316</v>
      </c>
      <c r="C76" s="1272">
        <v>4500</v>
      </c>
      <c r="D76" s="971" t="s">
        <v>452</v>
      </c>
      <c r="E76" s="971">
        <v>4520</v>
      </c>
      <c r="F76" s="971" t="s">
        <v>605</v>
      </c>
      <c r="G76" s="971">
        <v>4521</v>
      </c>
      <c r="H76" s="971" t="s">
        <v>621</v>
      </c>
      <c r="I76" s="1273" t="s">
        <v>1067</v>
      </c>
      <c r="J76" s="971" t="s">
        <v>124</v>
      </c>
      <c r="K76" s="971" t="s">
        <v>2857</v>
      </c>
      <c r="L76" s="971" t="s">
        <v>2858</v>
      </c>
      <c r="M76" s="971" t="s">
        <v>487</v>
      </c>
      <c r="N76" s="971" t="s">
        <v>488</v>
      </c>
      <c r="O76" s="971" t="s">
        <v>215</v>
      </c>
      <c r="P76" s="971"/>
      <c r="Q76" s="971" t="s">
        <v>649</v>
      </c>
      <c r="R76" s="971" t="s">
        <v>1763</v>
      </c>
      <c r="S76" s="1274">
        <v>35.674768741098731</v>
      </c>
      <c r="T76" s="971" t="s">
        <v>136</v>
      </c>
      <c r="U76" s="1275">
        <v>0.56041666666666667</v>
      </c>
      <c r="V76" s="1275">
        <v>3.3624999999999998</v>
      </c>
      <c r="W76" s="1275">
        <v>55.993123908730162</v>
      </c>
      <c r="X76" s="1275">
        <v>84.0625</v>
      </c>
      <c r="Y76" s="1275">
        <v>143.41812390873017</v>
      </c>
      <c r="Z76" s="1129">
        <v>19.992734981990747</v>
      </c>
      <c r="AA76" s="1129">
        <v>119.95640989194447</v>
      </c>
      <c r="AB76" s="1129">
        <v>1997.5417465356347</v>
      </c>
      <c r="AC76" s="1129">
        <v>2998.9102472986119</v>
      </c>
      <c r="AD76" s="1267">
        <v>5116.4084037261919</v>
      </c>
      <c r="AE76" s="1135">
        <v>1</v>
      </c>
      <c r="AF76" s="1129">
        <v>35.674768741098731</v>
      </c>
      <c r="AG76" s="1127">
        <v>1</v>
      </c>
      <c r="AH76" s="1127">
        <v>0</v>
      </c>
      <c r="AI76" s="1127">
        <v>0</v>
      </c>
      <c r="AJ76" s="1127">
        <v>1</v>
      </c>
      <c r="AK76" s="1129">
        <v>5116.4084037261919</v>
      </c>
      <c r="AL76" s="1129">
        <v>0</v>
      </c>
      <c r="AM76" s="1129">
        <v>0</v>
      </c>
      <c r="AN76" s="1129">
        <v>5116.4084037261919</v>
      </c>
      <c r="AO76" s="1129" t="s">
        <v>85</v>
      </c>
      <c r="AP76" s="1129" t="s">
        <v>6605</v>
      </c>
      <c r="AQ76" s="1157" t="s">
        <v>107</v>
      </c>
      <c r="AR76" s="1129" t="s">
        <v>87</v>
      </c>
      <c r="AS76" s="1127">
        <v>0.33333333333333331</v>
      </c>
      <c r="AT76" s="1127">
        <v>0.33333333333333331</v>
      </c>
      <c r="AU76" s="1127">
        <v>0.33333333333333331</v>
      </c>
      <c r="AV76" s="1127"/>
      <c r="AW76" s="1127"/>
      <c r="AX76" s="1127"/>
      <c r="AY76" s="1127"/>
      <c r="AZ76" s="1127"/>
      <c r="BA76" s="1129">
        <v>1705.4694679087306</v>
      </c>
      <c r="BB76" s="1129">
        <v>1705.4694679087306</v>
      </c>
      <c r="BC76" s="1129">
        <v>1705.4694679087306</v>
      </c>
      <c r="BD76" s="1129">
        <v>0</v>
      </c>
      <c r="BE76" s="1129">
        <v>0</v>
      </c>
      <c r="BF76" s="1129">
        <v>0</v>
      </c>
      <c r="BG76" s="1129">
        <v>0</v>
      </c>
      <c r="BH76" s="1129">
        <v>0</v>
      </c>
      <c r="BI76" s="971"/>
      <c r="BJ76" s="971"/>
      <c r="BK76" s="971"/>
    </row>
    <row r="77" spans="1:63" s="1278" customFormat="1" ht="49.5">
      <c r="A77" s="1272">
        <v>4000</v>
      </c>
      <c r="B77" s="971" t="s">
        <v>1316</v>
      </c>
      <c r="C77" s="1272">
        <v>4500</v>
      </c>
      <c r="D77" s="971" t="s">
        <v>452</v>
      </c>
      <c r="E77" s="971">
        <v>4520</v>
      </c>
      <c r="F77" s="971" t="s">
        <v>605</v>
      </c>
      <c r="G77" s="971">
        <v>4521</v>
      </c>
      <c r="H77" s="971" t="s">
        <v>621</v>
      </c>
      <c r="I77" s="1273" t="s">
        <v>1067</v>
      </c>
      <c r="J77" s="971" t="s">
        <v>124</v>
      </c>
      <c r="K77" s="971" t="s">
        <v>145</v>
      </c>
      <c r="L77" s="971" t="s">
        <v>2871</v>
      </c>
      <c r="M77" s="971" t="s">
        <v>556</v>
      </c>
      <c r="N77" s="971" t="s">
        <v>141</v>
      </c>
      <c r="O77" s="971" t="s">
        <v>557</v>
      </c>
      <c r="P77" s="971"/>
      <c r="Q77" s="971" t="s">
        <v>655</v>
      </c>
      <c r="R77" s="971" t="s">
        <v>1763</v>
      </c>
      <c r="S77" s="1274">
        <v>35.674768741098731</v>
      </c>
      <c r="T77" s="971" t="s">
        <v>136</v>
      </c>
      <c r="U77" s="1275">
        <v>0.12329166666666667</v>
      </c>
      <c r="V77" s="1275">
        <v>1.1768750000000001</v>
      </c>
      <c r="W77" s="1275">
        <v>7.8390373472222228</v>
      </c>
      <c r="X77" s="1275">
        <v>11.768750000000001</v>
      </c>
      <c r="Y77" s="1275">
        <v>20.784662347222223</v>
      </c>
      <c r="Z77" s="1129">
        <v>4.3984016960379648</v>
      </c>
      <c r="AA77" s="1129">
        <v>41.984743462180575</v>
      </c>
      <c r="AB77" s="1129">
        <v>279.65584451498887</v>
      </c>
      <c r="AC77" s="1129">
        <v>419.84743462180569</v>
      </c>
      <c r="AD77" s="1267">
        <v>741.48802259897514</v>
      </c>
      <c r="AE77" s="1135">
        <v>0.3</v>
      </c>
      <c r="AF77" s="1129">
        <v>10.702430622329619</v>
      </c>
      <c r="AG77" s="1127">
        <v>1</v>
      </c>
      <c r="AH77" s="1127">
        <v>0</v>
      </c>
      <c r="AI77" s="1127">
        <v>0</v>
      </c>
      <c r="AJ77" s="1127">
        <v>1</v>
      </c>
      <c r="AK77" s="1129">
        <v>741.48802259897514</v>
      </c>
      <c r="AL77" s="1129">
        <v>0</v>
      </c>
      <c r="AM77" s="1129">
        <v>0</v>
      </c>
      <c r="AN77" s="1129">
        <v>741.48802259897514</v>
      </c>
      <c r="AO77" s="1129" t="s">
        <v>85</v>
      </c>
      <c r="AP77" s="1129" t="s">
        <v>6605</v>
      </c>
      <c r="AQ77" s="1157" t="s">
        <v>107</v>
      </c>
      <c r="AR77" s="1129" t="s">
        <v>87</v>
      </c>
      <c r="AS77" s="1127">
        <v>0.33333333333333331</v>
      </c>
      <c r="AT77" s="1127">
        <v>0.33333333333333331</v>
      </c>
      <c r="AU77" s="1127">
        <v>0.33333333333333331</v>
      </c>
      <c r="AV77" s="1127"/>
      <c r="AW77" s="1127"/>
      <c r="AX77" s="1127"/>
      <c r="AY77" s="1127"/>
      <c r="AZ77" s="1127"/>
      <c r="BA77" s="1129">
        <v>247.16267419965837</v>
      </c>
      <c r="BB77" s="1129">
        <v>247.16267419965837</v>
      </c>
      <c r="BC77" s="1129">
        <v>247.16267419965837</v>
      </c>
      <c r="BD77" s="1129">
        <v>0</v>
      </c>
      <c r="BE77" s="1129">
        <v>0</v>
      </c>
      <c r="BF77" s="1129">
        <v>0</v>
      </c>
      <c r="BG77" s="1129">
        <v>0</v>
      </c>
      <c r="BH77" s="1129">
        <v>0</v>
      </c>
      <c r="BI77" s="971"/>
      <c r="BJ77" s="971"/>
      <c r="BK77" s="971"/>
    </row>
    <row r="78" spans="1:63" s="1278" customFormat="1" ht="49.5">
      <c r="A78" s="1272">
        <v>4000</v>
      </c>
      <c r="B78" s="971" t="s">
        <v>1316</v>
      </c>
      <c r="C78" s="1272">
        <v>4500</v>
      </c>
      <c r="D78" s="971" t="s">
        <v>452</v>
      </c>
      <c r="E78" s="971">
        <v>4520</v>
      </c>
      <c r="F78" s="971" t="s">
        <v>605</v>
      </c>
      <c r="G78" s="971">
        <v>4521</v>
      </c>
      <c r="H78" s="971" t="s">
        <v>621</v>
      </c>
      <c r="I78" s="1273" t="s">
        <v>1067</v>
      </c>
      <c r="J78" s="971" t="s">
        <v>124</v>
      </c>
      <c r="K78" s="971"/>
      <c r="L78" s="971" t="e">
        <v>#N/A</v>
      </c>
      <c r="M78" s="971" t="s">
        <v>145</v>
      </c>
      <c r="N78" s="971" t="s">
        <v>141</v>
      </c>
      <c r="O78" s="971" t="s">
        <v>146</v>
      </c>
      <c r="P78" s="971"/>
      <c r="Q78" s="971" t="s">
        <v>669</v>
      </c>
      <c r="R78" s="971" t="s">
        <v>1763</v>
      </c>
      <c r="S78" s="1274">
        <v>35.674768741098731</v>
      </c>
      <c r="T78" s="971" t="s">
        <v>136</v>
      </c>
      <c r="U78" s="1275" t="s">
        <v>6588</v>
      </c>
      <c r="V78" s="1275" t="s">
        <v>6588</v>
      </c>
      <c r="W78" s="1275" t="s">
        <v>6588</v>
      </c>
      <c r="X78" s="1275" t="s">
        <v>6588</v>
      </c>
      <c r="Y78" s="1275" t="s">
        <v>6588</v>
      </c>
      <c r="Z78" s="1129">
        <v>0</v>
      </c>
      <c r="AA78" s="1129">
        <v>0</v>
      </c>
      <c r="AB78" s="1129">
        <v>0</v>
      </c>
      <c r="AC78" s="1129">
        <v>0</v>
      </c>
      <c r="AD78" s="1267">
        <v>0</v>
      </c>
      <c r="AE78" s="1135">
        <v>0</v>
      </c>
      <c r="AF78" s="1129">
        <v>0</v>
      </c>
      <c r="AG78" s="1127">
        <v>1</v>
      </c>
      <c r="AH78" s="1127">
        <v>0</v>
      </c>
      <c r="AI78" s="1127">
        <v>0</v>
      </c>
      <c r="AJ78" s="1127">
        <v>1</v>
      </c>
      <c r="AK78" s="1129">
        <v>0</v>
      </c>
      <c r="AL78" s="1129">
        <v>0</v>
      </c>
      <c r="AM78" s="1129">
        <v>0</v>
      </c>
      <c r="AN78" s="1129">
        <v>0</v>
      </c>
      <c r="AO78" s="1129" t="s">
        <v>85</v>
      </c>
      <c r="AP78" s="1129" t="s">
        <v>6605</v>
      </c>
      <c r="AQ78" s="1157" t="s">
        <v>107</v>
      </c>
      <c r="AR78" s="1129" t="s">
        <v>87</v>
      </c>
      <c r="AS78" s="1127">
        <v>0.33333333333333331</v>
      </c>
      <c r="AT78" s="1127">
        <v>0.33333333333333331</v>
      </c>
      <c r="AU78" s="1127">
        <v>0.33333333333333331</v>
      </c>
      <c r="AV78" s="1127"/>
      <c r="AW78" s="1127"/>
      <c r="AX78" s="1127"/>
      <c r="AY78" s="1127"/>
      <c r="AZ78" s="1127"/>
      <c r="BA78" s="1129">
        <v>0</v>
      </c>
      <c r="BB78" s="1129">
        <v>0</v>
      </c>
      <c r="BC78" s="1129">
        <v>0</v>
      </c>
      <c r="BD78" s="1129">
        <v>0</v>
      </c>
      <c r="BE78" s="1129">
        <v>0</v>
      </c>
      <c r="BF78" s="1129">
        <v>0</v>
      </c>
      <c r="BG78" s="1129">
        <v>0</v>
      </c>
      <c r="BH78" s="1129">
        <v>0</v>
      </c>
      <c r="BI78" s="971"/>
      <c r="BJ78" s="971"/>
      <c r="BK78" s="971"/>
    </row>
    <row r="79" spans="1:63" s="1278" customFormat="1" ht="66">
      <c r="A79" s="1272">
        <v>4000</v>
      </c>
      <c r="B79" s="971" t="s">
        <v>1316</v>
      </c>
      <c r="C79" s="1272">
        <v>4500</v>
      </c>
      <c r="D79" s="971" t="s">
        <v>452</v>
      </c>
      <c r="E79" s="971" t="s">
        <v>1692</v>
      </c>
      <c r="F79" s="971" t="s">
        <v>605</v>
      </c>
      <c r="G79" s="971" t="s">
        <v>6609</v>
      </c>
      <c r="H79" s="971" t="s">
        <v>621</v>
      </c>
      <c r="I79" s="1273" t="s">
        <v>500</v>
      </c>
      <c r="J79" s="971" t="s">
        <v>124</v>
      </c>
      <c r="K79" s="971" t="s">
        <v>1747</v>
      </c>
      <c r="L79" s="971" t="s">
        <v>6606</v>
      </c>
      <c r="M79" s="971" t="s">
        <v>606</v>
      </c>
      <c r="N79" s="971" t="s">
        <v>488</v>
      </c>
      <c r="O79" s="971" t="s">
        <v>518</v>
      </c>
      <c r="P79" s="971"/>
      <c r="Q79" s="971" t="s">
        <v>1751</v>
      </c>
      <c r="R79" s="971" t="s">
        <v>1752</v>
      </c>
      <c r="S79" s="1274">
        <v>334.45095694780059</v>
      </c>
      <c r="T79" s="971" t="s">
        <v>136</v>
      </c>
      <c r="U79" s="1275">
        <v>0.56041666666666667</v>
      </c>
      <c r="V79" s="1275">
        <v>2.3537499999999998</v>
      </c>
      <c r="W79" s="1275">
        <v>55.993123908730162</v>
      </c>
      <c r="X79" s="1275">
        <v>84.0625</v>
      </c>
      <c r="Y79" s="1275">
        <v>142.40937390873017</v>
      </c>
      <c r="Z79" s="1129">
        <v>187.43189045616325</v>
      </c>
      <c r="AA79" s="1129">
        <v>787.21393991588559</v>
      </c>
      <c r="AB79" s="1129">
        <v>18726.953873771574</v>
      </c>
      <c r="AC79" s="1129">
        <v>28114.783568424486</v>
      </c>
      <c r="AD79" s="1267">
        <v>47628.951382111954</v>
      </c>
      <c r="AE79" s="1135">
        <v>1</v>
      </c>
      <c r="AF79" s="1129">
        <v>334.45095694780059</v>
      </c>
      <c r="AG79" s="1127">
        <v>1</v>
      </c>
      <c r="AH79" s="1127">
        <v>0</v>
      </c>
      <c r="AI79" s="1127">
        <v>0</v>
      </c>
      <c r="AJ79" s="1127">
        <v>1</v>
      </c>
      <c r="AK79" s="1129">
        <v>47628.951382111954</v>
      </c>
      <c r="AL79" s="1129">
        <v>0</v>
      </c>
      <c r="AM79" s="1129">
        <v>0</v>
      </c>
      <c r="AN79" s="1129">
        <v>47628.951382111954</v>
      </c>
      <c r="AO79" s="1129" t="s">
        <v>85</v>
      </c>
      <c r="AP79" s="1129" t="s">
        <v>6605</v>
      </c>
      <c r="AQ79" s="1157" t="s">
        <v>107</v>
      </c>
      <c r="AR79" s="1129" t="s">
        <v>87</v>
      </c>
      <c r="AS79" s="1127">
        <v>0.33333333333333331</v>
      </c>
      <c r="AT79" s="1127">
        <v>0.33333333333333331</v>
      </c>
      <c r="AU79" s="1127">
        <v>0.33333333333333331</v>
      </c>
      <c r="AV79" s="1127"/>
      <c r="AW79" s="1127"/>
      <c r="AX79" s="1127"/>
      <c r="AY79" s="1127"/>
      <c r="AZ79" s="1127"/>
      <c r="BA79" s="1129">
        <v>15876.31712737065</v>
      </c>
      <c r="BB79" s="1129">
        <v>15876.31712737065</v>
      </c>
      <c r="BC79" s="1129">
        <v>15876.31712737065</v>
      </c>
      <c r="BD79" s="1129">
        <v>0</v>
      </c>
      <c r="BE79" s="1129">
        <v>0</v>
      </c>
      <c r="BF79" s="1129">
        <v>0</v>
      </c>
      <c r="BG79" s="1129">
        <v>0</v>
      </c>
      <c r="BH79" s="1129">
        <v>0</v>
      </c>
      <c r="BI79" s="971"/>
      <c r="BJ79" s="971"/>
      <c r="BK79" s="971"/>
    </row>
    <row r="80" spans="1:63" s="1278" customFormat="1" ht="49.5">
      <c r="A80" s="1272">
        <v>4000</v>
      </c>
      <c r="B80" s="971" t="s">
        <v>1316</v>
      </c>
      <c r="C80" s="1272">
        <v>4500</v>
      </c>
      <c r="D80" s="971" t="s">
        <v>452</v>
      </c>
      <c r="E80" s="971" t="s">
        <v>1692</v>
      </c>
      <c r="F80" s="971" t="s">
        <v>605</v>
      </c>
      <c r="G80" s="971" t="s">
        <v>6609</v>
      </c>
      <c r="H80" s="971" t="s">
        <v>621</v>
      </c>
      <c r="I80" s="1273" t="s">
        <v>500</v>
      </c>
      <c r="J80" s="971" t="s">
        <v>124</v>
      </c>
      <c r="K80" s="971" t="s">
        <v>523</v>
      </c>
      <c r="L80" s="971" t="s">
        <v>6607</v>
      </c>
      <c r="M80" s="971" t="s">
        <v>523</v>
      </c>
      <c r="N80" s="971" t="s">
        <v>141</v>
      </c>
      <c r="O80" s="971" t="s">
        <v>524</v>
      </c>
      <c r="P80" s="971"/>
      <c r="Q80" s="971" t="s">
        <v>1753</v>
      </c>
      <c r="R80" s="971" t="s">
        <v>1752</v>
      </c>
      <c r="S80" s="1274">
        <v>334.45095694780059</v>
      </c>
      <c r="T80" s="971" t="s">
        <v>136</v>
      </c>
      <c r="U80" s="1275">
        <v>0.14520631503408685</v>
      </c>
      <c r="V80" s="1275">
        <v>2.1780947255113023</v>
      </c>
      <c r="W80" s="1275">
        <v>14.50805387069216</v>
      </c>
      <c r="X80" s="1275">
        <v>21.780947255113027</v>
      </c>
      <c r="Y80" s="1275">
        <v>38.467095851316493</v>
      </c>
      <c r="Z80" s="1129">
        <v>48.564391018014149</v>
      </c>
      <c r="AA80" s="1129">
        <v>728.46586527021213</v>
      </c>
      <c r="AB80" s="1129">
        <v>4852.2325005032353</v>
      </c>
      <c r="AC80" s="1129">
        <v>7284.6586527021227</v>
      </c>
      <c r="AD80" s="1267">
        <v>12865.357018475572</v>
      </c>
      <c r="AE80" s="1135">
        <v>0.75</v>
      </c>
      <c r="AF80" s="1129">
        <v>250.83821771085044</v>
      </c>
      <c r="AG80" s="1127">
        <v>1</v>
      </c>
      <c r="AH80" s="1127">
        <v>0</v>
      </c>
      <c r="AI80" s="1127">
        <v>0</v>
      </c>
      <c r="AJ80" s="1127">
        <v>1</v>
      </c>
      <c r="AK80" s="1129">
        <v>12865.357018475572</v>
      </c>
      <c r="AL80" s="1129">
        <v>0</v>
      </c>
      <c r="AM80" s="1129">
        <v>0</v>
      </c>
      <c r="AN80" s="1129">
        <v>12865.357018475572</v>
      </c>
      <c r="AO80" s="1129" t="s">
        <v>85</v>
      </c>
      <c r="AP80" s="1129" t="s">
        <v>6605</v>
      </c>
      <c r="AQ80" s="1157" t="s">
        <v>107</v>
      </c>
      <c r="AR80" s="1129" t="s">
        <v>87</v>
      </c>
      <c r="AS80" s="1127">
        <v>0.33333333333333331</v>
      </c>
      <c r="AT80" s="1127">
        <v>0.33333333333333331</v>
      </c>
      <c r="AU80" s="1127">
        <v>0.33333333333333331</v>
      </c>
      <c r="AV80" s="1127"/>
      <c r="AW80" s="1127"/>
      <c r="AX80" s="1127"/>
      <c r="AY80" s="1127"/>
      <c r="AZ80" s="1127"/>
      <c r="BA80" s="1129">
        <v>4288.4523394918569</v>
      </c>
      <c r="BB80" s="1129">
        <v>4288.4523394918569</v>
      </c>
      <c r="BC80" s="1129">
        <v>4288.4523394918569</v>
      </c>
      <c r="BD80" s="1129">
        <v>0</v>
      </c>
      <c r="BE80" s="1129">
        <v>0</v>
      </c>
      <c r="BF80" s="1129">
        <v>0</v>
      </c>
      <c r="BG80" s="1129">
        <v>0</v>
      </c>
      <c r="BH80" s="1129">
        <v>0</v>
      </c>
      <c r="BI80" s="971"/>
      <c r="BJ80" s="971"/>
      <c r="BK80" s="971"/>
    </row>
    <row r="81" spans="1:63" s="1278" customFormat="1" ht="49.5">
      <c r="A81" s="1272">
        <v>2000</v>
      </c>
      <c r="B81" s="971" t="s">
        <v>119</v>
      </c>
      <c r="C81" s="1272">
        <v>2500</v>
      </c>
      <c r="D81" s="971" t="s">
        <v>452</v>
      </c>
      <c r="E81" s="971" t="s">
        <v>604</v>
      </c>
      <c r="F81" s="971" t="s">
        <v>605</v>
      </c>
      <c r="G81" s="971">
        <v>2521</v>
      </c>
      <c r="H81" s="971" t="s">
        <v>621</v>
      </c>
      <c r="I81" s="1273" t="s">
        <v>495</v>
      </c>
      <c r="J81" s="971" t="s">
        <v>124</v>
      </c>
      <c r="K81" s="971" t="s">
        <v>506</v>
      </c>
      <c r="L81" s="971" t="s">
        <v>6608</v>
      </c>
      <c r="M81" s="971" t="s">
        <v>506</v>
      </c>
      <c r="N81" s="971" t="s">
        <v>141</v>
      </c>
      <c r="O81" s="971" t="s">
        <v>507</v>
      </c>
      <c r="P81" s="971"/>
      <c r="Q81" s="971" t="s">
        <v>679</v>
      </c>
      <c r="R81" s="971" t="s">
        <v>678</v>
      </c>
      <c r="S81" s="1274">
        <v>148.64486975457805</v>
      </c>
      <c r="T81" s="971" t="s">
        <v>136</v>
      </c>
      <c r="U81" s="1275">
        <v>0.125</v>
      </c>
      <c r="V81" s="1275">
        <v>1.875</v>
      </c>
      <c r="W81" s="1275">
        <v>12.48917261904762</v>
      </c>
      <c r="X81" s="1275">
        <v>18.75</v>
      </c>
      <c r="Y81" s="1275">
        <v>33.114172619047622</v>
      </c>
      <c r="Z81" s="1129">
        <v>18.580608719322257</v>
      </c>
      <c r="AA81" s="1129">
        <v>278.70913078983386</v>
      </c>
      <c r="AB81" s="1129">
        <v>1856.451437300776</v>
      </c>
      <c r="AC81" s="1129">
        <v>2787.0913078983385</v>
      </c>
      <c r="AD81" s="1267">
        <v>4922.251875988949</v>
      </c>
      <c r="AE81" s="1135">
        <v>0</v>
      </c>
      <c r="AF81" s="1129">
        <v>0</v>
      </c>
      <c r="AG81" s="1127">
        <v>1</v>
      </c>
      <c r="AH81" s="1127">
        <v>0</v>
      </c>
      <c r="AI81" s="1127">
        <v>0</v>
      </c>
      <c r="AJ81" s="1127">
        <v>1</v>
      </c>
      <c r="AK81" s="1129">
        <v>4922.251875988949</v>
      </c>
      <c r="AL81" s="1129">
        <v>0</v>
      </c>
      <c r="AM81" s="1129">
        <v>0</v>
      </c>
      <c r="AN81" s="1129">
        <v>4922.251875988949</v>
      </c>
      <c r="AO81" s="1129" t="s">
        <v>85</v>
      </c>
      <c r="AP81" s="1129" t="s">
        <v>6605</v>
      </c>
      <c r="AQ81" s="1157" t="s">
        <v>107</v>
      </c>
      <c r="AR81" s="1129" t="s">
        <v>87</v>
      </c>
      <c r="AS81" s="1127">
        <v>0.33333333333333331</v>
      </c>
      <c r="AT81" s="1127">
        <v>0.33333333333333331</v>
      </c>
      <c r="AU81" s="1127">
        <v>0.33333333333333331</v>
      </c>
      <c r="AV81" s="1127"/>
      <c r="AW81" s="1127"/>
      <c r="AX81" s="1127"/>
      <c r="AY81" s="1127"/>
      <c r="AZ81" s="1127"/>
      <c r="BA81" s="1129">
        <v>1640.7506253296497</v>
      </c>
      <c r="BB81" s="1129">
        <v>1640.7506253296497</v>
      </c>
      <c r="BC81" s="1129">
        <v>1640.7506253296497</v>
      </c>
      <c r="BD81" s="1129">
        <v>0</v>
      </c>
      <c r="BE81" s="1129">
        <v>0</v>
      </c>
      <c r="BF81" s="1129">
        <v>0</v>
      </c>
      <c r="BG81" s="1129">
        <v>0</v>
      </c>
      <c r="BH81" s="1129">
        <v>0</v>
      </c>
      <c r="BI81" s="971"/>
      <c r="BJ81" s="971"/>
      <c r="BK81" s="971"/>
    </row>
    <row r="82" spans="1:63" s="1278" customFormat="1" ht="66">
      <c r="A82" s="1272">
        <v>4000</v>
      </c>
      <c r="B82" s="971" t="s">
        <v>1316</v>
      </c>
      <c r="C82" s="1272">
        <v>4500</v>
      </c>
      <c r="D82" s="971" t="s">
        <v>452</v>
      </c>
      <c r="E82" s="971" t="s">
        <v>1692</v>
      </c>
      <c r="F82" s="971" t="s">
        <v>605</v>
      </c>
      <c r="G82" s="971" t="s">
        <v>6609</v>
      </c>
      <c r="H82" s="971" t="s">
        <v>621</v>
      </c>
      <c r="I82" s="1273" t="s">
        <v>503</v>
      </c>
      <c r="J82" s="971" t="s">
        <v>124</v>
      </c>
      <c r="K82" s="971" t="s">
        <v>2857</v>
      </c>
      <c r="L82" s="971" t="s">
        <v>2858</v>
      </c>
      <c r="M82" s="971" t="s">
        <v>627</v>
      </c>
      <c r="N82" s="971" t="s">
        <v>488</v>
      </c>
      <c r="O82" s="971" t="s">
        <v>539</v>
      </c>
      <c r="P82" s="971"/>
      <c r="Q82" s="971" t="s">
        <v>1755</v>
      </c>
      <c r="R82" s="971" t="s">
        <v>1756</v>
      </c>
      <c r="S82" s="1274">
        <v>267.56076555824046</v>
      </c>
      <c r="T82" s="971" t="s">
        <v>136</v>
      </c>
      <c r="U82" s="1275">
        <v>0.56041666666666667</v>
      </c>
      <c r="V82" s="1275">
        <v>3.3624999999999998</v>
      </c>
      <c r="W82" s="1275">
        <v>55.993123908730162</v>
      </c>
      <c r="X82" s="1275">
        <v>84.0625</v>
      </c>
      <c r="Y82" s="1275">
        <v>143.41812390873017</v>
      </c>
      <c r="Z82" s="1129">
        <v>149.94551236493061</v>
      </c>
      <c r="AA82" s="1129">
        <v>899.67307418958353</v>
      </c>
      <c r="AB82" s="1129">
        <v>14981.563099017259</v>
      </c>
      <c r="AC82" s="1129">
        <v>22491.826854739589</v>
      </c>
      <c r="AD82" s="1267">
        <v>38373.063027946431</v>
      </c>
      <c r="AE82" s="1237">
        <v>1</v>
      </c>
      <c r="AF82" s="1133">
        <v>267.56076555824046</v>
      </c>
      <c r="AG82" s="1127">
        <v>1</v>
      </c>
      <c r="AH82" s="1127">
        <v>0</v>
      </c>
      <c r="AI82" s="1127">
        <v>0</v>
      </c>
      <c r="AJ82" s="1127">
        <v>1</v>
      </c>
      <c r="AK82" s="1129">
        <v>38373.063027946431</v>
      </c>
      <c r="AL82" s="1129">
        <v>0</v>
      </c>
      <c r="AM82" s="1129">
        <v>0</v>
      </c>
      <c r="AN82" s="1129">
        <v>38373.063027946431</v>
      </c>
      <c r="AO82" s="1129" t="s">
        <v>85</v>
      </c>
      <c r="AP82" s="1129" t="s">
        <v>6605</v>
      </c>
      <c r="AQ82" s="1157" t="s">
        <v>107</v>
      </c>
      <c r="AR82" s="1129" t="s">
        <v>87</v>
      </c>
      <c r="AS82" s="1127">
        <v>0.33333333333333331</v>
      </c>
      <c r="AT82" s="1127">
        <v>0.33333333333333331</v>
      </c>
      <c r="AU82" s="1127">
        <v>0.33333333333333331</v>
      </c>
      <c r="AV82" s="1127"/>
      <c r="AW82" s="1127"/>
      <c r="AX82" s="1127"/>
      <c r="AY82" s="1127"/>
      <c r="AZ82" s="1127"/>
      <c r="BA82" s="1129">
        <v>12791.021009315476</v>
      </c>
      <c r="BB82" s="1129">
        <v>12791.021009315476</v>
      </c>
      <c r="BC82" s="1129">
        <v>12791.021009315476</v>
      </c>
      <c r="BD82" s="1129">
        <v>0</v>
      </c>
      <c r="BE82" s="1129">
        <v>0</v>
      </c>
      <c r="BF82" s="1129">
        <v>0</v>
      </c>
      <c r="BG82" s="1129">
        <v>0</v>
      </c>
      <c r="BH82" s="1129">
        <v>0</v>
      </c>
      <c r="BI82" s="971"/>
      <c r="BJ82" s="971"/>
      <c r="BK82" s="971"/>
    </row>
    <row r="83" spans="1:63" s="1278" customFormat="1" ht="49.5">
      <c r="A83" s="1272">
        <v>4000</v>
      </c>
      <c r="B83" s="971" t="s">
        <v>1316</v>
      </c>
      <c r="C83" s="1272">
        <v>4500</v>
      </c>
      <c r="D83" s="971" t="s">
        <v>452</v>
      </c>
      <c r="E83" s="971" t="s">
        <v>1692</v>
      </c>
      <c r="F83" s="971" t="s">
        <v>605</v>
      </c>
      <c r="G83" s="971" t="s">
        <v>6609</v>
      </c>
      <c r="H83" s="971" t="s">
        <v>621</v>
      </c>
      <c r="I83" s="1273" t="s">
        <v>503</v>
      </c>
      <c r="J83" s="971" t="s">
        <v>124</v>
      </c>
      <c r="K83" s="971" t="s">
        <v>145</v>
      </c>
      <c r="L83" s="971" t="s">
        <v>2871</v>
      </c>
      <c r="M83" s="971" t="s">
        <v>556</v>
      </c>
      <c r="N83" s="971" t="s">
        <v>141</v>
      </c>
      <c r="O83" s="971" t="s">
        <v>557</v>
      </c>
      <c r="P83" s="971"/>
      <c r="Q83" s="971" t="s">
        <v>1757</v>
      </c>
      <c r="R83" s="971" t="s">
        <v>1756</v>
      </c>
      <c r="S83" s="1274">
        <v>267.56076555824046</v>
      </c>
      <c r="T83" s="971" t="s">
        <v>136</v>
      </c>
      <c r="U83" s="1275">
        <v>0.12329166666666667</v>
      </c>
      <c r="V83" s="1275">
        <v>1.1768750000000001</v>
      </c>
      <c r="W83" s="1275">
        <v>7.8390373472222228</v>
      </c>
      <c r="X83" s="1275">
        <v>11.768750000000001</v>
      </c>
      <c r="Y83" s="1275">
        <v>20.784662347222223</v>
      </c>
      <c r="Z83" s="1129">
        <v>32.988012720284729</v>
      </c>
      <c r="AA83" s="1129">
        <v>314.88557596635428</v>
      </c>
      <c r="AB83" s="1129">
        <v>2097.4188338624162</v>
      </c>
      <c r="AC83" s="1129">
        <v>3148.8557596635428</v>
      </c>
      <c r="AD83" s="1267">
        <v>5561.1601694923129</v>
      </c>
      <c r="AE83" s="1237">
        <v>0.3</v>
      </c>
      <c r="AF83" s="1133">
        <v>80.268229667472141</v>
      </c>
      <c r="AG83" s="1127">
        <v>1</v>
      </c>
      <c r="AH83" s="1127">
        <v>0</v>
      </c>
      <c r="AI83" s="1127">
        <v>0</v>
      </c>
      <c r="AJ83" s="1127">
        <v>1</v>
      </c>
      <c r="AK83" s="1129">
        <v>5561.1601694923129</v>
      </c>
      <c r="AL83" s="1129">
        <v>0</v>
      </c>
      <c r="AM83" s="1129">
        <v>0</v>
      </c>
      <c r="AN83" s="1129">
        <v>5561.1601694923129</v>
      </c>
      <c r="AO83" s="1129" t="s">
        <v>85</v>
      </c>
      <c r="AP83" s="1129" t="s">
        <v>6605</v>
      </c>
      <c r="AQ83" s="1157" t="s">
        <v>107</v>
      </c>
      <c r="AR83" s="1129" t="s">
        <v>87</v>
      </c>
      <c r="AS83" s="1127">
        <v>0.33333333333333331</v>
      </c>
      <c r="AT83" s="1127">
        <v>0.33333333333333331</v>
      </c>
      <c r="AU83" s="1127">
        <v>0.33333333333333331</v>
      </c>
      <c r="AV83" s="1127"/>
      <c r="AW83" s="1127"/>
      <c r="AX83" s="1127"/>
      <c r="AY83" s="1127"/>
      <c r="AZ83" s="1127"/>
      <c r="BA83" s="1129">
        <v>1853.7200564974376</v>
      </c>
      <c r="BB83" s="1129">
        <v>1853.7200564974376</v>
      </c>
      <c r="BC83" s="1129">
        <v>1853.7200564974376</v>
      </c>
      <c r="BD83" s="1129">
        <v>0</v>
      </c>
      <c r="BE83" s="1129">
        <v>0</v>
      </c>
      <c r="BF83" s="1129">
        <v>0</v>
      </c>
      <c r="BG83" s="1129">
        <v>0</v>
      </c>
      <c r="BH83" s="1129">
        <v>0</v>
      </c>
      <c r="BI83" s="971"/>
      <c r="BJ83" s="971"/>
      <c r="BK83" s="971"/>
    </row>
    <row r="84" spans="1:63" s="1278" customFormat="1" ht="49.5">
      <c r="A84" s="1272">
        <v>4000</v>
      </c>
      <c r="B84" s="971" t="s">
        <v>1316</v>
      </c>
      <c r="C84" s="1272">
        <v>4500</v>
      </c>
      <c r="D84" s="971" t="s">
        <v>452</v>
      </c>
      <c r="E84" s="971" t="s">
        <v>1692</v>
      </c>
      <c r="F84" s="971" t="s">
        <v>605</v>
      </c>
      <c r="G84" s="971" t="s">
        <v>6609</v>
      </c>
      <c r="H84" s="971" t="s">
        <v>621</v>
      </c>
      <c r="I84" s="1273" t="s">
        <v>503</v>
      </c>
      <c r="J84" s="971" t="s">
        <v>124</v>
      </c>
      <c r="K84" s="971"/>
      <c r="L84" s="971" t="e">
        <v>#N/A</v>
      </c>
      <c r="M84" s="971" t="s">
        <v>145</v>
      </c>
      <c r="N84" s="971" t="s">
        <v>141</v>
      </c>
      <c r="O84" s="971" t="s">
        <v>146</v>
      </c>
      <c r="P84" s="971"/>
      <c r="Q84" s="971" t="s">
        <v>1758</v>
      </c>
      <c r="R84" s="971" t="s">
        <v>1756</v>
      </c>
      <c r="S84" s="1274">
        <v>267.56076555824046</v>
      </c>
      <c r="T84" s="971" t="s">
        <v>136</v>
      </c>
      <c r="U84" s="1275" t="s">
        <v>6588</v>
      </c>
      <c r="V84" s="1275" t="s">
        <v>6588</v>
      </c>
      <c r="W84" s="1275" t="s">
        <v>6588</v>
      </c>
      <c r="X84" s="1275" t="s">
        <v>6588</v>
      </c>
      <c r="Y84" s="1275" t="s">
        <v>6588</v>
      </c>
      <c r="Z84" s="1129">
        <v>0</v>
      </c>
      <c r="AA84" s="1129">
        <v>0</v>
      </c>
      <c r="AB84" s="1129">
        <v>0</v>
      </c>
      <c r="AC84" s="1129">
        <v>0</v>
      </c>
      <c r="AD84" s="1267">
        <v>0</v>
      </c>
      <c r="AE84" s="1237">
        <v>0</v>
      </c>
      <c r="AF84" s="1133">
        <v>0</v>
      </c>
      <c r="AG84" s="1127">
        <v>1</v>
      </c>
      <c r="AH84" s="1127">
        <v>0</v>
      </c>
      <c r="AI84" s="1127">
        <v>0</v>
      </c>
      <c r="AJ84" s="1127">
        <v>1</v>
      </c>
      <c r="AK84" s="1129">
        <v>0</v>
      </c>
      <c r="AL84" s="1129">
        <v>0</v>
      </c>
      <c r="AM84" s="1129">
        <v>0</v>
      </c>
      <c r="AN84" s="1129">
        <v>0</v>
      </c>
      <c r="AO84" s="1129" t="s">
        <v>85</v>
      </c>
      <c r="AP84" s="1129" t="s">
        <v>6605</v>
      </c>
      <c r="AQ84" s="1157" t="s">
        <v>107</v>
      </c>
      <c r="AR84" s="1129" t="s">
        <v>87</v>
      </c>
      <c r="AS84" s="1127">
        <v>0.33333333333333331</v>
      </c>
      <c r="AT84" s="1127">
        <v>0.33333333333333331</v>
      </c>
      <c r="AU84" s="1127">
        <v>0.33333333333333331</v>
      </c>
      <c r="AV84" s="1127"/>
      <c r="AW84" s="1127"/>
      <c r="AX84" s="1127"/>
      <c r="AY84" s="1127"/>
      <c r="AZ84" s="1127"/>
      <c r="BA84" s="1129">
        <v>0</v>
      </c>
      <c r="BB84" s="1129">
        <v>0</v>
      </c>
      <c r="BC84" s="1129">
        <v>0</v>
      </c>
      <c r="BD84" s="1129">
        <v>0</v>
      </c>
      <c r="BE84" s="1129">
        <v>0</v>
      </c>
      <c r="BF84" s="1129">
        <v>0</v>
      </c>
      <c r="BG84" s="1129">
        <v>0</v>
      </c>
      <c r="BH84" s="1129">
        <v>0</v>
      </c>
      <c r="BI84" s="971"/>
      <c r="BJ84" s="971"/>
      <c r="BK84" s="971"/>
    </row>
    <row r="85" spans="1:63" s="1278" customFormat="1" ht="49.5">
      <c r="A85" s="1272">
        <v>4000</v>
      </c>
      <c r="B85" s="971" t="s">
        <v>1316</v>
      </c>
      <c r="C85" s="1272">
        <v>4500</v>
      </c>
      <c r="D85" s="971" t="s">
        <v>452</v>
      </c>
      <c r="E85" s="971" t="s">
        <v>1692</v>
      </c>
      <c r="F85" s="971" t="s">
        <v>605</v>
      </c>
      <c r="G85" s="971" t="s">
        <v>6609</v>
      </c>
      <c r="H85" s="971" t="s">
        <v>621</v>
      </c>
      <c r="I85" s="1273" t="s">
        <v>495</v>
      </c>
      <c r="J85" s="971" t="s">
        <v>124</v>
      </c>
      <c r="K85" s="971" t="s">
        <v>2857</v>
      </c>
      <c r="L85" s="971" t="s">
        <v>2858</v>
      </c>
      <c r="M85" s="971" t="s">
        <v>627</v>
      </c>
      <c r="N85" s="971" t="s">
        <v>488</v>
      </c>
      <c r="O85" s="971" t="s">
        <v>539</v>
      </c>
      <c r="P85" s="971"/>
      <c r="Q85" s="971" t="s">
        <v>1759</v>
      </c>
      <c r="R85" s="971" t="s">
        <v>1760</v>
      </c>
      <c r="S85" s="1274">
        <v>2415.479133511893</v>
      </c>
      <c r="T85" s="971" t="s">
        <v>136</v>
      </c>
      <c r="U85" s="1275">
        <v>0.56041666666666667</v>
      </c>
      <c r="V85" s="1275">
        <v>3.3624999999999998</v>
      </c>
      <c r="W85" s="1275">
        <v>55.993123908730162</v>
      </c>
      <c r="X85" s="1275">
        <v>84.0625</v>
      </c>
      <c r="Y85" s="1275">
        <v>143.41812390873017</v>
      </c>
      <c r="Z85" s="1129">
        <v>1353.6747644056234</v>
      </c>
      <c r="AA85" s="1129">
        <v>8122.0485864337397</v>
      </c>
      <c r="AB85" s="1129">
        <v>135250.2224216836</v>
      </c>
      <c r="AC85" s="1129">
        <v>203051.21466084351</v>
      </c>
      <c r="AD85" s="1267">
        <v>346423.48566896084</v>
      </c>
      <c r="AE85" s="1237">
        <v>1</v>
      </c>
      <c r="AF85" s="1133">
        <v>2415.479133511893</v>
      </c>
      <c r="AG85" s="1127">
        <v>1</v>
      </c>
      <c r="AH85" s="1127">
        <v>0</v>
      </c>
      <c r="AI85" s="1127">
        <v>0</v>
      </c>
      <c r="AJ85" s="1127">
        <v>1</v>
      </c>
      <c r="AK85" s="1129">
        <v>346423.48566896084</v>
      </c>
      <c r="AL85" s="1129">
        <v>0</v>
      </c>
      <c r="AM85" s="1129">
        <v>0</v>
      </c>
      <c r="AN85" s="1129">
        <v>346423.48566896084</v>
      </c>
      <c r="AO85" s="1129" t="s">
        <v>85</v>
      </c>
      <c r="AP85" s="1129" t="s">
        <v>6605</v>
      </c>
      <c r="AQ85" s="1157" t="s">
        <v>107</v>
      </c>
      <c r="AR85" s="1129" t="s">
        <v>87</v>
      </c>
      <c r="AS85" s="1127">
        <v>0.33333333333333331</v>
      </c>
      <c r="AT85" s="1127">
        <v>0.33333333333333331</v>
      </c>
      <c r="AU85" s="1127">
        <v>0.33333333333333331</v>
      </c>
      <c r="AV85" s="1127"/>
      <c r="AW85" s="1127"/>
      <c r="AX85" s="1127"/>
      <c r="AY85" s="1127"/>
      <c r="AZ85" s="1127"/>
      <c r="BA85" s="1129">
        <v>115474.49522298694</v>
      </c>
      <c r="BB85" s="1129">
        <v>115474.49522298694</v>
      </c>
      <c r="BC85" s="1129">
        <v>115474.49522298694</v>
      </c>
      <c r="BD85" s="1129">
        <v>0</v>
      </c>
      <c r="BE85" s="1129">
        <v>0</v>
      </c>
      <c r="BF85" s="1129">
        <v>0</v>
      </c>
      <c r="BG85" s="1129">
        <v>0</v>
      </c>
      <c r="BH85" s="1129">
        <v>0</v>
      </c>
      <c r="BI85" s="971"/>
      <c r="BJ85" s="971"/>
      <c r="BK85" s="971"/>
    </row>
    <row r="86" spans="1:63" s="1278" customFormat="1" ht="49.5">
      <c r="A86" s="1272">
        <v>4000</v>
      </c>
      <c r="B86" s="971" t="s">
        <v>1316</v>
      </c>
      <c r="C86" s="1272">
        <v>4500</v>
      </c>
      <c r="D86" s="971" t="s">
        <v>452</v>
      </c>
      <c r="E86" s="971" t="s">
        <v>1692</v>
      </c>
      <c r="F86" s="971" t="s">
        <v>605</v>
      </c>
      <c r="G86" s="971" t="s">
        <v>6609</v>
      </c>
      <c r="H86" s="971" t="s">
        <v>621</v>
      </c>
      <c r="I86" s="1273" t="s">
        <v>495</v>
      </c>
      <c r="J86" s="971" t="s">
        <v>124</v>
      </c>
      <c r="K86" s="971" t="s">
        <v>145</v>
      </c>
      <c r="L86" s="971" t="s">
        <v>2871</v>
      </c>
      <c r="M86" s="971" t="s">
        <v>556</v>
      </c>
      <c r="N86" s="971" t="s">
        <v>141</v>
      </c>
      <c r="O86" s="971" t="s">
        <v>557</v>
      </c>
      <c r="P86" s="971"/>
      <c r="Q86" s="971" t="s">
        <v>1761</v>
      </c>
      <c r="R86" s="971" t="s">
        <v>1760</v>
      </c>
      <c r="S86" s="1274">
        <v>2415.479133511893</v>
      </c>
      <c r="T86" s="971" t="s">
        <v>136</v>
      </c>
      <c r="U86" s="1275">
        <v>0.12329166666666667</v>
      </c>
      <c r="V86" s="1275">
        <v>1.1768750000000001</v>
      </c>
      <c r="W86" s="1275">
        <v>7.8390373472222228</v>
      </c>
      <c r="X86" s="1275">
        <v>11.768750000000001</v>
      </c>
      <c r="Y86" s="1275">
        <v>20.784662347222223</v>
      </c>
      <c r="Z86" s="1129">
        <v>297.80844816923718</v>
      </c>
      <c r="AA86" s="1129">
        <v>2842.7170052518095</v>
      </c>
      <c r="AB86" s="1129">
        <v>18935.031139035702</v>
      </c>
      <c r="AC86" s="1129">
        <v>28427.170052518093</v>
      </c>
      <c r="AD86" s="1267">
        <v>50204.918196805607</v>
      </c>
      <c r="AE86" s="1237">
        <v>0.3</v>
      </c>
      <c r="AF86" s="1133">
        <v>724.64374005356785</v>
      </c>
      <c r="AG86" s="1127">
        <v>1</v>
      </c>
      <c r="AH86" s="1127">
        <v>0</v>
      </c>
      <c r="AI86" s="1127">
        <v>0</v>
      </c>
      <c r="AJ86" s="1127">
        <v>1</v>
      </c>
      <c r="AK86" s="1129">
        <v>50204.918196805607</v>
      </c>
      <c r="AL86" s="1129">
        <v>0</v>
      </c>
      <c r="AM86" s="1129">
        <v>0</v>
      </c>
      <c r="AN86" s="1129">
        <v>50204.918196805607</v>
      </c>
      <c r="AO86" s="1129" t="s">
        <v>85</v>
      </c>
      <c r="AP86" s="1129" t="s">
        <v>6605</v>
      </c>
      <c r="AQ86" s="1157" t="s">
        <v>107</v>
      </c>
      <c r="AR86" s="1129" t="s">
        <v>87</v>
      </c>
      <c r="AS86" s="1127">
        <v>0.33333333333333331</v>
      </c>
      <c r="AT86" s="1127">
        <v>0.33333333333333331</v>
      </c>
      <c r="AU86" s="1127">
        <v>0.33333333333333331</v>
      </c>
      <c r="AV86" s="1127"/>
      <c r="AW86" s="1127"/>
      <c r="AX86" s="1127"/>
      <c r="AY86" s="1127"/>
      <c r="AZ86" s="1127"/>
      <c r="BA86" s="1129">
        <v>16734.972732268536</v>
      </c>
      <c r="BB86" s="1129">
        <v>16734.972732268536</v>
      </c>
      <c r="BC86" s="1129">
        <v>16734.972732268536</v>
      </c>
      <c r="BD86" s="1129">
        <v>0</v>
      </c>
      <c r="BE86" s="1129">
        <v>0</v>
      </c>
      <c r="BF86" s="1129">
        <v>0</v>
      </c>
      <c r="BG86" s="1129">
        <v>0</v>
      </c>
      <c r="BH86" s="1129">
        <v>0</v>
      </c>
      <c r="BI86" s="971"/>
      <c r="BJ86" s="971"/>
      <c r="BK86" s="971"/>
    </row>
    <row r="87" spans="1:63" s="1278" customFormat="1" ht="49.5">
      <c r="A87" s="1272">
        <v>4000</v>
      </c>
      <c r="B87" s="971" t="s">
        <v>1316</v>
      </c>
      <c r="C87" s="1272">
        <v>4500</v>
      </c>
      <c r="D87" s="971" t="s">
        <v>452</v>
      </c>
      <c r="E87" s="971" t="s">
        <v>1692</v>
      </c>
      <c r="F87" s="971" t="s">
        <v>605</v>
      </c>
      <c r="G87" s="971" t="s">
        <v>6609</v>
      </c>
      <c r="H87" s="971" t="s">
        <v>621</v>
      </c>
      <c r="I87" s="1273" t="s">
        <v>495</v>
      </c>
      <c r="J87" s="971" t="s">
        <v>124</v>
      </c>
      <c r="K87" s="971"/>
      <c r="L87" s="971" t="e">
        <v>#N/A</v>
      </c>
      <c r="M87" s="971" t="s">
        <v>145</v>
      </c>
      <c r="N87" s="971" t="s">
        <v>141</v>
      </c>
      <c r="O87" s="971" t="s">
        <v>146</v>
      </c>
      <c r="P87" s="971"/>
      <c r="Q87" s="971" t="s">
        <v>1762</v>
      </c>
      <c r="R87" s="971" t="s">
        <v>1760</v>
      </c>
      <c r="S87" s="1274">
        <v>2415.479133511893</v>
      </c>
      <c r="T87" s="971" t="s">
        <v>136</v>
      </c>
      <c r="U87" s="1275" t="s">
        <v>6588</v>
      </c>
      <c r="V87" s="1275" t="s">
        <v>6588</v>
      </c>
      <c r="W87" s="1275" t="s">
        <v>6588</v>
      </c>
      <c r="X87" s="1275" t="s">
        <v>6588</v>
      </c>
      <c r="Y87" s="1275" t="s">
        <v>6588</v>
      </c>
      <c r="Z87" s="1129">
        <v>0</v>
      </c>
      <c r="AA87" s="1129">
        <v>0</v>
      </c>
      <c r="AB87" s="1129">
        <v>0</v>
      </c>
      <c r="AC87" s="1129">
        <v>0</v>
      </c>
      <c r="AD87" s="1267">
        <v>0</v>
      </c>
      <c r="AE87" s="1237">
        <v>0</v>
      </c>
      <c r="AF87" s="1133">
        <v>0</v>
      </c>
      <c r="AG87" s="1127">
        <v>1</v>
      </c>
      <c r="AH87" s="1127">
        <v>0</v>
      </c>
      <c r="AI87" s="1127">
        <v>0</v>
      </c>
      <c r="AJ87" s="1127">
        <v>1</v>
      </c>
      <c r="AK87" s="1129">
        <v>0</v>
      </c>
      <c r="AL87" s="1129">
        <v>0</v>
      </c>
      <c r="AM87" s="1129">
        <v>0</v>
      </c>
      <c r="AN87" s="1129">
        <v>0</v>
      </c>
      <c r="AO87" s="1129" t="s">
        <v>85</v>
      </c>
      <c r="AP87" s="1129" t="s">
        <v>6605</v>
      </c>
      <c r="AQ87" s="1157" t="s">
        <v>107</v>
      </c>
      <c r="AR87" s="1129" t="s">
        <v>87</v>
      </c>
      <c r="AS87" s="1127">
        <v>0.33333333333333331</v>
      </c>
      <c r="AT87" s="1127">
        <v>0.33333333333333331</v>
      </c>
      <c r="AU87" s="1127">
        <v>0.33333333333333331</v>
      </c>
      <c r="AV87" s="1127"/>
      <c r="AW87" s="1127"/>
      <c r="AX87" s="1127"/>
      <c r="AY87" s="1127"/>
      <c r="AZ87" s="1127"/>
      <c r="BA87" s="1129">
        <v>0</v>
      </c>
      <c r="BB87" s="1129">
        <v>0</v>
      </c>
      <c r="BC87" s="1129">
        <v>0</v>
      </c>
      <c r="BD87" s="1129">
        <v>0</v>
      </c>
      <c r="BE87" s="1129">
        <v>0</v>
      </c>
      <c r="BF87" s="1129">
        <v>0</v>
      </c>
      <c r="BG87" s="1129">
        <v>0</v>
      </c>
      <c r="BH87" s="1129">
        <v>0</v>
      </c>
      <c r="BI87" s="971"/>
      <c r="BJ87" s="971"/>
      <c r="BK87" s="971"/>
    </row>
    <row r="88" spans="1:63" s="1278" customFormat="1" ht="66">
      <c r="A88" s="1272">
        <v>4000</v>
      </c>
      <c r="B88" s="971" t="s">
        <v>1316</v>
      </c>
      <c r="C88" s="1272">
        <v>4500</v>
      </c>
      <c r="D88" s="971" t="s">
        <v>452</v>
      </c>
      <c r="E88" s="971" t="s">
        <v>1692</v>
      </c>
      <c r="F88" s="971" t="s">
        <v>605</v>
      </c>
      <c r="G88" s="971">
        <v>4523</v>
      </c>
      <c r="H88" s="971" t="s">
        <v>1793</v>
      </c>
      <c r="I88" s="1273" t="s">
        <v>139</v>
      </c>
      <c r="J88" s="971" t="s">
        <v>124</v>
      </c>
      <c r="K88" s="971" t="s">
        <v>1747</v>
      </c>
      <c r="L88" s="971" t="s">
        <v>6606</v>
      </c>
      <c r="M88" s="971" t="s">
        <v>606</v>
      </c>
      <c r="N88" s="971" t="s">
        <v>488</v>
      </c>
      <c r="O88" s="971" t="s">
        <v>518</v>
      </c>
      <c r="P88" s="971"/>
      <c r="Q88" s="971" t="s">
        <v>1805</v>
      </c>
      <c r="R88" s="971" t="s">
        <v>1806</v>
      </c>
      <c r="S88" s="1274">
        <v>483.09582670237864</v>
      </c>
      <c r="T88" s="971" t="s">
        <v>136</v>
      </c>
      <c r="U88" s="1275">
        <v>0.56041666666666667</v>
      </c>
      <c r="V88" s="1275">
        <v>2.3537499999999998</v>
      </c>
      <c r="W88" s="1275">
        <v>55.993123908730162</v>
      </c>
      <c r="X88" s="1275">
        <v>84.0625</v>
      </c>
      <c r="Y88" s="1275">
        <v>142.40937390873017</v>
      </c>
      <c r="Z88" s="1129">
        <v>270.73495288112468</v>
      </c>
      <c r="AA88" s="1129">
        <v>1137.0868021007236</v>
      </c>
      <c r="AB88" s="1129">
        <v>27050.044484336722</v>
      </c>
      <c r="AC88" s="1129">
        <v>40610.242932168701</v>
      </c>
      <c r="AD88" s="1267">
        <v>68797.374218606157</v>
      </c>
      <c r="AE88" s="1135">
        <v>1</v>
      </c>
      <c r="AF88" s="1129">
        <v>483.09582670237864</v>
      </c>
      <c r="AG88" s="1127">
        <v>1</v>
      </c>
      <c r="AH88" s="1127">
        <v>0</v>
      </c>
      <c r="AI88" s="1127">
        <v>0</v>
      </c>
      <c r="AJ88" s="1127">
        <v>1</v>
      </c>
      <c r="AK88" s="1129">
        <v>68797.374218606157</v>
      </c>
      <c r="AL88" s="1129">
        <v>0</v>
      </c>
      <c r="AM88" s="1129">
        <v>0</v>
      </c>
      <c r="AN88" s="1129">
        <v>68797.374218606157</v>
      </c>
      <c r="AO88" s="1129" t="s">
        <v>85</v>
      </c>
      <c r="AP88" s="1129" t="s">
        <v>6605</v>
      </c>
      <c r="AQ88" s="1157" t="s">
        <v>107</v>
      </c>
      <c r="AR88" s="1129" t="s">
        <v>87</v>
      </c>
      <c r="AS88" s="1127">
        <v>0.33333333333333331</v>
      </c>
      <c r="AT88" s="1127">
        <v>0.33333333333333331</v>
      </c>
      <c r="AU88" s="1127">
        <v>0.33333333333333331</v>
      </c>
      <c r="AV88" s="1127"/>
      <c r="AW88" s="1127"/>
      <c r="AX88" s="1127"/>
      <c r="AY88" s="1127"/>
      <c r="AZ88" s="1127"/>
      <c r="BA88" s="1129">
        <v>22932.458072868718</v>
      </c>
      <c r="BB88" s="1129">
        <v>22932.458072868718</v>
      </c>
      <c r="BC88" s="1129">
        <v>22932.458072868718</v>
      </c>
      <c r="BD88" s="1129">
        <v>0</v>
      </c>
      <c r="BE88" s="1129">
        <v>0</v>
      </c>
      <c r="BF88" s="1129">
        <v>0</v>
      </c>
      <c r="BG88" s="1129">
        <v>0</v>
      </c>
      <c r="BH88" s="1129">
        <v>0</v>
      </c>
      <c r="BI88" s="971"/>
      <c r="BJ88" s="971"/>
      <c r="BK88" s="971"/>
    </row>
    <row r="89" spans="1:63" s="1278" customFormat="1" ht="49.5">
      <c r="A89" s="1272">
        <v>4000</v>
      </c>
      <c r="B89" s="971" t="s">
        <v>1316</v>
      </c>
      <c r="C89" s="1272">
        <v>4500</v>
      </c>
      <c r="D89" s="971" t="s">
        <v>452</v>
      </c>
      <c r="E89" s="971" t="s">
        <v>1692</v>
      </c>
      <c r="F89" s="971" t="s">
        <v>605</v>
      </c>
      <c r="G89" s="971">
        <v>4523</v>
      </c>
      <c r="H89" s="971" t="s">
        <v>1793</v>
      </c>
      <c r="I89" s="1273" t="s">
        <v>139</v>
      </c>
      <c r="J89" s="971" t="s">
        <v>124</v>
      </c>
      <c r="K89" s="971" t="s">
        <v>523</v>
      </c>
      <c r="L89" s="971" t="s">
        <v>6607</v>
      </c>
      <c r="M89" s="971" t="s">
        <v>523</v>
      </c>
      <c r="N89" s="971" t="s">
        <v>141</v>
      </c>
      <c r="O89" s="971" t="s">
        <v>524</v>
      </c>
      <c r="P89" s="971"/>
      <c r="Q89" s="971" t="s">
        <v>1807</v>
      </c>
      <c r="R89" s="971" t="s">
        <v>1806</v>
      </c>
      <c r="S89" s="1274">
        <v>483.09582670237899</v>
      </c>
      <c r="T89" s="971" t="s">
        <v>136</v>
      </c>
      <c r="U89" s="1275">
        <v>0.14520631503408685</v>
      </c>
      <c r="V89" s="1275">
        <v>2.1780947255113023</v>
      </c>
      <c r="W89" s="1275">
        <v>14.50805387069216</v>
      </c>
      <c r="X89" s="1275">
        <v>21.780947255113027</v>
      </c>
      <c r="Y89" s="1275">
        <v>38.467095851316493</v>
      </c>
      <c r="Z89" s="1129">
        <v>70.148564803798223</v>
      </c>
      <c r="AA89" s="1129">
        <v>1052.228472056973</v>
      </c>
      <c r="AB89" s="1129">
        <v>7008.7802785046733</v>
      </c>
      <c r="AC89" s="1129">
        <v>10522.284720569733</v>
      </c>
      <c r="AD89" s="1267">
        <v>18583.293471131383</v>
      </c>
      <c r="AE89" s="1135">
        <v>0.75</v>
      </c>
      <c r="AF89" s="1129">
        <v>362.32187002678398</v>
      </c>
      <c r="AG89" s="1127">
        <v>1</v>
      </c>
      <c r="AH89" s="1127">
        <v>0</v>
      </c>
      <c r="AI89" s="1127">
        <v>0</v>
      </c>
      <c r="AJ89" s="1127">
        <v>1</v>
      </c>
      <c r="AK89" s="1129">
        <v>18583.293471131383</v>
      </c>
      <c r="AL89" s="1129">
        <v>0</v>
      </c>
      <c r="AM89" s="1129">
        <v>0</v>
      </c>
      <c r="AN89" s="1129">
        <v>18583.293471131383</v>
      </c>
      <c r="AO89" s="1129" t="s">
        <v>85</v>
      </c>
      <c r="AP89" s="1129" t="s">
        <v>6605</v>
      </c>
      <c r="AQ89" s="1157" t="s">
        <v>107</v>
      </c>
      <c r="AR89" s="1129" t="s">
        <v>87</v>
      </c>
      <c r="AS89" s="1127">
        <v>0.33333333333333331</v>
      </c>
      <c r="AT89" s="1127">
        <v>0.33333333333333331</v>
      </c>
      <c r="AU89" s="1127">
        <v>0.33333333333333331</v>
      </c>
      <c r="AV89" s="1127"/>
      <c r="AW89" s="1127"/>
      <c r="AX89" s="1127"/>
      <c r="AY89" s="1127"/>
      <c r="AZ89" s="1127"/>
      <c r="BA89" s="1129">
        <v>6194.431157043794</v>
      </c>
      <c r="BB89" s="1129">
        <v>6194.431157043794</v>
      </c>
      <c r="BC89" s="1129">
        <v>6194.431157043794</v>
      </c>
      <c r="BD89" s="1129">
        <v>0</v>
      </c>
      <c r="BE89" s="1129">
        <v>0</v>
      </c>
      <c r="BF89" s="1129">
        <v>0</v>
      </c>
      <c r="BG89" s="1129">
        <v>0</v>
      </c>
      <c r="BH89" s="1129">
        <v>0</v>
      </c>
      <c r="BI89" s="971"/>
      <c r="BJ89" s="971"/>
      <c r="BK89" s="971"/>
    </row>
    <row r="90" spans="1:63" s="1278" customFormat="1" ht="49.5">
      <c r="A90" s="1272">
        <v>4000</v>
      </c>
      <c r="B90" s="971" t="s">
        <v>1316</v>
      </c>
      <c r="C90" s="1272">
        <v>4500</v>
      </c>
      <c r="D90" s="971" t="s">
        <v>452</v>
      </c>
      <c r="E90" s="971" t="s">
        <v>1692</v>
      </c>
      <c r="F90" s="971" t="s">
        <v>605</v>
      </c>
      <c r="G90" s="971">
        <v>4523</v>
      </c>
      <c r="H90" s="971" t="s">
        <v>1793</v>
      </c>
      <c r="I90" s="1273" t="s">
        <v>139</v>
      </c>
      <c r="J90" s="971" t="s">
        <v>124</v>
      </c>
      <c r="K90" s="971" t="s">
        <v>140</v>
      </c>
      <c r="L90" s="971" t="s">
        <v>2909</v>
      </c>
      <c r="M90" s="971" t="s">
        <v>140</v>
      </c>
      <c r="N90" s="971" t="s">
        <v>141</v>
      </c>
      <c r="O90" s="971" t="s">
        <v>3280</v>
      </c>
      <c r="P90" s="971"/>
      <c r="Q90" s="971" t="s">
        <v>1808</v>
      </c>
      <c r="R90" s="971" t="s">
        <v>1806</v>
      </c>
      <c r="S90" s="1274">
        <v>483.09582670237864</v>
      </c>
      <c r="T90" s="971" t="s">
        <v>136</v>
      </c>
      <c r="U90" s="1275">
        <v>0</v>
      </c>
      <c r="V90" s="1275">
        <v>0</v>
      </c>
      <c r="W90" s="1275">
        <v>0</v>
      </c>
      <c r="X90" s="1275">
        <v>0</v>
      </c>
      <c r="Y90" s="1275">
        <v>0</v>
      </c>
      <c r="Z90" s="1129">
        <v>0</v>
      </c>
      <c r="AA90" s="1129">
        <v>0</v>
      </c>
      <c r="AB90" s="1129">
        <v>0</v>
      </c>
      <c r="AC90" s="1129">
        <v>0</v>
      </c>
      <c r="AD90" s="1267">
        <v>0</v>
      </c>
      <c r="AE90" s="1135">
        <v>0</v>
      </c>
      <c r="AF90" s="1129">
        <v>0</v>
      </c>
      <c r="AG90" s="1127">
        <v>1</v>
      </c>
      <c r="AH90" s="1127">
        <v>0</v>
      </c>
      <c r="AI90" s="1127">
        <v>0</v>
      </c>
      <c r="AJ90" s="1127">
        <v>1</v>
      </c>
      <c r="AK90" s="1129">
        <v>0</v>
      </c>
      <c r="AL90" s="1129">
        <v>0</v>
      </c>
      <c r="AM90" s="1129">
        <v>0</v>
      </c>
      <c r="AN90" s="1129">
        <v>0</v>
      </c>
      <c r="AO90" s="1129" t="s">
        <v>85</v>
      </c>
      <c r="AP90" s="1129" t="s">
        <v>6605</v>
      </c>
      <c r="AQ90" s="1157" t="s">
        <v>107</v>
      </c>
      <c r="AR90" s="1129" t="s">
        <v>87</v>
      </c>
      <c r="AS90" s="1127">
        <v>0.33333333333333331</v>
      </c>
      <c r="AT90" s="1127">
        <v>0.33333333333333331</v>
      </c>
      <c r="AU90" s="1127">
        <v>0.33333333333333331</v>
      </c>
      <c r="AV90" s="1127"/>
      <c r="AW90" s="1127"/>
      <c r="AX90" s="1127"/>
      <c r="AY90" s="1127"/>
      <c r="AZ90" s="1127"/>
      <c r="BA90" s="1129">
        <v>0</v>
      </c>
      <c r="BB90" s="1129">
        <v>0</v>
      </c>
      <c r="BC90" s="1129">
        <v>0</v>
      </c>
      <c r="BD90" s="1129">
        <v>0</v>
      </c>
      <c r="BE90" s="1129">
        <v>0</v>
      </c>
      <c r="BF90" s="1129">
        <v>0</v>
      </c>
      <c r="BG90" s="1129">
        <v>0</v>
      </c>
      <c r="BH90" s="1129">
        <v>0</v>
      </c>
      <c r="BI90" s="971"/>
      <c r="BJ90" s="971"/>
      <c r="BK90" s="971"/>
    </row>
    <row r="91" spans="1:63" s="1278" customFormat="1" ht="49.5">
      <c r="A91" s="1272">
        <v>4000</v>
      </c>
      <c r="B91" s="971" t="s">
        <v>1316</v>
      </c>
      <c r="C91" s="1272">
        <v>4500</v>
      </c>
      <c r="D91" s="971" t="s">
        <v>452</v>
      </c>
      <c r="E91" s="971" t="s">
        <v>1809</v>
      </c>
      <c r="F91" s="971" t="s">
        <v>701</v>
      </c>
      <c r="G91" s="971">
        <v>4530</v>
      </c>
      <c r="H91" s="971" t="s">
        <v>701</v>
      </c>
      <c r="I91" s="1273" t="s">
        <v>1853</v>
      </c>
      <c r="J91" s="971" t="s">
        <v>124</v>
      </c>
      <c r="K91" s="971" t="s">
        <v>2857</v>
      </c>
      <c r="L91" s="971" t="s">
        <v>2858</v>
      </c>
      <c r="M91" s="971" t="s">
        <v>703</v>
      </c>
      <c r="N91" s="971" t="s">
        <v>488</v>
      </c>
      <c r="O91" s="971" t="s">
        <v>459</v>
      </c>
      <c r="P91" s="971"/>
      <c r="Q91" s="971" t="s">
        <v>728</v>
      </c>
      <c r="R91" s="971" t="s">
        <v>1854</v>
      </c>
      <c r="S91" s="1274">
        <v>51.9328013705057</v>
      </c>
      <c r="T91" s="971" t="s">
        <v>136</v>
      </c>
      <c r="U91" s="1275">
        <v>0.56041666666666667</v>
      </c>
      <c r="V91" s="1275">
        <v>3.3624999999999998</v>
      </c>
      <c r="W91" s="1275">
        <v>55.993123908730162</v>
      </c>
      <c r="X91" s="1275">
        <v>84.0625</v>
      </c>
      <c r="Y91" s="1275">
        <v>143.41812390873017</v>
      </c>
      <c r="Z91" s="1129">
        <v>29.104007434720902</v>
      </c>
      <c r="AA91" s="1129">
        <v>174.62404460832542</v>
      </c>
      <c r="AB91" s="1129">
        <v>2907.8797820661971</v>
      </c>
      <c r="AC91" s="1129">
        <v>4365.6011152081355</v>
      </c>
      <c r="AD91" s="1267">
        <v>7448.1049418826587</v>
      </c>
      <c r="AE91" s="1135">
        <v>1</v>
      </c>
      <c r="AF91" s="1129">
        <v>51.9328013705057</v>
      </c>
      <c r="AG91" s="1127">
        <v>1</v>
      </c>
      <c r="AH91" s="1127">
        <v>0</v>
      </c>
      <c r="AI91" s="1127">
        <v>0</v>
      </c>
      <c r="AJ91" s="1127">
        <v>1</v>
      </c>
      <c r="AK91" s="1129">
        <v>7448.1049418826587</v>
      </c>
      <c r="AL91" s="1129">
        <v>0</v>
      </c>
      <c r="AM91" s="1129">
        <v>0</v>
      </c>
      <c r="AN91" s="1129">
        <v>7448.1049418826587</v>
      </c>
      <c r="AO91" s="1129" t="s">
        <v>85</v>
      </c>
      <c r="AP91" s="1129" t="s">
        <v>6605</v>
      </c>
      <c r="AQ91" s="1157" t="s">
        <v>107</v>
      </c>
      <c r="AR91" s="1129" t="s">
        <v>87</v>
      </c>
      <c r="AS91" s="1127">
        <v>0.33333333333333331</v>
      </c>
      <c r="AT91" s="1127">
        <v>0.33333333333333331</v>
      </c>
      <c r="AU91" s="1127">
        <v>0.33333333333333331</v>
      </c>
      <c r="AV91" s="1127"/>
      <c r="AW91" s="1127"/>
      <c r="AX91" s="1127"/>
      <c r="AY91" s="1127"/>
      <c r="AZ91" s="1127"/>
      <c r="BA91" s="1129">
        <v>2482.7016472942196</v>
      </c>
      <c r="BB91" s="1129">
        <v>2482.7016472942196</v>
      </c>
      <c r="BC91" s="1129">
        <v>2482.7016472942196</v>
      </c>
      <c r="BD91" s="1129">
        <v>0</v>
      </c>
      <c r="BE91" s="1129">
        <v>0</v>
      </c>
      <c r="BF91" s="1129">
        <v>0</v>
      </c>
      <c r="BG91" s="1129">
        <v>0</v>
      </c>
      <c r="BH91" s="1129">
        <v>0</v>
      </c>
      <c r="BI91" s="971"/>
      <c r="BJ91" s="971"/>
      <c r="BK91" s="971"/>
    </row>
    <row r="92" spans="1:63" s="1278" customFormat="1" ht="49.5">
      <c r="A92" s="1272">
        <v>4000</v>
      </c>
      <c r="B92" s="971" t="s">
        <v>1316</v>
      </c>
      <c r="C92" s="1272">
        <v>4500</v>
      </c>
      <c r="D92" s="971" t="s">
        <v>452</v>
      </c>
      <c r="E92" s="971" t="s">
        <v>1809</v>
      </c>
      <c r="F92" s="971" t="s">
        <v>701</v>
      </c>
      <c r="G92" s="971">
        <v>4530</v>
      </c>
      <c r="H92" s="971" t="s">
        <v>701</v>
      </c>
      <c r="I92" s="1273" t="s">
        <v>1853</v>
      </c>
      <c r="J92" s="971" t="s">
        <v>124</v>
      </c>
      <c r="K92" s="971" t="s">
        <v>140</v>
      </c>
      <c r="L92" s="971" t="s">
        <v>2909</v>
      </c>
      <c r="M92" s="971" t="s">
        <v>140</v>
      </c>
      <c r="N92" s="971" t="s">
        <v>141</v>
      </c>
      <c r="O92" s="971" t="s">
        <v>3280</v>
      </c>
      <c r="P92" s="971"/>
      <c r="Q92" s="971" t="s">
        <v>766</v>
      </c>
      <c r="R92" s="971" t="s">
        <v>1854</v>
      </c>
      <c r="S92" s="1274">
        <v>51.9328013705057</v>
      </c>
      <c r="T92" s="971" t="s">
        <v>136</v>
      </c>
      <c r="U92" s="1275">
        <v>0</v>
      </c>
      <c r="V92" s="1275">
        <v>0</v>
      </c>
      <c r="W92" s="1275">
        <v>0</v>
      </c>
      <c r="X92" s="1275">
        <v>0</v>
      </c>
      <c r="Y92" s="1275">
        <v>0</v>
      </c>
      <c r="Z92" s="1129">
        <v>0</v>
      </c>
      <c r="AA92" s="1129">
        <v>0</v>
      </c>
      <c r="AB92" s="1129">
        <v>0</v>
      </c>
      <c r="AC92" s="1129">
        <v>0</v>
      </c>
      <c r="AD92" s="1267">
        <v>0</v>
      </c>
      <c r="AE92" s="1135">
        <v>0</v>
      </c>
      <c r="AF92" s="1129">
        <v>0</v>
      </c>
      <c r="AG92" s="1127">
        <v>1</v>
      </c>
      <c r="AH92" s="1127">
        <v>0</v>
      </c>
      <c r="AI92" s="1127">
        <v>0</v>
      </c>
      <c r="AJ92" s="1127">
        <v>1</v>
      </c>
      <c r="AK92" s="1129">
        <v>0</v>
      </c>
      <c r="AL92" s="1129">
        <v>0</v>
      </c>
      <c r="AM92" s="1129">
        <v>0</v>
      </c>
      <c r="AN92" s="1129">
        <v>0</v>
      </c>
      <c r="AO92" s="1129" t="s">
        <v>85</v>
      </c>
      <c r="AP92" s="1129" t="s">
        <v>6605</v>
      </c>
      <c r="AQ92" s="1157" t="s">
        <v>107</v>
      </c>
      <c r="AR92" s="1129" t="s">
        <v>87</v>
      </c>
      <c r="AS92" s="1127">
        <v>0.33333333333333331</v>
      </c>
      <c r="AT92" s="1127">
        <v>0.33333333333333331</v>
      </c>
      <c r="AU92" s="1127">
        <v>0.33333333333333331</v>
      </c>
      <c r="AV92" s="1127"/>
      <c r="AW92" s="1127"/>
      <c r="AX92" s="1127"/>
      <c r="AY92" s="1127"/>
      <c r="AZ92" s="1127"/>
      <c r="BA92" s="1129">
        <v>0</v>
      </c>
      <c r="BB92" s="1129">
        <v>0</v>
      </c>
      <c r="BC92" s="1129">
        <v>0</v>
      </c>
      <c r="BD92" s="1129">
        <v>0</v>
      </c>
      <c r="BE92" s="1129">
        <v>0</v>
      </c>
      <c r="BF92" s="1129">
        <v>0</v>
      </c>
      <c r="BG92" s="1129">
        <v>0</v>
      </c>
      <c r="BH92" s="1129">
        <v>0</v>
      </c>
      <c r="BI92" s="971"/>
      <c r="BJ92" s="971"/>
      <c r="BK92" s="971"/>
    </row>
    <row r="93" spans="1:63" s="1278" customFormat="1" ht="49.5">
      <c r="A93" s="1272">
        <v>4000</v>
      </c>
      <c r="B93" s="971" t="s">
        <v>1316</v>
      </c>
      <c r="C93" s="1272">
        <v>4500</v>
      </c>
      <c r="D93" s="971" t="s">
        <v>452</v>
      </c>
      <c r="E93" s="971" t="s">
        <v>1809</v>
      </c>
      <c r="F93" s="971" t="s">
        <v>701</v>
      </c>
      <c r="G93" s="971">
        <v>4530</v>
      </c>
      <c r="H93" s="971" t="s">
        <v>701</v>
      </c>
      <c r="I93" s="1273" t="s">
        <v>1853</v>
      </c>
      <c r="J93" s="971" t="s">
        <v>124</v>
      </c>
      <c r="K93" s="971"/>
      <c r="L93" s="971" t="e">
        <v>#N/A</v>
      </c>
      <c r="M93" s="971" t="s">
        <v>145</v>
      </c>
      <c r="N93" s="971" t="s">
        <v>141</v>
      </c>
      <c r="O93" s="971" t="s">
        <v>146</v>
      </c>
      <c r="P93" s="971"/>
      <c r="Q93" s="971" t="s">
        <v>768</v>
      </c>
      <c r="R93" s="971" t="s">
        <v>1854</v>
      </c>
      <c r="S93" s="1274">
        <v>51.9328013705057</v>
      </c>
      <c r="T93" s="971" t="s">
        <v>136</v>
      </c>
      <c r="U93" s="1275" t="s">
        <v>6588</v>
      </c>
      <c r="V93" s="1275" t="s">
        <v>6588</v>
      </c>
      <c r="W93" s="1275" t="s">
        <v>6588</v>
      </c>
      <c r="X93" s="1275" t="s">
        <v>6588</v>
      </c>
      <c r="Y93" s="1275" t="s">
        <v>6588</v>
      </c>
      <c r="Z93" s="1129">
        <v>0</v>
      </c>
      <c r="AA93" s="1129">
        <v>0</v>
      </c>
      <c r="AB93" s="1129">
        <v>0</v>
      </c>
      <c r="AC93" s="1129">
        <v>0</v>
      </c>
      <c r="AD93" s="1267">
        <v>0</v>
      </c>
      <c r="AE93" s="1135">
        <v>0</v>
      </c>
      <c r="AF93" s="1129">
        <v>0</v>
      </c>
      <c r="AG93" s="1127">
        <v>1</v>
      </c>
      <c r="AH93" s="1127">
        <v>0</v>
      </c>
      <c r="AI93" s="1127">
        <v>0</v>
      </c>
      <c r="AJ93" s="1127">
        <v>1</v>
      </c>
      <c r="AK93" s="1129">
        <v>0</v>
      </c>
      <c r="AL93" s="1129">
        <v>0</v>
      </c>
      <c r="AM93" s="1129">
        <v>0</v>
      </c>
      <c r="AN93" s="1129">
        <v>0</v>
      </c>
      <c r="AO93" s="1129" t="s">
        <v>85</v>
      </c>
      <c r="AP93" s="1129" t="s">
        <v>6605</v>
      </c>
      <c r="AQ93" s="1157" t="s">
        <v>107</v>
      </c>
      <c r="AR93" s="1129" t="s">
        <v>87</v>
      </c>
      <c r="AS93" s="1127">
        <v>0.33333333333333331</v>
      </c>
      <c r="AT93" s="1127">
        <v>0.33333333333333331</v>
      </c>
      <c r="AU93" s="1127">
        <v>0.33333333333333331</v>
      </c>
      <c r="AV93" s="1127"/>
      <c r="AW93" s="1127"/>
      <c r="AX93" s="1127"/>
      <c r="AY93" s="1127"/>
      <c r="AZ93" s="1127"/>
      <c r="BA93" s="1129">
        <v>0</v>
      </c>
      <c r="BB93" s="1129">
        <v>0</v>
      </c>
      <c r="BC93" s="1129">
        <v>0</v>
      </c>
      <c r="BD93" s="1129">
        <v>0</v>
      </c>
      <c r="BE93" s="1129">
        <v>0</v>
      </c>
      <c r="BF93" s="1129">
        <v>0</v>
      </c>
      <c r="BG93" s="1129">
        <v>0</v>
      </c>
      <c r="BH93" s="1129">
        <v>0</v>
      </c>
      <c r="BI93" s="971"/>
      <c r="BJ93" s="971"/>
      <c r="BK93" s="971"/>
    </row>
    <row r="94" spans="1:63" s="1278" customFormat="1" ht="49.5">
      <c r="A94" s="1272">
        <v>4000</v>
      </c>
      <c r="B94" s="971" t="s">
        <v>1316</v>
      </c>
      <c r="C94" s="1272">
        <v>4500</v>
      </c>
      <c r="D94" s="971" t="s">
        <v>452</v>
      </c>
      <c r="E94" s="971" t="s">
        <v>1809</v>
      </c>
      <c r="F94" s="971" t="s">
        <v>701</v>
      </c>
      <c r="G94" s="971">
        <v>4530</v>
      </c>
      <c r="H94" s="971" t="s">
        <v>701</v>
      </c>
      <c r="I94" s="1273" t="s">
        <v>1855</v>
      </c>
      <c r="J94" s="971" t="s">
        <v>124</v>
      </c>
      <c r="K94" s="971" t="s">
        <v>2857</v>
      </c>
      <c r="L94" s="971" t="s">
        <v>2858</v>
      </c>
      <c r="M94" s="971" t="s">
        <v>703</v>
      </c>
      <c r="N94" s="971" t="s">
        <v>488</v>
      </c>
      <c r="O94" s="971" t="s">
        <v>459</v>
      </c>
      <c r="P94" s="971"/>
      <c r="Q94" s="971" t="s">
        <v>731</v>
      </c>
      <c r="R94" s="971" t="s">
        <v>1856</v>
      </c>
      <c r="S94" s="1274">
        <v>51.9328013705057</v>
      </c>
      <c r="T94" s="971" t="s">
        <v>136</v>
      </c>
      <c r="U94" s="1275">
        <v>0.56041666666666667</v>
      </c>
      <c r="V94" s="1275">
        <v>3.3624999999999998</v>
      </c>
      <c r="W94" s="1275">
        <v>55.993123908730162</v>
      </c>
      <c r="X94" s="1275">
        <v>84.0625</v>
      </c>
      <c r="Y94" s="1275">
        <v>143.41812390873017</v>
      </c>
      <c r="Z94" s="1129">
        <v>29.104007434720902</v>
      </c>
      <c r="AA94" s="1129">
        <v>174.62404460832542</v>
      </c>
      <c r="AB94" s="1129">
        <v>2907.8797820661971</v>
      </c>
      <c r="AC94" s="1129">
        <v>4365.6011152081355</v>
      </c>
      <c r="AD94" s="1267">
        <v>7448.1049418826587</v>
      </c>
      <c r="AE94" s="1135">
        <v>1</v>
      </c>
      <c r="AF94" s="1129">
        <v>51.9328013705057</v>
      </c>
      <c r="AG94" s="1127">
        <v>1</v>
      </c>
      <c r="AH94" s="1127">
        <v>0</v>
      </c>
      <c r="AI94" s="1127">
        <v>0</v>
      </c>
      <c r="AJ94" s="1127">
        <v>1</v>
      </c>
      <c r="AK94" s="1129">
        <v>7448.1049418826587</v>
      </c>
      <c r="AL94" s="1129">
        <v>0</v>
      </c>
      <c r="AM94" s="1129">
        <v>0</v>
      </c>
      <c r="AN94" s="1129">
        <v>7448.1049418826587</v>
      </c>
      <c r="AO94" s="1129" t="s">
        <v>85</v>
      </c>
      <c r="AP94" s="1129" t="s">
        <v>6605</v>
      </c>
      <c r="AQ94" s="1157" t="s">
        <v>107</v>
      </c>
      <c r="AR94" s="1129" t="s">
        <v>87</v>
      </c>
      <c r="AS94" s="1127">
        <v>0.33333333333333331</v>
      </c>
      <c r="AT94" s="1127">
        <v>0.33333333333333331</v>
      </c>
      <c r="AU94" s="1127">
        <v>0.33333333333333331</v>
      </c>
      <c r="AV94" s="1127"/>
      <c r="AW94" s="1127"/>
      <c r="AX94" s="1127"/>
      <c r="AY94" s="1127"/>
      <c r="AZ94" s="1127"/>
      <c r="BA94" s="1129">
        <v>2482.7016472942196</v>
      </c>
      <c r="BB94" s="1129">
        <v>2482.7016472942196</v>
      </c>
      <c r="BC94" s="1129">
        <v>2482.7016472942196</v>
      </c>
      <c r="BD94" s="1129">
        <v>0</v>
      </c>
      <c r="BE94" s="1129">
        <v>0</v>
      </c>
      <c r="BF94" s="1129">
        <v>0</v>
      </c>
      <c r="BG94" s="1129">
        <v>0</v>
      </c>
      <c r="BH94" s="1129">
        <v>0</v>
      </c>
      <c r="BI94" s="971"/>
      <c r="BJ94" s="971"/>
      <c r="BK94" s="971"/>
    </row>
    <row r="95" spans="1:63" s="1278" customFormat="1" ht="49.5">
      <c r="A95" s="1272">
        <v>4000</v>
      </c>
      <c r="B95" s="971" t="s">
        <v>1316</v>
      </c>
      <c r="C95" s="1272">
        <v>4500</v>
      </c>
      <c r="D95" s="971" t="s">
        <v>452</v>
      </c>
      <c r="E95" s="971" t="s">
        <v>1809</v>
      </c>
      <c r="F95" s="971" t="s">
        <v>701</v>
      </c>
      <c r="G95" s="971">
        <v>4530</v>
      </c>
      <c r="H95" s="971" t="s">
        <v>701</v>
      </c>
      <c r="I95" s="1273" t="s">
        <v>1855</v>
      </c>
      <c r="J95" s="971" t="s">
        <v>124</v>
      </c>
      <c r="K95" s="971" t="s">
        <v>140</v>
      </c>
      <c r="L95" s="971" t="s">
        <v>2909</v>
      </c>
      <c r="M95" s="971" t="s">
        <v>140</v>
      </c>
      <c r="N95" s="971" t="s">
        <v>141</v>
      </c>
      <c r="O95" s="971" t="s">
        <v>3280</v>
      </c>
      <c r="P95" s="971"/>
      <c r="Q95" s="971" t="s">
        <v>770</v>
      </c>
      <c r="R95" s="971" t="s">
        <v>1856</v>
      </c>
      <c r="S95" s="1274">
        <v>51.9328013705057</v>
      </c>
      <c r="T95" s="971" t="s">
        <v>136</v>
      </c>
      <c r="U95" s="1275">
        <v>0</v>
      </c>
      <c r="V95" s="1275">
        <v>0</v>
      </c>
      <c r="W95" s="1275">
        <v>0</v>
      </c>
      <c r="X95" s="1275">
        <v>0</v>
      </c>
      <c r="Y95" s="1275">
        <v>0</v>
      </c>
      <c r="Z95" s="1129">
        <v>0</v>
      </c>
      <c r="AA95" s="1129">
        <v>0</v>
      </c>
      <c r="AB95" s="1129">
        <v>0</v>
      </c>
      <c r="AC95" s="1129">
        <v>0</v>
      </c>
      <c r="AD95" s="1267">
        <v>0</v>
      </c>
      <c r="AE95" s="1135">
        <v>0</v>
      </c>
      <c r="AF95" s="1129">
        <v>0</v>
      </c>
      <c r="AG95" s="1127">
        <v>1</v>
      </c>
      <c r="AH95" s="1127">
        <v>0</v>
      </c>
      <c r="AI95" s="1127">
        <v>0</v>
      </c>
      <c r="AJ95" s="1127">
        <v>1</v>
      </c>
      <c r="AK95" s="1129">
        <v>0</v>
      </c>
      <c r="AL95" s="1129">
        <v>0</v>
      </c>
      <c r="AM95" s="1129">
        <v>0</v>
      </c>
      <c r="AN95" s="1129">
        <v>0</v>
      </c>
      <c r="AO95" s="1129" t="s">
        <v>85</v>
      </c>
      <c r="AP95" s="1129" t="s">
        <v>6605</v>
      </c>
      <c r="AQ95" s="1157" t="s">
        <v>107</v>
      </c>
      <c r="AR95" s="1129" t="s">
        <v>87</v>
      </c>
      <c r="AS95" s="1127">
        <v>0.33333333333333331</v>
      </c>
      <c r="AT95" s="1127">
        <v>0.33333333333333331</v>
      </c>
      <c r="AU95" s="1127">
        <v>0.33333333333333331</v>
      </c>
      <c r="AV95" s="1127"/>
      <c r="AW95" s="1127"/>
      <c r="AX95" s="1127"/>
      <c r="AY95" s="1127"/>
      <c r="AZ95" s="1127"/>
      <c r="BA95" s="1129">
        <v>0</v>
      </c>
      <c r="BB95" s="1129">
        <v>0</v>
      </c>
      <c r="BC95" s="1129">
        <v>0</v>
      </c>
      <c r="BD95" s="1129">
        <v>0</v>
      </c>
      <c r="BE95" s="1129">
        <v>0</v>
      </c>
      <c r="BF95" s="1129">
        <v>0</v>
      </c>
      <c r="BG95" s="1129">
        <v>0</v>
      </c>
      <c r="BH95" s="1129">
        <v>0</v>
      </c>
      <c r="BI95" s="971"/>
      <c r="BJ95" s="971"/>
      <c r="BK95" s="971"/>
    </row>
    <row r="96" spans="1:63" s="1278" customFormat="1" ht="49.5">
      <c r="A96" s="1272">
        <v>4000</v>
      </c>
      <c r="B96" s="971" t="s">
        <v>1316</v>
      </c>
      <c r="C96" s="1272">
        <v>4500</v>
      </c>
      <c r="D96" s="971" t="s">
        <v>452</v>
      </c>
      <c r="E96" s="971" t="s">
        <v>1809</v>
      </c>
      <c r="F96" s="971" t="s">
        <v>701</v>
      </c>
      <c r="G96" s="971">
        <v>4530</v>
      </c>
      <c r="H96" s="971" t="s">
        <v>701</v>
      </c>
      <c r="I96" s="1273" t="s">
        <v>1855</v>
      </c>
      <c r="J96" s="971" t="s">
        <v>124</v>
      </c>
      <c r="K96" s="971"/>
      <c r="L96" s="971" t="e">
        <v>#N/A</v>
      </c>
      <c r="M96" s="971" t="s">
        <v>145</v>
      </c>
      <c r="N96" s="971" t="s">
        <v>141</v>
      </c>
      <c r="O96" s="971" t="s">
        <v>146</v>
      </c>
      <c r="P96" s="971"/>
      <c r="Q96" s="971" t="s">
        <v>772</v>
      </c>
      <c r="R96" s="971" t="s">
        <v>1856</v>
      </c>
      <c r="S96" s="1274">
        <v>51.9328013705057</v>
      </c>
      <c r="T96" s="971" t="s">
        <v>136</v>
      </c>
      <c r="U96" s="1275" t="s">
        <v>6588</v>
      </c>
      <c r="V96" s="1275" t="s">
        <v>6588</v>
      </c>
      <c r="W96" s="1275" t="s">
        <v>6588</v>
      </c>
      <c r="X96" s="1275" t="s">
        <v>6588</v>
      </c>
      <c r="Y96" s="1275" t="s">
        <v>6588</v>
      </c>
      <c r="Z96" s="1129">
        <v>0</v>
      </c>
      <c r="AA96" s="1129">
        <v>0</v>
      </c>
      <c r="AB96" s="1129">
        <v>0</v>
      </c>
      <c r="AC96" s="1129">
        <v>0</v>
      </c>
      <c r="AD96" s="1267">
        <v>0</v>
      </c>
      <c r="AE96" s="1135">
        <v>0</v>
      </c>
      <c r="AF96" s="1129">
        <v>0</v>
      </c>
      <c r="AG96" s="1127">
        <v>1</v>
      </c>
      <c r="AH96" s="1127">
        <v>0</v>
      </c>
      <c r="AI96" s="1127">
        <v>0</v>
      </c>
      <c r="AJ96" s="1127">
        <v>1</v>
      </c>
      <c r="AK96" s="1129">
        <v>0</v>
      </c>
      <c r="AL96" s="1129">
        <v>0</v>
      </c>
      <c r="AM96" s="1129">
        <v>0</v>
      </c>
      <c r="AN96" s="1129">
        <v>0</v>
      </c>
      <c r="AO96" s="1129" t="s">
        <v>85</v>
      </c>
      <c r="AP96" s="1129" t="s">
        <v>6605</v>
      </c>
      <c r="AQ96" s="1157" t="s">
        <v>107</v>
      </c>
      <c r="AR96" s="1129" t="s">
        <v>87</v>
      </c>
      <c r="AS96" s="1127">
        <v>0.33333333333333331</v>
      </c>
      <c r="AT96" s="1127">
        <v>0.33333333333333331</v>
      </c>
      <c r="AU96" s="1127">
        <v>0.33333333333333331</v>
      </c>
      <c r="AV96" s="1127"/>
      <c r="AW96" s="1127"/>
      <c r="AX96" s="1127"/>
      <c r="AY96" s="1127"/>
      <c r="AZ96" s="1127"/>
      <c r="BA96" s="1129">
        <v>0</v>
      </c>
      <c r="BB96" s="1129">
        <v>0</v>
      </c>
      <c r="BC96" s="1129">
        <v>0</v>
      </c>
      <c r="BD96" s="1129">
        <v>0</v>
      </c>
      <c r="BE96" s="1129">
        <v>0</v>
      </c>
      <c r="BF96" s="1129">
        <v>0</v>
      </c>
      <c r="BG96" s="1129">
        <v>0</v>
      </c>
      <c r="BH96" s="1129">
        <v>0</v>
      </c>
      <c r="BI96" s="971"/>
      <c r="BJ96" s="971"/>
      <c r="BK96" s="971"/>
    </row>
    <row r="97" spans="1:63" s="1278" customFormat="1" ht="49.5">
      <c r="A97" s="1272">
        <v>4000</v>
      </c>
      <c r="B97" s="971" t="s">
        <v>1316</v>
      </c>
      <c r="C97" s="1272">
        <v>4500</v>
      </c>
      <c r="D97" s="971" t="s">
        <v>452</v>
      </c>
      <c r="E97" s="971" t="s">
        <v>1809</v>
      </c>
      <c r="F97" s="971" t="s">
        <v>701</v>
      </c>
      <c r="G97" s="971">
        <v>4530</v>
      </c>
      <c r="H97" s="971" t="s">
        <v>701</v>
      </c>
      <c r="I97" s="1273" t="s">
        <v>1857</v>
      </c>
      <c r="J97" s="971" t="s">
        <v>124</v>
      </c>
      <c r="K97" s="971" t="s">
        <v>2857</v>
      </c>
      <c r="L97" s="971" t="s">
        <v>2858</v>
      </c>
      <c r="M97" s="971" t="s">
        <v>703</v>
      </c>
      <c r="N97" s="971" t="s">
        <v>488</v>
      </c>
      <c r="O97" s="971" t="s">
        <v>459</v>
      </c>
      <c r="P97" s="971"/>
      <c r="Q97" s="971" t="s">
        <v>1858</v>
      </c>
      <c r="R97" s="971" t="s">
        <v>1859</v>
      </c>
      <c r="S97" s="1274">
        <v>51.9328013705057</v>
      </c>
      <c r="T97" s="971" t="s">
        <v>136</v>
      </c>
      <c r="U97" s="1275">
        <v>0.56041666666666667</v>
      </c>
      <c r="V97" s="1275">
        <v>3.3624999999999998</v>
      </c>
      <c r="W97" s="1275">
        <v>55.993123908730162</v>
      </c>
      <c r="X97" s="1275">
        <v>84.0625</v>
      </c>
      <c r="Y97" s="1275">
        <v>143.41812390873017</v>
      </c>
      <c r="Z97" s="1129">
        <v>29.104007434720902</v>
      </c>
      <c r="AA97" s="1129">
        <v>174.62404460832542</v>
      </c>
      <c r="AB97" s="1129">
        <v>2907.8797820661971</v>
      </c>
      <c r="AC97" s="1129">
        <v>4365.6011152081355</v>
      </c>
      <c r="AD97" s="1267">
        <v>7448.1049418826587</v>
      </c>
      <c r="AE97" s="1135">
        <v>1</v>
      </c>
      <c r="AF97" s="1129">
        <v>51.9328013705057</v>
      </c>
      <c r="AG97" s="1127">
        <v>1</v>
      </c>
      <c r="AH97" s="1127">
        <v>0</v>
      </c>
      <c r="AI97" s="1127">
        <v>0</v>
      </c>
      <c r="AJ97" s="1127">
        <v>1</v>
      </c>
      <c r="AK97" s="1129">
        <v>7448.1049418826587</v>
      </c>
      <c r="AL97" s="1129">
        <v>0</v>
      </c>
      <c r="AM97" s="1129">
        <v>0</v>
      </c>
      <c r="AN97" s="1129">
        <v>7448.1049418826587</v>
      </c>
      <c r="AO97" s="1129" t="s">
        <v>85</v>
      </c>
      <c r="AP97" s="1129" t="s">
        <v>6605</v>
      </c>
      <c r="AQ97" s="1157" t="s">
        <v>107</v>
      </c>
      <c r="AR97" s="1129" t="s">
        <v>87</v>
      </c>
      <c r="AS97" s="1127">
        <v>0.33333333333333331</v>
      </c>
      <c r="AT97" s="1127">
        <v>0.33333333333333331</v>
      </c>
      <c r="AU97" s="1127">
        <v>0.33333333333333331</v>
      </c>
      <c r="AV97" s="1127"/>
      <c r="AW97" s="1127"/>
      <c r="AX97" s="1127"/>
      <c r="AY97" s="1127"/>
      <c r="AZ97" s="1127"/>
      <c r="BA97" s="1129">
        <v>2482.7016472942196</v>
      </c>
      <c r="BB97" s="1129">
        <v>2482.7016472942196</v>
      </c>
      <c r="BC97" s="1129">
        <v>2482.7016472942196</v>
      </c>
      <c r="BD97" s="1129">
        <v>0</v>
      </c>
      <c r="BE97" s="1129">
        <v>0</v>
      </c>
      <c r="BF97" s="1129">
        <v>0</v>
      </c>
      <c r="BG97" s="1129">
        <v>0</v>
      </c>
      <c r="BH97" s="1129">
        <v>0</v>
      </c>
      <c r="BI97" s="971"/>
      <c r="BJ97" s="971"/>
      <c r="BK97" s="971"/>
    </row>
    <row r="98" spans="1:63" s="1278" customFormat="1" ht="49.5">
      <c r="A98" s="1272">
        <v>4000</v>
      </c>
      <c r="B98" s="971" t="s">
        <v>1316</v>
      </c>
      <c r="C98" s="1272">
        <v>4500</v>
      </c>
      <c r="D98" s="971" t="s">
        <v>452</v>
      </c>
      <c r="E98" s="971" t="s">
        <v>1809</v>
      </c>
      <c r="F98" s="971" t="s">
        <v>701</v>
      </c>
      <c r="G98" s="971">
        <v>4530</v>
      </c>
      <c r="H98" s="971" t="s">
        <v>701</v>
      </c>
      <c r="I98" s="1273" t="s">
        <v>1857</v>
      </c>
      <c r="J98" s="971" t="s">
        <v>124</v>
      </c>
      <c r="K98" s="971" t="s">
        <v>140</v>
      </c>
      <c r="L98" s="971" t="s">
        <v>2909</v>
      </c>
      <c r="M98" s="971" t="s">
        <v>140</v>
      </c>
      <c r="N98" s="971" t="s">
        <v>141</v>
      </c>
      <c r="O98" s="971" t="s">
        <v>3280</v>
      </c>
      <c r="P98" s="971"/>
      <c r="Q98" s="971" t="s">
        <v>1860</v>
      </c>
      <c r="R98" s="971" t="s">
        <v>1859</v>
      </c>
      <c r="S98" s="1274">
        <v>51.9328013705057</v>
      </c>
      <c r="T98" s="971" t="s">
        <v>136</v>
      </c>
      <c r="U98" s="1275">
        <v>0</v>
      </c>
      <c r="V98" s="1275">
        <v>0</v>
      </c>
      <c r="W98" s="1275">
        <v>0</v>
      </c>
      <c r="X98" s="1275">
        <v>0</v>
      </c>
      <c r="Y98" s="1275">
        <v>0</v>
      </c>
      <c r="Z98" s="1129">
        <v>0</v>
      </c>
      <c r="AA98" s="1129">
        <v>0</v>
      </c>
      <c r="AB98" s="1129">
        <v>0</v>
      </c>
      <c r="AC98" s="1129">
        <v>0</v>
      </c>
      <c r="AD98" s="1267">
        <v>0</v>
      </c>
      <c r="AE98" s="1135">
        <v>0</v>
      </c>
      <c r="AF98" s="1129">
        <v>0</v>
      </c>
      <c r="AG98" s="1127">
        <v>1</v>
      </c>
      <c r="AH98" s="1127">
        <v>0</v>
      </c>
      <c r="AI98" s="1127">
        <v>0</v>
      </c>
      <c r="AJ98" s="1127">
        <v>1</v>
      </c>
      <c r="AK98" s="1129">
        <v>0</v>
      </c>
      <c r="AL98" s="1129">
        <v>0</v>
      </c>
      <c r="AM98" s="1129">
        <v>0</v>
      </c>
      <c r="AN98" s="1129">
        <v>0</v>
      </c>
      <c r="AO98" s="1129" t="s">
        <v>85</v>
      </c>
      <c r="AP98" s="1129" t="s">
        <v>6605</v>
      </c>
      <c r="AQ98" s="1157" t="s">
        <v>107</v>
      </c>
      <c r="AR98" s="1129" t="s">
        <v>87</v>
      </c>
      <c r="AS98" s="1127">
        <v>0.33333333333333331</v>
      </c>
      <c r="AT98" s="1127">
        <v>0.33333333333333331</v>
      </c>
      <c r="AU98" s="1127">
        <v>0.33333333333333331</v>
      </c>
      <c r="AV98" s="1127"/>
      <c r="AW98" s="1127"/>
      <c r="AX98" s="1127"/>
      <c r="AY98" s="1127"/>
      <c r="AZ98" s="1127"/>
      <c r="BA98" s="1129">
        <v>0</v>
      </c>
      <c r="BB98" s="1129">
        <v>0</v>
      </c>
      <c r="BC98" s="1129">
        <v>0</v>
      </c>
      <c r="BD98" s="1129">
        <v>0</v>
      </c>
      <c r="BE98" s="1129">
        <v>0</v>
      </c>
      <c r="BF98" s="1129">
        <v>0</v>
      </c>
      <c r="BG98" s="1129">
        <v>0</v>
      </c>
      <c r="BH98" s="1129">
        <v>0</v>
      </c>
      <c r="BI98" s="971"/>
      <c r="BJ98" s="971"/>
      <c r="BK98" s="971"/>
    </row>
    <row r="99" spans="1:63" s="1278" customFormat="1" ht="49.5">
      <c r="A99" s="1272">
        <v>4000</v>
      </c>
      <c r="B99" s="971" t="s">
        <v>1316</v>
      </c>
      <c r="C99" s="1272">
        <v>4500</v>
      </c>
      <c r="D99" s="971" t="s">
        <v>452</v>
      </c>
      <c r="E99" s="971" t="s">
        <v>1809</v>
      </c>
      <c r="F99" s="971" t="s">
        <v>701</v>
      </c>
      <c r="G99" s="971">
        <v>4530</v>
      </c>
      <c r="H99" s="971" t="s">
        <v>701</v>
      </c>
      <c r="I99" s="1273" t="s">
        <v>1857</v>
      </c>
      <c r="J99" s="971" t="s">
        <v>124</v>
      </c>
      <c r="K99" s="971"/>
      <c r="L99" s="971" t="e">
        <v>#N/A</v>
      </c>
      <c r="M99" s="971" t="s">
        <v>145</v>
      </c>
      <c r="N99" s="971" t="s">
        <v>141</v>
      </c>
      <c r="O99" s="971" t="s">
        <v>146</v>
      </c>
      <c r="P99" s="971"/>
      <c r="Q99" s="971" t="s">
        <v>1861</v>
      </c>
      <c r="R99" s="971" t="s">
        <v>1859</v>
      </c>
      <c r="S99" s="1274">
        <v>51.9328013705057</v>
      </c>
      <c r="T99" s="971" t="s">
        <v>136</v>
      </c>
      <c r="U99" s="1275" t="s">
        <v>6588</v>
      </c>
      <c r="V99" s="1275" t="s">
        <v>6588</v>
      </c>
      <c r="W99" s="1275" t="s">
        <v>6588</v>
      </c>
      <c r="X99" s="1275" t="s">
        <v>6588</v>
      </c>
      <c r="Y99" s="1275" t="s">
        <v>6588</v>
      </c>
      <c r="Z99" s="1129">
        <v>0</v>
      </c>
      <c r="AA99" s="1129">
        <v>0</v>
      </c>
      <c r="AB99" s="1129">
        <v>0</v>
      </c>
      <c r="AC99" s="1129">
        <v>0</v>
      </c>
      <c r="AD99" s="1267">
        <v>0</v>
      </c>
      <c r="AE99" s="1135">
        <v>0</v>
      </c>
      <c r="AF99" s="1129">
        <v>0</v>
      </c>
      <c r="AG99" s="1127">
        <v>1</v>
      </c>
      <c r="AH99" s="1127">
        <v>0</v>
      </c>
      <c r="AI99" s="1127">
        <v>0</v>
      </c>
      <c r="AJ99" s="1127">
        <v>1</v>
      </c>
      <c r="AK99" s="1129">
        <v>0</v>
      </c>
      <c r="AL99" s="1129">
        <v>0</v>
      </c>
      <c r="AM99" s="1129">
        <v>0</v>
      </c>
      <c r="AN99" s="1129">
        <v>0</v>
      </c>
      <c r="AO99" s="1129" t="s">
        <v>85</v>
      </c>
      <c r="AP99" s="1129" t="s">
        <v>6605</v>
      </c>
      <c r="AQ99" s="1157" t="s">
        <v>107</v>
      </c>
      <c r="AR99" s="1129" t="s">
        <v>87</v>
      </c>
      <c r="AS99" s="1127">
        <v>0.33333333333333331</v>
      </c>
      <c r="AT99" s="1127">
        <v>0.33333333333333331</v>
      </c>
      <c r="AU99" s="1127">
        <v>0.33333333333333331</v>
      </c>
      <c r="AV99" s="1127"/>
      <c r="AW99" s="1127"/>
      <c r="AX99" s="1127"/>
      <c r="AY99" s="1127"/>
      <c r="AZ99" s="1127"/>
      <c r="BA99" s="1129">
        <v>0</v>
      </c>
      <c r="BB99" s="1129">
        <v>0</v>
      </c>
      <c r="BC99" s="1129">
        <v>0</v>
      </c>
      <c r="BD99" s="1129">
        <v>0</v>
      </c>
      <c r="BE99" s="1129">
        <v>0</v>
      </c>
      <c r="BF99" s="1129">
        <v>0</v>
      </c>
      <c r="BG99" s="1129">
        <v>0</v>
      </c>
      <c r="BH99" s="1129">
        <v>0</v>
      </c>
      <c r="BI99" s="971"/>
      <c r="BJ99" s="971"/>
      <c r="BK99" s="971"/>
    </row>
    <row r="100" spans="1:63" s="1278" customFormat="1" ht="49.5">
      <c r="A100" s="1272">
        <v>4000</v>
      </c>
      <c r="B100" s="971" t="s">
        <v>1316</v>
      </c>
      <c r="C100" s="1272">
        <v>4500</v>
      </c>
      <c r="D100" s="971" t="s">
        <v>452</v>
      </c>
      <c r="E100" s="971" t="s">
        <v>1809</v>
      </c>
      <c r="F100" s="971" t="s">
        <v>701</v>
      </c>
      <c r="G100" s="971">
        <v>4530</v>
      </c>
      <c r="H100" s="971" t="s">
        <v>701</v>
      </c>
      <c r="I100" s="1273" t="s">
        <v>1862</v>
      </c>
      <c r="J100" s="971" t="s">
        <v>124</v>
      </c>
      <c r="K100" s="971" t="s">
        <v>2857</v>
      </c>
      <c r="L100" s="971" t="s">
        <v>2858</v>
      </c>
      <c r="M100" s="971" t="s">
        <v>703</v>
      </c>
      <c r="N100" s="971" t="s">
        <v>488</v>
      </c>
      <c r="O100" s="971" t="s">
        <v>459</v>
      </c>
      <c r="P100" s="971"/>
      <c r="Q100" s="971" t="s">
        <v>1863</v>
      </c>
      <c r="R100" s="971" t="s">
        <v>1864</v>
      </c>
      <c r="S100" s="1274">
        <v>51.9328013705057</v>
      </c>
      <c r="T100" s="971" t="s">
        <v>136</v>
      </c>
      <c r="U100" s="1275">
        <v>0.56041666666666667</v>
      </c>
      <c r="V100" s="1275">
        <v>3.3624999999999998</v>
      </c>
      <c r="W100" s="1275">
        <v>55.993123908730162</v>
      </c>
      <c r="X100" s="1275">
        <v>84.0625</v>
      </c>
      <c r="Y100" s="1275">
        <v>143.41812390873017</v>
      </c>
      <c r="Z100" s="1129">
        <v>29.104007434720902</v>
      </c>
      <c r="AA100" s="1129">
        <v>174.62404460832542</v>
      </c>
      <c r="AB100" s="1129">
        <v>2907.8797820661971</v>
      </c>
      <c r="AC100" s="1129">
        <v>4365.6011152081355</v>
      </c>
      <c r="AD100" s="1267">
        <v>7448.1049418826587</v>
      </c>
      <c r="AE100" s="1135">
        <v>1</v>
      </c>
      <c r="AF100" s="1129">
        <v>51.9328013705057</v>
      </c>
      <c r="AG100" s="1127">
        <v>1</v>
      </c>
      <c r="AH100" s="1127">
        <v>0</v>
      </c>
      <c r="AI100" s="1127">
        <v>0</v>
      </c>
      <c r="AJ100" s="1127">
        <v>1</v>
      </c>
      <c r="AK100" s="1129">
        <v>7448.1049418826587</v>
      </c>
      <c r="AL100" s="1129">
        <v>0</v>
      </c>
      <c r="AM100" s="1129">
        <v>0</v>
      </c>
      <c r="AN100" s="1129">
        <v>7448.1049418826587</v>
      </c>
      <c r="AO100" s="1129" t="s">
        <v>85</v>
      </c>
      <c r="AP100" s="1129" t="s">
        <v>6605</v>
      </c>
      <c r="AQ100" s="1157" t="s">
        <v>107</v>
      </c>
      <c r="AR100" s="1129" t="s">
        <v>87</v>
      </c>
      <c r="AS100" s="1127">
        <v>0.33333333333333331</v>
      </c>
      <c r="AT100" s="1127">
        <v>0.33333333333333331</v>
      </c>
      <c r="AU100" s="1127">
        <v>0.33333333333333331</v>
      </c>
      <c r="AV100" s="1127"/>
      <c r="AW100" s="1127"/>
      <c r="AX100" s="1127"/>
      <c r="AY100" s="1127"/>
      <c r="AZ100" s="1127"/>
      <c r="BA100" s="1129">
        <v>2482.7016472942196</v>
      </c>
      <c r="BB100" s="1129">
        <v>2482.7016472942196</v>
      </c>
      <c r="BC100" s="1129">
        <v>2482.7016472942196</v>
      </c>
      <c r="BD100" s="1129">
        <v>0</v>
      </c>
      <c r="BE100" s="1129">
        <v>0</v>
      </c>
      <c r="BF100" s="1129">
        <v>0</v>
      </c>
      <c r="BG100" s="1129">
        <v>0</v>
      </c>
      <c r="BH100" s="1129">
        <v>0</v>
      </c>
      <c r="BI100" s="971"/>
      <c r="BJ100" s="971"/>
      <c r="BK100" s="971"/>
    </row>
    <row r="101" spans="1:63" s="1278" customFormat="1" ht="49.5">
      <c r="A101" s="1272">
        <v>4000</v>
      </c>
      <c r="B101" s="971" t="s">
        <v>1316</v>
      </c>
      <c r="C101" s="1272">
        <v>4500</v>
      </c>
      <c r="D101" s="971" t="s">
        <v>452</v>
      </c>
      <c r="E101" s="971" t="s">
        <v>1809</v>
      </c>
      <c r="F101" s="971" t="s">
        <v>701</v>
      </c>
      <c r="G101" s="971">
        <v>4530</v>
      </c>
      <c r="H101" s="971" t="s">
        <v>701</v>
      </c>
      <c r="I101" s="1273" t="s">
        <v>1862</v>
      </c>
      <c r="J101" s="971" t="s">
        <v>124</v>
      </c>
      <c r="K101" s="971" t="s">
        <v>140</v>
      </c>
      <c r="L101" s="971" t="s">
        <v>2909</v>
      </c>
      <c r="M101" s="971" t="s">
        <v>140</v>
      </c>
      <c r="N101" s="971" t="s">
        <v>141</v>
      </c>
      <c r="O101" s="971" t="s">
        <v>3280</v>
      </c>
      <c r="P101" s="971"/>
      <c r="Q101" s="971" t="s">
        <v>1865</v>
      </c>
      <c r="R101" s="971" t="s">
        <v>1864</v>
      </c>
      <c r="S101" s="1274">
        <v>51.9328013705057</v>
      </c>
      <c r="T101" s="971" t="s">
        <v>136</v>
      </c>
      <c r="U101" s="1275">
        <v>0</v>
      </c>
      <c r="V101" s="1275">
        <v>0</v>
      </c>
      <c r="W101" s="1275">
        <v>0</v>
      </c>
      <c r="X101" s="1275">
        <v>0</v>
      </c>
      <c r="Y101" s="1275">
        <v>0</v>
      </c>
      <c r="Z101" s="1129">
        <v>0</v>
      </c>
      <c r="AA101" s="1129">
        <v>0</v>
      </c>
      <c r="AB101" s="1129">
        <v>0</v>
      </c>
      <c r="AC101" s="1129">
        <v>0</v>
      </c>
      <c r="AD101" s="1267">
        <v>0</v>
      </c>
      <c r="AE101" s="1135">
        <v>0</v>
      </c>
      <c r="AF101" s="1129">
        <v>0</v>
      </c>
      <c r="AG101" s="1127">
        <v>1</v>
      </c>
      <c r="AH101" s="1127">
        <v>0</v>
      </c>
      <c r="AI101" s="1127">
        <v>0</v>
      </c>
      <c r="AJ101" s="1127">
        <v>1</v>
      </c>
      <c r="AK101" s="1129">
        <v>0</v>
      </c>
      <c r="AL101" s="1129">
        <v>0</v>
      </c>
      <c r="AM101" s="1129">
        <v>0</v>
      </c>
      <c r="AN101" s="1129">
        <v>0</v>
      </c>
      <c r="AO101" s="1129" t="s">
        <v>85</v>
      </c>
      <c r="AP101" s="1129" t="s">
        <v>6605</v>
      </c>
      <c r="AQ101" s="1157" t="s">
        <v>107</v>
      </c>
      <c r="AR101" s="1129" t="s">
        <v>87</v>
      </c>
      <c r="AS101" s="1127">
        <v>0.33333333333333331</v>
      </c>
      <c r="AT101" s="1127">
        <v>0.33333333333333331</v>
      </c>
      <c r="AU101" s="1127">
        <v>0.33333333333333331</v>
      </c>
      <c r="AV101" s="1127"/>
      <c r="AW101" s="1127"/>
      <c r="AX101" s="1127"/>
      <c r="AY101" s="1127"/>
      <c r="AZ101" s="1127"/>
      <c r="BA101" s="1129">
        <v>0</v>
      </c>
      <c r="BB101" s="1129">
        <v>0</v>
      </c>
      <c r="BC101" s="1129">
        <v>0</v>
      </c>
      <c r="BD101" s="1129">
        <v>0</v>
      </c>
      <c r="BE101" s="1129">
        <v>0</v>
      </c>
      <c r="BF101" s="1129">
        <v>0</v>
      </c>
      <c r="BG101" s="1129">
        <v>0</v>
      </c>
      <c r="BH101" s="1129">
        <v>0</v>
      </c>
      <c r="BI101" s="971"/>
      <c r="BJ101" s="971"/>
      <c r="BK101" s="971"/>
    </row>
    <row r="102" spans="1:63" s="1278" customFormat="1" ht="49.5">
      <c r="A102" s="1272">
        <v>4000</v>
      </c>
      <c r="B102" s="971" t="s">
        <v>1316</v>
      </c>
      <c r="C102" s="1272">
        <v>4500</v>
      </c>
      <c r="D102" s="971" t="s">
        <v>452</v>
      </c>
      <c r="E102" s="971" t="s">
        <v>1809</v>
      </c>
      <c r="F102" s="971" t="s">
        <v>701</v>
      </c>
      <c r="G102" s="971">
        <v>4530</v>
      </c>
      <c r="H102" s="971" t="s">
        <v>701</v>
      </c>
      <c r="I102" s="1273" t="s">
        <v>1862</v>
      </c>
      <c r="J102" s="971" t="s">
        <v>124</v>
      </c>
      <c r="K102" s="971"/>
      <c r="L102" s="971" t="e">
        <v>#N/A</v>
      </c>
      <c r="M102" s="971" t="s">
        <v>145</v>
      </c>
      <c r="N102" s="971" t="s">
        <v>141</v>
      </c>
      <c r="O102" s="971" t="s">
        <v>146</v>
      </c>
      <c r="P102" s="971"/>
      <c r="Q102" s="971" t="s">
        <v>1866</v>
      </c>
      <c r="R102" s="971" t="s">
        <v>1864</v>
      </c>
      <c r="S102" s="1274">
        <v>51.9328013705057</v>
      </c>
      <c r="T102" s="971" t="s">
        <v>136</v>
      </c>
      <c r="U102" s="1275" t="s">
        <v>6588</v>
      </c>
      <c r="V102" s="1275" t="s">
        <v>6588</v>
      </c>
      <c r="W102" s="1275" t="s">
        <v>6588</v>
      </c>
      <c r="X102" s="1275" t="s">
        <v>6588</v>
      </c>
      <c r="Y102" s="1275" t="s">
        <v>6588</v>
      </c>
      <c r="Z102" s="1129">
        <v>0</v>
      </c>
      <c r="AA102" s="1129">
        <v>0</v>
      </c>
      <c r="AB102" s="1129">
        <v>0</v>
      </c>
      <c r="AC102" s="1129">
        <v>0</v>
      </c>
      <c r="AD102" s="1267">
        <v>0</v>
      </c>
      <c r="AE102" s="1135">
        <v>0</v>
      </c>
      <c r="AF102" s="1129">
        <v>0</v>
      </c>
      <c r="AG102" s="1127">
        <v>1</v>
      </c>
      <c r="AH102" s="1127">
        <v>0</v>
      </c>
      <c r="AI102" s="1127">
        <v>0</v>
      </c>
      <c r="AJ102" s="1127">
        <v>1</v>
      </c>
      <c r="AK102" s="1129">
        <v>0</v>
      </c>
      <c r="AL102" s="1129">
        <v>0</v>
      </c>
      <c r="AM102" s="1129">
        <v>0</v>
      </c>
      <c r="AN102" s="1129">
        <v>0</v>
      </c>
      <c r="AO102" s="1129" t="s">
        <v>85</v>
      </c>
      <c r="AP102" s="1129" t="s">
        <v>6605</v>
      </c>
      <c r="AQ102" s="1157" t="s">
        <v>107</v>
      </c>
      <c r="AR102" s="1129" t="s">
        <v>87</v>
      </c>
      <c r="AS102" s="1127">
        <v>0.33333333333333331</v>
      </c>
      <c r="AT102" s="1127">
        <v>0.33333333333333331</v>
      </c>
      <c r="AU102" s="1127">
        <v>0.33333333333333331</v>
      </c>
      <c r="AV102" s="1127"/>
      <c r="AW102" s="1127"/>
      <c r="AX102" s="1127"/>
      <c r="AY102" s="1127"/>
      <c r="AZ102" s="1127"/>
      <c r="BA102" s="1129">
        <v>0</v>
      </c>
      <c r="BB102" s="1129">
        <v>0</v>
      </c>
      <c r="BC102" s="1129">
        <v>0</v>
      </c>
      <c r="BD102" s="1129">
        <v>0</v>
      </c>
      <c r="BE102" s="1129">
        <v>0</v>
      </c>
      <c r="BF102" s="1129">
        <v>0</v>
      </c>
      <c r="BG102" s="1129">
        <v>0</v>
      </c>
      <c r="BH102" s="1129">
        <v>0</v>
      </c>
      <c r="BI102" s="971"/>
      <c r="BJ102" s="971"/>
      <c r="BK102" s="971"/>
    </row>
    <row r="103" spans="1:63" s="1278" customFormat="1" ht="49.5">
      <c r="A103" s="1272">
        <v>4000</v>
      </c>
      <c r="B103" s="971" t="s">
        <v>1316</v>
      </c>
      <c r="C103" s="1272">
        <v>4500</v>
      </c>
      <c r="D103" s="971" t="s">
        <v>452</v>
      </c>
      <c r="E103" s="971" t="s">
        <v>1809</v>
      </c>
      <c r="F103" s="971" t="s">
        <v>701</v>
      </c>
      <c r="G103" s="971">
        <v>4530</v>
      </c>
      <c r="H103" s="971" t="s">
        <v>701</v>
      </c>
      <c r="I103" s="1273" t="s">
        <v>1867</v>
      </c>
      <c r="J103" s="971" t="s">
        <v>124</v>
      </c>
      <c r="K103" s="971" t="s">
        <v>2857</v>
      </c>
      <c r="L103" s="971" t="s">
        <v>2858</v>
      </c>
      <c r="M103" s="971" t="s">
        <v>703</v>
      </c>
      <c r="N103" s="971" t="s">
        <v>488</v>
      </c>
      <c r="O103" s="971" t="s">
        <v>459</v>
      </c>
      <c r="P103" s="971"/>
      <c r="Q103" s="971" t="s">
        <v>1868</v>
      </c>
      <c r="R103" s="971" t="s">
        <v>1869</v>
      </c>
      <c r="S103" s="1274">
        <v>75.251465313255139</v>
      </c>
      <c r="T103" s="971" t="s">
        <v>136</v>
      </c>
      <c r="U103" s="1275">
        <v>0.56041666666666667</v>
      </c>
      <c r="V103" s="1275">
        <v>3.3624999999999998</v>
      </c>
      <c r="W103" s="1275">
        <v>55.993123908730162</v>
      </c>
      <c r="X103" s="1275">
        <v>84.0625</v>
      </c>
      <c r="Y103" s="1275">
        <v>143.41812390873017</v>
      </c>
      <c r="Z103" s="1129">
        <v>42.172175352636735</v>
      </c>
      <c r="AA103" s="1129">
        <v>253.0330521158204</v>
      </c>
      <c r="AB103" s="1129">
        <v>4213.5646215986044</v>
      </c>
      <c r="AC103" s="1129">
        <v>6325.8263028955098</v>
      </c>
      <c r="AD103" s="1267">
        <v>10792.423976609936</v>
      </c>
      <c r="AE103" s="1135">
        <v>1</v>
      </c>
      <c r="AF103" s="1129">
        <v>75.251465313255139</v>
      </c>
      <c r="AG103" s="1127">
        <v>1</v>
      </c>
      <c r="AH103" s="1127">
        <v>0</v>
      </c>
      <c r="AI103" s="1127">
        <v>0</v>
      </c>
      <c r="AJ103" s="1127">
        <v>1</v>
      </c>
      <c r="AK103" s="1129">
        <v>10792.423976609936</v>
      </c>
      <c r="AL103" s="1129">
        <v>0</v>
      </c>
      <c r="AM103" s="1129">
        <v>0</v>
      </c>
      <c r="AN103" s="1129">
        <v>10792.423976609936</v>
      </c>
      <c r="AO103" s="1129" t="s">
        <v>85</v>
      </c>
      <c r="AP103" s="1129" t="s">
        <v>6605</v>
      </c>
      <c r="AQ103" s="1157" t="s">
        <v>107</v>
      </c>
      <c r="AR103" s="1129" t="s">
        <v>87</v>
      </c>
      <c r="AS103" s="1127">
        <v>0.33333333333333331</v>
      </c>
      <c r="AT103" s="1127">
        <v>0.33333333333333331</v>
      </c>
      <c r="AU103" s="1127">
        <v>0.33333333333333331</v>
      </c>
      <c r="AV103" s="1127"/>
      <c r="AW103" s="1127"/>
      <c r="AX103" s="1127"/>
      <c r="AY103" s="1127"/>
      <c r="AZ103" s="1127"/>
      <c r="BA103" s="1129">
        <v>3597.4746588699786</v>
      </c>
      <c r="BB103" s="1129">
        <v>3597.4746588699786</v>
      </c>
      <c r="BC103" s="1129">
        <v>3597.4746588699786</v>
      </c>
      <c r="BD103" s="1129">
        <v>0</v>
      </c>
      <c r="BE103" s="1129">
        <v>0</v>
      </c>
      <c r="BF103" s="1129">
        <v>0</v>
      </c>
      <c r="BG103" s="1129">
        <v>0</v>
      </c>
      <c r="BH103" s="1129">
        <v>0</v>
      </c>
      <c r="BI103" s="971"/>
      <c r="BJ103" s="971"/>
      <c r="BK103" s="971"/>
    </row>
    <row r="104" spans="1:63" s="1278" customFormat="1" ht="49.5">
      <c r="A104" s="1272">
        <v>4000</v>
      </c>
      <c r="B104" s="971" t="s">
        <v>1316</v>
      </c>
      <c r="C104" s="1272">
        <v>4500</v>
      </c>
      <c r="D104" s="971" t="s">
        <v>452</v>
      </c>
      <c r="E104" s="971" t="s">
        <v>1809</v>
      </c>
      <c r="F104" s="971" t="s">
        <v>701</v>
      </c>
      <c r="G104" s="971">
        <v>4530</v>
      </c>
      <c r="H104" s="971" t="s">
        <v>701</v>
      </c>
      <c r="I104" s="1273" t="s">
        <v>1867</v>
      </c>
      <c r="J104" s="971" t="s">
        <v>124</v>
      </c>
      <c r="K104" s="971" t="s">
        <v>140</v>
      </c>
      <c r="L104" s="971" t="s">
        <v>2909</v>
      </c>
      <c r="M104" s="971" t="s">
        <v>140</v>
      </c>
      <c r="N104" s="971" t="s">
        <v>141</v>
      </c>
      <c r="O104" s="971" t="s">
        <v>3280</v>
      </c>
      <c r="P104" s="971"/>
      <c r="Q104" s="971" t="s">
        <v>1870</v>
      </c>
      <c r="R104" s="971" t="s">
        <v>1869</v>
      </c>
      <c r="S104" s="1274">
        <v>75.251465313255139</v>
      </c>
      <c r="T104" s="971" t="s">
        <v>136</v>
      </c>
      <c r="U104" s="1275">
        <v>0</v>
      </c>
      <c r="V104" s="1275">
        <v>0</v>
      </c>
      <c r="W104" s="1275">
        <v>0</v>
      </c>
      <c r="X104" s="1275">
        <v>0</v>
      </c>
      <c r="Y104" s="1275">
        <v>0</v>
      </c>
      <c r="Z104" s="1129">
        <v>0</v>
      </c>
      <c r="AA104" s="1129">
        <v>0</v>
      </c>
      <c r="AB104" s="1129">
        <v>0</v>
      </c>
      <c r="AC104" s="1129">
        <v>0</v>
      </c>
      <c r="AD104" s="1267">
        <v>0</v>
      </c>
      <c r="AE104" s="1135">
        <v>0</v>
      </c>
      <c r="AF104" s="1129">
        <v>0</v>
      </c>
      <c r="AG104" s="1127">
        <v>1</v>
      </c>
      <c r="AH104" s="1127">
        <v>0</v>
      </c>
      <c r="AI104" s="1127">
        <v>0</v>
      </c>
      <c r="AJ104" s="1127">
        <v>1</v>
      </c>
      <c r="AK104" s="1129">
        <v>0</v>
      </c>
      <c r="AL104" s="1129">
        <v>0</v>
      </c>
      <c r="AM104" s="1129">
        <v>0</v>
      </c>
      <c r="AN104" s="1129">
        <v>0</v>
      </c>
      <c r="AO104" s="1129" t="s">
        <v>85</v>
      </c>
      <c r="AP104" s="1129" t="s">
        <v>6605</v>
      </c>
      <c r="AQ104" s="1157" t="s">
        <v>107</v>
      </c>
      <c r="AR104" s="1129" t="s">
        <v>87</v>
      </c>
      <c r="AS104" s="1127">
        <v>0.33333333333333331</v>
      </c>
      <c r="AT104" s="1127">
        <v>0.33333333333333331</v>
      </c>
      <c r="AU104" s="1127">
        <v>0.33333333333333331</v>
      </c>
      <c r="AV104" s="1127"/>
      <c r="AW104" s="1127"/>
      <c r="AX104" s="1127"/>
      <c r="AY104" s="1127"/>
      <c r="AZ104" s="1127"/>
      <c r="BA104" s="1129">
        <v>0</v>
      </c>
      <c r="BB104" s="1129">
        <v>0</v>
      </c>
      <c r="BC104" s="1129">
        <v>0</v>
      </c>
      <c r="BD104" s="1129">
        <v>0</v>
      </c>
      <c r="BE104" s="1129">
        <v>0</v>
      </c>
      <c r="BF104" s="1129">
        <v>0</v>
      </c>
      <c r="BG104" s="1129">
        <v>0</v>
      </c>
      <c r="BH104" s="1129">
        <v>0</v>
      </c>
      <c r="BI104" s="971"/>
      <c r="BJ104" s="971"/>
      <c r="BK104" s="971"/>
    </row>
    <row r="105" spans="1:63" s="1278" customFormat="1" ht="49.5">
      <c r="A105" s="1272">
        <v>4000</v>
      </c>
      <c r="B105" s="971" t="s">
        <v>1316</v>
      </c>
      <c r="C105" s="1272">
        <v>4500</v>
      </c>
      <c r="D105" s="971" t="s">
        <v>452</v>
      </c>
      <c r="E105" s="971" t="s">
        <v>1809</v>
      </c>
      <c r="F105" s="971" t="s">
        <v>701</v>
      </c>
      <c r="G105" s="971">
        <v>4530</v>
      </c>
      <c r="H105" s="971" t="s">
        <v>701</v>
      </c>
      <c r="I105" s="1273" t="s">
        <v>1867</v>
      </c>
      <c r="J105" s="971" t="s">
        <v>124</v>
      </c>
      <c r="K105" s="971"/>
      <c r="L105" s="971" t="e">
        <v>#N/A</v>
      </c>
      <c r="M105" s="971" t="s">
        <v>145</v>
      </c>
      <c r="N105" s="971" t="s">
        <v>141</v>
      </c>
      <c r="O105" s="971" t="s">
        <v>146</v>
      </c>
      <c r="P105" s="971"/>
      <c r="Q105" s="971" t="s">
        <v>1871</v>
      </c>
      <c r="R105" s="971" t="s">
        <v>1869</v>
      </c>
      <c r="S105" s="1274">
        <v>75.251465313255139</v>
      </c>
      <c r="T105" s="971" t="s">
        <v>136</v>
      </c>
      <c r="U105" s="1275" t="s">
        <v>6588</v>
      </c>
      <c r="V105" s="1275" t="s">
        <v>6588</v>
      </c>
      <c r="W105" s="1275" t="s">
        <v>6588</v>
      </c>
      <c r="X105" s="1275" t="s">
        <v>6588</v>
      </c>
      <c r="Y105" s="1275" t="s">
        <v>6588</v>
      </c>
      <c r="Z105" s="1129">
        <v>0</v>
      </c>
      <c r="AA105" s="1129">
        <v>0</v>
      </c>
      <c r="AB105" s="1129">
        <v>0</v>
      </c>
      <c r="AC105" s="1129">
        <v>0</v>
      </c>
      <c r="AD105" s="1267">
        <v>0</v>
      </c>
      <c r="AE105" s="1135">
        <v>0</v>
      </c>
      <c r="AF105" s="1129">
        <v>0</v>
      </c>
      <c r="AG105" s="1127">
        <v>1</v>
      </c>
      <c r="AH105" s="1127">
        <v>0</v>
      </c>
      <c r="AI105" s="1127">
        <v>0</v>
      </c>
      <c r="AJ105" s="1127">
        <v>1</v>
      </c>
      <c r="AK105" s="1129">
        <v>0</v>
      </c>
      <c r="AL105" s="1129">
        <v>0</v>
      </c>
      <c r="AM105" s="1129">
        <v>0</v>
      </c>
      <c r="AN105" s="1129">
        <v>0</v>
      </c>
      <c r="AO105" s="1129" t="s">
        <v>85</v>
      </c>
      <c r="AP105" s="1129" t="s">
        <v>6605</v>
      </c>
      <c r="AQ105" s="1157" t="s">
        <v>107</v>
      </c>
      <c r="AR105" s="1129" t="s">
        <v>87</v>
      </c>
      <c r="AS105" s="1127">
        <v>0.33333333333333331</v>
      </c>
      <c r="AT105" s="1127">
        <v>0.33333333333333331</v>
      </c>
      <c r="AU105" s="1127">
        <v>0.33333333333333331</v>
      </c>
      <c r="AV105" s="1127"/>
      <c r="AW105" s="1127"/>
      <c r="AX105" s="1127"/>
      <c r="AY105" s="1127"/>
      <c r="AZ105" s="1127"/>
      <c r="BA105" s="1129">
        <v>0</v>
      </c>
      <c r="BB105" s="1129">
        <v>0</v>
      </c>
      <c r="BC105" s="1129">
        <v>0</v>
      </c>
      <c r="BD105" s="1129">
        <v>0</v>
      </c>
      <c r="BE105" s="1129">
        <v>0</v>
      </c>
      <c r="BF105" s="1129">
        <v>0</v>
      </c>
      <c r="BG105" s="1129">
        <v>0</v>
      </c>
      <c r="BH105" s="1129">
        <v>0</v>
      </c>
      <c r="BI105" s="971"/>
      <c r="BJ105" s="971"/>
      <c r="BK105" s="971"/>
    </row>
    <row r="106" spans="1:63" s="1278" customFormat="1" ht="49.5">
      <c r="A106" s="1272">
        <v>4000</v>
      </c>
      <c r="B106" s="971" t="s">
        <v>1316</v>
      </c>
      <c r="C106" s="1272">
        <v>4500</v>
      </c>
      <c r="D106" s="971" t="s">
        <v>452</v>
      </c>
      <c r="E106" s="971" t="s">
        <v>1809</v>
      </c>
      <c r="F106" s="971" t="s">
        <v>701</v>
      </c>
      <c r="G106" s="971">
        <v>4530</v>
      </c>
      <c r="H106" s="971" t="s">
        <v>701</v>
      </c>
      <c r="I106" s="1273" t="s">
        <v>1872</v>
      </c>
      <c r="J106" s="971" t="s">
        <v>124</v>
      </c>
      <c r="K106" s="971" t="s">
        <v>2857</v>
      </c>
      <c r="L106" s="971" t="s">
        <v>2858</v>
      </c>
      <c r="M106" s="971" t="s">
        <v>703</v>
      </c>
      <c r="N106" s="971" t="s">
        <v>488</v>
      </c>
      <c r="O106" s="971" t="s">
        <v>459</v>
      </c>
      <c r="P106" s="971"/>
      <c r="Q106" s="971" t="s">
        <v>1873</v>
      </c>
      <c r="R106" s="971" t="s">
        <v>1874</v>
      </c>
      <c r="S106" s="1274">
        <v>75.251465313255139</v>
      </c>
      <c r="T106" s="971" t="s">
        <v>136</v>
      </c>
      <c r="U106" s="1275">
        <v>0.56041666666666667</v>
      </c>
      <c r="V106" s="1275">
        <v>3.3624999999999998</v>
      </c>
      <c r="W106" s="1275">
        <v>55.993123908730162</v>
      </c>
      <c r="X106" s="1275">
        <v>84.0625</v>
      </c>
      <c r="Y106" s="1275">
        <v>143.41812390873017</v>
      </c>
      <c r="Z106" s="1129">
        <v>42.172175352636735</v>
      </c>
      <c r="AA106" s="1129">
        <v>253.0330521158204</v>
      </c>
      <c r="AB106" s="1129">
        <v>4213.5646215986044</v>
      </c>
      <c r="AC106" s="1129">
        <v>6325.8263028955098</v>
      </c>
      <c r="AD106" s="1267">
        <v>10792.423976609936</v>
      </c>
      <c r="AE106" s="1135">
        <v>1</v>
      </c>
      <c r="AF106" s="1129">
        <v>75.251465313255139</v>
      </c>
      <c r="AG106" s="1127">
        <v>1</v>
      </c>
      <c r="AH106" s="1127">
        <v>0</v>
      </c>
      <c r="AI106" s="1127">
        <v>0</v>
      </c>
      <c r="AJ106" s="1127">
        <v>1</v>
      </c>
      <c r="AK106" s="1129">
        <v>10792.423976609936</v>
      </c>
      <c r="AL106" s="1129">
        <v>0</v>
      </c>
      <c r="AM106" s="1129">
        <v>0</v>
      </c>
      <c r="AN106" s="1129">
        <v>10792.423976609936</v>
      </c>
      <c r="AO106" s="1129" t="s">
        <v>85</v>
      </c>
      <c r="AP106" s="1129" t="s">
        <v>6605</v>
      </c>
      <c r="AQ106" s="1157" t="s">
        <v>107</v>
      </c>
      <c r="AR106" s="1129" t="s">
        <v>87</v>
      </c>
      <c r="AS106" s="1127">
        <v>0.33333333333333331</v>
      </c>
      <c r="AT106" s="1127">
        <v>0.33333333333333331</v>
      </c>
      <c r="AU106" s="1127">
        <v>0.33333333333333331</v>
      </c>
      <c r="AV106" s="1127"/>
      <c r="AW106" s="1127"/>
      <c r="AX106" s="1127"/>
      <c r="AY106" s="1127"/>
      <c r="AZ106" s="1127"/>
      <c r="BA106" s="1129">
        <v>3597.4746588699786</v>
      </c>
      <c r="BB106" s="1129">
        <v>3597.4746588699786</v>
      </c>
      <c r="BC106" s="1129">
        <v>3597.4746588699786</v>
      </c>
      <c r="BD106" s="1129">
        <v>0</v>
      </c>
      <c r="BE106" s="1129">
        <v>0</v>
      </c>
      <c r="BF106" s="1129">
        <v>0</v>
      </c>
      <c r="BG106" s="1129">
        <v>0</v>
      </c>
      <c r="BH106" s="1129">
        <v>0</v>
      </c>
      <c r="BI106" s="971"/>
      <c r="BJ106" s="971"/>
      <c r="BK106" s="971"/>
    </row>
    <row r="107" spans="1:63" s="1278" customFormat="1" ht="49.5">
      <c r="A107" s="1272">
        <v>4000</v>
      </c>
      <c r="B107" s="971" t="s">
        <v>1316</v>
      </c>
      <c r="C107" s="1272">
        <v>4500</v>
      </c>
      <c r="D107" s="971" t="s">
        <v>452</v>
      </c>
      <c r="E107" s="971" t="s">
        <v>1809</v>
      </c>
      <c r="F107" s="971" t="s">
        <v>701</v>
      </c>
      <c r="G107" s="971">
        <v>4530</v>
      </c>
      <c r="H107" s="971" t="s">
        <v>701</v>
      </c>
      <c r="I107" s="1273" t="s">
        <v>1872</v>
      </c>
      <c r="J107" s="971" t="s">
        <v>124</v>
      </c>
      <c r="K107" s="971" t="s">
        <v>140</v>
      </c>
      <c r="L107" s="971" t="s">
        <v>2909</v>
      </c>
      <c r="M107" s="971" t="s">
        <v>140</v>
      </c>
      <c r="N107" s="971" t="s">
        <v>141</v>
      </c>
      <c r="O107" s="971" t="s">
        <v>3280</v>
      </c>
      <c r="P107" s="971"/>
      <c r="Q107" s="971" t="s">
        <v>1875</v>
      </c>
      <c r="R107" s="971" t="s">
        <v>1874</v>
      </c>
      <c r="S107" s="1274">
        <v>75.251465313255139</v>
      </c>
      <c r="T107" s="971" t="s">
        <v>136</v>
      </c>
      <c r="U107" s="1275">
        <v>0</v>
      </c>
      <c r="V107" s="1275">
        <v>0</v>
      </c>
      <c r="W107" s="1275">
        <v>0</v>
      </c>
      <c r="X107" s="1275">
        <v>0</v>
      </c>
      <c r="Y107" s="1275">
        <v>0</v>
      </c>
      <c r="Z107" s="1129">
        <v>0</v>
      </c>
      <c r="AA107" s="1129">
        <v>0</v>
      </c>
      <c r="AB107" s="1129">
        <v>0</v>
      </c>
      <c r="AC107" s="1129">
        <v>0</v>
      </c>
      <c r="AD107" s="1267">
        <v>0</v>
      </c>
      <c r="AE107" s="1135">
        <v>0</v>
      </c>
      <c r="AF107" s="1129">
        <v>0</v>
      </c>
      <c r="AG107" s="1127">
        <v>1</v>
      </c>
      <c r="AH107" s="1127">
        <v>0</v>
      </c>
      <c r="AI107" s="1127">
        <v>0</v>
      </c>
      <c r="AJ107" s="1127">
        <v>1</v>
      </c>
      <c r="AK107" s="1129">
        <v>0</v>
      </c>
      <c r="AL107" s="1129">
        <v>0</v>
      </c>
      <c r="AM107" s="1129">
        <v>0</v>
      </c>
      <c r="AN107" s="1129">
        <v>0</v>
      </c>
      <c r="AO107" s="1129" t="s">
        <v>85</v>
      </c>
      <c r="AP107" s="1129" t="s">
        <v>6605</v>
      </c>
      <c r="AQ107" s="1157" t="s">
        <v>107</v>
      </c>
      <c r="AR107" s="1129" t="s">
        <v>87</v>
      </c>
      <c r="AS107" s="1127">
        <v>0.33333333333333331</v>
      </c>
      <c r="AT107" s="1127">
        <v>0.33333333333333331</v>
      </c>
      <c r="AU107" s="1127">
        <v>0.33333333333333331</v>
      </c>
      <c r="AV107" s="1127"/>
      <c r="AW107" s="1127"/>
      <c r="AX107" s="1127"/>
      <c r="AY107" s="1127"/>
      <c r="AZ107" s="1127"/>
      <c r="BA107" s="1129">
        <v>0</v>
      </c>
      <c r="BB107" s="1129">
        <v>0</v>
      </c>
      <c r="BC107" s="1129">
        <v>0</v>
      </c>
      <c r="BD107" s="1129">
        <v>0</v>
      </c>
      <c r="BE107" s="1129">
        <v>0</v>
      </c>
      <c r="BF107" s="1129">
        <v>0</v>
      </c>
      <c r="BG107" s="1129">
        <v>0</v>
      </c>
      <c r="BH107" s="1129">
        <v>0</v>
      </c>
      <c r="BI107" s="971"/>
      <c r="BJ107" s="971"/>
      <c r="BK107" s="971"/>
    </row>
    <row r="108" spans="1:63" s="1278" customFormat="1" ht="49.5">
      <c r="A108" s="1272">
        <v>4000</v>
      </c>
      <c r="B108" s="971" t="s">
        <v>1316</v>
      </c>
      <c r="C108" s="1272">
        <v>4500</v>
      </c>
      <c r="D108" s="971" t="s">
        <v>452</v>
      </c>
      <c r="E108" s="971" t="s">
        <v>1809</v>
      </c>
      <c r="F108" s="971" t="s">
        <v>701</v>
      </c>
      <c r="G108" s="971">
        <v>4530</v>
      </c>
      <c r="H108" s="971" t="s">
        <v>701</v>
      </c>
      <c r="I108" s="1273" t="s">
        <v>1872</v>
      </c>
      <c r="J108" s="971" t="s">
        <v>124</v>
      </c>
      <c r="K108" s="971"/>
      <c r="L108" s="971" t="e">
        <v>#N/A</v>
      </c>
      <c r="M108" s="971" t="s">
        <v>145</v>
      </c>
      <c r="N108" s="971" t="s">
        <v>141</v>
      </c>
      <c r="O108" s="971" t="s">
        <v>146</v>
      </c>
      <c r="P108" s="971"/>
      <c r="Q108" s="971" t="s">
        <v>1876</v>
      </c>
      <c r="R108" s="971" t="s">
        <v>1874</v>
      </c>
      <c r="S108" s="1274">
        <v>75.251465313255139</v>
      </c>
      <c r="T108" s="971" t="s">
        <v>136</v>
      </c>
      <c r="U108" s="1275" t="s">
        <v>6588</v>
      </c>
      <c r="V108" s="1275" t="s">
        <v>6588</v>
      </c>
      <c r="W108" s="1275" t="s">
        <v>6588</v>
      </c>
      <c r="X108" s="1275" t="s">
        <v>6588</v>
      </c>
      <c r="Y108" s="1275" t="s">
        <v>6588</v>
      </c>
      <c r="Z108" s="1129">
        <v>0</v>
      </c>
      <c r="AA108" s="1129">
        <v>0</v>
      </c>
      <c r="AB108" s="1129">
        <v>0</v>
      </c>
      <c r="AC108" s="1129">
        <v>0</v>
      </c>
      <c r="AD108" s="1267">
        <v>0</v>
      </c>
      <c r="AE108" s="1135">
        <v>0</v>
      </c>
      <c r="AF108" s="1129">
        <v>0</v>
      </c>
      <c r="AG108" s="1127">
        <v>1</v>
      </c>
      <c r="AH108" s="1127">
        <v>0</v>
      </c>
      <c r="AI108" s="1127">
        <v>0</v>
      </c>
      <c r="AJ108" s="1127">
        <v>1</v>
      </c>
      <c r="AK108" s="1129">
        <v>0</v>
      </c>
      <c r="AL108" s="1129">
        <v>0</v>
      </c>
      <c r="AM108" s="1129">
        <v>0</v>
      </c>
      <c r="AN108" s="1129">
        <v>0</v>
      </c>
      <c r="AO108" s="1129" t="s">
        <v>85</v>
      </c>
      <c r="AP108" s="1129" t="s">
        <v>6605</v>
      </c>
      <c r="AQ108" s="1157" t="s">
        <v>107</v>
      </c>
      <c r="AR108" s="1129" t="s">
        <v>87</v>
      </c>
      <c r="AS108" s="1127">
        <v>0.33333333333333331</v>
      </c>
      <c r="AT108" s="1127">
        <v>0.33333333333333331</v>
      </c>
      <c r="AU108" s="1127">
        <v>0.33333333333333331</v>
      </c>
      <c r="AV108" s="1127"/>
      <c r="AW108" s="1127"/>
      <c r="AX108" s="1127"/>
      <c r="AY108" s="1127"/>
      <c r="AZ108" s="1127"/>
      <c r="BA108" s="1129">
        <v>0</v>
      </c>
      <c r="BB108" s="1129">
        <v>0</v>
      </c>
      <c r="BC108" s="1129">
        <v>0</v>
      </c>
      <c r="BD108" s="1129">
        <v>0</v>
      </c>
      <c r="BE108" s="1129">
        <v>0</v>
      </c>
      <c r="BF108" s="1129">
        <v>0</v>
      </c>
      <c r="BG108" s="1129">
        <v>0</v>
      </c>
      <c r="BH108" s="1129">
        <v>0</v>
      </c>
      <c r="BI108" s="971"/>
      <c r="BJ108" s="971"/>
      <c r="BK108" s="971"/>
    </row>
    <row r="109" spans="1:63" s="1278" customFormat="1" ht="49.5">
      <c r="A109" s="1272">
        <v>4000</v>
      </c>
      <c r="B109" s="971" t="s">
        <v>1316</v>
      </c>
      <c r="C109" s="1272">
        <v>4500</v>
      </c>
      <c r="D109" s="971" t="s">
        <v>452</v>
      </c>
      <c r="E109" s="971" t="s">
        <v>1809</v>
      </c>
      <c r="F109" s="971" t="s">
        <v>701</v>
      </c>
      <c r="G109" s="971">
        <v>4530</v>
      </c>
      <c r="H109" s="971" t="s">
        <v>701</v>
      </c>
      <c r="I109" s="1273" t="s">
        <v>1877</v>
      </c>
      <c r="J109" s="971" t="s">
        <v>124</v>
      </c>
      <c r="K109" s="971" t="s">
        <v>2857</v>
      </c>
      <c r="L109" s="971" t="s">
        <v>2858</v>
      </c>
      <c r="M109" s="971" t="s">
        <v>734</v>
      </c>
      <c r="N109" s="971" t="s">
        <v>488</v>
      </c>
      <c r="O109" s="971" t="s">
        <v>128</v>
      </c>
      <c r="P109" s="971"/>
      <c r="Q109" s="971" t="s">
        <v>1878</v>
      </c>
      <c r="R109" s="971" t="s">
        <v>1879</v>
      </c>
      <c r="S109" s="1274">
        <v>29.728973950915609</v>
      </c>
      <c r="T109" s="971" t="s">
        <v>136</v>
      </c>
      <c r="U109" s="1275">
        <v>0.56041666666666667</v>
      </c>
      <c r="V109" s="1275">
        <v>3.3624999999999998</v>
      </c>
      <c r="W109" s="1275">
        <v>55.993123908730162</v>
      </c>
      <c r="X109" s="1275">
        <v>84.0625</v>
      </c>
      <c r="Y109" s="1275">
        <v>143.41812390873017</v>
      </c>
      <c r="Z109" s="1129">
        <v>16.660612484992289</v>
      </c>
      <c r="AA109" s="1129">
        <v>99.963674909953724</v>
      </c>
      <c r="AB109" s="1129">
        <v>1664.6181221130289</v>
      </c>
      <c r="AC109" s="1129">
        <v>2499.0918727488433</v>
      </c>
      <c r="AD109" s="1267">
        <v>4263.6736697718297</v>
      </c>
      <c r="AE109" s="1135">
        <v>1</v>
      </c>
      <c r="AF109" s="1129">
        <v>29.728973950915609</v>
      </c>
      <c r="AG109" s="1127">
        <v>1</v>
      </c>
      <c r="AH109" s="1127">
        <v>0</v>
      </c>
      <c r="AI109" s="1127">
        <v>0</v>
      </c>
      <c r="AJ109" s="1127">
        <v>1</v>
      </c>
      <c r="AK109" s="1129">
        <v>4263.6736697718261</v>
      </c>
      <c r="AL109" s="1129">
        <v>0</v>
      </c>
      <c r="AM109" s="1129">
        <v>0</v>
      </c>
      <c r="AN109" s="1129">
        <v>4263.6736697718261</v>
      </c>
      <c r="AO109" s="1129" t="s">
        <v>85</v>
      </c>
      <c r="AP109" s="1129" t="s">
        <v>6605</v>
      </c>
      <c r="AQ109" s="1157" t="s">
        <v>107</v>
      </c>
      <c r="AR109" s="1129" t="s">
        <v>87</v>
      </c>
      <c r="AS109" s="1127">
        <v>0.33333333333333331</v>
      </c>
      <c r="AT109" s="1127">
        <v>0.33333333333333331</v>
      </c>
      <c r="AU109" s="1127">
        <v>0.33333333333333331</v>
      </c>
      <c r="AV109" s="1127"/>
      <c r="AW109" s="1127"/>
      <c r="AX109" s="1127"/>
      <c r="AY109" s="1127"/>
      <c r="AZ109" s="1127"/>
      <c r="BA109" s="1129">
        <v>1421.2245565906087</v>
      </c>
      <c r="BB109" s="1129">
        <v>1421.2245565906087</v>
      </c>
      <c r="BC109" s="1129">
        <v>1421.2245565906087</v>
      </c>
      <c r="BD109" s="1129">
        <v>0</v>
      </c>
      <c r="BE109" s="1129">
        <v>0</v>
      </c>
      <c r="BF109" s="1129">
        <v>0</v>
      </c>
      <c r="BG109" s="1129">
        <v>0</v>
      </c>
      <c r="BH109" s="1129">
        <v>0</v>
      </c>
      <c r="BI109" s="971"/>
      <c r="BJ109" s="971"/>
      <c r="BK109" s="971"/>
    </row>
    <row r="110" spans="1:63" s="1278" customFormat="1" ht="49.5">
      <c r="A110" s="1272">
        <v>4000</v>
      </c>
      <c r="B110" s="971" t="s">
        <v>1316</v>
      </c>
      <c r="C110" s="1272">
        <v>4500</v>
      </c>
      <c r="D110" s="971" t="s">
        <v>452</v>
      </c>
      <c r="E110" s="971" t="s">
        <v>1809</v>
      </c>
      <c r="F110" s="971" t="s">
        <v>701</v>
      </c>
      <c r="G110" s="971">
        <v>4530</v>
      </c>
      <c r="H110" s="971" t="s">
        <v>701</v>
      </c>
      <c r="I110" s="1273" t="s">
        <v>1877</v>
      </c>
      <c r="J110" s="971" t="s">
        <v>124</v>
      </c>
      <c r="K110" s="971" t="s">
        <v>140</v>
      </c>
      <c r="L110" s="971" t="s">
        <v>2909</v>
      </c>
      <c r="M110" s="971" t="s">
        <v>140</v>
      </c>
      <c r="N110" s="971" t="s">
        <v>141</v>
      </c>
      <c r="O110" s="971" t="s">
        <v>3280</v>
      </c>
      <c r="P110" s="971"/>
      <c r="Q110" s="971" t="s">
        <v>1878</v>
      </c>
      <c r="R110" s="971" t="s">
        <v>1879</v>
      </c>
      <c r="S110" s="1274">
        <v>29.728973950915609</v>
      </c>
      <c r="T110" s="971" t="s">
        <v>136</v>
      </c>
      <c r="U110" s="1275">
        <v>0</v>
      </c>
      <c r="V110" s="1275">
        <v>0</v>
      </c>
      <c r="W110" s="1275">
        <v>0</v>
      </c>
      <c r="X110" s="1275">
        <v>0</v>
      </c>
      <c r="Y110" s="1275">
        <v>0</v>
      </c>
      <c r="Z110" s="1129">
        <v>0</v>
      </c>
      <c r="AA110" s="1129">
        <v>0</v>
      </c>
      <c r="AB110" s="1129">
        <v>0</v>
      </c>
      <c r="AC110" s="1129">
        <v>0</v>
      </c>
      <c r="AD110" s="1267">
        <v>0</v>
      </c>
      <c r="AE110" s="1135">
        <v>0</v>
      </c>
      <c r="AF110" s="1129">
        <v>0</v>
      </c>
      <c r="AG110" s="1127">
        <v>1</v>
      </c>
      <c r="AH110" s="1127">
        <v>0</v>
      </c>
      <c r="AI110" s="1127">
        <v>0</v>
      </c>
      <c r="AJ110" s="1127">
        <v>1</v>
      </c>
      <c r="AK110" s="1129">
        <v>0</v>
      </c>
      <c r="AL110" s="1129">
        <v>0</v>
      </c>
      <c r="AM110" s="1129">
        <v>0</v>
      </c>
      <c r="AN110" s="1129">
        <v>0</v>
      </c>
      <c r="AO110" s="1129" t="s">
        <v>85</v>
      </c>
      <c r="AP110" s="1129" t="s">
        <v>6605</v>
      </c>
      <c r="AQ110" s="1157" t="s">
        <v>107</v>
      </c>
      <c r="AR110" s="1129" t="s">
        <v>87</v>
      </c>
      <c r="AS110" s="1127">
        <v>0.33333333333333331</v>
      </c>
      <c r="AT110" s="1127">
        <v>0.33333333333333331</v>
      </c>
      <c r="AU110" s="1127">
        <v>0.33333333333333331</v>
      </c>
      <c r="AV110" s="1127"/>
      <c r="AW110" s="1127"/>
      <c r="AX110" s="1127"/>
      <c r="AY110" s="1127"/>
      <c r="AZ110" s="1127"/>
      <c r="BA110" s="1129">
        <v>0</v>
      </c>
      <c r="BB110" s="1129">
        <v>0</v>
      </c>
      <c r="BC110" s="1129">
        <v>0</v>
      </c>
      <c r="BD110" s="1129">
        <v>0</v>
      </c>
      <c r="BE110" s="1129">
        <v>0</v>
      </c>
      <c r="BF110" s="1129">
        <v>0</v>
      </c>
      <c r="BG110" s="1129">
        <v>0</v>
      </c>
      <c r="BH110" s="1129">
        <v>0</v>
      </c>
      <c r="BI110" s="971"/>
      <c r="BJ110" s="971"/>
      <c r="BK110" s="971"/>
    </row>
    <row r="111" spans="1:63" s="1278" customFormat="1" ht="49.5">
      <c r="A111" s="1272">
        <v>4000</v>
      </c>
      <c r="B111" s="971" t="s">
        <v>1316</v>
      </c>
      <c r="C111" s="1272">
        <v>4500</v>
      </c>
      <c r="D111" s="971" t="s">
        <v>452</v>
      </c>
      <c r="E111" s="971" t="s">
        <v>1809</v>
      </c>
      <c r="F111" s="971" t="s">
        <v>701</v>
      </c>
      <c r="G111" s="971">
        <v>4530</v>
      </c>
      <c r="H111" s="971" t="s">
        <v>701</v>
      </c>
      <c r="I111" s="1273" t="s">
        <v>1877</v>
      </c>
      <c r="J111" s="971" t="s">
        <v>124</v>
      </c>
      <c r="K111" s="971"/>
      <c r="L111" s="971" t="e">
        <v>#N/A</v>
      </c>
      <c r="M111" s="971" t="s">
        <v>145</v>
      </c>
      <c r="N111" s="971" t="s">
        <v>141</v>
      </c>
      <c r="O111" s="971" t="s">
        <v>146</v>
      </c>
      <c r="P111" s="971"/>
      <c r="Q111" s="971" t="s">
        <v>1881</v>
      </c>
      <c r="R111" s="971" t="s">
        <v>1879</v>
      </c>
      <c r="S111" s="1274">
        <v>29.728973950915609</v>
      </c>
      <c r="T111" s="971" t="s">
        <v>136</v>
      </c>
      <c r="U111" s="1275" t="s">
        <v>6588</v>
      </c>
      <c r="V111" s="1275" t="s">
        <v>6588</v>
      </c>
      <c r="W111" s="1275" t="s">
        <v>6588</v>
      </c>
      <c r="X111" s="1275" t="s">
        <v>6588</v>
      </c>
      <c r="Y111" s="1275" t="s">
        <v>6588</v>
      </c>
      <c r="Z111" s="1129">
        <v>0</v>
      </c>
      <c r="AA111" s="1129">
        <v>0</v>
      </c>
      <c r="AB111" s="1129">
        <v>0</v>
      </c>
      <c r="AC111" s="1129">
        <v>0</v>
      </c>
      <c r="AD111" s="1267">
        <v>0</v>
      </c>
      <c r="AE111" s="1135">
        <v>0</v>
      </c>
      <c r="AF111" s="1129">
        <v>0</v>
      </c>
      <c r="AG111" s="1127">
        <v>1</v>
      </c>
      <c r="AH111" s="1127">
        <v>0</v>
      </c>
      <c r="AI111" s="1127">
        <v>0</v>
      </c>
      <c r="AJ111" s="1127">
        <v>1</v>
      </c>
      <c r="AK111" s="1129">
        <v>0</v>
      </c>
      <c r="AL111" s="1129">
        <v>0</v>
      </c>
      <c r="AM111" s="1129">
        <v>0</v>
      </c>
      <c r="AN111" s="1129">
        <v>0</v>
      </c>
      <c r="AO111" s="1129" t="s">
        <v>85</v>
      </c>
      <c r="AP111" s="1129" t="s">
        <v>6605</v>
      </c>
      <c r="AQ111" s="1157" t="s">
        <v>107</v>
      </c>
      <c r="AR111" s="1129" t="s">
        <v>87</v>
      </c>
      <c r="AS111" s="1127">
        <v>0.33333333333333331</v>
      </c>
      <c r="AT111" s="1127">
        <v>0.33333333333333331</v>
      </c>
      <c r="AU111" s="1127">
        <v>0.33333333333333331</v>
      </c>
      <c r="AV111" s="1127"/>
      <c r="AW111" s="1127"/>
      <c r="AX111" s="1127"/>
      <c r="AY111" s="1127"/>
      <c r="AZ111" s="1127"/>
      <c r="BA111" s="1129">
        <v>0</v>
      </c>
      <c r="BB111" s="1129">
        <v>0</v>
      </c>
      <c r="BC111" s="1129">
        <v>0</v>
      </c>
      <c r="BD111" s="1129">
        <v>0</v>
      </c>
      <c r="BE111" s="1129">
        <v>0</v>
      </c>
      <c r="BF111" s="1129">
        <v>0</v>
      </c>
      <c r="BG111" s="1129">
        <v>0</v>
      </c>
      <c r="BH111" s="1129">
        <v>0</v>
      </c>
      <c r="BI111" s="971"/>
      <c r="BJ111" s="971"/>
      <c r="BK111" s="971"/>
    </row>
    <row r="112" spans="1:63" s="1278" customFormat="1" ht="66">
      <c r="A112" s="1272">
        <v>4000</v>
      </c>
      <c r="B112" s="971" t="s">
        <v>1316</v>
      </c>
      <c r="C112" s="1272">
        <v>4700</v>
      </c>
      <c r="D112" s="971" t="s">
        <v>912</v>
      </c>
      <c r="E112" s="971" t="s">
        <v>6610</v>
      </c>
      <c r="F112" s="971" t="s">
        <v>913</v>
      </c>
      <c r="G112" s="971">
        <v>4750</v>
      </c>
      <c r="H112" s="971" t="s">
        <v>913</v>
      </c>
      <c r="I112" s="1273" t="s">
        <v>503</v>
      </c>
      <c r="J112" s="971" t="s">
        <v>124</v>
      </c>
      <c r="K112" s="971" t="s">
        <v>784</v>
      </c>
      <c r="L112" s="971" t="s">
        <v>2852</v>
      </c>
      <c r="M112" s="971" t="s">
        <v>458</v>
      </c>
      <c r="N112" s="971" t="s">
        <v>127</v>
      </c>
      <c r="O112" s="971" t="s">
        <v>459</v>
      </c>
      <c r="P112" s="971"/>
      <c r="Q112" s="971" t="s">
        <v>1063</v>
      </c>
      <c r="R112" s="971" t="s">
        <v>2069</v>
      </c>
      <c r="S112" s="1274">
        <v>37.161217438644513</v>
      </c>
      <c r="T112" s="971" t="s">
        <v>136</v>
      </c>
      <c r="U112" s="1275">
        <v>0.22416666666666665</v>
      </c>
      <c r="V112" s="1275">
        <v>3.3624999999999998</v>
      </c>
      <c r="W112" s="1275">
        <v>22.397249563492064</v>
      </c>
      <c r="X112" s="1275">
        <v>33.625</v>
      </c>
      <c r="Y112" s="1275">
        <v>59.384749563492065</v>
      </c>
      <c r="Z112" s="1129">
        <v>8.3303062424961443</v>
      </c>
      <c r="AA112" s="1129">
        <v>124.95459363744217</v>
      </c>
      <c r="AB112" s="1129">
        <v>832.30906105651445</v>
      </c>
      <c r="AC112" s="1129">
        <v>1249.5459363744217</v>
      </c>
      <c r="AD112" s="1267">
        <v>2206.8095910683801</v>
      </c>
      <c r="AE112" s="1135">
        <v>1</v>
      </c>
      <c r="AF112" s="1129">
        <v>37.161217438644513</v>
      </c>
      <c r="AG112" s="1127">
        <v>1</v>
      </c>
      <c r="AH112" s="1127">
        <v>0</v>
      </c>
      <c r="AI112" s="1127">
        <v>0</v>
      </c>
      <c r="AJ112" s="1127">
        <v>1</v>
      </c>
      <c r="AK112" s="1129">
        <v>2206.8095910683783</v>
      </c>
      <c r="AL112" s="1129">
        <v>0</v>
      </c>
      <c r="AM112" s="1129">
        <v>0</v>
      </c>
      <c r="AN112" s="1129">
        <v>2206.8095910683783</v>
      </c>
      <c r="AO112" s="1129" t="s">
        <v>85</v>
      </c>
      <c r="AP112" s="1129" t="s">
        <v>6605</v>
      </c>
      <c r="AQ112" s="1157" t="s">
        <v>107</v>
      </c>
      <c r="AR112" s="1129" t="s">
        <v>87</v>
      </c>
      <c r="AS112" s="1127">
        <v>0.33333333333333331</v>
      </c>
      <c r="AT112" s="1127">
        <v>0.33333333333333331</v>
      </c>
      <c r="AU112" s="1127">
        <v>0.33333333333333331</v>
      </c>
      <c r="AV112" s="1127"/>
      <c r="AW112" s="1127"/>
      <c r="AX112" s="1127"/>
      <c r="AY112" s="1127"/>
      <c r="AZ112" s="1127"/>
      <c r="BA112" s="1129">
        <v>735.60319702279276</v>
      </c>
      <c r="BB112" s="1129">
        <v>735.60319702279276</v>
      </c>
      <c r="BC112" s="1129">
        <v>735.60319702279276</v>
      </c>
      <c r="BD112" s="1129">
        <v>0</v>
      </c>
      <c r="BE112" s="1129">
        <v>0</v>
      </c>
      <c r="BF112" s="1129">
        <v>0</v>
      </c>
      <c r="BG112" s="1129">
        <v>0</v>
      </c>
      <c r="BH112" s="1129">
        <v>0</v>
      </c>
      <c r="BI112" s="971"/>
      <c r="BJ112" s="971"/>
      <c r="BK112" s="971"/>
    </row>
    <row r="113" spans="1:63" s="1278" customFormat="1" ht="49.5">
      <c r="A113" s="1272">
        <v>4000</v>
      </c>
      <c r="B113" s="971" t="s">
        <v>1316</v>
      </c>
      <c r="C113" s="1272">
        <v>4700</v>
      </c>
      <c r="D113" s="971" t="s">
        <v>912</v>
      </c>
      <c r="E113" s="971" t="s">
        <v>6610</v>
      </c>
      <c r="F113" s="971" t="s">
        <v>913</v>
      </c>
      <c r="G113" s="971">
        <v>4750</v>
      </c>
      <c r="H113" s="971" t="s">
        <v>913</v>
      </c>
      <c r="I113" s="1273" t="s">
        <v>503</v>
      </c>
      <c r="J113" s="971" t="s">
        <v>124</v>
      </c>
      <c r="K113" s="971" t="s">
        <v>140</v>
      </c>
      <c r="L113" s="971" t="s">
        <v>2909</v>
      </c>
      <c r="M113" s="971" t="s">
        <v>140</v>
      </c>
      <c r="N113" s="971" t="s">
        <v>141</v>
      </c>
      <c r="O113" s="971" t="s">
        <v>3280</v>
      </c>
      <c r="P113" s="971"/>
      <c r="Q113" s="971" t="s">
        <v>1065</v>
      </c>
      <c r="R113" s="971" t="s">
        <v>2069</v>
      </c>
      <c r="S113" s="1274">
        <v>37.161217438644513</v>
      </c>
      <c r="T113" s="971" t="s">
        <v>136</v>
      </c>
      <c r="U113" s="1275">
        <v>0</v>
      </c>
      <c r="V113" s="1275">
        <v>0</v>
      </c>
      <c r="W113" s="1275">
        <v>0</v>
      </c>
      <c r="X113" s="1275">
        <v>0</v>
      </c>
      <c r="Y113" s="1275">
        <v>0</v>
      </c>
      <c r="Z113" s="1129">
        <v>0</v>
      </c>
      <c r="AA113" s="1129">
        <v>0</v>
      </c>
      <c r="AB113" s="1129">
        <v>0</v>
      </c>
      <c r="AC113" s="1129">
        <v>0</v>
      </c>
      <c r="AD113" s="1267">
        <v>0</v>
      </c>
      <c r="AE113" s="1135">
        <v>0</v>
      </c>
      <c r="AF113" s="1129">
        <v>0</v>
      </c>
      <c r="AG113" s="1127">
        <v>1</v>
      </c>
      <c r="AH113" s="1127">
        <v>0</v>
      </c>
      <c r="AI113" s="1127">
        <v>0</v>
      </c>
      <c r="AJ113" s="1127">
        <v>1</v>
      </c>
      <c r="AK113" s="1129">
        <v>0</v>
      </c>
      <c r="AL113" s="1129">
        <v>0</v>
      </c>
      <c r="AM113" s="1129">
        <v>0</v>
      </c>
      <c r="AN113" s="1129">
        <v>0</v>
      </c>
      <c r="AO113" s="1129" t="s">
        <v>85</v>
      </c>
      <c r="AP113" s="1129" t="s">
        <v>6605</v>
      </c>
      <c r="AQ113" s="1157" t="s">
        <v>107</v>
      </c>
      <c r="AR113" s="1129" t="s">
        <v>87</v>
      </c>
      <c r="AS113" s="1127">
        <v>0.33333333333333331</v>
      </c>
      <c r="AT113" s="1127">
        <v>0.33333333333333331</v>
      </c>
      <c r="AU113" s="1127">
        <v>0.33333333333333331</v>
      </c>
      <c r="AV113" s="1127"/>
      <c r="AW113" s="1127"/>
      <c r="AX113" s="1127"/>
      <c r="AY113" s="1127"/>
      <c r="AZ113" s="1127"/>
      <c r="BA113" s="1129">
        <v>0</v>
      </c>
      <c r="BB113" s="1129">
        <v>0</v>
      </c>
      <c r="BC113" s="1129">
        <v>0</v>
      </c>
      <c r="BD113" s="1129">
        <v>0</v>
      </c>
      <c r="BE113" s="1129">
        <v>0</v>
      </c>
      <c r="BF113" s="1129">
        <v>0</v>
      </c>
      <c r="BG113" s="1129">
        <v>0</v>
      </c>
      <c r="BH113" s="1129">
        <v>0</v>
      </c>
      <c r="BI113" s="971"/>
      <c r="BJ113" s="971"/>
      <c r="BK113" s="971"/>
    </row>
    <row r="114" spans="1:63" s="1278" customFormat="1" ht="49.5">
      <c r="A114" s="1272">
        <v>4000</v>
      </c>
      <c r="B114" s="971" t="s">
        <v>1316</v>
      </c>
      <c r="C114" s="1272">
        <v>4700</v>
      </c>
      <c r="D114" s="971" t="s">
        <v>912</v>
      </c>
      <c r="E114" s="971" t="s">
        <v>6610</v>
      </c>
      <c r="F114" s="971" t="s">
        <v>913</v>
      </c>
      <c r="G114" s="971">
        <v>4750</v>
      </c>
      <c r="H114" s="971" t="s">
        <v>913</v>
      </c>
      <c r="I114" s="1273" t="s">
        <v>503</v>
      </c>
      <c r="J114" s="971" t="s">
        <v>124</v>
      </c>
      <c r="K114" s="971"/>
      <c r="L114" s="971" t="e">
        <v>#N/A</v>
      </c>
      <c r="M114" s="971" t="s">
        <v>145</v>
      </c>
      <c r="N114" s="971" t="s">
        <v>141</v>
      </c>
      <c r="O114" s="971" t="s">
        <v>146</v>
      </c>
      <c r="P114" s="971"/>
      <c r="Q114" s="971" t="s">
        <v>1066</v>
      </c>
      <c r="R114" s="971" t="s">
        <v>2069</v>
      </c>
      <c r="S114" s="1274">
        <v>37.161217438644513</v>
      </c>
      <c r="T114" s="971" t="s">
        <v>136</v>
      </c>
      <c r="U114" s="1275" t="s">
        <v>6588</v>
      </c>
      <c r="V114" s="1275" t="s">
        <v>6588</v>
      </c>
      <c r="W114" s="1275" t="s">
        <v>6588</v>
      </c>
      <c r="X114" s="1275" t="s">
        <v>6588</v>
      </c>
      <c r="Y114" s="1275" t="s">
        <v>6588</v>
      </c>
      <c r="Z114" s="1129">
        <v>0</v>
      </c>
      <c r="AA114" s="1129">
        <v>0</v>
      </c>
      <c r="AB114" s="1129">
        <v>0</v>
      </c>
      <c r="AC114" s="1129">
        <v>0</v>
      </c>
      <c r="AD114" s="1267">
        <v>0</v>
      </c>
      <c r="AE114" s="1135">
        <v>0</v>
      </c>
      <c r="AF114" s="1129">
        <v>0</v>
      </c>
      <c r="AG114" s="1127">
        <v>1</v>
      </c>
      <c r="AH114" s="1127">
        <v>0</v>
      </c>
      <c r="AI114" s="1127">
        <v>0</v>
      </c>
      <c r="AJ114" s="1127">
        <v>1</v>
      </c>
      <c r="AK114" s="1129">
        <v>0</v>
      </c>
      <c r="AL114" s="1129">
        <v>0</v>
      </c>
      <c r="AM114" s="1129">
        <v>0</v>
      </c>
      <c r="AN114" s="1129">
        <v>0</v>
      </c>
      <c r="AO114" s="1129" t="s">
        <v>85</v>
      </c>
      <c r="AP114" s="1129" t="s">
        <v>6605</v>
      </c>
      <c r="AQ114" s="1157" t="s">
        <v>107</v>
      </c>
      <c r="AR114" s="1129" t="s">
        <v>87</v>
      </c>
      <c r="AS114" s="1127">
        <v>0.33333333333333331</v>
      </c>
      <c r="AT114" s="1127">
        <v>0.33333333333333331</v>
      </c>
      <c r="AU114" s="1127">
        <v>0.33333333333333331</v>
      </c>
      <c r="AV114" s="1127"/>
      <c r="AW114" s="1127"/>
      <c r="AX114" s="1127"/>
      <c r="AY114" s="1127"/>
      <c r="AZ114" s="1127"/>
      <c r="BA114" s="1129">
        <v>0</v>
      </c>
      <c r="BB114" s="1129">
        <v>0</v>
      </c>
      <c r="BC114" s="1129">
        <v>0</v>
      </c>
      <c r="BD114" s="1129">
        <v>0</v>
      </c>
      <c r="BE114" s="1129">
        <v>0</v>
      </c>
      <c r="BF114" s="1129">
        <v>0</v>
      </c>
      <c r="BG114" s="1129">
        <v>0</v>
      </c>
      <c r="BH114" s="1129">
        <v>0</v>
      </c>
      <c r="BI114" s="971"/>
      <c r="BJ114" s="971"/>
      <c r="BK114" s="971"/>
    </row>
    <row r="115" spans="1:63" s="1278" customFormat="1" ht="66">
      <c r="A115" s="1272">
        <v>4000</v>
      </c>
      <c r="B115" s="971" t="s">
        <v>1316</v>
      </c>
      <c r="C115" s="1272">
        <v>4700</v>
      </c>
      <c r="D115" s="971" t="s">
        <v>912</v>
      </c>
      <c r="E115" s="971" t="s">
        <v>6610</v>
      </c>
      <c r="F115" s="971" t="s">
        <v>913</v>
      </c>
      <c r="G115" s="971">
        <v>4750</v>
      </c>
      <c r="H115" s="971" t="s">
        <v>913</v>
      </c>
      <c r="I115" s="1273" t="s">
        <v>1604</v>
      </c>
      <c r="J115" s="971" t="s">
        <v>124</v>
      </c>
      <c r="K115" s="971" t="s">
        <v>784</v>
      </c>
      <c r="L115" s="971" t="s">
        <v>2852</v>
      </c>
      <c r="M115" s="971" t="s">
        <v>458</v>
      </c>
      <c r="N115" s="971" t="s">
        <v>127</v>
      </c>
      <c r="O115" s="971" t="s">
        <v>459</v>
      </c>
      <c r="P115" s="971"/>
      <c r="Q115" s="971" t="s">
        <v>2110</v>
      </c>
      <c r="R115" s="971" t="s">
        <v>2111</v>
      </c>
      <c r="S115" s="1274">
        <v>59.457947901831218</v>
      </c>
      <c r="T115" s="971" t="s">
        <v>136</v>
      </c>
      <c r="U115" s="1275">
        <v>0.22416666666666665</v>
      </c>
      <c r="V115" s="1275">
        <v>3.3624999999999998</v>
      </c>
      <c r="W115" s="1275">
        <v>22.397249563492064</v>
      </c>
      <c r="X115" s="1275">
        <v>33.625</v>
      </c>
      <c r="Y115" s="1275">
        <v>59.384749563492065</v>
      </c>
      <c r="Z115" s="1129">
        <v>13.32848998799383</v>
      </c>
      <c r="AA115" s="1129">
        <v>199.92734981990745</v>
      </c>
      <c r="AB115" s="1129">
        <v>1331.6944976904231</v>
      </c>
      <c r="AC115" s="1129">
        <v>1999.2734981990748</v>
      </c>
      <c r="AD115" s="1267">
        <v>3530.8953457094053</v>
      </c>
      <c r="AE115" s="1135">
        <v>1</v>
      </c>
      <c r="AF115" s="1129">
        <v>59.457947901831218</v>
      </c>
      <c r="AG115" s="1127">
        <v>1</v>
      </c>
      <c r="AH115" s="1127">
        <v>0</v>
      </c>
      <c r="AI115" s="1127">
        <v>0</v>
      </c>
      <c r="AJ115" s="1127">
        <v>1</v>
      </c>
      <c r="AK115" s="1129">
        <v>3530.8953457094053</v>
      </c>
      <c r="AL115" s="1129">
        <v>0</v>
      </c>
      <c r="AM115" s="1129">
        <v>0</v>
      </c>
      <c r="AN115" s="1129">
        <v>3530.8953457094053</v>
      </c>
      <c r="AO115" s="1129" t="s">
        <v>85</v>
      </c>
      <c r="AP115" s="1129" t="s">
        <v>6605</v>
      </c>
      <c r="AQ115" s="1157" t="s">
        <v>107</v>
      </c>
      <c r="AR115" s="1129" t="s">
        <v>87</v>
      </c>
      <c r="AS115" s="1127">
        <v>0.33333333333333331</v>
      </c>
      <c r="AT115" s="1127">
        <v>0.33333333333333331</v>
      </c>
      <c r="AU115" s="1127">
        <v>0.33333333333333331</v>
      </c>
      <c r="AV115" s="1127"/>
      <c r="AW115" s="1127"/>
      <c r="AX115" s="1127"/>
      <c r="AY115" s="1127"/>
      <c r="AZ115" s="1127"/>
      <c r="BA115" s="1129">
        <v>1176.9651152364684</v>
      </c>
      <c r="BB115" s="1129">
        <v>1176.9651152364684</v>
      </c>
      <c r="BC115" s="1129">
        <v>1176.9651152364684</v>
      </c>
      <c r="BD115" s="1129">
        <v>0</v>
      </c>
      <c r="BE115" s="1129">
        <v>0</v>
      </c>
      <c r="BF115" s="1129">
        <v>0</v>
      </c>
      <c r="BG115" s="1129">
        <v>0</v>
      </c>
      <c r="BH115" s="1129">
        <v>0</v>
      </c>
      <c r="BI115" s="971"/>
      <c r="BJ115" s="971"/>
      <c r="BK115" s="971"/>
    </row>
    <row r="116" spans="1:63" s="1278" customFormat="1" ht="49.5">
      <c r="A116" s="1272">
        <v>4000</v>
      </c>
      <c r="B116" s="971" t="s">
        <v>1316</v>
      </c>
      <c r="C116" s="1272">
        <v>4700</v>
      </c>
      <c r="D116" s="971" t="s">
        <v>912</v>
      </c>
      <c r="E116" s="971" t="s">
        <v>6610</v>
      </c>
      <c r="F116" s="971" t="s">
        <v>913</v>
      </c>
      <c r="G116" s="971">
        <v>4750</v>
      </c>
      <c r="H116" s="971" t="s">
        <v>913</v>
      </c>
      <c r="I116" s="1273" t="s">
        <v>1604</v>
      </c>
      <c r="J116" s="971" t="s">
        <v>124</v>
      </c>
      <c r="K116" s="971" t="s">
        <v>140</v>
      </c>
      <c r="L116" s="971" t="s">
        <v>2909</v>
      </c>
      <c r="M116" s="971" t="s">
        <v>140</v>
      </c>
      <c r="N116" s="971" t="s">
        <v>141</v>
      </c>
      <c r="O116" s="971" t="s">
        <v>3280</v>
      </c>
      <c r="P116" s="971"/>
      <c r="Q116" s="971" t="s">
        <v>2117</v>
      </c>
      <c r="R116" s="971" t="s">
        <v>2111</v>
      </c>
      <c r="S116" s="1274">
        <v>59.457947901831218</v>
      </c>
      <c r="T116" s="971" t="s">
        <v>136</v>
      </c>
      <c r="U116" s="1275">
        <v>0</v>
      </c>
      <c r="V116" s="1275">
        <v>0</v>
      </c>
      <c r="W116" s="1275">
        <v>0</v>
      </c>
      <c r="X116" s="1275">
        <v>0</v>
      </c>
      <c r="Y116" s="1275">
        <v>0</v>
      </c>
      <c r="Z116" s="1129">
        <v>0</v>
      </c>
      <c r="AA116" s="1129">
        <v>0</v>
      </c>
      <c r="AB116" s="1129">
        <v>0</v>
      </c>
      <c r="AC116" s="1129">
        <v>0</v>
      </c>
      <c r="AD116" s="1267">
        <v>0</v>
      </c>
      <c r="AE116" s="1135">
        <v>0</v>
      </c>
      <c r="AF116" s="1129">
        <v>0</v>
      </c>
      <c r="AG116" s="1127">
        <v>1</v>
      </c>
      <c r="AH116" s="1127">
        <v>0</v>
      </c>
      <c r="AI116" s="1127">
        <v>0</v>
      </c>
      <c r="AJ116" s="1127">
        <v>1</v>
      </c>
      <c r="AK116" s="1129">
        <v>0</v>
      </c>
      <c r="AL116" s="1129">
        <v>0</v>
      </c>
      <c r="AM116" s="1129">
        <v>0</v>
      </c>
      <c r="AN116" s="1129">
        <v>0</v>
      </c>
      <c r="AO116" s="1129" t="s">
        <v>85</v>
      </c>
      <c r="AP116" s="1129" t="s">
        <v>6605</v>
      </c>
      <c r="AQ116" s="1157" t="s">
        <v>107</v>
      </c>
      <c r="AR116" s="1129" t="s">
        <v>87</v>
      </c>
      <c r="AS116" s="1127">
        <v>0.33333333333333331</v>
      </c>
      <c r="AT116" s="1127">
        <v>0.33333333333333331</v>
      </c>
      <c r="AU116" s="1127">
        <v>0.33333333333333331</v>
      </c>
      <c r="AV116" s="1127"/>
      <c r="AW116" s="1127"/>
      <c r="AX116" s="1127"/>
      <c r="AY116" s="1127"/>
      <c r="AZ116" s="1127"/>
      <c r="BA116" s="1129">
        <v>0</v>
      </c>
      <c r="BB116" s="1129">
        <v>0</v>
      </c>
      <c r="BC116" s="1129">
        <v>0</v>
      </c>
      <c r="BD116" s="1129">
        <v>0</v>
      </c>
      <c r="BE116" s="1129">
        <v>0</v>
      </c>
      <c r="BF116" s="1129">
        <v>0</v>
      </c>
      <c r="BG116" s="1129">
        <v>0</v>
      </c>
      <c r="BH116" s="1129">
        <v>0</v>
      </c>
      <c r="BI116" s="971"/>
      <c r="BJ116" s="971"/>
      <c r="BK116" s="971"/>
    </row>
    <row r="117" spans="1:63" s="1278" customFormat="1" ht="49.5">
      <c r="A117" s="1272">
        <v>4000</v>
      </c>
      <c r="B117" s="971" t="s">
        <v>1316</v>
      </c>
      <c r="C117" s="1272">
        <v>4700</v>
      </c>
      <c r="D117" s="971" t="s">
        <v>912</v>
      </c>
      <c r="E117" s="971" t="s">
        <v>6610</v>
      </c>
      <c r="F117" s="971" t="s">
        <v>913</v>
      </c>
      <c r="G117" s="971">
        <v>4750</v>
      </c>
      <c r="H117" s="971" t="s">
        <v>913</v>
      </c>
      <c r="I117" s="1273" t="s">
        <v>1604</v>
      </c>
      <c r="J117" s="971" t="s">
        <v>124</v>
      </c>
      <c r="K117" s="971"/>
      <c r="L117" s="971" t="e">
        <v>#N/A</v>
      </c>
      <c r="M117" s="971" t="s">
        <v>145</v>
      </c>
      <c r="N117" s="971" t="s">
        <v>141</v>
      </c>
      <c r="O117" s="971" t="s">
        <v>146</v>
      </c>
      <c r="P117" s="971"/>
      <c r="Q117" s="971" t="s">
        <v>2112</v>
      </c>
      <c r="R117" s="971" t="s">
        <v>2111</v>
      </c>
      <c r="S117" s="1274">
        <v>59.457947901831218</v>
      </c>
      <c r="T117" s="971" t="s">
        <v>136</v>
      </c>
      <c r="U117" s="1275" t="s">
        <v>6588</v>
      </c>
      <c r="V117" s="1275" t="s">
        <v>6588</v>
      </c>
      <c r="W117" s="1275" t="s">
        <v>6588</v>
      </c>
      <c r="X117" s="1275" t="s">
        <v>6588</v>
      </c>
      <c r="Y117" s="1275" t="s">
        <v>6588</v>
      </c>
      <c r="Z117" s="1129">
        <v>0</v>
      </c>
      <c r="AA117" s="1129">
        <v>0</v>
      </c>
      <c r="AB117" s="1129">
        <v>0</v>
      </c>
      <c r="AC117" s="1129">
        <v>0</v>
      </c>
      <c r="AD117" s="1267">
        <v>0</v>
      </c>
      <c r="AE117" s="1135">
        <v>0</v>
      </c>
      <c r="AF117" s="1129">
        <v>0</v>
      </c>
      <c r="AG117" s="1127">
        <v>1</v>
      </c>
      <c r="AH117" s="1127">
        <v>0</v>
      </c>
      <c r="AI117" s="1127">
        <v>0</v>
      </c>
      <c r="AJ117" s="1127">
        <v>1</v>
      </c>
      <c r="AK117" s="1129">
        <v>0</v>
      </c>
      <c r="AL117" s="1129">
        <v>0</v>
      </c>
      <c r="AM117" s="1129">
        <v>0</v>
      </c>
      <c r="AN117" s="1129">
        <v>0</v>
      </c>
      <c r="AO117" s="1129" t="s">
        <v>85</v>
      </c>
      <c r="AP117" s="1129" t="s">
        <v>6605</v>
      </c>
      <c r="AQ117" s="1157" t="s">
        <v>107</v>
      </c>
      <c r="AR117" s="1129" t="s">
        <v>87</v>
      </c>
      <c r="AS117" s="1127">
        <v>0.33333333333333331</v>
      </c>
      <c r="AT117" s="1127">
        <v>0.33333333333333331</v>
      </c>
      <c r="AU117" s="1127">
        <v>0.33333333333333331</v>
      </c>
      <c r="AV117" s="1127"/>
      <c r="AW117" s="1127"/>
      <c r="AX117" s="1127"/>
      <c r="AY117" s="1127"/>
      <c r="AZ117" s="1127"/>
      <c r="BA117" s="1129">
        <v>0</v>
      </c>
      <c r="BB117" s="1129">
        <v>0</v>
      </c>
      <c r="BC117" s="1129">
        <v>0</v>
      </c>
      <c r="BD117" s="1129">
        <v>0</v>
      </c>
      <c r="BE117" s="1129">
        <v>0</v>
      </c>
      <c r="BF117" s="1129">
        <v>0</v>
      </c>
      <c r="BG117" s="1129">
        <v>0</v>
      </c>
      <c r="BH117" s="1129">
        <v>0</v>
      </c>
      <c r="BI117" s="971"/>
      <c r="BJ117" s="971"/>
      <c r="BK117" s="971"/>
    </row>
    <row r="118" spans="1:63" s="1278" customFormat="1" ht="66">
      <c r="A118" s="1272">
        <v>4000</v>
      </c>
      <c r="B118" s="971" t="s">
        <v>1316</v>
      </c>
      <c r="C118" s="1272">
        <v>4700</v>
      </c>
      <c r="D118" s="971" t="s">
        <v>912</v>
      </c>
      <c r="E118" s="971" t="s">
        <v>6610</v>
      </c>
      <c r="F118" s="971" t="s">
        <v>913</v>
      </c>
      <c r="G118" s="971">
        <v>4750</v>
      </c>
      <c r="H118" s="971" t="s">
        <v>913</v>
      </c>
      <c r="I118" s="1273" t="s">
        <v>1609</v>
      </c>
      <c r="J118" s="971" t="s">
        <v>124</v>
      </c>
      <c r="K118" s="971" t="s">
        <v>784</v>
      </c>
      <c r="L118" s="971" t="s">
        <v>2852</v>
      </c>
      <c r="M118" s="971" t="s">
        <v>458</v>
      </c>
      <c r="N118" s="971" t="s">
        <v>127</v>
      </c>
      <c r="O118" s="971" t="s">
        <v>459</v>
      </c>
      <c r="P118" s="971"/>
      <c r="Q118" s="971" t="s">
        <v>2113</v>
      </c>
      <c r="R118" s="971" t="s">
        <v>2114</v>
      </c>
      <c r="S118" s="1274">
        <v>59.457947901831218</v>
      </c>
      <c r="T118" s="971" t="s">
        <v>136</v>
      </c>
      <c r="U118" s="1275">
        <v>0.22416666666666665</v>
      </c>
      <c r="V118" s="1275">
        <v>3.3624999999999998</v>
      </c>
      <c r="W118" s="1275">
        <v>22.397249563492064</v>
      </c>
      <c r="X118" s="1275">
        <v>33.625</v>
      </c>
      <c r="Y118" s="1275">
        <v>59.384749563492065</v>
      </c>
      <c r="Z118" s="1129">
        <v>13.32848998799383</v>
      </c>
      <c r="AA118" s="1129">
        <v>199.92734981990745</v>
      </c>
      <c r="AB118" s="1129">
        <v>1331.6944976904231</v>
      </c>
      <c r="AC118" s="1129">
        <v>1999.2734981990748</v>
      </c>
      <c r="AD118" s="1267">
        <v>3530.8953457094053</v>
      </c>
      <c r="AE118" s="1135">
        <v>1</v>
      </c>
      <c r="AF118" s="1129">
        <v>59.457947901831218</v>
      </c>
      <c r="AG118" s="1127">
        <v>1</v>
      </c>
      <c r="AH118" s="1127">
        <v>0</v>
      </c>
      <c r="AI118" s="1127">
        <v>0</v>
      </c>
      <c r="AJ118" s="1127">
        <v>1</v>
      </c>
      <c r="AK118" s="1129">
        <v>3530.8953457094053</v>
      </c>
      <c r="AL118" s="1129">
        <v>0</v>
      </c>
      <c r="AM118" s="1129">
        <v>0</v>
      </c>
      <c r="AN118" s="1129">
        <v>3530.8953457094053</v>
      </c>
      <c r="AO118" s="1129" t="s">
        <v>85</v>
      </c>
      <c r="AP118" s="1129" t="s">
        <v>6605</v>
      </c>
      <c r="AQ118" s="1157" t="s">
        <v>107</v>
      </c>
      <c r="AR118" s="1129" t="s">
        <v>87</v>
      </c>
      <c r="AS118" s="1127">
        <v>0.33333333333333331</v>
      </c>
      <c r="AT118" s="1127">
        <v>0.33333333333333331</v>
      </c>
      <c r="AU118" s="1127">
        <v>0.33333333333333331</v>
      </c>
      <c r="AV118" s="1127"/>
      <c r="AW118" s="1127"/>
      <c r="AX118" s="1127"/>
      <c r="AY118" s="1127"/>
      <c r="AZ118" s="1127"/>
      <c r="BA118" s="1129">
        <v>1176.9651152364684</v>
      </c>
      <c r="BB118" s="1129">
        <v>1176.9651152364684</v>
      </c>
      <c r="BC118" s="1129">
        <v>1176.9651152364684</v>
      </c>
      <c r="BD118" s="1129">
        <v>0</v>
      </c>
      <c r="BE118" s="1129">
        <v>0</v>
      </c>
      <c r="BF118" s="1129">
        <v>0</v>
      </c>
      <c r="BG118" s="1129">
        <v>0</v>
      </c>
      <c r="BH118" s="1129">
        <v>0</v>
      </c>
      <c r="BI118" s="971"/>
      <c r="BJ118" s="971"/>
      <c r="BK118" s="971"/>
    </row>
    <row r="119" spans="1:63" s="1278" customFormat="1" ht="49.5">
      <c r="A119" s="1272">
        <v>4000</v>
      </c>
      <c r="B119" s="971" t="s">
        <v>1316</v>
      </c>
      <c r="C119" s="1272">
        <v>4700</v>
      </c>
      <c r="D119" s="971" t="s">
        <v>912</v>
      </c>
      <c r="E119" s="971" t="s">
        <v>6610</v>
      </c>
      <c r="F119" s="971" t="s">
        <v>913</v>
      </c>
      <c r="G119" s="971">
        <v>4750</v>
      </c>
      <c r="H119" s="971" t="s">
        <v>913</v>
      </c>
      <c r="I119" s="1273" t="s">
        <v>1609</v>
      </c>
      <c r="J119" s="971" t="s">
        <v>124</v>
      </c>
      <c r="K119" s="971" t="s">
        <v>140</v>
      </c>
      <c r="L119" s="971" t="s">
        <v>2909</v>
      </c>
      <c r="M119" s="971" t="s">
        <v>140</v>
      </c>
      <c r="N119" s="971" t="s">
        <v>141</v>
      </c>
      <c r="O119" s="971" t="s">
        <v>3280</v>
      </c>
      <c r="P119" s="971"/>
      <c r="Q119" s="971" t="s">
        <v>2115</v>
      </c>
      <c r="R119" s="971" t="s">
        <v>2114</v>
      </c>
      <c r="S119" s="1274">
        <v>59.457947901831218</v>
      </c>
      <c r="T119" s="971" t="s">
        <v>136</v>
      </c>
      <c r="U119" s="1275">
        <v>0</v>
      </c>
      <c r="V119" s="1275">
        <v>0</v>
      </c>
      <c r="W119" s="1275">
        <v>0</v>
      </c>
      <c r="X119" s="1275">
        <v>0</v>
      </c>
      <c r="Y119" s="1275">
        <v>0</v>
      </c>
      <c r="Z119" s="1129">
        <v>0</v>
      </c>
      <c r="AA119" s="1129">
        <v>0</v>
      </c>
      <c r="AB119" s="1129">
        <v>0</v>
      </c>
      <c r="AC119" s="1129">
        <v>0</v>
      </c>
      <c r="AD119" s="1267">
        <v>0</v>
      </c>
      <c r="AE119" s="1135">
        <v>0</v>
      </c>
      <c r="AF119" s="1129">
        <v>0</v>
      </c>
      <c r="AG119" s="1127">
        <v>1</v>
      </c>
      <c r="AH119" s="1127">
        <v>0</v>
      </c>
      <c r="AI119" s="1127">
        <v>0</v>
      </c>
      <c r="AJ119" s="1127">
        <v>1</v>
      </c>
      <c r="AK119" s="1129">
        <v>0</v>
      </c>
      <c r="AL119" s="1129">
        <v>0</v>
      </c>
      <c r="AM119" s="1129">
        <v>0</v>
      </c>
      <c r="AN119" s="1129">
        <v>0</v>
      </c>
      <c r="AO119" s="1129" t="s">
        <v>85</v>
      </c>
      <c r="AP119" s="1129" t="s">
        <v>6605</v>
      </c>
      <c r="AQ119" s="1157" t="s">
        <v>107</v>
      </c>
      <c r="AR119" s="1129" t="s">
        <v>87</v>
      </c>
      <c r="AS119" s="1127">
        <v>0.33333333333333331</v>
      </c>
      <c r="AT119" s="1127">
        <v>0.33333333333333331</v>
      </c>
      <c r="AU119" s="1127">
        <v>0.33333333333333331</v>
      </c>
      <c r="AV119" s="1127"/>
      <c r="AW119" s="1127"/>
      <c r="AX119" s="1127"/>
      <c r="AY119" s="1127"/>
      <c r="AZ119" s="1127"/>
      <c r="BA119" s="1129">
        <v>0</v>
      </c>
      <c r="BB119" s="1129">
        <v>0</v>
      </c>
      <c r="BC119" s="1129">
        <v>0</v>
      </c>
      <c r="BD119" s="1129">
        <v>0</v>
      </c>
      <c r="BE119" s="1129">
        <v>0</v>
      </c>
      <c r="BF119" s="1129">
        <v>0</v>
      </c>
      <c r="BG119" s="1129">
        <v>0</v>
      </c>
      <c r="BH119" s="1129">
        <v>0</v>
      </c>
      <c r="BI119" s="971"/>
      <c r="BJ119" s="971"/>
      <c r="BK119" s="971"/>
    </row>
    <row r="120" spans="1:63" s="1278" customFormat="1" ht="49.5">
      <c r="A120" s="1272">
        <v>4000</v>
      </c>
      <c r="B120" s="971" t="s">
        <v>1316</v>
      </c>
      <c r="C120" s="1272">
        <v>4700</v>
      </c>
      <c r="D120" s="971" t="s">
        <v>912</v>
      </c>
      <c r="E120" s="971" t="s">
        <v>6610</v>
      </c>
      <c r="F120" s="971" t="s">
        <v>913</v>
      </c>
      <c r="G120" s="971">
        <v>4750</v>
      </c>
      <c r="H120" s="971" t="s">
        <v>913</v>
      </c>
      <c r="I120" s="1273" t="s">
        <v>1609</v>
      </c>
      <c r="J120" s="971" t="s">
        <v>124</v>
      </c>
      <c r="K120" s="971"/>
      <c r="L120" s="971" t="e">
        <v>#N/A</v>
      </c>
      <c r="M120" s="971" t="s">
        <v>145</v>
      </c>
      <c r="N120" s="971" t="s">
        <v>141</v>
      </c>
      <c r="O120" s="971" t="s">
        <v>146</v>
      </c>
      <c r="P120" s="971"/>
      <c r="Q120" s="971" t="s">
        <v>2118</v>
      </c>
      <c r="R120" s="971" t="s">
        <v>2114</v>
      </c>
      <c r="S120" s="1274">
        <v>59.457947901831218</v>
      </c>
      <c r="T120" s="971" t="s">
        <v>136</v>
      </c>
      <c r="U120" s="1275" t="s">
        <v>6588</v>
      </c>
      <c r="V120" s="1275" t="s">
        <v>6588</v>
      </c>
      <c r="W120" s="1275" t="s">
        <v>6588</v>
      </c>
      <c r="X120" s="1275" t="s">
        <v>6588</v>
      </c>
      <c r="Y120" s="1275" t="s">
        <v>6588</v>
      </c>
      <c r="Z120" s="1129">
        <v>0</v>
      </c>
      <c r="AA120" s="1129">
        <v>0</v>
      </c>
      <c r="AB120" s="1129">
        <v>0</v>
      </c>
      <c r="AC120" s="1129">
        <v>0</v>
      </c>
      <c r="AD120" s="1267">
        <v>0</v>
      </c>
      <c r="AE120" s="1135">
        <v>0</v>
      </c>
      <c r="AF120" s="1129">
        <v>0</v>
      </c>
      <c r="AG120" s="1127">
        <v>1</v>
      </c>
      <c r="AH120" s="1127">
        <v>0</v>
      </c>
      <c r="AI120" s="1127">
        <v>0</v>
      </c>
      <c r="AJ120" s="1127">
        <v>1</v>
      </c>
      <c r="AK120" s="1129">
        <v>0</v>
      </c>
      <c r="AL120" s="1129">
        <v>0</v>
      </c>
      <c r="AM120" s="1129">
        <v>0</v>
      </c>
      <c r="AN120" s="1129">
        <v>0</v>
      </c>
      <c r="AO120" s="1129" t="s">
        <v>85</v>
      </c>
      <c r="AP120" s="1129" t="s">
        <v>6605</v>
      </c>
      <c r="AQ120" s="1157" t="s">
        <v>107</v>
      </c>
      <c r="AR120" s="1129" t="s">
        <v>87</v>
      </c>
      <c r="AS120" s="1127">
        <v>0.33333333333333331</v>
      </c>
      <c r="AT120" s="1127">
        <v>0.33333333333333331</v>
      </c>
      <c r="AU120" s="1127">
        <v>0.33333333333333331</v>
      </c>
      <c r="AV120" s="1127"/>
      <c r="AW120" s="1127"/>
      <c r="AX120" s="1127"/>
      <c r="AY120" s="1127"/>
      <c r="AZ120" s="1127"/>
      <c r="BA120" s="1129">
        <v>0</v>
      </c>
      <c r="BB120" s="1129">
        <v>0</v>
      </c>
      <c r="BC120" s="1129">
        <v>0</v>
      </c>
      <c r="BD120" s="1129">
        <v>0</v>
      </c>
      <c r="BE120" s="1129">
        <v>0</v>
      </c>
      <c r="BF120" s="1129">
        <v>0</v>
      </c>
      <c r="BG120" s="1129">
        <v>0</v>
      </c>
      <c r="BH120" s="1129">
        <v>0</v>
      </c>
      <c r="BI120" s="971"/>
      <c r="BJ120" s="971"/>
      <c r="BK120" s="971"/>
    </row>
    <row r="121" spans="1:63" s="1278" customFormat="1" ht="66">
      <c r="A121" s="1272">
        <v>7000</v>
      </c>
      <c r="B121" s="971" t="s">
        <v>2420</v>
      </c>
      <c r="C121" s="1272">
        <v>7200</v>
      </c>
      <c r="D121" s="971" t="s">
        <v>119</v>
      </c>
      <c r="E121" s="971">
        <v>7230</v>
      </c>
      <c r="F121" s="971" t="s">
        <v>2430</v>
      </c>
      <c r="G121" s="971">
        <v>7235</v>
      </c>
      <c r="H121" s="971" t="s">
        <v>2459</v>
      </c>
      <c r="I121" s="1273" t="s">
        <v>590</v>
      </c>
      <c r="J121" s="971" t="s">
        <v>124</v>
      </c>
      <c r="K121" s="971" t="s">
        <v>784</v>
      </c>
      <c r="L121" s="971" t="s">
        <v>2852</v>
      </c>
      <c r="M121" s="971" t="s">
        <v>517</v>
      </c>
      <c r="N121" s="971" t="s">
        <v>127</v>
      </c>
      <c r="O121" s="971" t="s">
        <v>518</v>
      </c>
      <c r="P121" s="971"/>
      <c r="Q121" s="971" t="s">
        <v>2467</v>
      </c>
      <c r="R121" s="971" t="s">
        <v>2485</v>
      </c>
      <c r="S121" s="1274">
        <v>371.61217438644508</v>
      </c>
      <c r="T121" s="971" t="s">
        <v>136</v>
      </c>
      <c r="U121" s="1275">
        <v>0.22416666666666665</v>
      </c>
      <c r="V121" s="1275">
        <v>3.3624999999999998</v>
      </c>
      <c r="W121" s="1275">
        <v>22.397249563492064</v>
      </c>
      <c r="X121" s="1275">
        <v>33.625</v>
      </c>
      <c r="Y121" s="1275">
        <v>59.384749563492065</v>
      </c>
      <c r="Z121" s="1129">
        <v>83.303062424961439</v>
      </c>
      <c r="AA121" s="1129">
        <v>1249.5459363744214</v>
      </c>
      <c r="AB121" s="1129">
        <v>8323.0906105651429</v>
      </c>
      <c r="AC121" s="1129">
        <v>12495.459363744216</v>
      </c>
      <c r="AD121" s="1267">
        <v>22068.09591068378</v>
      </c>
      <c r="AE121" s="1135">
        <v>1</v>
      </c>
      <c r="AF121" s="1129">
        <v>371.61217438644508</v>
      </c>
      <c r="AG121" s="1127">
        <v>1</v>
      </c>
      <c r="AH121" s="1127">
        <v>0</v>
      </c>
      <c r="AI121" s="1127">
        <v>0</v>
      </c>
      <c r="AJ121" s="1127">
        <v>1</v>
      </c>
      <c r="AK121" s="1129">
        <v>22068.09591068378</v>
      </c>
      <c r="AL121" s="1129">
        <v>0</v>
      </c>
      <c r="AM121" s="1129">
        <v>0</v>
      </c>
      <c r="AN121" s="1129">
        <v>22068.09591068378</v>
      </c>
      <c r="AO121" s="1129" t="s">
        <v>85</v>
      </c>
      <c r="AP121" s="1129" t="s">
        <v>6605</v>
      </c>
      <c r="AQ121" s="1157" t="s">
        <v>107</v>
      </c>
      <c r="AR121" s="1129" t="s">
        <v>87</v>
      </c>
      <c r="AS121" s="1127">
        <v>0.33333333333333331</v>
      </c>
      <c r="AT121" s="1127">
        <v>0.33333333333333331</v>
      </c>
      <c r="AU121" s="1127">
        <v>0.33333333333333331</v>
      </c>
      <c r="AV121" s="1127"/>
      <c r="AW121" s="1127"/>
      <c r="AX121" s="1127"/>
      <c r="AY121" s="1127"/>
      <c r="AZ121" s="1127"/>
      <c r="BA121" s="1129">
        <v>7356.0319702279266</v>
      </c>
      <c r="BB121" s="1129">
        <v>7356.0319702279266</v>
      </c>
      <c r="BC121" s="1129">
        <v>7356.0319702279266</v>
      </c>
      <c r="BD121" s="1129">
        <v>0</v>
      </c>
      <c r="BE121" s="1129">
        <v>0</v>
      </c>
      <c r="BF121" s="1129">
        <v>0</v>
      </c>
      <c r="BG121" s="1129">
        <v>0</v>
      </c>
      <c r="BH121" s="1129">
        <v>0</v>
      </c>
      <c r="BI121" s="971"/>
      <c r="BJ121" s="971"/>
      <c r="BK121" s="971"/>
    </row>
    <row r="122" spans="1:63" s="1278" customFormat="1" ht="49.5">
      <c r="A122" s="1272">
        <v>7000</v>
      </c>
      <c r="B122" s="971" t="s">
        <v>2420</v>
      </c>
      <c r="C122" s="1272">
        <v>7200</v>
      </c>
      <c r="D122" s="971" t="s">
        <v>119</v>
      </c>
      <c r="E122" s="971">
        <v>7230</v>
      </c>
      <c r="F122" s="971" t="s">
        <v>2430</v>
      </c>
      <c r="G122" s="971">
        <v>7235</v>
      </c>
      <c r="H122" s="971" t="s">
        <v>2459</v>
      </c>
      <c r="I122" s="1273" t="s">
        <v>590</v>
      </c>
      <c r="J122" s="971" t="s">
        <v>124</v>
      </c>
      <c r="K122" s="971" t="s">
        <v>523</v>
      </c>
      <c r="L122" s="971" t="s">
        <v>6607</v>
      </c>
      <c r="M122" s="971" t="s">
        <v>523</v>
      </c>
      <c r="N122" s="971" t="s">
        <v>141</v>
      </c>
      <c r="O122" s="971" t="s">
        <v>524</v>
      </c>
      <c r="P122" s="971"/>
      <c r="Q122" s="971" t="s">
        <v>2472</v>
      </c>
      <c r="R122" s="971" t="s">
        <v>2485</v>
      </c>
      <c r="S122" s="1274">
        <v>371.61217438644508</v>
      </c>
      <c r="T122" s="971" t="s">
        <v>136</v>
      </c>
      <c r="U122" s="1275">
        <v>0.14520631503408685</v>
      </c>
      <c r="V122" s="1275">
        <v>2.1780947255113023</v>
      </c>
      <c r="W122" s="1275">
        <v>14.50805387069216</v>
      </c>
      <c r="X122" s="1275">
        <v>21.780947255113027</v>
      </c>
      <c r="Y122" s="1275">
        <v>38.467095851316493</v>
      </c>
      <c r="Z122" s="1129">
        <v>53.960434464460164</v>
      </c>
      <c r="AA122" s="1129">
        <v>809.40651696690236</v>
      </c>
      <c r="AB122" s="1129">
        <v>5391.3694450035946</v>
      </c>
      <c r="AC122" s="1129">
        <v>8094.0651696690247</v>
      </c>
      <c r="AD122" s="1267">
        <v>14294.841131639523</v>
      </c>
      <c r="AE122" s="1135">
        <v>0.75</v>
      </c>
      <c r="AF122" s="1129">
        <v>278.70913078983381</v>
      </c>
      <c r="AG122" s="1127">
        <v>1</v>
      </c>
      <c r="AH122" s="1127">
        <v>0</v>
      </c>
      <c r="AI122" s="1127">
        <v>0</v>
      </c>
      <c r="AJ122" s="1127">
        <v>1</v>
      </c>
      <c r="AK122" s="1129">
        <v>14294.841131639523</v>
      </c>
      <c r="AL122" s="1129">
        <v>0</v>
      </c>
      <c r="AM122" s="1129">
        <v>0</v>
      </c>
      <c r="AN122" s="1129">
        <v>14294.841131639523</v>
      </c>
      <c r="AO122" s="1129" t="s">
        <v>85</v>
      </c>
      <c r="AP122" s="1129" t="s">
        <v>6605</v>
      </c>
      <c r="AQ122" s="1157" t="s">
        <v>107</v>
      </c>
      <c r="AR122" s="1129" t="s">
        <v>87</v>
      </c>
      <c r="AS122" s="1127">
        <v>0.33333333333333331</v>
      </c>
      <c r="AT122" s="1127">
        <v>0.33333333333333331</v>
      </c>
      <c r="AU122" s="1127">
        <v>0.33333333333333331</v>
      </c>
      <c r="AV122" s="1127"/>
      <c r="AW122" s="1127"/>
      <c r="AX122" s="1127"/>
      <c r="AY122" s="1127"/>
      <c r="AZ122" s="1127"/>
      <c r="BA122" s="1129">
        <v>4764.9470438798407</v>
      </c>
      <c r="BB122" s="1129">
        <v>4764.9470438798407</v>
      </c>
      <c r="BC122" s="1129">
        <v>4764.9470438798407</v>
      </c>
      <c r="BD122" s="1129">
        <v>0</v>
      </c>
      <c r="BE122" s="1129">
        <v>0</v>
      </c>
      <c r="BF122" s="1129">
        <v>0</v>
      </c>
      <c r="BG122" s="1129">
        <v>0</v>
      </c>
      <c r="BH122" s="1129">
        <v>0</v>
      </c>
      <c r="BI122" s="971"/>
      <c r="BJ122" s="971"/>
      <c r="BK122" s="971"/>
    </row>
    <row r="123" spans="1:63" s="1278" customFormat="1" ht="49.5">
      <c r="A123" s="1272">
        <v>7000</v>
      </c>
      <c r="B123" s="971" t="s">
        <v>2420</v>
      </c>
      <c r="C123" s="1272">
        <v>7200</v>
      </c>
      <c r="D123" s="971" t="s">
        <v>119</v>
      </c>
      <c r="E123" s="971">
        <v>7230</v>
      </c>
      <c r="F123" s="971" t="s">
        <v>2430</v>
      </c>
      <c r="G123" s="971">
        <v>7235</v>
      </c>
      <c r="H123" s="971" t="s">
        <v>2459</v>
      </c>
      <c r="I123" s="1273" t="s">
        <v>590</v>
      </c>
      <c r="J123" s="971" t="s">
        <v>124</v>
      </c>
      <c r="K123" s="971" t="s">
        <v>140</v>
      </c>
      <c r="L123" s="971" t="s">
        <v>2909</v>
      </c>
      <c r="M123" s="971" t="s">
        <v>140</v>
      </c>
      <c r="N123" s="971" t="s">
        <v>141</v>
      </c>
      <c r="O123" s="971" t="s">
        <v>3280</v>
      </c>
      <c r="P123" s="971"/>
      <c r="Q123" s="971" t="s">
        <v>2484</v>
      </c>
      <c r="R123" s="971" t="s">
        <v>2485</v>
      </c>
      <c r="S123" s="1274">
        <v>371.61217438644508</v>
      </c>
      <c r="T123" s="971" t="s">
        <v>136</v>
      </c>
      <c r="U123" s="1275">
        <v>0</v>
      </c>
      <c r="V123" s="1275">
        <v>0</v>
      </c>
      <c r="W123" s="1275">
        <v>0</v>
      </c>
      <c r="X123" s="1275">
        <v>0</v>
      </c>
      <c r="Y123" s="1275">
        <v>0</v>
      </c>
      <c r="Z123" s="1129">
        <v>0</v>
      </c>
      <c r="AA123" s="1129">
        <v>0</v>
      </c>
      <c r="AB123" s="1129">
        <v>0</v>
      </c>
      <c r="AC123" s="1129">
        <v>0</v>
      </c>
      <c r="AD123" s="1267">
        <v>0</v>
      </c>
      <c r="AE123" s="1135">
        <v>0</v>
      </c>
      <c r="AF123" s="1129">
        <v>0</v>
      </c>
      <c r="AG123" s="1127">
        <v>1</v>
      </c>
      <c r="AH123" s="1127">
        <v>0</v>
      </c>
      <c r="AI123" s="1127">
        <v>0</v>
      </c>
      <c r="AJ123" s="1127">
        <v>1</v>
      </c>
      <c r="AK123" s="1129">
        <v>0</v>
      </c>
      <c r="AL123" s="1129">
        <v>0</v>
      </c>
      <c r="AM123" s="1129">
        <v>0</v>
      </c>
      <c r="AN123" s="1129">
        <v>0</v>
      </c>
      <c r="AO123" s="1129" t="s">
        <v>85</v>
      </c>
      <c r="AP123" s="1129" t="s">
        <v>6605</v>
      </c>
      <c r="AQ123" s="1157" t="s">
        <v>107</v>
      </c>
      <c r="AR123" s="1129" t="s">
        <v>87</v>
      </c>
      <c r="AS123" s="1127">
        <v>0.33333333333333331</v>
      </c>
      <c r="AT123" s="1127">
        <v>0.33333333333333331</v>
      </c>
      <c r="AU123" s="1127">
        <v>0.33333333333333331</v>
      </c>
      <c r="AV123" s="1127"/>
      <c r="AW123" s="1127"/>
      <c r="AX123" s="1127"/>
      <c r="AY123" s="1127"/>
      <c r="AZ123" s="1127"/>
      <c r="BA123" s="1129">
        <v>0</v>
      </c>
      <c r="BB123" s="1129">
        <v>0</v>
      </c>
      <c r="BC123" s="1129">
        <v>0</v>
      </c>
      <c r="BD123" s="1129">
        <v>0</v>
      </c>
      <c r="BE123" s="1129">
        <v>0</v>
      </c>
      <c r="BF123" s="1129">
        <v>0</v>
      </c>
      <c r="BG123" s="1129">
        <v>0</v>
      </c>
      <c r="BH123" s="1129">
        <v>0</v>
      </c>
      <c r="BI123" s="971"/>
      <c r="BJ123" s="971"/>
      <c r="BK123" s="971"/>
    </row>
    <row r="124" spans="1:63" s="1136" customFormat="1" ht="49.5">
      <c r="A124" s="1272">
        <v>4000</v>
      </c>
      <c r="B124" s="971" t="s">
        <v>1316</v>
      </c>
      <c r="C124" s="1272">
        <v>4500</v>
      </c>
      <c r="D124" s="971" t="s">
        <v>1316</v>
      </c>
      <c r="E124" s="971">
        <v>4540</v>
      </c>
      <c r="F124" s="971" t="s">
        <v>3518</v>
      </c>
      <c r="G124" s="971">
        <v>4540</v>
      </c>
      <c r="H124" s="971" t="s">
        <v>3518</v>
      </c>
      <c r="I124" s="1273"/>
      <c r="J124" s="971" t="s">
        <v>121</v>
      </c>
      <c r="K124" s="971" t="s">
        <v>255</v>
      </c>
      <c r="L124" s="971" t="s">
        <v>2802</v>
      </c>
      <c r="M124" s="971" t="s">
        <v>255</v>
      </c>
      <c r="N124" s="971" t="s">
        <v>83</v>
      </c>
      <c r="O124" s="971" t="s">
        <v>256</v>
      </c>
      <c r="P124" s="1266"/>
      <c r="Q124" s="971" t="s">
        <v>820</v>
      </c>
      <c r="R124" s="971"/>
      <c r="S124" s="1156">
        <v>14083</v>
      </c>
      <c r="T124" s="971" t="s">
        <v>136</v>
      </c>
      <c r="U124" s="1275">
        <v>4.4489880937500004E-2</v>
      </c>
      <c r="V124" s="1275">
        <v>0.17804999999999999</v>
      </c>
      <c r="W124" s="1275">
        <v>4.4489880937499997</v>
      </c>
      <c r="X124" s="1275">
        <v>0.71454534577546303</v>
      </c>
      <c r="Y124" s="1275">
        <v>5.3082953457754627</v>
      </c>
      <c r="Z124" s="1129">
        <v>626.55099324281252</v>
      </c>
      <c r="AA124" s="1129">
        <v>2507.4781499999999</v>
      </c>
      <c r="AB124" s="1129">
        <v>62655.099324281247</v>
      </c>
      <c r="AC124" s="1129">
        <v>10062.942104555847</v>
      </c>
      <c r="AD124" s="1267">
        <v>75225.519578837106</v>
      </c>
      <c r="AE124" s="1237">
        <v>0</v>
      </c>
      <c r="AF124" s="1133">
        <v>0</v>
      </c>
      <c r="AG124" s="1127">
        <v>1</v>
      </c>
      <c r="AH124" s="1127">
        <v>0</v>
      </c>
      <c r="AI124" s="1127">
        <v>0</v>
      </c>
      <c r="AJ124" s="1127">
        <v>1</v>
      </c>
      <c r="AK124" s="1129">
        <v>75225.519578837091</v>
      </c>
      <c r="AL124" s="1129">
        <v>0</v>
      </c>
      <c r="AM124" s="1129">
        <v>0</v>
      </c>
      <c r="AN124" s="1129">
        <v>75225.519578837091</v>
      </c>
      <c r="AO124" s="1129" t="s">
        <v>85</v>
      </c>
      <c r="AP124" s="1129" t="s">
        <v>6605</v>
      </c>
      <c r="AQ124" s="1157">
        <v>2015</v>
      </c>
      <c r="AR124" s="1129" t="s">
        <v>87</v>
      </c>
      <c r="AS124" s="1127">
        <v>0.33333333333333331</v>
      </c>
      <c r="AT124" s="1127">
        <v>0.33333333333333331</v>
      </c>
      <c r="AU124" s="1127">
        <v>0.33333333333333331</v>
      </c>
      <c r="AV124" s="1127"/>
      <c r="AW124" s="1127"/>
      <c r="AX124" s="1127"/>
      <c r="AY124" s="1127"/>
      <c r="AZ124" s="1127"/>
      <c r="BA124" s="1129">
        <v>25075.173192945695</v>
      </c>
      <c r="BB124" s="1129">
        <v>25075.173192945695</v>
      </c>
      <c r="BC124" s="1129">
        <v>25075.173192945695</v>
      </c>
      <c r="BD124" s="1129">
        <v>0</v>
      </c>
      <c r="BE124" s="1129">
        <v>0</v>
      </c>
      <c r="BF124" s="1129">
        <v>0</v>
      </c>
      <c r="BG124" s="1129">
        <v>0</v>
      </c>
      <c r="BH124" s="1129">
        <v>0</v>
      </c>
      <c r="BI124" s="971" t="s">
        <v>1745</v>
      </c>
      <c r="BJ124" s="971"/>
      <c r="BK124" s="971"/>
    </row>
    <row r="125" spans="1:63" s="1278" customFormat="1" ht="49.5">
      <c r="A125" s="1272">
        <v>4000</v>
      </c>
      <c r="B125" s="971" t="s">
        <v>1316</v>
      </c>
      <c r="C125" s="1272">
        <v>4500</v>
      </c>
      <c r="D125" s="971" t="s">
        <v>452</v>
      </c>
      <c r="E125" s="971" t="s">
        <v>1546</v>
      </c>
      <c r="F125" s="971" t="s">
        <v>454</v>
      </c>
      <c r="G125" s="971">
        <v>4512</v>
      </c>
      <c r="H125" s="971" t="s">
        <v>456</v>
      </c>
      <c r="I125" s="1273"/>
      <c r="J125" s="971" t="s">
        <v>121</v>
      </c>
      <c r="K125" s="971" t="s">
        <v>150</v>
      </c>
      <c r="L125" s="971" t="s">
        <v>2800</v>
      </c>
      <c r="M125" s="971" t="s">
        <v>80</v>
      </c>
      <c r="N125" s="971" t="s">
        <v>83</v>
      </c>
      <c r="O125" s="971" t="s">
        <v>151</v>
      </c>
      <c r="P125" s="1266" t="s">
        <v>152</v>
      </c>
      <c r="Q125" s="971" t="s">
        <v>1624</v>
      </c>
      <c r="R125" s="971"/>
      <c r="S125" s="1274">
        <v>9000</v>
      </c>
      <c r="T125" s="971" t="s">
        <v>136</v>
      </c>
      <c r="U125" s="1240">
        <v>1.2689880937499998E-2</v>
      </c>
      <c r="V125" s="1275">
        <v>0.14624999999999999</v>
      </c>
      <c r="W125" s="1275">
        <v>1.2689880937499998</v>
      </c>
      <c r="X125" s="1275">
        <v>0.39654534577546297</v>
      </c>
      <c r="Y125" s="1275">
        <v>1.8102953457754629</v>
      </c>
      <c r="Z125" s="1129">
        <v>114.20892843749999</v>
      </c>
      <c r="AA125" s="1129">
        <v>1316.25</v>
      </c>
      <c r="AB125" s="1129">
        <v>11420.892843749998</v>
      </c>
      <c r="AC125" s="1129">
        <v>3568.9081119791667</v>
      </c>
      <c r="AD125" s="1267">
        <v>16292.658111979166</v>
      </c>
      <c r="AE125" s="1135">
        <v>0</v>
      </c>
      <c r="AF125" s="1129">
        <v>0</v>
      </c>
      <c r="AG125" s="1127">
        <v>1</v>
      </c>
      <c r="AH125" s="1127">
        <v>0</v>
      </c>
      <c r="AI125" s="1127">
        <v>0</v>
      </c>
      <c r="AJ125" s="1127">
        <v>1</v>
      </c>
      <c r="AK125" s="1129">
        <v>16292.658111979166</v>
      </c>
      <c r="AL125" s="1129">
        <v>0</v>
      </c>
      <c r="AM125" s="1129">
        <v>0</v>
      </c>
      <c r="AN125" s="1129">
        <v>16292.658111979166</v>
      </c>
      <c r="AO125" s="1129" t="s">
        <v>85</v>
      </c>
      <c r="AP125" s="1129" t="s">
        <v>6605</v>
      </c>
      <c r="AQ125" s="1157" t="s">
        <v>107</v>
      </c>
      <c r="AR125" s="1129" t="s">
        <v>87</v>
      </c>
      <c r="AS125" s="1127">
        <v>0.33333333333333331</v>
      </c>
      <c r="AT125" s="1127">
        <v>0.33333333333333331</v>
      </c>
      <c r="AU125" s="1127">
        <v>0.33333333333333331</v>
      </c>
      <c r="AV125" s="1127"/>
      <c r="AW125" s="1127"/>
      <c r="AX125" s="1127"/>
      <c r="AY125" s="1127"/>
      <c r="AZ125" s="1127"/>
      <c r="BA125" s="1129">
        <v>5430.8860373263888</v>
      </c>
      <c r="BB125" s="1129">
        <v>5430.8860373263888</v>
      </c>
      <c r="BC125" s="1129">
        <v>5430.8860373263888</v>
      </c>
      <c r="BD125" s="1129">
        <v>0</v>
      </c>
      <c r="BE125" s="1129">
        <v>0</v>
      </c>
      <c r="BF125" s="1129">
        <v>0</v>
      </c>
      <c r="BG125" s="1129">
        <v>0</v>
      </c>
      <c r="BH125" s="1129">
        <v>0</v>
      </c>
      <c r="BI125" s="971" t="s">
        <v>154</v>
      </c>
      <c r="BJ125" s="971"/>
      <c r="BK125" s="971"/>
    </row>
    <row r="126" spans="1:63" s="1278" customFormat="1" ht="49.5">
      <c r="A126" s="1272">
        <v>4000</v>
      </c>
      <c r="B126" s="971" t="s">
        <v>1316</v>
      </c>
      <c r="C126" s="1272">
        <v>4500</v>
      </c>
      <c r="D126" s="971" t="s">
        <v>452</v>
      </c>
      <c r="E126" s="971" t="s">
        <v>1546</v>
      </c>
      <c r="F126" s="971" t="s">
        <v>454</v>
      </c>
      <c r="G126" s="971">
        <v>4512</v>
      </c>
      <c r="H126" s="971" t="s">
        <v>456</v>
      </c>
      <c r="I126" s="1273"/>
      <c r="J126" s="971" t="s">
        <v>121</v>
      </c>
      <c r="K126" s="971" t="s">
        <v>150</v>
      </c>
      <c r="L126" s="971" t="s">
        <v>2800</v>
      </c>
      <c r="M126" s="971" t="s">
        <v>80</v>
      </c>
      <c r="N126" s="971" t="s">
        <v>83</v>
      </c>
      <c r="O126" s="971" t="s">
        <v>151</v>
      </c>
      <c r="P126" s="1266" t="s">
        <v>152</v>
      </c>
      <c r="Q126" s="971" t="s">
        <v>1625</v>
      </c>
      <c r="R126" s="971"/>
      <c r="S126" s="1274">
        <v>2700</v>
      </c>
      <c r="T126" s="971" t="s">
        <v>136</v>
      </c>
      <c r="U126" s="1240">
        <v>1.2689880937499998E-2</v>
      </c>
      <c r="V126" s="1275">
        <v>0.14624999999999999</v>
      </c>
      <c r="W126" s="1275">
        <v>1.2689880937499998</v>
      </c>
      <c r="X126" s="1275">
        <v>0.39654534577546297</v>
      </c>
      <c r="Y126" s="1275">
        <v>1.8102953457754629</v>
      </c>
      <c r="Z126" s="1129">
        <v>34.262678531249996</v>
      </c>
      <c r="AA126" s="1129">
        <v>394.875</v>
      </c>
      <c r="AB126" s="1129">
        <v>3426.2678531249994</v>
      </c>
      <c r="AC126" s="1129">
        <v>1070.6724335937499</v>
      </c>
      <c r="AD126" s="1267">
        <v>4887.7974335937497</v>
      </c>
      <c r="AE126" s="1135">
        <v>0</v>
      </c>
      <c r="AF126" s="1129">
        <v>0</v>
      </c>
      <c r="AG126" s="1127">
        <v>1</v>
      </c>
      <c r="AH126" s="1127">
        <v>0</v>
      </c>
      <c r="AI126" s="1127">
        <v>0</v>
      </c>
      <c r="AJ126" s="1127">
        <v>1</v>
      </c>
      <c r="AK126" s="1129">
        <v>4887.7974335937497</v>
      </c>
      <c r="AL126" s="1129">
        <v>0</v>
      </c>
      <c r="AM126" s="1129">
        <v>0</v>
      </c>
      <c r="AN126" s="1129">
        <v>4887.7974335937497</v>
      </c>
      <c r="AO126" s="1129" t="s">
        <v>85</v>
      </c>
      <c r="AP126" s="1129" t="s">
        <v>6605</v>
      </c>
      <c r="AQ126" s="1157" t="s">
        <v>107</v>
      </c>
      <c r="AR126" s="1129" t="s">
        <v>87</v>
      </c>
      <c r="AS126" s="1127">
        <v>0.33333333333333331</v>
      </c>
      <c r="AT126" s="1127">
        <v>0.33333333333333331</v>
      </c>
      <c r="AU126" s="1127">
        <v>0.33333333333333331</v>
      </c>
      <c r="AV126" s="1127"/>
      <c r="AW126" s="1127"/>
      <c r="AX126" s="1127"/>
      <c r="AY126" s="1127"/>
      <c r="AZ126" s="1127"/>
      <c r="BA126" s="1129">
        <v>1629.2658111979165</v>
      </c>
      <c r="BB126" s="1129">
        <v>1629.2658111979165</v>
      </c>
      <c r="BC126" s="1129">
        <v>1629.2658111979165</v>
      </c>
      <c r="BD126" s="1129">
        <v>0</v>
      </c>
      <c r="BE126" s="1129">
        <v>0</v>
      </c>
      <c r="BF126" s="1129">
        <v>0</v>
      </c>
      <c r="BG126" s="1129">
        <v>0</v>
      </c>
      <c r="BH126" s="1129">
        <v>0</v>
      </c>
      <c r="BI126" s="971" t="s">
        <v>154</v>
      </c>
      <c r="BJ126" s="971"/>
      <c r="BK126" s="971"/>
    </row>
    <row r="127" spans="1:63" s="1278" customFormat="1" ht="49.5">
      <c r="A127" s="1272">
        <v>4000</v>
      </c>
      <c r="B127" s="971" t="s">
        <v>1316</v>
      </c>
      <c r="C127" s="1272">
        <v>4600</v>
      </c>
      <c r="D127" s="971" t="s">
        <v>838</v>
      </c>
      <c r="E127" s="971" t="s">
        <v>6611</v>
      </c>
      <c r="F127" s="971" t="s">
        <v>1924</v>
      </c>
      <c r="G127" s="971">
        <v>4613</v>
      </c>
      <c r="H127" s="971" t="s">
        <v>842</v>
      </c>
      <c r="I127" s="1273"/>
      <c r="J127" s="971" t="s">
        <v>121</v>
      </c>
      <c r="K127" s="971" t="s">
        <v>150</v>
      </c>
      <c r="L127" s="971" t="s">
        <v>2800</v>
      </c>
      <c r="M127" s="971" t="s">
        <v>80</v>
      </c>
      <c r="N127" s="971" t="s">
        <v>83</v>
      </c>
      <c r="O127" s="971" t="s">
        <v>151</v>
      </c>
      <c r="P127" s="1266" t="s">
        <v>152</v>
      </c>
      <c r="Q127" s="971" t="s">
        <v>1946</v>
      </c>
      <c r="R127" s="971"/>
      <c r="S127" s="1274">
        <v>3500</v>
      </c>
      <c r="T127" s="971" t="s">
        <v>136</v>
      </c>
      <c r="U127" s="1240">
        <v>1.2689880937499998E-2</v>
      </c>
      <c r="V127" s="1275">
        <v>0.14624999999999999</v>
      </c>
      <c r="W127" s="1275">
        <v>1.2689880937499998</v>
      </c>
      <c r="X127" s="1275">
        <v>0.39654534577546297</v>
      </c>
      <c r="Y127" s="1275">
        <v>1.8102953457754629</v>
      </c>
      <c r="Z127" s="1129">
        <v>44.414583281249996</v>
      </c>
      <c r="AA127" s="1129">
        <v>511.87499999999994</v>
      </c>
      <c r="AB127" s="1129">
        <v>4441.4583281249988</v>
      </c>
      <c r="AC127" s="1129">
        <v>1387.9087102141204</v>
      </c>
      <c r="AD127" s="1267">
        <v>6336.0337102141202</v>
      </c>
      <c r="AE127" s="1135">
        <v>0</v>
      </c>
      <c r="AF127" s="1129">
        <v>0</v>
      </c>
      <c r="AG127" s="1127">
        <v>1</v>
      </c>
      <c r="AH127" s="1127">
        <v>0</v>
      </c>
      <c r="AI127" s="1127">
        <v>0</v>
      </c>
      <c r="AJ127" s="1127">
        <v>1</v>
      </c>
      <c r="AK127" s="1129">
        <v>6336.0337102141202</v>
      </c>
      <c r="AL127" s="1129">
        <v>0</v>
      </c>
      <c r="AM127" s="1129">
        <v>0</v>
      </c>
      <c r="AN127" s="1129">
        <v>6336.0337102141202</v>
      </c>
      <c r="AO127" s="1129" t="s">
        <v>85</v>
      </c>
      <c r="AP127" s="1129" t="s">
        <v>6605</v>
      </c>
      <c r="AQ127" s="1157" t="s">
        <v>107</v>
      </c>
      <c r="AR127" s="1129" t="s">
        <v>87</v>
      </c>
      <c r="AS127" s="1127">
        <v>0.33333333333333331</v>
      </c>
      <c r="AT127" s="1127">
        <v>0.33333333333333331</v>
      </c>
      <c r="AU127" s="1127">
        <v>0.33333333333333331</v>
      </c>
      <c r="AV127" s="1127"/>
      <c r="AW127" s="1127"/>
      <c r="AX127" s="1127"/>
      <c r="AY127" s="1127"/>
      <c r="AZ127" s="1127"/>
      <c r="BA127" s="1129">
        <v>2112.0112367380398</v>
      </c>
      <c r="BB127" s="1129">
        <v>2112.0112367380398</v>
      </c>
      <c r="BC127" s="1129">
        <v>2112.0112367380398</v>
      </c>
      <c r="BD127" s="1129">
        <v>0</v>
      </c>
      <c r="BE127" s="1129">
        <v>0</v>
      </c>
      <c r="BF127" s="1129">
        <v>0</v>
      </c>
      <c r="BG127" s="1129">
        <v>0</v>
      </c>
      <c r="BH127" s="1129">
        <v>0</v>
      </c>
      <c r="BI127" s="971" t="s">
        <v>154</v>
      </c>
      <c r="BJ127" s="971"/>
      <c r="BK127" s="971"/>
    </row>
    <row r="128" spans="1:63" s="1278" customFormat="1" ht="49.5">
      <c r="A128" s="1272">
        <v>4000</v>
      </c>
      <c r="B128" s="971" t="s">
        <v>1316</v>
      </c>
      <c r="C128" s="1272">
        <v>4600</v>
      </c>
      <c r="D128" s="971" t="s">
        <v>838</v>
      </c>
      <c r="E128" s="971" t="s">
        <v>6611</v>
      </c>
      <c r="F128" s="971" t="s">
        <v>1924</v>
      </c>
      <c r="G128" s="971">
        <v>4613</v>
      </c>
      <c r="H128" s="971" t="s">
        <v>842</v>
      </c>
      <c r="I128" s="1273"/>
      <c r="J128" s="971" t="s">
        <v>121</v>
      </c>
      <c r="K128" s="971" t="s">
        <v>150</v>
      </c>
      <c r="L128" s="971" t="s">
        <v>2800</v>
      </c>
      <c r="M128" s="971" t="s">
        <v>80</v>
      </c>
      <c r="N128" s="971" t="s">
        <v>83</v>
      </c>
      <c r="O128" s="971" t="s">
        <v>151</v>
      </c>
      <c r="P128" s="1266" t="s">
        <v>152</v>
      </c>
      <c r="Q128" s="971" t="s">
        <v>1947</v>
      </c>
      <c r="R128" s="971"/>
      <c r="S128" s="1274">
        <v>1800</v>
      </c>
      <c r="T128" s="971" t="s">
        <v>136</v>
      </c>
      <c r="U128" s="1240">
        <v>1.2689880937499998E-2</v>
      </c>
      <c r="V128" s="1275">
        <v>0.14624999999999999</v>
      </c>
      <c r="W128" s="1275">
        <v>1.2689880937499998</v>
      </c>
      <c r="X128" s="1275">
        <v>0.39654534577546297</v>
      </c>
      <c r="Y128" s="1275">
        <v>1.8102953457754629</v>
      </c>
      <c r="Z128" s="1129">
        <v>22.841785687499996</v>
      </c>
      <c r="AA128" s="1129">
        <v>263.25</v>
      </c>
      <c r="AB128" s="1129">
        <v>2284.1785687499996</v>
      </c>
      <c r="AC128" s="1129">
        <v>713.78162239583332</v>
      </c>
      <c r="AD128" s="1267">
        <v>3258.5316223958334</v>
      </c>
      <c r="AE128" s="1135">
        <v>0</v>
      </c>
      <c r="AF128" s="1129">
        <v>0</v>
      </c>
      <c r="AG128" s="1127">
        <v>1</v>
      </c>
      <c r="AH128" s="1127">
        <v>0</v>
      </c>
      <c r="AI128" s="1127">
        <v>0</v>
      </c>
      <c r="AJ128" s="1127">
        <v>1</v>
      </c>
      <c r="AK128" s="1129">
        <v>3258.5316223958334</v>
      </c>
      <c r="AL128" s="1129">
        <v>0</v>
      </c>
      <c r="AM128" s="1129">
        <v>0</v>
      </c>
      <c r="AN128" s="1129">
        <v>3258.5316223958334</v>
      </c>
      <c r="AO128" s="1129" t="s">
        <v>85</v>
      </c>
      <c r="AP128" s="1129" t="s">
        <v>6605</v>
      </c>
      <c r="AQ128" s="1157" t="s">
        <v>107</v>
      </c>
      <c r="AR128" s="1129" t="s">
        <v>87</v>
      </c>
      <c r="AS128" s="1127">
        <v>0.33333333333333331</v>
      </c>
      <c r="AT128" s="1127">
        <v>0.33333333333333331</v>
      </c>
      <c r="AU128" s="1127">
        <v>0.33333333333333331</v>
      </c>
      <c r="AV128" s="1127"/>
      <c r="AW128" s="1127"/>
      <c r="AX128" s="1127"/>
      <c r="AY128" s="1127"/>
      <c r="AZ128" s="1127"/>
      <c r="BA128" s="1129">
        <v>1086.1772074652777</v>
      </c>
      <c r="BB128" s="1129">
        <v>1086.1772074652777</v>
      </c>
      <c r="BC128" s="1129">
        <v>1086.1772074652777</v>
      </c>
      <c r="BD128" s="1129">
        <v>0</v>
      </c>
      <c r="BE128" s="1129">
        <v>0</v>
      </c>
      <c r="BF128" s="1129">
        <v>0</v>
      </c>
      <c r="BG128" s="1129">
        <v>0</v>
      </c>
      <c r="BH128" s="1129">
        <v>0</v>
      </c>
      <c r="BI128" s="971" t="s">
        <v>154</v>
      </c>
      <c r="BJ128" s="971"/>
      <c r="BK128" s="971"/>
    </row>
    <row r="129" spans="1:63" s="1278" customFormat="1" ht="66">
      <c r="A129" s="1272">
        <v>4000</v>
      </c>
      <c r="B129" s="971" t="s">
        <v>1316</v>
      </c>
      <c r="C129" s="1272">
        <v>4600</v>
      </c>
      <c r="D129" s="971" t="s">
        <v>838</v>
      </c>
      <c r="E129" s="971" t="s">
        <v>6611</v>
      </c>
      <c r="F129" s="971" t="s">
        <v>1924</v>
      </c>
      <c r="G129" s="971">
        <v>4614</v>
      </c>
      <c r="H129" s="971" t="s">
        <v>880</v>
      </c>
      <c r="I129" s="1273" t="s">
        <v>890</v>
      </c>
      <c r="J129" s="971" t="s">
        <v>177</v>
      </c>
      <c r="K129" s="971" t="s">
        <v>178</v>
      </c>
      <c r="L129" s="971" t="s">
        <v>1948</v>
      </c>
      <c r="M129" s="971" t="s">
        <v>178</v>
      </c>
      <c r="N129" s="971" t="s">
        <v>179</v>
      </c>
      <c r="O129" s="971" t="s">
        <v>180</v>
      </c>
      <c r="P129" s="1266"/>
      <c r="Q129" s="971" t="s">
        <v>1954</v>
      </c>
      <c r="R129" s="971"/>
      <c r="S129" s="1274">
        <v>3</v>
      </c>
      <c r="T129" s="971" t="s">
        <v>242</v>
      </c>
      <c r="U129" s="1240">
        <v>42.724999999999994</v>
      </c>
      <c r="V129" s="1275">
        <v>564.75</v>
      </c>
      <c r="W129" s="1275">
        <v>4268.7992011904762</v>
      </c>
      <c r="X129" s="1275">
        <v>5647.5</v>
      </c>
      <c r="Y129" s="1275">
        <v>10481.049201190477</v>
      </c>
      <c r="Z129" s="1129">
        <v>128.17499999999998</v>
      </c>
      <c r="AA129" s="1129">
        <v>1694.25</v>
      </c>
      <c r="AB129" s="1129">
        <v>12806.397603571429</v>
      </c>
      <c r="AC129" s="1129">
        <v>16942.5</v>
      </c>
      <c r="AD129" s="1267">
        <v>31443.147603571429</v>
      </c>
      <c r="AE129" s="1135">
        <v>30</v>
      </c>
      <c r="AF129" s="1129">
        <v>90</v>
      </c>
      <c r="AG129" s="1127">
        <v>1</v>
      </c>
      <c r="AH129" s="1127">
        <v>0</v>
      </c>
      <c r="AI129" s="1127">
        <v>0</v>
      </c>
      <c r="AJ129" s="1127">
        <v>1</v>
      </c>
      <c r="AK129" s="1129">
        <v>31443.147603571429</v>
      </c>
      <c r="AL129" s="1129">
        <v>0</v>
      </c>
      <c r="AM129" s="1129">
        <v>0</v>
      </c>
      <c r="AN129" s="1129">
        <v>31443.147603571429</v>
      </c>
      <c r="AO129" s="1129" t="s">
        <v>85</v>
      </c>
      <c r="AP129" s="1129" t="s">
        <v>6612</v>
      </c>
      <c r="AQ129" s="1157">
        <v>2015</v>
      </c>
      <c r="AR129" s="1129" t="s">
        <v>87</v>
      </c>
      <c r="AS129" s="1127">
        <v>0.5</v>
      </c>
      <c r="AT129" s="1127">
        <v>0.5</v>
      </c>
      <c r="AU129" s="1127"/>
      <c r="AV129" s="1127"/>
      <c r="AW129" s="1127"/>
      <c r="AX129" s="1127"/>
      <c r="AY129" s="1127"/>
      <c r="AZ129" s="1127"/>
      <c r="BA129" s="1129">
        <v>15721.573801785715</v>
      </c>
      <c r="BB129" s="1129">
        <v>15721.573801785715</v>
      </c>
      <c r="BC129" s="1129">
        <v>0</v>
      </c>
      <c r="BD129" s="1129">
        <v>0</v>
      </c>
      <c r="BE129" s="1129">
        <v>0</v>
      </c>
      <c r="BF129" s="1129">
        <v>0</v>
      </c>
      <c r="BG129" s="1129">
        <v>0</v>
      </c>
      <c r="BH129" s="1129">
        <v>0</v>
      </c>
      <c r="BI129" s="971" t="s">
        <v>1955</v>
      </c>
      <c r="BJ129" s="971"/>
      <c r="BK129" s="971"/>
    </row>
    <row r="130" spans="1:63" s="1278" customFormat="1" ht="49.5">
      <c r="A130" s="1272">
        <v>4000</v>
      </c>
      <c r="B130" s="971" t="s">
        <v>1316</v>
      </c>
      <c r="C130" s="1272">
        <v>4700</v>
      </c>
      <c r="D130" s="971" t="s">
        <v>912</v>
      </c>
      <c r="E130" s="971" t="s">
        <v>1973</v>
      </c>
      <c r="F130" s="971" t="s">
        <v>923</v>
      </c>
      <c r="G130" s="971">
        <v>4720</v>
      </c>
      <c r="H130" s="971" t="s">
        <v>923</v>
      </c>
      <c r="I130" s="1273"/>
      <c r="J130" s="971" t="s">
        <v>799</v>
      </c>
      <c r="K130" s="971" t="s">
        <v>931</v>
      </c>
      <c r="L130" s="971" t="s">
        <v>2895</v>
      </c>
      <c r="M130" s="971" t="s">
        <v>931</v>
      </c>
      <c r="N130" s="971" t="s">
        <v>269</v>
      </c>
      <c r="O130" s="971" t="s">
        <v>932</v>
      </c>
      <c r="P130" s="971"/>
      <c r="Q130" s="971" t="s">
        <v>1992</v>
      </c>
      <c r="R130" s="971"/>
      <c r="S130" s="1274">
        <v>1</v>
      </c>
      <c r="T130" s="971" t="s">
        <v>242</v>
      </c>
      <c r="U130" s="1275">
        <v>47</v>
      </c>
      <c r="V130" s="1275">
        <v>480</v>
      </c>
      <c r="W130" s="1275">
        <v>4695.928904761905</v>
      </c>
      <c r="X130" s="1275">
        <v>4800</v>
      </c>
      <c r="Y130" s="1275">
        <v>9975.9289047619059</v>
      </c>
      <c r="Z130" s="1129">
        <v>47</v>
      </c>
      <c r="AA130" s="1129">
        <v>480</v>
      </c>
      <c r="AB130" s="1129">
        <v>4695.928904761905</v>
      </c>
      <c r="AC130" s="1129">
        <v>4800</v>
      </c>
      <c r="AD130" s="1267">
        <v>9975.9289047619059</v>
      </c>
      <c r="AE130" s="1237">
        <v>329.26829268292681</v>
      </c>
      <c r="AF130" s="1133">
        <v>329.26829268292681</v>
      </c>
      <c r="AG130" s="1127">
        <v>1</v>
      </c>
      <c r="AH130" s="1127">
        <v>0</v>
      </c>
      <c r="AI130" s="1127">
        <v>1</v>
      </c>
      <c r="AJ130" s="1127">
        <v>0</v>
      </c>
      <c r="AK130" s="1129">
        <v>9975.9289047619059</v>
      </c>
      <c r="AL130" s="1129">
        <v>0</v>
      </c>
      <c r="AM130" s="1129">
        <v>9975.9289047619059</v>
      </c>
      <c r="AN130" s="1129">
        <v>0</v>
      </c>
      <c r="AO130" s="1129" t="s">
        <v>85</v>
      </c>
      <c r="AP130" s="1129" t="s">
        <v>6605</v>
      </c>
      <c r="AQ130" s="1157" t="s">
        <v>107</v>
      </c>
      <c r="AR130" s="1129" t="s">
        <v>87</v>
      </c>
      <c r="AS130" s="1127">
        <v>0.33333333333333331</v>
      </c>
      <c r="AT130" s="1127">
        <v>0.33333333333333331</v>
      </c>
      <c r="AU130" s="1127">
        <v>0.33333333333333331</v>
      </c>
      <c r="AV130" s="1127"/>
      <c r="AW130" s="1127"/>
      <c r="AX130" s="1127"/>
      <c r="AY130" s="1127"/>
      <c r="AZ130" s="1127"/>
      <c r="BA130" s="1129">
        <v>3325.3096349206353</v>
      </c>
      <c r="BB130" s="1129">
        <v>3325.3096349206353</v>
      </c>
      <c r="BC130" s="1129">
        <v>3325.3096349206353</v>
      </c>
      <c r="BD130" s="1129">
        <v>0</v>
      </c>
      <c r="BE130" s="1129">
        <v>0</v>
      </c>
      <c r="BF130" s="1129">
        <v>0</v>
      </c>
      <c r="BG130" s="1129">
        <v>0</v>
      </c>
      <c r="BH130" s="1129">
        <v>0</v>
      </c>
      <c r="BI130" s="971"/>
      <c r="BJ130" s="971"/>
      <c r="BK130" s="971"/>
    </row>
    <row r="131" spans="1:63" s="1278" customFormat="1" ht="49.5">
      <c r="A131" s="1272">
        <v>4000</v>
      </c>
      <c r="B131" s="971" t="s">
        <v>1316</v>
      </c>
      <c r="C131" s="1272">
        <v>4700</v>
      </c>
      <c r="D131" s="971" t="s">
        <v>912</v>
      </c>
      <c r="E131" s="971" t="s">
        <v>6613</v>
      </c>
      <c r="F131" s="971" t="s">
        <v>958</v>
      </c>
      <c r="G131" s="971">
        <v>4731</v>
      </c>
      <c r="H131" s="971" t="s">
        <v>968</v>
      </c>
      <c r="I131" s="1273"/>
      <c r="J131" s="971" t="s">
        <v>799</v>
      </c>
      <c r="K131" s="971" t="s">
        <v>977</v>
      </c>
      <c r="L131" s="971" t="s">
        <v>2896</v>
      </c>
      <c r="M131" s="971" t="s">
        <v>977</v>
      </c>
      <c r="N131" s="971" t="s">
        <v>269</v>
      </c>
      <c r="O131" s="971" t="s">
        <v>978</v>
      </c>
      <c r="P131" s="971"/>
      <c r="Q131" s="971" t="s">
        <v>2018</v>
      </c>
      <c r="R131" s="971"/>
      <c r="S131" s="1274">
        <v>1</v>
      </c>
      <c r="T131" s="971" t="s">
        <v>242</v>
      </c>
      <c r="U131" s="1275">
        <v>51</v>
      </c>
      <c r="V131" s="1275">
        <v>540</v>
      </c>
      <c r="W131" s="1275">
        <v>5095.5824285714289</v>
      </c>
      <c r="X131" s="1275">
        <v>5400</v>
      </c>
      <c r="Y131" s="1275">
        <v>11035.58242857143</v>
      </c>
      <c r="Z131" s="1129">
        <v>51</v>
      </c>
      <c r="AA131" s="1129">
        <v>540</v>
      </c>
      <c r="AB131" s="1129">
        <v>5095.5824285714289</v>
      </c>
      <c r="AC131" s="1129">
        <v>5400</v>
      </c>
      <c r="AD131" s="1267">
        <v>11035.58242857143</v>
      </c>
      <c r="AE131" s="1237">
        <v>329.26829268292681</v>
      </c>
      <c r="AF131" s="1133">
        <v>329.26829268292681</v>
      </c>
      <c r="AG131" s="1127">
        <v>1</v>
      </c>
      <c r="AH131" s="1127">
        <v>0</v>
      </c>
      <c r="AI131" s="1127">
        <v>1</v>
      </c>
      <c r="AJ131" s="1127">
        <v>0</v>
      </c>
      <c r="AK131" s="1129">
        <v>11035.58242857143</v>
      </c>
      <c r="AL131" s="1129">
        <v>0</v>
      </c>
      <c r="AM131" s="1129">
        <v>11035.58242857143</v>
      </c>
      <c r="AN131" s="1129">
        <v>0</v>
      </c>
      <c r="AO131" s="1129" t="s">
        <v>85</v>
      </c>
      <c r="AP131" s="1129" t="s">
        <v>6605</v>
      </c>
      <c r="AQ131" s="1157" t="s">
        <v>107</v>
      </c>
      <c r="AR131" s="1129" t="s">
        <v>87</v>
      </c>
      <c r="AS131" s="1127">
        <v>0.5</v>
      </c>
      <c r="AT131" s="1127">
        <v>0.5</v>
      </c>
      <c r="AU131" s="1127"/>
      <c r="AV131" s="1127"/>
      <c r="AW131" s="1127"/>
      <c r="AX131" s="1127"/>
      <c r="AY131" s="1127"/>
      <c r="AZ131" s="1127"/>
      <c r="BA131" s="1129">
        <v>5517.7912142857149</v>
      </c>
      <c r="BB131" s="1129">
        <v>5517.7912142857149</v>
      </c>
      <c r="BC131" s="1129">
        <v>0</v>
      </c>
      <c r="BD131" s="1129">
        <v>0</v>
      </c>
      <c r="BE131" s="1129">
        <v>0</v>
      </c>
      <c r="BF131" s="1129">
        <v>0</v>
      </c>
      <c r="BG131" s="1129">
        <v>0</v>
      </c>
      <c r="BH131" s="1129">
        <v>0</v>
      </c>
      <c r="BI131" s="971"/>
      <c r="BJ131" s="971"/>
      <c r="BK131" s="971"/>
    </row>
    <row r="132" spans="1:63" s="1278" customFormat="1" ht="49.5">
      <c r="A132" s="1272">
        <v>2000</v>
      </c>
      <c r="B132" s="971" t="s">
        <v>119</v>
      </c>
      <c r="C132" s="1272">
        <v>2300</v>
      </c>
      <c r="D132" s="971" t="s">
        <v>119</v>
      </c>
      <c r="E132" s="971">
        <v>2340</v>
      </c>
      <c r="F132" s="971" t="s">
        <v>224</v>
      </c>
      <c r="G132" s="971">
        <v>2340</v>
      </c>
      <c r="H132" s="971" t="s">
        <v>224</v>
      </c>
      <c r="I132" s="1273"/>
      <c r="J132" s="971" t="s">
        <v>121</v>
      </c>
      <c r="K132" s="971" t="s">
        <v>150</v>
      </c>
      <c r="L132" s="971" t="s">
        <v>2800</v>
      </c>
      <c r="M132" s="971" t="s">
        <v>80</v>
      </c>
      <c r="N132" s="971" t="s">
        <v>83</v>
      </c>
      <c r="O132" s="971" t="s">
        <v>151</v>
      </c>
      <c r="P132" s="1266" t="s">
        <v>152</v>
      </c>
      <c r="Q132" s="971" t="s">
        <v>253</v>
      </c>
      <c r="R132" s="971"/>
      <c r="S132" s="1274">
        <v>72000</v>
      </c>
      <c r="T132" s="971" t="s">
        <v>136</v>
      </c>
      <c r="U132" s="1275">
        <v>1.2689880937499998E-2</v>
      </c>
      <c r="V132" s="1275">
        <v>0.14624999999999999</v>
      </c>
      <c r="W132" s="1275">
        <v>1.2689880937499998</v>
      </c>
      <c r="X132" s="1275">
        <v>0.39654534577546297</v>
      </c>
      <c r="Y132" s="1275">
        <v>1.8102953457754629</v>
      </c>
      <c r="Z132" s="1129">
        <v>913.67142749999994</v>
      </c>
      <c r="AA132" s="1129">
        <v>10530</v>
      </c>
      <c r="AB132" s="1129">
        <v>91367.142749999985</v>
      </c>
      <c r="AC132" s="1129">
        <v>28551.264895833334</v>
      </c>
      <c r="AD132" s="1267">
        <v>130341.26489583333</v>
      </c>
      <c r="AE132" s="1135">
        <v>0</v>
      </c>
      <c r="AF132" s="1129">
        <v>0</v>
      </c>
      <c r="AG132" s="1127">
        <v>1</v>
      </c>
      <c r="AH132" s="1127">
        <v>0</v>
      </c>
      <c r="AI132" s="1127">
        <v>0</v>
      </c>
      <c r="AJ132" s="1127">
        <v>1</v>
      </c>
      <c r="AK132" s="1129">
        <v>130341.26489583333</v>
      </c>
      <c r="AL132" s="1129">
        <v>0</v>
      </c>
      <c r="AM132" s="1129">
        <v>0</v>
      </c>
      <c r="AN132" s="1129">
        <v>130341.26489583333</v>
      </c>
      <c r="AO132" s="1129" t="s">
        <v>131</v>
      </c>
      <c r="AP132" s="1129" t="s">
        <v>6605</v>
      </c>
      <c r="AQ132" s="1157" t="s">
        <v>107</v>
      </c>
      <c r="AR132" s="1129" t="s">
        <v>87</v>
      </c>
      <c r="AS132" s="1127">
        <v>0.33333333333333331</v>
      </c>
      <c r="AT132" s="1127">
        <v>0.33333333333333331</v>
      </c>
      <c r="AU132" s="1127">
        <v>0.33333333333333331</v>
      </c>
      <c r="AV132" s="1127"/>
      <c r="AW132" s="1127"/>
      <c r="AX132" s="1127"/>
      <c r="AY132" s="1127"/>
      <c r="AZ132" s="1127"/>
      <c r="BA132" s="1129">
        <v>43447.08829861111</v>
      </c>
      <c r="BB132" s="1129">
        <v>43447.08829861111</v>
      </c>
      <c r="BC132" s="1129">
        <v>43447.08829861111</v>
      </c>
      <c r="BD132" s="1129">
        <v>0</v>
      </c>
      <c r="BE132" s="1129">
        <v>0</v>
      </c>
      <c r="BF132" s="1129">
        <v>0</v>
      </c>
      <c r="BG132" s="1129">
        <v>0</v>
      </c>
      <c r="BH132" s="1129">
        <v>0</v>
      </c>
      <c r="BI132" s="971" t="s">
        <v>154</v>
      </c>
      <c r="BJ132" s="971"/>
      <c r="BK132" s="971"/>
    </row>
    <row r="133" spans="1:63" s="1278" customFormat="1" ht="66">
      <c r="A133" s="1272">
        <v>7000</v>
      </c>
      <c r="B133" s="971" t="s">
        <v>2420</v>
      </c>
      <c r="C133" s="1272">
        <v>7200</v>
      </c>
      <c r="D133" s="971" t="s">
        <v>2420</v>
      </c>
      <c r="E133" s="971">
        <v>7210</v>
      </c>
      <c r="F133" s="971" t="s">
        <v>2421</v>
      </c>
      <c r="G133" s="971">
        <v>7212</v>
      </c>
      <c r="H133" s="971" t="s">
        <v>2422</v>
      </c>
      <c r="I133" s="1273"/>
      <c r="J133" s="971" t="s">
        <v>124</v>
      </c>
      <c r="K133" s="971" t="s">
        <v>784</v>
      </c>
      <c r="L133" s="971" t="s">
        <v>2852</v>
      </c>
      <c r="M133" s="971" t="s">
        <v>537</v>
      </c>
      <c r="N133" s="971" t="s">
        <v>127</v>
      </c>
      <c r="O133" s="971" t="s">
        <v>539</v>
      </c>
      <c r="P133" s="1266"/>
      <c r="Q133" s="971" t="s">
        <v>2423</v>
      </c>
      <c r="R133" s="971"/>
      <c r="S133" s="1274">
        <v>928.44999999999993</v>
      </c>
      <c r="T133" s="971" t="s">
        <v>136</v>
      </c>
      <c r="U133" s="1275">
        <v>0.22416666666666665</v>
      </c>
      <c r="V133" s="1275">
        <v>3.3624999999999998</v>
      </c>
      <c r="W133" s="1275">
        <v>22.397249563492064</v>
      </c>
      <c r="X133" s="1275">
        <v>33.625</v>
      </c>
      <c r="Y133" s="1275">
        <v>59.384749563492065</v>
      </c>
      <c r="Z133" s="1129">
        <v>208.12754166666664</v>
      </c>
      <c r="AA133" s="1129">
        <v>3121.9131249999996</v>
      </c>
      <c r="AB133" s="1129">
        <v>20794.726357224205</v>
      </c>
      <c r="AC133" s="1129">
        <v>31219.131249999999</v>
      </c>
      <c r="AD133" s="1098">
        <v>55135.770732224206</v>
      </c>
      <c r="AE133" s="1135">
        <v>1</v>
      </c>
      <c r="AF133" s="1129">
        <v>928.44999999999993</v>
      </c>
      <c r="AG133" s="1127">
        <v>1</v>
      </c>
      <c r="AH133" s="1127">
        <v>0</v>
      </c>
      <c r="AI133" s="1127">
        <v>0</v>
      </c>
      <c r="AJ133" s="1127">
        <v>1</v>
      </c>
      <c r="AK133" s="1129">
        <v>55135.770732224206</v>
      </c>
      <c r="AL133" s="1129">
        <v>0</v>
      </c>
      <c r="AM133" s="1129">
        <v>0</v>
      </c>
      <c r="AN133" s="1129">
        <v>55135.770732224206</v>
      </c>
      <c r="AO133" s="1129" t="s">
        <v>131</v>
      </c>
      <c r="AP133" s="1129" t="s">
        <v>1430</v>
      </c>
      <c r="AQ133" s="1157">
        <v>2014</v>
      </c>
      <c r="AR133" s="1129" t="s">
        <v>87</v>
      </c>
      <c r="AS133" s="1127">
        <v>0.33333333333333331</v>
      </c>
      <c r="AT133" s="1127">
        <v>0.33333333333333331</v>
      </c>
      <c r="AU133" s="1127">
        <v>0.33333333333333331</v>
      </c>
      <c r="AV133" s="1127"/>
      <c r="AW133" s="1127"/>
      <c r="AX133" s="1127"/>
      <c r="AY133" s="1127"/>
      <c r="AZ133" s="1127"/>
      <c r="BA133" s="1129">
        <v>18378.590244074734</v>
      </c>
      <c r="BB133" s="1129">
        <v>18378.590244074734</v>
      </c>
      <c r="BC133" s="1129">
        <v>18378.590244074734</v>
      </c>
      <c r="BD133" s="1129">
        <v>0</v>
      </c>
      <c r="BE133" s="1129">
        <v>0</v>
      </c>
      <c r="BF133" s="1129">
        <v>0</v>
      </c>
      <c r="BG133" s="1129">
        <v>0</v>
      </c>
      <c r="BH133" s="1129">
        <v>0</v>
      </c>
      <c r="BI133" s="971" t="s">
        <v>154</v>
      </c>
      <c r="BJ133" s="971"/>
      <c r="BK133" s="971" t="s">
        <v>155</v>
      </c>
    </row>
    <row r="134" spans="1:63" s="1278" customFormat="1" ht="49.5">
      <c r="A134" s="1272">
        <v>7000</v>
      </c>
      <c r="B134" s="971" t="s">
        <v>2420</v>
      </c>
      <c r="C134" s="1272">
        <v>7200</v>
      </c>
      <c r="D134" s="971" t="s">
        <v>2420</v>
      </c>
      <c r="E134" s="971">
        <v>7270</v>
      </c>
      <c r="F134" s="971" t="s">
        <v>2580</v>
      </c>
      <c r="G134" s="971">
        <v>7273</v>
      </c>
      <c r="H134" s="971" t="s">
        <v>2581</v>
      </c>
      <c r="I134" s="1273"/>
      <c r="J134" s="971" t="s">
        <v>121</v>
      </c>
      <c r="K134" s="971" t="s">
        <v>255</v>
      </c>
      <c r="L134" s="971" t="s">
        <v>2802</v>
      </c>
      <c r="M134" s="971" t="s">
        <v>255</v>
      </c>
      <c r="N134" s="971" t="s">
        <v>83</v>
      </c>
      <c r="O134" s="971" t="s">
        <v>256</v>
      </c>
      <c r="P134" s="1266"/>
      <c r="Q134" s="971" t="s">
        <v>2584</v>
      </c>
      <c r="R134" s="971"/>
      <c r="S134" s="1274">
        <v>18482.009999999998</v>
      </c>
      <c r="T134" s="971" t="s">
        <v>136</v>
      </c>
      <c r="U134" s="1275">
        <v>4.4489880937500004E-2</v>
      </c>
      <c r="V134" s="1275">
        <v>0.17804999999999999</v>
      </c>
      <c r="W134" s="1275">
        <v>4.4489880937499997</v>
      </c>
      <c r="X134" s="1275">
        <v>0.71454534577546303</v>
      </c>
      <c r="Y134" s="1275">
        <v>5.3082953457754627</v>
      </c>
      <c r="Z134" s="1129">
        <v>822.26242438568443</v>
      </c>
      <c r="AA134" s="1129">
        <v>3290.7218804999993</v>
      </c>
      <c r="AB134" s="1129">
        <v>82226.242438568428</v>
      </c>
      <c r="AC134" s="1129">
        <v>13206.234226075565</v>
      </c>
      <c r="AD134" s="1098">
        <v>98723.198545143998</v>
      </c>
      <c r="AE134" s="1135">
        <v>0</v>
      </c>
      <c r="AF134" s="1129">
        <v>0</v>
      </c>
      <c r="AG134" s="1127">
        <v>1</v>
      </c>
      <c r="AH134" s="1127">
        <v>0</v>
      </c>
      <c r="AI134" s="1127">
        <v>0</v>
      </c>
      <c r="AJ134" s="1127">
        <v>1</v>
      </c>
      <c r="AK134" s="1129">
        <v>98723.198545143998</v>
      </c>
      <c r="AL134" s="1129">
        <v>0</v>
      </c>
      <c r="AM134" s="1129">
        <v>0</v>
      </c>
      <c r="AN134" s="1129">
        <v>98723.198545143998</v>
      </c>
      <c r="AO134" s="1129" t="s">
        <v>131</v>
      </c>
      <c r="AP134" s="1129" t="s">
        <v>6605</v>
      </c>
      <c r="AQ134" s="1157">
        <v>2014</v>
      </c>
      <c r="AR134" s="1129" t="s">
        <v>87</v>
      </c>
      <c r="AS134" s="1127">
        <v>0.33333333333333331</v>
      </c>
      <c r="AT134" s="1127">
        <v>0.33333333333333331</v>
      </c>
      <c r="AU134" s="1127">
        <v>0.33333333333333331</v>
      </c>
      <c r="AV134" s="1127"/>
      <c r="AW134" s="1127"/>
      <c r="AX134" s="1127"/>
      <c r="AY134" s="1127"/>
      <c r="AZ134" s="1127"/>
      <c r="BA134" s="1129">
        <v>32907.732848381333</v>
      </c>
      <c r="BB134" s="1129">
        <v>32907.732848381333</v>
      </c>
      <c r="BC134" s="1129">
        <v>32907.732848381333</v>
      </c>
      <c r="BD134" s="1129">
        <v>0</v>
      </c>
      <c r="BE134" s="1129">
        <v>0</v>
      </c>
      <c r="BF134" s="1129">
        <v>0</v>
      </c>
      <c r="BG134" s="1129">
        <v>0</v>
      </c>
      <c r="BH134" s="1129">
        <v>0</v>
      </c>
      <c r="BI134" s="971" t="s">
        <v>154</v>
      </c>
      <c r="BJ134" s="971"/>
      <c r="BK134" s="971" t="s">
        <v>155</v>
      </c>
    </row>
    <row r="135" spans="1:63" s="1278" customFormat="1" ht="82.5">
      <c r="A135" s="1272">
        <v>1000</v>
      </c>
      <c r="B135" s="971" t="s">
        <v>78</v>
      </c>
      <c r="C135" s="1272">
        <v>1100</v>
      </c>
      <c r="D135" s="971" t="s">
        <v>79</v>
      </c>
      <c r="E135" s="971">
        <v>1100</v>
      </c>
      <c r="F135" s="971" t="s">
        <v>79</v>
      </c>
      <c r="G135" s="971">
        <v>1100</v>
      </c>
      <c r="H135" s="971" t="s">
        <v>79</v>
      </c>
      <c r="I135" s="1273"/>
      <c r="J135" s="971" t="s">
        <v>121</v>
      </c>
      <c r="K135" s="971" t="s">
        <v>150</v>
      </c>
      <c r="L135" s="971" t="s">
        <v>2800</v>
      </c>
      <c r="M135" s="971" t="s">
        <v>80</v>
      </c>
      <c r="N135" s="971" t="s">
        <v>83</v>
      </c>
      <c r="O135" s="971" t="s">
        <v>151</v>
      </c>
      <c r="P135" s="1266" t="s">
        <v>152</v>
      </c>
      <c r="Q135" s="971" t="s">
        <v>6614</v>
      </c>
      <c r="R135" s="971"/>
      <c r="S135" s="1274">
        <v>20000</v>
      </c>
      <c r="T135" s="971" t="s">
        <v>136</v>
      </c>
      <c r="U135" s="1275">
        <v>1.2689880937499998E-2</v>
      </c>
      <c r="V135" s="1275">
        <v>0.14624999999999999</v>
      </c>
      <c r="W135" s="1275">
        <v>1.2689880937499998</v>
      </c>
      <c r="X135" s="1275">
        <v>0.39654534577546297</v>
      </c>
      <c r="Y135" s="1275">
        <v>1.8102953457754629</v>
      </c>
      <c r="Z135" s="1129">
        <v>253.79761874999997</v>
      </c>
      <c r="AA135" s="1129">
        <v>2925</v>
      </c>
      <c r="AB135" s="1129">
        <v>25379.761874999997</v>
      </c>
      <c r="AC135" s="1129">
        <v>7930.9069155092593</v>
      </c>
      <c r="AD135" s="1267">
        <v>36235.668790509255</v>
      </c>
      <c r="AE135" s="1135">
        <v>0</v>
      </c>
      <c r="AF135" s="1129">
        <v>0</v>
      </c>
      <c r="AG135" s="1127">
        <v>1</v>
      </c>
      <c r="AH135" s="1127">
        <v>0</v>
      </c>
      <c r="AI135" s="1127">
        <v>0</v>
      </c>
      <c r="AJ135" s="1127">
        <v>1</v>
      </c>
      <c r="AK135" s="1129">
        <v>36235.668790509255</v>
      </c>
      <c r="AL135" s="1129">
        <v>0</v>
      </c>
      <c r="AM135" s="1129">
        <v>0</v>
      </c>
      <c r="AN135" s="1129">
        <v>36235.668790509255</v>
      </c>
      <c r="AO135" s="1129" t="s">
        <v>85</v>
      </c>
      <c r="AP135" s="1129" t="s">
        <v>6605</v>
      </c>
      <c r="AQ135" s="1157">
        <v>2015</v>
      </c>
      <c r="AR135" s="1129" t="s">
        <v>87</v>
      </c>
      <c r="AS135" s="1127">
        <v>0.33333333333333331</v>
      </c>
      <c r="AT135" s="1127">
        <v>0.33333333333333331</v>
      </c>
      <c r="AU135" s="1127">
        <v>0.33333333333333331</v>
      </c>
      <c r="AV135" s="1127"/>
      <c r="AW135" s="1127"/>
      <c r="AX135" s="1127"/>
      <c r="AY135" s="1127"/>
      <c r="AZ135" s="1127"/>
      <c r="BA135" s="1129">
        <v>12078.556263503084</v>
      </c>
      <c r="BB135" s="1129">
        <v>12078.556263503084</v>
      </c>
      <c r="BC135" s="1129">
        <v>12078.556263503084</v>
      </c>
      <c r="BD135" s="1129">
        <v>0</v>
      </c>
      <c r="BE135" s="1129">
        <v>0</v>
      </c>
      <c r="BF135" s="1129">
        <v>0</v>
      </c>
      <c r="BG135" s="1129">
        <v>0</v>
      </c>
      <c r="BH135" s="1129">
        <v>0</v>
      </c>
      <c r="BI135" s="971" t="s">
        <v>6615</v>
      </c>
      <c r="BJ135" s="971"/>
      <c r="BK135" s="971"/>
    </row>
    <row r="136" spans="1:63" s="1278" customFormat="1" ht="66" customHeight="1">
      <c r="A136" s="1272">
        <v>2000</v>
      </c>
      <c r="B136" s="971" t="str">
        <f>B135</f>
        <v>Project Wide</v>
      </c>
      <c r="C136" s="1272">
        <v>2500</v>
      </c>
      <c r="D136" s="971" t="str">
        <f>D135</f>
        <v>General (Project Controls Use)</v>
      </c>
      <c r="E136" s="971">
        <v>2550</v>
      </c>
      <c r="F136" s="971" t="s">
        <v>819</v>
      </c>
      <c r="G136" s="971">
        <v>2550</v>
      </c>
      <c r="H136" s="971" t="s">
        <v>819</v>
      </c>
      <c r="I136" s="1273"/>
      <c r="J136" s="971"/>
      <c r="K136" s="971" t="s">
        <v>255</v>
      </c>
      <c r="L136" s="971" t="s">
        <v>2802</v>
      </c>
      <c r="M136" s="971" t="s">
        <v>255</v>
      </c>
      <c r="N136" s="971" t="s">
        <v>83</v>
      </c>
      <c r="O136" s="971" t="s">
        <v>256</v>
      </c>
      <c r="P136" s="1266"/>
      <c r="Q136" s="1245" t="s">
        <v>821</v>
      </c>
      <c r="R136" s="971"/>
      <c r="S136" s="1274">
        <v>160</v>
      </c>
      <c r="T136" s="971" t="s">
        <v>136</v>
      </c>
      <c r="U136" s="1275" t="e">
        <f>IF(ISBLANK($K136),"0",VLOOKUP($K136,#REF!,5,FALSE))</f>
        <v>#REF!</v>
      </c>
      <c r="V136" s="1275" t="e">
        <f>IF(ISBLANK($K136),"0",VLOOKUP($K136,#REF!,6,FALSE))</f>
        <v>#REF!</v>
      </c>
      <c r="W136" s="1275" t="e">
        <f>IF(ISBLANK($K136),"0",VLOOKUP($K136,#REF!,7,FALSE))</f>
        <v>#REF!</v>
      </c>
      <c r="X136" s="1275" t="e">
        <f>IF(ISBLANK($K136),"0",VLOOKUP($K136,#REF!,9,FALSE))</f>
        <v>#REF!</v>
      </c>
      <c r="Y136" s="1275" t="e">
        <f>IF(ISBLANK($K136),"0",VLOOKUP($K136,#REF!,10,FALSE))</f>
        <v>#REF!</v>
      </c>
      <c r="Z136" s="1129" t="e">
        <f>U136*S136</f>
        <v>#REF!</v>
      </c>
      <c r="AA136" s="1129" t="e">
        <f t="shared" ref="AA136:AA138" si="0">V136*S136</f>
        <v>#REF!</v>
      </c>
      <c r="AB136" s="1129" t="e">
        <f t="shared" ref="AB136:AB138" si="1">W136*S136</f>
        <v>#REF!</v>
      </c>
      <c r="AC136" s="1129" t="e">
        <f t="shared" ref="AC136:AC138" si="2">X136*S136</f>
        <v>#REF!</v>
      </c>
      <c r="AD136" s="1098" t="e">
        <f t="shared" ref="AD136:AD137" si="3">SUM(AA136:AC136)</f>
        <v>#REF!</v>
      </c>
      <c r="AE136" s="1135" t="e">
        <f>IF(K136&lt;&gt;"",VLOOKUP(K136,#REF!,11,FALSE),0)</f>
        <v>#REF!</v>
      </c>
      <c r="AF136" s="1129" t="e">
        <f t="shared" ref="AF136:AF138" si="4">S136*AE136</f>
        <v>#REF!</v>
      </c>
      <c r="AG136" s="1127">
        <v>1</v>
      </c>
      <c r="AH136" s="1127">
        <f t="shared" ref="AH136:AH138" si="5">1-AG136</f>
        <v>0</v>
      </c>
      <c r="AI136" s="1127">
        <v>0</v>
      </c>
      <c r="AJ136" s="1127">
        <f t="shared" ref="AJ136:AJ138" si="6">1-AI136</f>
        <v>1</v>
      </c>
      <c r="AK136" s="1129" t="e">
        <f t="shared" ref="AK136:AK138" si="7">AD136*AG136</f>
        <v>#REF!</v>
      </c>
      <c r="AL136" s="1129" t="e">
        <f t="shared" ref="AL136:AL138" si="8">AD136*AH136</f>
        <v>#REF!</v>
      </c>
      <c r="AM136" s="1129" t="e">
        <f t="shared" ref="AM136:AM138" si="9">AD136*AI136</f>
        <v>#REF!</v>
      </c>
      <c r="AN136" s="1129" t="e">
        <f t="shared" ref="AN136:AN138" si="10">AD136*AJ136</f>
        <v>#REF!</v>
      </c>
      <c r="AO136" s="1129" t="s">
        <v>131</v>
      </c>
      <c r="AP136" s="1129" t="s">
        <v>6605</v>
      </c>
      <c r="AQ136" s="1157">
        <v>2014</v>
      </c>
      <c r="AR136" s="1129" t="s">
        <v>87</v>
      </c>
      <c r="AS136" s="1127">
        <f t="shared" ref="AS136:AU138" si="11">1/3</f>
        <v>0.33333333333333331</v>
      </c>
      <c r="AT136" s="1127">
        <f t="shared" si="11"/>
        <v>0.33333333333333331</v>
      </c>
      <c r="AU136" s="1127">
        <f t="shared" si="11"/>
        <v>0.33333333333333331</v>
      </c>
      <c r="AV136" s="1127"/>
      <c r="AW136" s="1127"/>
      <c r="AX136" s="1127"/>
      <c r="AY136" s="1127"/>
      <c r="AZ136" s="1127"/>
      <c r="BA136" s="1129" t="e">
        <f t="shared" ref="BA136:BA138" si="12">AD136*AS136</f>
        <v>#REF!</v>
      </c>
      <c r="BB136" s="1129" t="e">
        <f t="shared" ref="BB136:BB138" si="13">AD136*AT136</f>
        <v>#REF!</v>
      </c>
      <c r="BC136" s="1129" t="e">
        <f t="shared" ref="BC136:BC138" si="14">AD136*AU136</f>
        <v>#REF!</v>
      </c>
      <c r="BD136" s="1129" t="e">
        <f t="shared" ref="BD136:BD138" si="15">AD136*AV136</f>
        <v>#REF!</v>
      </c>
      <c r="BE136" s="1129" t="e">
        <f t="shared" ref="BE136:BE138" si="16">AD136*AW136</f>
        <v>#REF!</v>
      </c>
      <c r="BF136" s="1129" t="e">
        <f t="shared" ref="BF136:BF138" si="17">AD136*AX136</f>
        <v>#REF!</v>
      </c>
      <c r="BG136" s="1129" t="e">
        <f t="shared" ref="BG136:BG138" si="18">AD136*AY136</f>
        <v>#REF!</v>
      </c>
      <c r="BH136" s="1129" t="e">
        <f t="shared" ref="BH136:BH138" si="19">AD136*AZ136</f>
        <v>#REF!</v>
      </c>
      <c r="BI136" s="971"/>
      <c r="BJ136" s="971"/>
      <c r="BK136" s="971"/>
    </row>
    <row r="137" spans="1:63" s="1278" customFormat="1" ht="66" customHeight="1">
      <c r="A137" s="1272">
        <v>2000</v>
      </c>
      <c r="B137" s="971" t="s">
        <v>119</v>
      </c>
      <c r="C137" s="1272">
        <v>2500</v>
      </c>
      <c r="D137" s="971" t="s">
        <v>452</v>
      </c>
      <c r="E137" s="971">
        <v>2550</v>
      </c>
      <c r="F137" s="971" t="s">
        <v>819</v>
      </c>
      <c r="G137" s="971">
        <v>2550</v>
      </c>
      <c r="H137" s="971" t="s">
        <v>819</v>
      </c>
      <c r="I137" s="1273"/>
      <c r="J137" s="971"/>
      <c r="K137" s="971" t="s">
        <v>255</v>
      </c>
      <c r="L137" s="971" t="s">
        <v>2802</v>
      </c>
      <c r="M137" s="971" t="s">
        <v>255</v>
      </c>
      <c r="N137" s="971" t="s">
        <v>83</v>
      </c>
      <c r="O137" s="971" t="s">
        <v>256</v>
      </c>
      <c r="P137" s="1266"/>
      <c r="Q137" s="971" t="s">
        <v>822</v>
      </c>
      <c r="R137" s="971"/>
      <c r="S137" s="1274">
        <v>1784.35</v>
      </c>
      <c r="T137" s="971" t="s">
        <v>136</v>
      </c>
      <c r="U137" s="1275" t="e">
        <f>IF(ISBLANK($K137),"0",VLOOKUP($K137,#REF!,5,FALSE))</f>
        <v>#REF!</v>
      </c>
      <c r="V137" s="1275" t="e">
        <f>IF(ISBLANK($K137),"0",VLOOKUP($K137,#REF!,6,FALSE))</f>
        <v>#REF!</v>
      </c>
      <c r="W137" s="1275" t="e">
        <f>IF(ISBLANK($K137),"0",VLOOKUP($K137,#REF!,7,FALSE))</f>
        <v>#REF!</v>
      </c>
      <c r="X137" s="1275" t="e">
        <f>IF(ISBLANK($K137),"0",VLOOKUP($K137,#REF!,9,FALSE))</f>
        <v>#REF!</v>
      </c>
      <c r="Y137" s="1275" t="e">
        <f>IF(ISBLANK($K137),"0",VLOOKUP($K137,#REF!,10,FALSE))</f>
        <v>#REF!</v>
      </c>
      <c r="Z137" s="1129" t="e">
        <f t="shared" ref="Z137:Z138" si="20">U137*S137</f>
        <v>#REF!</v>
      </c>
      <c r="AA137" s="1129" t="e">
        <f t="shared" si="0"/>
        <v>#REF!</v>
      </c>
      <c r="AB137" s="1129" t="e">
        <f t="shared" si="1"/>
        <v>#REF!</v>
      </c>
      <c r="AC137" s="1129" t="e">
        <f t="shared" si="2"/>
        <v>#REF!</v>
      </c>
      <c r="AD137" s="1098" t="e">
        <f t="shared" si="3"/>
        <v>#REF!</v>
      </c>
      <c r="AE137" s="1135" t="e">
        <f>IF(K137&lt;&gt;"",VLOOKUP(K137,#REF!,11,FALSE),0)</f>
        <v>#REF!</v>
      </c>
      <c r="AF137" s="1129" t="e">
        <f t="shared" si="4"/>
        <v>#REF!</v>
      </c>
      <c r="AG137" s="1127">
        <v>1</v>
      </c>
      <c r="AH137" s="1127">
        <f t="shared" si="5"/>
        <v>0</v>
      </c>
      <c r="AI137" s="1127">
        <v>0</v>
      </c>
      <c r="AJ137" s="1127">
        <f t="shared" si="6"/>
        <v>1</v>
      </c>
      <c r="AK137" s="1129" t="e">
        <f t="shared" si="7"/>
        <v>#REF!</v>
      </c>
      <c r="AL137" s="1129" t="e">
        <f t="shared" si="8"/>
        <v>#REF!</v>
      </c>
      <c r="AM137" s="1129" t="e">
        <f t="shared" si="9"/>
        <v>#REF!</v>
      </c>
      <c r="AN137" s="1129" t="e">
        <f t="shared" si="10"/>
        <v>#REF!</v>
      </c>
      <c r="AO137" s="1129" t="s">
        <v>131</v>
      </c>
      <c r="AP137" s="1129" t="s">
        <v>6605</v>
      </c>
      <c r="AQ137" s="1157">
        <v>2014</v>
      </c>
      <c r="AR137" s="1129" t="s">
        <v>87</v>
      </c>
      <c r="AS137" s="1127">
        <f t="shared" si="11"/>
        <v>0.33333333333333331</v>
      </c>
      <c r="AT137" s="1127">
        <f t="shared" si="11"/>
        <v>0.33333333333333331</v>
      </c>
      <c r="AU137" s="1127">
        <f t="shared" si="11"/>
        <v>0.33333333333333331</v>
      </c>
      <c r="AV137" s="1127"/>
      <c r="AW137" s="1127"/>
      <c r="AX137" s="1127"/>
      <c r="AY137" s="1127"/>
      <c r="AZ137" s="1127"/>
      <c r="BA137" s="1129" t="e">
        <f t="shared" si="12"/>
        <v>#REF!</v>
      </c>
      <c r="BB137" s="1129" t="e">
        <f t="shared" si="13"/>
        <v>#REF!</v>
      </c>
      <c r="BC137" s="1129" t="e">
        <f t="shared" si="14"/>
        <v>#REF!</v>
      </c>
      <c r="BD137" s="1129" t="e">
        <f t="shared" si="15"/>
        <v>#REF!</v>
      </c>
      <c r="BE137" s="1129" t="e">
        <f t="shared" si="16"/>
        <v>#REF!</v>
      </c>
      <c r="BF137" s="1129" t="e">
        <f t="shared" si="17"/>
        <v>#REF!</v>
      </c>
      <c r="BG137" s="1129" t="e">
        <f t="shared" si="18"/>
        <v>#REF!</v>
      </c>
      <c r="BH137" s="1129" t="e">
        <f t="shared" si="19"/>
        <v>#REF!</v>
      </c>
      <c r="BI137" s="971" t="s">
        <v>154</v>
      </c>
      <c r="BJ137" s="971"/>
      <c r="BK137" s="971" t="s">
        <v>155</v>
      </c>
    </row>
    <row r="138" spans="1:63" s="1278" customFormat="1" ht="49.5">
      <c r="A138" s="1272">
        <v>2000</v>
      </c>
      <c r="B138" s="971" t="s">
        <v>119</v>
      </c>
      <c r="C138" s="1272">
        <v>2500</v>
      </c>
      <c r="D138" s="971" t="s">
        <v>452</v>
      </c>
      <c r="E138" s="971">
        <v>2550</v>
      </c>
      <c r="F138" s="971" t="s">
        <v>819</v>
      </c>
      <c r="G138" s="971">
        <v>2550</v>
      </c>
      <c r="H138" s="971" t="s">
        <v>819</v>
      </c>
      <c r="I138" s="1273"/>
      <c r="J138" s="971"/>
      <c r="K138" s="971" t="s">
        <v>823</v>
      </c>
      <c r="L138" s="971" t="s">
        <v>824</v>
      </c>
      <c r="M138" s="971" t="s">
        <v>823</v>
      </c>
      <c r="N138" s="971" t="s">
        <v>83</v>
      </c>
      <c r="O138" s="971" t="s">
        <v>824</v>
      </c>
      <c r="P138" s="971" t="s">
        <v>824</v>
      </c>
      <c r="Q138" s="971" t="s">
        <v>825</v>
      </c>
      <c r="R138" s="971"/>
      <c r="S138" s="1274">
        <v>972</v>
      </c>
      <c r="T138" s="971" t="s">
        <v>136</v>
      </c>
      <c r="U138" s="1240" t="e">
        <f>IF(ISBLANK($K138),"0",VLOOKUP($K138,#REF!,5,FALSE))</f>
        <v>#REF!</v>
      </c>
      <c r="V138" s="1240" t="e">
        <f>IF(ISBLANK($K138),"0",VLOOKUP($K138,#REF!,6,FALSE))</f>
        <v>#REF!</v>
      </c>
      <c r="W138" s="1275" t="e">
        <f>IF(ISBLANK($K138),"0",VLOOKUP($K138,#REF!,7,FALSE))</f>
        <v>#REF!</v>
      </c>
      <c r="X138" s="1240" t="e">
        <f>IF(ISBLANK($K138),"0",VLOOKUP($K138,#REF!,9,FALSE))</f>
        <v>#REF!</v>
      </c>
      <c r="Y138" s="1275" t="e">
        <f>IF(ISBLANK($K138),"0",VLOOKUP($K138,#REF!,10,FALSE))</f>
        <v>#REF!</v>
      </c>
      <c r="Z138" s="1129" t="e">
        <f t="shared" si="20"/>
        <v>#REF!</v>
      </c>
      <c r="AA138" s="1129" t="e">
        <f t="shared" si="0"/>
        <v>#REF!</v>
      </c>
      <c r="AB138" s="1129" t="e">
        <f t="shared" si="1"/>
        <v>#REF!</v>
      </c>
      <c r="AC138" s="1129" t="e">
        <f t="shared" si="2"/>
        <v>#REF!</v>
      </c>
      <c r="AD138" s="1098" t="e">
        <f>S138*Y138</f>
        <v>#REF!</v>
      </c>
      <c r="AE138" s="1135" t="e">
        <f>IF(K138&lt;&gt;"",VLOOKUP(K138,#REF!,11,FALSE),0)</f>
        <v>#REF!</v>
      </c>
      <c r="AF138" s="1129" t="e">
        <f t="shared" si="4"/>
        <v>#REF!</v>
      </c>
      <c r="AG138" s="1127">
        <v>1</v>
      </c>
      <c r="AH138" s="1127">
        <f t="shared" si="5"/>
        <v>0</v>
      </c>
      <c r="AI138" s="1127">
        <v>0</v>
      </c>
      <c r="AJ138" s="1127">
        <f t="shared" si="6"/>
        <v>1</v>
      </c>
      <c r="AK138" s="1129" t="e">
        <f t="shared" si="7"/>
        <v>#REF!</v>
      </c>
      <c r="AL138" s="1129" t="e">
        <f t="shared" si="8"/>
        <v>#REF!</v>
      </c>
      <c r="AM138" s="1129" t="e">
        <f t="shared" si="9"/>
        <v>#REF!</v>
      </c>
      <c r="AN138" s="1129" t="e">
        <f t="shared" si="10"/>
        <v>#REF!</v>
      </c>
      <c r="AO138" s="1129" t="s">
        <v>85</v>
      </c>
      <c r="AP138" s="1129" t="s">
        <v>6605</v>
      </c>
      <c r="AQ138" s="1157" t="s">
        <v>107</v>
      </c>
      <c r="AR138" s="1129" t="s">
        <v>87</v>
      </c>
      <c r="AS138" s="1127">
        <f t="shared" si="11"/>
        <v>0.33333333333333331</v>
      </c>
      <c r="AT138" s="1127">
        <f t="shared" si="11"/>
        <v>0.33333333333333331</v>
      </c>
      <c r="AU138" s="1127">
        <f t="shared" si="11"/>
        <v>0.33333333333333331</v>
      </c>
      <c r="AV138" s="1127"/>
      <c r="AW138" s="1127"/>
      <c r="AX138" s="1127"/>
      <c r="AY138" s="1127"/>
      <c r="AZ138" s="1127"/>
      <c r="BA138" s="1129" t="e">
        <f t="shared" si="12"/>
        <v>#REF!</v>
      </c>
      <c r="BB138" s="1129" t="e">
        <f t="shared" si="13"/>
        <v>#REF!</v>
      </c>
      <c r="BC138" s="1129" t="e">
        <f t="shared" si="14"/>
        <v>#REF!</v>
      </c>
      <c r="BD138" s="1129" t="e">
        <f t="shared" si="15"/>
        <v>#REF!</v>
      </c>
      <c r="BE138" s="1129" t="e">
        <f t="shared" si="16"/>
        <v>#REF!</v>
      </c>
      <c r="BF138" s="1129" t="e">
        <f t="shared" si="17"/>
        <v>#REF!</v>
      </c>
      <c r="BG138" s="1129" t="e">
        <f t="shared" si="18"/>
        <v>#REF!</v>
      </c>
      <c r="BH138" s="1129" t="e">
        <f t="shared" si="19"/>
        <v>#REF!</v>
      </c>
      <c r="BI138" s="971" t="s">
        <v>154</v>
      </c>
      <c r="BJ138" s="971"/>
      <c r="BK138" s="971"/>
    </row>
    <row r="139" spans="1:63" s="1278" customFormat="1" ht="66" customHeight="1">
      <c r="A139" s="1272">
        <v>7000</v>
      </c>
      <c r="B139" s="971" t="s">
        <v>2420</v>
      </c>
      <c r="C139" s="1272">
        <v>7200</v>
      </c>
      <c r="D139" s="971" t="s">
        <v>2420</v>
      </c>
      <c r="E139" s="971">
        <v>7270</v>
      </c>
      <c r="F139" s="971" t="s">
        <v>2580</v>
      </c>
      <c r="G139" s="971">
        <v>7273</v>
      </c>
      <c r="H139" s="971" t="s">
        <v>2581</v>
      </c>
      <c r="I139" s="1273"/>
      <c r="J139" s="971"/>
      <c r="K139" s="971" t="s">
        <v>255</v>
      </c>
      <c r="L139" s="971" t="s">
        <v>2802</v>
      </c>
      <c r="M139" s="971" t="s">
        <v>255</v>
      </c>
      <c r="N139" s="971" t="s">
        <v>83</v>
      </c>
      <c r="O139" s="971" t="s">
        <v>256</v>
      </c>
      <c r="P139" s="1266"/>
      <c r="Q139" s="971" t="s">
        <v>2585</v>
      </c>
      <c r="R139" s="971"/>
      <c r="S139" s="1274">
        <v>979.44</v>
      </c>
      <c r="T139" s="971" t="s">
        <v>136</v>
      </c>
      <c r="U139" s="1275">
        <v>4.4489880937500004E-2</v>
      </c>
      <c r="V139" s="1275">
        <v>0.17804999999999999</v>
      </c>
      <c r="W139" s="1275">
        <v>4.4489880937499997</v>
      </c>
      <c r="X139" s="1275">
        <v>0.71454534577546303</v>
      </c>
      <c r="Y139" s="1275">
        <v>5.3082953457754627</v>
      </c>
      <c r="Z139" s="1129">
        <v>43.575168985425009</v>
      </c>
      <c r="AA139" s="1129">
        <v>174.38929199999998</v>
      </c>
      <c r="AB139" s="1129">
        <v>4357.5168985424998</v>
      </c>
      <c r="AC139" s="1129">
        <v>699.85429346631952</v>
      </c>
      <c r="AD139" s="1098">
        <v>5231.7604840088188</v>
      </c>
      <c r="AE139" s="1135">
        <v>0</v>
      </c>
      <c r="AF139" s="1129">
        <v>0</v>
      </c>
      <c r="AG139" s="1127">
        <v>1</v>
      </c>
      <c r="AH139" s="1127">
        <v>0</v>
      </c>
      <c r="AI139" s="1127">
        <v>0</v>
      </c>
      <c r="AJ139" s="1127">
        <v>1</v>
      </c>
      <c r="AK139" s="1129">
        <v>5231.7604840088188</v>
      </c>
      <c r="AL139" s="1129">
        <v>0</v>
      </c>
      <c r="AM139" s="1129">
        <v>0</v>
      </c>
      <c r="AN139" s="1129">
        <v>5231.7604840088188</v>
      </c>
      <c r="AO139" s="1129" t="s">
        <v>131</v>
      </c>
      <c r="AP139" s="1129" t="s">
        <v>6605</v>
      </c>
      <c r="AQ139" s="1157">
        <v>2014</v>
      </c>
      <c r="AR139" s="1129" t="s">
        <v>87</v>
      </c>
      <c r="AS139" s="1127">
        <v>0.33333333333333331</v>
      </c>
      <c r="AT139" s="1127">
        <v>0.33333333333333331</v>
      </c>
      <c r="AU139" s="1127">
        <v>0.33333333333333331</v>
      </c>
      <c r="AV139" s="1127"/>
      <c r="AW139" s="1127"/>
      <c r="AX139" s="1127"/>
      <c r="AY139" s="1127"/>
      <c r="AZ139" s="1127"/>
      <c r="BA139" s="1129">
        <v>1743.9201613362729</v>
      </c>
      <c r="BB139" s="1129">
        <v>1743.9201613362729</v>
      </c>
      <c r="BC139" s="1129">
        <v>1743.9201613362729</v>
      </c>
      <c r="BD139" s="1129">
        <v>0</v>
      </c>
      <c r="BE139" s="1129">
        <v>0</v>
      </c>
      <c r="BF139" s="1129">
        <v>0</v>
      </c>
      <c r="BG139" s="1129">
        <v>0</v>
      </c>
      <c r="BH139" s="1129">
        <v>0</v>
      </c>
      <c r="BI139" s="971" t="s">
        <v>154</v>
      </c>
      <c r="BJ139" s="971"/>
      <c r="BK139" s="971" t="s">
        <v>155</v>
      </c>
    </row>
    <row r="140" spans="1:63" s="1278" customFormat="1" ht="49.5">
      <c r="A140" s="1272">
        <v>7000</v>
      </c>
      <c r="B140" s="971" t="s">
        <v>2420</v>
      </c>
      <c r="C140" s="1272">
        <v>7200</v>
      </c>
      <c r="D140" s="971" t="s">
        <v>2420</v>
      </c>
      <c r="E140" s="971">
        <v>7270</v>
      </c>
      <c r="F140" s="971" t="s">
        <v>2580</v>
      </c>
      <c r="G140" s="971">
        <v>7273</v>
      </c>
      <c r="H140" s="971" t="s">
        <v>2581</v>
      </c>
      <c r="I140" s="1273"/>
      <c r="J140" s="971" t="s">
        <v>121</v>
      </c>
      <c r="K140" s="971"/>
      <c r="L140" s="971" t="e">
        <v>#N/A</v>
      </c>
      <c r="M140" s="971"/>
      <c r="N140" s="971"/>
      <c r="O140" s="971"/>
      <c r="P140" s="1266"/>
      <c r="Q140" s="971" t="s">
        <v>2586</v>
      </c>
      <c r="R140" s="971"/>
      <c r="S140" s="1274">
        <v>0</v>
      </c>
      <c r="T140" s="971" t="s">
        <v>2587</v>
      </c>
      <c r="U140" s="1275" t="s">
        <v>6588</v>
      </c>
      <c r="V140" s="1275" t="s">
        <v>6588</v>
      </c>
      <c r="W140" s="1275" t="s">
        <v>6588</v>
      </c>
      <c r="X140" s="1275" t="s">
        <v>6588</v>
      </c>
      <c r="Y140" s="1275" t="s">
        <v>6588</v>
      </c>
      <c r="Z140" s="1129">
        <v>0</v>
      </c>
      <c r="AA140" s="1129">
        <v>0</v>
      </c>
      <c r="AB140" s="1129">
        <v>0</v>
      </c>
      <c r="AC140" s="1129">
        <v>0</v>
      </c>
      <c r="AD140" s="1098">
        <v>0</v>
      </c>
      <c r="AE140" s="1135">
        <v>0</v>
      </c>
      <c r="AF140" s="1129">
        <v>0</v>
      </c>
      <c r="AG140" s="1127">
        <v>1</v>
      </c>
      <c r="AH140" s="1127">
        <v>0</v>
      </c>
      <c r="AI140" s="1127">
        <v>0</v>
      </c>
      <c r="AJ140" s="1127">
        <v>1</v>
      </c>
      <c r="AK140" s="1129">
        <v>0</v>
      </c>
      <c r="AL140" s="1129">
        <v>0</v>
      </c>
      <c r="AM140" s="1129">
        <v>0</v>
      </c>
      <c r="AN140" s="1129">
        <v>0</v>
      </c>
      <c r="AO140" s="1129" t="s">
        <v>131</v>
      </c>
      <c r="AP140" s="1129" t="s">
        <v>1430</v>
      </c>
      <c r="AQ140" s="1157">
        <v>2014</v>
      </c>
      <c r="AR140" s="1129" t="s">
        <v>87</v>
      </c>
      <c r="AS140" s="1127">
        <v>0.33333333333333331</v>
      </c>
      <c r="AT140" s="1127">
        <v>0.33333333333333331</v>
      </c>
      <c r="AU140" s="1127">
        <v>0.33333333333333331</v>
      </c>
      <c r="AV140" s="1127"/>
      <c r="AW140" s="1127"/>
      <c r="AX140" s="1127"/>
      <c r="AY140" s="1127"/>
      <c r="AZ140" s="1127"/>
      <c r="BA140" s="1129">
        <v>0</v>
      </c>
      <c r="BB140" s="1129">
        <v>0</v>
      </c>
      <c r="BC140" s="1129">
        <v>0</v>
      </c>
      <c r="BD140" s="1129">
        <v>0</v>
      </c>
      <c r="BE140" s="1129">
        <v>0</v>
      </c>
      <c r="BF140" s="1129">
        <v>0</v>
      </c>
      <c r="BG140" s="1129">
        <v>0</v>
      </c>
      <c r="BH140" s="1129">
        <v>0</v>
      </c>
      <c r="BI140" s="971" t="s">
        <v>2588</v>
      </c>
      <c r="BJ140" s="971"/>
      <c r="BK140" s="971" t="s">
        <v>173</v>
      </c>
    </row>
    <row r="141" spans="1:63" s="1255" customFormat="1" ht="49.5">
      <c r="A141" s="1272">
        <v>7000</v>
      </c>
      <c r="B141" s="971" t="s">
        <v>2420</v>
      </c>
      <c r="C141" s="1272">
        <v>7200</v>
      </c>
      <c r="D141" s="971" t="s">
        <v>2420</v>
      </c>
      <c r="E141" s="971">
        <v>7270</v>
      </c>
      <c r="F141" s="971" t="s">
        <v>2580</v>
      </c>
      <c r="G141" s="971">
        <v>7273</v>
      </c>
      <c r="H141" s="971" t="s">
        <v>2581</v>
      </c>
      <c r="I141" s="1273"/>
      <c r="J141" s="971" t="s">
        <v>121</v>
      </c>
      <c r="K141" s="971" t="s">
        <v>255</v>
      </c>
      <c r="L141" s="971" t="s">
        <v>2802</v>
      </c>
      <c r="M141" s="971" t="s">
        <v>255</v>
      </c>
      <c r="N141" s="971" t="s">
        <v>83</v>
      </c>
      <c r="O141" s="971" t="s">
        <v>256</v>
      </c>
      <c r="P141" s="1266"/>
      <c r="Q141" s="971" t="s">
        <v>2589</v>
      </c>
      <c r="R141" s="971"/>
      <c r="S141" s="1274">
        <v>1451.9</v>
      </c>
      <c r="T141" s="971" t="s">
        <v>136</v>
      </c>
      <c r="U141" s="1275">
        <v>4.4489880937500004E-2</v>
      </c>
      <c r="V141" s="1275">
        <v>0.17804999999999999</v>
      </c>
      <c r="W141" s="1275">
        <v>4.4489880937499997</v>
      </c>
      <c r="X141" s="1275">
        <v>0.71454534577546303</v>
      </c>
      <c r="Y141" s="1275">
        <v>5.3082953457754627</v>
      </c>
      <c r="Z141" s="1129">
        <v>64.594858133156265</v>
      </c>
      <c r="AA141" s="1129">
        <v>258.51079499999997</v>
      </c>
      <c r="AB141" s="1129">
        <v>6459.4858133156249</v>
      </c>
      <c r="AC141" s="1129">
        <v>1037.4483875313949</v>
      </c>
      <c r="AD141" s="1098">
        <v>7755.4449958470195</v>
      </c>
      <c r="AE141" s="1135">
        <v>0</v>
      </c>
      <c r="AF141" s="1129">
        <v>0</v>
      </c>
      <c r="AG141" s="1127">
        <v>1</v>
      </c>
      <c r="AH141" s="1127">
        <v>0</v>
      </c>
      <c r="AI141" s="1127">
        <v>0</v>
      </c>
      <c r="AJ141" s="1127">
        <v>1</v>
      </c>
      <c r="AK141" s="1129">
        <v>7755.4449958470195</v>
      </c>
      <c r="AL141" s="1129">
        <v>0</v>
      </c>
      <c r="AM141" s="1129">
        <v>0</v>
      </c>
      <c r="AN141" s="1129">
        <v>7755.4449958470195</v>
      </c>
      <c r="AO141" s="1129" t="s">
        <v>131</v>
      </c>
      <c r="AP141" s="1129" t="s">
        <v>1430</v>
      </c>
      <c r="AQ141" s="1157">
        <v>2014</v>
      </c>
      <c r="AR141" s="1129" t="s">
        <v>87</v>
      </c>
      <c r="AS141" s="1127"/>
      <c r="AT141" s="1127">
        <v>1</v>
      </c>
      <c r="AU141" s="1127"/>
      <c r="AV141" s="1127"/>
      <c r="AW141" s="1127"/>
      <c r="AX141" s="1127"/>
      <c r="AY141" s="1127"/>
      <c r="AZ141" s="1127"/>
      <c r="BA141" s="1129">
        <v>0</v>
      </c>
      <c r="BB141" s="1129">
        <v>7755.4449958470195</v>
      </c>
      <c r="BC141" s="1129">
        <v>0</v>
      </c>
      <c r="BD141" s="1129">
        <v>0</v>
      </c>
      <c r="BE141" s="1129">
        <v>0</v>
      </c>
      <c r="BF141" s="1129">
        <v>0</v>
      </c>
      <c r="BG141" s="1129">
        <v>0</v>
      </c>
      <c r="BH141" s="1129">
        <v>0</v>
      </c>
      <c r="BI141" s="971" t="s">
        <v>1431</v>
      </c>
      <c r="BJ141" s="971"/>
      <c r="BK141" s="971" t="s">
        <v>155</v>
      </c>
    </row>
    <row r="142" spans="1:63" s="1255" customFormat="1" ht="49.5">
      <c r="A142" s="1272">
        <v>7000</v>
      </c>
      <c r="B142" s="971" t="s">
        <v>2420</v>
      </c>
      <c r="C142" s="1272">
        <v>7200</v>
      </c>
      <c r="D142" s="971" t="s">
        <v>2420</v>
      </c>
      <c r="E142" s="971">
        <v>7270</v>
      </c>
      <c r="F142" s="971" t="s">
        <v>2580</v>
      </c>
      <c r="G142" s="971">
        <v>7273</v>
      </c>
      <c r="H142" s="971" t="s">
        <v>2581</v>
      </c>
      <c r="I142" s="1273"/>
      <c r="J142" s="971" t="s">
        <v>121</v>
      </c>
      <c r="K142" s="971" t="s">
        <v>255</v>
      </c>
      <c r="L142" s="971" t="s">
        <v>2802</v>
      </c>
      <c r="M142" s="971" t="s">
        <v>255</v>
      </c>
      <c r="N142" s="971" t="s">
        <v>83</v>
      </c>
      <c r="O142" s="971" t="s">
        <v>256</v>
      </c>
      <c r="P142" s="1266"/>
      <c r="Q142" s="971" t="s">
        <v>2589</v>
      </c>
      <c r="R142" s="971"/>
      <c r="S142" s="1274">
        <v>1451.9</v>
      </c>
      <c r="T142" s="971" t="s">
        <v>136</v>
      </c>
      <c r="U142" s="1275">
        <v>4.4489880937500004E-2</v>
      </c>
      <c r="V142" s="1275">
        <v>0.17804999999999999</v>
      </c>
      <c r="W142" s="1275">
        <v>4.4489880937499997</v>
      </c>
      <c r="X142" s="1275">
        <v>0.71454534577546303</v>
      </c>
      <c r="Y142" s="1275">
        <v>5.3082953457754627</v>
      </c>
      <c r="Z142" s="1129">
        <v>64.594858133156265</v>
      </c>
      <c r="AA142" s="1129">
        <v>258.51079499999997</v>
      </c>
      <c r="AB142" s="1129">
        <v>6459.4858133156249</v>
      </c>
      <c r="AC142" s="1129">
        <v>1037.4483875313949</v>
      </c>
      <c r="AD142" s="1098">
        <v>7755.4449958470195</v>
      </c>
      <c r="AE142" s="1135">
        <v>0</v>
      </c>
      <c r="AF142" s="1129">
        <v>0</v>
      </c>
      <c r="AG142" s="1127">
        <v>1</v>
      </c>
      <c r="AH142" s="1127">
        <v>0</v>
      </c>
      <c r="AI142" s="1127">
        <v>0</v>
      </c>
      <c r="AJ142" s="1127">
        <v>1</v>
      </c>
      <c r="AK142" s="1129">
        <v>7755.4449958470195</v>
      </c>
      <c r="AL142" s="1129">
        <v>0</v>
      </c>
      <c r="AM142" s="1129">
        <v>0</v>
      </c>
      <c r="AN142" s="1129">
        <v>7755.4449958470195</v>
      </c>
      <c r="AO142" s="1129" t="s">
        <v>131</v>
      </c>
      <c r="AP142" s="1129" t="s">
        <v>1430</v>
      </c>
      <c r="AQ142" s="1157">
        <v>2014</v>
      </c>
      <c r="AR142" s="1129" t="s">
        <v>87</v>
      </c>
      <c r="AS142" s="1127"/>
      <c r="AT142" s="1127">
        <v>1</v>
      </c>
      <c r="AU142" s="1127"/>
      <c r="AV142" s="1127"/>
      <c r="AW142" s="1127"/>
      <c r="AX142" s="1127"/>
      <c r="AY142" s="1127"/>
      <c r="AZ142" s="1127"/>
      <c r="BA142" s="1129">
        <v>0</v>
      </c>
      <c r="BB142" s="1129">
        <v>7755.4449958470195</v>
      </c>
      <c r="BC142" s="1129">
        <v>0</v>
      </c>
      <c r="BD142" s="1129">
        <v>0</v>
      </c>
      <c r="BE142" s="1129">
        <v>0</v>
      </c>
      <c r="BF142" s="1129">
        <v>0</v>
      </c>
      <c r="BG142" s="1129">
        <v>0</v>
      </c>
      <c r="BH142" s="1129">
        <v>0</v>
      </c>
      <c r="BI142" s="971" t="s">
        <v>2590</v>
      </c>
      <c r="BJ142" s="971"/>
      <c r="BK142" s="971" t="s">
        <v>155</v>
      </c>
    </row>
    <row r="143" spans="1:63" s="1255" customFormat="1" ht="66" customHeight="1">
      <c r="A143" s="1272">
        <v>4000</v>
      </c>
      <c r="B143" s="971" t="s">
        <v>1316</v>
      </c>
      <c r="C143" s="1272">
        <v>4200</v>
      </c>
      <c r="D143" s="971" t="s">
        <v>1316</v>
      </c>
      <c r="E143" s="971">
        <v>4250</v>
      </c>
      <c r="F143" s="971" t="s">
        <v>1426</v>
      </c>
      <c r="G143" s="971">
        <v>4250</v>
      </c>
      <c r="H143" s="971" t="s">
        <v>1426</v>
      </c>
      <c r="I143" s="1273"/>
      <c r="J143" s="971" t="s">
        <v>121</v>
      </c>
      <c r="K143" s="971" t="s">
        <v>255</v>
      </c>
      <c r="L143" s="971" t="s">
        <v>2802</v>
      </c>
      <c r="M143" s="971" t="s">
        <v>255</v>
      </c>
      <c r="N143" s="971" t="s">
        <v>83</v>
      </c>
      <c r="O143" s="971" t="s">
        <v>256</v>
      </c>
      <c r="P143" s="1266"/>
      <c r="Q143" s="971" t="s">
        <v>1429</v>
      </c>
      <c r="R143" s="971"/>
      <c r="S143" s="1274">
        <v>361</v>
      </c>
      <c r="T143" s="971" t="s">
        <v>136</v>
      </c>
      <c r="U143" s="1275">
        <v>4.4489880937500004E-2</v>
      </c>
      <c r="V143" s="1275">
        <v>0.17804999999999999</v>
      </c>
      <c r="W143" s="1275">
        <v>4.4489880937499997</v>
      </c>
      <c r="X143" s="1275">
        <v>0.71454534577546303</v>
      </c>
      <c r="Y143" s="1275">
        <v>5.3082953457754627</v>
      </c>
      <c r="Z143" s="1129">
        <v>16.060847018437503</v>
      </c>
      <c r="AA143" s="1129">
        <v>64.276049999999998</v>
      </c>
      <c r="AB143" s="1129">
        <v>1606.0847018437498</v>
      </c>
      <c r="AC143" s="1129">
        <v>257.95086982494217</v>
      </c>
      <c r="AD143" s="1098">
        <v>1928.3116216686919</v>
      </c>
      <c r="AE143" s="1135">
        <v>0</v>
      </c>
      <c r="AF143" s="1129">
        <v>0</v>
      </c>
      <c r="AG143" s="1127">
        <v>1</v>
      </c>
      <c r="AH143" s="1127">
        <v>0</v>
      </c>
      <c r="AI143" s="1127">
        <v>0</v>
      </c>
      <c r="AJ143" s="1127">
        <v>1</v>
      </c>
      <c r="AK143" s="1129">
        <v>1928.3116216686919</v>
      </c>
      <c r="AL143" s="1129">
        <v>0</v>
      </c>
      <c r="AM143" s="1129">
        <v>0</v>
      </c>
      <c r="AN143" s="1129">
        <v>1928.3116216686919</v>
      </c>
      <c r="AO143" s="1129" t="s">
        <v>131</v>
      </c>
      <c r="AP143" s="1129" t="s">
        <v>1430</v>
      </c>
      <c r="AQ143" s="1157" t="s">
        <v>108</v>
      </c>
      <c r="AR143" s="1129" t="s">
        <v>87</v>
      </c>
      <c r="AS143" s="1129"/>
      <c r="AT143" s="1127"/>
      <c r="AU143" s="1127">
        <v>1</v>
      </c>
      <c r="AV143" s="1127"/>
      <c r="AW143" s="1127"/>
      <c r="AX143" s="1127"/>
      <c r="AY143" s="1127"/>
      <c r="AZ143" s="1127"/>
      <c r="BA143" s="1127"/>
      <c r="BB143" s="1129">
        <v>0</v>
      </c>
      <c r="BC143" s="1129">
        <v>0</v>
      </c>
      <c r="BD143" s="1129">
        <v>1928.3116216686919</v>
      </c>
      <c r="BE143" s="1129">
        <v>0</v>
      </c>
      <c r="BF143" s="1129">
        <v>0</v>
      </c>
      <c r="BG143" s="1129">
        <v>0</v>
      </c>
      <c r="BH143" s="1129">
        <v>0</v>
      </c>
      <c r="BI143" s="1129">
        <v>0</v>
      </c>
      <c r="BJ143" s="1129">
        <v>0</v>
      </c>
      <c r="BK143" s="971" t="s">
        <v>1431</v>
      </c>
    </row>
    <row r="144" spans="1:63" s="1278" customFormat="1" ht="66" customHeight="1">
      <c r="A144" s="1272">
        <v>2000</v>
      </c>
      <c r="B144" s="971" t="s">
        <v>119</v>
      </c>
      <c r="C144" s="1272">
        <v>2700</v>
      </c>
      <c r="D144" s="971" t="s">
        <v>119</v>
      </c>
      <c r="E144" s="971">
        <v>2730</v>
      </c>
      <c r="F144" s="971" t="s">
        <v>958</v>
      </c>
      <c r="G144" s="971">
        <v>2735</v>
      </c>
      <c r="H144" s="971" t="s">
        <v>959</v>
      </c>
      <c r="I144" s="1273"/>
      <c r="J144" s="971" t="s">
        <v>121</v>
      </c>
      <c r="K144" s="971" t="s">
        <v>255</v>
      </c>
      <c r="L144" s="971" t="s">
        <v>2802</v>
      </c>
      <c r="M144" s="971" t="s">
        <v>255</v>
      </c>
      <c r="N144" s="971" t="s">
        <v>83</v>
      </c>
      <c r="O144" s="971" t="s">
        <v>256</v>
      </c>
      <c r="P144" s="1266"/>
      <c r="Q144" s="971" t="s">
        <v>962</v>
      </c>
      <c r="R144" s="971"/>
      <c r="S144" s="1274">
        <v>4260.3</v>
      </c>
      <c r="T144" s="971" t="s">
        <v>136</v>
      </c>
      <c r="U144" s="1275">
        <v>4.4489880937500004E-2</v>
      </c>
      <c r="V144" s="1275">
        <v>0.17804999999999999</v>
      </c>
      <c r="W144" s="1275">
        <v>4.4489880937499997</v>
      </c>
      <c r="X144" s="1275">
        <v>0.71454534577546303</v>
      </c>
      <c r="Y144" s="1275">
        <v>5.3082953457754627</v>
      </c>
      <c r="Z144" s="1129">
        <v>189.54023975803128</v>
      </c>
      <c r="AA144" s="1129">
        <v>758.54641500000002</v>
      </c>
      <c r="AB144" s="1129">
        <v>18954.023975803124</v>
      </c>
      <c r="AC144" s="1129">
        <v>3044.1775366072052</v>
      </c>
      <c r="AD144" s="1098">
        <v>22756.747927410332</v>
      </c>
      <c r="AE144" s="1135">
        <v>0</v>
      </c>
      <c r="AF144" s="1129">
        <v>0</v>
      </c>
      <c r="AG144" s="1127">
        <v>1</v>
      </c>
      <c r="AH144" s="1127">
        <v>0</v>
      </c>
      <c r="AI144" s="1127">
        <v>0</v>
      </c>
      <c r="AJ144" s="1127">
        <v>1</v>
      </c>
      <c r="AK144" s="1129">
        <v>22756.747927410332</v>
      </c>
      <c r="AL144" s="1129">
        <v>0</v>
      </c>
      <c r="AM144" s="1129">
        <v>0</v>
      </c>
      <c r="AN144" s="1129">
        <v>22756.747927410332</v>
      </c>
      <c r="AO144" s="1129" t="s">
        <v>131</v>
      </c>
      <c r="AP144" s="1129" t="s">
        <v>96</v>
      </c>
      <c r="AQ144" s="1157">
        <v>2014</v>
      </c>
      <c r="AR144" s="1129" t="s">
        <v>87</v>
      </c>
      <c r="AS144" s="1129"/>
      <c r="AT144" s="1127">
        <v>0.33333333333333331</v>
      </c>
      <c r="AU144" s="1127">
        <v>0.33333333333333331</v>
      </c>
      <c r="AV144" s="1127">
        <v>0.33333333333333331</v>
      </c>
      <c r="AW144" s="1127"/>
      <c r="AX144" s="1127"/>
      <c r="AY144" s="1127"/>
      <c r="AZ144" s="1127"/>
      <c r="BA144" s="1127"/>
      <c r="BB144" s="1129">
        <v>0</v>
      </c>
      <c r="BC144" s="1129">
        <v>7585.5826424701099</v>
      </c>
      <c r="BD144" s="1129">
        <v>7585.5826424701099</v>
      </c>
      <c r="BE144" s="1129">
        <v>7585.5826424701099</v>
      </c>
      <c r="BF144" s="1129">
        <v>0</v>
      </c>
      <c r="BG144" s="1129">
        <v>0</v>
      </c>
      <c r="BH144" s="1129">
        <v>0</v>
      </c>
      <c r="BI144" s="1129">
        <v>0</v>
      </c>
      <c r="BJ144" s="1129">
        <v>0</v>
      </c>
      <c r="BK144" s="971" t="s">
        <v>963</v>
      </c>
    </row>
    <row r="145" spans="1:63" s="1278" customFormat="1" ht="49.5">
      <c r="A145" s="1272">
        <v>7000</v>
      </c>
      <c r="B145" s="971" t="s">
        <v>2420</v>
      </c>
      <c r="C145" s="1272">
        <v>7400</v>
      </c>
      <c r="D145" s="971" t="s">
        <v>2420</v>
      </c>
      <c r="E145" s="1272">
        <v>7470</v>
      </c>
      <c r="F145" s="971" t="s">
        <v>2580</v>
      </c>
      <c r="G145" s="971">
        <v>7470</v>
      </c>
      <c r="H145" s="971" t="s">
        <v>2580</v>
      </c>
      <c r="I145" s="1273"/>
      <c r="J145" s="1266"/>
      <c r="K145" s="971" t="s">
        <v>255</v>
      </c>
      <c r="L145" s="971" t="s">
        <v>2802</v>
      </c>
      <c r="M145" s="971" t="s">
        <v>255</v>
      </c>
      <c r="N145" s="971" t="s">
        <v>83</v>
      </c>
      <c r="O145" s="971" t="s">
        <v>256</v>
      </c>
      <c r="P145" s="1266"/>
      <c r="Q145" s="971" t="s">
        <v>2663</v>
      </c>
      <c r="R145" s="971"/>
      <c r="S145" s="1274">
        <v>7969.14</v>
      </c>
      <c r="T145" s="971" t="s">
        <v>136</v>
      </c>
      <c r="U145" s="1275">
        <v>4.4489880937500004E-2</v>
      </c>
      <c r="V145" s="1275">
        <v>0.17804999999999999</v>
      </c>
      <c r="W145" s="1275">
        <v>4.4489880937499997</v>
      </c>
      <c r="X145" s="1275">
        <v>0.71454534577546303</v>
      </c>
      <c r="Y145" s="1275">
        <v>5.3082953457754627</v>
      </c>
      <c r="Z145" s="1129">
        <v>354.54608977426881</v>
      </c>
      <c r="AA145" s="1129">
        <v>1418.905377</v>
      </c>
      <c r="AB145" s="1129">
        <v>35454.608977426877</v>
      </c>
      <c r="AC145" s="1129">
        <v>5694.3118968330737</v>
      </c>
      <c r="AD145" s="1098">
        <v>42567.826251259954</v>
      </c>
      <c r="AE145" s="1135">
        <v>0</v>
      </c>
      <c r="AF145" s="1129">
        <v>0</v>
      </c>
      <c r="AG145" s="1127">
        <v>1</v>
      </c>
      <c r="AH145" s="1127">
        <v>0</v>
      </c>
      <c r="AI145" s="1127">
        <v>0</v>
      </c>
      <c r="AJ145" s="1127">
        <v>1</v>
      </c>
      <c r="AK145" s="1129">
        <v>42567.826251259954</v>
      </c>
      <c r="AL145" s="1129">
        <v>0</v>
      </c>
      <c r="AM145" s="1129">
        <v>0</v>
      </c>
      <c r="AN145" s="1129">
        <v>42567.826251259954</v>
      </c>
      <c r="AO145" s="1129" t="s">
        <v>85</v>
      </c>
      <c r="AP145" s="1129" t="s">
        <v>96</v>
      </c>
      <c r="AQ145" s="1157">
        <v>2014</v>
      </c>
      <c r="AR145" s="1129" t="s">
        <v>87</v>
      </c>
      <c r="AS145" s="1129"/>
      <c r="AT145" s="1127">
        <v>0.33333333333333331</v>
      </c>
      <c r="AU145" s="1127">
        <v>0.33333333333333331</v>
      </c>
      <c r="AV145" s="1127">
        <v>0.33333333333333331</v>
      </c>
      <c r="AW145" s="1127"/>
      <c r="AX145" s="1127"/>
      <c r="AY145" s="1127"/>
      <c r="AZ145" s="1127"/>
      <c r="BA145" s="1127"/>
      <c r="BB145" s="1129">
        <v>0</v>
      </c>
      <c r="BC145" s="1129">
        <v>14189.27541708665</v>
      </c>
      <c r="BD145" s="1129">
        <v>14189.27541708665</v>
      </c>
      <c r="BE145" s="1129">
        <v>14189.27541708665</v>
      </c>
      <c r="BF145" s="1129">
        <v>0</v>
      </c>
      <c r="BG145" s="1129">
        <v>0</v>
      </c>
      <c r="BH145" s="1129">
        <v>0</v>
      </c>
      <c r="BI145" s="1129">
        <v>0</v>
      </c>
      <c r="BJ145" s="1129">
        <v>0</v>
      </c>
      <c r="BK145" s="971"/>
    </row>
    <row r="146" spans="1:63" s="1278" customFormat="1" ht="66" customHeight="1">
      <c r="A146" s="1272">
        <v>2000</v>
      </c>
      <c r="B146" s="971" t="s">
        <v>119</v>
      </c>
      <c r="C146" s="1272">
        <v>2700</v>
      </c>
      <c r="D146" s="971" t="s">
        <v>912</v>
      </c>
      <c r="E146" s="971">
        <v>2710</v>
      </c>
      <c r="F146" s="971" t="s">
        <v>917</v>
      </c>
      <c r="G146" s="971">
        <v>2710</v>
      </c>
      <c r="H146" s="971" t="s">
        <v>917</v>
      </c>
      <c r="I146" s="1273"/>
      <c r="J146" s="971" t="s">
        <v>177</v>
      </c>
      <c r="K146" s="971" t="s">
        <v>196</v>
      </c>
      <c r="L146" s="971" t="s">
        <v>197</v>
      </c>
      <c r="M146" s="971" t="s">
        <v>196</v>
      </c>
      <c r="N146" s="971" t="s">
        <v>179</v>
      </c>
      <c r="O146" s="971" t="s">
        <v>197</v>
      </c>
      <c r="P146" s="971"/>
      <c r="Q146" s="971" t="s">
        <v>919</v>
      </c>
      <c r="R146" s="971"/>
      <c r="S146" s="1274">
        <v>5</v>
      </c>
      <c r="T146" s="971" t="s">
        <v>242</v>
      </c>
      <c r="U146" s="1275">
        <v>9.6666666666666661</v>
      </c>
      <c r="V146" s="1275">
        <v>107.5</v>
      </c>
      <c r="W146" s="1275">
        <v>965.82934920634932</v>
      </c>
      <c r="X146" s="1275">
        <v>1075</v>
      </c>
      <c r="Y146" s="1275">
        <v>2148.3293492063494</v>
      </c>
      <c r="Z146" s="1129">
        <v>48.333333333333329</v>
      </c>
      <c r="AA146" s="1129">
        <v>537.5</v>
      </c>
      <c r="AB146" s="1129">
        <v>4829.1467460317463</v>
      </c>
      <c r="AC146" s="1129">
        <v>5375</v>
      </c>
      <c r="AD146" s="1098">
        <v>10741.646746031747</v>
      </c>
      <c r="AE146" s="1135">
        <v>1</v>
      </c>
      <c r="AF146" s="1129">
        <v>5</v>
      </c>
      <c r="AG146" s="1127">
        <v>1</v>
      </c>
      <c r="AH146" s="1127">
        <v>0</v>
      </c>
      <c r="AI146" s="1127">
        <v>0</v>
      </c>
      <c r="AJ146" s="1127">
        <v>1</v>
      </c>
      <c r="AK146" s="1129">
        <v>10741.646746031747</v>
      </c>
      <c r="AL146" s="1129">
        <v>0</v>
      </c>
      <c r="AM146" s="1129">
        <v>0</v>
      </c>
      <c r="AN146" s="1129">
        <v>10741.646746031747</v>
      </c>
      <c r="AO146" s="1129" t="s">
        <v>131</v>
      </c>
      <c r="AP146" s="1129" t="s">
        <v>96</v>
      </c>
      <c r="AQ146" s="1157" t="s">
        <v>107</v>
      </c>
      <c r="AR146" s="1129" t="s">
        <v>87</v>
      </c>
      <c r="AS146" s="1129"/>
      <c r="AT146" s="1127">
        <v>0.5</v>
      </c>
      <c r="AU146" s="1127">
        <v>0.5</v>
      </c>
      <c r="AV146" s="1127"/>
      <c r="AW146" s="1127"/>
      <c r="AX146" s="1127"/>
      <c r="AY146" s="1127"/>
      <c r="AZ146" s="1127"/>
      <c r="BA146" s="1127"/>
      <c r="BB146" s="1129">
        <v>0</v>
      </c>
      <c r="BC146" s="1129">
        <v>5370.8233730158736</v>
      </c>
      <c r="BD146" s="1129">
        <v>5370.8233730158736</v>
      </c>
      <c r="BE146" s="1129">
        <v>0</v>
      </c>
      <c r="BF146" s="1129">
        <v>0</v>
      </c>
      <c r="BG146" s="1129">
        <v>0</v>
      </c>
      <c r="BH146" s="1129">
        <v>0</v>
      </c>
      <c r="BI146" s="1129">
        <v>0</v>
      </c>
      <c r="BJ146" s="1129">
        <v>0</v>
      </c>
      <c r="BK146" s="971"/>
    </row>
    <row r="147" spans="1:63" s="1278" customFormat="1" ht="66" customHeight="1">
      <c r="A147" s="1272">
        <v>2000</v>
      </c>
      <c r="B147" s="971" t="s">
        <v>119</v>
      </c>
      <c r="C147" s="1272">
        <v>2700</v>
      </c>
      <c r="D147" s="971" t="s">
        <v>912</v>
      </c>
      <c r="E147" s="971">
        <v>2710</v>
      </c>
      <c r="F147" s="971" t="s">
        <v>917</v>
      </c>
      <c r="G147" s="971">
        <v>2710</v>
      </c>
      <c r="H147" s="971" t="s">
        <v>917</v>
      </c>
      <c r="I147" s="1273"/>
      <c r="J147" s="971" t="s">
        <v>177</v>
      </c>
      <c r="K147" s="971" t="s">
        <v>530</v>
      </c>
      <c r="L147" s="971" t="s">
        <v>531</v>
      </c>
      <c r="M147" s="971" t="s">
        <v>530</v>
      </c>
      <c r="N147" s="971" t="s">
        <v>179</v>
      </c>
      <c r="O147" s="971" t="s">
        <v>531</v>
      </c>
      <c r="P147" s="971"/>
      <c r="Q147" s="971" t="s">
        <v>920</v>
      </c>
      <c r="R147" s="971"/>
      <c r="S147" s="1274">
        <v>3</v>
      </c>
      <c r="T147" s="971" t="s">
        <v>242</v>
      </c>
      <c r="U147" s="1275">
        <v>31</v>
      </c>
      <c r="V147" s="1275">
        <v>390</v>
      </c>
      <c r="W147" s="1275">
        <v>3097.3148095238098</v>
      </c>
      <c r="X147" s="1275">
        <v>3900</v>
      </c>
      <c r="Y147" s="1275">
        <v>7387.3148095238103</v>
      </c>
      <c r="Z147" s="1129">
        <v>93</v>
      </c>
      <c r="AA147" s="1129">
        <v>1170</v>
      </c>
      <c r="AB147" s="1129">
        <v>9291.9444285714289</v>
      </c>
      <c r="AC147" s="1129">
        <v>11700</v>
      </c>
      <c r="AD147" s="1098">
        <v>22161.944428571431</v>
      </c>
      <c r="AE147" s="1135">
        <v>2</v>
      </c>
      <c r="AF147" s="1129">
        <v>6</v>
      </c>
      <c r="AG147" s="1127">
        <v>1</v>
      </c>
      <c r="AH147" s="1127">
        <v>0</v>
      </c>
      <c r="AI147" s="1127">
        <v>0</v>
      </c>
      <c r="AJ147" s="1127">
        <v>1</v>
      </c>
      <c r="AK147" s="1129">
        <v>22161.944428571431</v>
      </c>
      <c r="AL147" s="1129">
        <v>0</v>
      </c>
      <c r="AM147" s="1129">
        <v>0</v>
      </c>
      <c r="AN147" s="1129">
        <v>22161.944428571431</v>
      </c>
      <c r="AO147" s="1129" t="s">
        <v>131</v>
      </c>
      <c r="AP147" s="1129" t="s">
        <v>96</v>
      </c>
      <c r="AQ147" s="1157" t="s">
        <v>107</v>
      </c>
      <c r="AR147" s="1129" t="s">
        <v>87</v>
      </c>
      <c r="AS147" s="1129"/>
      <c r="AT147" s="1127">
        <v>0.5</v>
      </c>
      <c r="AU147" s="1127">
        <v>0.5</v>
      </c>
      <c r="AV147" s="1127"/>
      <c r="AW147" s="1127"/>
      <c r="AX147" s="1127"/>
      <c r="AY147" s="1127"/>
      <c r="AZ147" s="1127"/>
      <c r="BA147" s="1127"/>
      <c r="BB147" s="1129">
        <v>0</v>
      </c>
      <c r="BC147" s="1129">
        <v>11080.972214285715</v>
      </c>
      <c r="BD147" s="1129">
        <v>11080.972214285715</v>
      </c>
      <c r="BE147" s="1129">
        <v>0</v>
      </c>
      <c r="BF147" s="1129">
        <v>0</v>
      </c>
      <c r="BG147" s="1129">
        <v>0</v>
      </c>
      <c r="BH147" s="1129">
        <v>0</v>
      </c>
      <c r="BI147" s="1129">
        <v>0</v>
      </c>
      <c r="BJ147" s="1129">
        <v>0</v>
      </c>
      <c r="BK147" s="971"/>
    </row>
    <row r="148" spans="1:63" s="1278" customFormat="1" ht="49.5" customHeight="1">
      <c r="A148" s="1272">
        <v>2000</v>
      </c>
      <c r="B148" s="971" t="s">
        <v>119</v>
      </c>
      <c r="C148" s="1272">
        <v>2700</v>
      </c>
      <c r="D148" s="971" t="s">
        <v>912</v>
      </c>
      <c r="E148" s="971" t="s">
        <v>922</v>
      </c>
      <c r="F148" s="971" t="s">
        <v>923</v>
      </c>
      <c r="G148" s="971">
        <v>2720</v>
      </c>
      <c r="H148" s="971" t="s">
        <v>923</v>
      </c>
      <c r="I148" s="1273"/>
      <c r="J148" s="971" t="s">
        <v>177</v>
      </c>
      <c r="K148" s="971" t="s">
        <v>196</v>
      </c>
      <c r="L148" s="971" t="s">
        <v>197</v>
      </c>
      <c r="M148" s="971" t="s">
        <v>196</v>
      </c>
      <c r="N148" s="971" t="s">
        <v>179</v>
      </c>
      <c r="O148" s="971" t="s">
        <v>197</v>
      </c>
      <c r="P148" s="971"/>
      <c r="Q148" s="971" t="s">
        <v>956</v>
      </c>
      <c r="R148" s="971"/>
      <c r="S148" s="1274">
        <v>1</v>
      </c>
      <c r="T148" s="971" t="s">
        <v>242</v>
      </c>
      <c r="U148" s="1275">
        <v>9.6666666666666661</v>
      </c>
      <c r="V148" s="1275">
        <v>107.5</v>
      </c>
      <c r="W148" s="1275">
        <v>965.82934920634932</v>
      </c>
      <c r="X148" s="1275">
        <v>1075</v>
      </c>
      <c r="Y148" s="1275">
        <v>2148.3293492063494</v>
      </c>
      <c r="Z148" s="1129">
        <v>9.6666666666666661</v>
      </c>
      <c r="AA148" s="1129">
        <v>107.5</v>
      </c>
      <c r="AB148" s="1129">
        <v>965.82934920634932</v>
      </c>
      <c r="AC148" s="1129">
        <v>1075</v>
      </c>
      <c r="AD148" s="1098">
        <v>2148.3293492063494</v>
      </c>
      <c r="AE148" s="1135">
        <v>1</v>
      </c>
      <c r="AF148" s="1129">
        <v>1</v>
      </c>
      <c r="AG148" s="1127">
        <v>1</v>
      </c>
      <c r="AH148" s="1127">
        <v>0</v>
      </c>
      <c r="AI148" s="1127">
        <v>0</v>
      </c>
      <c r="AJ148" s="1127">
        <v>1</v>
      </c>
      <c r="AK148" s="1129">
        <v>2148.3293492063494</v>
      </c>
      <c r="AL148" s="1129">
        <v>0</v>
      </c>
      <c r="AM148" s="1129">
        <v>0</v>
      </c>
      <c r="AN148" s="1129">
        <v>2148.3293492063494</v>
      </c>
      <c r="AO148" s="1129" t="s">
        <v>85</v>
      </c>
      <c r="AP148" s="1129" t="s">
        <v>96</v>
      </c>
      <c r="AQ148" s="1157" t="s">
        <v>107</v>
      </c>
      <c r="AR148" s="1129" t="s">
        <v>87</v>
      </c>
      <c r="AS148" s="1129"/>
      <c r="AT148" s="1127">
        <v>0.33333333333333331</v>
      </c>
      <c r="AU148" s="1127">
        <v>0.33333333333333331</v>
      </c>
      <c r="AV148" s="1127">
        <v>0.33333333333333331</v>
      </c>
      <c r="AW148" s="1127"/>
      <c r="AX148" s="1127"/>
      <c r="AY148" s="1127"/>
      <c r="AZ148" s="1127"/>
      <c r="BA148" s="1127"/>
      <c r="BB148" s="1129">
        <v>0</v>
      </c>
      <c r="BC148" s="1129">
        <v>716.10978306878314</v>
      </c>
      <c r="BD148" s="1129">
        <v>716.10978306878314</v>
      </c>
      <c r="BE148" s="1129">
        <v>716.10978306878314</v>
      </c>
      <c r="BF148" s="1129">
        <v>0</v>
      </c>
      <c r="BG148" s="1129">
        <v>0</v>
      </c>
      <c r="BH148" s="1129">
        <v>0</v>
      </c>
      <c r="BI148" s="1129">
        <v>0</v>
      </c>
      <c r="BJ148" s="1129">
        <v>0</v>
      </c>
      <c r="BK148" s="971"/>
    </row>
    <row r="149" spans="1:63" s="1278" customFormat="1" ht="82.5" customHeight="1">
      <c r="A149" s="1272">
        <v>4000</v>
      </c>
      <c r="B149" s="971" t="s">
        <v>1316</v>
      </c>
      <c r="C149" s="1272">
        <v>4500</v>
      </c>
      <c r="D149" s="971" t="s">
        <v>452</v>
      </c>
      <c r="E149" s="971" t="s">
        <v>1692</v>
      </c>
      <c r="F149" s="971" t="s">
        <v>605</v>
      </c>
      <c r="G149" s="971" t="s">
        <v>6609</v>
      </c>
      <c r="H149" s="971" t="s">
        <v>621</v>
      </c>
      <c r="I149" s="1273"/>
      <c r="J149" s="971" t="s">
        <v>177</v>
      </c>
      <c r="K149" s="971" t="s">
        <v>196</v>
      </c>
      <c r="L149" s="971" t="s">
        <v>197</v>
      </c>
      <c r="M149" s="971" t="s">
        <v>196</v>
      </c>
      <c r="N149" s="971" t="s">
        <v>179</v>
      </c>
      <c r="O149" s="971" t="s">
        <v>197</v>
      </c>
      <c r="P149" s="971"/>
      <c r="Q149" s="971" t="s">
        <v>1764</v>
      </c>
      <c r="R149" s="971"/>
      <c r="S149" s="1274">
        <v>1</v>
      </c>
      <c r="T149" s="971" t="s">
        <v>242</v>
      </c>
      <c r="U149" s="1275">
        <v>9.6666666666666661</v>
      </c>
      <c r="V149" s="1275">
        <v>107.5</v>
      </c>
      <c r="W149" s="1275">
        <v>965.82934920634932</v>
      </c>
      <c r="X149" s="1275">
        <v>1075</v>
      </c>
      <c r="Y149" s="1275">
        <v>2148.3293492063494</v>
      </c>
      <c r="Z149" s="1129">
        <v>9.6666666666666661</v>
      </c>
      <c r="AA149" s="1129">
        <v>107.5</v>
      </c>
      <c r="AB149" s="1129">
        <v>965.82934920634932</v>
      </c>
      <c r="AC149" s="1129">
        <v>1075</v>
      </c>
      <c r="AD149" s="1098">
        <v>2148.3293492063494</v>
      </c>
      <c r="AE149" s="1135">
        <v>1</v>
      </c>
      <c r="AF149" s="1129">
        <v>1</v>
      </c>
      <c r="AG149" s="1127">
        <v>1</v>
      </c>
      <c r="AH149" s="1127">
        <v>0</v>
      </c>
      <c r="AI149" s="1127">
        <v>0</v>
      </c>
      <c r="AJ149" s="1127">
        <v>1</v>
      </c>
      <c r="AK149" s="1129">
        <v>2148.3293492063494</v>
      </c>
      <c r="AL149" s="1129">
        <v>0</v>
      </c>
      <c r="AM149" s="1129">
        <v>0</v>
      </c>
      <c r="AN149" s="1129">
        <v>2148.3293492063494</v>
      </c>
      <c r="AO149" s="1129" t="s">
        <v>85</v>
      </c>
      <c r="AP149" s="1129" t="s">
        <v>96</v>
      </c>
      <c r="AQ149" s="1157" t="s">
        <v>107</v>
      </c>
      <c r="AR149" s="1129" t="s">
        <v>87</v>
      </c>
      <c r="AS149" s="1129"/>
      <c r="AT149" s="1127">
        <v>0.33333333333333331</v>
      </c>
      <c r="AU149" s="1127">
        <v>0.33333333333333331</v>
      </c>
      <c r="AV149" s="1127">
        <v>0.33333333333333331</v>
      </c>
      <c r="AW149" s="1127"/>
      <c r="AX149" s="1127"/>
      <c r="AY149" s="1127"/>
      <c r="AZ149" s="1127"/>
      <c r="BA149" s="1127"/>
      <c r="BB149" s="1129">
        <v>0</v>
      </c>
      <c r="BC149" s="1129">
        <v>716.10978306878314</v>
      </c>
      <c r="BD149" s="1129">
        <v>716.10978306878314</v>
      </c>
      <c r="BE149" s="1129">
        <v>716.10978306878314</v>
      </c>
      <c r="BF149" s="1129">
        <v>0</v>
      </c>
      <c r="BG149" s="1129">
        <v>0</v>
      </c>
      <c r="BH149" s="1129">
        <v>0</v>
      </c>
      <c r="BI149" s="1129">
        <v>0</v>
      </c>
      <c r="BJ149" s="1129">
        <v>0</v>
      </c>
      <c r="BK149" s="971"/>
    </row>
    <row r="150" spans="1:63" s="1278" customFormat="1" ht="49.5" customHeight="1">
      <c r="A150" s="1272">
        <v>4000</v>
      </c>
      <c r="B150" s="971" t="s">
        <v>1316</v>
      </c>
      <c r="C150" s="1272">
        <v>4500</v>
      </c>
      <c r="D150" s="971" t="s">
        <v>452</v>
      </c>
      <c r="E150" s="971" t="s">
        <v>1692</v>
      </c>
      <c r="F150" s="971" t="s">
        <v>605</v>
      </c>
      <c r="G150" s="971" t="s">
        <v>5012</v>
      </c>
      <c r="H150" s="971" t="s">
        <v>621</v>
      </c>
      <c r="I150" s="1273"/>
      <c r="J150" s="971" t="s">
        <v>177</v>
      </c>
      <c r="K150" s="971" t="s">
        <v>196</v>
      </c>
      <c r="L150" s="971" t="s">
        <v>197</v>
      </c>
      <c r="M150" s="971" t="s">
        <v>196</v>
      </c>
      <c r="N150" s="971" t="s">
        <v>179</v>
      </c>
      <c r="O150" s="971" t="s">
        <v>197</v>
      </c>
      <c r="P150" s="971"/>
      <c r="Q150" s="971" t="s">
        <v>1765</v>
      </c>
      <c r="R150" s="971"/>
      <c r="S150" s="1274">
        <v>1</v>
      </c>
      <c r="T150" s="971" t="s">
        <v>242</v>
      </c>
      <c r="U150" s="1275">
        <v>9.6666666666666661</v>
      </c>
      <c r="V150" s="1275">
        <v>107.5</v>
      </c>
      <c r="W150" s="1275">
        <v>965.82934920634932</v>
      </c>
      <c r="X150" s="1275">
        <v>1075</v>
      </c>
      <c r="Y150" s="1275">
        <v>2148.3293492063494</v>
      </c>
      <c r="Z150" s="1129">
        <v>9.6666666666666661</v>
      </c>
      <c r="AA150" s="1129">
        <v>107.5</v>
      </c>
      <c r="AB150" s="1129">
        <v>965.82934920634932</v>
      </c>
      <c r="AC150" s="1129">
        <v>1075</v>
      </c>
      <c r="AD150" s="1098">
        <v>2148.3293492063494</v>
      </c>
      <c r="AE150" s="1237">
        <v>1</v>
      </c>
      <c r="AF150" s="1133">
        <v>1</v>
      </c>
      <c r="AG150" s="1127">
        <v>1</v>
      </c>
      <c r="AH150" s="1127">
        <v>0</v>
      </c>
      <c r="AI150" s="1127">
        <v>0</v>
      </c>
      <c r="AJ150" s="1127">
        <v>1</v>
      </c>
      <c r="AK150" s="1129">
        <v>2148.3293492063494</v>
      </c>
      <c r="AL150" s="1129">
        <v>0</v>
      </c>
      <c r="AM150" s="1129">
        <v>0</v>
      </c>
      <c r="AN150" s="1129">
        <v>2148.3293492063494</v>
      </c>
      <c r="AO150" s="1129" t="s">
        <v>85</v>
      </c>
      <c r="AP150" s="1129" t="s">
        <v>96</v>
      </c>
      <c r="AQ150" s="1157" t="s">
        <v>107</v>
      </c>
      <c r="AR150" s="1129" t="s">
        <v>87</v>
      </c>
      <c r="AS150" s="1129"/>
      <c r="AT150" s="1127">
        <v>0.5</v>
      </c>
      <c r="AU150" s="1127">
        <v>0.5</v>
      </c>
      <c r="AV150" s="1127"/>
      <c r="AW150" s="1127"/>
      <c r="AX150" s="1127"/>
      <c r="AY150" s="1127"/>
      <c r="AZ150" s="1127"/>
      <c r="BA150" s="1127"/>
      <c r="BB150" s="1129">
        <v>0</v>
      </c>
      <c r="BC150" s="1129">
        <v>1074.1646746031747</v>
      </c>
      <c r="BD150" s="1129">
        <v>1074.1646746031747</v>
      </c>
      <c r="BE150" s="1129">
        <v>0</v>
      </c>
      <c r="BF150" s="1129">
        <v>0</v>
      </c>
      <c r="BG150" s="1129">
        <v>0</v>
      </c>
      <c r="BH150" s="1129">
        <v>0</v>
      </c>
      <c r="BI150" s="1129">
        <v>0</v>
      </c>
      <c r="BJ150" s="1129">
        <v>0</v>
      </c>
      <c r="BK150" s="971"/>
    </row>
    <row r="151" spans="1:63" s="1278" customFormat="1" ht="49.5">
      <c r="A151" s="1272">
        <v>4000</v>
      </c>
      <c r="B151" s="971" t="s">
        <v>1316</v>
      </c>
      <c r="C151" s="1272">
        <v>4700</v>
      </c>
      <c r="D151" s="971" t="s">
        <v>912</v>
      </c>
      <c r="E151" s="971">
        <v>4740</v>
      </c>
      <c r="F151" s="971" t="s">
        <v>917</v>
      </c>
      <c r="G151" s="971">
        <v>4740</v>
      </c>
      <c r="H151" s="971" t="s">
        <v>917</v>
      </c>
      <c r="I151" s="1273"/>
      <c r="J151" s="971" t="s">
        <v>177</v>
      </c>
      <c r="K151" s="971" t="s">
        <v>196</v>
      </c>
      <c r="L151" s="971" t="s">
        <v>197</v>
      </c>
      <c r="M151" s="971" t="s">
        <v>196</v>
      </c>
      <c r="N151" s="971" t="s">
        <v>179</v>
      </c>
      <c r="O151" s="971" t="s">
        <v>197</v>
      </c>
      <c r="P151" s="971"/>
      <c r="Q151" s="971" t="s">
        <v>919</v>
      </c>
      <c r="R151" s="971"/>
      <c r="S151" s="1274">
        <v>5</v>
      </c>
      <c r="T151" s="971" t="s">
        <v>242</v>
      </c>
      <c r="U151" s="1275">
        <v>9.6666666666666661</v>
      </c>
      <c r="V151" s="1275">
        <v>107.5</v>
      </c>
      <c r="W151" s="1275">
        <v>965.82934920634932</v>
      </c>
      <c r="X151" s="1275">
        <v>1075</v>
      </c>
      <c r="Y151" s="1275">
        <v>2148.3293492063494</v>
      </c>
      <c r="Z151" s="1129">
        <v>48.333333333333329</v>
      </c>
      <c r="AA151" s="1129">
        <v>537.5</v>
      </c>
      <c r="AB151" s="1129">
        <v>4829.1467460317463</v>
      </c>
      <c r="AC151" s="1129">
        <v>5375</v>
      </c>
      <c r="AD151" s="1098">
        <v>10741.646746031747</v>
      </c>
      <c r="AE151" s="1135">
        <v>1</v>
      </c>
      <c r="AF151" s="1129">
        <v>5</v>
      </c>
      <c r="AG151" s="1127">
        <v>1</v>
      </c>
      <c r="AH151" s="1127">
        <v>0</v>
      </c>
      <c r="AI151" s="1127">
        <v>0</v>
      </c>
      <c r="AJ151" s="1127">
        <v>1</v>
      </c>
      <c r="AK151" s="1129">
        <v>10741.646746031747</v>
      </c>
      <c r="AL151" s="1129">
        <v>0</v>
      </c>
      <c r="AM151" s="1129">
        <v>0</v>
      </c>
      <c r="AN151" s="1129">
        <v>10741.646746031747</v>
      </c>
      <c r="AO151" s="1129" t="s">
        <v>131</v>
      </c>
      <c r="AP151" s="1129" t="s">
        <v>96</v>
      </c>
      <c r="AQ151" s="1157" t="s">
        <v>107</v>
      </c>
      <c r="AR151" s="1129" t="s">
        <v>87</v>
      </c>
      <c r="AS151" s="1129"/>
      <c r="AT151" s="1127">
        <v>0.5</v>
      </c>
      <c r="AU151" s="1127">
        <v>0.5</v>
      </c>
      <c r="AV151" s="1127"/>
      <c r="AW151" s="1127"/>
      <c r="AX151" s="1127"/>
      <c r="AY151" s="1127"/>
      <c r="AZ151" s="1127"/>
      <c r="BA151" s="1127"/>
      <c r="BB151" s="1129">
        <v>0</v>
      </c>
      <c r="BC151" s="1129">
        <v>5370.8233730158736</v>
      </c>
      <c r="BD151" s="1129">
        <v>5370.8233730158736</v>
      </c>
      <c r="BE151" s="1129">
        <v>0</v>
      </c>
      <c r="BF151" s="1129">
        <v>0</v>
      </c>
      <c r="BG151" s="1129">
        <v>0</v>
      </c>
      <c r="BH151" s="1129">
        <v>0</v>
      </c>
      <c r="BI151" s="1129">
        <v>0</v>
      </c>
      <c r="BJ151" s="1129">
        <v>0</v>
      </c>
      <c r="BK151" s="971"/>
    </row>
    <row r="152" spans="1:63" s="1278" customFormat="1" ht="49.5">
      <c r="A152" s="1272">
        <v>2000</v>
      </c>
      <c r="B152" s="971" t="s">
        <v>119</v>
      </c>
      <c r="C152" s="1272">
        <v>2300</v>
      </c>
      <c r="D152" s="971" t="s">
        <v>222</v>
      </c>
      <c r="E152" s="971" t="s">
        <v>263</v>
      </c>
      <c r="F152" s="971" t="s">
        <v>264</v>
      </c>
      <c r="G152" s="971" t="s">
        <v>265</v>
      </c>
      <c r="H152" s="971" t="s">
        <v>266</v>
      </c>
      <c r="I152" s="1273"/>
      <c r="J152" s="971" t="s">
        <v>267</v>
      </c>
      <c r="K152" s="971" t="s">
        <v>268</v>
      </c>
      <c r="L152" s="971" t="s">
        <v>2904</v>
      </c>
      <c r="M152" s="971" t="s">
        <v>268</v>
      </c>
      <c r="N152" s="971" t="s">
        <v>269</v>
      </c>
      <c r="O152" s="971" t="s">
        <v>270</v>
      </c>
      <c r="P152" s="971"/>
      <c r="Q152" s="971" t="s">
        <v>271</v>
      </c>
      <c r="R152" s="971" t="s">
        <v>272</v>
      </c>
      <c r="S152" s="1274">
        <v>1</v>
      </c>
      <c r="T152" s="971" t="s">
        <v>2700</v>
      </c>
      <c r="U152" s="1275">
        <v>14448</v>
      </c>
      <c r="V152" s="1275">
        <v>216720</v>
      </c>
      <c r="W152" s="1275">
        <v>1443548.5280000002</v>
      </c>
      <c r="X152" s="1275">
        <v>2167200</v>
      </c>
      <c r="Y152" s="1275">
        <v>3827468.5279999999</v>
      </c>
      <c r="Z152" s="1129">
        <v>14448</v>
      </c>
      <c r="AA152" s="1129">
        <v>216720</v>
      </c>
      <c r="AB152" s="1129">
        <v>1443548.5280000002</v>
      </c>
      <c r="AC152" s="1129">
        <v>2167200</v>
      </c>
      <c r="AD152" s="1267">
        <v>3827468.5279999999</v>
      </c>
      <c r="AE152" s="1135">
        <v>30295</v>
      </c>
      <c r="AF152" s="1129">
        <v>30295</v>
      </c>
      <c r="AG152" s="1127">
        <v>0</v>
      </c>
      <c r="AH152" s="1127">
        <v>1</v>
      </c>
      <c r="AI152" s="1127">
        <v>0</v>
      </c>
      <c r="AJ152" s="1127">
        <v>1</v>
      </c>
      <c r="AK152" s="1129">
        <v>0</v>
      </c>
      <c r="AL152" s="1129">
        <v>3827468.5279999999</v>
      </c>
      <c r="AM152" s="1129">
        <v>0</v>
      </c>
      <c r="AN152" s="1129">
        <v>3827468.5279999999</v>
      </c>
      <c r="AO152" s="1129" t="s">
        <v>131</v>
      </c>
      <c r="AP152" s="1129" t="s">
        <v>96</v>
      </c>
      <c r="AQ152" s="1157">
        <v>2014</v>
      </c>
      <c r="AR152" s="1129" t="s">
        <v>87</v>
      </c>
      <c r="AS152" s="1129"/>
      <c r="AT152" s="1127">
        <v>0.33333333333333331</v>
      </c>
      <c r="AU152" s="1127">
        <v>0.33333333333333331</v>
      </c>
      <c r="AV152" s="1127">
        <v>0.33333333333333331</v>
      </c>
      <c r="AW152" s="1127"/>
      <c r="AX152" s="1127"/>
      <c r="AY152" s="1127"/>
      <c r="AZ152" s="1127"/>
      <c r="BA152" s="1127"/>
      <c r="BB152" s="1129">
        <v>0</v>
      </c>
      <c r="BC152" s="1129">
        <v>1275822.8426666665</v>
      </c>
      <c r="BD152" s="1129">
        <v>1275822.8426666665</v>
      </c>
      <c r="BE152" s="1129">
        <v>1275822.8426666665</v>
      </c>
      <c r="BF152" s="1129">
        <v>0</v>
      </c>
      <c r="BG152" s="1129">
        <v>0</v>
      </c>
      <c r="BH152" s="1129">
        <v>0</v>
      </c>
      <c r="BI152" s="1129">
        <v>0</v>
      </c>
      <c r="BJ152" s="1129">
        <v>0</v>
      </c>
      <c r="BK152" s="971"/>
    </row>
    <row r="153" spans="1:63" s="1278" customFormat="1" ht="49.5">
      <c r="A153" s="1272">
        <v>2000</v>
      </c>
      <c r="B153" s="971" t="s">
        <v>119</v>
      </c>
      <c r="C153" s="1272">
        <v>2300</v>
      </c>
      <c r="D153" s="971" t="s">
        <v>222</v>
      </c>
      <c r="E153" s="971" t="s">
        <v>263</v>
      </c>
      <c r="F153" s="971" t="s">
        <v>264</v>
      </c>
      <c r="G153" s="971" t="s">
        <v>280</v>
      </c>
      <c r="H153" s="971" t="s">
        <v>266</v>
      </c>
      <c r="I153" s="1273" t="s">
        <v>301</v>
      </c>
      <c r="J153" s="971" t="s">
        <v>239</v>
      </c>
      <c r="K153" s="971"/>
      <c r="L153" s="971" t="s">
        <v>270</v>
      </c>
      <c r="M153" s="971" t="s">
        <v>270</v>
      </c>
      <c r="N153" s="971"/>
      <c r="O153" s="971" t="s">
        <v>270</v>
      </c>
      <c r="P153" s="971"/>
      <c r="Q153" s="971" t="s">
        <v>302</v>
      </c>
      <c r="R153" s="971" t="s">
        <v>303</v>
      </c>
      <c r="S153" s="1274">
        <v>1</v>
      </c>
      <c r="T153" s="971" t="s">
        <v>242</v>
      </c>
      <c r="U153" s="1275" t="s">
        <v>6588</v>
      </c>
      <c r="V153" s="1275" t="s">
        <v>6588</v>
      </c>
      <c r="W153" s="1275" t="s">
        <v>6588</v>
      </c>
      <c r="X153" s="1275" t="s">
        <v>6588</v>
      </c>
      <c r="Y153" s="1275" t="s">
        <v>6588</v>
      </c>
      <c r="Z153" s="1129">
        <v>0</v>
      </c>
      <c r="AA153" s="1129">
        <v>0</v>
      </c>
      <c r="AB153" s="1129">
        <v>0</v>
      </c>
      <c r="AC153" s="1129">
        <v>0</v>
      </c>
      <c r="AD153" s="1098">
        <v>0</v>
      </c>
      <c r="AE153" s="1135">
        <v>0</v>
      </c>
      <c r="AF153" s="1129">
        <v>0</v>
      </c>
      <c r="AG153" s="1127">
        <v>1</v>
      </c>
      <c r="AH153" s="1127">
        <v>0</v>
      </c>
      <c r="AI153" s="1127">
        <v>0</v>
      </c>
      <c r="AJ153" s="1127">
        <v>1</v>
      </c>
      <c r="AK153" s="1129">
        <v>0</v>
      </c>
      <c r="AL153" s="1129">
        <v>0</v>
      </c>
      <c r="AM153" s="1129">
        <v>0</v>
      </c>
      <c r="AN153" s="1129">
        <v>0</v>
      </c>
      <c r="AO153" s="1129" t="s">
        <v>131</v>
      </c>
      <c r="AP153" s="1129" t="s">
        <v>96</v>
      </c>
      <c r="AQ153" s="1157">
        <v>2014</v>
      </c>
      <c r="AR153" s="1129" t="s">
        <v>87</v>
      </c>
      <c r="AS153" s="1129"/>
      <c r="AT153" s="1127">
        <v>0.33333333333333331</v>
      </c>
      <c r="AU153" s="1127">
        <v>0.33333333333333331</v>
      </c>
      <c r="AV153" s="1127">
        <v>0.33333333333333331</v>
      </c>
      <c r="AW153" s="1127"/>
      <c r="AX153" s="1127"/>
      <c r="AY153" s="1127"/>
      <c r="AZ153" s="1127"/>
      <c r="BA153" s="1127"/>
      <c r="BB153" s="1129">
        <v>0</v>
      </c>
      <c r="BC153" s="1129">
        <v>0</v>
      </c>
      <c r="BD153" s="1129">
        <v>0</v>
      </c>
      <c r="BE153" s="1129">
        <v>0</v>
      </c>
      <c r="BF153" s="1129">
        <v>0</v>
      </c>
      <c r="BG153" s="1129">
        <v>0</v>
      </c>
      <c r="BH153" s="1129">
        <v>0</v>
      </c>
      <c r="BI153" s="1129">
        <v>0</v>
      </c>
      <c r="BJ153" s="1129">
        <v>0</v>
      </c>
      <c r="BK153" s="971"/>
    </row>
    <row r="154" spans="1:63" s="1278" customFormat="1" ht="49.5">
      <c r="A154" s="1272">
        <v>2000</v>
      </c>
      <c r="B154" s="971" t="s">
        <v>119</v>
      </c>
      <c r="C154" s="1272">
        <v>2300</v>
      </c>
      <c r="D154" s="971" t="s">
        <v>222</v>
      </c>
      <c r="E154" s="971" t="s">
        <v>263</v>
      </c>
      <c r="F154" s="971" t="s">
        <v>264</v>
      </c>
      <c r="G154" s="971" t="s">
        <v>280</v>
      </c>
      <c r="H154" s="971" t="s">
        <v>266</v>
      </c>
      <c r="I154" s="1273" t="s">
        <v>304</v>
      </c>
      <c r="J154" s="971" t="s">
        <v>239</v>
      </c>
      <c r="K154" s="971"/>
      <c r="L154" s="971" t="s">
        <v>270</v>
      </c>
      <c r="M154" s="971" t="s">
        <v>270</v>
      </c>
      <c r="N154" s="971"/>
      <c r="O154" s="971" t="s">
        <v>270</v>
      </c>
      <c r="P154" s="971"/>
      <c r="Q154" s="971" t="s">
        <v>305</v>
      </c>
      <c r="R154" s="971" t="s">
        <v>306</v>
      </c>
      <c r="S154" s="1274">
        <v>1</v>
      </c>
      <c r="T154" s="971" t="s">
        <v>242</v>
      </c>
      <c r="U154" s="1275" t="s">
        <v>6588</v>
      </c>
      <c r="V154" s="1275" t="s">
        <v>6588</v>
      </c>
      <c r="W154" s="1275" t="s">
        <v>6588</v>
      </c>
      <c r="X154" s="1275" t="s">
        <v>6588</v>
      </c>
      <c r="Y154" s="1275" t="s">
        <v>6588</v>
      </c>
      <c r="Z154" s="1129">
        <v>0</v>
      </c>
      <c r="AA154" s="1129">
        <v>0</v>
      </c>
      <c r="AB154" s="1129">
        <v>0</v>
      </c>
      <c r="AC154" s="1129">
        <v>0</v>
      </c>
      <c r="AD154" s="1098">
        <v>0</v>
      </c>
      <c r="AE154" s="1135">
        <v>0</v>
      </c>
      <c r="AF154" s="1129">
        <v>0</v>
      </c>
      <c r="AG154" s="1127">
        <v>1</v>
      </c>
      <c r="AH154" s="1127">
        <v>0</v>
      </c>
      <c r="AI154" s="1127">
        <v>0</v>
      </c>
      <c r="AJ154" s="1127">
        <v>1</v>
      </c>
      <c r="AK154" s="1129">
        <v>0</v>
      </c>
      <c r="AL154" s="1129">
        <v>0</v>
      </c>
      <c r="AM154" s="1129">
        <v>0</v>
      </c>
      <c r="AN154" s="1129">
        <v>0</v>
      </c>
      <c r="AO154" s="1129" t="s">
        <v>131</v>
      </c>
      <c r="AP154" s="1129" t="s">
        <v>96</v>
      </c>
      <c r="AQ154" s="1157">
        <v>2014</v>
      </c>
      <c r="AR154" s="1129" t="s">
        <v>87</v>
      </c>
      <c r="AS154" s="1129"/>
      <c r="AT154" s="1127">
        <v>0.33333333333333331</v>
      </c>
      <c r="AU154" s="1127">
        <v>0.33333333333333331</v>
      </c>
      <c r="AV154" s="1127">
        <v>0.33333333333333331</v>
      </c>
      <c r="AW154" s="1127"/>
      <c r="AX154" s="1127"/>
      <c r="AY154" s="1127"/>
      <c r="AZ154" s="1127"/>
      <c r="BA154" s="1127"/>
      <c r="BB154" s="1129">
        <v>0</v>
      </c>
      <c r="BC154" s="1129">
        <v>0</v>
      </c>
      <c r="BD154" s="1129">
        <v>0</v>
      </c>
      <c r="BE154" s="1129">
        <v>0</v>
      </c>
      <c r="BF154" s="1129">
        <v>0</v>
      </c>
      <c r="BG154" s="1129">
        <v>0</v>
      </c>
      <c r="BH154" s="1129">
        <v>0</v>
      </c>
      <c r="BI154" s="1129">
        <v>0</v>
      </c>
      <c r="BJ154" s="1129">
        <v>0</v>
      </c>
      <c r="BK154" s="971"/>
    </row>
    <row r="155" spans="1:63" s="1278" customFormat="1" ht="49.5">
      <c r="A155" s="1272">
        <v>2000</v>
      </c>
      <c r="B155" s="971" t="s">
        <v>119</v>
      </c>
      <c r="C155" s="1272">
        <v>2300</v>
      </c>
      <c r="D155" s="971" t="s">
        <v>222</v>
      </c>
      <c r="E155" s="971" t="s">
        <v>263</v>
      </c>
      <c r="F155" s="971" t="s">
        <v>264</v>
      </c>
      <c r="G155" s="971" t="s">
        <v>280</v>
      </c>
      <c r="H155" s="971" t="s">
        <v>266</v>
      </c>
      <c r="I155" s="1273" t="s">
        <v>307</v>
      </c>
      <c r="J155" s="971" t="s">
        <v>239</v>
      </c>
      <c r="K155" s="971"/>
      <c r="L155" s="971" t="s">
        <v>270</v>
      </c>
      <c r="M155" s="971" t="s">
        <v>270</v>
      </c>
      <c r="N155" s="971"/>
      <c r="O155" s="971" t="s">
        <v>270</v>
      </c>
      <c r="P155" s="971"/>
      <c r="Q155" s="971" t="s">
        <v>308</v>
      </c>
      <c r="R155" s="971" t="s">
        <v>309</v>
      </c>
      <c r="S155" s="1274">
        <v>1</v>
      </c>
      <c r="T155" s="971" t="s">
        <v>242</v>
      </c>
      <c r="U155" s="1275" t="s">
        <v>6588</v>
      </c>
      <c r="V155" s="1275" t="s">
        <v>6588</v>
      </c>
      <c r="W155" s="1275" t="s">
        <v>6588</v>
      </c>
      <c r="X155" s="1275" t="s">
        <v>6588</v>
      </c>
      <c r="Y155" s="1275" t="s">
        <v>6588</v>
      </c>
      <c r="Z155" s="1129">
        <v>0</v>
      </c>
      <c r="AA155" s="1129">
        <v>0</v>
      </c>
      <c r="AB155" s="1129">
        <v>0</v>
      </c>
      <c r="AC155" s="1129">
        <v>0</v>
      </c>
      <c r="AD155" s="1098">
        <v>0</v>
      </c>
      <c r="AE155" s="1135">
        <v>0</v>
      </c>
      <c r="AF155" s="1129">
        <v>0</v>
      </c>
      <c r="AG155" s="1127">
        <v>1</v>
      </c>
      <c r="AH155" s="1127">
        <v>0</v>
      </c>
      <c r="AI155" s="1127">
        <v>0</v>
      </c>
      <c r="AJ155" s="1127">
        <v>1</v>
      </c>
      <c r="AK155" s="1129">
        <v>0</v>
      </c>
      <c r="AL155" s="1129">
        <v>0</v>
      </c>
      <c r="AM155" s="1129">
        <v>0</v>
      </c>
      <c r="AN155" s="1129">
        <v>0</v>
      </c>
      <c r="AO155" s="1129" t="s">
        <v>131</v>
      </c>
      <c r="AP155" s="1129" t="s">
        <v>96</v>
      </c>
      <c r="AQ155" s="1157">
        <v>2014</v>
      </c>
      <c r="AR155" s="1129" t="s">
        <v>87</v>
      </c>
      <c r="AS155" s="1129"/>
      <c r="AT155" s="1127">
        <v>0.33333333333333331</v>
      </c>
      <c r="AU155" s="1127">
        <v>0.33333333333333331</v>
      </c>
      <c r="AV155" s="1127">
        <v>0.33333333333333331</v>
      </c>
      <c r="AW155" s="1127"/>
      <c r="AX155" s="1127"/>
      <c r="AY155" s="1127"/>
      <c r="AZ155" s="1127"/>
      <c r="BA155" s="1127"/>
      <c r="BB155" s="1129">
        <v>0</v>
      </c>
      <c r="BC155" s="1129">
        <v>0</v>
      </c>
      <c r="BD155" s="1129">
        <v>0</v>
      </c>
      <c r="BE155" s="1129">
        <v>0</v>
      </c>
      <c r="BF155" s="1129">
        <v>0</v>
      </c>
      <c r="BG155" s="1129">
        <v>0</v>
      </c>
      <c r="BH155" s="1129">
        <v>0</v>
      </c>
      <c r="BI155" s="1129">
        <v>0</v>
      </c>
      <c r="BJ155" s="1129">
        <v>0</v>
      </c>
      <c r="BK155" s="971"/>
    </row>
    <row r="156" spans="1:63" s="1278" customFormat="1" ht="49.5">
      <c r="A156" s="1272">
        <v>2000</v>
      </c>
      <c r="B156" s="971" t="s">
        <v>119</v>
      </c>
      <c r="C156" s="1272">
        <v>2300</v>
      </c>
      <c r="D156" s="971" t="s">
        <v>222</v>
      </c>
      <c r="E156" s="971" t="s">
        <v>263</v>
      </c>
      <c r="F156" s="971" t="s">
        <v>264</v>
      </c>
      <c r="G156" s="971" t="s">
        <v>280</v>
      </c>
      <c r="H156" s="971" t="s">
        <v>266</v>
      </c>
      <c r="I156" s="1273" t="s">
        <v>310</v>
      </c>
      <c r="J156" s="971" t="s">
        <v>239</v>
      </c>
      <c r="K156" s="971"/>
      <c r="L156" s="971" t="s">
        <v>270</v>
      </c>
      <c r="M156" s="971" t="s">
        <v>270</v>
      </c>
      <c r="N156" s="971"/>
      <c r="O156" s="971" t="s">
        <v>270</v>
      </c>
      <c r="P156" s="971"/>
      <c r="Q156" s="971" t="s">
        <v>311</v>
      </c>
      <c r="R156" s="971" t="s">
        <v>312</v>
      </c>
      <c r="S156" s="1274">
        <v>1</v>
      </c>
      <c r="T156" s="971" t="s">
        <v>242</v>
      </c>
      <c r="U156" s="1275" t="s">
        <v>6588</v>
      </c>
      <c r="V156" s="1275" t="s">
        <v>6588</v>
      </c>
      <c r="W156" s="1275" t="s">
        <v>6588</v>
      </c>
      <c r="X156" s="1275" t="s">
        <v>6588</v>
      </c>
      <c r="Y156" s="1275" t="s">
        <v>6588</v>
      </c>
      <c r="Z156" s="1129">
        <v>0</v>
      </c>
      <c r="AA156" s="1129">
        <v>0</v>
      </c>
      <c r="AB156" s="1129">
        <v>0</v>
      </c>
      <c r="AC156" s="1129">
        <v>0</v>
      </c>
      <c r="AD156" s="1098">
        <v>0</v>
      </c>
      <c r="AE156" s="1135">
        <v>0</v>
      </c>
      <c r="AF156" s="1129">
        <v>0</v>
      </c>
      <c r="AG156" s="1127">
        <v>1</v>
      </c>
      <c r="AH156" s="1127">
        <v>0</v>
      </c>
      <c r="AI156" s="1127">
        <v>0</v>
      </c>
      <c r="AJ156" s="1127">
        <v>1</v>
      </c>
      <c r="AK156" s="1129">
        <v>0</v>
      </c>
      <c r="AL156" s="1129">
        <v>0</v>
      </c>
      <c r="AM156" s="1129">
        <v>0</v>
      </c>
      <c r="AN156" s="1129">
        <v>0</v>
      </c>
      <c r="AO156" s="1129" t="s">
        <v>131</v>
      </c>
      <c r="AP156" s="1129" t="s">
        <v>96</v>
      </c>
      <c r="AQ156" s="1157">
        <v>2014</v>
      </c>
      <c r="AR156" s="1129" t="s">
        <v>87</v>
      </c>
      <c r="AS156" s="1129"/>
      <c r="AT156" s="1127">
        <v>0.33333333333333331</v>
      </c>
      <c r="AU156" s="1127">
        <v>0.33333333333333331</v>
      </c>
      <c r="AV156" s="1127">
        <v>0.33333333333333331</v>
      </c>
      <c r="AW156" s="1127"/>
      <c r="AX156" s="1127"/>
      <c r="AY156" s="1127"/>
      <c r="AZ156" s="1127"/>
      <c r="BA156" s="1127"/>
      <c r="BB156" s="1129">
        <v>0</v>
      </c>
      <c r="BC156" s="1129">
        <v>0</v>
      </c>
      <c r="BD156" s="1129">
        <v>0</v>
      </c>
      <c r="BE156" s="1129">
        <v>0</v>
      </c>
      <c r="BF156" s="1129">
        <v>0</v>
      </c>
      <c r="BG156" s="1129">
        <v>0</v>
      </c>
      <c r="BH156" s="1129">
        <v>0</v>
      </c>
      <c r="BI156" s="1129">
        <v>0</v>
      </c>
      <c r="BJ156" s="1129">
        <v>0</v>
      </c>
      <c r="BK156" s="971"/>
    </row>
    <row r="157" spans="1:63" s="1278" customFormat="1" ht="49.5">
      <c r="A157" s="1272">
        <v>2000</v>
      </c>
      <c r="B157" s="971" t="s">
        <v>119</v>
      </c>
      <c r="C157" s="1272">
        <v>2300</v>
      </c>
      <c r="D157" s="971" t="s">
        <v>222</v>
      </c>
      <c r="E157" s="971" t="s">
        <v>263</v>
      </c>
      <c r="F157" s="971" t="s">
        <v>264</v>
      </c>
      <c r="G157" s="971" t="s">
        <v>280</v>
      </c>
      <c r="H157" s="971" t="s">
        <v>266</v>
      </c>
      <c r="I157" s="1273" t="s">
        <v>313</v>
      </c>
      <c r="J157" s="971" t="s">
        <v>239</v>
      </c>
      <c r="K157" s="971"/>
      <c r="L157" s="971" t="s">
        <v>270</v>
      </c>
      <c r="M157" s="971" t="s">
        <v>270</v>
      </c>
      <c r="N157" s="971"/>
      <c r="O157" s="971" t="s">
        <v>270</v>
      </c>
      <c r="P157" s="971"/>
      <c r="Q157" s="971" t="s">
        <v>314</v>
      </c>
      <c r="R157" s="971" t="s">
        <v>315</v>
      </c>
      <c r="S157" s="1274">
        <v>1</v>
      </c>
      <c r="T157" s="971" t="s">
        <v>242</v>
      </c>
      <c r="U157" s="1275" t="s">
        <v>6588</v>
      </c>
      <c r="V157" s="1275" t="s">
        <v>6588</v>
      </c>
      <c r="W157" s="1275" t="s">
        <v>6588</v>
      </c>
      <c r="X157" s="1275" t="s">
        <v>6588</v>
      </c>
      <c r="Y157" s="1275" t="s">
        <v>6588</v>
      </c>
      <c r="Z157" s="1129">
        <v>0</v>
      </c>
      <c r="AA157" s="1129">
        <v>0</v>
      </c>
      <c r="AB157" s="1129">
        <v>0</v>
      </c>
      <c r="AC157" s="1129">
        <v>0</v>
      </c>
      <c r="AD157" s="1098">
        <v>0</v>
      </c>
      <c r="AE157" s="1135">
        <v>0</v>
      </c>
      <c r="AF157" s="1129">
        <v>0</v>
      </c>
      <c r="AG157" s="1127">
        <v>1</v>
      </c>
      <c r="AH157" s="1127">
        <v>0</v>
      </c>
      <c r="AI157" s="1127">
        <v>0</v>
      </c>
      <c r="AJ157" s="1127">
        <v>1</v>
      </c>
      <c r="AK157" s="1129">
        <v>0</v>
      </c>
      <c r="AL157" s="1129">
        <v>0</v>
      </c>
      <c r="AM157" s="1129">
        <v>0</v>
      </c>
      <c r="AN157" s="1129">
        <v>0</v>
      </c>
      <c r="AO157" s="1129" t="s">
        <v>131</v>
      </c>
      <c r="AP157" s="1129" t="s">
        <v>96</v>
      </c>
      <c r="AQ157" s="1157">
        <v>2014</v>
      </c>
      <c r="AR157" s="1129" t="s">
        <v>87</v>
      </c>
      <c r="AS157" s="1129"/>
      <c r="AT157" s="1127">
        <v>0.33333333333333331</v>
      </c>
      <c r="AU157" s="1127">
        <v>0.33333333333333331</v>
      </c>
      <c r="AV157" s="1127">
        <v>0.33333333333333331</v>
      </c>
      <c r="AW157" s="1127"/>
      <c r="AX157" s="1127"/>
      <c r="AY157" s="1127"/>
      <c r="AZ157" s="1127"/>
      <c r="BA157" s="1127"/>
      <c r="BB157" s="1129">
        <v>0</v>
      </c>
      <c r="BC157" s="1129">
        <v>0</v>
      </c>
      <c r="BD157" s="1129">
        <v>0</v>
      </c>
      <c r="BE157" s="1129">
        <v>0</v>
      </c>
      <c r="BF157" s="1129">
        <v>0</v>
      </c>
      <c r="BG157" s="1129">
        <v>0</v>
      </c>
      <c r="BH157" s="1129">
        <v>0</v>
      </c>
      <c r="BI157" s="1129">
        <v>0</v>
      </c>
      <c r="BJ157" s="1129">
        <v>0</v>
      </c>
      <c r="BK157" s="971"/>
    </row>
    <row r="158" spans="1:63" s="1278" customFormat="1" ht="49.5">
      <c r="A158" s="1272">
        <v>2000</v>
      </c>
      <c r="B158" s="971" t="s">
        <v>119</v>
      </c>
      <c r="C158" s="1272">
        <v>2300</v>
      </c>
      <c r="D158" s="971" t="s">
        <v>222</v>
      </c>
      <c r="E158" s="971" t="s">
        <v>263</v>
      </c>
      <c r="F158" s="971" t="s">
        <v>264</v>
      </c>
      <c r="G158" s="971" t="s">
        <v>280</v>
      </c>
      <c r="H158" s="971" t="s">
        <v>266</v>
      </c>
      <c r="I158" s="1273" t="s">
        <v>316</v>
      </c>
      <c r="J158" s="971" t="s">
        <v>239</v>
      </c>
      <c r="K158" s="971"/>
      <c r="L158" s="971" t="s">
        <v>270</v>
      </c>
      <c r="M158" s="971" t="s">
        <v>270</v>
      </c>
      <c r="N158" s="971"/>
      <c r="O158" s="971" t="s">
        <v>270</v>
      </c>
      <c r="P158" s="971"/>
      <c r="Q158" s="971" t="s">
        <v>317</v>
      </c>
      <c r="R158" s="971" t="s">
        <v>318</v>
      </c>
      <c r="S158" s="1274">
        <v>1</v>
      </c>
      <c r="T158" s="971" t="s">
        <v>242</v>
      </c>
      <c r="U158" s="1275" t="s">
        <v>6588</v>
      </c>
      <c r="V158" s="1275" t="s">
        <v>6588</v>
      </c>
      <c r="W158" s="1275" t="s">
        <v>6588</v>
      </c>
      <c r="X158" s="1275" t="s">
        <v>6588</v>
      </c>
      <c r="Y158" s="1275" t="s">
        <v>6588</v>
      </c>
      <c r="Z158" s="1129">
        <v>0</v>
      </c>
      <c r="AA158" s="1129">
        <v>0</v>
      </c>
      <c r="AB158" s="1129">
        <v>0</v>
      </c>
      <c r="AC158" s="1129">
        <v>0</v>
      </c>
      <c r="AD158" s="1098">
        <v>0</v>
      </c>
      <c r="AE158" s="1135">
        <v>0</v>
      </c>
      <c r="AF158" s="1129">
        <v>0</v>
      </c>
      <c r="AG158" s="1127">
        <v>1</v>
      </c>
      <c r="AH158" s="1127">
        <v>0</v>
      </c>
      <c r="AI158" s="1127">
        <v>0</v>
      </c>
      <c r="AJ158" s="1127">
        <v>1</v>
      </c>
      <c r="AK158" s="1129">
        <v>0</v>
      </c>
      <c r="AL158" s="1129">
        <v>0</v>
      </c>
      <c r="AM158" s="1129">
        <v>0</v>
      </c>
      <c r="AN158" s="1129">
        <v>0</v>
      </c>
      <c r="AO158" s="1129" t="s">
        <v>131</v>
      </c>
      <c r="AP158" s="1129" t="s">
        <v>96</v>
      </c>
      <c r="AQ158" s="1157">
        <v>2014</v>
      </c>
      <c r="AR158" s="1129" t="s">
        <v>87</v>
      </c>
      <c r="AS158" s="1129"/>
      <c r="AT158" s="1127">
        <v>0.33333333333333331</v>
      </c>
      <c r="AU158" s="1127">
        <v>0.33333333333333331</v>
      </c>
      <c r="AV158" s="1127">
        <v>0.33333333333333331</v>
      </c>
      <c r="AW158" s="1127"/>
      <c r="AX158" s="1127"/>
      <c r="AY158" s="1127"/>
      <c r="AZ158" s="1127"/>
      <c r="BA158" s="1127"/>
      <c r="BB158" s="1129">
        <v>0</v>
      </c>
      <c r="BC158" s="1129">
        <v>0</v>
      </c>
      <c r="BD158" s="1129">
        <v>0</v>
      </c>
      <c r="BE158" s="1129">
        <v>0</v>
      </c>
      <c r="BF158" s="1129">
        <v>0</v>
      </c>
      <c r="BG158" s="1129">
        <v>0</v>
      </c>
      <c r="BH158" s="1129">
        <v>0</v>
      </c>
      <c r="BI158" s="1129">
        <v>0</v>
      </c>
      <c r="BJ158" s="1129">
        <v>0</v>
      </c>
      <c r="BK158" s="971"/>
    </row>
    <row r="159" spans="1:63" s="1278" customFormat="1" ht="49.5">
      <c r="A159" s="1272">
        <v>2000</v>
      </c>
      <c r="B159" s="971" t="s">
        <v>119</v>
      </c>
      <c r="C159" s="1272">
        <v>2300</v>
      </c>
      <c r="D159" s="971" t="s">
        <v>222</v>
      </c>
      <c r="E159" s="971" t="s">
        <v>263</v>
      </c>
      <c r="F159" s="971" t="s">
        <v>264</v>
      </c>
      <c r="G159" s="971" t="s">
        <v>280</v>
      </c>
      <c r="H159" s="971" t="s">
        <v>266</v>
      </c>
      <c r="I159" s="1273" t="s">
        <v>319</v>
      </c>
      <c r="J159" s="971" t="s">
        <v>239</v>
      </c>
      <c r="K159" s="971"/>
      <c r="L159" s="971" t="s">
        <v>270</v>
      </c>
      <c r="M159" s="971" t="s">
        <v>270</v>
      </c>
      <c r="N159" s="971"/>
      <c r="O159" s="971" t="s">
        <v>270</v>
      </c>
      <c r="P159" s="971"/>
      <c r="Q159" s="971" t="s">
        <v>317</v>
      </c>
      <c r="R159" s="971" t="s">
        <v>320</v>
      </c>
      <c r="S159" s="1274">
        <v>1</v>
      </c>
      <c r="T159" s="971" t="s">
        <v>242</v>
      </c>
      <c r="U159" s="1275" t="s">
        <v>6588</v>
      </c>
      <c r="V159" s="1275" t="s">
        <v>6588</v>
      </c>
      <c r="W159" s="1275" t="s">
        <v>6588</v>
      </c>
      <c r="X159" s="1275" t="s">
        <v>6588</v>
      </c>
      <c r="Y159" s="1275" t="s">
        <v>6588</v>
      </c>
      <c r="Z159" s="1129">
        <v>0</v>
      </c>
      <c r="AA159" s="1129">
        <v>0</v>
      </c>
      <c r="AB159" s="1129">
        <v>0</v>
      </c>
      <c r="AC159" s="1129">
        <v>0</v>
      </c>
      <c r="AD159" s="1098">
        <v>0</v>
      </c>
      <c r="AE159" s="1135">
        <v>0</v>
      </c>
      <c r="AF159" s="1129">
        <v>0</v>
      </c>
      <c r="AG159" s="1127">
        <v>1</v>
      </c>
      <c r="AH159" s="1127">
        <v>0</v>
      </c>
      <c r="AI159" s="1127">
        <v>0</v>
      </c>
      <c r="AJ159" s="1127">
        <v>1</v>
      </c>
      <c r="AK159" s="1129">
        <v>0</v>
      </c>
      <c r="AL159" s="1129">
        <v>0</v>
      </c>
      <c r="AM159" s="1129">
        <v>0</v>
      </c>
      <c r="AN159" s="1129">
        <v>0</v>
      </c>
      <c r="AO159" s="1129" t="s">
        <v>131</v>
      </c>
      <c r="AP159" s="1129" t="s">
        <v>96</v>
      </c>
      <c r="AQ159" s="1157">
        <v>2014</v>
      </c>
      <c r="AR159" s="1129" t="s">
        <v>87</v>
      </c>
      <c r="AS159" s="1129"/>
      <c r="AT159" s="1127">
        <v>0.33333333333333331</v>
      </c>
      <c r="AU159" s="1127">
        <v>0.33333333333333331</v>
      </c>
      <c r="AV159" s="1127">
        <v>0.33333333333333331</v>
      </c>
      <c r="AW159" s="1127"/>
      <c r="AX159" s="1127"/>
      <c r="AY159" s="1127"/>
      <c r="AZ159" s="1127"/>
      <c r="BA159" s="1127"/>
      <c r="BB159" s="1129">
        <v>0</v>
      </c>
      <c r="BC159" s="1129">
        <v>0</v>
      </c>
      <c r="BD159" s="1129">
        <v>0</v>
      </c>
      <c r="BE159" s="1129">
        <v>0</v>
      </c>
      <c r="BF159" s="1129">
        <v>0</v>
      </c>
      <c r="BG159" s="1129">
        <v>0</v>
      </c>
      <c r="BH159" s="1129">
        <v>0</v>
      </c>
      <c r="BI159" s="1129">
        <v>0</v>
      </c>
      <c r="BJ159" s="1129">
        <v>0</v>
      </c>
      <c r="BK159" s="971"/>
    </row>
    <row r="160" spans="1:63" s="1278" customFormat="1" ht="49.5">
      <c r="A160" s="1272">
        <v>2000</v>
      </c>
      <c r="B160" s="971" t="s">
        <v>119</v>
      </c>
      <c r="C160" s="1272">
        <v>2300</v>
      </c>
      <c r="D160" s="971" t="s">
        <v>222</v>
      </c>
      <c r="E160" s="971" t="s">
        <v>263</v>
      </c>
      <c r="F160" s="971" t="s">
        <v>264</v>
      </c>
      <c r="G160" s="971" t="s">
        <v>280</v>
      </c>
      <c r="H160" s="971" t="s">
        <v>266</v>
      </c>
      <c r="I160" s="1273" t="s">
        <v>323</v>
      </c>
      <c r="J160" s="971" t="s">
        <v>239</v>
      </c>
      <c r="K160" s="971"/>
      <c r="L160" s="971" t="s">
        <v>270</v>
      </c>
      <c r="M160" s="971" t="s">
        <v>270</v>
      </c>
      <c r="N160" s="971"/>
      <c r="O160" s="971" t="s">
        <v>270</v>
      </c>
      <c r="P160" s="971"/>
      <c r="Q160" s="971" t="s">
        <v>324</v>
      </c>
      <c r="R160" s="971" t="s">
        <v>325</v>
      </c>
      <c r="S160" s="1274">
        <v>1</v>
      </c>
      <c r="T160" s="971" t="s">
        <v>242</v>
      </c>
      <c r="U160" s="1275" t="s">
        <v>6588</v>
      </c>
      <c r="V160" s="1275" t="s">
        <v>6588</v>
      </c>
      <c r="W160" s="1275" t="s">
        <v>6588</v>
      </c>
      <c r="X160" s="1275" t="s">
        <v>6588</v>
      </c>
      <c r="Y160" s="1275" t="s">
        <v>6588</v>
      </c>
      <c r="Z160" s="1129">
        <v>0</v>
      </c>
      <c r="AA160" s="1129">
        <v>0</v>
      </c>
      <c r="AB160" s="1129">
        <v>0</v>
      </c>
      <c r="AC160" s="1129">
        <v>0</v>
      </c>
      <c r="AD160" s="1098">
        <v>0</v>
      </c>
      <c r="AE160" s="1135">
        <v>0</v>
      </c>
      <c r="AF160" s="1129">
        <v>0</v>
      </c>
      <c r="AG160" s="1127">
        <v>1</v>
      </c>
      <c r="AH160" s="1127">
        <v>0</v>
      </c>
      <c r="AI160" s="1127">
        <v>0</v>
      </c>
      <c r="AJ160" s="1127">
        <v>1</v>
      </c>
      <c r="AK160" s="1129">
        <v>0</v>
      </c>
      <c r="AL160" s="1129">
        <v>0</v>
      </c>
      <c r="AM160" s="1129">
        <v>0</v>
      </c>
      <c r="AN160" s="1129">
        <v>0</v>
      </c>
      <c r="AO160" s="1129" t="s">
        <v>131</v>
      </c>
      <c r="AP160" s="1129" t="s">
        <v>96</v>
      </c>
      <c r="AQ160" s="1157">
        <v>2014</v>
      </c>
      <c r="AR160" s="1129" t="s">
        <v>87</v>
      </c>
      <c r="AS160" s="1129"/>
      <c r="AT160" s="1127">
        <v>0.33333333333333331</v>
      </c>
      <c r="AU160" s="1127">
        <v>0.33333333333333331</v>
      </c>
      <c r="AV160" s="1127">
        <v>0.33333333333333331</v>
      </c>
      <c r="AW160" s="1127"/>
      <c r="AX160" s="1127"/>
      <c r="AY160" s="1127"/>
      <c r="AZ160" s="1127"/>
      <c r="BA160" s="1127"/>
      <c r="BB160" s="1129">
        <v>0</v>
      </c>
      <c r="BC160" s="1129">
        <v>0</v>
      </c>
      <c r="BD160" s="1129">
        <v>0</v>
      </c>
      <c r="BE160" s="1129">
        <v>0</v>
      </c>
      <c r="BF160" s="1129">
        <v>0</v>
      </c>
      <c r="BG160" s="1129">
        <v>0</v>
      </c>
      <c r="BH160" s="1129">
        <v>0</v>
      </c>
      <c r="BI160" s="1129">
        <v>0</v>
      </c>
      <c r="BJ160" s="1129">
        <v>0</v>
      </c>
      <c r="BK160" s="971"/>
    </row>
    <row r="161" spans="1:63" s="1278" customFormat="1" ht="49.5">
      <c r="A161" s="1272">
        <v>2000</v>
      </c>
      <c r="B161" s="971" t="s">
        <v>119</v>
      </c>
      <c r="C161" s="1272">
        <v>2300</v>
      </c>
      <c r="D161" s="971" t="s">
        <v>222</v>
      </c>
      <c r="E161" s="971" t="s">
        <v>263</v>
      </c>
      <c r="F161" s="971" t="s">
        <v>264</v>
      </c>
      <c r="G161" s="971" t="s">
        <v>280</v>
      </c>
      <c r="H161" s="971" t="s">
        <v>266</v>
      </c>
      <c r="I161" s="1273" t="s">
        <v>326</v>
      </c>
      <c r="J161" s="971" t="s">
        <v>239</v>
      </c>
      <c r="K161" s="971"/>
      <c r="L161" s="971" t="s">
        <v>270</v>
      </c>
      <c r="M161" s="971" t="s">
        <v>270</v>
      </c>
      <c r="N161" s="971"/>
      <c r="O161" s="971" t="s">
        <v>270</v>
      </c>
      <c r="P161" s="971"/>
      <c r="Q161" s="971" t="s">
        <v>327</v>
      </c>
      <c r="R161" s="971" t="s">
        <v>328</v>
      </c>
      <c r="S161" s="1274">
        <v>1</v>
      </c>
      <c r="T161" s="971" t="s">
        <v>242</v>
      </c>
      <c r="U161" s="1275" t="s">
        <v>6588</v>
      </c>
      <c r="V161" s="1275" t="s">
        <v>6588</v>
      </c>
      <c r="W161" s="1275" t="s">
        <v>6588</v>
      </c>
      <c r="X161" s="1275" t="s">
        <v>6588</v>
      </c>
      <c r="Y161" s="1275" t="s">
        <v>6588</v>
      </c>
      <c r="Z161" s="1129">
        <v>0</v>
      </c>
      <c r="AA161" s="1129">
        <v>0</v>
      </c>
      <c r="AB161" s="1129">
        <v>0</v>
      </c>
      <c r="AC161" s="1129">
        <v>0</v>
      </c>
      <c r="AD161" s="1098">
        <v>0</v>
      </c>
      <c r="AE161" s="1135">
        <v>0</v>
      </c>
      <c r="AF161" s="1129">
        <v>0</v>
      </c>
      <c r="AG161" s="1127">
        <v>1</v>
      </c>
      <c r="AH161" s="1127">
        <v>0</v>
      </c>
      <c r="AI161" s="1127">
        <v>0</v>
      </c>
      <c r="AJ161" s="1127">
        <v>1</v>
      </c>
      <c r="AK161" s="1129">
        <v>0</v>
      </c>
      <c r="AL161" s="1129">
        <v>0</v>
      </c>
      <c r="AM161" s="1129">
        <v>0</v>
      </c>
      <c r="AN161" s="1129">
        <v>0</v>
      </c>
      <c r="AO161" s="1129" t="s">
        <v>131</v>
      </c>
      <c r="AP161" s="1129" t="s">
        <v>96</v>
      </c>
      <c r="AQ161" s="1157">
        <v>2014</v>
      </c>
      <c r="AR161" s="1129" t="s">
        <v>87</v>
      </c>
      <c r="AS161" s="1129"/>
      <c r="AT161" s="1127">
        <v>0.33333333333333331</v>
      </c>
      <c r="AU161" s="1127">
        <v>0.33333333333333331</v>
      </c>
      <c r="AV161" s="1127">
        <v>0.33333333333333331</v>
      </c>
      <c r="AW161" s="1127"/>
      <c r="AX161" s="1127"/>
      <c r="AY161" s="1127"/>
      <c r="AZ161" s="1127"/>
      <c r="BA161" s="1127"/>
      <c r="BB161" s="1129">
        <v>0</v>
      </c>
      <c r="BC161" s="1129">
        <v>0</v>
      </c>
      <c r="BD161" s="1129">
        <v>0</v>
      </c>
      <c r="BE161" s="1129">
        <v>0</v>
      </c>
      <c r="BF161" s="1129">
        <v>0</v>
      </c>
      <c r="BG161" s="1129">
        <v>0</v>
      </c>
      <c r="BH161" s="1129">
        <v>0</v>
      </c>
      <c r="BI161" s="1129">
        <v>0</v>
      </c>
      <c r="BJ161" s="1129">
        <v>0</v>
      </c>
      <c r="BK161" s="971"/>
    </row>
    <row r="162" spans="1:63" s="1278" customFormat="1" ht="49.5">
      <c r="A162" s="1272">
        <v>2000</v>
      </c>
      <c r="B162" s="971" t="s">
        <v>119</v>
      </c>
      <c r="C162" s="1272">
        <v>2300</v>
      </c>
      <c r="D162" s="971" t="s">
        <v>222</v>
      </c>
      <c r="E162" s="971" t="s">
        <v>263</v>
      </c>
      <c r="F162" s="971" t="s">
        <v>264</v>
      </c>
      <c r="G162" s="971" t="s">
        <v>280</v>
      </c>
      <c r="H162" s="971" t="s">
        <v>266</v>
      </c>
      <c r="I162" s="1273" t="s">
        <v>329</v>
      </c>
      <c r="J162" s="971" t="s">
        <v>239</v>
      </c>
      <c r="K162" s="971"/>
      <c r="L162" s="971" t="s">
        <v>270</v>
      </c>
      <c r="M162" s="971" t="s">
        <v>270</v>
      </c>
      <c r="N162" s="971"/>
      <c r="O162" s="971" t="s">
        <v>270</v>
      </c>
      <c r="P162" s="971"/>
      <c r="Q162" s="971" t="s">
        <v>330</v>
      </c>
      <c r="R162" s="971" t="s">
        <v>331</v>
      </c>
      <c r="S162" s="1274">
        <v>1</v>
      </c>
      <c r="T162" s="971" t="s">
        <v>242</v>
      </c>
      <c r="U162" s="1275" t="s">
        <v>6588</v>
      </c>
      <c r="V162" s="1275" t="s">
        <v>6588</v>
      </c>
      <c r="W162" s="1275" t="s">
        <v>6588</v>
      </c>
      <c r="X162" s="1275" t="s">
        <v>6588</v>
      </c>
      <c r="Y162" s="1275" t="s">
        <v>6588</v>
      </c>
      <c r="Z162" s="1129">
        <v>0</v>
      </c>
      <c r="AA162" s="1129">
        <v>0</v>
      </c>
      <c r="AB162" s="1129">
        <v>0</v>
      </c>
      <c r="AC162" s="1129">
        <v>0</v>
      </c>
      <c r="AD162" s="1098">
        <v>0</v>
      </c>
      <c r="AE162" s="1135">
        <v>0</v>
      </c>
      <c r="AF162" s="1129">
        <v>0</v>
      </c>
      <c r="AG162" s="1127">
        <v>0</v>
      </c>
      <c r="AH162" s="1127">
        <v>1</v>
      </c>
      <c r="AI162" s="1127">
        <v>0</v>
      </c>
      <c r="AJ162" s="1127">
        <v>1</v>
      </c>
      <c r="AK162" s="1129">
        <v>0</v>
      </c>
      <c r="AL162" s="1129">
        <v>0</v>
      </c>
      <c r="AM162" s="1129">
        <v>0</v>
      </c>
      <c r="AN162" s="1129">
        <v>0</v>
      </c>
      <c r="AO162" s="1129" t="s">
        <v>131</v>
      </c>
      <c r="AP162" s="1129" t="s">
        <v>96</v>
      </c>
      <c r="AQ162" s="1157">
        <v>2014</v>
      </c>
      <c r="AR162" s="1129" t="s">
        <v>87</v>
      </c>
      <c r="AS162" s="1129"/>
      <c r="AT162" s="1127">
        <v>0.33333333333333331</v>
      </c>
      <c r="AU162" s="1127">
        <v>0.33333333333333331</v>
      </c>
      <c r="AV162" s="1127">
        <v>0.33333333333333331</v>
      </c>
      <c r="AW162" s="1127"/>
      <c r="AX162" s="1127"/>
      <c r="AY162" s="1127"/>
      <c r="AZ162" s="1127"/>
      <c r="BA162" s="1127"/>
      <c r="BB162" s="1129">
        <v>0</v>
      </c>
      <c r="BC162" s="1129">
        <v>0</v>
      </c>
      <c r="BD162" s="1129">
        <v>0</v>
      </c>
      <c r="BE162" s="1129">
        <v>0</v>
      </c>
      <c r="BF162" s="1129">
        <v>0</v>
      </c>
      <c r="BG162" s="1129">
        <v>0</v>
      </c>
      <c r="BH162" s="1129">
        <v>0</v>
      </c>
      <c r="BI162" s="1129">
        <v>0</v>
      </c>
      <c r="BJ162" s="1129">
        <v>0</v>
      </c>
      <c r="BK162" s="971"/>
    </row>
    <row r="163" spans="1:63" s="1278" customFormat="1" ht="49.5">
      <c r="A163" s="1272">
        <v>2000</v>
      </c>
      <c r="B163" s="971" t="s">
        <v>119</v>
      </c>
      <c r="C163" s="1272">
        <v>2300</v>
      </c>
      <c r="D163" s="971" t="s">
        <v>222</v>
      </c>
      <c r="E163" s="971" t="s">
        <v>263</v>
      </c>
      <c r="F163" s="971" t="s">
        <v>264</v>
      </c>
      <c r="G163" s="971" t="s">
        <v>280</v>
      </c>
      <c r="H163" s="971" t="s">
        <v>266</v>
      </c>
      <c r="I163" s="1273" t="s">
        <v>332</v>
      </c>
      <c r="J163" s="971" t="s">
        <v>239</v>
      </c>
      <c r="K163" s="971"/>
      <c r="L163" s="971" t="s">
        <v>270</v>
      </c>
      <c r="M163" s="971" t="s">
        <v>270</v>
      </c>
      <c r="N163" s="971"/>
      <c r="O163" s="971" t="s">
        <v>270</v>
      </c>
      <c r="P163" s="971"/>
      <c r="Q163" s="971" t="s">
        <v>333</v>
      </c>
      <c r="R163" s="971" t="s">
        <v>334</v>
      </c>
      <c r="S163" s="1274">
        <v>1</v>
      </c>
      <c r="T163" s="971" t="s">
        <v>242</v>
      </c>
      <c r="U163" s="1275" t="s">
        <v>6588</v>
      </c>
      <c r="V163" s="1275" t="s">
        <v>6588</v>
      </c>
      <c r="W163" s="1275" t="s">
        <v>6588</v>
      </c>
      <c r="X163" s="1275" t="s">
        <v>6588</v>
      </c>
      <c r="Y163" s="1275" t="s">
        <v>6588</v>
      </c>
      <c r="Z163" s="1129">
        <v>0</v>
      </c>
      <c r="AA163" s="1129">
        <v>0</v>
      </c>
      <c r="AB163" s="1129">
        <v>0</v>
      </c>
      <c r="AC163" s="1129">
        <v>0</v>
      </c>
      <c r="AD163" s="1098">
        <v>0</v>
      </c>
      <c r="AE163" s="1135">
        <v>0</v>
      </c>
      <c r="AF163" s="1129">
        <v>0</v>
      </c>
      <c r="AG163" s="1127">
        <v>0</v>
      </c>
      <c r="AH163" s="1127">
        <v>1</v>
      </c>
      <c r="AI163" s="1127">
        <v>0</v>
      </c>
      <c r="AJ163" s="1127">
        <v>1</v>
      </c>
      <c r="AK163" s="1129">
        <v>0</v>
      </c>
      <c r="AL163" s="1129">
        <v>0</v>
      </c>
      <c r="AM163" s="1129">
        <v>0</v>
      </c>
      <c r="AN163" s="1129">
        <v>0</v>
      </c>
      <c r="AO163" s="1129" t="s">
        <v>131</v>
      </c>
      <c r="AP163" s="1129" t="s">
        <v>96</v>
      </c>
      <c r="AQ163" s="1157">
        <v>2014</v>
      </c>
      <c r="AR163" s="1129" t="s">
        <v>87</v>
      </c>
      <c r="AS163" s="1129"/>
      <c r="AT163" s="1127">
        <v>0.33333333333333331</v>
      </c>
      <c r="AU163" s="1127">
        <v>0.33333333333333331</v>
      </c>
      <c r="AV163" s="1127">
        <v>0.33333333333333331</v>
      </c>
      <c r="AW163" s="1127"/>
      <c r="AX163" s="1127"/>
      <c r="AY163" s="1127"/>
      <c r="AZ163" s="1127"/>
      <c r="BA163" s="1127"/>
      <c r="BB163" s="1129">
        <v>0</v>
      </c>
      <c r="BC163" s="1129">
        <v>0</v>
      </c>
      <c r="BD163" s="1129">
        <v>0</v>
      </c>
      <c r="BE163" s="1129">
        <v>0</v>
      </c>
      <c r="BF163" s="1129">
        <v>0</v>
      </c>
      <c r="BG163" s="1129">
        <v>0</v>
      </c>
      <c r="BH163" s="1129">
        <v>0</v>
      </c>
      <c r="BI163" s="1129">
        <v>0</v>
      </c>
      <c r="BJ163" s="1129">
        <v>0</v>
      </c>
      <c r="BK163" s="971"/>
    </row>
    <row r="164" spans="1:63" s="1278" customFormat="1" ht="49.5">
      <c r="A164" s="1272">
        <v>2000</v>
      </c>
      <c r="B164" s="971" t="s">
        <v>119</v>
      </c>
      <c r="C164" s="1272">
        <v>2300</v>
      </c>
      <c r="D164" s="971" t="s">
        <v>222</v>
      </c>
      <c r="E164" s="971" t="s">
        <v>263</v>
      </c>
      <c r="F164" s="971" t="s">
        <v>264</v>
      </c>
      <c r="G164" s="971" t="s">
        <v>280</v>
      </c>
      <c r="H164" s="971" t="s">
        <v>266</v>
      </c>
      <c r="I164" s="1273" t="s">
        <v>335</v>
      </c>
      <c r="J164" s="971" t="s">
        <v>239</v>
      </c>
      <c r="K164" s="971"/>
      <c r="L164" s="971" t="s">
        <v>270</v>
      </c>
      <c r="M164" s="971" t="s">
        <v>270</v>
      </c>
      <c r="N164" s="971"/>
      <c r="O164" s="971" t="s">
        <v>270</v>
      </c>
      <c r="P164" s="971"/>
      <c r="Q164" s="971" t="s">
        <v>333</v>
      </c>
      <c r="R164" s="971" t="s">
        <v>336</v>
      </c>
      <c r="S164" s="1274">
        <v>1</v>
      </c>
      <c r="T164" s="971" t="s">
        <v>242</v>
      </c>
      <c r="U164" s="1275" t="s">
        <v>6588</v>
      </c>
      <c r="V164" s="1275" t="s">
        <v>6588</v>
      </c>
      <c r="W164" s="1275" t="s">
        <v>6588</v>
      </c>
      <c r="X164" s="1275" t="s">
        <v>6588</v>
      </c>
      <c r="Y164" s="1275" t="s">
        <v>6588</v>
      </c>
      <c r="Z164" s="1129">
        <v>0</v>
      </c>
      <c r="AA164" s="1129">
        <v>0</v>
      </c>
      <c r="AB164" s="1129">
        <v>0</v>
      </c>
      <c r="AC164" s="1129">
        <v>0</v>
      </c>
      <c r="AD164" s="1098">
        <v>0</v>
      </c>
      <c r="AE164" s="1135">
        <v>0</v>
      </c>
      <c r="AF164" s="1129">
        <v>0</v>
      </c>
      <c r="AG164" s="1127">
        <v>0</v>
      </c>
      <c r="AH164" s="1127">
        <v>1</v>
      </c>
      <c r="AI164" s="1127">
        <v>0</v>
      </c>
      <c r="AJ164" s="1127">
        <v>1</v>
      </c>
      <c r="AK164" s="1129">
        <v>0</v>
      </c>
      <c r="AL164" s="1129">
        <v>0</v>
      </c>
      <c r="AM164" s="1129">
        <v>0</v>
      </c>
      <c r="AN164" s="1129">
        <v>0</v>
      </c>
      <c r="AO164" s="1129" t="s">
        <v>131</v>
      </c>
      <c r="AP164" s="1129" t="s">
        <v>96</v>
      </c>
      <c r="AQ164" s="1157">
        <v>2014</v>
      </c>
      <c r="AR164" s="1129" t="s">
        <v>87</v>
      </c>
      <c r="AS164" s="1129"/>
      <c r="AT164" s="1127">
        <v>0.33333333333333331</v>
      </c>
      <c r="AU164" s="1127">
        <v>0.33333333333333331</v>
      </c>
      <c r="AV164" s="1127">
        <v>0.33333333333333331</v>
      </c>
      <c r="AW164" s="1127"/>
      <c r="AX164" s="1127"/>
      <c r="AY164" s="1127"/>
      <c r="AZ164" s="1127"/>
      <c r="BA164" s="1127"/>
      <c r="BB164" s="1129">
        <v>0</v>
      </c>
      <c r="BC164" s="1129">
        <v>0</v>
      </c>
      <c r="BD164" s="1129">
        <v>0</v>
      </c>
      <c r="BE164" s="1129">
        <v>0</v>
      </c>
      <c r="BF164" s="1129">
        <v>0</v>
      </c>
      <c r="BG164" s="1129">
        <v>0</v>
      </c>
      <c r="BH164" s="1129">
        <v>0</v>
      </c>
      <c r="BI164" s="1129">
        <v>0</v>
      </c>
      <c r="BJ164" s="1129">
        <v>0</v>
      </c>
      <c r="BK164" s="971"/>
    </row>
    <row r="165" spans="1:63" s="1278" customFormat="1" ht="49.5">
      <c r="A165" s="1272">
        <v>2000</v>
      </c>
      <c r="B165" s="971" t="s">
        <v>119</v>
      </c>
      <c r="C165" s="1272">
        <v>2300</v>
      </c>
      <c r="D165" s="971" t="s">
        <v>222</v>
      </c>
      <c r="E165" s="971" t="s">
        <v>263</v>
      </c>
      <c r="F165" s="971" t="s">
        <v>264</v>
      </c>
      <c r="G165" s="971" t="s">
        <v>280</v>
      </c>
      <c r="H165" s="971" t="s">
        <v>266</v>
      </c>
      <c r="I165" s="1273" t="s">
        <v>337</v>
      </c>
      <c r="J165" s="971" t="s">
        <v>239</v>
      </c>
      <c r="K165" s="971"/>
      <c r="L165" s="971" t="s">
        <v>270</v>
      </c>
      <c r="M165" s="971" t="s">
        <v>270</v>
      </c>
      <c r="N165" s="971"/>
      <c r="O165" s="971" t="s">
        <v>270</v>
      </c>
      <c r="P165" s="971"/>
      <c r="Q165" s="971" t="s">
        <v>338</v>
      </c>
      <c r="R165" s="971" t="s">
        <v>339</v>
      </c>
      <c r="S165" s="1274">
        <v>1</v>
      </c>
      <c r="T165" s="971" t="s">
        <v>242</v>
      </c>
      <c r="U165" s="1275" t="s">
        <v>6588</v>
      </c>
      <c r="V165" s="1275" t="s">
        <v>6588</v>
      </c>
      <c r="W165" s="1275" t="s">
        <v>6588</v>
      </c>
      <c r="X165" s="1275" t="s">
        <v>6588</v>
      </c>
      <c r="Y165" s="1275" t="s">
        <v>6588</v>
      </c>
      <c r="Z165" s="1129">
        <v>0</v>
      </c>
      <c r="AA165" s="1129">
        <v>0</v>
      </c>
      <c r="AB165" s="1129">
        <v>0</v>
      </c>
      <c r="AC165" s="1129">
        <v>0</v>
      </c>
      <c r="AD165" s="1098">
        <v>0</v>
      </c>
      <c r="AE165" s="1135">
        <v>0</v>
      </c>
      <c r="AF165" s="1129">
        <v>0</v>
      </c>
      <c r="AG165" s="1127">
        <v>0</v>
      </c>
      <c r="AH165" s="1127">
        <v>1</v>
      </c>
      <c r="AI165" s="1127">
        <v>0</v>
      </c>
      <c r="AJ165" s="1127">
        <v>1</v>
      </c>
      <c r="AK165" s="1129">
        <v>0</v>
      </c>
      <c r="AL165" s="1129">
        <v>0</v>
      </c>
      <c r="AM165" s="1129">
        <v>0</v>
      </c>
      <c r="AN165" s="1129">
        <v>0</v>
      </c>
      <c r="AO165" s="1129" t="s">
        <v>131</v>
      </c>
      <c r="AP165" s="1129" t="s">
        <v>96</v>
      </c>
      <c r="AQ165" s="1157">
        <v>2014</v>
      </c>
      <c r="AR165" s="1129" t="s">
        <v>87</v>
      </c>
      <c r="AS165" s="1129"/>
      <c r="AT165" s="1127">
        <v>0.33333333333333331</v>
      </c>
      <c r="AU165" s="1127">
        <v>0.33333333333333331</v>
      </c>
      <c r="AV165" s="1127">
        <v>0.33333333333333331</v>
      </c>
      <c r="AW165" s="1127"/>
      <c r="AX165" s="1127"/>
      <c r="AY165" s="1127"/>
      <c r="AZ165" s="1127"/>
      <c r="BA165" s="1127"/>
      <c r="BB165" s="1129">
        <v>0</v>
      </c>
      <c r="BC165" s="1129">
        <v>0</v>
      </c>
      <c r="BD165" s="1129">
        <v>0</v>
      </c>
      <c r="BE165" s="1129">
        <v>0</v>
      </c>
      <c r="BF165" s="1129">
        <v>0</v>
      </c>
      <c r="BG165" s="1129">
        <v>0</v>
      </c>
      <c r="BH165" s="1129">
        <v>0</v>
      </c>
      <c r="BI165" s="1129">
        <v>0</v>
      </c>
      <c r="BJ165" s="1129">
        <v>0</v>
      </c>
      <c r="BK165" s="971"/>
    </row>
    <row r="166" spans="1:63" s="1278" customFormat="1" ht="49.5">
      <c r="A166" s="1272">
        <v>2000</v>
      </c>
      <c r="B166" s="971" t="s">
        <v>119</v>
      </c>
      <c r="C166" s="1272">
        <v>2300</v>
      </c>
      <c r="D166" s="971" t="s">
        <v>222</v>
      </c>
      <c r="E166" s="971" t="s">
        <v>263</v>
      </c>
      <c r="F166" s="971" t="s">
        <v>264</v>
      </c>
      <c r="G166" s="971" t="s">
        <v>280</v>
      </c>
      <c r="H166" s="971" t="s">
        <v>266</v>
      </c>
      <c r="I166" s="1273" t="s">
        <v>340</v>
      </c>
      <c r="J166" s="971" t="s">
        <v>239</v>
      </c>
      <c r="K166" s="971"/>
      <c r="L166" s="971" t="s">
        <v>270</v>
      </c>
      <c r="M166" s="971" t="s">
        <v>270</v>
      </c>
      <c r="N166" s="971"/>
      <c r="O166" s="971" t="s">
        <v>270</v>
      </c>
      <c r="P166" s="971"/>
      <c r="Q166" s="971" t="s">
        <v>338</v>
      </c>
      <c r="R166" s="971" t="s">
        <v>341</v>
      </c>
      <c r="S166" s="1274">
        <v>1</v>
      </c>
      <c r="T166" s="971" t="s">
        <v>242</v>
      </c>
      <c r="U166" s="1275" t="s">
        <v>6588</v>
      </c>
      <c r="V166" s="1275" t="s">
        <v>6588</v>
      </c>
      <c r="W166" s="1275" t="s">
        <v>6588</v>
      </c>
      <c r="X166" s="1275" t="s">
        <v>6588</v>
      </c>
      <c r="Y166" s="1275" t="s">
        <v>6588</v>
      </c>
      <c r="Z166" s="1129">
        <v>0</v>
      </c>
      <c r="AA166" s="1129">
        <v>0</v>
      </c>
      <c r="AB166" s="1129">
        <v>0</v>
      </c>
      <c r="AC166" s="1129">
        <v>0</v>
      </c>
      <c r="AD166" s="1098">
        <v>0</v>
      </c>
      <c r="AE166" s="1135">
        <v>0</v>
      </c>
      <c r="AF166" s="1129">
        <v>0</v>
      </c>
      <c r="AG166" s="1127">
        <v>0</v>
      </c>
      <c r="AH166" s="1127">
        <v>1</v>
      </c>
      <c r="AI166" s="1127">
        <v>0</v>
      </c>
      <c r="AJ166" s="1127">
        <v>1</v>
      </c>
      <c r="AK166" s="1129">
        <v>0</v>
      </c>
      <c r="AL166" s="1129">
        <v>0</v>
      </c>
      <c r="AM166" s="1129">
        <v>0</v>
      </c>
      <c r="AN166" s="1129">
        <v>0</v>
      </c>
      <c r="AO166" s="1129" t="s">
        <v>131</v>
      </c>
      <c r="AP166" s="1129" t="s">
        <v>96</v>
      </c>
      <c r="AQ166" s="1157">
        <v>2014</v>
      </c>
      <c r="AR166" s="1129" t="s">
        <v>87</v>
      </c>
      <c r="AS166" s="1129"/>
      <c r="AT166" s="1127">
        <v>0.33333333333333331</v>
      </c>
      <c r="AU166" s="1127">
        <v>0.33333333333333331</v>
      </c>
      <c r="AV166" s="1127">
        <v>0.33333333333333331</v>
      </c>
      <c r="AW166" s="1127"/>
      <c r="AX166" s="1127"/>
      <c r="AY166" s="1127"/>
      <c r="AZ166" s="1127"/>
      <c r="BA166" s="1127"/>
      <c r="BB166" s="1129">
        <v>0</v>
      </c>
      <c r="BC166" s="1129">
        <v>0</v>
      </c>
      <c r="BD166" s="1129">
        <v>0</v>
      </c>
      <c r="BE166" s="1129">
        <v>0</v>
      </c>
      <c r="BF166" s="1129">
        <v>0</v>
      </c>
      <c r="BG166" s="1129">
        <v>0</v>
      </c>
      <c r="BH166" s="1129">
        <v>0</v>
      </c>
      <c r="BI166" s="1129">
        <v>0</v>
      </c>
      <c r="BJ166" s="1129">
        <v>0</v>
      </c>
      <c r="BK166" s="971"/>
    </row>
    <row r="167" spans="1:63" s="1278" customFormat="1" ht="49.5">
      <c r="A167" s="1272">
        <v>2000</v>
      </c>
      <c r="B167" s="971" t="s">
        <v>119</v>
      </c>
      <c r="C167" s="1272">
        <v>2300</v>
      </c>
      <c r="D167" s="971" t="s">
        <v>222</v>
      </c>
      <c r="E167" s="971" t="s">
        <v>263</v>
      </c>
      <c r="F167" s="971" t="s">
        <v>264</v>
      </c>
      <c r="G167" s="971" t="s">
        <v>280</v>
      </c>
      <c r="H167" s="971" t="s">
        <v>266</v>
      </c>
      <c r="I167" s="1273" t="s">
        <v>342</v>
      </c>
      <c r="J167" s="971" t="s">
        <v>239</v>
      </c>
      <c r="K167" s="971"/>
      <c r="L167" s="971" t="s">
        <v>270</v>
      </c>
      <c r="M167" s="971" t="s">
        <v>270</v>
      </c>
      <c r="N167" s="971"/>
      <c r="O167" s="971" t="s">
        <v>270</v>
      </c>
      <c r="P167" s="971"/>
      <c r="Q167" s="971" t="s">
        <v>343</v>
      </c>
      <c r="R167" s="971" t="s">
        <v>344</v>
      </c>
      <c r="S167" s="1274">
        <v>1</v>
      </c>
      <c r="T167" s="971" t="s">
        <v>242</v>
      </c>
      <c r="U167" s="1275" t="s">
        <v>6588</v>
      </c>
      <c r="V167" s="1275" t="s">
        <v>6588</v>
      </c>
      <c r="W167" s="1275" t="s">
        <v>6588</v>
      </c>
      <c r="X167" s="1275" t="s">
        <v>6588</v>
      </c>
      <c r="Y167" s="1275" t="s">
        <v>6588</v>
      </c>
      <c r="Z167" s="1129">
        <v>0</v>
      </c>
      <c r="AA167" s="1129">
        <v>0</v>
      </c>
      <c r="AB167" s="1129">
        <v>0</v>
      </c>
      <c r="AC167" s="1129">
        <v>0</v>
      </c>
      <c r="AD167" s="1098">
        <v>0</v>
      </c>
      <c r="AE167" s="1135">
        <v>0</v>
      </c>
      <c r="AF167" s="1129">
        <v>0</v>
      </c>
      <c r="AG167" s="1127">
        <v>0</v>
      </c>
      <c r="AH167" s="1127">
        <v>1</v>
      </c>
      <c r="AI167" s="1127">
        <v>0</v>
      </c>
      <c r="AJ167" s="1127">
        <v>1</v>
      </c>
      <c r="AK167" s="1129">
        <v>0</v>
      </c>
      <c r="AL167" s="1129">
        <v>0</v>
      </c>
      <c r="AM167" s="1129">
        <v>0</v>
      </c>
      <c r="AN167" s="1129">
        <v>0</v>
      </c>
      <c r="AO167" s="1129" t="s">
        <v>131</v>
      </c>
      <c r="AP167" s="1129" t="s">
        <v>96</v>
      </c>
      <c r="AQ167" s="1157">
        <v>2014</v>
      </c>
      <c r="AR167" s="1129" t="s">
        <v>87</v>
      </c>
      <c r="AS167" s="1129"/>
      <c r="AT167" s="1127">
        <v>0.33333333333333331</v>
      </c>
      <c r="AU167" s="1127">
        <v>0.33333333333333331</v>
      </c>
      <c r="AV167" s="1127">
        <v>0.33333333333333331</v>
      </c>
      <c r="AW167" s="1127"/>
      <c r="AX167" s="1127"/>
      <c r="AY167" s="1127"/>
      <c r="AZ167" s="1127"/>
      <c r="BA167" s="1127"/>
      <c r="BB167" s="1129">
        <v>0</v>
      </c>
      <c r="BC167" s="1129">
        <v>0</v>
      </c>
      <c r="BD167" s="1129">
        <v>0</v>
      </c>
      <c r="BE167" s="1129">
        <v>0</v>
      </c>
      <c r="BF167" s="1129">
        <v>0</v>
      </c>
      <c r="BG167" s="1129">
        <v>0</v>
      </c>
      <c r="BH167" s="1129">
        <v>0</v>
      </c>
      <c r="BI167" s="1129">
        <v>0</v>
      </c>
      <c r="BJ167" s="1129">
        <v>0</v>
      </c>
      <c r="BK167" s="971"/>
    </row>
    <row r="168" spans="1:63" s="1278" customFormat="1" ht="49.5">
      <c r="A168" s="1272">
        <v>2000</v>
      </c>
      <c r="B168" s="971" t="s">
        <v>119</v>
      </c>
      <c r="C168" s="1272">
        <v>2300</v>
      </c>
      <c r="D168" s="971" t="s">
        <v>222</v>
      </c>
      <c r="E168" s="971" t="s">
        <v>263</v>
      </c>
      <c r="F168" s="971" t="s">
        <v>264</v>
      </c>
      <c r="G168" s="971" t="s">
        <v>280</v>
      </c>
      <c r="H168" s="971" t="s">
        <v>266</v>
      </c>
      <c r="I168" s="1273" t="s">
        <v>345</v>
      </c>
      <c r="J168" s="971" t="s">
        <v>239</v>
      </c>
      <c r="K168" s="971"/>
      <c r="L168" s="971" t="s">
        <v>270</v>
      </c>
      <c r="M168" s="971" t="s">
        <v>270</v>
      </c>
      <c r="N168" s="971"/>
      <c r="O168" s="971" t="s">
        <v>270</v>
      </c>
      <c r="P168" s="971"/>
      <c r="Q168" s="971" t="s">
        <v>346</v>
      </c>
      <c r="R168" s="971" t="s">
        <v>347</v>
      </c>
      <c r="S168" s="1274">
        <v>1</v>
      </c>
      <c r="T168" s="971" t="s">
        <v>242</v>
      </c>
      <c r="U168" s="1275" t="s">
        <v>6588</v>
      </c>
      <c r="V168" s="1275" t="s">
        <v>6588</v>
      </c>
      <c r="W168" s="1275" t="s">
        <v>6588</v>
      </c>
      <c r="X168" s="1275" t="s">
        <v>6588</v>
      </c>
      <c r="Y168" s="1275" t="s">
        <v>6588</v>
      </c>
      <c r="Z168" s="1129">
        <v>0</v>
      </c>
      <c r="AA168" s="1129">
        <v>0</v>
      </c>
      <c r="AB168" s="1129">
        <v>0</v>
      </c>
      <c r="AC168" s="1129">
        <v>0</v>
      </c>
      <c r="AD168" s="1098">
        <v>0</v>
      </c>
      <c r="AE168" s="1135">
        <v>0</v>
      </c>
      <c r="AF168" s="1129">
        <v>0</v>
      </c>
      <c r="AG168" s="1127">
        <v>0</v>
      </c>
      <c r="AH168" s="1127">
        <v>1</v>
      </c>
      <c r="AI168" s="1127">
        <v>0</v>
      </c>
      <c r="AJ168" s="1127">
        <v>1</v>
      </c>
      <c r="AK168" s="1129">
        <v>0</v>
      </c>
      <c r="AL168" s="1129">
        <v>0</v>
      </c>
      <c r="AM168" s="1129">
        <v>0</v>
      </c>
      <c r="AN168" s="1129">
        <v>0</v>
      </c>
      <c r="AO168" s="1129" t="s">
        <v>131</v>
      </c>
      <c r="AP168" s="1129" t="s">
        <v>96</v>
      </c>
      <c r="AQ168" s="1157">
        <v>2014</v>
      </c>
      <c r="AR168" s="1129" t="s">
        <v>87</v>
      </c>
      <c r="AS168" s="1129"/>
      <c r="AT168" s="1127">
        <v>0.33333333333333331</v>
      </c>
      <c r="AU168" s="1127">
        <v>0.33333333333333331</v>
      </c>
      <c r="AV168" s="1127">
        <v>0.33333333333333331</v>
      </c>
      <c r="AW168" s="1127"/>
      <c r="AX168" s="1127"/>
      <c r="AY168" s="1127"/>
      <c r="AZ168" s="1127"/>
      <c r="BA168" s="1127"/>
      <c r="BB168" s="1129">
        <v>0</v>
      </c>
      <c r="BC168" s="1129">
        <v>0</v>
      </c>
      <c r="BD168" s="1129">
        <v>0</v>
      </c>
      <c r="BE168" s="1129">
        <v>0</v>
      </c>
      <c r="BF168" s="1129">
        <v>0</v>
      </c>
      <c r="BG168" s="1129">
        <v>0</v>
      </c>
      <c r="BH168" s="1129">
        <v>0</v>
      </c>
      <c r="BI168" s="1129">
        <v>0</v>
      </c>
      <c r="BJ168" s="1129">
        <v>0</v>
      </c>
      <c r="BK168" s="971"/>
    </row>
    <row r="169" spans="1:63" s="1278" customFormat="1" ht="49.5">
      <c r="A169" s="1272">
        <v>2000</v>
      </c>
      <c r="B169" s="971" t="s">
        <v>119</v>
      </c>
      <c r="C169" s="1272">
        <v>2300</v>
      </c>
      <c r="D169" s="971" t="s">
        <v>222</v>
      </c>
      <c r="E169" s="971" t="s">
        <v>263</v>
      </c>
      <c r="F169" s="971" t="s">
        <v>264</v>
      </c>
      <c r="G169" s="971" t="s">
        <v>280</v>
      </c>
      <c r="H169" s="971" t="s">
        <v>266</v>
      </c>
      <c r="I169" s="1273" t="s">
        <v>348</v>
      </c>
      <c r="J169" s="971" t="s">
        <v>239</v>
      </c>
      <c r="K169" s="971"/>
      <c r="L169" s="971" t="s">
        <v>270</v>
      </c>
      <c r="M169" s="971" t="s">
        <v>270</v>
      </c>
      <c r="N169" s="971"/>
      <c r="O169" s="971" t="s">
        <v>270</v>
      </c>
      <c r="P169" s="971"/>
      <c r="Q169" s="971" t="s">
        <v>349</v>
      </c>
      <c r="R169" s="971" t="s">
        <v>350</v>
      </c>
      <c r="S169" s="1274">
        <v>1</v>
      </c>
      <c r="T169" s="971" t="s">
        <v>242</v>
      </c>
      <c r="U169" s="1275" t="s">
        <v>6588</v>
      </c>
      <c r="V169" s="1275" t="s">
        <v>6588</v>
      </c>
      <c r="W169" s="1275" t="s">
        <v>6588</v>
      </c>
      <c r="X169" s="1275" t="s">
        <v>6588</v>
      </c>
      <c r="Y169" s="1275" t="s">
        <v>6588</v>
      </c>
      <c r="Z169" s="1129">
        <v>0</v>
      </c>
      <c r="AA169" s="1129">
        <v>0</v>
      </c>
      <c r="AB169" s="1129">
        <v>0</v>
      </c>
      <c r="AC169" s="1129">
        <v>0</v>
      </c>
      <c r="AD169" s="1098">
        <v>0</v>
      </c>
      <c r="AE169" s="1135">
        <v>0</v>
      </c>
      <c r="AF169" s="1129">
        <v>0</v>
      </c>
      <c r="AG169" s="1127">
        <v>1</v>
      </c>
      <c r="AH169" s="1127">
        <v>0</v>
      </c>
      <c r="AI169" s="1127">
        <v>0</v>
      </c>
      <c r="AJ169" s="1127">
        <v>1</v>
      </c>
      <c r="AK169" s="1129">
        <v>0</v>
      </c>
      <c r="AL169" s="1129">
        <v>0</v>
      </c>
      <c r="AM169" s="1129">
        <v>0</v>
      </c>
      <c r="AN169" s="1129">
        <v>0</v>
      </c>
      <c r="AO169" s="1129" t="s">
        <v>131</v>
      </c>
      <c r="AP169" s="1129" t="s">
        <v>96</v>
      </c>
      <c r="AQ169" s="1157">
        <v>2014</v>
      </c>
      <c r="AR169" s="1129" t="s">
        <v>87</v>
      </c>
      <c r="AS169" s="1129"/>
      <c r="AT169" s="1127">
        <v>0.33333333333333331</v>
      </c>
      <c r="AU169" s="1127">
        <v>0.33333333333333331</v>
      </c>
      <c r="AV169" s="1127">
        <v>0.33333333333333331</v>
      </c>
      <c r="AW169" s="1127"/>
      <c r="AX169" s="1127"/>
      <c r="AY169" s="1127"/>
      <c r="AZ169" s="1127"/>
      <c r="BA169" s="1127"/>
      <c r="BB169" s="1129">
        <v>0</v>
      </c>
      <c r="BC169" s="1129">
        <v>0</v>
      </c>
      <c r="BD169" s="1129">
        <v>0</v>
      </c>
      <c r="BE169" s="1129">
        <v>0</v>
      </c>
      <c r="BF169" s="1129">
        <v>0</v>
      </c>
      <c r="BG169" s="1129">
        <v>0</v>
      </c>
      <c r="BH169" s="1129">
        <v>0</v>
      </c>
      <c r="BI169" s="1129">
        <v>0</v>
      </c>
      <c r="BJ169" s="1129">
        <v>0</v>
      </c>
      <c r="BK169" s="971"/>
    </row>
    <row r="170" spans="1:63" s="1278" customFormat="1" ht="49.5">
      <c r="A170" s="1272">
        <v>2000</v>
      </c>
      <c r="B170" s="971" t="s">
        <v>119</v>
      </c>
      <c r="C170" s="1272">
        <v>2300</v>
      </c>
      <c r="D170" s="971" t="s">
        <v>222</v>
      </c>
      <c r="E170" s="971" t="s">
        <v>263</v>
      </c>
      <c r="F170" s="971" t="s">
        <v>264</v>
      </c>
      <c r="G170" s="971" t="s">
        <v>280</v>
      </c>
      <c r="H170" s="971" t="s">
        <v>266</v>
      </c>
      <c r="I170" s="1273" t="s">
        <v>351</v>
      </c>
      <c r="J170" s="971" t="s">
        <v>239</v>
      </c>
      <c r="K170" s="971"/>
      <c r="L170" s="971" t="s">
        <v>270</v>
      </c>
      <c r="M170" s="971" t="s">
        <v>270</v>
      </c>
      <c r="N170" s="971"/>
      <c r="O170" s="971" t="s">
        <v>270</v>
      </c>
      <c r="P170" s="971"/>
      <c r="Q170" s="971" t="s">
        <v>352</v>
      </c>
      <c r="R170" s="971" t="s">
        <v>353</v>
      </c>
      <c r="S170" s="1274">
        <v>1</v>
      </c>
      <c r="T170" s="971" t="s">
        <v>242</v>
      </c>
      <c r="U170" s="1275" t="s">
        <v>6588</v>
      </c>
      <c r="V170" s="1275" t="s">
        <v>6588</v>
      </c>
      <c r="W170" s="1275" t="s">
        <v>6588</v>
      </c>
      <c r="X170" s="1275" t="s">
        <v>6588</v>
      </c>
      <c r="Y170" s="1275" t="s">
        <v>6588</v>
      </c>
      <c r="Z170" s="1129">
        <v>0</v>
      </c>
      <c r="AA170" s="1129">
        <v>0</v>
      </c>
      <c r="AB170" s="1129">
        <v>0</v>
      </c>
      <c r="AC170" s="1129">
        <v>0</v>
      </c>
      <c r="AD170" s="1098">
        <v>0</v>
      </c>
      <c r="AE170" s="1135">
        <v>0</v>
      </c>
      <c r="AF170" s="1129">
        <v>0</v>
      </c>
      <c r="AG170" s="1127">
        <v>0</v>
      </c>
      <c r="AH170" s="1127">
        <v>1</v>
      </c>
      <c r="AI170" s="1127">
        <v>0</v>
      </c>
      <c r="AJ170" s="1127">
        <v>1</v>
      </c>
      <c r="AK170" s="1129">
        <v>0</v>
      </c>
      <c r="AL170" s="1129">
        <v>0</v>
      </c>
      <c r="AM170" s="1129">
        <v>0</v>
      </c>
      <c r="AN170" s="1129">
        <v>0</v>
      </c>
      <c r="AO170" s="1129" t="s">
        <v>131</v>
      </c>
      <c r="AP170" s="1129" t="s">
        <v>96</v>
      </c>
      <c r="AQ170" s="1157">
        <v>2014</v>
      </c>
      <c r="AR170" s="1129" t="s">
        <v>87</v>
      </c>
      <c r="AS170" s="1129"/>
      <c r="AT170" s="1127">
        <v>0.33333333333333331</v>
      </c>
      <c r="AU170" s="1127">
        <v>0.33333333333333331</v>
      </c>
      <c r="AV170" s="1127">
        <v>0.33333333333333331</v>
      </c>
      <c r="AW170" s="1127"/>
      <c r="AX170" s="1127"/>
      <c r="AY170" s="1127"/>
      <c r="AZ170" s="1127"/>
      <c r="BA170" s="1127"/>
      <c r="BB170" s="1129">
        <v>0</v>
      </c>
      <c r="BC170" s="1129">
        <v>0</v>
      </c>
      <c r="BD170" s="1129">
        <v>0</v>
      </c>
      <c r="BE170" s="1129">
        <v>0</v>
      </c>
      <c r="BF170" s="1129">
        <v>0</v>
      </c>
      <c r="BG170" s="1129">
        <v>0</v>
      </c>
      <c r="BH170" s="1129">
        <v>0</v>
      </c>
      <c r="BI170" s="1129">
        <v>0</v>
      </c>
      <c r="BJ170" s="1129">
        <v>0</v>
      </c>
      <c r="BK170" s="971"/>
    </row>
    <row r="171" spans="1:63" s="1278" customFormat="1" ht="49.5">
      <c r="A171" s="1272">
        <v>2000</v>
      </c>
      <c r="B171" s="971" t="s">
        <v>119</v>
      </c>
      <c r="C171" s="1272">
        <v>2300</v>
      </c>
      <c r="D171" s="971" t="s">
        <v>222</v>
      </c>
      <c r="E171" s="971" t="s">
        <v>263</v>
      </c>
      <c r="F171" s="971" t="s">
        <v>264</v>
      </c>
      <c r="G171" s="971" t="s">
        <v>280</v>
      </c>
      <c r="H171" s="971" t="s">
        <v>266</v>
      </c>
      <c r="I171" s="1273" t="s">
        <v>354</v>
      </c>
      <c r="J171" s="971" t="s">
        <v>239</v>
      </c>
      <c r="K171" s="971"/>
      <c r="L171" s="971" t="s">
        <v>270</v>
      </c>
      <c r="M171" s="971" t="s">
        <v>270</v>
      </c>
      <c r="N171" s="971"/>
      <c r="O171" s="971" t="s">
        <v>270</v>
      </c>
      <c r="P171" s="971"/>
      <c r="Q171" s="971" t="s">
        <v>355</v>
      </c>
      <c r="R171" s="971" t="s">
        <v>356</v>
      </c>
      <c r="S171" s="1274">
        <v>1</v>
      </c>
      <c r="T171" s="971" t="s">
        <v>242</v>
      </c>
      <c r="U171" s="1275" t="s">
        <v>6588</v>
      </c>
      <c r="V171" s="1275" t="s">
        <v>6588</v>
      </c>
      <c r="W171" s="1275" t="s">
        <v>6588</v>
      </c>
      <c r="X171" s="1275" t="s">
        <v>6588</v>
      </c>
      <c r="Y171" s="1275" t="s">
        <v>6588</v>
      </c>
      <c r="Z171" s="1129">
        <v>0</v>
      </c>
      <c r="AA171" s="1129">
        <v>0</v>
      </c>
      <c r="AB171" s="1129">
        <v>0</v>
      </c>
      <c r="AC171" s="1129">
        <v>0</v>
      </c>
      <c r="AD171" s="1098">
        <v>0</v>
      </c>
      <c r="AE171" s="1135">
        <v>0</v>
      </c>
      <c r="AF171" s="1129">
        <v>0</v>
      </c>
      <c r="AG171" s="1127">
        <v>0</v>
      </c>
      <c r="AH171" s="1127">
        <v>1</v>
      </c>
      <c r="AI171" s="1127">
        <v>0</v>
      </c>
      <c r="AJ171" s="1127">
        <v>1</v>
      </c>
      <c r="AK171" s="1129">
        <v>0</v>
      </c>
      <c r="AL171" s="1129">
        <v>0</v>
      </c>
      <c r="AM171" s="1129">
        <v>0</v>
      </c>
      <c r="AN171" s="1129">
        <v>0</v>
      </c>
      <c r="AO171" s="1129" t="s">
        <v>131</v>
      </c>
      <c r="AP171" s="1129" t="s">
        <v>96</v>
      </c>
      <c r="AQ171" s="1157">
        <v>2014</v>
      </c>
      <c r="AR171" s="1129" t="s">
        <v>87</v>
      </c>
      <c r="AS171" s="1129"/>
      <c r="AT171" s="1127">
        <v>0.33333333333333331</v>
      </c>
      <c r="AU171" s="1127">
        <v>0.33333333333333331</v>
      </c>
      <c r="AV171" s="1127">
        <v>0.33333333333333331</v>
      </c>
      <c r="AW171" s="1127"/>
      <c r="AX171" s="1127"/>
      <c r="AY171" s="1127"/>
      <c r="AZ171" s="1127"/>
      <c r="BA171" s="1127"/>
      <c r="BB171" s="1129">
        <v>0</v>
      </c>
      <c r="BC171" s="1129">
        <v>0</v>
      </c>
      <c r="BD171" s="1129">
        <v>0</v>
      </c>
      <c r="BE171" s="1129">
        <v>0</v>
      </c>
      <c r="BF171" s="1129">
        <v>0</v>
      </c>
      <c r="BG171" s="1129">
        <v>0</v>
      </c>
      <c r="BH171" s="1129">
        <v>0</v>
      </c>
      <c r="BI171" s="1129">
        <v>0</v>
      </c>
      <c r="BJ171" s="1129">
        <v>0</v>
      </c>
      <c r="BK171" s="971"/>
    </row>
    <row r="172" spans="1:63" s="1278" customFormat="1" ht="49.5">
      <c r="A172" s="1272">
        <v>2000</v>
      </c>
      <c r="B172" s="971" t="s">
        <v>119</v>
      </c>
      <c r="C172" s="1272">
        <v>2300</v>
      </c>
      <c r="D172" s="971" t="s">
        <v>222</v>
      </c>
      <c r="E172" s="971" t="s">
        <v>263</v>
      </c>
      <c r="F172" s="971" t="s">
        <v>264</v>
      </c>
      <c r="G172" s="971" t="s">
        <v>280</v>
      </c>
      <c r="H172" s="971" t="s">
        <v>266</v>
      </c>
      <c r="I172" s="1273" t="s">
        <v>357</v>
      </c>
      <c r="J172" s="971" t="s">
        <v>239</v>
      </c>
      <c r="K172" s="971"/>
      <c r="L172" s="971" t="s">
        <v>270</v>
      </c>
      <c r="M172" s="971" t="s">
        <v>270</v>
      </c>
      <c r="N172" s="971"/>
      <c r="O172" s="971" t="s">
        <v>270</v>
      </c>
      <c r="P172" s="971"/>
      <c r="Q172" s="971" t="s">
        <v>358</v>
      </c>
      <c r="R172" s="971" t="s">
        <v>359</v>
      </c>
      <c r="S172" s="1274">
        <v>1</v>
      </c>
      <c r="T172" s="971" t="s">
        <v>242</v>
      </c>
      <c r="U172" s="1275" t="s">
        <v>6588</v>
      </c>
      <c r="V172" s="1275" t="s">
        <v>6588</v>
      </c>
      <c r="W172" s="1275" t="s">
        <v>6588</v>
      </c>
      <c r="X172" s="1275" t="s">
        <v>6588</v>
      </c>
      <c r="Y172" s="1275" t="s">
        <v>6588</v>
      </c>
      <c r="Z172" s="1129">
        <v>0</v>
      </c>
      <c r="AA172" s="1129">
        <v>0</v>
      </c>
      <c r="AB172" s="1129">
        <v>0</v>
      </c>
      <c r="AC172" s="1129">
        <v>0</v>
      </c>
      <c r="AD172" s="1098">
        <v>0</v>
      </c>
      <c r="AE172" s="1135">
        <v>0</v>
      </c>
      <c r="AF172" s="1129">
        <v>0</v>
      </c>
      <c r="AG172" s="1127">
        <v>0</v>
      </c>
      <c r="AH172" s="1127">
        <v>1</v>
      </c>
      <c r="AI172" s="1127">
        <v>0</v>
      </c>
      <c r="AJ172" s="1127">
        <v>1</v>
      </c>
      <c r="AK172" s="1129">
        <v>0</v>
      </c>
      <c r="AL172" s="1129">
        <v>0</v>
      </c>
      <c r="AM172" s="1129">
        <v>0</v>
      </c>
      <c r="AN172" s="1129">
        <v>0</v>
      </c>
      <c r="AO172" s="1129" t="s">
        <v>131</v>
      </c>
      <c r="AP172" s="1129" t="s">
        <v>96</v>
      </c>
      <c r="AQ172" s="1157">
        <v>2014</v>
      </c>
      <c r="AR172" s="1129" t="s">
        <v>87</v>
      </c>
      <c r="AS172" s="1129"/>
      <c r="AT172" s="1127">
        <v>0.33333333333333331</v>
      </c>
      <c r="AU172" s="1127">
        <v>0.33333333333333331</v>
      </c>
      <c r="AV172" s="1127">
        <v>0.33333333333333331</v>
      </c>
      <c r="AW172" s="1127"/>
      <c r="AX172" s="1127"/>
      <c r="AY172" s="1127"/>
      <c r="AZ172" s="1127"/>
      <c r="BA172" s="1127"/>
      <c r="BB172" s="1129">
        <v>0</v>
      </c>
      <c r="BC172" s="1129">
        <v>0</v>
      </c>
      <c r="BD172" s="1129">
        <v>0</v>
      </c>
      <c r="BE172" s="1129">
        <v>0</v>
      </c>
      <c r="BF172" s="1129">
        <v>0</v>
      </c>
      <c r="BG172" s="1129">
        <v>0</v>
      </c>
      <c r="BH172" s="1129">
        <v>0</v>
      </c>
      <c r="BI172" s="1129">
        <v>0</v>
      </c>
      <c r="BJ172" s="1129">
        <v>0</v>
      </c>
      <c r="BK172" s="971"/>
    </row>
    <row r="173" spans="1:63" s="1278" customFormat="1" ht="49.5">
      <c r="A173" s="1272">
        <v>2000</v>
      </c>
      <c r="B173" s="971" t="s">
        <v>119</v>
      </c>
      <c r="C173" s="1272">
        <v>2300</v>
      </c>
      <c r="D173" s="971" t="s">
        <v>222</v>
      </c>
      <c r="E173" s="971" t="s">
        <v>263</v>
      </c>
      <c r="F173" s="971" t="s">
        <v>264</v>
      </c>
      <c r="G173" s="971" t="s">
        <v>280</v>
      </c>
      <c r="H173" s="971" t="s">
        <v>266</v>
      </c>
      <c r="I173" s="1273" t="s">
        <v>360</v>
      </c>
      <c r="J173" s="971" t="s">
        <v>239</v>
      </c>
      <c r="K173" s="971"/>
      <c r="L173" s="971" t="s">
        <v>270</v>
      </c>
      <c r="M173" s="971" t="s">
        <v>270</v>
      </c>
      <c r="N173" s="971"/>
      <c r="O173" s="971" t="s">
        <v>270</v>
      </c>
      <c r="P173" s="971"/>
      <c r="Q173" s="971" t="s">
        <v>361</v>
      </c>
      <c r="R173" s="971" t="s">
        <v>362</v>
      </c>
      <c r="S173" s="1274">
        <v>1</v>
      </c>
      <c r="T173" s="971" t="s">
        <v>242</v>
      </c>
      <c r="U173" s="1275" t="s">
        <v>6588</v>
      </c>
      <c r="V173" s="1275" t="s">
        <v>6588</v>
      </c>
      <c r="W173" s="1275" t="s">
        <v>6588</v>
      </c>
      <c r="X173" s="1275" t="s">
        <v>6588</v>
      </c>
      <c r="Y173" s="1275" t="s">
        <v>6588</v>
      </c>
      <c r="Z173" s="1129">
        <v>0</v>
      </c>
      <c r="AA173" s="1129">
        <v>0</v>
      </c>
      <c r="AB173" s="1129">
        <v>0</v>
      </c>
      <c r="AC173" s="1129">
        <v>0</v>
      </c>
      <c r="AD173" s="1098">
        <v>0</v>
      </c>
      <c r="AE173" s="1135">
        <v>0</v>
      </c>
      <c r="AF173" s="1129">
        <v>0</v>
      </c>
      <c r="AG173" s="1127">
        <v>0</v>
      </c>
      <c r="AH173" s="1127">
        <v>1</v>
      </c>
      <c r="AI173" s="1127">
        <v>0</v>
      </c>
      <c r="AJ173" s="1127">
        <v>1</v>
      </c>
      <c r="AK173" s="1129">
        <v>0</v>
      </c>
      <c r="AL173" s="1129">
        <v>0</v>
      </c>
      <c r="AM173" s="1129">
        <v>0</v>
      </c>
      <c r="AN173" s="1129">
        <v>0</v>
      </c>
      <c r="AO173" s="1129" t="s">
        <v>131</v>
      </c>
      <c r="AP173" s="1129" t="s">
        <v>96</v>
      </c>
      <c r="AQ173" s="1157">
        <v>2014</v>
      </c>
      <c r="AR173" s="1129" t="s">
        <v>87</v>
      </c>
      <c r="AS173" s="1129"/>
      <c r="AT173" s="1127">
        <v>0.33333333333333331</v>
      </c>
      <c r="AU173" s="1127">
        <v>0.33333333333333331</v>
      </c>
      <c r="AV173" s="1127">
        <v>0.33333333333333331</v>
      </c>
      <c r="AW173" s="1127"/>
      <c r="AX173" s="1127"/>
      <c r="AY173" s="1127"/>
      <c r="AZ173" s="1127"/>
      <c r="BA173" s="1127"/>
      <c r="BB173" s="1129">
        <v>0</v>
      </c>
      <c r="BC173" s="1129">
        <v>0</v>
      </c>
      <c r="BD173" s="1129">
        <v>0</v>
      </c>
      <c r="BE173" s="1129">
        <v>0</v>
      </c>
      <c r="BF173" s="1129">
        <v>0</v>
      </c>
      <c r="BG173" s="1129">
        <v>0</v>
      </c>
      <c r="BH173" s="1129">
        <v>0</v>
      </c>
      <c r="BI173" s="1129">
        <v>0</v>
      </c>
      <c r="BJ173" s="1129">
        <v>0</v>
      </c>
      <c r="BK173" s="971"/>
    </row>
    <row r="174" spans="1:63" s="1278" customFormat="1" ht="49.5">
      <c r="A174" s="1272">
        <v>2000</v>
      </c>
      <c r="B174" s="971" t="s">
        <v>119</v>
      </c>
      <c r="C174" s="1272">
        <v>2300</v>
      </c>
      <c r="D174" s="971" t="s">
        <v>222</v>
      </c>
      <c r="E174" s="971" t="s">
        <v>263</v>
      </c>
      <c r="F174" s="971" t="s">
        <v>264</v>
      </c>
      <c r="G174" s="971" t="s">
        <v>280</v>
      </c>
      <c r="H174" s="971" t="s">
        <v>266</v>
      </c>
      <c r="I174" s="1273" t="s">
        <v>363</v>
      </c>
      <c r="J174" s="971" t="s">
        <v>239</v>
      </c>
      <c r="K174" s="971"/>
      <c r="L174" s="971" t="s">
        <v>270</v>
      </c>
      <c r="M174" s="971" t="s">
        <v>270</v>
      </c>
      <c r="N174" s="971"/>
      <c r="O174" s="971" t="s">
        <v>270</v>
      </c>
      <c r="P174" s="971"/>
      <c r="Q174" s="971" t="s">
        <v>364</v>
      </c>
      <c r="R174" s="971" t="s">
        <v>365</v>
      </c>
      <c r="S174" s="1274">
        <v>1</v>
      </c>
      <c r="T174" s="971" t="s">
        <v>242</v>
      </c>
      <c r="U174" s="1275" t="s">
        <v>6588</v>
      </c>
      <c r="V174" s="1275" t="s">
        <v>6588</v>
      </c>
      <c r="W174" s="1275" t="s">
        <v>6588</v>
      </c>
      <c r="X174" s="1275" t="s">
        <v>6588</v>
      </c>
      <c r="Y174" s="1275" t="s">
        <v>6588</v>
      </c>
      <c r="Z174" s="1129">
        <v>0</v>
      </c>
      <c r="AA174" s="1129">
        <v>0</v>
      </c>
      <c r="AB174" s="1129">
        <v>0</v>
      </c>
      <c r="AC174" s="1129">
        <v>0</v>
      </c>
      <c r="AD174" s="1098">
        <v>0</v>
      </c>
      <c r="AE174" s="1135">
        <v>0</v>
      </c>
      <c r="AF174" s="1129">
        <v>0</v>
      </c>
      <c r="AG174" s="1127">
        <v>0</v>
      </c>
      <c r="AH174" s="1127">
        <v>1</v>
      </c>
      <c r="AI174" s="1127">
        <v>0</v>
      </c>
      <c r="AJ174" s="1127">
        <v>1</v>
      </c>
      <c r="AK174" s="1129">
        <v>0</v>
      </c>
      <c r="AL174" s="1129">
        <v>0</v>
      </c>
      <c r="AM174" s="1129">
        <v>0</v>
      </c>
      <c r="AN174" s="1129">
        <v>0</v>
      </c>
      <c r="AO174" s="1129" t="s">
        <v>131</v>
      </c>
      <c r="AP174" s="1129" t="s">
        <v>96</v>
      </c>
      <c r="AQ174" s="1157">
        <v>2014</v>
      </c>
      <c r="AR174" s="1129" t="s">
        <v>87</v>
      </c>
      <c r="AS174" s="1129"/>
      <c r="AT174" s="1127">
        <v>0.33333333333333331</v>
      </c>
      <c r="AU174" s="1127">
        <v>0.33333333333333331</v>
      </c>
      <c r="AV174" s="1127">
        <v>0.33333333333333331</v>
      </c>
      <c r="AW174" s="1127"/>
      <c r="AX174" s="1127"/>
      <c r="AY174" s="1127"/>
      <c r="AZ174" s="1127"/>
      <c r="BA174" s="1127"/>
      <c r="BB174" s="1129">
        <v>0</v>
      </c>
      <c r="BC174" s="1129">
        <v>0</v>
      </c>
      <c r="BD174" s="1129">
        <v>0</v>
      </c>
      <c r="BE174" s="1129">
        <v>0</v>
      </c>
      <c r="BF174" s="1129">
        <v>0</v>
      </c>
      <c r="BG174" s="1129">
        <v>0</v>
      </c>
      <c r="BH174" s="1129">
        <v>0</v>
      </c>
      <c r="BI174" s="1129">
        <v>0</v>
      </c>
      <c r="BJ174" s="1129">
        <v>0</v>
      </c>
      <c r="BK174" s="971"/>
    </row>
    <row r="175" spans="1:63" s="1278" customFormat="1" ht="49.5">
      <c r="A175" s="1272">
        <v>2000</v>
      </c>
      <c r="B175" s="971" t="s">
        <v>119</v>
      </c>
      <c r="C175" s="1272">
        <v>2300</v>
      </c>
      <c r="D175" s="971" t="s">
        <v>222</v>
      </c>
      <c r="E175" s="971" t="s">
        <v>263</v>
      </c>
      <c r="F175" s="971" t="s">
        <v>264</v>
      </c>
      <c r="G175" s="971" t="s">
        <v>280</v>
      </c>
      <c r="H175" s="971" t="s">
        <v>266</v>
      </c>
      <c r="I175" s="1273" t="s">
        <v>366</v>
      </c>
      <c r="J175" s="971" t="s">
        <v>239</v>
      </c>
      <c r="K175" s="971"/>
      <c r="L175" s="971" t="s">
        <v>270</v>
      </c>
      <c r="M175" s="971" t="s">
        <v>270</v>
      </c>
      <c r="N175" s="971"/>
      <c r="O175" s="971" t="s">
        <v>270</v>
      </c>
      <c r="P175" s="971"/>
      <c r="Q175" s="971" t="s">
        <v>361</v>
      </c>
      <c r="R175" s="971" t="s">
        <v>367</v>
      </c>
      <c r="S175" s="1274">
        <v>1</v>
      </c>
      <c r="T175" s="971" t="s">
        <v>242</v>
      </c>
      <c r="U175" s="1275" t="s">
        <v>6588</v>
      </c>
      <c r="V175" s="1275" t="s">
        <v>6588</v>
      </c>
      <c r="W175" s="1275" t="s">
        <v>6588</v>
      </c>
      <c r="X175" s="1275" t="s">
        <v>6588</v>
      </c>
      <c r="Y175" s="1275" t="s">
        <v>6588</v>
      </c>
      <c r="Z175" s="1129">
        <v>0</v>
      </c>
      <c r="AA175" s="1129">
        <v>0</v>
      </c>
      <c r="AB175" s="1129">
        <v>0</v>
      </c>
      <c r="AC175" s="1129">
        <v>0</v>
      </c>
      <c r="AD175" s="1098">
        <v>0</v>
      </c>
      <c r="AE175" s="1135">
        <v>0</v>
      </c>
      <c r="AF175" s="1129">
        <v>0</v>
      </c>
      <c r="AG175" s="1127">
        <v>0</v>
      </c>
      <c r="AH175" s="1127">
        <v>1</v>
      </c>
      <c r="AI175" s="1127">
        <v>0</v>
      </c>
      <c r="AJ175" s="1127">
        <v>1</v>
      </c>
      <c r="AK175" s="1129">
        <v>0</v>
      </c>
      <c r="AL175" s="1129">
        <v>0</v>
      </c>
      <c r="AM175" s="1129">
        <v>0</v>
      </c>
      <c r="AN175" s="1129">
        <v>0</v>
      </c>
      <c r="AO175" s="1129" t="s">
        <v>131</v>
      </c>
      <c r="AP175" s="1129" t="s">
        <v>96</v>
      </c>
      <c r="AQ175" s="1157">
        <v>2014</v>
      </c>
      <c r="AR175" s="1129" t="s">
        <v>87</v>
      </c>
      <c r="AS175" s="1129"/>
      <c r="AT175" s="1127">
        <v>0.33333333333333331</v>
      </c>
      <c r="AU175" s="1127">
        <v>0.33333333333333331</v>
      </c>
      <c r="AV175" s="1127">
        <v>0.33333333333333331</v>
      </c>
      <c r="AW175" s="1127"/>
      <c r="AX175" s="1127"/>
      <c r="AY175" s="1127"/>
      <c r="AZ175" s="1127"/>
      <c r="BA175" s="1127"/>
      <c r="BB175" s="1129">
        <v>0</v>
      </c>
      <c r="BC175" s="1129">
        <v>0</v>
      </c>
      <c r="BD175" s="1129">
        <v>0</v>
      </c>
      <c r="BE175" s="1129">
        <v>0</v>
      </c>
      <c r="BF175" s="1129">
        <v>0</v>
      </c>
      <c r="BG175" s="1129">
        <v>0</v>
      </c>
      <c r="BH175" s="1129">
        <v>0</v>
      </c>
      <c r="BI175" s="1129">
        <v>0</v>
      </c>
      <c r="BJ175" s="1129">
        <v>0</v>
      </c>
      <c r="BK175" s="971"/>
    </row>
    <row r="176" spans="1:63" s="1278" customFormat="1" ht="49.5">
      <c r="A176" s="1272">
        <v>2000</v>
      </c>
      <c r="B176" s="971" t="s">
        <v>119</v>
      </c>
      <c r="C176" s="1272">
        <v>2300</v>
      </c>
      <c r="D176" s="971" t="s">
        <v>222</v>
      </c>
      <c r="E176" s="971" t="s">
        <v>263</v>
      </c>
      <c r="F176" s="971" t="s">
        <v>264</v>
      </c>
      <c r="G176" s="971" t="s">
        <v>280</v>
      </c>
      <c r="H176" s="971" t="s">
        <v>266</v>
      </c>
      <c r="I176" s="1273" t="s">
        <v>368</v>
      </c>
      <c r="J176" s="971" t="s">
        <v>239</v>
      </c>
      <c r="K176" s="971"/>
      <c r="L176" s="971" t="s">
        <v>270</v>
      </c>
      <c r="M176" s="971" t="s">
        <v>270</v>
      </c>
      <c r="N176" s="971"/>
      <c r="O176" s="971" t="s">
        <v>270</v>
      </c>
      <c r="P176" s="971"/>
      <c r="Q176" s="971" t="s">
        <v>364</v>
      </c>
      <c r="R176" s="971" t="s">
        <v>369</v>
      </c>
      <c r="S176" s="1274">
        <v>1</v>
      </c>
      <c r="T176" s="971" t="s">
        <v>242</v>
      </c>
      <c r="U176" s="1275" t="s">
        <v>6588</v>
      </c>
      <c r="V176" s="1275" t="s">
        <v>6588</v>
      </c>
      <c r="W176" s="1275" t="s">
        <v>6588</v>
      </c>
      <c r="X176" s="1275" t="s">
        <v>6588</v>
      </c>
      <c r="Y176" s="1275" t="s">
        <v>6588</v>
      </c>
      <c r="Z176" s="1129">
        <v>0</v>
      </c>
      <c r="AA176" s="1129">
        <v>0</v>
      </c>
      <c r="AB176" s="1129">
        <v>0</v>
      </c>
      <c r="AC176" s="1129">
        <v>0</v>
      </c>
      <c r="AD176" s="1098">
        <v>0</v>
      </c>
      <c r="AE176" s="1135">
        <v>0</v>
      </c>
      <c r="AF176" s="1129">
        <v>0</v>
      </c>
      <c r="AG176" s="1127">
        <v>0</v>
      </c>
      <c r="AH176" s="1127">
        <v>1</v>
      </c>
      <c r="AI176" s="1127">
        <v>0</v>
      </c>
      <c r="AJ176" s="1127">
        <v>1</v>
      </c>
      <c r="AK176" s="1129">
        <v>0</v>
      </c>
      <c r="AL176" s="1129">
        <v>0</v>
      </c>
      <c r="AM176" s="1129">
        <v>0</v>
      </c>
      <c r="AN176" s="1129">
        <v>0</v>
      </c>
      <c r="AO176" s="1129" t="s">
        <v>131</v>
      </c>
      <c r="AP176" s="1129" t="s">
        <v>96</v>
      </c>
      <c r="AQ176" s="1157">
        <v>2014</v>
      </c>
      <c r="AR176" s="1129" t="s">
        <v>87</v>
      </c>
      <c r="AS176" s="1129"/>
      <c r="AT176" s="1127">
        <v>0.33333333333333331</v>
      </c>
      <c r="AU176" s="1127">
        <v>0.33333333333333331</v>
      </c>
      <c r="AV176" s="1127">
        <v>0.33333333333333331</v>
      </c>
      <c r="AW176" s="1127"/>
      <c r="AX176" s="1127"/>
      <c r="AY176" s="1127"/>
      <c r="AZ176" s="1127"/>
      <c r="BA176" s="1127"/>
      <c r="BB176" s="1129">
        <v>0</v>
      </c>
      <c r="BC176" s="1129">
        <v>0</v>
      </c>
      <c r="BD176" s="1129">
        <v>0</v>
      </c>
      <c r="BE176" s="1129">
        <v>0</v>
      </c>
      <c r="BF176" s="1129">
        <v>0</v>
      </c>
      <c r="BG176" s="1129">
        <v>0</v>
      </c>
      <c r="BH176" s="1129">
        <v>0</v>
      </c>
      <c r="BI176" s="1129">
        <v>0</v>
      </c>
      <c r="BJ176" s="1129">
        <v>0</v>
      </c>
      <c r="BK176" s="971"/>
    </row>
    <row r="177" spans="1:63" s="1278" customFormat="1" ht="49.5">
      <c r="A177" s="1272">
        <v>2000</v>
      </c>
      <c r="B177" s="971" t="s">
        <v>119</v>
      </c>
      <c r="C177" s="1272">
        <v>2300</v>
      </c>
      <c r="D177" s="971" t="s">
        <v>222</v>
      </c>
      <c r="E177" s="971" t="s">
        <v>263</v>
      </c>
      <c r="F177" s="971" t="s">
        <v>264</v>
      </c>
      <c r="G177" s="971" t="s">
        <v>280</v>
      </c>
      <c r="H177" s="971" t="s">
        <v>266</v>
      </c>
      <c r="I177" s="1273" t="s">
        <v>370</v>
      </c>
      <c r="J177" s="971" t="s">
        <v>239</v>
      </c>
      <c r="K177" s="971"/>
      <c r="L177" s="971" t="s">
        <v>270</v>
      </c>
      <c r="M177" s="971" t="s">
        <v>270</v>
      </c>
      <c r="N177" s="971"/>
      <c r="O177" s="971" t="s">
        <v>270</v>
      </c>
      <c r="P177" s="971"/>
      <c r="Q177" s="971" t="s">
        <v>371</v>
      </c>
      <c r="R177" s="971" t="s">
        <v>372</v>
      </c>
      <c r="S177" s="1274">
        <v>1</v>
      </c>
      <c r="T177" s="971" t="s">
        <v>242</v>
      </c>
      <c r="U177" s="1275" t="s">
        <v>6588</v>
      </c>
      <c r="V177" s="1275" t="s">
        <v>6588</v>
      </c>
      <c r="W177" s="1275" t="s">
        <v>6588</v>
      </c>
      <c r="X177" s="1275" t="s">
        <v>6588</v>
      </c>
      <c r="Y177" s="1275" t="s">
        <v>6588</v>
      </c>
      <c r="Z177" s="1129">
        <v>0</v>
      </c>
      <c r="AA177" s="1129">
        <v>0</v>
      </c>
      <c r="AB177" s="1129">
        <v>0</v>
      </c>
      <c r="AC177" s="1129">
        <v>0</v>
      </c>
      <c r="AD177" s="1098">
        <v>0</v>
      </c>
      <c r="AE177" s="1135">
        <v>0</v>
      </c>
      <c r="AF177" s="1129">
        <v>0</v>
      </c>
      <c r="AG177" s="1127">
        <v>0</v>
      </c>
      <c r="AH177" s="1127">
        <v>1</v>
      </c>
      <c r="AI177" s="1127">
        <v>0</v>
      </c>
      <c r="AJ177" s="1127">
        <v>1</v>
      </c>
      <c r="AK177" s="1129">
        <v>0</v>
      </c>
      <c r="AL177" s="1129">
        <v>0</v>
      </c>
      <c r="AM177" s="1129">
        <v>0</v>
      </c>
      <c r="AN177" s="1129">
        <v>0</v>
      </c>
      <c r="AO177" s="1129" t="s">
        <v>131</v>
      </c>
      <c r="AP177" s="1129" t="s">
        <v>96</v>
      </c>
      <c r="AQ177" s="1157">
        <v>2014</v>
      </c>
      <c r="AR177" s="1129" t="s">
        <v>87</v>
      </c>
      <c r="AS177" s="1129"/>
      <c r="AT177" s="1127">
        <v>0.33333333333333331</v>
      </c>
      <c r="AU177" s="1127">
        <v>0.33333333333333331</v>
      </c>
      <c r="AV177" s="1127">
        <v>0.33333333333333331</v>
      </c>
      <c r="AW177" s="1127"/>
      <c r="AX177" s="1127"/>
      <c r="AY177" s="1127"/>
      <c r="AZ177" s="1127"/>
      <c r="BA177" s="1127"/>
      <c r="BB177" s="1129">
        <v>0</v>
      </c>
      <c r="BC177" s="1129">
        <v>0</v>
      </c>
      <c r="BD177" s="1129">
        <v>0</v>
      </c>
      <c r="BE177" s="1129">
        <v>0</v>
      </c>
      <c r="BF177" s="1129">
        <v>0</v>
      </c>
      <c r="BG177" s="1129">
        <v>0</v>
      </c>
      <c r="BH177" s="1129">
        <v>0</v>
      </c>
      <c r="BI177" s="1129">
        <v>0</v>
      </c>
      <c r="BJ177" s="1129">
        <v>0</v>
      </c>
      <c r="BK177" s="971"/>
    </row>
    <row r="178" spans="1:63" s="1278" customFormat="1" ht="49.5">
      <c r="A178" s="1272">
        <v>2000</v>
      </c>
      <c r="B178" s="971" t="s">
        <v>119</v>
      </c>
      <c r="C178" s="1272">
        <v>2300</v>
      </c>
      <c r="D178" s="971" t="s">
        <v>222</v>
      </c>
      <c r="E178" s="971" t="s">
        <v>263</v>
      </c>
      <c r="F178" s="971" t="s">
        <v>264</v>
      </c>
      <c r="G178" s="971" t="s">
        <v>280</v>
      </c>
      <c r="H178" s="971" t="s">
        <v>266</v>
      </c>
      <c r="I178" s="1273" t="s">
        <v>373</v>
      </c>
      <c r="J178" s="971" t="s">
        <v>239</v>
      </c>
      <c r="K178" s="971"/>
      <c r="L178" s="971" t="s">
        <v>270</v>
      </c>
      <c r="M178" s="971" t="s">
        <v>270</v>
      </c>
      <c r="N178" s="971"/>
      <c r="O178" s="971" t="s">
        <v>270</v>
      </c>
      <c r="P178" s="971"/>
      <c r="Q178" s="971" t="s">
        <v>371</v>
      </c>
      <c r="R178" s="971" t="s">
        <v>374</v>
      </c>
      <c r="S178" s="1274">
        <v>1</v>
      </c>
      <c r="T178" s="971" t="s">
        <v>242</v>
      </c>
      <c r="U178" s="1275" t="s">
        <v>6588</v>
      </c>
      <c r="V178" s="1275" t="s">
        <v>6588</v>
      </c>
      <c r="W178" s="1275" t="s">
        <v>6588</v>
      </c>
      <c r="X178" s="1275" t="s">
        <v>6588</v>
      </c>
      <c r="Y178" s="1275" t="s">
        <v>6588</v>
      </c>
      <c r="Z178" s="1129">
        <v>0</v>
      </c>
      <c r="AA178" s="1129">
        <v>0</v>
      </c>
      <c r="AB178" s="1129">
        <v>0</v>
      </c>
      <c r="AC178" s="1129">
        <v>0</v>
      </c>
      <c r="AD178" s="1098">
        <v>0</v>
      </c>
      <c r="AE178" s="1135">
        <v>0</v>
      </c>
      <c r="AF178" s="1129">
        <v>0</v>
      </c>
      <c r="AG178" s="1127">
        <v>0</v>
      </c>
      <c r="AH178" s="1127">
        <v>1</v>
      </c>
      <c r="AI178" s="1127">
        <v>0</v>
      </c>
      <c r="AJ178" s="1127">
        <v>1</v>
      </c>
      <c r="AK178" s="1129">
        <v>0</v>
      </c>
      <c r="AL178" s="1129">
        <v>0</v>
      </c>
      <c r="AM178" s="1129">
        <v>0</v>
      </c>
      <c r="AN178" s="1129">
        <v>0</v>
      </c>
      <c r="AO178" s="1129" t="s">
        <v>131</v>
      </c>
      <c r="AP178" s="1129" t="s">
        <v>96</v>
      </c>
      <c r="AQ178" s="1157">
        <v>2014</v>
      </c>
      <c r="AR178" s="1129" t="s">
        <v>87</v>
      </c>
      <c r="AS178" s="1129"/>
      <c r="AT178" s="1127">
        <v>0.33333333333333331</v>
      </c>
      <c r="AU178" s="1127">
        <v>0.33333333333333331</v>
      </c>
      <c r="AV178" s="1127">
        <v>0.33333333333333331</v>
      </c>
      <c r="AW178" s="1127"/>
      <c r="AX178" s="1127"/>
      <c r="AY178" s="1127"/>
      <c r="AZ178" s="1127"/>
      <c r="BA178" s="1127"/>
      <c r="BB178" s="1129">
        <v>0</v>
      </c>
      <c r="BC178" s="1129">
        <v>0</v>
      </c>
      <c r="BD178" s="1129">
        <v>0</v>
      </c>
      <c r="BE178" s="1129">
        <v>0</v>
      </c>
      <c r="BF178" s="1129">
        <v>0</v>
      </c>
      <c r="BG178" s="1129">
        <v>0</v>
      </c>
      <c r="BH178" s="1129">
        <v>0</v>
      </c>
      <c r="BI178" s="1129">
        <v>0</v>
      </c>
      <c r="BJ178" s="1129">
        <v>0</v>
      </c>
      <c r="BK178" s="971"/>
    </row>
    <row r="179" spans="1:63" s="1278" customFormat="1" ht="49.5">
      <c r="A179" s="1272">
        <v>2000</v>
      </c>
      <c r="B179" s="971" t="s">
        <v>119</v>
      </c>
      <c r="C179" s="1272">
        <v>2300</v>
      </c>
      <c r="D179" s="971" t="s">
        <v>222</v>
      </c>
      <c r="E179" s="971" t="s">
        <v>263</v>
      </c>
      <c r="F179" s="971" t="s">
        <v>264</v>
      </c>
      <c r="G179" s="971" t="s">
        <v>280</v>
      </c>
      <c r="H179" s="971" t="s">
        <v>266</v>
      </c>
      <c r="I179" s="1273" t="s">
        <v>377</v>
      </c>
      <c r="J179" s="971" t="s">
        <v>239</v>
      </c>
      <c r="K179" s="971"/>
      <c r="L179" s="971" t="s">
        <v>270</v>
      </c>
      <c r="M179" s="971" t="s">
        <v>270</v>
      </c>
      <c r="N179" s="971"/>
      <c r="O179" s="971" t="s">
        <v>270</v>
      </c>
      <c r="P179" s="971"/>
      <c r="Q179" s="971" t="s">
        <v>324</v>
      </c>
      <c r="R179" s="971" t="s">
        <v>378</v>
      </c>
      <c r="S179" s="1274">
        <v>1</v>
      </c>
      <c r="T179" s="971" t="s">
        <v>242</v>
      </c>
      <c r="U179" s="1275" t="s">
        <v>6588</v>
      </c>
      <c r="V179" s="1275" t="s">
        <v>6588</v>
      </c>
      <c r="W179" s="1275" t="s">
        <v>6588</v>
      </c>
      <c r="X179" s="1275" t="s">
        <v>6588</v>
      </c>
      <c r="Y179" s="1275" t="s">
        <v>6588</v>
      </c>
      <c r="Z179" s="1129">
        <v>0</v>
      </c>
      <c r="AA179" s="1129">
        <v>0</v>
      </c>
      <c r="AB179" s="1129">
        <v>0</v>
      </c>
      <c r="AC179" s="1129">
        <v>0</v>
      </c>
      <c r="AD179" s="1098">
        <v>0</v>
      </c>
      <c r="AE179" s="1135">
        <v>0</v>
      </c>
      <c r="AF179" s="1129">
        <v>0</v>
      </c>
      <c r="AG179" s="1127">
        <v>1</v>
      </c>
      <c r="AH179" s="1127">
        <v>0</v>
      </c>
      <c r="AI179" s="1127">
        <v>0</v>
      </c>
      <c r="AJ179" s="1127">
        <v>1</v>
      </c>
      <c r="AK179" s="1129">
        <v>0</v>
      </c>
      <c r="AL179" s="1129">
        <v>0</v>
      </c>
      <c r="AM179" s="1129">
        <v>0</v>
      </c>
      <c r="AN179" s="1129">
        <v>0</v>
      </c>
      <c r="AO179" s="1129" t="s">
        <v>131</v>
      </c>
      <c r="AP179" s="1129" t="s">
        <v>96</v>
      </c>
      <c r="AQ179" s="1157">
        <v>2014</v>
      </c>
      <c r="AR179" s="1129" t="s">
        <v>87</v>
      </c>
      <c r="AS179" s="1129"/>
      <c r="AT179" s="1127">
        <v>0.33333333333333331</v>
      </c>
      <c r="AU179" s="1127">
        <v>0.33333333333333331</v>
      </c>
      <c r="AV179" s="1127">
        <v>0.33333333333333331</v>
      </c>
      <c r="AW179" s="1127"/>
      <c r="AX179" s="1127"/>
      <c r="AY179" s="1127"/>
      <c r="AZ179" s="1127"/>
      <c r="BA179" s="1127"/>
      <c r="BB179" s="1129">
        <v>0</v>
      </c>
      <c r="BC179" s="1129">
        <v>0</v>
      </c>
      <c r="BD179" s="1129">
        <v>0</v>
      </c>
      <c r="BE179" s="1129">
        <v>0</v>
      </c>
      <c r="BF179" s="1129">
        <v>0</v>
      </c>
      <c r="BG179" s="1129">
        <v>0</v>
      </c>
      <c r="BH179" s="1129">
        <v>0</v>
      </c>
      <c r="BI179" s="1129">
        <v>0</v>
      </c>
      <c r="BJ179" s="1129">
        <v>0</v>
      </c>
      <c r="BK179" s="971"/>
    </row>
    <row r="180" spans="1:63" s="1278" customFormat="1" ht="49.5">
      <c r="A180" s="1272">
        <v>2000</v>
      </c>
      <c r="B180" s="971" t="s">
        <v>119</v>
      </c>
      <c r="C180" s="1272">
        <v>2300</v>
      </c>
      <c r="D180" s="971" t="s">
        <v>222</v>
      </c>
      <c r="E180" s="971" t="s">
        <v>263</v>
      </c>
      <c r="F180" s="971" t="s">
        <v>264</v>
      </c>
      <c r="G180" s="971" t="s">
        <v>280</v>
      </c>
      <c r="H180" s="971" t="s">
        <v>266</v>
      </c>
      <c r="I180" s="1273" t="s">
        <v>379</v>
      </c>
      <c r="J180" s="971" t="s">
        <v>239</v>
      </c>
      <c r="K180" s="971"/>
      <c r="L180" s="971" t="s">
        <v>270</v>
      </c>
      <c r="M180" s="971" t="s">
        <v>270</v>
      </c>
      <c r="N180" s="971"/>
      <c r="O180" s="971" t="s">
        <v>270</v>
      </c>
      <c r="P180" s="971"/>
      <c r="Q180" s="971" t="s">
        <v>327</v>
      </c>
      <c r="R180" s="971" t="s">
        <v>380</v>
      </c>
      <c r="S180" s="1274">
        <v>1</v>
      </c>
      <c r="T180" s="971" t="s">
        <v>242</v>
      </c>
      <c r="U180" s="1275" t="s">
        <v>6588</v>
      </c>
      <c r="V180" s="1275" t="s">
        <v>6588</v>
      </c>
      <c r="W180" s="1275" t="s">
        <v>6588</v>
      </c>
      <c r="X180" s="1275" t="s">
        <v>6588</v>
      </c>
      <c r="Y180" s="1275" t="s">
        <v>6588</v>
      </c>
      <c r="Z180" s="1129">
        <v>0</v>
      </c>
      <c r="AA180" s="1129">
        <v>0</v>
      </c>
      <c r="AB180" s="1129">
        <v>0</v>
      </c>
      <c r="AC180" s="1129">
        <v>0</v>
      </c>
      <c r="AD180" s="1098">
        <v>0</v>
      </c>
      <c r="AE180" s="1135">
        <v>0</v>
      </c>
      <c r="AF180" s="1129">
        <v>0</v>
      </c>
      <c r="AG180" s="1127">
        <v>1</v>
      </c>
      <c r="AH180" s="1127">
        <v>0</v>
      </c>
      <c r="AI180" s="1127">
        <v>0</v>
      </c>
      <c r="AJ180" s="1127">
        <v>1</v>
      </c>
      <c r="AK180" s="1129">
        <v>0</v>
      </c>
      <c r="AL180" s="1129">
        <v>0</v>
      </c>
      <c r="AM180" s="1129">
        <v>0</v>
      </c>
      <c r="AN180" s="1129">
        <v>0</v>
      </c>
      <c r="AO180" s="1129" t="s">
        <v>131</v>
      </c>
      <c r="AP180" s="1129" t="s">
        <v>96</v>
      </c>
      <c r="AQ180" s="1157">
        <v>2014</v>
      </c>
      <c r="AR180" s="1129" t="s">
        <v>87</v>
      </c>
      <c r="AS180" s="1129"/>
      <c r="AT180" s="1127">
        <v>0.33333333333333331</v>
      </c>
      <c r="AU180" s="1127">
        <v>0.33333333333333331</v>
      </c>
      <c r="AV180" s="1127">
        <v>0.33333333333333331</v>
      </c>
      <c r="AW180" s="1127"/>
      <c r="AX180" s="1127"/>
      <c r="AY180" s="1127"/>
      <c r="AZ180" s="1127"/>
      <c r="BA180" s="1127"/>
      <c r="BB180" s="1129">
        <v>0</v>
      </c>
      <c r="BC180" s="1129">
        <v>0</v>
      </c>
      <c r="BD180" s="1129">
        <v>0</v>
      </c>
      <c r="BE180" s="1129">
        <v>0</v>
      </c>
      <c r="BF180" s="1129">
        <v>0</v>
      </c>
      <c r="BG180" s="1129">
        <v>0</v>
      </c>
      <c r="BH180" s="1129">
        <v>0</v>
      </c>
      <c r="BI180" s="1129">
        <v>0</v>
      </c>
      <c r="BJ180" s="1129">
        <v>0</v>
      </c>
      <c r="BK180" s="971"/>
    </row>
    <row r="181" spans="1:63" s="1278" customFormat="1" ht="49.5">
      <c r="A181" s="1272">
        <v>2000</v>
      </c>
      <c r="B181" s="971" t="s">
        <v>119</v>
      </c>
      <c r="C181" s="1272">
        <v>2300</v>
      </c>
      <c r="D181" s="971" t="s">
        <v>222</v>
      </c>
      <c r="E181" s="971" t="s">
        <v>263</v>
      </c>
      <c r="F181" s="971" t="s">
        <v>264</v>
      </c>
      <c r="G181" s="971" t="s">
        <v>280</v>
      </c>
      <c r="H181" s="971" t="s">
        <v>266</v>
      </c>
      <c r="I181" s="1273" t="s">
        <v>381</v>
      </c>
      <c r="J181" s="971" t="s">
        <v>239</v>
      </c>
      <c r="K181" s="971"/>
      <c r="L181" s="971" t="s">
        <v>270</v>
      </c>
      <c r="M181" s="971" t="s">
        <v>270</v>
      </c>
      <c r="N181" s="971"/>
      <c r="O181" s="971" t="s">
        <v>270</v>
      </c>
      <c r="P181" s="971"/>
      <c r="Q181" s="971" t="s">
        <v>330</v>
      </c>
      <c r="R181" s="971" t="s">
        <v>382</v>
      </c>
      <c r="S181" s="1274">
        <v>1</v>
      </c>
      <c r="T181" s="971" t="s">
        <v>242</v>
      </c>
      <c r="U181" s="1275" t="s">
        <v>6588</v>
      </c>
      <c r="V181" s="1275" t="s">
        <v>6588</v>
      </c>
      <c r="W181" s="1275" t="s">
        <v>6588</v>
      </c>
      <c r="X181" s="1275" t="s">
        <v>6588</v>
      </c>
      <c r="Y181" s="1275" t="s">
        <v>6588</v>
      </c>
      <c r="Z181" s="1129">
        <v>0</v>
      </c>
      <c r="AA181" s="1129">
        <v>0</v>
      </c>
      <c r="AB181" s="1129">
        <v>0</v>
      </c>
      <c r="AC181" s="1129">
        <v>0</v>
      </c>
      <c r="AD181" s="1098">
        <v>0</v>
      </c>
      <c r="AE181" s="1135">
        <v>0</v>
      </c>
      <c r="AF181" s="1129">
        <v>0</v>
      </c>
      <c r="AG181" s="1127">
        <v>0</v>
      </c>
      <c r="AH181" s="1127">
        <v>1</v>
      </c>
      <c r="AI181" s="1127">
        <v>0</v>
      </c>
      <c r="AJ181" s="1127">
        <v>1</v>
      </c>
      <c r="AK181" s="1129">
        <v>0</v>
      </c>
      <c r="AL181" s="1129">
        <v>0</v>
      </c>
      <c r="AM181" s="1129">
        <v>0</v>
      </c>
      <c r="AN181" s="1129">
        <v>0</v>
      </c>
      <c r="AO181" s="1129" t="s">
        <v>131</v>
      </c>
      <c r="AP181" s="1129" t="s">
        <v>96</v>
      </c>
      <c r="AQ181" s="1157">
        <v>2014</v>
      </c>
      <c r="AR181" s="1129" t="s">
        <v>87</v>
      </c>
      <c r="AS181" s="1129"/>
      <c r="AT181" s="1127">
        <v>0.33333333333333331</v>
      </c>
      <c r="AU181" s="1127">
        <v>0.33333333333333331</v>
      </c>
      <c r="AV181" s="1127">
        <v>0.33333333333333331</v>
      </c>
      <c r="AW181" s="1127"/>
      <c r="AX181" s="1127"/>
      <c r="AY181" s="1127"/>
      <c r="AZ181" s="1127"/>
      <c r="BA181" s="1127"/>
      <c r="BB181" s="1129">
        <v>0</v>
      </c>
      <c r="BC181" s="1129">
        <v>0</v>
      </c>
      <c r="BD181" s="1129">
        <v>0</v>
      </c>
      <c r="BE181" s="1129">
        <v>0</v>
      </c>
      <c r="BF181" s="1129">
        <v>0</v>
      </c>
      <c r="BG181" s="1129">
        <v>0</v>
      </c>
      <c r="BH181" s="1129">
        <v>0</v>
      </c>
      <c r="BI181" s="1129">
        <v>0</v>
      </c>
      <c r="BJ181" s="1129">
        <v>0</v>
      </c>
      <c r="BK181" s="971"/>
    </row>
    <row r="182" spans="1:63" s="1278" customFormat="1" ht="49.5">
      <c r="A182" s="1272">
        <v>2000</v>
      </c>
      <c r="B182" s="971" t="s">
        <v>119</v>
      </c>
      <c r="C182" s="1272">
        <v>2300</v>
      </c>
      <c r="D182" s="971" t="s">
        <v>222</v>
      </c>
      <c r="E182" s="971" t="s">
        <v>263</v>
      </c>
      <c r="F182" s="971" t="s">
        <v>264</v>
      </c>
      <c r="G182" s="971" t="s">
        <v>280</v>
      </c>
      <c r="H182" s="971" t="s">
        <v>266</v>
      </c>
      <c r="I182" s="1273" t="s">
        <v>383</v>
      </c>
      <c r="J182" s="971" t="s">
        <v>239</v>
      </c>
      <c r="K182" s="971"/>
      <c r="L182" s="971" t="s">
        <v>270</v>
      </c>
      <c r="M182" s="971" t="s">
        <v>270</v>
      </c>
      <c r="N182" s="971"/>
      <c r="O182" s="971" t="s">
        <v>270</v>
      </c>
      <c r="P182" s="971"/>
      <c r="Q182" s="971" t="s">
        <v>333</v>
      </c>
      <c r="R182" s="971" t="s">
        <v>384</v>
      </c>
      <c r="S182" s="1274">
        <v>1</v>
      </c>
      <c r="T182" s="971" t="s">
        <v>242</v>
      </c>
      <c r="U182" s="1275" t="s">
        <v>6588</v>
      </c>
      <c r="V182" s="1275" t="s">
        <v>6588</v>
      </c>
      <c r="W182" s="1275" t="s">
        <v>6588</v>
      </c>
      <c r="X182" s="1275" t="s">
        <v>6588</v>
      </c>
      <c r="Y182" s="1275" t="s">
        <v>6588</v>
      </c>
      <c r="Z182" s="1129">
        <v>0</v>
      </c>
      <c r="AA182" s="1129">
        <v>0</v>
      </c>
      <c r="AB182" s="1129">
        <v>0</v>
      </c>
      <c r="AC182" s="1129">
        <v>0</v>
      </c>
      <c r="AD182" s="1098">
        <v>0</v>
      </c>
      <c r="AE182" s="1135">
        <v>0</v>
      </c>
      <c r="AF182" s="1129">
        <v>0</v>
      </c>
      <c r="AG182" s="1127">
        <v>0</v>
      </c>
      <c r="AH182" s="1127">
        <v>1</v>
      </c>
      <c r="AI182" s="1127">
        <v>0</v>
      </c>
      <c r="AJ182" s="1127">
        <v>1</v>
      </c>
      <c r="AK182" s="1129">
        <v>0</v>
      </c>
      <c r="AL182" s="1129">
        <v>0</v>
      </c>
      <c r="AM182" s="1129">
        <v>0</v>
      </c>
      <c r="AN182" s="1129">
        <v>0</v>
      </c>
      <c r="AO182" s="1129" t="s">
        <v>131</v>
      </c>
      <c r="AP182" s="1129" t="s">
        <v>96</v>
      </c>
      <c r="AQ182" s="1157">
        <v>2014</v>
      </c>
      <c r="AR182" s="1129" t="s">
        <v>87</v>
      </c>
      <c r="AS182" s="1129"/>
      <c r="AT182" s="1127">
        <v>0.33333333333333331</v>
      </c>
      <c r="AU182" s="1127">
        <v>0.33333333333333331</v>
      </c>
      <c r="AV182" s="1127">
        <v>0.33333333333333331</v>
      </c>
      <c r="AW182" s="1127"/>
      <c r="AX182" s="1127"/>
      <c r="AY182" s="1127"/>
      <c r="AZ182" s="1127"/>
      <c r="BA182" s="1127"/>
      <c r="BB182" s="1129">
        <v>0</v>
      </c>
      <c r="BC182" s="1129">
        <v>0</v>
      </c>
      <c r="BD182" s="1129">
        <v>0</v>
      </c>
      <c r="BE182" s="1129">
        <v>0</v>
      </c>
      <c r="BF182" s="1129">
        <v>0</v>
      </c>
      <c r="BG182" s="1129">
        <v>0</v>
      </c>
      <c r="BH182" s="1129">
        <v>0</v>
      </c>
      <c r="BI182" s="1129">
        <v>0</v>
      </c>
      <c r="BJ182" s="1129">
        <v>0</v>
      </c>
      <c r="BK182" s="971"/>
    </row>
    <row r="183" spans="1:63" s="1278" customFormat="1" ht="49.5">
      <c r="A183" s="1272">
        <v>2000</v>
      </c>
      <c r="B183" s="971" t="s">
        <v>119</v>
      </c>
      <c r="C183" s="1272">
        <v>2300</v>
      </c>
      <c r="D183" s="971" t="s">
        <v>222</v>
      </c>
      <c r="E183" s="971" t="s">
        <v>263</v>
      </c>
      <c r="F183" s="971" t="s">
        <v>264</v>
      </c>
      <c r="G183" s="971" t="s">
        <v>280</v>
      </c>
      <c r="H183" s="971" t="s">
        <v>266</v>
      </c>
      <c r="I183" s="1273" t="s">
        <v>385</v>
      </c>
      <c r="J183" s="971" t="s">
        <v>239</v>
      </c>
      <c r="K183" s="971"/>
      <c r="L183" s="971" t="s">
        <v>270</v>
      </c>
      <c r="M183" s="971" t="s">
        <v>270</v>
      </c>
      <c r="N183" s="971"/>
      <c r="O183" s="971" t="s">
        <v>270</v>
      </c>
      <c r="P183" s="971"/>
      <c r="Q183" s="971" t="s">
        <v>333</v>
      </c>
      <c r="R183" s="971" t="s">
        <v>386</v>
      </c>
      <c r="S183" s="1274">
        <v>1</v>
      </c>
      <c r="T183" s="971" t="s">
        <v>242</v>
      </c>
      <c r="U183" s="1275" t="s">
        <v>6588</v>
      </c>
      <c r="V183" s="1275" t="s">
        <v>6588</v>
      </c>
      <c r="W183" s="1275" t="s">
        <v>6588</v>
      </c>
      <c r="X183" s="1275" t="s">
        <v>6588</v>
      </c>
      <c r="Y183" s="1275" t="s">
        <v>6588</v>
      </c>
      <c r="Z183" s="1129">
        <v>0</v>
      </c>
      <c r="AA183" s="1129">
        <v>0</v>
      </c>
      <c r="AB183" s="1129">
        <v>0</v>
      </c>
      <c r="AC183" s="1129">
        <v>0</v>
      </c>
      <c r="AD183" s="1098">
        <v>0</v>
      </c>
      <c r="AE183" s="1135">
        <v>0</v>
      </c>
      <c r="AF183" s="1129">
        <v>0</v>
      </c>
      <c r="AG183" s="1127">
        <v>0</v>
      </c>
      <c r="AH183" s="1127">
        <v>1</v>
      </c>
      <c r="AI183" s="1127">
        <v>0</v>
      </c>
      <c r="AJ183" s="1127">
        <v>1</v>
      </c>
      <c r="AK183" s="1129">
        <v>0</v>
      </c>
      <c r="AL183" s="1129">
        <v>0</v>
      </c>
      <c r="AM183" s="1129">
        <v>0</v>
      </c>
      <c r="AN183" s="1129">
        <v>0</v>
      </c>
      <c r="AO183" s="1129" t="s">
        <v>131</v>
      </c>
      <c r="AP183" s="1129" t="s">
        <v>96</v>
      </c>
      <c r="AQ183" s="1157">
        <v>2014</v>
      </c>
      <c r="AR183" s="1129" t="s">
        <v>87</v>
      </c>
      <c r="AS183" s="1129"/>
      <c r="AT183" s="1127">
        <v>0.33333333333333331</v>
      </c>
      <c r="AU183" s="1127">
        <v>0.33333333333333331</v>
      </c>
      <c r="AV183" s="1127">
        <v>0.33333333333333331</v>
      </c>
      <c r="AW183" s="1127"/>
      <c r="AX183" s="1127"/>
      <c r="AY183" s="1127"/>
      <c r="AZ183" s="1127"/>
      <c r="BA183" s="1127"/>
      <c r="BB183" s="1129">
        <v>0</v>
      </c>
      <c r="BC183" s="1129">
        <v>0</v>
      </c>
      <c r="BD183" s="1129">
        <v>0</v>
      </c>
      <c r="BE183" s="1129">
        <v>0</v>
      </c>
      <c r="BF183" s="1129">
        <v>0</v>
      </c>
      <c r="BG183" s="1129">
        <v>0</v>
      </c>
      <c r="BH183" s="1129">
        <v>0</v>
      </c>
      <c r="BI183" s="1129">
        <v>0</v>
      </c>
      <c r="BJ183" s="1129">
        <v>0</v>
      </c>
      <c r="BK183" s="971"/>
    </row>
    <row r="184" spans="1:63" s="1278" customFormat="1" ht="49.5">
      <c r="A184" s="1272">
        <v>2000</v>
      </c>
      <c r="B184" s="971" t="s">
        <v>119</v>
      </c>
      <c r="C184" s="1272">
        <v>2300</v>
      </c>
      <c r="D184" s="971" t="s">
        <v>222</v>
      </c>
      <c r="E184" s="971" t="s">
        <v>263</v>
      </c>
      <c r="F184" s="971" t="s">
        <v>264</v>
      </c>
      <c r="G184" s="971" t="s">
        <v>280</v>
      </c>
      <c r="H184" s="971" t="s">
        <v>266</v>
      </c>
      <c r="I184" s="1273" t="s">
        <v>387</v>
      </c>
      <c r="J184" s="971" t="s">
        <v>239</v>
      </c>
      <c r="K184" s="971"/>
      <c r="L184" s="971" t="s">
        <v>270</v>
      </c>
      <c r="M184" s="971" t="s">
        <v>270</v>
      </c>
      <c r="N184" s="971"/>
      <c r="O184" s="971" t="s">
        <v>270</v>
      </c>
      <c r="P184" s="971"/>
      <c r="Q184" s="971" t="s">
        <v>338</v>
      </c>
      <c r="R184" s="971" t="s">
        <v>388</v>
      </c>
      <c r="S184" s="1274">
        <v>1</v>
      </c>
      <c r="T184" s="971" t="s">
        <v>242</v>
      </c>
      <c r="U184" s="1275" t="s">
        <v>6588</v>
      </c>
      <c r="V184" s="1275" t="s">
        <v>6588</v>
      </c>
      <c r="W184" s="1275" t="s">
        <v>6588</v>
      </c>
      <c r="X184" s="1275" t="s">
        <v>6588</v>
      </c>
      <c r="Y184" s="1275" t="s">
        <v>6588</v>
      </c>
      <c r="Z184" s="1129">
        <v>0</v>
      </c>
      <c r="AA184" s="1129">
        <v>0</v>
      </c>
      <c r="AB184" s="1129">
        <v>0</v>
      </c>
      <c r="AC184" s="1129">
        <v>0</v>
      </c>
      <c r="AD184" s="1098">
        <v>0</v>
      </c>
      <c r="AE184" s="1135">
        <v>0</v>
      </c>
      <c r="AF184" s="1129">
        <v>0</v>
      </c>
      <c r="AG184" s="1127">
        <v>0</v>
      </c>
      <c r="AH184" s="1127">
        <v>1</v>
      </c>
      <c r="AI184" s="1127">
        <v>0</v>
      </c>
      <c r="AJ184" s="1127">
        <v>1</v>
      </c>
      <c r="AK184" s="1129">
        <v>0</v>
      </c>
      <c r="AL184" s="1129">
        <v>0</v>
      </c>
      <c r="AM184" s="1129">
        <v>0</v>
      </c>
      <c r="AN184" s="1129">
        <v>0</v>
      </c>
      <c r="AO184" s="1129" t="s">
        <v>131</v>
      </c>
      <c r="AP184" s="1129" t="s">
        <v>96</v>
      </c>
      <c r="AQ184" s="1157">
        <v>2014</v>
      </c>
      <c r="AR184" s="1129" t="s">
        <v>87</v>
      </c>
      <c r="AS184" s="1129"/>
      <c r="AT184" s="1127">
        <v>0.33333333333333331</v>
      </c>
      <c r="AU184" s="1127">
        <v>0.33333333333333331</v>
      </c>
      <c r="AV184" s="1127">
        <v>0.33333333333333331</v>
      </c>
      <c r="AW184" s="1127"/>
      <c r="AX184" s="1127"/>
      <c r="AY184" s="1127"/>
      <c r="AZ184" s="1127"/>
      <c r="BA184" s="1127"/>
      <c r="BB184" s="1129">
        <v>0</v>
      </c>
      <c r="BC184" s="1129">
        <v>0</v>
      </c>
      <c r="BD184" s="1129">
        <v>0</v>
      </c>
      <c r="BE184" s="1129">
        <v>0</v>
      </c>
      <c r="BF184" s="1129">
        <v>0</v>
      </c>
      <c r="BG184" s="1129">
        <v>0</v>
      </c>
      <c r="BH184" s="1129">
        <v>0</v>
      </c>
      <c r="BI184" s="1129">
        <v>0</v>
      </c>
      <c r="BJ184" s="1129">
        <v>0</v>
      </c>
      <c r="BK184" s="971"/>
    </row>
    <row r="185" spans="1:63" s="1278" customFormat="1" ht="49.5">
      <c r="A185" s="1272">
        <v>2000</v>
      </c>
      <c r="B185" s="971" t="s">
        <v>119</v>
      </c>
      <c r="C185" s="1272">
        <v>2300</v>
      </c>
      <c r="D185" s="971" t="s">
        <v>222</v>
      </c>
      <c r="E185" s="971" t="s">
        <v>263</v>
      </c>
      <c r="F185" s="971" t="s">
        <v>264</v>
      </c>
      <c r="G185" s="971" t="s">
        <v>280</v>
      </c>
      <c r="H185" s="971" t="s">
        <v>266</v>
      </c>
      <c r="I185" s="1273" t="s">
        <v>389</v>
      </c>
      <c r="J185" s="971" t="s">
        <v>239</v>
      </c>
      <c r="K185" s="971"/>
      <c r="L185" s="971" t="s">
        <v>270</v>
      </c>
      <c r="M185" s="971" t="s">
        <v>270</v>
      </c>
      <c r="N185" s="971"/>
      <c r="O185" s="971" t="s">
        <v>270</v>
      </c>
      <c r="P185" s="971"/>
      <c r="Q185" s="971" t="s">
        <v>338</v>
      </c>
      <c r="R185" s="971" t="s">
        <v>390</v>
      </c>
      <c r="S185" s="1274">
        <v>1</v>
      </c>
      <c r="T185" s="971" t="s">
        <v>242</v>
      </c>
      <c r="U185" s="1275" t="s">
        <v>6588</v>
      </c>
      <c r="V185" s="1275" t="s">
        <v>6588</v>
      </c>
      <c r="W185" s="1275" t="s">
        <v>6588</v>
      </c>
      <c r="X185" s="1275" t="s">
        <v>6588</v>
      </c>
      <c r="Y185" s="1275" t="s">
        <v>6588</v>
      </c>
      <c r="Z185" s="1129">
        <v>0</v>
      </c>
      <c r="AA185" s="1129">
        <v>0</v>
      </c>
      <c r="AB185" s="1129">
        <v>0</v>
      </c>
      <c r="AC185" s="1129">
        <v>0</v>
      </c>
      <c r="AD185" s="1098">
        <v>0</v>
      </c>
      <c r="AE185" s="1135">
        <v>0</v>
      </c>
      <c r="AF185" s="1129">
        <v>0</v>
      </c>
      <c r="AG185" s="1127">
        <v>0</v>
      </c>
      <c r="AH185" s="1127">
        <v>1</v>
      </c>
      <c r="AI185" s="1127">
        <v>0</v>
      </c>
      <c r="AJ185" s="1127">
        <v>1</v>
      </c>
      <c r="AK185" s="1129">
        <v>0</v>
      </c>
      <c r="AL185" s="1129">
        <v>0</v>
      </c>
      <c r="AM185" s="1129">
        <v>0</v>
      </c>
      <c r="AN185" s="1129">
        <v>0</v>
      </c>
      <c r="AO185" s="1129" t="s">
        <v>131</v>
      </c>
      <c r="AP185" s="1129" t="s">
        <v>96</v>
      </c>
      <c r="AQ185" s="1157">
        <v>2014</v>
      </c>
      <c r="AR185" s="1129" t="s">
        <v>87</v>
      </c>
      <c r="AS185" s="1129"/>
      <c r="AT185" s="1127">
        <v>0.33333333333333331</v>
      </c>
      <c r="AU185" s="1127">
        <v>0.33333333333333331</v>
      </c>
      <c r="AV185" s="1127">
        <v>0.33333333333333331</v>
      </c>
      <c r="AW185" s="1127"/>
      <c r="AX185" s="1127"/>
      <c r="AY185" s="1127"/>
      <c r="AZ185" s="1127"/>
      <c r="BA185" s="1127"/>
      <c r="BB185" s="1129">
        <v>0</v>
      </c>
      <c r="BC185" s="1129">
        <v>0</v>
      </c>
      <c r="BD185" s="1129">
        <v>0</v>
      </c>
      <c r="BE185" s="1129">
        <v>0</v>
      </c>
      <c r="BF185" s="1129">
        <v>0</v>
      </c>
      <c r="BG185" s="1129">
        <v>0</v>
      </c>
      <c r="BH185" s="1129">
        <v>0</v>
      </c>
      <c r="BI185" s="1129">
        <v>0</v>
      </c>
      <c r="BJ185" s="1129">
        <v>0</v>
      </c>
      <c r="BK185" s="971"/>
    </row>
    <row r="186" spans="1:63" s="1278" customFormat="1" ht="49.5">
      <c r="A186" s="1272">
        <v>2000</v>
      </c>
      <c r="B186" s="971" t="s">
        <v>119</v>
      </c>
      <c r="C186" s="1272">
        <v>2300</v>
      </c>
      <c r="D186" s="971" t="s">
        <v>222</v>
      </c>
      <c r="E186" s="971" t="s">
        <v>263</v>
      </c>
      <c r="F186" s="971" t="s">
        <v>264</v>
      </c>
      <c r="G186" s="971" t="s">
        <v>280</v>
      </c>
      <c r="H186" s="971" t="s">
        <v>266</v>
      </c>
      <c r="I186" s="1273" t="s">
        <v>391</v>
      </c>
      <c r="J186" s="971" t="s">
        <v>239</v>
      </c>
      <c r="K186" s="971"/>
      <c r="L186" s="971" t="s">
        <v>270</v>
      </c>
      <c r="M186" s="971" t="s">
        <v>270</v>
      </c>
      <c r="N186" s="971"/>
      <c r="O186" s="971" t="s">
        <v>270</v>
      </c>
      <c r="P186" s="971"/>
      <c r="Q186" s="971" t="s">
        <v>343</v>
      </c>
      <c r="R186" s="971" t="s">
        <v>392</v>
      </c>
      <c r="S186" s="1274">
        <v>1</v>
      </c>
      <c r="T186" s="971" t="s">
        <v>242</v>
      </c>
      <c r="U186" s="1275" t="s">
        <v>6588</v>
      </c>
      <c r="V186" s="1275" t="s">
        <v>6588</v>
      </c>
      <c r="W186" s="1275" t="s">
        <v>6588</v>
      </c>
      <c r="X186" s="1275" t="s">
        <v>6588</v>
      </c>
      <c r="Y186" s="1275" t="s">
        <v>6588</v>
      </c>
      <c r="Z186" s="1129">
        <v>0</v>
      </c>
      <c r="AA186" s="1129">
        <v>0</v>
      </c>
      <c r="AB186" s="1129">
        <v>0</v>
      </c>
      <c r="AC186" s="1129">
        <v>0</v>
      </c>
      <c r="AD186" s="1098">
        <v>0</v>
      </c>
      <c r="AE186" s="1135">
        <v>0</v>
      </c>
      <c r="AF186" s="1129">
        <v>0</v>
      </c>
      <c r="AG186" s="1127">
        <v>0</v>
      </c>
      <c r="AH186" s="1127">
        <v>1</v>
      </c>
      <c r="AI186" s="1127">
        <v>0</v>
      </c>
      <c r="AJ186" s="1127">
        <v>1</v>
      </c>
      <c r="AK186" s="1129">
        <v>0</v>
      </c>
      <c r="AL186" s="1129">
        <v>0</v>
      </c>
      <c r="AM186" s="1129">
        <v>0</v>
      </c>
      <c r="AN186" s="1129">
        <v>0</v>
      </c>
      <c r="AO186" s="1129" t="s">
        <v>131</v>
      </c>
      <c r="AP186" s="1129" t="s">
        <v>96</v>
      </c>
      <c r="AQ186" s="1157">
        <v>2014</v>
      </c>
      <c r="AR186" s="1129" t="s">
        <v>87</v>
      </c>
      <c r="AS186" s="1129"/>
      <c r="AT186" s="1127">
        <v>0.33333333333333331</v>
      </c>
      <c r="AU186" s="1127">
        <v>0.33333333333333331</v>
      </c>
      <c r="AV186" s="1127">
        <v>0.33333333333333331</v>
      </c>
      <c r="AW186" s="1127"/>
      <c r="AX186" s="1127"/>
      <c r="AY186" s="1127"/>
      <c r="AZ186" s="1127"/>
      <c r="BA186" s="1127"/>
      <c r="BB186" s="1129">
        <v>0</v>
      </c>
      <c r="BC186" s="1129">
        <v>0</v>
      </c>
      <c r="BD186" s="1129">
        <v>0</v>
      </c>
      <c r="BE186" s="1129">
        <v>0</v>
      </c>
      <c r="BF186" s="1129">
        <v>0</v>
      </c>
      <c r="BG186" s="1129">
        <v>0</v>
      </c>
      <c r="BH186" s="1129">
        <v>0</v>
      </c>
      <c r="BI186" s="1129">
        <v>0</v>
      </c>
      <c r="BJ186" s="1129">
        <v>0</v>
      </c>
      <c r="BK186" s="971"/>
    </row>
    <row r="187" spans="1:63" s="1278" customFormat="1" ht="49.5">
      <c r="A187" s="1272">
        <v>2000</v>
      </c>
      <c r="B187" s="971" t="s">
        <v>119</v>
      </c>
      <c r="C187" s="1272">
        <v>2300</v>
      </c>
      <c r="D187" s="971" t="s">
        <v>222</v>
      </c>
      <c r="E187" s="971" t="s">
        <v>263</v>
      </c>
      <c r="F187" s="971" t="s">
        <v>264</v>
      </c>
      <c r="G187" s="971" t="s">
        <v>280</v>
      </c>
      <c r="H187" s="971" t="s">
        <v>266</v>
      </c>
      <c r="I187" s="1273" t="s">
        <v>393</v>
      </c>
      <c r="J187" s="971" t="s">
        <v>239</v>
      </c>
      <c r="K187" s="971"/>
      <c r="L187" s="971" t="s">
        <v>270</v>
      </c>
      <c r="M187" s="971" t="s">
        <v>270</v>
      </c>
      <c r="N187" s="971"/>
      <c r="O187" s="971" t="s">
        <v>270</v>
      </c>
      <c r="P187" s="971"/>
      <c r="Q187" s="971" t="s">
        <v>346</v>
      </c>
      <c r="R187" s="971" t="s">
        <v>394</v>
      </c>
      <c r="S187" s="1274">
        <v>1</v>
      </c>
      <c r="T187" s="971" t="s">
        <v>242</v>
      </c>
      <c r="U187" s="1275" t="s">
        <v>6588</v>
      </c>
      <c r="V187" s="1275" t="s">
        <v>6588</v>
      </c>
      <c r="W187" s="1275" t="s">
        <v>6588</v>
      </c>
      <c r="X187" s="1275" t="s">
        <v>6588</v>
      </c>
      <c r="Y187" s="1275" t="s">
        <v>6588</v>
      </c>
      <c r="Z187" s="1129">
        <v>0</v>
      </c>
      <c r="AA187" s="1129">
        <v>0</v>
      </c>
      <c r="AB187" s="1129">
        <v>0</v>
      </c>
      <c r="AC187" s="1129">
        <v>0</v>
      </c>
      <c r="AD187" s="1098">
        <v>0</v>
      </c>
      <c r="AE187" s="1135">
        <v>0</v>
      </c>
      <c r="AF187" s="1129">
        <v>0</v>
      </c>
      <c r="AG187" s="1127">
        <v>0</v>
      </c>
      <c r="AH187" s="1127">
        <v>1</v>
      </c>
      <c r="AI187" s="1127">
        <v>0</v>
      </c>
      <c r="AJ187" s="1127">
        <v>1</v>
      </c>
      <c r="AK187" s="1129">
        <v>0</v>
      </c>
      <c r="AL187" s="1129">
        <v>0</v>
      </c>
      <c r="AM187" s="1129">
        <v>0</v>
      </c>
      <c r="AN187" s="1129">
        <v>0</v>
      </c>
      <c r="AO187" s="1129" t="s">
        <v>131</v>
      </c>
      <c r="AP187" s="1129" t="s">
        <v>96</v>
      </c>
      <c r="AQ187" s="1157">
        <v>2014</v>
      </c>
      <c r="AR187" s="1129" t="s">
        <v>87</v>
      </c>
      <c r="AS187" s="1129"/>
      <c r="AT187" s="1127">
        <v>0.33333333333333331</v>
      </c>
      <c r="AU187" s="1127">
        <v>0.33333333333333331</v>
      </c>
      <c r="AV187" s="1127">
        <v>0.33333333333333331</v>
      </c>
      <c r="AW187" s="1127"/>
      <c r="AX187" s="1127"/>
      <c r="AY187" s="1127"/>
      <c r="AZ187" s="1127"/>
      <c r="BA187" s="1127"/>
      <c r="BB187" s="1129">
        <v>0</v>
      </c>
      <c r="BC187" s="1129">
        <v>0</v>
      </c>
      <c r="BD187" s="1129">
        <v>0</v>
      </c>
      <c r="BE187" s="1129">
        <v>0</v>
      </c>
      <c r="BF187" s="1129">
        <v>0</v>
      </c>
      <c r="BG187" s="1129">
        <v>0</v>
      </c>
      <c r="BH187" s="1129">
        <v>0</v>
      </c>
      <c r="BI187" s="1129">
        <v>0</v>
      </c>
      <c r="BJ187" s="1129">
        <v>0</v>
      </c>
      <c r="BK187" s="971"/>
    </row>
    <row r="188" spans="1:63" s="1278" customFormat="1" ht="49.5">
      <c r="A188" s="1272">
        <v>2000</v>
      </c>
      <c r="B188" s="971" t="s">
        <v>119</v>
      </c>
      <c r="C188" s="1272">
        <v>2300</v>
      </c>
      <c r="D188" s="971" t="s">
        <v>222</v>
      </c>
      <c r="E188" s="971" t="s">
        <v>263</v>
      </c>
      <c r="F188" s="971" t="s">
        <v>264</v>
      </c>
      <c r="G188" s="971" t="s">
        <v>280</v>
      </c>
      <c r="H188" s="971" t="s">
        <v>266</v>
      </c>
      <c r="I188" s="1273" t="s">
        <v>395</v>
      </c>
      <c r="J188" s="971" t="s">
        <v>239</v>
      </c>
      <c r="K188" s="971"/>
      <c r="L188" s="971" t="s">
        <v>270</v>
      </c>
      <c r="M188" s="971" t="s">
        <v>270</v>
      </c>
      <c r="N188" s="971"/>
      <c r="O188" s="971" t="s">
        <v>270</v>
      </c>
      <c r="P188" s="971"/>
      <c r="Q188" s="971" t="s">
        <v>349</v>
      </c>
      <c r="R188" s="971" t="s">
        <v>396</v>
      </c>
      <c r="S188" s="1274">
        <v>1</v>
      </c>
      <c r="T188" s="971" t="s">
        <v>242</v>
      </c>
      <c r="U188" s="1275" t="s">
        <v>6588</v>
      </c>
      <c r="V188" s="1275" t="s">
        <v>6588</v>
      </c>
      <c r="W188" s="1275" t="s">
        <v>6588</v>
      </c>
      <c r="X188" s="1275" t="s">
        <v>6588</v>
      </c>
      <c r="Y188" s="1275" t="s">
        <v>6588</v>
      </c>
      <c r="Z188" s="1129">
        <v>0</v>
      </c>
      <c r="AA188" s="1129">
        <v>0</v>
      </c>
      <c r="AB188" s="1129">
        <v>0</v>
      </c>
      <c r="AC188" s="1129">
        <v>0</v>
      </c>
      <c r="AD188" s="1098">
        <v>0</v>
      </c>
      <c r="AE188" s="1135">
        <v>0</v>
      </c>
      <c r="AF188" s="1129">
        <v>0</v>
      </c>
      <c r="AG188" s="1127">
        <v>1</v>
      </c>
      <c r="AH188" s="1127">
        <v>0</v>
      </c>
      <c r="AI188" s="1127">
        <v>0</v>
      </c>
      <c r="AJ188" s="1127">
        <v>1</v>
      </c>
      <c r="AK188" s="1129">
        <v>0</v>
      </c>
      <c r="AL188" s="1129">
        <v>0</v>
      </c>
      <c r="AM188" s="1129">
        <v>0</v>
      </c>
      <c r="AN188" s="1129">
        <v>0</v>
      </c>
      <c r="AO188" s="1129" t="s">
        <v>131</v>
      </c>
      <c r="AP188" s="1129" t="s">
        <v>96</v>
      </c>
      <c r="AQ188" s="1157">
        <v>2014</v>
      </c>
      <c r="AR188" s="1129" t="s">
        <v>87</v>
      </c>
      <c r="AS188" s="1129"/>
      <c r="AT188" s="1127">
        <v>0.33333333333333331</v>
      </c>
      <c r="AU188" s="1127">
        <v>0.33333333333333331</v>
      </c>
      <c r="AV188" s="1127">
        <v>0.33333333333333331</v>
      </c>
      <c r="AW188" s="1127"/>
      <c r="AX188" s="1127"/>
      <c r="AY188" s="1127"/>
      <c r="AZ188" s="1127"/>
      <c r="BA188" s="1127"/>
      <c r="BB188" s="1129">
        <v>0</v>
      </c>
      <c r="BC188" s="1129">
        <v>0</v>
      </c>
      <c r="BD188" s="1129">
        <v>0</v>
      </c>
      <c r="BE188" s="1129">
        <v>0</v>
      </c>
      <c r="BF188" s="1129">
        <v>0</v>
      </c>
      <c r="BG188" s="1129">
        <v>0</v>
      </c>
      <c r="BH188" s="1129">
        <v>0</v>
      </c>
      <c r="BI188" s="1129">
        <v>0</v>
      </c>
      <c r="BJ188" s="1129">
        <v>0</v>
      </c>
      <c r="BK188" s="971"/>
    </row>
    <row r="189" spans="1:63" s="1278" customFormat="1" ht="49.5">
      <c r="A189" s="1272">
        <v>2000</v>
      </c>
      <c r="B189" s="971" t="s">
        <v>119</v>
      </c>
      <c r="C189" s="1272">
        <v>2300</v>
      </c>
      <c r="D189" s="971" t="s">
        <v>222</v>
      </c>
      <c r="E189" s="971" t="s">
        <v>263</v>
      </c>
      <c r="F189" s="971" t="s">
        <v>264</v>
      </c>
      <c r="G189" s="971" t="s">
        <v>280</v>
      </c>
      <c r="H189" s="971" t="s">
        <v>266</v>
      </c>
      <c r="I189" s="1273" t="s">
        <v>397</v>
      </c>
      <c r="J189" s="971" t="s">
        <v>239</v>
      </c>
      <c r="K189" s="971"/>
      <c r="L189" s="971" t="s">
        <v>270</v>
      </c>
      <c r="M189" s="971" t="s">
        <v>270</v>
      </c>
      <c r="N189" s="971"/>
      <c r="O189" s="971" t="s">
        <v>270</v>
      </c>
      <c r="P189" s="971"/>
      <c r="Q189" s="971" t="s">
        <v>398</v>
      </c>
      <c r="R189" s="971" t="s">
        <v>399</v>
      </c>
      <c r="S189" s="1274">
        <v>1</v>
      </c>
      <c r="T189" s="971" t="s">
        <v>242</v>
      </c>
      <c r="U189" s="1275" t="s">
        <v>6588</v>
      </c>
      <c r="V189" s="1275" t="s">
        <v>6588</v>
      </c>
      <c r="W189" s="1275" t="s">
        <v>6588</v>
      </c>
      <c r="X189" s="1275" t="s">
        <v>6588</v>
      </c>
      <c r="Y189" s="1275" t="s">
        <v>6588</v>
      </c>
      <c r="Z189" s="1129">
        <v>0</v>
      </c>
      <c r="AA189" s="1129">
        <v>0</v>
      </c>
      <c r="AB189" s="1129">
        <v>0</v>
      </c>
      <c r="AC189" s="1129">
        <v>0</v>
      </c>
      <c r="AD189" s="1098">
        <v>0</v>
      </c>
      <c r="AE189" s="1135">
        <v>0</v>
      </c>
      <c r="AF189" s="1129">
        <v>0</v>
      </c>
      <c r="AG189" s="1127">
        <v>0</v>
      </c>
      <c r="AH189" s="1127">
        <v>1</v>
      </c>
      <c r="AI189" s="1127">
        <v>0</v>
      </c>
      <c r="AJ189" s="1127">
        <v>1</v>
      </c>
      <c r="AK189" s="1129">
        <v>0</v>
      </c>
      <c r="AL189" s="1129">
        <v>0</v>
      </c>
      <c r="AM189" s="1129">
        <v>0</v>
      </c>
      <c r="AN189" s="1129">
        <v>0</v>
      </c>
      <c r="AO189" s="1129" t="s">
        <v>131</v>
      </c>
      <c r="AP189" s="1129" t="s">
        <v>96</v>
      </c>
      <c r="AQ189" s="1157">
        <v>2014</v>
      </c>
      <c r="AR189" s="1129" t="s">
        <v>87</v>
      </c>
      <c r="AS189" s="1129"/>
      <c r="AT189" s="1127">
        <v>0.33333333333333331</v>
      </c>
      <c r="AU189" s="1127">
        <v>0.33333333333333331</v>
      </c>
      <c r="AV189" s="1127">
        <v>0.33333333333333331</v>
      </c>
      <c r="AW189" s="1127"/>
      <c r="AX189" s="1127"/>
      <c r="AY189" s="1127"/>
      <c r="AZ189" s="1127"/>
      <c r="BA189" s="1127"/>
      <c r="BB189" s="1129">
        <v>0</v>
      </c>
      <c r="BC189" s="1129">
        <v>0</v>
      </c>
      <c r="BD189" s="1129">
        <v>0</v>
      </c>
      <c r="BE189" s="1129">
        <v>0</v>
      </c>
      <c r="BF189" s="1129">
        <v>0</v>
      </c>
      <c r="BG189" s="1129">
        <v>0</v>
      </c>
      <c r="BH189" s="1129">
        <v>0</v>
      </c>
      <c r="BI189" s="1129">
        <v>0</v>
      </c>
      <c r="BJ189" s="1129">
        <v>0</v>
      </c>
      <c r="BK189" s="971"/>
    </row>
    <row r="190" spans="1:63" s="1278" customFormat="1" ht="49.5">
      <c r="A190" s="1272">
        <v>2000</v>
      </c>
      <c r="B190" s="971" t="s">
        <v>119</v>
      </c>
      <c r="C190" s="1272">
        <v>2300</v>
      </c>
      <c r="D190" s="971" t="s">
        <v>222</v>
      </c>
      <c r="E190" s="971" t="s">
        <v>263</v>
      </c>
      <c r="F190" s="971" t="s">
        <v>264</v>
      </c>
      <c r="G190" s="971" t="s">
        <v>280</v>
      </c>
      <c r="H190" s="971" t="s">
        <v>266</v>
      </c>
      <c r="I190" s="1273" t="s">
        <v>400</v>
      </c>
      <c r="J190" s="971" t="s">
        <v>239</v>
      </c>
      <c r="K190" s="971"/>
      <c r="L190" s="971" t="s">
        <v>270</v>
      </c>
      <c r="M190" s="971" t="s">
        <v>270</v>
      </c>
      <c r="N190" s="971"/>
      <c r="O190" s="971" t="s">
        <v>270</v>
      </c>
      <c r="P190" s="971"/>
      <c r="Q190" s="971" t="s">
        <v>355</v>
      </c>
      <c r="R190" s="971" t="s">
        <v>401</v>
      </c>
      <c r="S190" s="1274">
        <v>1</v>
      </c>
      <c r="T190" s="971" t="s">
        <v>242</v>
      </c>
      <c r="U190" s="1275" t="s">
        <v>6588</v>
      </c>
      <c r="V190" s="1275" t="s">
        <v>6588</v>
      </c>
      <c r="W190" s="1275" t="s">
        <v>6588</v>
      </c>
      <c r="X190" s="1275" t="s">
        <v>6588</v>
      </c>
      <c r="Y190" s="1275" t="s">
        <v>6588</v>
      </c>
      <c r="Z190" s="1129">
        <v>0</v>
      </c>
      <c r="AA190" s="1129">
        <v>0</v>
      </c>
      <c r="AB190" s="1129">
        <v>0</v>
      </c>
      <c r="AC190" s="1129">
        <v>0</v>
      </c>
      <c r="AD190" s="1098">
        <v>0</v>
      </c>
      <c r="AE190" s="1135">
        <v>0</v>
      </c>
      <c r="AF190" s="1129">
        <v>0</v>
      </c>
      <c r="AG190" s="1127">
        <v>0</v>
      </c>
      <c r="AH190" s="1127">
        <v>1</v>
      </c>
      <c r="AI190" s="1127">
        <v>0</v>
      </c>
      <c r="AJ190" s="1127">
        <v>1</v>
      </c>
      <c r="AK190" s="1129">
        <v>0</v>
      </c>
      <c r="AL190" s="1129">
        <v>0</v>
      </c>
      <c r="AM190" s="1129">
        <v>0</v>
      </c>
      <c r="AN190" s="1129">
        <v>0</v>
      </c>
      <c r="AO190" s="1129" t="s">
        <v>131</v>
      </c>
      <c r="AP190" s="1129" t="s">
        <v>96</v>
      </c>
      <c r="AQ190" s="1157">
        <v>2014</v>
      </c>
      <c r="AR190" s="1129" t="s">
        <v>87</v>
      </c>
      <c r="AS190" s="1129"/>
      <c r="AT190" s="1127">
        <v>0.33333333333333331</v>
      </c>
      <c r="AU190" s="1127">
        <v>0.33333333333333331</v>
      </c>
      <c r="AV190" s="1127">
        <v>0.33333333333333331</v>
      </c>
      <c r="AW190" s="1127"/>
      <c r="AX190" s="1127"/>
      <c r="AY190" s="1127"/>
      <c r="AZ190" s="1127"/>
      <c r="BA190" s="1127"/>
      <c r="BB190" s="1129">
        <v>0</v>
      </c>
      <c r="BC190" s="1129">
        <v>0</v>
      </c>
      <c r="BD190" s="1129">
        <v>0</v>
      </c>
      <c r="BE190" s="1129">
        <v>0</v>
      </c>
      <c r="BF190" s="1129">
        <v>0</v>
      </c>
      <c r="BG190" s="1129">
        <v>0</v>
      </c>
      <c r="BH190" s="1129">
        <v>0</v>
      </c>
      <c r="BI190" s="1129">
        <v>0</v>
      </c>
      <c r="BJ190" s="1129">
        <v>0</v>
      </c>
      <c r="BK190" s="971"/>
    </row>
    <row r="191" spans="1:63" s="1278" customFormat="1" ht="49.5">
      <c r="A191" s="1272">
        <v>2000</v>
      </c>
      <c r="B191" s="971" t="s">
        <v>119</v>
      </c>
      <c r="C191" s="1272">
        <v>2300</v>
      </c>
      <c r="D191" s="971" t="s">
        <v>222</v>
      </c>
      <c r="E191" s="971" t="s">
        <v>263</v>
      </c>
      <c r="F191" s="971" t="s">
        <v>264</v>
      </c>
      <c r="G191" s="971" t="s">
        <v>280</v>
      </c>
      <c r="H191" s="971" t="s">
        <v>266</v>
      </c>
      <c r="I191" s="1273" t="s">
        <v>402</v>
      </c>
      <c r="J191" s="971" t="s">
        <v>239</v>
      </c>
      <c r="K191" s="971"/>
      <c r="L191" s="971" t="s">
        <v>270</v>
      </c>
      <c r="M191" s="971" t="s">
        <v>270</v>
      </c>
      <c r="N191" s="971"/>
      <c r="O191" s="971" t="s">
        <v>270</v>
      </c>
      <c r="P191" s="971"/>
      <c r="Q191" s="971" t="s">
        <v>358</v>
      </c>
      <c r="R191" s="971" t="s">
        <v>403</v>
      </c>
      <c r="S191" s="1274">
        <v>1</v>
      </c>
      <c r="T191" s="971" t="s">
        <v>242</v>
      </c>
      <c r="U191" s="1275" t="s">
        <v>6588</v>
      </c>
      <c r="V191" s="1275" t="s">
        <v>6588</v>
      </c>
      <c r="W191" s="1275" t="s">
        <v>6588</v>
      </c>
      <c r="X191" s="1275" t="s">
        <v>6588</v>
      </c>
      <c r="Y191" s="1275" t="s">
        <v>6588</v>
      </c>
      <c r="Z191" s="1129">
        <v>0</v>
      </c>
      <c r="AA191" s="1129">
        <v>0</v>
      </c>
      <c r="AB191" s="1129">
        <v>0</v>
      </c>
      <c r="AC191" s="1129">
        <v>0</v>
      </c>
      <c r="AD191" s="1098">
        <v>0</v>
      </c>
      <c r="AE191" s="1135">
        <v>0</v>
      </c>
      <c r="AF191" s="1129">
        <v>0</v>
      </c>
      <c r="AG191" s="1127">
        <v>0</v>
      </c>
      <c r="AH191" s="1127">
        <v>1</v>
      </c>
      <c r="AI191" s="1127">
        <v>0</v>
      </c>
      <c r="AJ191" s="1127">
        <v>1</v>
      </c>
      <c r="AK191" s="1129">
        <v>0</v>
      </c>
      <c r="AL191" s="1129">
        <v>0</v>
      </c>
      <c r="AM191" s="1129">
        <v>0</v>
      </c>
      <c r="AN191" s="1129">
        <v>0</v>
      </c>
      <c r="AO191" s="1129" t="s">
        <v>131</v>
      </c>
      <c r="AP191" s="1129" t="s">
        <v>96</v>
      </c>
      <c r="AQ191" s="1157">
        <v>2014</v>
      </c>
      <c r="AR191" s="1129" t="s">
        <v>87</v>
      </c>
      <c r="AS191" s="1129"/>
      <c r="AT191" s="1127">
        <v>0.33333333333333331</v>
      </c>
      <c r="AU191" s="1127">
        <v>0.33333333333333331</v>
      </c>
      <c r="AV191" s="1127">
        <v>0.33333333333333331</v>
      </c>
      <c r="AW191" s="1127"/>
      <c r="AX191" s="1127"/>
      <c r="AY191" s="1127"/>
      <c r="AZ191" s="1127"/>
      <c r="BA191" s="1127"/>
      <c r="BB191" s="1129">
        <v>0</v>
      </c>
      <c r="BC191" s="1129">
        <v>0</v>
      </c>
      <c r="BD191" s="1129">
        <v>0</v>
      </c>
      <c r="BE191" s="1129">
        <v>0</v>
      </c>
      <c r="BF191" s="1129">
        <v>0</v>
      </c>
      <c r="BG191" s="1129">
        <v>0</v>
      </c>
      <c r="BH191" s="1129">
        <v>0</v>
      </c>
      <c r="BI191" s="1129">
        <v>0</v>
      </c>
      <c r="BJ191" s="1129">
        <v>0</v>
      </c>
      <c r="BK191" s="971"/>
    </row>
    <row r="192" spans="1:63" s="1278" customFormat="1" ht="49.5">
      <c r="A192" s="1272">
        <v>2000</v>
      </c>
      <c r="B192" s="971" t="s">
        <v>119</v>
      </c>
      <c r="C192" s="1272">
        <v>2300</v>
      </c>
      <c r="D192" s="971" t="s">
        <v>222</v>
      </c>
      <c r="E192" s="971" t="s">
        <v>263</v>
      </c>
      <c r="F192" s="971" t="s">
        <v>264</v>
      </c>
      <c r="G192" s="971" t="s">
        <v>280</v>
      </c>
      <c r="H192" s="971" t="s">
        <v>266</v>
      </c>
      <c r="I192" s="1273" t="s">
        <v>404</v>
      </c>
      <c r="J192" s="971" t="s">
        <v>239</v>
      </c>
      <c r="K192" s="971"/>
      <c r="L192" s="971" t="s">
        <v>270</v>
      </c>
      <c r="M192" s="971" t="s">
        <v>270</v>
      </c>
      <c r="N192" s="971"/>
      <c r="O192" s="971" t="s">
        <v>270</v>
      </c>
      <c r="P192" s="971"/>
      <c r="Q192" s="971" t="s">
        <v>361</v>
      </c>
      <c r="R192" s="971" t="s">
        <v>405</v>
      </c>
      <c r="S192" s="1274">
        <v>1</v>
      </c>
      <c r="T192" s="971" t="s">
        <v>242</v>
      </c>
      <c r="U192" s="1275" t="s">
        <v>6588</v>
      </c>
      <c r="V192" s="1275" t="s">
        <v>6588</v>
      </c>
      <c r="W192" s="1275" t="s">
        <v>6588</v>
      </c>
      <c r="X192" s="1275" t="s">
        <v>6588</v>
      </c>
      <c r="Y192" s="1275" t="s">
        <v>6588</v>
      </c>
      <c r="Z192" s="1129">
        <v>0</v>
      </c>
      <c r="AA192" s="1129">
        <v>0</v>
      </c>
      <c r="AB192" s="1129">
        <v>0</v>
      </c>
      <c r="AC192" s="1129">
        <v>0</v>
      </c>
      <c r="AD192" s="1098">
        <v>0</v>
      </c>
      <c r="AE192" s="1135">
        <v>0</v>
      </c>
      <c r="AF192" s="1129">
        <v>0</v>
      </c>
      <c r="AG192" s="1127">
        <v>0</v>
      </c>
      <c r="AH192" s="1127">
        <v>1</v>
      </c>
      <c r="AI192" s="1127">
        <v>0</v>
      </c>
      <c r="AJ192" s="1127">
        <v>1</v>
      </c>
      <c r="AK192" s="1129">
        <v>0</v>
      </c>
      <c r="AL192" s="1129">
        <v>0</v>
      </c>
      <c r="AM192" s="1129">
        <v>0</v>
      </c>
      <c r="AN192" s="1129">
        <v>0</v>
      </c>
      <c r="AO192" s="1129" t="s">
        <v>131</v>
      </c>
      <c r="AP192" s="1129" t="s">
        <v>96</v>
      </c>
      <c r="AQ192" s="1157">
        <v>2014</v>
      </c>
      <c r="AR192" s="1129" t="s">
        <v>87</v>
      </c>
      <c r="AS192" s="1129"/>
      <c r="AT192" s="1127">
        <v>0.33333333333333331</v>
      </c>
      <c r="AU192" s="1127">
        <v>0.33333333333333331</v>
      </c>
      <c r="AV192" s="1127">
        <v>0.33333333333333331</v>
      </c>
      <c r="AW192" s="1127"/>
      <c r="AX192" s="1127"/>
      <c r="AY192" s="1127"/>
      <c r="AZ192" s="1127"/>
      <c r="BA192" s="1127"/>
      <c r="BB192" s="1129">
        <v>0</v>
      </c>
      <c r="BC192" s="1129">
        <v>0</v>
      </c>
      <c r="BD192" s="1129">
        <v>0</v>
      </c>
      <c r="BE192" s="1129">
        <v>0</v>
      </c>
      <c r="BF192" s="1129">
        <v>0</v>
      </c>
      <c r="BG192" s="1129">
        <v>0</v>
      </c>
      <c r="BH192" s="1129">
        <v>0</v>
      </c>
      <c r="BI192" s="1129">
        <v>0</v>
      </c>
      <c r="BJ192" s="1129">
        <v>0</v>
      </c>
      <c r="BK192" s="971"/>
    </row>
    <row r="193" spans="1:67" s="1278" customFormat="1" ht="49.5">
      <c r="A193" s="1272">
        <v>2000</v>
      </c>
      <c r="B193" s="971" t="s">
        <v>119</v>
      </c>
      <c r="C193" s="1272">
        <v>2300</v>
      </c>
      <c r="D193" s="971" t="s">
        <v>222</v>
      </c>
      <c r="E193" s="971" t="s">
        <v>263</v>
      </c>
      <c r="F193" s="971" t="s">
        <v>264</v>
      </c>
      <c r="G193" s="971" t="s">
        <v>280</v>
      </c>
      <c r="H193" s="971" t="s">
        <v>266</v>
      </c>
      <c r="I193" s="1273" t="s">
        <v>406</v>
      </c>
      <c r="J193" s="971" t="s">
        <v>239</v>
      </c>
      <c r="K193" s="971"/>
      <c r="L193" s="971" t="s">
        <v>270</v>
      </c>
      <c r="M193" s="971" t="s">
        <v>270</v>
      </c>
      <c r="N193" s="971"/>
      <c r="O193" s="971" t="s">
        <v>270</v>
      </c>
      <c r="P193" s="971"/>
      <c r="Q193" s="971" t="s">
        <v>364</v>
      </c>
      <c r="R193" s="971" t="s">
        <v>407</v>
      </c>
      <c r="S193" s="1274">
        <v>1</v>
      </c>
      <c r="T193" s="971" t="s">
        <v>242</v>
      </c>
      <c r="U193" s="1275" t="s">
        <v>6588</v>
      </c>
      <c r="V193" s="1275" t="s">
        <v>6588</v>
      </c>
      <c r="W193" s="1275" t="s">
        <v>6588</v>
      </c>
      <c r="X193" s="1275" t="s">
        <v>6588</v>
      </c>
      <c r="Y193" s="1275" t="s">
        <v>6588</v>
      </c>
      <c r="Z193" s="1129">
        <v>0</v>
      </c>
      <c r="AA193" s="1129">
        <v>0</v>
      </c>
      <c r="AB193" s="1129">
        <v>0</v>
      </c>
      <c r="AC193" s="1129">
        <v>0</v>
      </c>
      <c r="AD193" s="1098">
        <v>0</v>
      </c>
      <c r="AE193" s="1135">
        <v>0</v>
      </c>
      <c r="AF193" s="1129">
        <v>0</v>
      </c>
      <c r="AG193" s="1127">
        <v>0</v>
      </c>
      <c r="AH193" s="1127">
        <v>1</v>
      </c>
      <c r="AI193" s="1127">
        <v>0</v>
      </c>
      <c r="AJ193" s="1127">
        <v>1</v>
      </c>
      <c r="AK193" s="1129">
        <v>0</v>
      </c>
      <c r="AL193" s="1129">
        <v>0</v>
      </c>
      <c r="AM193" s="1129">
        <v>0</v>
      </c>
      <c r="AN193" s="1129">
        <v>0</v>
      </c>
      <c r="AO193" s="1129" t="s">
        <v>131</v>
      </c>
      <c r="AP193" s="1129" t="s">
        <v>96</v>
      </c>
      <c r="AQ193" s="1157">
        <v>2014</v>
      </c>
      <c r="AR193" s="1129" t="s">
        <v>87</v>
      </c>
      <c r="AS193" s="1129"/>
      <c r="AT193" s="1127">
        <v>0.33333333333333331</v>
      </c>
      <c r="AU193" s="1127">
        <v>0.33333333333333331</v>
      </c>
      <c r="AV193" s="1127">
        <v>0.33333333333333331</v>
      </c>
      <c r="AW193" s="1127"/>
      <c r="AX193" s="1127"/>
      <c r="AY193" s="1127"/>
      <c r="AZ193" s="1127"/>
      <c r="BA193" s="1127"/>
      <c r="BB193" s="1129">
        <v>0</v>
      </c>
      <c r="BC193" s="1129">
        <v>0</v>
      </c>
      <c r="BD193" s="1129">
        <v>0</v>
      </c>
      <c r="BE193" s="1129">
        <v>0</v>
      </c>
      <c r="BF193" s="1129">
        <v>0</v>
      </c>
      <c r="BG193" s="1129">
        <v>0</v>
      </c>
      <c r="BH193" s="1129">
        <v>0</v>
      </c>
      <c r="BI193" s="1129">
        <v>0</v>
      </c>
      <c r="BJ193" s="1129">
        <v>0</v>
      </c>
      <c r="BK193" s="971"/>
    </row>
    <row r="194" spans="1:67" s="1278" customFormat="1" ht="49.5">
      <c r="A194" s="1272">
        <v>2000</v>
      </c>
      <c r="B194" s="971" t="s">
        <v>119</v>
      </c>
      <c r="C194" s="1272">
        <v>2300</v>
      </c>
      <c r="D194" s="971" t="s">
        <v>222</v>
      </c>
      <c r="E194" s="971" t="s">
        <v>263</v>
      </c>
      <c r="F194" s="971" t="s">
        <v>264</v>
      </c>
      <c r="G194" s="971" t="s">
        <v>280</v>
      </c>
      <c r="H194" s="971" t="s">
        <v>266</v>
      </c>
      <c r="I194" s="1273" t="s">
        <v>408</v>
      </c>
      <c r="J194" s="971" t="s">
        <v>239</v>
      </c>
      <c r="K194" s="971"/>
      <c r="L194" s="971" t="s">
        <v>270</v>
      </c>
      <c r="M194" s="971" t="s">
        <v>270</v>
      </c>
      <c r="N194" s="971"/>
      <c r="O194" s="971" t="s">
        <v>270</v>
      </c>
      <c r="P194" s="971"/>
      <c r="Q194" s="971" t="s">
        <v>361</v>
      </c>
      <c r="R194" s="971" t="s">
        <v>409</v>
      </c>
      <c r="S194" s="1274">
        <v>1</v>
      </c>
      <c r="T194" s="971" t="s">
        <v>242</v>
      </c>
      <c r="U194" s="1275" t="s">
        <v>6588</v>
      </c>
      <c r="V194" s="1275" t="s">
        <v>6588</v>
      </c>
      <c r="W194" s="1275" t="s">
        <v>6588</v>
      </c>
      <c r="X194" s="1275" t="s">
        <v>6588</v>
      </c>
      <c r="Y194" s="1275" t="s">
        <v>6588</v>
      </c>
      <c r="Z194" s="1129">
        <v>0</v>
      </c>
      <c r="AA194" s="1129">
        <v>0</v>
      </c>
      <c r="AB194" s="1129">
        <v>0</v>
      </c>
      <c r="AC194" s="1129">
        <v>0</v>
      </c>
      <c r="AD194" s="1098">
        <v>0</v>
      </c>
      <c r="AE194" s="1135">
        <v>0</v>
      </c>
      <c r="AF194" s="1129">
        <v>0</v>
      </c>
      <c r="AG194" s="1127">
        <v>0</v>
      </c>
      <c r="AH194" s="1127">
        <v>1</v>
      </c>
      <c r="AI194" s="1127">
        <v>0</v>
      </c>
      <c r="AJ194" s="1127">
        <v>1</v>
      </c>
      <c r="AK194" s="1129">
        <v>0</v>
      </c>
      <c r="AL194" s="1129">
        <v>0</v>
      </c>
      <c r="AM194" s="1129">
        <v>0</v>
      </c>
      <c r="AN194" s="1129">
        <v>0</v>
      </c>
      <c r="AO194" s="1129" t="s">
        <v>131</v>
      </c>
      <c r="AP194" s="1129" t="s">
        <v>96</v>
      </c>
      <c r="AQ194" s="1157">
        <v>2014</v>
      </c>
      <c r="AR194" s="1129" t="s">
        <v>87</v>
      </c>
      <c r="AS194" s="1129"/>
      <c r="AT194" s="1127">
        <v>0.33333333333333331</v>
      </c>
      <c r="AU194" s="1127">
        <v>0.33333333333333331</v>
      </c>
      <c r="AV194" s="1127">
        <v>0.33333333333333331</v>
      </c>
      <c r="AW194" s="1127"/>
      <c r="AX194" s="1127"/>
      <c r="AY194" s="1127"/>
      <c r="AZ194" s="1127"/>
      <c r="BA194" s="1127"/>
      <c r="BB194" s="1129">
        <v>0</v>
      </c>
      <c r="BC194" s="1129">
        <v>0</v>
      </c>
      <c r="BD194" s="1129">
        <v>0</v>
      </c>
      <c r="BE194" s="1129">
        <v>0</v>
      </c>
      <c r="BF194" s="1129">
        <v>0</v>
      </c>
      <c r="BG194" s="1129">
        <v>0</v>
      </c>
      <c r="BH194" s="1129">
        <v>0</v>
      </c>
      <c r="BI194" s="1129">
        <v>0</v>
      </c>
      <c r="BJ194" s="1129">
        <v>0</v>
      </c>
      <c r="BK194" s="971"/>
    </row>
    <row r="195" spans="1:67" s="1278" customFormat="1" ht="49.5">
      <c r="A195" s="1272">
        <v>2000</v>
      </c>
      <c r="B195" s="971" t="s">
        <v>119</v>
      </c>
      <c r="C195" s="1272">
        <v>2300</v>
      </c>
      <c r="D195" s="971" t="s">
        <v>222</v>
      </c>
      <c r="E195" s="971" t="s">
        <v>263</v>
      </c>
      <c r="F195" s="971" t="s">
        <v>264</v>
      </c>
      <c r="G195" s="971" t="s">
        <v>280</v>
      </c>
      <c r="H195" s="971" t="s">
        <v>266</v>
      </c>
      <c r="I195" s="1273" t="s">
        <v>410</v>
      </c>
      <c r="J195" s="971" t="s">
        <v>239</v>
      </c>
      <c r="K195" s="971"/>
      <c r="L195" s="971" t="s">
        <v>270</v>
      </c>
      <c r="M195" s="971" t="s">
        <v>270</v>
      </c>
      <c r="N195" s="971"/>
      <c r="O195" s="971" t="s">
        <v>270</v>
      </c>
      <c r="P195" s="971"/>
      <c r="Q195" s="971" t="s">
        <v>364</v>
      </c>
      <c r="R195" s="971" t="s">
        <v>411</v>
      </c>
      <c r="S195" s="1274">
        <v>1</v>
      </c>
      <c r="T195" s="971" t="s">
        <v>242</v>
      </c>
      <c r="U195" s="1275" t="s">
        <v>6588</v>
      </c>
      <c r="V195" s="1275" t="s">
        <v>6588</v>
      </c>
      <c r="W195" s="1275" t="s">
        <v>6588</v>
      </c>
      <c r="X195" s="1275" t="s">
        <v>6588</v>
      </c>
      <c r="Y195" s="1275" t="s">
        <v>6588</v>
      </c>
      <c r="Z195" s="1129">
        <v>0</v>
      </c>
      <c r="AA195" s="1129">
        <v>0</v>
      </c>
      <c r="AB195" s="1129">
        <v>0</v>
      </c>
      <c r="AC195" s="1129">
        <v>0</v>
      </c>
      <c r="AD195" s="1098">
        <v>0</v>
      </c>
      <c r="AE195" s="1135">
        <v>0</v>
      </c>
      <c r="AF195" s="1129">
        <v>0</v>
      </c>
      <c r="AG195" s="1127">
        <v>0</v>
      </c>
      <c r="AH195" s="1127">
        <v>1</v>
      </c>
      <c r="AI195" s="1127">
        <v>0</v>
      </c>
      <c r="AJ195" s="1127">
        <v>1</v>
      </c>
      <c r="AK195" s="1129">
        <v>0</v>
      </c>
      <c r="AL195" s="1129">
        <v>0</v>
      </c>
      <c r="AM195" s="1129">
        <v>0</v>
      </c>
      <c r="AN195" s="1129">
        <v>0</v>
      </c>
      <c r="AO195" s="1129" t="s">
        <v>131</v>
      </c>
      <c r="AP195" s="1129" t="s">
        <v>96</v>
      </c>
      <c r="AQ195" s="1157">
        <v>2014</v>
      </c>
      <c r="AR195" s="1129" t="s">
        <v>87</v>
      </c>
      <c r="AS195" s="1129"/>
      <c r="AT195" s="1127">
        <v>0.33333333333333331</v>
      </c>
      <c r="AU195" s="1127">
        <v>0.33333333333333331</v>
      </c>
      <c r="AV195" s="1127">
        <v>0.33333333333333331</v>
      </c>
      <c r="AW195" s="1127"/>
      <c r="AX195" s="1127"/>
      <c r="AY195" s="1127"/>
      <c r="AZ195" s="1127"/>
      <c r="BA195" s="1127"/>
      <c r="BB195" s="1129">
        <v>0</v>
      </c>
      <c r="BC195" s="1129">
        <v>0</v>
      </c>
      <c r="BD195" s="1129">
        <v>0</v>
      </c>
      <c r="BE195" s="1129">
        <v>0</v>
      </c>
      <c r="BF195" s="1129">
        <v>0</v>
      </c>
      <c r="BG195" s="1129">
        <v>0</v>
      </c>
      <c r="BH195" s="1129">
        <v>0</v>
      </c>
      <c r="BI195" s="1129">
        <v>0</v>
      </c>
      <c r="BJ195" s="1129">
        <v>0</v>
      </c>
      <c r="BK195" s="971"/>
    </row>
    <row r="196" spans="1:67" s="1278" customFormat="1" ht="49.5">
      <c r="A196" s="1272">
        <v>2000</v>
      </c>
      <c r="B196" s="971" t="s">
        <v>119</v>
      </c>
      <c r="C196" s="1272">
        <v>2300</v>
      </c>
      <c r="D196" s="971" t="s">
        <v>222</v>
      </c>
      <c r="E196" s="971" t="s">
        <v>263</v>
      </c>
      <c r="F196" s="971" t="s">
        <v>264</v>
      </c>
      <c r="G196" s="971" t="s">
        <v>280</v>
      </c>
      <c r="H196" s="971" t="s">
        <v>266</v>
      </c>
      <c r="I196" s="1273" t="s">
        <v>412</v>
      </c>
      <c r="J196" s="971" t="s">
        <v>239</v>
      </c>
      <c r="K196" s="971"/>
      <c r="L196" s="971" t="s">
        <v>270</v>
      </c>
      <c r="M196" s="971" t="s">
        <v>270</v>
      </c>
      <c r="N196" s="971"/>
      <c r="O196" s="971" t="s">
        <v>270</v>
      </c>
      <c r="P196" s="971"/>
      <c r="Q196" s="971" t="s">
        <v>371</v>
      </c>
      <c r="R196" s="971" t="s">
        <v>413</v>
      </c>
      <c r="S196" s="1274">
        <v>1</v>
      </c>
      <c r="T196" s="971" t="s">
        <v>242</v>
      </c>
      <c r="U196" s="1275" t="s">
        <v>6588</v>
      </c>
      <c r="V196" s="1275" t="s">
        <v>6588</v>
      </c>
      <c r="W196" s="1275" t="s">
        <v>6588</v>
      </c>
      <c r="X196" s="1275" t="s">
        <v>6588</v>
      </c>
      <c r="Y196" s="1275" t="s">
        <v>6588</v>
      </c>
      <c r="Z196" s="1129">
        <v>0</v>
      </c>
      <c r="AA196" s="1129">
        <v>0</v>
      </c>
      <c r="AB196" s="1129">
        <v>0</v>
      </c>
      <c r="AC196" s="1129">
        <v>0</v>
      </c>
      <c r="AD196" s="1098">
        <v>0</v>
      </c>
      <c r="AE196" s="1135">
        <v>0</v>
      </c>
      <c r="AF196" s="1129">
        <v>0</v>
      </c>
      <c r="AG196" s="1127">
        <v>0</v>
      </c>
      <c r="AH196" s="1127">
        <v>1</v>
      </c>
      <c r="AI196" s="1127">
        <v>0</v>
      </c>
      <c r="AJ196" s="1127">
        <v>1</v>
      </c>
      <c r="AK196" s="1129">
        <v>0</v>
      </c>
      <c r="AL196" s="1129">
        <v>0</v>
      </c>
      <c r="AM196" s="1129">
        <v>0</v>
      </c>
      <c r="AN196" s="1129">
        <v>0</v>
      </c>
      <c r="AO196" s="1129" t="s">
        <v>131</v>
      </c>
      <c r="AP196" s="1129" t="s">
        <v>96</v>
      </c>
      <c r="AQ196" s="1157">
        <v>2014</v>
      </c>
      <c r="AR196" s="1129" t="s">
        <v>87</v>
      </c>
      <c r="AS196" s="1129"/>
      <c r="AT196" s="1127">
        <v>0.33333333333333331</v>
      </c>
      <c r="AU196" s="1127">
        <v>0.33333333333333331</v>
      </c>
      <c r="AV196" s="1127">
        <v>0.33333333333333331</v>
      </c>
      <c r="AW196" s="1127"/>
      <c r="AX196" s="1127"/>
      <c r="AY196" s="1127"/>
      <c r="AZ196" s="1127"/>
      <c r="BA196" s="1127"/>
      <c r="BB196" s="1129">
        <v>0</v>
      </c>
      <c r="BC196" s="1129">
        <v>0</v>
      </c>
      <c r="BD196" s="1129">
        <v>0</v>
      </c>
      <c r="BE196" s="1129">
        <v>0</v>
      </c>
      <c r="BF196" s="1129">
        <v>0</v>
      </c>
      <c r="BG196" s="1129">
        <v>0</v>
      </c>
      <c r="BH196" s="1129">
        <v>0</v>
      </c>
      <c r="BI196" s="1129">
        <v>0</v>
      </c>
      <c r="BJ196" s="1129">
        <v>0</v>
      </c>
      <c r="BK196" s="971"/>
    </row>
    <row r="197" spans="1:67" s="1278" customFormat="1" ht="49.5">
      <c r="A197" s="1272">
        <v>2000</v>
      </c>
      <c r="B197" s="971" t="s">
        <v>119</v>
      </c>
      <c r="C197" s="1272">
        <v>2300</v>
      </c>
      <c r="D197" s="971" t="s">
        <v>222</v>
      </c>
      <c r="E197" s="971" t="s">
        <v>263</v>
      </c>
      <c r="F197" s="971" t="s">
        <v>264</v>
      </c>
      <c r="G197" s="971" t="s">
        <v>280</v>
      </c>
      <c r="H197" s="971" t="s">
        <v>266</v>
      </c>
      <c r="I197" s="1273" t="s">
        <v>414</v>
      </c>
      <c r="J197" s="971" t="s">
        <v>239</v>
      </c>
      <c r="K197" s="971"/>
      <c r="L197" s="971" t="s">
        <v>270</v>
      </c>
      <c r="M197" s="971" t="s">
        <v>270</v>
      </c>
      <c r="N197" s="971"/>
      <c r="O197" s="971" t="s">
        <v>270</v>
      </c>
      <c r="P197" s="971"/>
      <c r="Q197" s="971" t="s">
        <v>371</v>
      </c>
      <c r="R197" s="971" t="s">
        <v>415</v>
      </c>
      <c r="S197" s="1274">
        <v>1</v>
      </c>
      <c r="T197" s="971" t="s">
        <v>242</v>
      </c>
      <c r="U197" s="1275" t="s">
        <v>6588</v>
      </c>
      <c r="V197" s="1275" t="s">
        <v>6588</v>
      </c>
      <c r="W197" s="1275" t="s">
        <v>6588</v>
      </c>
      <c r="X197" s="1275" t="s">
        <v>6588</v>
      </c>
      <c r="Y197" s="1275" t="s">
        <v>6588</v>
      </c>
      <c r="Z197" s="1129">
        <v>0</v>
      </c>
      <c r="AA197" s="1129">
        <v>0</v>
      </c>
      <c r="AB197" s="1129">
        <v>0</v>
      </c>
      <c r="AC197" s="1129">
        <v>0</v>
      </c>
      <c r="AD197" s="1098">
        <v>0</v>
      </c>
      <c r="AE197" s="1135">
        <v>0</v>
      </c>
      <c r="AF197" s="1129">
        <v>0</v>
      </c>
      <c r="AG197" s="1127">
        <v>0</v>
      </c>
      <c r="AH197" s="1127">
        <v>1</v>
      </c>
      <c r="AI197" s="1127">
        <v>0</v>
      </c>
      <c r="AJ197" s="1127">
        <v>1</v>
      </c>
      <c r="AK197" s="1129">
        <v>0</v>
      </c>
      <c r="AL197" s="1129">
        <v>0</v>
      </c>
      <c r="AM197" s="1129">
        <v>0</v>
      </c>
      <c r="AN197" s="1129">
        <v>0</v>
      </c>
      <c r="AO197" s="1129" t="s">
        <v>131</v>
      </c>
      <c r="AP197" s="1129" t="s">
        <v>96</v>
      </c>
      <c r="AQ197" s="1157">
        <v>2014</v>
      </c>
      <c r="AR197" s="1129" t="s">
        <v>87</v>
      </c>
      <c r="AS197" s="1129"/>
      <c r="AT197" s="1127">
        <v>0.33333333333333331</v>
      </c>
      <c r="AU197" s="1127">
        <v>0.33333333333333331</v>
      </c>
      <c r="AV197" s="1127">
        <v>0.33333333333333331</v>
      </c>
      <c r="AW197" s="1127"/>
      <c r="AX197" s="1127"/>
      <c r="AY197" s="1127"/>
      <c r="AZ197" s="1127"/>
      <c r="BA197" s="1127"/>
      <c r="BB197" s="1129">
        <v>0</v>
      </c>
      <c r="BC197" s="1129">
        <v>0</v>
      </c>
      <c r="BD197" s="1129">
        <v>0</v>
      </c>
      <c r="BE197" s="1129">
        <v>0</v>
      </c>
      <c r="BF197" s="1129">
        <v>0</v>
      </c>
      <c r="BG197" s="1129">
        <v>0</v>
      </c>
      <c r="BH197" s="1129">
        <v>0</v>
      </c>
      <c r="BI197" s="1129">
        <v>0</v>
      </c>
      <c r="BJ197" s="1129">
        <v>0</v>
      </c>
      <c r="BK197" s="971"/>
    </row>
    <row r="198" spans="1:67" s="1247" customFormat="1" ht="66">
      <c r="A198" s="1272">
        <v>2000</v>
      </c>
      <c r="B198" s="971" t="s">
        <v>119</v>
      </c>
      <c r="C198" s="1272">
        <v>2200</v>
      </c>
      <c r="D198" s="971" t="s">
        <v>208</v>
      </c>
      <c r="E198" s="971" t="s">
        <v>209</v>
      </c>
      <c r="F198" s="971" t="s">
        <v>210</v>
      </c>
      <c r="G198" s="971" t="s">
        <v>211</v>
      </c>
      <c r="H198" s="971" t="s">
        <v>212</v>
      </c>
      <c r="I198" s="971" t="s">
        <v>213</v>
      </c>
      <c r="J198" s="971" t="s">
        <v>124</v>
      </c>
      <c r="K198" s="971" t="s">
        <v>784</v>
      </c>
      <c r="L198" s="971" t="s">
        <v>2852</v>
      </c>
      <c r="M198" s="971" t="s">
        <v>214</v>
      </c>
      <c r="N198" s="971" t="s">
        <v>127</v>
      </c>
      <c r="O198" s="971" t="s">
        <v>215</v>
      </c>
      <c r="P198" s="971"/>
      <c r="Q198" s="971" t="s">
        <v>216</v>
      </c>
      <c r="R198" s="971" t="s">
        <v>217</v>
      </c>
      <c r="S198" s="1274">
        <v>44.609665427509292</v>
      </c>
      <c r="T198" s="971" t="s">
        <v>136</v>
      </c>
      <c r="U198" s="1275">
        <v>0.22416666666666665</v>
      </c>
      <c r="V198" s="1275">
        <v>3.3624999999999998</v>
      </c>
      <c r="W198" s="1275">
        <v>22.397249563492064</v>
      </c>
      <c r="X198" s="1275">
        <v>33.625</v>
      </c>
      <c r="Y198" s="1275">
        <v>59.384749563492065</v>
      </c>
      <c r="Z198" s="1129">
        <v>9.9999999999999982</v>
      </c>
      <c r="AA198" s="1129">
        <v>149.99999999999997</v>
      </c>
      <c r="AB198" s="1129">
        <v>999.13380952380953</v>
      </c>
      <c r="AC198" s="1129">
        <v>1500</v>
      </c>
      <c r="AD198" s="1098">
        <v>2649.1338095238098</v>
      </c>
      <c r="AE198" s="1135">
        <v>1</v>
      </c>
      <c r="AF198" s="1129">
        <v>44.609665427509292</v>
      </c>
      <c r="AG198" s="1127">
        <v>0</v>
      </c>
      <c r="AH198" s="1127">
        <v>1</v>
      </c>
      <c r="AI198" s="1127">
        <v>0</v>
      </c>
      <c r="AJ198" s="1127">
        <v>1</v>
      </c>
      <c r="AK198" s="1129">
        <v>0</v>
      </c>
      <c r="AL198" s="1129">
        <v>2649.1338095238098</v>
      </c>
      <c r="AM198" s="1129">
        <v>0</v>
      </c>
      <c r="AN198" s="1129">
        <v>2649.1338095238098</v>
      </c>
      <c r="AO198" s="1129" t="s">
        <v>131</v>
      </c>
      <c r="AP198" s="1129" t="s">
        <v>96</v>
      </c>
      <c r="AQ198" s="1157">
        <v>2014</v>
      </c>
      <c r="AR198" s="1129" t="s">
        <v>87</v>
      </c>
      <c r="AS198" s="1129"/>
      <c r="AT198" s="1127">
        <v>0.33333333333333331</v>
      </c>
      <c r="AU198" s="1127">
        <v>0.33333333333333331</v>
      </c>
      <c r="AV198" s="1127">
        <v>0.33333333333333331</v>
      </c>
      <c r="AW198" s="1127"/>
      <c r="AX198" s="1127"/>
      <c r="AY198" s="1127"/>
      <c r="AZ198" s="1127"/>
      <c r="BA198" s="1127"/>
      <c r="BB198" s="1129">
        <v>0</v>
      </c>
      <c r="BC198" s="1129">
        <v>883.04460317460325</v>
      </c>
      <c r="BD198" s="1129">
        <v>883.04460317460325</v>
      </c>
      <c r="BE198" s="1129">
        <v>883.04460317460325</v>
      </c>
      <c r="BF198" s="1129">
        <v>0</v>
      </c>
      <c r="BG198" s="1129">
        <v>0</v>
      </c>
      <c r="BH198" s="1129">
        <v>0</v>
      </c>
      <c r="BI198" s="1129">
        <v>0</v>
      </c>
      <c r="BJ198" s="1129">
        <v>0</v>
      </c>
      <c r="BK198" s="971" t="s">
        <v>132</v>
      </c>
      <c r="BL198" s="971"/>
      <c r="BM198" s="971"/>
      <c r="BN198" s="1246"/>
      <c r="BO198" s="1247" t="s">
        <v>784</v>
      </c>
    </row>
    <row r="199" spans="1:67" s="1247" customFormat="1" ht="49.5">
      <c r="A199" s="1272">
        <v>2000</v>
      </c>
      <c r="B199" s="971" t="s">
        <v>119</v>
      </c>
      <c r="C199" s="1272">
        <v>2200</v>
      </c>
      <c r="D199" s="971" t="s">
        <v>208</v>
      </c>
      <c r="E199" s="971" t="s">
        <v>209</v>
      </c>
      <c r="F199" s="971" t="s">
        <v>210</v>
      </c>
      <c r="G199" s="971" t="s">
        <v>211</v>
      </c>
      <c r="H199" s="971" t="s">
        <v>212</v>
      </c>
      <c r="I199" s="971" t="s">
        <v>218</v>
      </c>
      <c r="J199" s="971" t="s">
        <v>124</v>
      </c>
      <c r="K199" s="971" t="s">
        <v>140</v>
      </c>
      <c r="L199" s="971" t="s">
        <v>2909</v>
      </c>
      <c r="M199" s="971" t="s">
        <v>140</v>
      </c>
      <c r="N199" s="971" t="s">
        <v>141</v>
      </c>
      <c r="O199" s="971" t="s">
        <v>142</v>
      </c>
      <c r="P199" s="971"/>
      <c r="Q199" s="971" t="s">
        <v>219</v>
      </c>
      <c r="R199" s="971" t="s">
        <v>217</v>
      </c>
      <c r="S199" s="1274">
        <v>44.609665427509292</v>
      </c>
      <c r="T199" s="971" t="s">
        <v>136</v>
      </c>
      <c r="U199" s="1275">
        <v>0</v>
      </c>
      <c r="V199" s="1275">
        <v>0</v>
      </c>
      <c r="W199" s="1275">
        <v>0</v>
      </c>
      <c r="X199" s="1275">
        <v>0</v>
      </c>
      <c r="Y199" s="1275">
        <v>0</v>
      </c>
      <c r="Z199" s="1129">
        <v>0</v>
      </c>
      <c r="AA199" s="1129">
        <v>0</v>
      </c>
      <c r="AB199" s="1129">
        <v>0</v>
      </c>
      <c r="AC199" s="1129">
        <v>0</v>
      </c>
      <c r="AD199" s="1098">
        <v>0</v>
      </c>
      <c r="AE199" s="1135">
        <v>0</v>
      </c>
      <c r="AF199" s="1129">
        <v>0</v>
      </c>
      <c r="AG199" s="1127">
        <v>0</v>
      </c>
      <c r="AH199" s="1127">
        <v>1</v>
      </c>
      <c r="AI199" s="1127">
        <v>0</v>
      </c>
      <c r="AJ199" s="1127">
        <v>1</v>
      </c>
      <c r="AK199" s="1129">
        <v>0</v>
      </c>
      <c r="AL199" s="1129">
        <v>0</v>
      </c>
      <c r="AM199" s="1129">
        <v>0</v>
      </c>
      <c r="AN199" s="1129">
        <v>0</v>
      </c>
      <c r="AO199" s="1129" t="s">
        <v>131</v>
      </c>
      <c r="AP199" s="1129" t="s">
        <v>96</v>
      </c>
      <c r="AQ199" s="1157">
        <v>2014</v>
      </c>
      <c r="AR199" s="1129" t="s">
        <v>87</v>
      </c>
      <c r="AS199" s="1129"/>
      <c r="AT199" s="1127">
        <v>0.33333333333333331</v>
      </c>
      <c r="AU199" s="1127">
        <v>0.33333333333333331</v>
      </c>
      <c r="AV199" s="1127">
        <v>0.33333333333333331</v>
      </c>
      <c r="AW199" s="1127"/>
      <c r="AX199" s="1127"/>
      <c r="AY199" s="1127"/>
      <c r="AZ199" s="1127"/>
      <c r="BA199" s="1127"/>
      <c r="BB199" s="1129">
        <v>0</v>
      </c>
      <c r="BC199" s="1129">
        <v>0</v>
      </c>
      <c r="BD199" s="1129">
        <v>0</v>
      </c>
      <c r="BE199" s="1129">
        <v>0</v>
      </c>
      <c r="BF199" s="1129">
        <v>0</v>
      </c>
      <c r="BG199" s="1129">
        <v>0</v>
      </c>
      <c r="BH199" s="1129">
        <v>0</v>
      </c>
      <c r="BI199" s="1129">
        <v>0</v>
      </c>
      <c r="BJ199" s="1129">
        <v>0</v>
      </c>
      <c r="BK199" s="971"/>
      <c r="BL199" s="971"/>
      <c r="BM199" s="971"/>
      <c r="BN199" s="1246"/>
      <c r="BO199" s="1247" t="s">
        <v>140</v>
      </c>
    </row>
    <row r="200" spans="1:67" s="1247" customFormat="1" ht="49.5">
      <c r="A200" s="1272">
        <v>2000</v>
      </c>
      <c r="B200" s="971" t="s">
        <v>119</v>
      </c>
      <c r="C200" s="1272">
        <v>2200</v>
      </c>
      <c r="D200" s="971" t="s">
        <v>208</v>
      </c>
      <c r="E200" s="971" t="s">
        <v>209</v>
      </c>
      <c r="F200" s="971" t="s">
        <v>210</v>
      </c>
      <c r="G200" s="971" t="s">
        <v>211</v>
      </c>
      <c r="H200" s="971" t="s">
        <v>212</v>
      </c>
      <c r="I200" s="971" t="s">
        <v>220</v>
      </c>
      <c r="J200" s="971" t="s">
        <v>124</v>
      </c>
      <c r="K200" s="971"/>
      <c r="L200" s="971" t="e">
        <v>#N/A</v>
      </c>
      <c r="M200" s="971" t="s">
        <v>145</v>
      </c>
      <c r="N200" s="971" t="s">
        <v>141</v>
      </c>
      <c r="O200" s="971" t="s">
        <v>146</v>
      </c>
      <c r="P200" s="971"/>
      <c r="Q200" s="971" t="s">
        <v>221</v>
      </c>
      <c r="R200" s="971" t="s">
        <v>217</v>
      </c>
      <c r="S200" s="1274">
        <v>44.609665427509292</v>
      </c>
      <c r="T200" s="971" t="s">
        <v>136</v>
      </c>
      <c r="U200" s="1275" t="s">
        <v>6588</v>
      </c>
      <c r="V200" s="1275" t="s">
        <v>6588</v>
      </c>
      <c r="W200" s="1275" t="s">
        <v>6588</v>
      </c>
      <c r="X200" s="1275" t="s">
        <v>6588</v>
      </c>
      <c r="Y200" s="1275" t="s">
        <v>6588</v>
      </c>
      <c r="Z200" s="1129">
        <v>0</v>
      </c>
      <c r="AA200" s="1129">
        <v>0</v>
      </c>
      <c r="AB200" s="1129">
        <v>0</v>
      </c>
      <c r="AC200" s="1129">
        <v>0</v>
      </c>
      <c r="AD200" s="1098">
        <v>0</v>
      </c>
      <c r="AE200" s="1135">
        <v>0</v>
      </c>
      <c r="AF200" s="1129">
        <v>0</v>
      </c>
      <c r="AG200" s="1127">
        <v>0</v>
      </c>
      <c r="AH200" s="1127">
        <v>1</v>
      </c>
      <c r="AI200" s="1127">
        <v>0</v>
      </c>
      <c r="AJ200" s="1127">
        <v>1</v>
      </c>
      <c r="AK200" s="1129">
        <v>0</v>
      </c>
      <c r="AL200" s="1129">
        <v>0</v>
      </c>
      <c r="AM200" s="1129">
        <v>0</v>
      </c>
      <c r="AN200" s="1129">
        <v>0</v>
      </c>
      <c r="AO200" s="1129" t="s">
        <v>131</v>
      </c>
      <c r="AP200" s="1129" t="s">
        <v>96</v>
      </c>
      <c r="AQ200" s="1157">
        <v>2014</v>
      </c>
      <c r="AR200" s="1129" t="s">
        <v>87</v>
      </c>
      <c r="AS200" s="1129"/>
      <c r="AT200" s="1127">
        <v>0.33333333333333331</v>
      </c>
      <c r="AU200" s="1127">
        <v>0.33333333333333331</v>
      </c>
      <c r="AV200" s="1127">
        <v>0.33333333333333331</v>
      </c>
      <c r="AW200" s="1127"/>
      <c r="AX200" s="1127"/>
      <c r="AY200" s="1127"/>
      <c r="AZ200" s="1127"/>
      <c r="BA200" s="1127"/>
      <c r="BB200" s="1129">
        <v>0</v>
      </c>
      <c r="BC200" s="1129">
        <v>0</v>
      </c>
      <c r="BD200" s="1129">
        <v>0</v>
      </c>
      <c r="BE200" s="1129">
        <v>0</v>
      </c>
      <c r="BF200" s="1129">
        <v>0</v>
      </c>
      <c r="BG200" s="1129">
        <v>0</v>
      </c>
      <c r="BH200" s="1129">
        <v>0</v>
      </c>
      <c r="BI200" s="1129">
        <v>0</v>
      </c>
      <c r="BJ200" s="1129">
        <v>0</v>
      </c>
      <c r="BK200" s="971"/>
      <c r="BL200" s="971"/>
      <c r="BM200" s="971"/>
      <c r="BN200" s="1246"/>
      <c r="BO200" s="1247">
        <v>0</v>
      </c>
    </row>
    <row r="201" spans="1:67" s="1278" customFormat="1" ht="16.5">
      <c r="A201" s="1258"/>
      <c r="B201" s="1265"/>
      <c r="C201" s="1258"/>
      <c r="D201" s="1265"/>
      <c r="E201" s="1265"/>
      <c r="F201" s="1265"/>
      <c r="G201" s="1265"/>
      <c r="H201" s="1265"/>
      <c r="I201" s="1263"/>
      <c r="J201" s="1265"/>
      <c r="K201" s="1265"/>
      <c r="L201" s="1265"/>
      <c r="M201" s="1265"/>
      <c r="N201" s="1265"/>
      <c r="O201" s="1265"/>
      <c r="P201" s="1265"/>
      <c r="Q201" s="1265"/>
      <c r="R201" s="1265"/>
      <c r="S201" s="1257"/>
      <c r="T201" s="1265"/>
      <c r="U201" s="1248"/>
      <c r="V201" s="1248"/>
      <c r="W201" s="1248"/>
      <c r="X201" s="1248"/>
      <c r="Y201" s="1248"/>
      <c r="Z201" s="1256"/>
      <c r="AA201" s="1256"/>
      <c r="AB201" s="1256"/>
      <c r="AC201" s="1256"/>
      <c r="AD201" s="1262"/>
      <c r="AE201" s="1264"/>
      <c r="AF201" s="1256"/>
      <c r="AG201" s="1254"/>
      <c r="AH201" s="1254"/>
      <c r="AI201" s="1254"/>
      <c r="AJ201" s="1254"/>
      <c r="AK201" s="1256"/>
      <c r="AL201" s="1256"/>
      <c r="AM201" s="1256"/>
      <c r="AN201" s="1256"/>
      <c r="AO201" s="1256"/>
      <c r="AP201" s="1256"/>
      <c r="AQ201" s="1277"/>
      <c r="AR201" s="1256"/>
      <c r="AS201" s="1256"/>
      <c r="AT201" s="1254"/>
      <c r="AU201" s="1254"/>
      <c r="AV201" s="1254"/>
      <c r="AW201" s="1254"/>
      <c r="AX201" s="1254"/>
      <c r="AY201" s="1254"/>
      <c r="AZ201" s="1254"/>
      <c r="BA201" s="1254"/>
      <c r="BB201" s="1256"/>
      <c r="BC201" s="1256"/>
      <c r="BD201" s="1256"/>
      <c r="BE201" s="1256"/>
      <c r="BF201" s="1256"/>
      <c r="BG201" s="1256"/>
      <c r="BH201" s="1256"/>
      <c r="BI201" s="1256"/>
      <c r="BJ201" s="1256"/>
      <c r="BK201" s="1265"/>
    </row>
    <row r="202" spans="1:67">
      <c r="AF202" s="818"/>
    </row>
    <row r="203" spans="1:67" ht="16.5">
      <c r="AD203" s="1248"/>
      <c r="AE203" s="1248"/>
      <c r="AF203" s="1248" t="s">
        <v>6616</v>
      </c>
      <c r="AG203" s="1248"/>
      <c r="AH203" s="1248" t="s">
        <v>6617</v>
      </c>
    </row>
    <row r="204" spans="1:67" ht="16.5">
      <c r="AD204" s="1249" t="e">
        <f>SUM(AD5:AD197)</f>
        <v>#REF!</v>
      </c>
      <c r="AE204" s="1249"/>
      <c r="AF204" s="1249" t="e">
        <f>SUM(AF5:AF197)</f>
        <v>#REF!</v>
      </c>
      <c r="AG204" s="1248"/>
      <c r="AH204" s="1248" t="e">
        <f>AF204/6</f>
        <v>#REF!</v>
      </c>
    </row>
    <row r="205" spans="1:67" ht="16.5">
      <c r="AD205" s="1248"/>
      <c r="AE205" s="1248"/>
      <c r="AF205" s="1248"/>
      <c r="AG205" s="1248"/>
      <c r="AH205" s="1248"/>
    </row>
    <row r="206" spans="1:67" ht="16.5">
      <c r="AD206" s="1248"/>
      <c r="AE206" s="1248"/>
      <c r="AF206" s="1248"/>
      <c r="AG206" s="1248"/>
      <c r="AH206" s="1248"/>
    </row>
    <row r="207" spans="1:67" ht="16.5">
      <c r="AD207" s="1248"/>
      <c r="AE207" s="1248"/>
      <c r="AF207" s="1249" t="e">
        <f>AF204*44.3687478668719/6</f>
        <v>#REF!</v>
      </c>
      <c r="AG207" s="1248"/>
      <c r="AH207" s="1249" t="e">
        <f>AH204*44.3687478668719</f>
        <v>#REF!</v>
      </c>
    </row>
    <row r="208" spans="1:67" ht="16.5">
      <c r="AD208" s="1248"/>
      <c r="AE208" s="1248"/>
      <c r="AF208" s="1248"/>
      <c r="AG208" s="1248"/>
      <c r="AH208" s="1248"/>
    </row>
    <row r="209" spans="30:34" ht="16.5">
      <c r="AD209" s="1248"/>
      <c r="AE209" s="1248"/>
      <c r="AF209" s="1248"/>
      <c r="AG209" s="1248"/>
      <c r="AH209" s="1248"/>
    </row>
    <row r="210" spans="30:34" ht="16.5">
      <c r="AD210" s="1248"/>
      <c r="AE210" s="1248"/>
      <c r="AF210" s="1248"/>
      <c r="AG210" s="1248"/>
      <c r="AH210" s="1248"/>
    </row>
    <row r="211" spans="30:34" ht="16.5">
      <c r="AD211" s="1249" t="e">
        <f>SUM(AD204,AF207)</f>
        <v>#REF!</v>
      </c>
      <c r="AE211" s="1248"/>
      <c r="AF211" s="1248"/>
      <c r="AG211" s="1248"/>
      <c r="AH211" s="1248"/>
    </row>
  </sheetData>
  <autoFilter ref="A4:BK200" xr:uid="{00000000-0009-0000-0000-000028000000}"/>
  <pageMargins left="0.7" right="0.7" top="0.75" bottom="0.75" header="0.3" footer="0.3"/>
  <pageSetup paperSize="119" scale="3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M455"/>
  <sheetViews>
    <sheetView topLeftCell="G1" zoomScale="50" zoomScaleNormal="50" workbookViewId="0">
      <pane ySplit="4" topLeftCell="A396" activePane="bottomLeft" state="frozen"/>
      <selection activeCell="G3" sqref="G3"/>
      <selection pane="bottomLeft" activeCell="G3" sqref="G3"/>
    </sheetView>
  </sheetViews>
  <sheetFormatPr defaultColWidth="9.1796875" defaultRowHeight="14.5"/>
  <cols>
    <col min="1" max="1" width="7.54296875" customWidth="1"/>
    <col min="2" max="2" width="16.7265625" customWidth="1"/>
    <col min="3" max="3" width="7.54296875" customWidth="1"/>
    <col min="4" max="4" width="14.7265625" customWidth="1"/>
    <col min="5" max="5" width="7.54296875" customWidth="1"/>
    <col min="6" max="6" width="19.54296875" customWidth="1"/>
    <col min="7" max="7" width="7.54296875" customWidth="1"/>
    <col min="8" max="8" width="18.7265625" customWidth="1"/>
    <col min="9" max="11" width="7.54296875" customWidth="1"/>
    <col min="12" max="12" width="19.81640625" customWidth="1"/>
    <col min="13" max="15" width="14.54296875" customWidth="1"/>
    <col min="16" max="16" width="15.54296875" customWidth="1"/>
    <col min="17" max="17" width="42.453125" customWidth="1"/>
    <col min="18" max="18" width="18.1796875" customWidth="1"/>
    <col min="19" max="19" width="13" customWidth="1"/>
    <col min="20" max="20" width="5.54296875" customWidth="1"/>
    <col min="21" max="22" width="8.1796875" customWidth="1"/>
    <col min="23" max="23" width="14.1796875" bestFit="1" customWidth="1"/>
    <col min="24" max="24" width="14.1796875" customWidth="1"/>
    <col min="25" max="25" width="11.81640625" customWidth="1"/>
    <col min="26" max="27" width="8.1796875" customWidth="1"/>
    <col min="28" max="29" width="10.453125" customWidth="1"/>
    <col min="30" max="30" width="14.1796875" customWidth="1"/>
    <col min="31" max="31" width="6.7265625" customWidth="1"/>
    <col min="32" max="33" width="14.1796875" customWidth="1"/>
    <col min="34" max="34" width="17.26953125" customWidth="1"/>
    <col min="35" max="36" width="8.1796875" customWidth="1"/>
    <col min="37" max="37" width="11" customWidth="1"/>
    <col min="38" max="39" width="8.1796875" customWidth="1"/>
    <col min="40" max="40" width="11" customWidth="1"/>
    <col min="41" max="41" width="17.81640625" customWidth="1"/>
    <col min="42" max="42" width="15.1796875" customWidth="1"/>
    <col min="43" max="43" width="9.54296875" customWidth="1"/>
    <col min="44" max="44" width="9" customWidth="1"/>
    <col min="45" max="47" width="6.7265625" customWidth="1"/>
    <col min="48" max="52" width="5" customWidth="1"/>
    <col min="53" max="55" width="9.81640625" customWidth="1"/>
    <col min="56" max="60" width="8.1796875" customWidth="1"/>
    <col min="61" max="62" width="19" customWidth="1"/>
    <col min="63" max="63" width="35.81640625" customWidth="1"/>
  </cols>
  <sheetData>
    <row r="1" spans="1:65" ht="26">
      <c r="A1" s="1290" t="s">
        <v>6618</v>
      </c>
    </row>
    <row r="4" spans="1:65" s="1137" customFormat="1" ht="175.5" customHeight="1">
      <c r="A4" s="1213" t="s">
        <v>5</v>
      </c>
      <c r="B4" s="1214" t="s">
        <v>6</v>
      </c>
      <c r="C4" s="1215" t="s">
        <v>7</v>
      </c>
      <c r="D4" s="1214" t="s">
        <v>8</v>
      </c>
      <c r="E4" s="1216" t="s">
        <v>9</v>
      </c>
      <c r="F4" s="1214" t="s">
        <v>10</v>
      </c>
      <c r="G4" s="1216" t="s">
        <v>11</v>
      </c>
      <c r="H4" s="1217" t="s">
        <v>12</v>
      </c>
      <c r="I4" s="1218" t="s">
        <v>13</v>
      </c>
      <c r="J4" s="1218" t="s">
        <v>14</v>
      </c>
      <c r="K4" s="1219" t="s">
        <v>15</v>
      </c>
      <c r="L4" s="1253" t="s">
        <v>16</v>
      </c>
      <c r="M4" s="1220" t="s">
        <v>17</v>
      </c>
      <c r="N4" s="1221" t="s">
        <v>18</v>
      </c>
      <c r="O4" s="1222" t="s">
        <v>19</v>
      </c>
      <c r="P4" s="1223" t="s">
        <v>20</v>
      </c>
      <c r="Q4" s="1214" t="s">
        <v>21</v>
      </c>
      <c r="R4" s="1214" t="s">
        <v>22</v>
      </c>
      <c r="S4" s="1224" t="s">
        <v>23</v>
      </c>
      <c r="T4" s="1216" t="s">
        <v>24</v>
      </c>
      <c r="U4" s="1241" t="s">
        <v>25</v>
      </c>
      <c r="V4" s="1241" t="s">
        <v>26</v>
      </c>
      <c r="W4" s="1225" t="s">
        <v>27</v>
      </c>
      <c r="X4" s="1225" t="s">
        <v>28</v>
      </c>
      <c r="Y4" s="1225" t="s">
        <v>29</v>
      </c>
      <c r="Z4" s="1225" t="s">
        <v>30</v>
      </c>
      <c r="AA4" s="1225" t="s">
        <v>31</v>
      </c>
      <c r="AB4" s="1225" t="s">
        <v>32</v>
      </c>
      <c r="AC4" s="1225" t="s">
        <v>33</v>
      </c>
      <c r="AD4" s="1226" t="s">
        <v>34</v>
      </c>
      <c r="AE4" s="1227" t="s">
        <v>35</v>
      </c>
      <c r="AF4" s="1228" t="s">
        <v>36</v>
      </c>
      <c r="AG4" s="1229" t="s">
        <v>37</v>
      </c>
      <c r="AH4" s="1229" t="s">
        <v>38</v>
      </c>
      <c r="AI4" s="1229" t="s">
        <v>39</v>
      </c>
      <c r="AJ4" s="1230" t="s">
        <v>40</v>
      </c>
      <c r="AK4" s="1231" t="s">
        <v>41</v>
      </c>
      <c r="AL4" s="1225" t="s">
        <v>42</v>
      </c>
      <c r="AM4" s="1225" t="s">
        <v>43</v>
      </c>
      <c r="AN4" s="1232" t="s">
        <v>44</v>
      </c>
      <c r="AO4" s="1233" t="s">
        <v>45</v>
      </c>
      <c r="AP4" s="1233" t="s">
        <v>46</v>
      </c>
      <c r="AQ4" s="1234" t="s">
        <v>47</v>
      </c>
      <c r="AR4" s="1233" t="s">
        <v>48</v>
      </c>
      <c r="AS4" s="1229" t="s">
        <v>51</v>
      </c>
      <c r="AT4" s="1229" t="s">
        <v>52</v>
      </c>
      <c r="AU4" s="1229" t="s">
        <v>53</v>
      </c>
      <c r="AV4" s="1229" t="s">
        <v>54</v>
      </c>
      <c r="AW4" s="1229" t="s">
        <v>55</v>
      </c>
      <c r="AX4" s="1229" t="s">
        <v>56</v>
      </c>
      <c r="AY4" s="1229" t="s">
        <v>57</v>
      </c>
      <c r="AZ4" s="1230" t="s">
        <v>58</v>
      </c>
      <c r="BA4" s="1231" t="s">
        <v>64</v>
      </c>
      <c r="BB4" s="1225" t="s">
        <v>65</v>
      </c>
      <c r="BC4" s="1225" t="s">
        <v>66</v>
      </c>
      <c r="BD4" s="1225" t="s">
        <v>67</v>
      </c>
      <c r="BE4" s="1225" t="s">
        <v>68</v>
      </c>
      <c r="BF4" s="1225" t="s">
        <v>69</v>
      </c>
      <c r="BG4" s="1225" t="s">
        <v>70</v>
      </c>
      <c r="BH4" s="1232" t="s">
        <v>71</v>
      </c>
      <c r="BI4" s="1235" t="s">
        <v>75</v>
      </c>
      <c r="BJ4" s="1214" t="s">
        <v>76</v>
      </c>
      <c r="BK4" s="1217" t="s">
        <v>77</v>
      </c>
    </row>
    <row r="5" spans="1:65" s="1247" customFormat="1" ht="66" customHeight="1">
      <c r="A5" s="1272">
        <v>2000</v>
      </c>
      <c r="B5" s="971" t="s">
        <v>119</v>
      </c>
      <c r="C5" s="1272">
        <v>2100</v>
      </c>
      <c r="D5" s="971" t="s">
        <v>120</v>
      </c>
      <c r="E5" s="971" t="s">
        <v>175</v>
      </c>
      <c r="F5" s="971" t="s">
        <v>176</v>
      </c>
      <c r="G5" s="971" t="s">
        <v>3684</v>
      </c>
      <c r="H5" s="971" t="s">
        <v>176</v>
      </c>
      <c r="I5" s="1273" t="s">
        <v>1619</v>
      </c>
      <c r="J5" s="971" t="s">
        <v>2146</v>
      </c>
      <c r="K5" s="971" t="s">
        <v>2129</v>
      </c>
      <c r="L5" s="971" t="s">
        <v>2130</v>
      </c>
      <c r="M5" s="971" t="s">
        <v>2129</v>
      </c>
      <c r="N5" s="971" t="s">
        <v>176</v>
      </c>
      <c r="O5" s="971" t="s">
        <v>2130</v>
      </c>
      <c r="P5" s="971" t="s">
        <v>6619</v>
      </c>
      <c r="Q5" s="971" t="s">
        <v>6620</v>
      </c>
      <c r="R5" s="971" t="s">
        <v>3685</v>
      </c>
      <c r="S5" s="1274">
        <v>1</v>
      </c>
      <c r="T5" s="971" t="s">
        <v>242</v>
      </c>
      <c r="U5" s="1275">
        <v>6.666666666666667</v>
      </c>
      <c r="V5" s="1275">
        <v>25</v>
      </c>
      <c r="W5" s="1275">
        <v>666.08920634920639</v>
      </c>
      <c r="X5" s="1275">
        <v>250</v>
      </c>
      <c r="Y5" s="1275">
        <v>941.08920634920639</v>
      </c>
      <c r="Z5" s="1129">
        <v>6.666666666666667</v>
      </c>
      <c r="AA5" s="1129">
        <v>25</v>
      </c>
      <c r="AB5" s="1129">
        <v>666.08920634920639</v>
      </c>
      <c r="AC5" s="1129">
        <v>250</v>
      </c>
      <c r="AD5" s="1098">
        <v>941.08920634920639</v>
      </c>
      <c r="AE5" s="1135">
        <v>4</v>
      </c>
      <c r="AF5" s="1129">
        <v>4</v>
      </c>
      <c r="AG5" s="1127">
        <v>1</v>
      </c>
      <c r="AH5" s="1127">
        <v>0</v>
      </c>
      <c r="AI5" s="1127">
        <v>0</v>
      </c>
      <c r="AJ5" s="1127">
        <v>1</v>
      </c>
      <c r="AK5" s="1129">
        <v>941.08920634920639</v>
      </c>
      <c r="AL5" s="1129">
        <v>0</v>
      </c>
      <c r="AM5" s="1129">
        <v>0</v>
      </c>
      <c r="AN5" s="1129">
        <v>941.08920634920639</v>
      </c>
      <c r="AO5" s="1129" t="s">
        <v>131</v>
      </c>
      <c r="AP5" s="1129" t="s">
        <v>96</v>
      </c>
      <c r="AQ5" s="1157">
        <v>2014</v>
      </c>
      <c r="AR5" s="1129" t="s">
        <v>87</v>
      </c>
      <c r="AS5" s="1127">
        <v>0.33333333333333331</v>
      </c>
      <c r="AT5" s="1127"/>
      <c r="AU5" s="1127">
        <v>0.33333333333333331</v>
      </c>
      <c r="AV5" s="1127"/>
      <c r="AW5" s="1127"/>
      <c r="AX5" s="1127"/>
      <c r="AY5" s="1127"/>
      <c r="AZ5" s="1127">
        <v>0.33333333333333331</v>
      </c>
      <c r="BA5" s="1129">
        <v>313.69640211640211</v>
      </c>
      <c r="BB5" s="1129">
        <v>0</v>
      </c>
      <c r="BC5" s="1129">
        <v>313.69640211640211</v>
      </c>
      <c r="BD5" s="1129">
        <v>0</v>
      </c>
      <c r="BE5" s="1129">
        <v>0</v>
      </c>
      <c r="BF5" s="1129">
        <v>0</v>
      </c>
      <c r="BG5" s="1129">
        <v>0</v>
      </c>
      <c r="BH5" s="1129">
        <v>313.69640211640211</v>
      </c>
      <c r="BI5" s="971"/>
      <c r="BJ5" s="971"/>
      <c r="BK5" s="971"/>
      <c r="BL5" s="1246"/>
      <c r="BM5" s="1247" t="s">
        <v>2129</v>
      </c>
    </row>
    <row r="6" spans="1:65" s="1247" customFormat="1" ht="66" customHeight="1">
      <c r="A6" s="1272">
        <v>2000</v>
      </c>
      <c r="B6" s="971" t="s">
        <v>119</v>
      </c>
      <c r="C6" s="1272">
        <v>2100</v>
      </c>
      <c r="D6" s="971" t="s">
        <v>120</v>
      </c>
      <c r="E6" s="971" t="s">
        <v>175</v>
      </c>
      <c r="F6" s="971" t="s">
        <v>176</v>
      </c>
      <c r="G6" s="971" t="s">
        <v>3684</v>
      </c>
      <c r="H6" s="971" t="s">
        <v>176</v>
      </c>
      <c r="I6" s="1273" t="s">
        <v>6621</v>
      </c>
      <c r="J6" s="971" t="s">
        <v>2146</v>
      </c>
      <c r="K6" s="971" t="s">
        <v>2129</v>
      </c>
      <c r="L6" s="971" t="s">
        <v>2130</v>
      </c>
      <c r="M6" s="971" t="s">
        <v>2129</v>
      </c>
      <c r="N6" s="971" t="s">
        <v>176</v>
      </c>
      <c r="O6" s="971" t="s">
        <v>2130</v>
      </c>
      <c r="P6" s="971" t="s">
        <v>6619</v>
      </c>
      <c r="Q6" s="971" t="s">
        <v>6622</v>
      </c>
      <c r="R6" s="971" t="s">
        <v>3700</v>
      </c>
      <c r="S6" s="1274">
        <v>1</v>
      </c>
      <c r="T6" s="971" t="s">
        <v>242</v>
      </c>
      <c r="U6" s="1275">
        <v>6.666666666666667</v>
      </c>
      <c r="V6" s="1275">
        <v>25</v>
      </c>
      <c r="W6" s="1275">
        <v>666.08920634920639</v>
      </c>
      <c r="X6" s="1275">
        <v>250</v>
      </c>
      <c r="Y6" s="1275">
        <v>941.08920634920639</v>
      </c>
      <c r="Z6" s="1129">
        <v>6.666666666666667</v>
      </c>
      <c r="AA6" s="1129">
        <v>25</v>
      </c>
      <c r="AB6" s="1129">
        <v>666.08920634920639</v>
      </c>
      <c r="AC6" s="1129">
        <v>250</v>
      </c>
      <c r="AD6" s="1098">
        <v>941.08920634920639</v>
      </c>
      <c r="AE6" s="1135">
        <v>4</v>
      </c>
      <c r="AF6" s="1129">
        <v>4</v>
      </c>
      <c r="AG6" s="1127">
        <v>1</v>
      </c>
      <c r="AH6" s="1127">
        <v>0</v>
      </c>
      <c r="AI6" s="1127">
        <v>0</v>
      </c>
      <c r="AJ6" s="1127">
        <v>1</v>
      </c>
      <c r="AK6" s="1129">
        <v>941.08920634920639</v>
      </c>
      <c r="AL6" s="1129">
        <v>0</v>
      </c>
      <c r="AM6" s="1129">
        <v>0</v>
      </c>
      <c r="AN6" s="1129">
        <v>941.08920634920639</v>
      </c>
      <c r="AO6" s="1129" t="s">
        <v>131</v>
      </c>
      <c r="AP6" s="1129" t="s">
        <v>96</v>
      </c>
      <c r="AQ6" s="1157">
        <v>2014</v>
      </c>
      <c r="AR6" s="1129" t="s">
        <v>87</v>
      </c>
      <c r="AS6" s="1127">
        <v>0.33333333333333331</v>
      </c>
      <c r="AT6" s="1127"/>
      <c r="AU6" s="1127">
        <v>0.33333333333333331</v>
      </c>
      <c r="AV6" s="1127"/>
      <c r="AW6" s="1127"/>
      <c r="AX6" s="1127"/>
      <c r="AY6" s="1127"/>
      <c r="AZ6" s="1127">
        <v>0.33333333333333331</v>
      </c>
      <c r="BA6" s="1129">
        <v>313.69640211640211</v>
      </c>
      <c r="BB6" s="1129">
        <v>0</v>
      </c>
      <c r="BC6" s="1129">
        <v>313.69640211640211</v>
      </c>
      <c r="BD6" s="1129">
        <v>0</v>
      </c>
      <c r="BE6" s="1129">
        <v>0</v>
      </c>
      <c r="BF6" s="1129">
        <v>0</v>
      </c>
      <c r="BG6" s="1129">
        <v>0</v>
      </c>
      <c r="BH6" s="1129">
        <v>313.69640211640211</v>
      </c>
      <c r="BI6" s="971"/>
      <c r="BJ6" s="971"/>
      <c r="BK6" s="971"/>
      <c r="BL6" s="1246"/>
      <c r="BM6" s="1247" t="s">
        <v>2129</v>
      </c>
    </row>
    <row r="7" spans="1:65" s="1247" customFormat="1" ht="66" customHeight="1">
      <c r="A7" s="1272">
        <v>2000</v>
      </c>
      <c r="B7" s="971" t="s">
        <v>119</v>
      </c>
      <c r="C7" s="1272">
        <v>2100</v>
      </c>
      <c r="D7" s="971" t="s">
        <v>120</v>
      </c>
      <c r="E7" s="971" t="s">
        <v>175</v>
      </c>
      <c r="F7" s="971" t="s">
        <v>176</v>
      </c>
      <c r="G7" s="971" t="s">
        <v>3684</v>
      </c>
      <c r="H7" s="971" t="s">
        <v>176</v>
      </c>
      <c r="I7" s="1273" t="s">
        <v>6623</v>
      </c>
      <c r="J7" s="971" t="s">
        <v>2146</v>
      </c>
      <c r="K7" s="971" t="s">
        <v>2129</v>
      </c>
      <c r="L7" s="971" t="s">
        <v>2130</v>
      </c>
      <c r="M7" s="971" t="s">
        <v>2129</v>
      </c>
      <c r="N7" s="971" t="s">
        <v>176</v>
      </c>
      <c r="O7" s="971" t="s">
        <v>2130</v>
      </c>
      <c r="P7" s="971" t="s">
        <v>6619</v>
      </c>
      <c r="Q7" s="971" t="s">
        <v>6622</v>
      </c>
      <c r="R7" s="971" t="s">
        <v>3701</v>
      </c>
      <c r="S7" s="1274">
        <v>1</v>
      </c>
      <c r="T7" s="971" t="s">
        <v>242</v>
      </c>
      <c r="U7" s="1275">
        <v>6.666666666666667</v>
      </c>
      <c r="V7" s="1275">
        <v>25</v>
      </c>
      <c r="W7" s="1275">
        <v>666.08920634920639</v>
      </c>
      <c r="X7" s="1275">
        <v>250</v>
      </c>
      <c r="Y7" s="1275">
        <v>941.08920634920639</v>
      </c>
      <c r="Z7" s="1129">
        <v>6.666666666666667</v>
      </c>
      <c r="AA7" s="1129">
        <v>25</v>
      </c>
      <c r="AB7" s="1129">
        <v>666.08920634920639</v>
      </c>
      <c r="AC7" s="1129">
        <v>250</v>
      </c>
      <c r="AD7" s="1098">
        <v>941.08920634920639</v>
      </c>
      <c r="AE7" s="1135">
        <v>4</v>
      </c>
      <c r="AF7" s="1129">
        <v>4</v>
      </c>
      <c r="AG7" s="1127">
        <v>1</v>
      </c>
      <c r="AH7" s="1127">
        <v>0</v>
      </c>
      <c r="AI7" s="1127">
        <v>0</v>
      </c>
      <c r="AJ7" s="1127">
        <v>1</v>
      </c>
      <c r="AK7" s="1129">
        <v>941.08920634920639</v>
      </c>
      <c r="AL7" s="1129">
        <v>0</v>
      </c>
      <c r="AM7" s="1129">
        <v>0</v>
      </c>
      <c r="AN7" s="1129">
        <v>941.08920634920639</v>
      </c>
      <c r="AO7" s="1129" t="s">
        <v>131</v>
      </c>
      <c r="AP7" s="1129" t="s">
        <v>96</v>
      </c>
      <c r="AQ7" s="1157">
        <v>2014</v>
      </c>
      <c r="AR7" s="1129" t="s">
        <v>87</v>
      </c>
      <c r="AS7" s="1127">
        <v>0.33333333333333331</v>
      </c>
      <c r="AT7" s="1127"/>
      <c r="AU7" s="1127">
        <v>0.33333333333333331</v>
      </c>
      <c r="AV7" s="1127"/>
      <c r="AW7" s="1127"/>
      <c r="AX7" s="1127"/>
      <c r="AY7" s="1127"/>
      <c r="AZ7" s="1127">
        <v>0.33333333333333331</v>
      </c>
      <c r="BA7" s="1129">
        <v>313.69640211640211</v>
      </c>
      <c r="BB7" s="1129">
        <v>0</v>
      </c>
      <c r="BC7" s="1129">
        <v>313.69640211640211</v>
      </c>
      <c r="BD7" s="1129">
        <v>0</v>
      </c>
      <c r="BE7" s="1129">
        <v>0</v>
      </c>
      <c r="BF7" s="1129">
        <v>0</v>
      </c>
      <c r="BG7" s="1129">
        <v>0</v>
      </c>
      <c r="BH7" s="1129">
        <v>313.69640211640211</v>
      </c>
      <c r="BI7" s="971"/>
      <c r="BJ7" s="971"/>
      <c r="BK7" s="971"/>
      <c r="BL7" s="1246"/>
      <c r="BM7" s="1247" t="s">
        <v>2129</v>
      </c>
    </row>
    <row r="8" spans="1:65" s="1247" customFormat="1" ht="66" customHeight="1">
      <c r="A8" s="1272">
        <v>2000</v>
      </c>
      <c r="B8" s="971" t="s">
        <v>119</v>
      </c>
      <c r="C8" s="1272">
        <v>2100</v>
      </c>
      <c r="D8" s="971" t="s">
        <v>120</v>
      </c>
      <c r="E8" s="971" t="s">
        <v>175</v>
      </c>
      <c r="F8" s="971" t="s">
        <v>176</v>
      </c>
      <c r="G8" s="971" t="s">
        <v>3684</v>
      </c>
      <c r="H8" s="971" t="s">
        <v>176</v>
      </c>
      <c r="I8" s="1273" t="s">
        <v>6624</v>
      </c>
      <c r="J8" s="971" t="s">
        <v>2146</v>
      </c>
      <c r="K8" s="971" t="s">
        <v>2129</v>
      </c>
      <c r="L8" s="971" t="s">
        <v>2130</v>
      </c>
      <c r="M8" s="971" t="s">
        <v>2129</v>
      </c>
      <c r="N8" s="971" t="s">
        <v>176</v>
      </c>
      <c r="O8" s="971" t="s">
        <v>2130</v>
      </c>
      <c r="P8" s="971" t="s">
        <v>6619</v>
      </c>
      <c r="Q8" s="971" t="s">
        <v>6622</v>
      </c>
      <c r="R8" s="971" t="s">
        <v>3702</v>
      </c>
      <c r="S8" s="1274">
        <v>1</v>
      </c>
      <c r="T8" s="971" t="s">
        <v>242</v>
      </c>
      <c r="U8" s="1275">
        <v>6.666666666666667</v>
      </c>
      <c r="V8" s="1275">
        <v>25</v>
      </c>
      <c r="W8" s="1275">
        <v>666.08920634920639</v>
      </c>
      <c r="X8" s="1275">
        <v>250</v>
      </c>
      <c r="Y8" s="1275">
        <v>941.08920634920639</v>
      </c>
      <c r="Z8" s="1129">
        <v>6.666666666666667</v>
      </c>
      <c r="AA8" s="1129">
        <v>25</v>
      </c>
      <c r="AB8" s="1129">
        <v>666.08920634920639</v>
      </c>
      <c r="AC8" s="1129">
        <v>250</v>
      </c>
      <c r="AD8" s="1098">
        <v>941.08920634920639</v>
      </c>
      <c r="AE8" s="1135">
        <v>4</v>
      </c>
      <c r="AF8" s="1129">
        <v>4</v>
      </c>
      <c r="AG8" s="1127">
        <v>1</v>
      </c>
      <c r="AH8" s="1127">
        <v>0</v>
      </c>
      <c r="AI8" s="1127">
        <v>0</v>
      </c>
      <c r="AJ8" s="1127">
        <v>1</v>
      </c>
      <c r="AK8" s="1129">
        <v>941.08920634920639</v>
      </c>
      <c r="AL8" s="1129">
        <v>0</v>
      </c>
      <c r="AM8" s="1129">
        <v>0</v>
      </c>
      <c r="AN8" s="1129">
        <v>941.08920634920639</v>
      </c>
      <c r="AO8" s="1129" t="s">
        <v>131</v>
      </c>
      <c r="AP8" s="1129" t="s">
        <v>96</v>
      </c>
      <c r="AQ8" s="1157">
        <v>2014</v>
      </c>
      <c r="AR8" s="1129" t="s">
        <v>87</v>
      </c>
      <c r="AS8" s="1127">
        <v>0.33333333333333331</v>
      </c>
      <c r="AT8" s="1127"/>
      <c r="AU8" s="1127">
        <v>0.33333333333333331</v>
      </c>
      <c r="AV8" s="1127"/>
      <c r="AW8" s="1127"/>
      <c r="AX8" s="1127"/>
      <c r="AY8" s="1127"/>
      <c r="AZ8" s="1127">
        <v>0.33333333333333331</v>
      </c>
      <c r="BA8" s="1129">
        <v>313.69640211640211</v>
      </c>
      <c r="BB8" s="1129">
        <v>0</v>
      </c>
      <c r="BC8" s="1129">
        <v>313.69640211640211</v>
      </c>
      <c r="BD8" s="1129">
        <v>0</v>
      </c>
      <c r="BE8" s="1129">
        <v>0</v>
      </c>
      <c r="BF8" s="1129">
        <v>0</v>
      </c>
      <c r="BG8" s="1129">
        <v>0</v>
      </c>
      <c r="BH8" s="1129">
        <v>313.69640211640211</v>
      </c>
      <c r="BI8" s="971"/>
      <c r="BJ8" s="971"/>
      <c r="BK8" s="971"/>
      <c r="BL8" s="1246"/>
      <c r="BM8" s="1247" t="s">
        <v>2129</v>
      </c>
    </row>
    <row r="9" spans="1:65" s="1247" customFormat="1" ht="49.5" customHeight="1">
      <c r="A9" s="1272">
        <v>2000</v>
      </c>
      <c r="B9" s="971" t="s">
        <v>119</v>
      </c>
      <c r="C9" s="1272">
        <v>2100</v>
      </c>
      <c r="D9" s="971" t="s">
        <v>120</v>
      </c>
      <c r="E9" s="971" t="s">
        <v>175</v>
      </c>
      <c r="F9" s="971" t="s">
        <v>176</v>
      </c>
      <c r="G9" s="971" t="s">
        <v>3703</v>
      </c>
      <c r="H9" s="971" t="s">
        <v>3491</v>
      </c>
      <c r="I9" s="1273" t="s">
        <v>6625</v>
      </c>
      <c r="J9" s="971" t="s">
        <v>2146</v>
      </c>
      <c r="K9" s="971" t="s">
        <v>2125</v>
      </c>
      <c r="L9" s="971" t="s">
        <v>2126</v>
      </c>
      <c r="M9" s="971" t="s">
        <v>2125</v>
      </c>
      <c r="N9" s="971" t="s">
        <v>176</v>
      </c>
      <c r="O9" s="971" t="s">
        <v>2126</v>
      </c>
      <c r="P9" s="971" t="s">
        <v>6626</v>
      </c>
      <c r="Q9" s="971" t="s">
        <v>6627</v>
      </c>
      <c r="R9" s="971" t="s">
        <v>3704</v>
      </c>
      <c r="S9" s="1274">
        <v>1</v>
      </c>
      <c r="T9" s="971" t="s">
        <v>242</v>
      </c>
      <c r="U9" s="1275">
        <v>13</v>
      </c>
      <c r="V9" s="1275">
        <v>120</v>
      </c>
      <c r="W9" s="1275">
        <v>1298.8739523809525</v>
      </c>
      <c r="X9" s="1275">
        <v>1200</v>
      </c>
      <c r="Y9" s="1275">
        <v>2618.8739523809527</v>
      </c>
      <c r="Z9" s="1129">
        <v>13</v>
      </c>
      <c r="AA9" s="1129">
        <v>120</v>
      </c>
      <c r="AB9" s="1129">
        <v>1298.8739523809525</v>
      </c>
      <c r="AC9" s="1129">
        <v>1200</v>
      </c>
      <c r="AD9" s="1098">
        <v>2618.8739523809527</v>
      </c>
      <c r="AE9" s="1135">
        <v>96</v>
      </c>
      <c r="AF9" s="1129">
        <v>96</v>
      </c>
      <c r="AG9" s="1127">
        <v>1</v>
      </c>
      <c r="AH9" s="1127">
        <v>0</v>
      </c>
      <c r="AI9" s="1127">
        <v>0</v>
      </c>
      <c r="AJ9" s="1127">
        <v>1</v>
      </c>
      <c r="AK9" s="1129">
        <v>2618.8739523809527</v>
      </c>
      <c r="AL9" s="1129">
        <v>0</v>
      </c>
      <c r="AM9" s="1129">
        <v>0</v>
      </c>
      <c r="AN9" s="1129">
        <v>2618.8739523809527</v>
      </c>
      <c r="AO9" s="1129" t="s">
        <v>131</v>
      </c>
      <c r="AP9" s="1129" t="s">
        <v>96</v>
      </c>
      <c r="AQ9" s="1157">
        <v>2014</v>
      </c>
      <c r="AR9" s="1129" t="s">
        <v>87</v>
      </c>
      <c r="AS9" s="1127">
        <v>0.33333333333333331</v>
      </c>
      <c r="AT9" s="1127"/>
      <c r="AU9" s="1127">
        <v>0.33333333333333331</v>
      </c>
      <c r="AV9" s="1127"/>
      <c r="AW9" s="1127"/>
      <c r="AX9" s="1127"/>
      <c r="AY9" s="1127"/>
      <c r="AZ9" s="1127">
        <v>0.33333333333333331</v>
      </c>
      <c r="BA9" s="1129">
        <v>872.95798412698423</v>
      </c>
      <c r="BB9" s="1129">
        <v>0</v>
      </c>
      <c r="BC9" s="1129">
        <v>872.95798412698423</v>
      </c>
      <c r="BD9" s="1129">
        <v>0</v>
      </c>
      <c r="BE9" s="1129">
        <v>0</v>
      </c>
      <c r="BF9" s="1129">
        <v>0</v>
      </c>
      <c r="BG9" s="1129">
        <v>0</v>
      </c>
      <c r="BH9" s="1129">
        <v>872.95798412698423</v>
      </c>
      <c r="BI9" s="971"/>
      <c r="BJ9" s="971"/>
      <c r="BK9" s="971"/>
      <c r="BL9" s="1246"/>
      <c r="BM9" s="1247" t="s">
        <v>2129</v>
      </c>
    </row>
    <row r="10" spans="1:65" s="1247" customFormat="1" ht="66" customHeight="1">
      <c r="A10" s="1272">
        <v>2000</v>
      </c>
      <c r="B10" s="971" t="s">
        <v>119</v>
      </c>
      <c r="C10" s="1272">
        <v>2100</v>
      </c>
      <c r="D10" s="971" t="s">
        <v>120</v>
      </c>
      <c r="E10" s="971" t="s">
        <v>175</v>
      </c>
      <c r="F10" s="971" t="s">
        <v>176</v>
      </c>
      <c r="G10" s="971" t="s">
        <v>3703</v>
      </c>
      <c r="H10" s="971" t="s">
        <v>3491</v>
      </c>
      <c r="I10" s="1273" t="s">
        <v>6628</v>
      </c>
      <c r="J10" s="971" t="s">
        <v>2146</v>
      </c>
      <c r="K10" s="971" t="s">
        <v>2125</v>
      </c>
      <c r="L10" s="971" t="s">
        <v>2126</v>
      </c>
      <c r="M10" s="971" t="s">
        <v>2125</v>
      </c>
      <c r="N10" s="971" t="s">
        <v>176</v>
      </c>
      <c r="O10" s="971" t="s">
        <v>2126</v>
      </c>
      <c r="P10" s="971" t="s">
        <v>6626</v>
      </c>
      <c r="Q10" s="971" t="s">
        <v>6627</v>
      </c>
      <c r="R10" s="971" t="s">
        <v>3717</v>
      </c>
      <c r="S10" s="1274">
        <v>1</v>
      </c>
      <c r="T10" s="971" t="s">
        <v>242</v>
      </c>
      <c r="U10" s="1275">
        <v>13</v>
      </c>
      <c r="V10" s="1275">
        <v>120</v>
      </c>
      <c r="W10" s="1275">
        <v>1298.8739523809525</v>
      </c>
      <c r="X10" s="1275">
        <v>1200</v>
      </c>
      <c r="Y10" s="1275">
        <v>2618.8739523809527</v>
      </c>
      <c r="Z10" s="1129">
        <v>13</v>
      </c>
      <c r="AA10" s="1129">
        <v>120</v>
      </c>
      <c r="AB10" s="1129">
        <v>1298.8739523809525</v>
      </c>
      <c r="AC10" s="1129">
        <v>1200</v>
      </c>
      <c r="AD10" s="1098">
        <v>2618.8739523809527</v>
      </c>
      <c r="AE10" s="1135">
        <v>96</v>
      </c>
      <c r="AF10" s="1129">
        <v>96</v>
      </c>
      <c r="AG10" s="1127">
        <v>1</v>
      </c>
      <c r="AH10" s="1127">
        <v>0</v>
      </c>
      <c r="AI10" s="1127">
        <v>0</v>
      </c>
      <c r="AJ10" s="1127">
        <v>1</v>
      </c>
      <c r="AK10" s="1129">
        <v>2618.8739523809527</v>
      </c>
      <c r="AL10" s="1129">
        <v>0</v>
      </c>
      <c r="AM10" s="1129">
        <v>0</v>
      </c>
      <c r="AN10" s="1129">
        <v>2618.8739523809527</v>
      </c>
      <c r="AO10" s="1129" t="s">
        <v>131</v>
      </c>
      <c r="AP10" s="1129" t="s">
        <v>96</v>
      </c>
      <c r="AQ10" s="1157">
        <v>2014</v>
      </c>
      <c r="AR10" s="1129" t="s">
        <v>87</v>
      </c>
      <c r="AS10" s="1127">
        <v>0.33333333333333331</v>
      </c>
      <c r="AT10" s="1127"/>
      <c r="AU10" s="1127">
        <v>0.33333333333333331</v>
      </c>
      <c r="AV10" s="1127"/>
      <c r="AW10" s="1127"/>
      <c r="AX10" s="1127"/>
      <c r="AY10" s="1127"/>
      <c r="AZ10" s="1127">
        <v>0.33333333333333331</v>
      </c>
      <c r="BA10" s="1129">
        <v>872.95798412698423</v>
      </c>
      <c r="BB10" s="1129">
        <v>0</v>
      </c>
      <c r="BC10" s="1129">
        <v>872.95798412698423</v>
      </c>
      <c r="BD10" s="1129">
        <v>0</v>
      </c>
      <c r="BE10" s="1129">
        <v>0</v>
      </c>
      <c r="BF10" s="1129">
        <v>0</v>
      </c>
      <c r="BG10" s="1129">
        <v>0</v>
      </c>
      <c r="BH10" s="1129">
        <v>872.95798412698423</v>
      </c>
      <c r="BI10" s="971"/>
      <c r="BJ10" s="971"/>
      <c r="BK10" s="971"/>
      <c r="BL10" s="1246"/>
      <c r="BM10" s="1247" t="s">
        <v>2125</v>
      </c>
    </row>
    <row r="11" spans="1:65" s="1247" customFormat="1" ht="66" customHeight="1">
      <c r="A11" s="1272">
        <v>2000</v>
      </c>
      <c r="B11" s="971" t="s">
        <v>119</v>
      </c>
      <c r="C11" s="1272">
        <v>2100</v>
      </c>
      <c r="D11" s="971" t="s">
        <v>120</v>
      </c>
      <c r="E11" s="971" t="s">
        <v>175</v>
      </c>
      <c r="F11" s="971" t="s">
        <v>176</v>
      </c>
      <c r="G11" s="971" t="s">
        <v>3703</v>
      </c>
      <c r="H11" s="971" t="s">
        <v>3491</v>
      </c>
      <c r="I11" s="1273" t="s">
        <v>6629</v>
      </c>
      <c r="J11" s="971" t="s">
        <v>2146</v>
      </c>
      <c r="K11" s="971" t="s">
        <v>2125</v>
      </c>
      <c r="L11" s="971" t="s">
        <v>2126</v>
      </c>
      <c r="M11" s="971" t="s">
        <v>2125</v>
      </c>
      <c r="N11" s="971" t="s">
        <v>176</v>
      </c>
      <c r="O11" s="971" t="s">
        <v>2126</v>
      </c>
      <c r="P11" s="971" t="s">
        <v>6626</v>
      </c>
      <c r="Q11" s="971" t="s">
        <v>6627</v>
      </c>
      <c r="R11" s="971" t="s">
        <v>3718</v>
      </c>
      <c r="S11" s="1274">
        <v>1</v>
      </c>
      <c r="T11" s="971" t="s">
        <v>242</v>
      </c>
      <c r="U11" s="1275">
        <v>13</v>
      </c>
      <c r="V11" s="1275">
        <v>120</v>
      </c>
      <c r="W11" s="1275">
        <v>1298.8739523809525</v>
      </c>
      <c r="X11" s="1275">
        <v>1200</v>
      </c>
      <c r="Y11" s="1275">
        <v>2618.8739523809527</v>
      </c>
      <c r="Z11" s="1129">
        <v>13</v>
      </c>
      <c r="AA11" s="1129">
        <v>120</v>
      </c>
      <c r="AB11" s="1129">
        <v>1298.8739523809525</v>
      </c>
      <c r="AC11" s="1129">
        <v>1200</v>
      </c>
      <c r="AD11" s="1098">
        <v>2618.8739523809527</v>
      </c>
      <c r="AE11" s="1135">
        <v>96</v>
      </c>
      <c r="AF11" s="1129">
        <v>96</v>
      </c>
      <c r="AG11" s="1127">
        <v>1</v>
      </c>
      <c r="AH11" s="1127">
        <v>0</v>
      </c>
      <c r="AI11" s="1127">
        <v>0</v>
      </c>
      <c r="AJ11" s="1127">
        <v>1</v>
      </c>
      <c r="AK11" s="1129">
        <v>2618.8739523809527</v>
      </c>
      <c r="AL11" s="1129">
        <v>0</v>
      </c>
      <c r="AM11" s="1129">
        <v>0</v>
      </c>
      <c r="AN11" s="1129">
        <v>2618.8739523809527</v>
      </c>
      <c r="AO11" s="1129" t="s">
        <v>131</v>
      </c>
      <c r="AP11" s="1129" t="s">
        <v>96</v>
      </c>
      <c r="AQ11" s="1157">
        <v>2014</v>
      </c>
      <c r="AR11" s="1129" t="s">
        <v>87</v>
      </c>
      <c r="AS11" s="1127">
        <v>0.33333333333333331</v>
      </c>
      <c r="AT11" s="1127"/>
      <c r="AU11" s="1127">
        <v>0.33333333333333331</v>
      </c>
      <c r="AV11" s="1127"/>
      <c r="AW11" s="1127"/>
      <c r="AX11" s="1127"/>
      <c r="AY11" s="1127"/>
      <c r="AZ11" s="1127">
        <v>0.33333333333333331</v>
      </c>
      <c r="BA11" s="1129">
        <v>872.95798412698423</v>
      </c>
      <c r="BB11" s="1129">
        <v>0</v>
      </c>
      <c r="BC11" s="1129">
        <v>872.95798412698423</v>
      </c>
      <c r="BD11" s="1129">
        <v>0</v>
      </c>
      <c r="BE11" s="1129">
        <v>0</v>
      </c>
      <c r="BF11" s="1129">
        <v>0</v>
      </c>
      <c r="BG11" s="1129">
        <v>0</v>
      </c>
      <c r="BH11" s="1129">
        <v>872.95798412698423</v>
      </c>
      <c r="BI11" s="971"/>
      <c r="BJ11" s="971"/>
      <c r="BK11" s="971"/>
      <c r="BL11" s="1246"/>
      <c r="BM11" s="1247" t="s">
        <v>2125</v>
      </c>
    </row>
    <row r="12" spans="1:65" s="1247" customFormat="1" ht="66" customHeight="1">
      <c r="A12" s="1272">
        <v>2000</v>
      </c>
      <c r="B12" s="971" t="s">
        <v>119</v>
      </c>
      <c r="C12" s="1272">
        <v>2100</v>
      </c>
      <c r="D12" s="971" t="s">
        <v>120</v>
      </c>
      <c r="E12" s="971" t="s">
        <v>175</v>
      </c>
      <c r="F12" s="971" t="s">
        <v>176</v>
      </c>
      <c r="G12" s="971" t="s">
        <v>3703</v>
      </c>
      <c r="H12" s="971" t="s">
        <v>3491</v>
      </c>
      <c r="I12" s="1273" t="s">
        <v>6630</v>
      </c>
      <c r="J12" s="971" t="s">
        <v>2146</v>
      </c>
      <c r="K12" s="971" t="s">
        <v>2125</v>
      </c>
      <c r="L12" s="971" t="s">
        <v>2126</v>
      </c>
      <c r="M12" s="971" t="s">
        <v>2125</v>
      </c>
      <c r="N12" s="971" t="s">
        <v>176</v>
      </c>
      <c r="O12" s="971" t="s">
        <v>2126</v>
      </c>
      <c r="P12" s="971" t="s">
        <v>6626</v>
      </c>
      <c r="Q12" s="971" t="s">
        <v>6627</v>
      </c>
      <c r="R12" s="971" t="s">
        <v>3720</v>
      </c>
      <c r="S12" s="1274">
        <v>1</v>
      </c>
      <c r="T12" s="971" t="s">
        <v>242</v>
      </c>
      <c r="U12" s="1275">
        <v>13</v>
      </c>
      <c r="V12" s="1275">
        <v>120</v>
      </c>
      <c r="W12" s="1275">
        <v>1298.8739523809525</v>
      </c>
      <c r="X12" s="1275">
        <v>1200</v>
      </c>
      <c r="Y12" s="1275">
        <v>2618.8739523809527</v>
      </c>
      <c r="Z12" s="1129">
        <v>13</v>
      </c>
      <c r="AA12" s="1129">
        <v>120</v>
      </c>
      <c r="AB12" s="1129">
        <v>1298.8739523809525</v>
      </c>
      <c r="AC12" s="1129">
        <v>1200</v>
      </c>
      <c r="AD12" s="1098">
        <v>2618.8739523809527</v>
      </c>
      <c r="AE12" s="1135">
        <v>96</v>
      </c>
      <c r="AF12" s="1129">
        <v>96</v>
      </c>
      <c r="AG12" s="1127">
        <v>1</v>
      </c>
      <c r="AH12" s="1127">
        <v>0</v>
      </c>
      <c r="AI12" s="1127">
        <v>0</v>
      </c>
      <c r="AJ12" s="1127">
        <v>1</v>
      </c>
      <c r="AK12" s="1129">
        <v>2618.8739523809527</v>
      </c>
      <c r="AL12" s="1129">
        <v>0</v>
      </c>
      <c r="AM12" s="1129">
        <v>0</v>
      </c>
      <c r="AN12" s="1129">
        <v>2618.8739523809527</v>
      </c>
      <c r="AO12" s="1129" t="s">
        <v>131</v>
      </c>
      <c r="AP12" s="1129" t="s">
        <v>96</v>
      </c>
      <c r="AQ12" s="1157">
        <v>2014</v>
      </c>
      <c r="AR12" s="1129" t="s">
        <v>87</v>
      </c>
      <c r="AS12" s="1127">
        <v>0.33333333333333331</v>
      </c>
      <c r="AT12" s="1127"/>
      <c r="AU12" s="1127">
        <v>0.33333333333333331</v>
      </c>
      <c r="AV12" s="1127"/>
      <c r="AW12" s="1127"/>
      <c r="AX12" s="1127"/>
      <c r="AY12" s="1127"/>
      <c r="AZ12" s="1127">
        <v>0.33333333333333331</v>
      </c>
      <c r="BA12" s="1129">
        <v>872.95798412698423</v>
      </c>
      <c r="BB12" s="1129">
        <v>0</v>
      </c>
      <c r="BC12" s="1129">
        <v>872.95798412698423</v>
      </c>
      <c r="BD12" s="1129">
        <v>0</v>
      </c>
      <c r="BE12" s="1129">
        <v>0</v>
      </c>
      <c r="BF12" s="1129">
        <v>0</v>
      </c>
      <c r="BG12" s="1129">
        <v>0</v>
      </c>
      <c r="BH12" s="1129">
        <v>872.95798412698423</v>
      </c>
      <c r="BI12" s="971"/>
      <c r="BJ12" s="971"/>
      <c r="BK12" s="971"/>
      <c r="BL12" s="1246"/>
      <c r="BM12" s="1247" t="s">
        <v>2125</v>
      </c>
    </row>
    <row r="13" spans="1:65" s="1247" customFormat="1" ht="66" customHeight="1">
      <c r="A13" s="1272">
        <v>2000</v>
      </c>
      <c r="B13" s="971" t="s">
        <v>119</v>
      </c>
      <c r="C13" s="1272">
        <v>2100</v>
      </c>
      <c r="D13" s="971" t="s">
        <v>120</v>
      </c>
      <c r="E13" s="971" t="s">
        <v>175</v>
      </c>
      <c r="F13" s="971" t="s">
        <v>176</v>
      </c>
      <c r="G13" s="971" t="s">
        <v>3703</v>
      </c>
      <c r="H13" s="971" t="s">
        <v>3491</v>
      </c>
      <c r="I13" s="1273" t="s">
        <v>1853</v>
      </c>
      <c r="J13" s="971" t="s">
        <v>2146</v>
      </c>
      <c r="K13" s="971" t="s">
        <v>2125</v>
      </c>
      <c r="L13" s="971" t="s">
        <v>2126</v>
      </c>
      <c r="M13" s="971" t="s">
        <v>2125</v>
      </c>
      <c r="N13" s="971" t="s">
        <v>176</v>
      </c>
      <c r="O13" s="971" t="s">
        <v>2126</v>
      </c>
      <c r="P13" s="971" t="s">
        <v>6626</v>
      </c>
      <c r="Q13" s="971" t="s">
        <v>6627</v>
      </c>
      <c r="R13" s="971" t="s">
        <v>3721</v>
      </c>
      <c r="S13" s="1274">
        <v>1</v>
      </c>
      <c r="T13" s="971" t="s">
        <v>242</v>
      </c>
      <c r="U13" s="1275">
        <v>13</v>
      </c>
      <c r="V13" s="1275">
        <v>120</v>
      </c>
      <c r="W13" s="1275">
        <v>1298.8739523809525</v>
      </c>
      <c r="X13" s="1275">
        <v>1200</v>
      </c>
      <c r="Y13" s="1275">
        <v>2618.8739523809527</v>
      </c>
      <c r="Z13" s="1129">
        <v>13</v>
      </c>
      <c r="AA13" s="1129">
        <v>120</v>
      </c>
      <c r="AB13" s="1129">
        <v>1298.8739523809525</v>
      </c>
      <c r="AC13" s="1129">
        <v>1200</v>
      </c>
      <c r="AD13" s="1098">
        <v>2618.8739523809527</v>
      </c>
      <c r="AE13" s="1135">
        <v>96</v>
      </c>
      <c r="AF13" s="1129">
        <v>96</v>
      </c>
      <c r="AG13" s="1127">
        <v>1</v>
      </c>
      <c r="AH13" s="1127">
        <v>0</v>
      </c>
      <c r="AI13" s="1127">
        <v>0</v>
      </c>
      <c r="AJ13" s="1127">
        <v>1</v>
      </c>
      <c r="AK13" s="1129">
        <v>2618.8739523809527</v>
      </c>
      <c r="AL13" s="1129">
        <v>0</v>
      </c>
      <c r="AM13" s="1129">
        <v>0</v>
      </c>
      <c r="AN13" s="1129">
        <v>2618.8739523809527</v>
      </c>
      <c r="AO13" s="1129" t="s">
        <v>131</v>
      </c>
      <c r="AP13" s="1129" t="s">
        <v>96</v>
      </c>
      <c r="AQ13" s="1157">
        <v>2014</v>
      </c>
      <c r="AR13" s="1129" t="s">
        <v>87</v>
      </c>
      <c r="AS13" s="1127">
        <v>0.33333333333333331</v>
      </c>
      <c r="AT13" s="1127"/>
      <c r="AU13" s="1127">
        <v>0.33333333333333331</v>
      </c>
      <c r="AV13" s="1127"/>
      <c r="AW13" s="1127"/>
      <c r="AX13" s="1127"/>
      <c r="AY13" s="1127"/>
      <c r="AZ13" s="1127">
        <v>0.33333333333333331</v>
      </c>
      <c r="BA13" s="1129">
        <v>872.95798412698423</v>
      </c>
      <c r="BB13" s="1129">
        <v>0</v>
      </c>
      <c r="BC13" s="1129">
        <v>872.95798412698423</v>
      </c>
      <c r="BD13" s="1129">
        <v>0</v>
      </c>
      <c r="BE13" s="1129">
        <v>0</v>
      </c>
      <c r="BF13" s="1129">
        <v>0</v>
      </c>
      <c r="BG13" s="1129">
        <v>0</v>
      </c>
      <c r="BH13" s="1129">
        <v>872.95798412698423</v>
      </c>
      <c r="BI13" s="971"/>
      <c r="BJ13" s="971"/>
      <c r="BK13" s="971"/>
      <c r="BL13" s="1246"/>
      <c r="BM13" s="1247" t="s">
        <v>2125</v>
      </c>
    </row>
    <row r="14" spans="1:65" s="1247" customFormat="1" ht="66" customHeight="1">
      <c r="A14" s="1272">
        <v>2000</v>
      </c>
      <c r="B14" s="971" t="s">
        <v>119</v>
      </c>
      <c r="C14" s="1272">
        <v>2100</v>
      </c>
      <c r="D14" s="971" t="s">
        <v>120</v>
      </c>
      <c r="E14" s="971" t="s">
        <v>175</v>
      </c>
      <c r="F14" s="971" t="s">
        <v>176</v>
      </c>
      <c r="G14" s="971" t="s">
        <v>3703</v>
      </c>
      <c r="H14" s="971" t="s">
        <v>3491</v>
      </c>
      <c r="I14" s="1273" t="s">
        <v>1855</v>
      </c>
      <c r="J14" s="971" t="s">
        <v>2146</v>
      </c>
      <c r="K14" s="971" t="s">
        <v>2125</v>
      </c>
      <c r="L14" s="971" t="s">
        <v>2126</v>
      </c>
      <c r="M14" s="971" t="s">
        <v>2125</v>
      </c>
      <c r="N14" s="971" t="s">
        <v>176</v>
      </c>
      <c r="O14" s="971" t="s">
        <v>2126</v>
      </c>
      <c r="P14" s="971" t="s">
        <v>6626</v>
      </c>
      <c r="Q14" s="971" t="s">
        <v>6627</v>
      </c>
      <c r="R14" s="971" t="s">
        <v>3723</v>
      </c>
      <c r="S14" s="1274">
        <v>1</v>
      </c>
      <c r="T14" s="971" t="s">
        <v>242</v>
      </c>
      <c r="U14" s="1275">
        <v>13</v>
      </c>
      <c r="V14" s="1275">
        <v>120</v>
      </c>
      <c r="W14" s="1275">
        <v>1298.8739523809525</v>
      </c>
      <c r="X14" s="1275">
        <v>1200</v>
      </c>
      <c r="Y14" s="1275">
        <v>2618.8739523809527</v>
      </c>
      <c r="Z14" s="1129">
        <v>13</v>
      </c>
      <c r="AA14" s="1129">
        <v>120</v>
      </c>
      <c r="AB14" s="1129">
        <v>1298.8739523809525</v>
      </c>
      <c r="AC14" s="1129">
        <v>1200</v>
      </c>
      <c r="AD14" s="1098">
        <v>2618.8739523809527</v>
      </c>
      <c r="AE14" s="1135">
        <v>96</v>
      </c>
      <c r="AF14" s="1129">
        <v>96</v>
      </c>
      <c r="AG14" s="1127">
        <v>1</v>
      </c>
      <c r="AH14" s="1127">
        <v>0</v>
      </c>
      <c r="AI14" s="1127">
        <v>0</v>
      </c>
      <c r="AJ14" s="1127">
        <v>1</v>
      </c>
      <c r="AK14" s="1129">
        <v>2618.8739523809527</v>
      </c>
      <c r="AL14" s="1129">
        <v>0</v>
      </c>
      <c r="AM14" s="1129">
        <v>0</v>
      </c>
      <c r="AN14" s="1129">
        <v>2618.8739523809527</v>
      </c>
      <c r="AO14" s="1129" t="s">
        <v>131</v>
      </c>
      <c r="AP14" s="1129" t="s">
        <v>96</v>
      </c>
      <c r="AQ14" s="1157">
        <v>2014</v>
      </c>
      <c r="AR14" s="1129" t="s">
        <v>87</v>
      </c>
      <c r="AS14" s="1127">
        <v>0.33333333333333331</v>
      </c>
      <c r="AT14" s="1127"/>
      <c r="AU14" s="1127">
        <v>0.33333333333333331</v>
      </c>
      <c r="AV14" s="1127"/>
      <c r="AW14" s="1127"/>
      <c r="AX14" s="1127"/>
      <c r="AY14" s="1127"/>
      <c r="AZ14" s="1127">
        <v>0.33333333333333331</v>
      </c>
      <c r="BA14" s="1129">
        <v>872.95798412698423</v>
      </c>
      <c r="BB14" s="1129">
        <v>0</v>
      </c>
      <c r="BC14" s="1129">
        <v>872.95798412698423</v>
      </c>
      <c r="BD14" s="1129">
        <v>0</v>
      </c>
      <c r="BE14" s="1129">
        <v>0</v>
      </c>
      <c r="BF14" s="1129">
        <v>0</v>
      </c>
      <c r="BG14" s="1129">
        <v>0</v>
      </c>
      <c r="BH14" s="1129">
        <v>872.95798412698423</v>
      </c>
      <c r="BI14" s="971"/>
      <c r="BJ14" s="971"/>
      <c r="BK14" s="971"/>
      <c r="BL14" s="1246"/>
      <c r="BM14" s="1247" t="s">
        <v>2125</v>
      </c>
    </row>
    <row r="15" spans="1:65" s="1247" customFormat="1" ht="66" customHeight="1">
      <c r="A15" s="1272">
        <v>2000</v>
      </c>
      <c r="B15" s="971" t="s">
        <v>119</v>
      </c>
      <c r="C15" s="1272">
        <v>2100</v>
      </c>
      <c r="D15" s="971" t="s">
        <v>120</v>
      </c>
      <c r="E15" s="971" t="s">
        <v>175</v>
      </c>
      <c r="F15" s="971" t="s">
        <v>176</v>
      </c>
      <c r="G15" s="971" t="s">
        <v>3703</v>
      </c>
      <c r="H15" s="971" t="s">
        <v>3491</v>
      </c>
      <c r="I15" s="1273" t="s">
        <v>6631</v>
      </c>
      <c r="J15" s="971" t="s">
        <v>2146</v>
      </c>
      <c r="K15" s="971" t="s">
        <v>2129</v>
      </c>
      <c r="L15" s="971" t="s">
        <v>2130</v>
      </c>
      <c r="M15" s="971" t="s">
        <v>2129</v>
      </c>
      <c r="N15" s="971" t="s">
        <v>176</v>
      </c>
      <c r="O15" s="971" t="s">
        <v>2130</v>
      </c>
      <c r="P15" s="971" t="s">
        <v>6632</v>
      </c>
      <c r="Q15" s="971" t="s">
        <v>6633</v>
      </c>
      <c r="R15" s="971" t="s">
        <v>3724</v>
      </c>
      <c r="S15" s="1274">
        <v>1</v>
      </c>
      <c r="T15" s="971" t="s">
        <v>242</v>
      </c>
      <c r="U15" s="1275">
        <v>6.666666666666667</v>
      </c>
      <c r="V15" s="1275">
        <v>25</v>
      </c>
      <c r="W15" s="1275">
        <v>666.08920634920639</v>
      </c>
      <c r="X15" s="1275">
        <v>250</v>
      </c>
      <c r="Y15" s="1275">
        <v>941.08920634920639</v>
      </c>
      <c r="Z15" s="1129">
        <v>6.666666666666667</v>
      </c>
      <c r="AA15" s="1129">
        <v>25</v>
      </c>
      <c r="AB15" s="1129">
        <v>666.08920634920639</v>
      </c>
      <c r="AC15" s="1129">
        <v>250</v>
      </c>
      <c r="AD15" s="1098">
        <v>941.08920634920639</v>
      </c>
      <c r="AE15" s="1135">
        <v>4</v>
      </c>
      <c r="AF15" s="1129">
        <v>4</v>
      </c>
      <c r="AG15" s="1127">
        <v>1</v>
      </c>
      <c r="AH15" s="1127">
        <v>0</v>
      </c>
      <c r="AI15" s="1127">
        <v>0</v>
      </c>
      <c r="AJ15" s="1127">
        <v>1</v>
      </c>
      <c r="AK15" s="1129">
        <v>941.08920634920639</v>
      </c>
      <c r="AL15" s="1129">
        <v>0</v>
      </c>
      <c r="AM15" s="1129">
        <v>0</v>
      </c>
      <c r="AN15" s="1129">
        <v>941.08920634920639</v>
      </c>
      <c r="AO15" s="1129" t="s">
        <v>131</v>
      </c>
      <c r="AP15" s="1129" t="s">
        <v>96</v>
      </c>
      <c r="AQ15" s="1157">
        <v>2014</v>
      </c>
      <c r="AR15" s="1129" t="s">
        <v>87</v>
      </c>
      <c r="AS15" s="1127">
        <v>0.33333333333333331</v>
      </c>
      <c r="AT15" s="1127"/>
      <c r="AU15" s="1127">
        <v>0.33333333333333331</v>
      </c>
      <c r="AV15" s="1127"/>
      <c r="AW15" s="1127"/>
      <c r="AX15" s="1127"/>
      <c r="AY15" s="1127"/>
      <c r="AZ15" s="1127">
        <v>0.33333333333333331</v>
      </c>
      <c r="BA15" s="1129">
        <v>313.69640211640211</v>
      </c>
      <c r="BB15" s="1129">
        <v>0</v>
      </c>
      <c r="BC15" s="1129">
        <v>313.69640211640211</v>
      </c>
      <c r="BD15" s="1129">
        <v>0</v>
      </c>
      <c r="BE15" s="1129">
        <v>0</v>
      </c>
      <c r="BF15" s="1129">
        <v>0</v>
      </c>
      <c r="BG15" s="1129">
        <v>0</v>
      </c>
      <c r="BH15" s="1129">
        <v>313.69640211640211</v>
      </c>
      <c r="BI15" s="971"/>
      <c r="BJ15" s="971"/>
      <c r="BK15" s="971"/>
      <c r="BL15" s="1246"/>
      <c r="BM15" s="1247" t="s">
        <v>2125</v>
      </c>
    </row>
    <row r="16" spans="1:65" s="1247" customFormat="1" ht="66" customHeight="1">
      <c r="A16" s="1272">
        <v>2000</v>
      </c>
      <c r="B16" s="971" t="s">
        <v>119</v>
      </c>
      <c r="C16" s="1272">
        <v>2100</v>
      </c>
      <c r="D16" s="971" t="s">
        <v>120</v>
      </c>
      <c r="E16" s="971" t="s">
        <v>175</v>
      </c>
      <c r="F16" s="971" t="s">
        <v>176</v>
      </c>
      <c r="G16" s="971" t="s">
        <v>3703</v>
      </c>
      <c r="H16" s="971" t="s">
        <v>3491</v>
      </c>
      <c r="I16" s="1273" t="s">
        <v>6634</v>
      </c>
      <c r="J16" s="971" t="s">
        <v>2146</v>
      </c>
      <c r="K16" s="971" t="s">
        <v>2129</v>
      </c>
      <c r="L16" s="971" t="s">
        <v>2130</v>
      </c>
      <c r="M16" s="971" t="s">
        <v>2129</v>
      </c>
      <c r="N16" s="971" t="s">
        <v>176</v>
      </c>
      <c r="O16" s="971" t="s">
        <v>2130</v>
      </c>
      <c r="P16" s="971" t="s">
        <v>6632</v>
      </c>
      <c r="Q16" s="971" t="s">
        <v>6633</v>
      </c>
      <c r="R16" s="971" t="s">
        <v>3733</v>
      </c>
      <c r="S16" s="1274">
        <v>1</v>
      </c>
      <c r="T16" s="971" t="s">
        <v>242</v>
      </c>
      <c r="U16" s="1275">
        <v>6.666666666666667</v>
      </c>
      <c r="V16" s="1275">
        <v>25</v>
      </c>
      <c r="W16" s="1275">
        <v>666.08920634920639</v>
      </c>
      <c r="X16" s="1275">
        <v>250</v>
      </c>
      <c r="Y16" s="1275">
        <v>941.08920634920639</v>
      </c>
      <c r="Z16" s="1129">
        <v>6.666666666666667</v>
      </c>
      <c r="AA16" s="1129">
        <v>25</v>
      </c>
      <c r="AB16" s="1129">
        <v>666.08920634920639</v>
      </c>
      <c r="AC16" s="1129">
        <v>250</v>
      </c>
      <c r="AD16" s="1098">
        <v>941.08920634920639</v>
      </c>
      <c r="AE16" s="1135">
        <v>4</v>
      </c>
      <c r="AF16" s="1129">
        <v>4</v>
      </c>
      <c r="AG16" s="1127">
        <v>1</v>
      </c>
      <c r="AH16" s="1127">
        <v>0</v>
      </c>
      <c r="AI16" s="1127">
        <v>0</v>
      </c>
      <c r="AJ16" s="1127">
        <v>1</v>
      </c>
      <c r="AK16" s="1129">
        <v>941.08920634920639</v>
      </c>
      <c r="AL16" s="1129">
        <v>0</v>
      </c>
      <c r="AM16" s="1129">
        <v>0</v>
      </c>
      <c r="AN16" s="1129">
        <v>941.08920634920639</v>
      </c>
      <c r="AO16" s="1129" t="s">
        <v>131</v>
      </c>
      <c r="AP16" s="1129" t="s">
        <v>96</v>
      </c>
      <c r="AQ16" s="1157">
        <v>2014</v>
      </c>
      <c r="AR16" s="1129" t="s">
        <v>87</v>
      </c>
      <c r="AS16" s="1127">
        <v>0.33333333333333331</v>
      </c>
      <c r="AT16" s="1127"/>
      <c r="AU16" s="1127">
        <v>0.33333333333333331</v>
      </c>
      <c r="AV16" s="1127"/>
      <c r="AW16" s="1127"/>
      <c r="AX16" s="1127"/>
      <c r="AY16" s="1127"/>
      <c r="AZ16" s="1127">
        <v>0.33333333333333331</v>
      </c>
      <c r="BA16" s="1129">
        <v>313.69640211640211</v>
      </c>
      <c r="BB16" s="1129">
        <v>0</v>
      </c>
      <c r="BC16" s="1129">
        <v>313.69640211640211</v>
      </c>
      <c r="BD16" s="1129">
        <v>0</v>
      </c>
      <c r="BE16" s="1129">
        <v>0</v>
      </c>
      <c r="BF16" s="1129">
        <v>0</v>
      </c>
      <c r="BG16" s="1129">
        <v>0</v>
      </c>
      <c r="BH16" s="1129">
        <v>313.69640211640211</v>
      </c>
      <c r="BI16" s="971"/>
      <c r="BJ16" s="971"/>
      <c r="BK16" s="971"/>
      <c r="BL16" s="1246"/>
      <c r="BM16" s="1247" t="s">
        <v>2129</v>
      </c>
    </row>
    <row r="17" spans="1:65" s="1247" customFormat="1" ht="66" customHeight="1">
      <c r="A17" s="1272">
        <v>2000</v>
      </c>
      <c r="B17" s="971" t="s">
        <v>119</v>
      </c>
      <c r="C17" s="1272">
        <v>2100</v>
      </c>
      <c r="D17" s="971" t="s">
        <v>120</v>
      </c>
      <c r="E17" s="971" t="s">
        <v>175</v>
      </c>
      <c r="F17" s="971" t="s">
        <v>176</v>
      </c>
      <c r="G17" s="971" t="s">
        <v>3703</v>
      </c>
      <c r="H17" s="971" t="s">
        <v>3491</v>
      </c>
      <c r="I17" s="1273" t="s">
        <v>1857</v>
      </c>
      <c r="J17" s="971" t="s">
        <v>2146</v>
      </c>
      <c r="K17" s="971" t="s">
        <v>2129</v>
      </c>
      <c r="L17" s="971" t="s">
        <v>2130</v>
      </c>
      <c r="M17" s="971" t="s">
        <v>2129</v>
      </c>
      <c r="N17" s="971" t="s">
        <v>176</v>
      </c>
      <c r="O17" s="971" t="s">
        <v>2130</v>
      </c>
      <c r="P17" s="971" t="s">
        <v>6632</v>
      </c>
      <c r="Q17" s="971" t="s">
        <v>6633</v>
      </c>
      <c r="R17" s="971" t="s">
        <v>3734</v>
      </c>
      <c r="S17" s="1274">
        <v>1</v>
      </c>
      <c r="T17" s="971" t="s">
        <v>242</v>
      </c>
      <c r="U17" s="1275">
        <v>6.666666666666667</v>
      </c>
      <c r="V17" s="1275">
        <v>25</v>
      </c>
      <c r="W17" s="1275">
        <v>666.08920634920639</v>
      </c>
      <c r="X17" s="1275">
        <v>250</v>
      </c>
      <c r="Y17" s="1275">
        <v>941.08920634920639</v>
      </c>
      <c r="Z17" s="1129">
        <v>6.666666666666667</v>
      </c>
      <c r="AA17" s="1129">
        <v>25</v>
      </c>
      <c r="AB17" s="1129">
        <v>666.08920634920639</v>
      </c>
      <c r="AC17" s="1129">
        <v>250</v>
      </c>
      <c r="AD17" s="1098">
        <v>941.08920634920639</v>
      </c>
      <c r="AE17" s="1135">
        <v>4</v>
      </c>
      <c r="AF17" s="1129">
        <v>4</v>
      </c>
      <c r="AG17" s="1127">
        <v>1</v>
      </c>
      <c r="AH17" s="1127">
        <v>0</v>
      </c>
      <c r="AI17" s="1127">
        <v>0</v>
      </c>
      <c r="AJ17" s="1127">
        <v>1</v>
      </c>
      <c r="AK17" s="1129">
        <v>941.08920634920639</v>
      </c>
      <c r="AL17" s="1129">
        <v>0</v>
      </c>
      <c r="AM17" s="1129">
        <v>0</v>
      </c>
      <c r="AN17" s="1129">
        <v>941.08920634920639</v>
      </c>
      <c r="AO17" s="1129" t="s">
        <v>131</v>
      </c>
      <c r="AP17" s="1129" t="s">
        <v>96</v>
      </c>
      <c r="AQ17" s="1157">
        <v>2014</v>
      </c>
      <c r="AR17" s="1129" t="s">
        <v>87</v>
      </c>
      <c r="AS17" s="1127">
        <v>0.33333333333333331</v>
      </c>
      <c r="AT17" s="1127"/>
      <c r="AU17" s="1127">
        <v>0.33333333333333331</v>
      </c>
      <c r="AV17" s="1127"/>
      <c r="AW17" s="1127"/>
      <c r="AX17" s="1127"/>
      <c r="AY17" s="1127"/>
      <c r="AZ17" s="1127">
        <v>0.33333333333333331</v>
      </c>
      <c r="BA17" s="1129">
        <v>313.69640211640211</v>
      </c>
      <c r="BB17" s="1129">
        <v>0</v>
      </c>
      <c r="BC17" s="1129">
        <v>313.69640211640211</v>
      </c>
      <c r="BD17" s="1129">
        <v>0</v>
      </c>
      <c r="BE17" s="1129">
        <v>0</v>
      </c>
      <c r="BF17" s="1129">
        <v>0</v>
      </c>
      <c r="BG17" s="1129">
        <v>0</v>
      </c>
      <c r="BH17" s="1129">
        <v>313.69640211640211</v>
      </c>
      <c r="BI17" s="971"/>
      <c r="BJ17" s="971"/>
      <c r="BK17" s="971"/>
      <c r="BL17" s="1246"/>
      <c r="BM17" s="1247" t="s">
        <v>2129</v>
      </c>
    </row>
    <row r="18" spans="1:65" s="1247" customFormat="1" ht="66" customHeight="1">
      <c r="A18" s="1272">
        <v>2000</v>
      </c>
      <c r="B18" s="971" t="s">
        <v>119</v>
      </c>
      <c r="C18" s="1272">
        <v>2100</v>
      </c>
      <c r="D18" s="971" t="s">
        <v>120</v>
      </c>
      <c r="E18" s="971" t="s">
        <v>175</v>
      </c>
      <c r="F18" s="971" t="s">
        <v>176</v>
      </c>
      <c r="G18" s="971" t="s">
        <v>3703</v>
      </c>
      <c r="H18" s="971" t="s">
        <v>3491</v>
      </c>
      <c r="I18" s="1273" t="s">
        <v>1862</v>
      </c>
      <c r="J18" s="971" t="s">
        <v>2146</v>
      </c>
      <c r="K18" s="971" t="s">
        <v>2129</v>
      </c>
      <c r="L18" s="971" t="s">
        <v>2130</v>
      </c>
      <c r="M18" s="971" t="s">
        <v>2129</v>
      </c>
      <c r="N18" s="971" t="s">
        <v>176</v>
      </c>
      <c r="O18" s="971" t="s">
        <v>2130</v>
      </c>
      <c r="P18" s="971" t="s">
        <v>6632</v>
      </c>
      <c r="Q18" s="971" t="s">
        <v>6633</v>
      </c>
      <c r="R18" s="971" t="s">
        <v>3735</v>
      </c>
      <c r="S18" s="1274">
        <v>1</v>
      </c>
      <c r="T18" s="971" t="s">
        <v>242</v>
      </c>
      <c r="U18" s="1275">
        <v>6.666666666666667</v>
      </c>
      <c r="V18" s="1275">
        <v>25</v>
      </c>
      <c r="W18" s="1275">
        <v>666.08920634920639</v>
      </c>
      <c r="X18" s="1275">
        <v>250</v>
      </c>
      <c r="Y18" s="1275">
        <v>941.08920634920639</v>
      </c>
      <c r="Z18" s="1129">
        <v>6.666666666666667</v>
      </c>
      <c r="AA18" s="1129">
        <v>25</v>
      </c>
      <c r="AB18" s="1129">
        <v>666.08920634920639</v>
      </c>
      <c r="AC18" s="1129">
        <v>250</v>
      </c>
      <c r="AD18" s="1098">
        <v>941.08920634920639</v>
      </c>
      <c r="AE18" s="1135">
        <v>4</v>
      </c>
      <c r="AF18" s="1129">
        <v>4</v>
      </c>
      <c r="AG18" s="1127">
        <v>1</v>
      </c>
      <c r="AH18" s="1127">
        <v>0</v>
      </c>
      <c r="AI18" s="1127">
        <v>0</v>
      </c>
      <c r="AJ18" s="1127">
        <v>1</v>
      </c>
      <c r="AK18" s="1129">
        <v>941.08920634920639</v>
      </c>
      <c r="AL18" s="1129">
        <v>0</v>
      </c>
      <c r="AM18" s="1129">
        <v>0</v>
      </c>
      <c r="AN18" s="1129">
        <v>941.08920634920639</v>
      </c>
      <c r="AO18" s="1129" t="s">
        <v>131</v>
      </c>
      <c r="AP18" s="1129" t="s">
        <v>96</v>
      </c>
      <c r="AQ18" s="1157">
        <v>2014</v>
      </c>
      <c r="AR18" s="1129" t="s">
        <v>87</v>
      </c>
      <c r="AS18" s="1127">
        <v>0.33333333333333331</v>
      </c>
      <c r="AT18" s="1127"/>
      <c r="AU18" s="1127">
        <v>0.33333333333333331</v>
      </c>
      <c r="AV18" s="1127"/>
      <c r="AW18" s="1127"/>
      <c r="AX18" s="1127"/>
      <c r="AY18" s="1127"/>
      <c r="AZ18" s="1127">
        <v>0.33333333333333331</v>
      </c>
      <c r="BA18" s="1129">
        <v>313.69640211640211</v>
      </c>
      <c r="BB18" s="1129">
        <v>0</v>
      </c>
      <c r="BC18" s="1129">
        <v>313.69640211640211</v>
      </c>
      <c r="BD18" s="1129">
        <v>0</v>
      </c>
      <c r="BE18" s="1129">
        <v>0</v>
      </c>
      <c r="BF18" s="1129">
        <v>0</v>
      </c>
      <c r="BG18" s="1129">
        <v>0</v>
      </c>
      <c r="BH18" s="1129">
        <v>313.69640211640211</v>
      </c>
      <c r="BI18" s="971"/>
      <c r="BJ18" s="971"/>
      <c r="BK18" s="971"/>
      <c r="BL18" s="1246"/>
      <c r="BM18" s="1247" t="s">
        <v>2129</v>
      </c>
    </row>
    <row r="19" spans="1:65" s="1247" customFormat="1" ht="66" customHeight="1">
      <c r="A19" s="1272">
        <v>2000</v>
      </c>
      <c r="B19" s="971" t="s">
        <v>119</v>
      </c>
      <c r="C19" s="1272">
        <v>2100</v>
      </c>
      <c r="D19" s="971" t="s">
        <v>120</v>
      </c>
      <c r="E19" s="971" t="s">
        <v>175</v>
      </c>
      <c r="F19" s="971" t="s">
        <v>176</v>
      </c>
      <c r="G19" s="971" t="s">
        <v>3703</v>
      </c>
      <c r="H19" s="971" t="s">
        <v>3491</v>
      </c>
      <c r="I19" s="1273" t="s">
        <v>6635</v>
      </c>
      <c r="J19" s="971" t="s">
        <v>2146</v>
      </c>
      <c r="K19" s="971" t="s">
        <v>2129</v>
      </c>
      <c r="L19" s="971" t="s">
        <v>2130</v>
      </c>
      <c r="M19" s="971" t="s">
        <v>2129</v>
      </c>
      <c r="N19" s="971" t="s">
        <v>176</v>
      </c>
      <c r="O19" s="971" t="s">
        <v>2130</v>
      </c>
      <c r="P19" s="971" t="s">
        <v>6632</v>
      </c>
      <c r="Q19" s="971" t="s">
        <v>6633</v>
      </c>
      <c r="R19" s="971" t="s">
        <v>3736</v>
      </c>
      <c r="S19" s="1274">
        <v>1</v>
      </c>
      <c r="T19" s="971" t="s">
        <v>242</v>
      </c>
      <c r="U19" s="1275">
        <v>6.666666666666667</v>
      </c>
      <c r="V19" s="1275">
        <v>25</v>
      </c>
      <c r="W19" s="1275">
        <v>666.08920634920639</v>
      </c>
      <c r="X19" s="1275">
        <v>250</v>
      </c>
      <c r="Y19" s="1275">
        <v>941.08920634920639</v>
      </c>
      <c r="Z19" s="1129">
        <v>6.666666666666667</v>
      </c>
      <c r="AA19" s="1129">
        <v>25</v>
      </c>
      <c r="AB19" s="1129">
        <v>666.08920634920639</v>
      </c>
      <c r="AC19" s="1129">
        <v>250</v>
      </c>
      <c r="AD19" s="1098">
        <v>941.08920634920639</v>
      </c>
      <c r="AE19" s="1135">
        <v>4</v>
      </c>
      <c r="AF19" s="1129">
        <v>4</v>
      </c>
      <c r="AG19" s="1127">
        <v>1</v>
      </c>
      <c r="AH19" s="1127">
        <v>0</v>
      </c>
      <c r="AI19" s="1127">
        <v>0</v>
      </c>
      <c r="AJ19" s="1127">
        <v>1</v>
      </c>
      <c r="AK19" s="1129">
        <v>941.08920634920639</v>
      </c>
      <c r="AL19" s="1129">
        <v>0</v>
      </c>
      <c r="AM19" s="1129">
        <v>0</v>
      </c>
      <c r="AN19" s="1129">
        <v>941.08920634920639</v>
      </c>
      <c r="AO19" s="1129" t="s">
        <v>131</v>
      </c>
      <c r="AP19" s="1129" t="s">
        <v>96</v>
      </c>
      <c r="AQ19" s="1157">
        <v>2014</v>
      </c>
      <c r="AR19" s="1129" t="s">
        <v>87</v>
      </c>
      <c r="AS19" s="1127">
        <v>0.33333333333333331</v>
      </c>
      <c r="AT19" s="1127"/>
      <c r="AU19" s="1127">
        <v>0.33333333333333331</v>
      </c>
      <c r="AV19" s="1127"/>
      <c r="AW19" s="1127"/>
      <c r="AX19" s="1127"/>
      <c r="AY19" s="1127"/>
      <c r="AZ19" s="1127">
        <v>0.33333333333333331</v>
      </c>
      <c r="BA19" s="1129">
        <v>313.69640211640211</v>
      </c>
      <c r="BB19" s="1129">
        <v>0</v>
      </c>
      <c r="BC19" s="1129">
        <v>313.69640211640211</v>
      </c>
      <c r="BD19" s="1129">
        <v>0</v>
      </c>
      <c r="BE19" s="1129">
        <v>0</v>
      </c>
      <c r="BF19" s="1129">
        <v>0</v>
      </c>
      <c r="BG19" s="1129">
        <v>0</v>
      </c>
      <c r="BH19" s="1129">
        <v>313.69640211640211</v>
      </c>
      <c r="BI19" s="971"/>
      <c r="BJ19" s="971"/>
      <c r="BK19" s="971"/>
      <c r="BL19" s="1246"/>
      <c r="BM19" s="1247" t="s">
        <v>2129</v>
      </c>
    </row>
    <row r="20" spans="1:65" s="1247" customFormat="1" ht="66" customHeight="1">
      <c r="A20" s="1272">
        <v>2000</v>
      </c>
      <c r="B20" s="971" t="s">
        <v>119</v>
      </c>
      <c r="C20" s="1272">
        <v>2100</v>
      </c>
      <c r="D20" s="971" t="s">
        <v>120</v>
      </c>
      <c r="E20" s="971" t="s">
        <v>175</v>
      </c>
      <c r="F20" s="971" t="s">
        <v>176</v>
      </c>
      <c r="G20" s="971" t="s">
        <v>3703</v>
      </c>
      <c r="H20" s="971" t="s">
        <v>3491</v>
      </c>
      <c r="I20" s="1273" t="s">
        <v>1867</v>
      </c>
      <c r="J20" s="971" t="s">
        <v>2146</v>
      </c>
      <c r="K20" s="971" t="s">
        <v>2129</v>
      </c>
      <c r="L20" s="971" t="s">
        <v>2130</v>
      </c>
      <c r="M20" s="971" t="s">
        <v>2129</v>
      </c>
      <c r="N20" s="971" t="s">
        <v>176</v>
      </c>
      <c r="O20" s="971" t="s">
        <v>2130</v>
      </c>
      <c r="P20" s="971" t="s">
        <v>6632</v>
      </c>
      <c r="Q20" s="971" t="s">
        <v>6633</v>
      </c>
      <c r="R20" s="971" t="s">
        <v>3737</v>
      </c>
      <c r="S20" s="1274">
        <v>1</v>
      </c>
      <c r="T20" s="971" t="s">
        <v>242</v>
      </c>
      <c r="U20" s="1275">
        <v>6.666666666666667</v>
      </c>
      <c r="V20" s="1275">
        <v>25</v>
      </c>
      <c r="W20" s="1275">
        <v>666.08920634920639</v>
      </c>
      <c r="X20" s="1275">
        <v>250</v>
      </c>
      <c r="Y20" s="1275">
        <v>941.08920634920639</v>
      </c>
      <c r="Z20" s="1129">
        <v>6.666666666666667</v>
      </c>
      <c r="AA20" s="1129">
        <v>25</v>
      </c>
      <c r="AB20" s="1129">
        <v>666.08920634920639</v>
      </c>
      <c r="AC20" s="1129">
        <v>250</v>
      </c>
      <c r="AD20" s="1098">
        <v>941.08920634920639</v>
      </c>
      <c r="AE20" s="1135">
        <v>4</v>
      </c>
      <c r="AF20" s="1129">
        <v>4</v>
      </c>
      <c r="AG20" s="1127">
        <v>1</v>
      </c>
      <c r="AH20" s="1127">
        <v>0</v>
      </c>
      <c r="AI20" s="1127">
        <v>0</v>
      </c>
      <c r="AJ20" s="1127">
        <v>1</v>
      </c>
      <c r="AK20" s="1129">
        <v>941.08920634920639</v>
      </c>
      <c r="AL20" s="1129">
        <v>0</v>
      </c>
      <c r="AM20" s="1129">
        <v>0</v>
      </c>
      <c r="AN20" s="1129">
        <v>941.08920634920639</v>
      </c>
      <c r="AO20" s="1129" t="s">
        <v>131</v>
      </c>
      <c r="AP20" s="1129" t="s">
        <v>96</v>
      </c>
      <c r="AQ20" s="1157">
        <v>2014</v>
      </c>
      <c r="AR20" s="1129" t="s">
        <v>87</v>
      </c>
      <c r="AS20" s="1127">
        <v>0.33333333333333331</v>
      </c>
      <c r="AT20" s="1127"/>
      <c r="AU20" s="1127">
        <v>0.33333333333333331</v>
      </c>
      <c r="AV20" s="1127"/>
      <c r="AW20" s="1127"/>
      <c r="AX20" s="1127"/>
      <c r="AY20" s="1127"/>
      <c r="AZ20" s="1127">
        <v>0.33333333333333331</v>
      </c>
      <c r="BA20" s="1129">
        <v>313.69640211640211</v>
      </c>
      <c r="BB20" s="1129">
        <v>0</v>
      </c>
      <c r="BC20" s="1129">
        <v>313.69640211640211</v>
      </c>
      <c r="BD20" s="1129">
        <v>0</v>
      </c>
      <c r="BE20" s="1129">
        <v>0</v>
      </c>
      <c r="BF20" s="1129">
        <v>0</v>
      </c>
      <c r="BG20" s="1129">
        <v>0</v>
      </c>
      <c r="BH20" s="1129">
        <v>313.69640211640211</v>
      </c>
      <c r="BI20" s="971"/>
      <c r="BJ20" s="971"/>
      <c r="BK20" s="971"/>
      <c r="BL20" s="1246"/>
      <c r="BM20" s="1247" t="s">
        <v>2129</v>
      </c>
    </row>
    <row r="21" spans="1:65" s="1247" customFormat="1" ht="66" customHeight="1">
      <c r="A21" s="1272">
        <v>2000</v>
      </c>
      <c r="B21" s="971" t="s">
        <v>119</v>
      </c>
      <c r="C21" s="1272">
        <v>2100</v>
      </c>
      <c r="D21" s="971" t="s">
        <v>120</v>
      </c>
      <c r="E21" s="971" t="s">
        <v>175</v>
      </c>
      <c r="F21" s="971" t="s">
        <v>176</v>
      </c>
      <c r="G21" s="971" t="s">
        <v>3703</v>
      </c>
      <c r="H21" s="971" t="s">
        <v>3491</v>
      </c>
      <c r="I21" s="1273" t="s">
        <v>1872</v>
      </c>
      <c r="J21" s="971" t="s">
        <v>2146</v>
      </c>
      <c r="K21" s="971" t="s">
        <v>2129</v>
      </c>
      <c r="L21" s="971" t="s">
        <v>2130</v>
      </c>
      <c r="M21" s="971" t="s">
        <v>2129</v>
      </c>
      <c r="N21" s="971" t="s">
        <v>176</v>
      </c>
      <c r="O21" s="971" t="s">
        <v>2130</v>
      </c>
      <c r="P21" s="971" t="s">
        <v>6632</v>
      </c>
      <c r="Q21" s="971" t="s">
        <v>6633</v>
      </c>
      <c r="R21" s="971" t="s">
        <v>3738</v>
      </c>
      <c r="S21" s="1274">
        <v>1</v>
      </c>
      <c r="T21" s="971" t="s">
        <v>242</v>
      </c>
      <c r="U21" s="1275">
        <v>6.666666666666667</v>
      </c>
      <c r="V21" s="1275">
        <v>25</v>
      </c>
      <c r="W21" s="1275">
        <v>666.08920634920639</v>
      </c>
      <c r="X21" s="1275">
        <v>250</v>
      </c>
      <c r="Y21" s="1275">
        <v>941.08920634920639</v>
      </c>
      <c r="Z21" s="1129">
        <v>6.666666666666667</v>
      </c>
      <c r="AA21" s="1129">
        <v>25</v>
      </c>
      <c r="AB21" s="1129">
        <v>666.08920634920639</v>
      </c>
      <c r="AC21" s="1129">
        <v>250</v>
      </c>
      <c r="AD21" s="1098">
        <v>941.08920634920639</v>
      </c>
      <c r="AE21" s="1135">
        <v>4</v>
      </c>
      <c r="AF21" s="1129">
        <v>4</v>
      </c>
      <c r="AG21" s="1127">
        <v>1</v>
      </c>
      <c r="AH21" s="1127">
        <v>0</v>
      </c>
      <c r="AI21" s="1127">
        <v>0</v>
      </c>
      <c r="AJ21" s="1127">
        <v>1</v>
      </c>
      <c r="AK21" s="1129">
        <v>941.08920634920639</v>
      </c>
      <c r="AL21" s="1129">
        <v>0</v>
      </c>
      <c r="AM21" s="1129">
        <v>0</v>
      </c>
      <c r="AN21" s="1129">
        <v>941.08920634920639</v>
      </c>
      <c r="AO21" s="1129" t="s">
        <v>131</v>
      </c>
      <c r="AP21" s="1129" t="s">
        <v>96</v>
      </c>
      <c r="AQ21" s="1157">
        <v>2014</v>
      </c>
      <c r="AR21" s="1129" t="s">
        <v>87</v>
      </c>
      <c r="AS21" s="1127">
        <v>0.33333333333333331</v>
      </c>
      <c r="AT21" s="1127"/>
      <c r="AU21" s="1127">
        <v>0.33333333333333331</v>
      </c>
      <c r="AV21" s="1127"/>
      <c r="AW21" s="1127"/>
      <c r="AX21" s="1127"/>
      <c r="AY21" s="1127"/>
      <c r="AZ21" s="1127">
        <v>0.33333333333333331</v>
      </c>
      <c r="BA21" s="1129">
        <v>313.69640211640211</v>
      </c>
      <c r="BB21" s="1129">
        <v>0</v>
      </c>
      <c r="BC21" s="1129">
        <v>313.69640211640211</v>
      </c>
      <c r="BD21" s="1129">
        <v>0</v>
      </c>
      <c r="BE21" s="1129">
        <v>0</v>
      </c>
      <c r="BF21" s="1129">
        <v>0</v>
      </c>
      <c r="BG21" s="1129">
        <v>0</v>
      </c>
      <c r="BH21" s="1129">
        <v>313.69640211640211</v>
      </c>
      <c r="BI21" s="971"/>
      <c r="BJ21" s="971"/>
      <c r="BK21" s="971"/>
      <c r="BL21" s="1246"/>
      <c r="BM21" s="1247" t="s">
        <v>2129</v>
      </c>
    </row>
    <row r="22" spans="1:65" s="1247" customFormat="1" ht="66" customHeight="1">
      <c r="A22" s="1272">
        <v>2000</v>
      </c>
      <c r="B22" s="971" t="s">
        <v>119</v>
      </c>
      <c r="C22" s="1272">
        <v>2100</v>
      </c>
      <c r="D22" s="971" t="s">
        <v>120</v>
      </c>
      <c r="E22" s="971" t="s">
        <v>175</v>
      </c>
      <c r="F22" s="971" t="s">
        <v>176</v>
      </c>
      <c r="G22" s="971" t="s">
        <v>3703</v>
      </c>
      <c r="H22" s="971" t="s">
        <v>3491</v>
      </c>
      <c r="I22" s="1273" t="s">
        <v>1877</v>
      </c>
      <c r="J22" s="971" t="s">
        <v>2146</v>
      </c>
      <c r="K22" s="971" t="s">
        <v>2129</v>
      </c>
      <c r="L22" s="971" t="s">
        <v>2130</v>
      </c>
      <c r="M22" s="971" t="s">
        <v>2129</v>
      </c>
      <c r="N22" s="971" t="s">
        <v>176</v>
      </c>
      <c r="O22" s="971" t="s">
        <v>2130</v>
      </c>
      <c r="P22" s="971" t="s">
        <v>6632</v>
      </c>
      <c r="Q22" s="971" t="s">
        <v>6633</v>
      </c>
      <c r="R22" s="971" t="s">
        <v>3739</v>
      </c>
      <c r="S22" s="1274">
        <v>1</v>
      </c>
      <c r="T22" s="971" t="s">
        <v>242</v>
      </c>
      <c r="U22" s="1275">
        <v>6.666666666666667</v>
      </c>
      <c r="V22" s="1275">
        <v>25</v>
      </c>
      <c r="W22" s="1275">
        <v>666.08920634920639</v>
      </c>
      <c r="X22" s="1275">
        <v>250</v>
      </c>
      <c r="Y22" s="1275">
        <v>941.08920634920639</v>
      </c>
      <c r="Z22" s="1129">
        <v>6.666666666666667</v>
      </c>
      <c r="AA22" s="1129">
        <v>25</v>
      </c>
      <c r="AB22" s="1129">
        <v>666.08920634920639</v>
      </c>
      <c r="AC22" s="1129">
        <v>250</v>
      </c>
      <c r="AD22" s="1098">
        <v>941.08920634920639</v>
      </c>
      <c r="AE22" s="1135">
        <v>4</v>
      </c>
      <c r="AF22" s="1129">
        <v>4</v>
      </c>
      <c r="AG22" s="1127">
        <v>1</v>
      </c>
      <c r="AH22" s="1127">
        <v>0</v>
      </c>
      <c r="AI22" s="1127">
        <v>0</v>
      </c>
      <c r="AJ22" s="1127">
        <v>1</v>
      </c>
      <c r="AK22" s="1129">
        <v>941.08920634920639</v>
      </c>
      <c r="AL22" s="1129">
        <v>0</v>
      </c>
      <c r="AM22" s="1129">
        <v>0</v>
      </c>
      <c r="AN22" s="1129">
        <v>941.08920634920639</v>
      </c>
      <c r="AO22" s="1129" t="s">
        <v>131</v>
      </c>
      <c r="AP22" s="1129" t="s">
        <v>96</v>
      </c>
      <c r="AQ22" s="1157">
        <v>2014</v>
      </c>
      <c r="AR22" s="1129" t="s">
        <v>87</v>
      </c>
      <c r="AS22" s="1127">
        <v>0.33333333333333331</v>
      </c>
      <c r="AT22" s="1127"/>
      <c r="AU22" s="1127">
        <v>0.33333333333333331</v>
      </c>
      <c r="AV22" s="1127"/>
      <c r="AW22" s="1127"/>
      <c r="AX22" s="1127"/>
      <c r="AY22" s="1127"/>
      <c r="AZ22" s="1127">
        <v>0.33333333333333331</v>
      </c>
      <c r="BA22" s="1129">
        <v>313.69640211640211</v>
      </c>
      <c r="BB22" s="1129">
        <v>0</v>
      </c>
      <c r="BC22" s="1129">
        <v>313.69640211640211</v>
      </c>
      <c r="BD22" s="1129">
        <v>0</v>
      </c>
      <c r="BE22" s="1129">
        <v>0</v>
      </c>
      <c r="BF22" s="1129">
        <v>0</v>
      </c>
      <c r="BG22" s="1129">
        <v>0</v>
      </c>
      <c r="BH22" s="1129">
        <v>313.69640211640211</v>
      </c>
      <c r="BI22" s="971"/>
      <c r="BJ22" s="971"/>
      <c r="BK22" s="971"/>
      <c r="BL22" s="1246"/>
      <c r="BM22" s="1247" t="s">
        <v>2129</v>
      </c>
    </row>
    <row r="23" spans="1:65" s="1247" customFormat="1" ht="66" customHeight="1">
      <c r="A23" s="1272">
        <v>2000</v>
      </c>
      <c r="B23" s="971" t="s">
        <v>119</v>
      </c>
      <c r="C23" s="1272">
        <v>2100</v>
      </c>
      <c r="D23" s="971" t="s">
        <v>120</v>
      </c>
      <c r="E23" s="971" t="s">
        <v>175</v>
      </c>
      <c r="F23" s="971" t="s">
        <v>176</v>
      </c>
      <c r="G23" s="971" t="s">
        <v>3703</v>
      </c>
      <c r="H23" s="971" t="s">
        <v>3491</v>
      </c>
      <c r="I23" s="1273" t="s">
        <v>6636</v>
      </c>
      <c r="J23" s="971" t="s">
        <v>2146</v>
      </c>
      <c r="K23" s="971" t="s">
        <v>2129</v>
      </c>
      <c r="L23" s="971" t="s">
        <v>2130</v>
      </c>
      <c r="M23" s="971" t="s">
        <v>2129</v>
      </c>
      <c r="N23" s="971" t="s">
        <v>176</v>
      </c>
      <c r="O23" s="971" t="s">
        <v>2130</v>
      </c>
      <c r="P23" s="971" t="s">
        <v>6632</v>
      </c>
      <c r="Q23" s="971" t="s">
        <v>6633</v>
      </c>
      <c r="R23" s="971" t="s">
        <v>3740</v>
      </c>
      <c r="S23" s="1274">
        <v>1</v>
      </c>
      <c r="T23" s="971" t="s">
        <v>242</v>
      </c>
      <c r="U23" s="1275">
        <v>6.666666666666667</v>
      </c>
      <c r="V23" s="1275">
        <v>25</v>
      </c>
      <c r="W23" s="1275">
        <v>666.08920634920639</v>
      </c>
      <c r="X23" s="1275">
        <v>250</v>
      </c>
      <c r="Y23" s="1275">
        <v>941.08920634920639</v>
      </c>
      <c r="Z23" s="1129">
        <v>6.666666666666667</v>
      </c>
      <c r="AA23" s="1129">
        <v>25</v>
      </c>
      <c r="AB23" s="1129">
        <v>666.08920634920639</v>
      </c>
      <c r="AC23" s="1129">
        <v>250</v>
      </c>
      <c r="AD23" s="1098">
        <v>941.08920634920639</v>
      </c>
      <c r="AE23" s="1135">
        <v>4</v>
      </c>
      <c r="AF23" s="1129">
        <v>4</v>
      </c>
      <c r="AG23" s="1127">
        <v>1</v>
      </c>
      <c r="AH23" s="1127">
        <v>0</v>
      </c>
      <c r="AI23" s="1127">
        <v>0</v>
      </c>
      <c r="AJ23" s="1127">
        <v>1</v>
      </c>
      <c r="AK23" s="1129">
        <v>941.08920634920639</v>
      </c>
      <c r="AL23" s="1129">
        <v>0</v>
      </c>
      <c r="AM23" s="1129">
        <v>0</v>
      </c>
      <c r="AN23" s="1129">
        <v>941.08920634920639</v>
      </c>
      <c r="AO23" s="1129" t="s">
        <v>131</v>
      </c>
      <c r="AP23" s="1129" t="s">
        <v>96</v>
      </c>
      <c r="AQ23" s="1157">
        <v>2014</v>
      </c>
      <c r="AR23" s="1129" t="s">
        <v>87</v>
      </c>
      <c r="AS23" s="1127">
        <v>0.33333333333333331</v>
      </c>
      <c r="AT23" s="1127"/>
      <c r="AU23" s="1127">
        <v>0.33333333333333331</v>
      </c>
      <c r="AV23" s="1127"/>
      <c r="AW23" s="1127"/>
      <c r="AX23" s="1127"/>
      <c r="AY23" s="1127"/>
      <c r="AZ23" s="1127">
        <v>0.33333333333333331</v>
      </c>
      <c r="BA23" s="1129">
        <v>313.69640211640211</v>
      </c>
      <c r="BB23" s="1129">
        <v>0</v>
      </c>
      <c r="BC23" s="1129">
        <v>313.69640211640211</v>
      </c>
      <c r="BD23" s="1129">
        <v>0</v>
      </c>
      <c r="BE23" s="1129">
        <v>0</v>
      </c>
      <c r="BF23" s="1129">
        <v>0</v>
      </c>
      <c r="BG23" s="1129">
        <v>0</v>
      </c>
      <c r="BH23" s="1129">
        <v>313.69640211640211</v>
      </c>
      <c r="BI23" s="971"/>
      <c r="BJ23" s="971"/>
      <c r="BK23" s="971"/>
      <c r="BL23" s="1246"/>
      <c r="BM23" s="1247" t="s">
        <v>2129</v>
      </c>
    </row>
    <row r="24" spans="1:65" s="1247" customFormat="1" ht="66" customHeight="1">
      <c r="A24" s="1272">
        <v>2000</v>
      </c>
      <c r="B24" s="971" t="s">
        <v>119</v>
      </c>
      <c r="C24" s="1272">
        <v>2100</v>
      </c>
      <c r="D24" s="971" t="s">
        <v>120</v>
      </c>
      <c r="E24" s="971" t="s">
        <v>175</v>
      </c>
      <c r="F24" s="971" t="s">
        <v>176</v>
      </c>
      <c r="G24" s="971" t="s">
        <v>3703</v>
      </c>
      <c r="H24" s="971" t="s">
        <v>3491</v>
      </c>
      <c r="I24" s="1273" t="s">
        <v>6637</v>
      </c>
      <c r="J24" s="971" t="s">
        <v>2146</v>
      </c>
      <c r="K24" s="971" t="s">
        <v>2129</v>
      </c>
      <c r="L24" s="971" t="s">
        <v>2130</v>
      </c>
      <c r="M24" s="971" t="s">
        <v>2129</v>
      </c>
      <c r="N24" s="971" t="s">
        <v>176</v>
      </c>
      <c r="O24" s="971" t="s">
        <v>2130</v>
      </c>
      <c r="P24" s="971" t="s">
        <v>6632</v>
      </c>
      <c r="Q24" s="971" t="s">
        <v>6633</v>
      </c>
      <c r="R24" s="971" t="s">
        <v>3741</v>
      </c>
      <c r="S24" s="1274">
        <v>1</v>
      </c>
      <c r="T24" s="971" t="s">
        <v>242</v>
      </c>
      <c r="U24" s="1275">
        <v>6.666666666666667</v>
      </c>
      <c r="V24" s="1275">
        <v>25</v>
      </c>
      <c r="W24" s="1275">
        <v>666.08920634920639</v>
      </c>
      <c r="X24" s="1275">
        <v>250</v>
      </c>
      <c r="Y24" s="1275">
        <v>941.08920634920639</v>
      </c>
      <c r="Z24" s="1129">
        <v>6.666666666666667</v>
      </c>
      <c r="AA24" s="1129">
        <v>25</v>
      </c>
      <c r="AB24" s="1129">
        <v>666.08920634920639</v>
      </c>
      <c r="AC24" s="1129">
        <v>250</v>
      </c>
      <c r="AD24" s="1098">
        <v>941.08920634920639</v>
      </c>
      <c r="AE24" s="1135">
        <v>4</v>
      </c>
      <c r="AF24" s="1129">
        <v>4</v>
      </c>
      <c r="AG24" s="1127">
        <v>1</v>
      </c>
      <c r="AH24" s="1127">
        <v>0</v>
      </c>
      <c r="AI24" s="1127">
        <v>0</v>
      </c>
      <c r="AJ24" s="1127">
        <v>1</v>
      </c>
      <c r="AK24" s="1129">
        <v>941.08920634920639</v>
      </c>
      <c r="AL24" s="1129">
        <v>0</v>
      </c>
      <c r="AM24" s="1129">
        <v>0</v>
      </c>
      <c r="AN24" s="1129">
        <v>941.08920634920639</v>
      </c>
      <c r="AO24" s="1129" t="s">
        <v>131</v>
      </c>
      <c r="AP24" s="1129" t="s">
        <v>96</v>
      </c>
      <c r="AQ24" s="1157">
        <v>2014</v>
      </c>
      <c r="AR24" s="1129" t="s">
        <v>87</v>
      </c>
      <c r="AS24" s="1127">
        <v>0.33333333333333331</v>
      </c>
      <c r="AT24" s="1127"/>
      <c r="AU24" s="1127">
        <v>0.33333333333333331</v>
      </c>
      <c r="AV24" s="1127"/>
      <c r="AW24" s="1127"/>
      <c r="AX24" s="1127"/>
      <c r="AY24" s="1127"/>
      <c r="AZ24" s="1127">
        <v>0.33333333333333331</v>
      </c>
      <c r="BA24" s="1129">
        <v>313.69640211640211</v>
      </c>
      <c r="BB24" s="1129">
        <v>0</v>
      </c>
      <c r="BC24" s="1129">
        <v>313.69640211640211</v>
      </c>
      <c r="BD24" s="1129">
        <v>0</v>
      </c>
      <c r="BE24" s="1129">
        <v>0</v>
      </c>
      <c r="BF24" s="1129">
        <v>0</v>
      </c>
      <c r="BG24" s="1129">
        <v>0</v>
      </c>
      <c r="BH24" s="1129">
        <v>313.69640211640211</v>
      </c>
      <c r="BI24" s="971"/>
      <c r="BJ24" s="971"/>
      <c r="BK24" s="971"/>
      <c r="BL24" s="1246"/>
      <c r="BM24" s="1247" t="s">
        <v>2129</v>
      </c>
    </row>
    <row r="25" spans="1:65" s="1247" customFormat="1" ht="66" customHeight="1">
      <c r="A25" s="1272">
        <v>2000</v>
      </c>
      <c r="B25" s="971" t="s">
        <v>119</v>
      </c>
      <c r="C25" s="1272">
        <v>2100</v>
      </c>
      <c r="D25" s="971" t="s">
        <v>120</v>
      </c>
      <c r="E25" s="971" t="s">
        <v>175</v>
      </c>
      <c r="F25" s="971" t="s">
        <v>176</v>
      </c>
      <c r="G25" s="971" t="s">
        <v>3703</v>
      </c>
      <c r="H25" s="971" t="s">
        <v>3491</v>
      </c>
      <c r="I25" s="1273" t="s">
        <v>6638</v>
      </c>
      <c r="J25" s="971" t="s">
        <v>2146</v>
      </c>
      <c r="K25" s="971" t="s">
        <v>2129</v>
      </c>
      <c r="L25" s="971" t="s">
        <v>2130</v>
      </c>
      <c r="M25" s="971" t="s">
        <v>2129</v>
      </c>
      <c r="N25" s="971" t="s">
        <v>176</v>
      </c>
      <c r="O25" s="971" t="s">
        <v>2130</v>
      </c>
      <c r="P25" s="971" t="s">
        <v>6639</v>
      </c>
      <c r="Q25" s="971" t="s">
        <v>6640</v>
      </c>
      <c r="R25" s="971" t="s">
        <v>3742</v>
      </c>
      <c r="S25" s="1274">
        <v>1</v>
      </c>
      <c r="T25" s="971" t="s">
        <v>242</v>
      </c>
      <c r="U25" s="1275">
        <v>6.666666666666667</v>
      </c>
      <c r="V25" s="1275">
        <v>25</v>
      </c>
      <c r="W25" s="1275">
        <v>666.08920634920639</v>
      </c>
      <c r="X25" s="1275">
        <v>250</v>
      </c>
      <c r="Y25" s="1275">
        <v>941.08920634920639</v>
      </c>
      <c r="Z25" s="1129">
        <v>6.666666666666667</v>
      </c>
      <c r="AA25" s="1129">
        <v>25</v>
      </c>
      <c r="AB25" s="1129">
        <v>666.08920634920639</v>
      </c>
      <c r="AC25" s="1129">
        <v>250</v>
      </c>
      <c r="AD25" s="1098">
        <v>941.08920634920639</v>
      </c>
      <c r="AE25" s="1135">
        <v>4</v>
      </c>
      <c r="AF25" s="1129">
        <v>4</v>
      </c>
      <c r="AG25" s="1127">
        <v>1</v>
      </c>
      <c r="AH25" s="1127">
        <v>0</v>
      </c>
      <c r="AI25" s="1127">
        <v>0</v>
      </c>
      <c r="AJ25" s="1127">
        <v>1</v>
      </c>
      <c r="AK25" s="1129">
        <v>941.08920634920639</v>
      </c>
      <c r="AL25" s="1129">
        <v>0</v>
      </c>
      <c r="AM25" s="1129">
        <v>0</v>
      </c>
      <c r="AN25" s="1129">
        <v>941.08920634920639</v>
      </c>
      <c r="AO25" s="1129" t="s">
        <v>131</v>
      </c>
      <c r="AP25" s="1129" t="s">
        <v>96</v>
      </c>
      <c r="AQ25" s="1157">
        <v>2014</v>
      </c>
      <c r="AR25" s="1129" t="s">
        <v>87</v>
      </c>
      <c r="AS25" s="1127">
        <v>0.33333333333333331</v>
      </c>
      <c r="AT25" s="1127"/>
      <c r="AU25" s="1127">
        <v>0.33333333333333331</v>
      </c>
      <c r="AV25" s="1127"/>
      <c r="AW25" s="1127"/>
      <c r="AX25" s="1127"/>
      <c r="AY25" s="1127"/>
      <c r="AZ25" s="1127">
        <v>0.33333333333333331</v>
      </c>
      <c r="BA25" s="1129">
        <v>313.69640211640211</v>
      </c>
      <c r="BB25" s="1129">
        <v>0</v>
      </c>
      <c r="BC25" s="1129">
        <v>313.69640211640211</v>
      </c>
      <c r="BD25" s="1129">
        <v>0</v>
      </c>
      <c r="BE25" s="1129">
        <v>0</v>
      </c>
      <c r="BF25" s="1129">
        <v>0</v>
      </c>
      <c r="BG25" s="1129">
        <v>0</v>
      </c>
      <c r="BH25" s="1129">
        <v>313.69640211640211</v>
      </c>
      <c r="BI25" s="971"/>
      <c r="BJ25" s="971"/>
      <c r="BK25" s="971"/>
      <c r="BL25" s="1246"/>
      <c r="BM25" s="1247" t="s">
        <v>2129</v>
      </c>
    </row>
    <row r="26" spans="1:65" s="1247" customFormat="1" ht="82.5" customHeight="1">
      <c r="A26" s="1272">
        <v>2000</v>
      </c>
      <c r="B26" s="971" t="s">
        <v>119</v>
      </c>
      <c r="C26" s="1272">
        <v>2100</v>
      </c>
      <c r="D26" s="971" t="s">
        <v>120</v>
      </c>
      <c r="E26" s="971" t="s">
        <v>175</v>
      </c>
      <c r="F26" s="971" t="s">
        <v>176</v>
      </c>
      <c r="G26" s="971" t="s">
        <v>3703</v>
      </c>
      <c r="H26" s="971" t="s">
        <v>3491</v>
      </c>
      <c r="I26" s="1273" t="s">
        <v>6641</v>
      </c>
      <c r="J26" s="971" t="s">
        <v>2146</v>
      </c>
      <c r="K26" s="971" t="s">
        <v>2129</v>
      </c>
      <c r="L26" s="971" t="s">
        <v>2130</v>
      </c>
      <c r="M26" s="971" t="s">
        <v>2129</v>
      </c>
      <c r="N26" s="971" t="s">
        <v>176</v>
      </c>
      <c r="O26" s="971" t="s">
        <v>2130</v>
      </c>
      <c r="P26" s="971" t="s">
        <v>6639</v>
      </c>
      <c r="Q26" s="971" t="s">
        <v>6640</v>
      </c>
      <c r="R26" s="971" t="s">
        <v>3749</v>
      </c>
      <c r="S26" s="1274">
        <v>1</v>
      </c>
      <c r="T26" s="971" t="s">
        <v>242</v>
      </c>
      <c r="U26" s="1275">
        <v>6.666666666666667</v>
      </c>
      <c r="V26" s="1275">
        <v>25</v>
      </c>
      <c r="W26" s="1275">
        <v>666.08920634920639</v>
      </c>
      <c r="X26" s="1275">
        <v>250</v>
      </c>
      <c r="Y26" s="1275">
        <v>941.08920634920639</v>
      </c>
      <c r="Z26" s="1129">
        <v>6.666666666666667</v>
      </c>
      <c r="AA26" s="1129">
        <v>25</v>
      </c>
      <c r="AB26" s="1129">
        <v>666.08920634920639</v>
      </c>
      <c r="AC26" s="1129">
        <v>250</v>
      </c>
      <c r="AD26" s="1098">
        <v>941.08920634920639</v>
      </c>
      <c r="AE26" s="1135">
        <v>4</v>
      </c>
      <c r="AF26" s="1129">
        <v>4</v>
      </c>
      <c r="AG26" s="1127">
        <v>1</v>
      </c>
      <c r="AH26" s="1127">
        <v>0</v>
      </c>
      <c r="AI26" s="1127">
        <v>0</v>
      </c>
      <c r="AJ26" s="1127">
        <v>1</v>
      </c>
      <c r="AK26" s="1129">
        <v>941.08920634920639</v>
      </c>
      <c r="AL26" s="1129">
        <v>0</v>
      </c>
      <c r="AM26" s="1129">
        <v>0</v>
      </c>
      <c r="AN26" s="1129">
        <v>941.08920634920639</v>
      </c>
      <c r="AO26" s="1129" t="s">
        <v>131</v>
      </c>
      <c r="AP26" s="1129" t="s">
        <v>96</v>
      </c>
      <c r="AQ26" s="1157">
        <v>2014</v>
      </c>
      <c r="AR26" s="1129" t="s">
        <v>87</v>
      </c>
      <c r="AS26" s="1127">
        <v>0.33333333333333331</v>
      </c>
      <c r="AT26" s="1127"/>
      <c r="AU26" s="1127">
        <v>0.33333333333333331</v>
      </c>
      <c r="AV26" s="1127"/>
      <c r="AW26" s="1127"/>
      <c r="AX26" s="1127"/>
      <c r="AY26" s="1127"/>
      <c r="AZ26" s="1127">
        <v>0.33333333333333331</v>
      </c>
      <c r="BA26" s="1129">
        <v>313.69640211640211</v>
      </c>
      <c r="BB26" s="1129">
        <v>0</v>
      </c>
      <c r="BC26" s="1129">
        <v>313.69640211640211</v>
      </c>
      <c r="BD26" s="1129">
        <v>0</v>
      </c>
      <c r="BE26" s="1129">
        <v>0</v>
      </c>
      <c r="BF26" s="1129">
        <v>0</v>
      </c>
      <c r="BG26" s="1129">
        <v>0</v>
      </c>
      <c r="BH26" s="1129">
        <v>313.69640211640211</v>
      </c>
      <c r="BI26" s="971"/>
      <c r="BJ26" s="971"/>
      <c r="BK26" s="971"/>
      <c r="BL26" s="1246"/>
      <c r="BM26" s="1247" t="s">
        <v>2129</v>
      </c>
    </row>
    <row r="27" spans="1:65" s="1247" customFormat="1" ht="82.5" customHeight="1">
      <c r="A27" s="1272">
        <v>2000</v>
      </c>
      <c r="B27" s="971" t="s">
        <v>119</v>
      </c>
      <c r="C27" s="1272">
        <v>2100</v>
      </c>
      <c r="D27" s="971" t="s">
        <v>120</v>
      </c>
      <c r="E27" s="971" t="s">
        <v>175</v>
      </c>
      <c r="F27" s="971" t="s">
        <v>176</v>
      </c>
      <c r="G27" s="971" t="s">
        <v>3750</v>
      </c>
      <c r="H27" s="971" t="s">
        <v>3494</v>
      </c>
      <c r="I27" s="1273" t="s">
        <v>6642</v>
      </c>
      <c r="J27" s="971" t="s">
        <v>2146</v>
      </c>
      <c r="K27" s="971" t="s">
        <v>2125</v>
      </c>
      <c r="L27" s="971" t="s">
        <v>2126</v>
      </c>
      <c r="M27" s="971" t="s">
        <v>2125</v>
      </c>
      <c r="N27" s="971" t="s">
        <v>176</v>
      </c>
      <c r="O27" s="971" t="s">
        <v>2126</v>
      </c>
      <c r="P27" s="971" t="s">
        <v>6643</v>
      </c>
      <c r="Q27" s="971" t="s">
        <v>6644</v>
      </c>
      <c r="R27" s="971" t="s">
        <v>3751</v>
      </c>
      <c r="S27" s="1274">
        <v>1</v>
      </c>
      <c r="T27" s="971" t="s">
        <v>242</v>
      </c>
      <c r="U27" s="1275">
        <v>13</v>
      </c>
      <c r="V27" s="1275">
        <v>120</v>
      </c>
      <c r="W27" s="1275">
        <v>1298.8739523809525</v>
      </c>
      <c r="X27" s="1275">
        <v>1200</v>
      </c>
      <c r="Y27" s="1275">
        <v>2618.8739523809527</v>
      </c>
      <c r="Z27" s="1129">
        <v>13</v>
      </c>
      <c r="AA27" s="1129">
        <v>120</v>
      </c>
      <c r="AB27" s="1129">
        <v>1298.8739523809525</v>
      </c>
      <c r="AC27" s="1129">
        <v>1200</v>
      </c>
      <c r="AD27" s="1098">
        <v>2618.8739523809527</v>
      </c>
      <c r="AE27" s="1135">
        <v>96</v>
      </c>
      <c r="AF27" s="1129">
        <v>96</v>
      </c>
      <c r="AG27" s="1127">
        <v>1</v>
      </c>
      <c r="AH27" s="1127">
        <v>0</v>
      </c>
      <c r="AI27" s="1127">
        <v>0</v>
      </c>
      <c r="AJ27" s="1127">
        <v>1</v>
      </c>
      <c r="AK27" s="1129">
        <v>2618.8739523809527</v>
      </c>
      <c r="AL27" s="1129">
        <v>0</v>
      </c>
      <c r="AM27" s="1129">
        <v>0</v>
      </c>
      <c r="AN27" s="1129">
        <v>2618.8739523809527</v>
      </c>
      <c r="AO27" s="1129" t="s">
        <v>131</v>
      </c>
      <c r="AP27" s="1129" t="s">
        <v>96</v>
      </c>
      <c r="AQ27" s="1157">
        <v>2014</v>
      </c>
      <c r="AR27" s="1129" t="s">
        <v>87</v>
      </c>
      <c r="AS27" s="1127">
        <v>0.33333333333333331</v>
      </c>
      <c r="AT27" s="1127"/>
      <c r="AU27" s="1127">
        <v>0.33333333333333331</v>
      </c>
      <c r="AV27" s="1127"/>
      <c r="AW27" s="1127"/>
      <c r="AX27" s="1127"/>
      <c r="AY27" s="1127"/>
      <c r="AZ27" s="1127">
        <v>0.33333333333333331</v>
      </c>
      <c r="BA27" s="1129">
        <v>872.95798412698423</v>
      </c>
      <c r="BB27" s="1129">
        <v>0</v>
      </c>
      <c r="BC27" s="1129">
        <v>872.95798412698423</v>
      </c>
      <c r="BD27" s="1129">
        <v>0</v>
      </c>
      <c r="BE27" s="1129">
        <v>0</v>
      </c>
      <c r="BF27" s="1129">
        <v>0</v>
      </c>
      <c r="BG27" s="1129">
        <v>0</v>
      </c>
      <c r="BH27" s="1129">
        <v>872.95798412698423</v>
      </c>
      <c r="BI27" s="971"/>
      <c r="BJ27" s="971"/>
      <c r="BK27" s="971"/>
      <c r="BL27" s="1246"/>
      <c r="BM27" s="1247" t="s">
        <v>2129</v>
      </c>
    </row>
    <row r="28" spans="1:65" s="1247" customFormat="1" ht="82.5" customHeight="1">
      <c r="A28" s="1272">
        <v>2000</v>
      </c>
      <c r="B28" s="971" t="s">
        <v>119</v>
      </c>
      <c r="C28" s="1272">
        <v>2100</v>
      </c>
      <c r="D28" s="971" t="s">
        <v>120</v>
      </c>
      <c r="E28" s="971" t="s">
        <v>175</v>
      </c>
      <c r="F28" s="971" t="s">
        <v>176</v>
      </c>
      <c r="G28" s="971" t="s">
        <v>3750</v>
      </c>
      <c r="H28" s="971" t="s">
        <v>3494</v>
      </c>
      <c r="I28" s="1273" t="s">
        <v>6645</v>
      </c>
      <c r="J28" s="971" t="s">
        <v>2146</v>
      </c>
      <c r="K28" s="971" t="s">
        <v>2127</v>
      </c>
      <c r="L28" s="971" t="s">
        <v>2177</v>
      </c>
      <c r="M28" s="971" t="s">
        <v>2127</v>
      </c>
      <c r="N28" s="971" t="s">
        <v>176</v>
      </c>
      <c r="O28" s="971" t="s">
        <v>2177</v>
      </c>
      <c r="P28" s="971" t="s">
        <v>6646</v>
      </c>
      <c r="Q28" s="971" t="s">
        <v>6647</v>
      </c>
      <c r="R28" s="971" t="s">
        <v>3758</v>
      </c>
      <c r="S28" s="1274">
        <v>1</v>
      </c>
      <c r="T28" s="971" t="s">
        <v>242</v>
      </c>
      <c r="U28" s="1275">
        <v>10</v>
      </c>
      <c r="V28" s="1275">
        <v>45</v>
      </c>
      <c r="W28" s="1275">
        <v>999.13380952380965</v>
      </c>
      <c r="X28" s="1275">
        <v>450</v>
      </c>
      <c r="Y28" s="1275">
        <v>1494.1338095238098</v>
      </c>
      <c r="Z28" s="1129">
        <v>10</v>
      </c>
      <c r="AA28" s="1129">
        <v>45</v>
      </c>
      <c r="AB28" s="1129">
        <v>999.13380952380965</v>
      </c>
      <c r="AC28" s="1129">
        <v>450</v>
      </c>
      <c r="AD28" s="1098">
        <v>1494.1338095238098</v>
      </c>
      <c r="AE28" s="1135">
        <v>24</v>
      </c>
      <c r="AF28" s="1129">
        <v>24</v>
      </c>
      <c r="AG28" s="1127">
        <v>1</v>
      </c>
      <c r="AH28" s="1127">
        <v>0</v>
      </c>
      <c r="AI28" s="1127">
        <v>0</v>
      </c>
      <c r="AJ28" s="1127">
        <v>1</v>
      </c>
      <c r="AK28" s="1129">
        <v>1494.1338095238098</v>
      </c>
      <c r="AL28" s="1129">
        <v>0</v>
      </c>
      <c r="AM28" s="1129">
        <v>0</v>
      </c>
      <c r="AN28" s="1129">
        <v>1494.1338095238098</v>
      </c>
      <c r="AO28" s="1129" t="s">
        <v>131</v>
      </c>
      <c r="AP28" s="1129" t="s">
        <v>96</v>
      </c>
      <c r="AQ28" s="1157">
        <v>2014</v>
      </c>
      <c r="AR28" s="1129" t="s">
        <v>87</v>
      </c>
      <c r="AS28" s="1127">
        <v>0.33333333333333331</v>
      </c>
      <c r="AT28" s="1127"/>
      <c r="AU28" s="1127">
        <v>0.33333333333333331</v>
      </c>
      <c r="AV28" s="1127"/>
      <c r="AW28" s="1127"/>
      <c r="AX28" s="1127"/>
      <c r="AY28" s="1127"/>
      <c r="AZ28" s="1127">
        <v>0.33333333333333331</v>
      </c>
      <c r="BA28" s="1129">
        <v>498.04460317460325</v>
      </c>
      <c r="BB28" s="1129">
        <v>0</v>
      </c>
      <c r="BC28" s="1129">
        <v>498.04460317460325</v>
      </c>
      <c r="BD28" s="1129">
        <v>0</v>
      </c>
      <c r="BE28" s="1129">
        <v>0</v>
      </c>
      <c r="BF28" s="1129">
        <v>0</v>
      </c>
      <c r="BG28" s="1129">
        <v>0</v>
      </c>
      <c r="BH28" s="1129">
        <v>498.04460317460325</v>
      </c>
      <c r="BI28" s="971"/>
      <c r="BJ28" s="971"/>
      <c r="BK28" s="971"/>
      <c r="BL28" s="1246"/>
      <c r="BM28" s="1247" t="s">
        <v>2125</v>
      </c>
    </row>
    <row r="29" spans="1:65" s="1247" customFormat="1" ht="82.5" customHeight="1">
      <c r="A29" s="1272">
        <v>2000</v>
      </c>
      <c r="B29" s="971" t="s">
        <v>119</v>
      </c>
      <c r="C29" s="1272">
        <v>2100</v>
      </c>
      <c r="D29" s="971" t="s">
        <v>120</v>
      </c>
      <c r="E29" s="971" t="s">
        <v>175</v>
      </c>
      <c r="F29" s="971" t="s">
        <v>176</v>
      </c>
      <c r="G29" s="971" t="s">
        <v>3750</v>
      </c>
      <c r="H29" s="971" t="s">
        <v>3494</v>
      </c>
      <c r="I29" s="1273" t="s">
        <v>6648</v>
      </c>
      <c r="J29" s="971" t="s">
        <v>2146</v>
      </c>
      <c r="K29" s="971" t="s">
        <v>2129</v>
      </c>
      <c r="L29" s="971" t="s">
        <v>2130</v>
      </c>
      <c r="M29" s="971" t="s">
        <v>2129</v>
      </c>
      <c r="N29" s="971" t="s">
        <v>176</v>
      </c>
      <c r="O29" s="971" t="s">
        <v>2130</v>
      </c>
      <c r="P29" s="971" t="s">
        <v>6619</v>
      </c>
      <c r="Q29" s="971" t="s">
        <v>6649</v>
      </c>
      <c r="R29" s="971" t="s">
        <v>3764</v>
      </c>
      <c r="S29" s="1274">
        <v>1</v>
      </c>
      <c r="T29" s="971" t="s">
        <v>242</v>
      </c>
      <c r="U29" s="1275">
        <v>6.666666666666667</v>
      </c>
      <c r="V29" s="1275">
        <v>25</v>
      </c>
      <c r="W29" s="1275">
        <v>666.08920634920639</v>
      </c>
      <c r="X29" s="1275">
        <v>250</v>
      </c>
      <c r="Y29" s="1275">
        <v>941.08920634920639</v>
      </c>
      <c r="Z29" s="1129">
        <v>6.666666666666667</v>
      </c>
      <c r="AA29" s="1129">
        <v>25</v>
      </c>
      <c r="AB29" s="1129">
        <v>666.08920634920639</v>
      </c>
      <c r="AC29" s="1129">
        <v>250</v>
      </c>
      <c r="AD29" s="1098">
        <v>941.08920634920639</v>
      </c>
      <c r="AE29" s="1135">
        <v>4</v>
      </c>
      <c r="AF29" s="1129">
        <v>4</v>
      </c>
      <c r="AG29" s="1127">
        <v>1</v>
      </c>
      <c r="AH29" s="1127">
        <v>0</v>
      </c>
      <c r="AI29" s="1127">
        <v>0</v>
      </c>
      <c r="AJ29" s="1127">
        <v>1</v>
      </c>
      <c r="AK29" s="1129">
        <v>941.08920634920639</v>
      </c>
      <c r="AL29" s="1129">
        <v>0</v>
      </c>
      <c r="AM29" s="1129">
        <v>0</v>
      </c>
      <c r="AN29" s="1129">
        <v>941.08920634920639</v>
      </c>
      <c r="AO29" s="1129" t="s">
        <v>131</v>
      </c>
      <c r="AP29" s="1129" t="s">
        <v>96</v>
      </c>
      <c r="AQ29" s="1157">
        <v>2014</v>
      </c>
      <c r="AR29" s="1129" t="s">
        <v>87</v>
      </c>
      <c r="AS29" s="1127">
        <v>0.33333333333333331</v>
      </c>
      <c r="AT29" s="1127"/>
      <c r="AU29" s="1127">
        <v>0.33333333333333331</v>
      </c>
      <c r="AV29" s="1127"/>
      <c r="AW29" s="1127"/>
      <c r="AX29" s="1127"/>
      <c r="AY29" s="1127"/>
      <c r="AZ29" s="1127">
        <v>0.33333333333333331</v>
      </c>
      <c r="BA29" s="1129">
        <v>313.69640211640211</v>
      </c>
      <c r="BB29" s="1129">
        <v>0</v>
      </c>
      <c r="BC29" s="1129">
        <v>313.69640211640211</v>
      </c>
      <c r="BD29" s="1129">
        <v>0</v>
      </c>
      <c r="BE29" s="1129">
        <v>0</v>
      </c>
      <c r="BF29" s="1129">
        <v>0</v>
      </c>
      <c r="BG29" s="1129">
        <v>0</v>
      </c>
      <c r="BH29" s="1129">
        <v>313.69640211640211</v>
      </c>
      <c r="BI29" s="971"/>
      <c r="BJ29" s="971"/>
      <c r="BK29" s="971"/>
      <c r="BL29" s="1246"/>
      <c r="BM29" s="1247" t="s">
        <v>2125</v>
      </c>
    </row>
    <row r="30" spans="1:65" s="1247" customFormat="1" ht="82.5" customHeight="1">
      <c r="A30" s="1272">
        <v>2000</v>
      </c>
      <c r="B30" s="971" t="s">
        <v>119</v>
      </c>
      <c r="C30" s="1272">
        <v>2100</v>
      </c>
      <c r="D30" s="971" t="s">
        <v>120</v>
      </c>
      <c r="E30" s="971" t="s">
        <v>175</v>
      </c>
      <c r="F30" s="971" t="s">
        <v>176</v>
      </c>
      <c r="G30" s="971" t="s">
        <v>3750</v>
      </c>
      <c r="H30" s="971" t="s">
        <v>3494</v>
      </c>
      <c r="I30" s="1273" t="s">
        <v>6650</v>
      </c>
      <c r="J30" s="971" t="s">
        <v>2146</v>
      </c>
      <c r="K30" s="971" t="s">
        <v>2127</v>
      </c>
      <c r="L30" s="971" t="s">
        <v>2177</v>
      </c>
      <c r="M30" s="971" t="s">
        <v>2127</v>
      </c>
      <c r="N30" s="971" t="s">
        <v>176</v>
      </c>
      <c r="O30" s="971" t="s">
        <v>2177</v>
      </c>
      <c r="P30" s="971" t="s">
        <v>2292</v>
      </c>
      <c r="Q30" s="971" t="s">
        <v>6651</v>
      </c>
      <c r="R30" s="971" t="s">
        <v>3772</v>
      </c>
      <c r="S30" s="1274">
        <v>1</v>
      </c>
      <c r="T30" s="971" t="s">
        <v>242</v>
      </c>
      <c r="U30" s="1275">
        <v>10</v>
      </c>
      <c r="V30" s="1275">
        <v>45</v>
      </c>
      <c r="W30" s="1275">
        <v>999.13380952380965</v>
      </c>
      <c r="X30" s="1275">
        <v>450</v>
      </c>
      <c r="Y30" s="1275">
        <v>1494.1338095238098</v>
      </c>
      <c r="Z30" s="1129">
        <v>10</v>
      </c>
      <c r="AA30" s="1129">
        <v>45</v>
      </c>
      <c r="AB30" s="1129">
        <v>999.13380952380965</v>
      </c>
      <c r="AC30" s="1129">
        <v>450</v>
      </c>
      <c r="AD30" s="1098">
        <v>1494.1338095238098</v>
      </c>
      <c r="AE30" s="1135">
        <v>24</v>
      </c>
      <c r="AF30" s="1129">
        <v>24</v>
      </c>
      <c r="AG30" s="1127">
        <v>1</v>
      </c>
      <c r="AH30" s="1127">
        <v>0</v>
      </c>
      <c r="AI30" s="1127">
        <v>0</v>
      </c>
      <c r="AJ30" s="1127">
        <v>1</v>
      </c>
      <c r="AK30" s="1129">
        <v>1494.1338095238098</v>
      </c>
      <c r="AL30" s="1129">
        <v>0</v>
      </c>
      <c r="AM30" s="1129">
        <v>0</v>
      </c>
      <c r="AN30" s="1129">
        <v>1494.1338095238098</v>
      </c>
      <c r="AO30" s="1129" t="s">
        <v>131</v>
      </c>
      <c r="AP30" s="1129" t="s">
        <v>96</v>
      </c>
      <c r="AQ30" s="1157">
        <v>2014</v>
      </c>
      <c r="AR30" s="1129" t="s">
        <v>87</v>
      </c>
      <c r="AS30" s="1127">
        <v>0.33333333333333331</v>
      </c>
      <c r="AT30" s="1127"/>
      <c r="AU30" s="1127">
        <v>0.33333333333333331</v>
      </c>
      <c r="AV30" s="1127"/>
      <c r="AW30" s="1127"/>
      <c r="AX30" s="1127"/>
      <c r="AY30" s="1127"/>
      <c r="AZ30" s="1127">
        <v>0.33333333333333331</v>
      </c>
      <c r="BA30" s="1129">
        <v>498.04460317460325</v>
      </c>
      <c r="BB30" s="1129">
        <v>0</v>
      </c>
      <c r="BC30" s="1129">
        <v>498.04460317460325</v>
      </c>
      <c r="BD30" s="1129">
        <v>0</v>
      </c>
      <c r="BE30" s="1129">
        <v>0</v>
      </c>
      <c r="BF30" s="1129">
        <v>0</v>
      </c>
      <c r="BG30" s="1129">
        <v>0</v>
      </c>
      <c r="BH30" s="1129">
        <v>498.04460317460325</v>
      </c>
      <c r="BI30" s="971"/>
      <c r="BJ30" s="971"/>
      <c r="BK30" s="971"/>
      <c r="BL30" s="1246"/>
      <c r="BM30" s="1247" t="s">
        <v>2127</v>
      </c>
    </row>
    <row r="31" spans="1:65" s="1247" customFormat="1" ht="82.5" customHeight="1">
      <c r="A31" s="1272">
        <v>2000</v>
      </c>
      <c r="B31" s="971" t="s">
        <v>119</v>
      </c>
      <c r="C31" s="1272">
        <v>2100</v>
      </c>
      <c r="D31" s="971" t="s">
        <v>120</v>
      </c>
      <c r="E31" s="971" t="s">
        <v>175</v>
      </c>
      <c r="F31" s="971" t="s">
        <v>176</v>
      </c>
      <c r="G31" s="971" t="s">
        <v>3750</v>
      </c>
      <c r="H31" s="971" t="s">
        <v>3494</v>
      </c>
      <c r="I31" s="1273" t="s">
        <v>6652</v>
      </c>
      <c r="J31" s="971" t="s">
        <v>2146</v>
      </c>
      <c r="K31" s="971" t="s">
        <v>2127</v>
      </c>
      <c r="L31" s="971" t="s">
        <v>2177</v>
      </c>
      <c r="M31" s="971" t="s">
        <v>2127</v>
      </c>
      <c r="N31" s="971" t="s">
        <v>176</v>
      </c>
      <c r="O31" s="971" t="s">
        <v>2177</v>
      </c>
      <c r="P31" s="971" t="s">
        <v>3065</v>
      </c>
      <c r="Q31" s="971" t="s">
        <v>6653</v>
      </c>
      <c r="R31" s="971" t="s">
        <v>3775</v>
      </c>
      <c r="S31" s="1274">
        <v>1</v>
      </c>
      <c r="T31" s="971" t="s">
        <v>242</v>
      </c>
      <c r="U31" s="1275">
        <v>10</v>
      </c>
      <c r="V31" s="1275">
        <v>45</v>
      </c>
      <c r="W31" s="1275">
        <v>999.13380952380965</v>
      </c>
      <c r="X31" s="1275">
        <v>450</v>
      </c>
      <c r="Y31" s="1275">
        <v>1494.1338095238098</v>
      </c>
      <c r="Z31" s="1129">
        <v>10</v>
      </c>
      <c r="AA31" s="1129">
        <v>45</v>
      </c>
      <c r="AB31" s="1129">
        <v>999.13380952380965</v>
      </c>
      <c r="AC31" s="1129">
        <v>450</v>
      </c>
      <c r="AD31" s="1098">
        <v>1494.1338095238098</v>
      </c>
      <c r="AE31" s="1135">
        <v>24</v>
      </c>
      <c r="AF31" s="1129">
        <v>24</v>
      </c>
      <c r="AG31" s="1127">
        <v>1</v>
      </c>
      <c r="AH31" s="1127">
        <v>0</v>
      </c>
      <c r="AI31" s="1127">
        <v>0</v>
      </c>
      <c r="AJ31" s="1127">
        <v>1</v>
      </c>
      <c r="AK31" s="1129">
        <v>1494.1338095238098</v>
      </c>
      <c r="AL31" s="1129">
        <v>0</v>
      </c>
      <c r="AM31" s="1129">
        <v>0</v>
      </c>
      <c r="AN31" s="1129">
        <v>1494.1338095238098</v>
      </c>
      <c r="AO31" s="1129" t="s">
        <v>131</v>
      </c>
      <c r="AP31" s="1129" t="s">
        <v>96</v>
      </c>
      <c r="AQ31" s="1157">
        <v>2014</v>
      </c>
      <c r="AR31" s="1129" t="s">
        <v>87</v>
      </c>
      <c r="AS31" s="1127">
        <v>0.33333333333333331</v>
      </c>
      <c r="AT31" s="1127"/>
      <c r="AU31" s="1127">
        <v>0.33333333333333331</v>
      </c>
      <c r="AV31" s="1127"/>
      <c r="AW31" s="1127"/>
      <c r="AX31" s="1127"/>
      <c r="AY31" s="1127"/>
      <c r="AZ31" s="1127">
        <v>0.33333333333333331</v>
      </c>
      <c r="BA31" s="1129">
        <v>498.04460317460325</v>
      </c>
      <c r="BB31" s="1129">
        <v>0</v>
      </c>
      <c r="BC31" s="1129">
        <v>498.04460317460325</v>
      </c>
      <c r="BD31" s="1129">
        <v>0</v>
      </c>
      <c r="BE31" s="1129">
        <v>0</v>
      </c>
      <c r="BF31" s="1129">
        <v>0</v>
      </c>
      <c r="BG31" s="1129">
        <v>0</v>
      </c>
      <c r="BH31" s="1129">
        <v>498.04460317460325</v>
      </c>
      <c r="BI31" s="971"/>
      <c r="BJ31" s="971"/>
      <c r="BK31" s="971"/>
      <c r="BL31" s="1246"/>
      <c r="BM31" s="1247" t="s">
        <v>2129</v>
      </c>
    </row>
    <row r="32" spans="1:65" s="1247" customFormat="1" ht="82.5" customHeight="1">
      <c r="A32" s="1272">
        <v>2000</v>
      </c>
      <c r="B32" s="971" t="s">
        <v>119</v>
      </c>
      <c r="C32" s="1272">
        <v>2100</v>
      </c>
      <c r="D32" s="971" t="s">
        <v>120</v>
      </c>
      <c r="E32" s="971" t="s">
        <v>175</v>
      </c>
      <c r="F32" s="971" t="s">
        <v>176</v>
      </c>
      <c r="G32" s="971" t="s">
        <v>3750</v>
      </c>
      <c r="H32" s="971" t="s">
        <v>3494</v>
      </c>
      <c r="I32" s="1273" t="s">
        <v>6654</v>
      </c>
      <c r="J32" s="971" t="s">
        <v>2146</v>
      </c>
      <c r="K32" s="971" t="s">
        <v>2125</v>
      </c>
      <c r="L32" s="971" t="s">
        <v>2126</v>
      </c>
      <c r="M32" s="971" t="s">
        <v>2125</v>
      </c>
      <c r="N32" s="971" t="s">
        <v>176</v>
      </c>
      <c r="O32" s="971" t="s">
        <v>2126</v>
      </c>
      <c r="P32" s="971" t="s">
        <v>6655</v>
      </c>
      <c r="Q32" s="971" t="s">
        <v>6656</v>
      </c>
      <c r="R32" s="971" t="s">
        <v>3782</v>
      </c>
      <c r="S32" s="1274">
        <v>1</v>
      </c>
      <c r="T32" s="971" t="s">
        <v>242</v>
      </c>
      <c r="U32" s="1275">
        <v>13</v>
      </c>
      <c r="V32" s="1275">
        <v>120</v>
      </c>
      <c r="W32" s="1275">
        <v>1298.8739523809525</v>
      </c>
      <c r="X32" s="1275">
        <v>1200</v>
      </c>
      <c r="Y32" s="1275">
        <v>2618.8739523809527</v>
      </c>
      <c r="Z32" s="1129">
        <v>13</v>
      </c>
      <c r="AA32" s="1129">
        <v>120</v>
      </c>
      <c r="AB32" s="1129">
        <v>1298.8739523809525</v>
      </c>
      <c r="AC32" s="1129">
        <v>1200</v>
      </c>
      <c r="AD32" s="1098">
        <v>2618.8739523809527</v>
      </c>
      <c r="AE32" s="1135">
        <v>96</v>
      </c>
      <c r="AF32" s="1129">
        <v>96</v>
      </c>
      <c r="AG32" s="1127">
        <v>1</v>
      </c>
      <c r="AH32" s="1127">
        <v>0</v>
      </c>
      <c r="AI32" s="1127">
        <v>0</v>
      </c>
      <c r="AJ32" s="1127">
        <v>1</v>
      </c>
      <c r="AK32" s="1129">
        <v>2618.8739523809527</v>
      </c>
      <c r="AL32" s="1129">
        <v>0</v>
      </c>
      <c r="AM32" s="1129">
        <v>0</v>
      </c>
      <c r="AN32" s="1129">
        <v>2618.8739523809527</v>
      </c>
      <c r="AO32" s="1129" t="s">
        <v>131</v>
      </c>
      <c r="AP32" s="1129" t="s">
        <v>96</v>
      </c>
      <c r="AQ32" s="1157">
        <v>2014</v>
      </c>
      <c r="AR32" s="1129" t="s">
        <v>87</v>
      </c>
      <c r="AS32" s="1127">
        <v>0.33333333333333331</v>
      </c>
      <c r="AT32" s="1127"/>
      <c r="AU32" s="1127">
        <v>0.33333333333333331</v>
      </c>
      <c r="AV32" s="1127"/>
      <c r="AW32" s="1127"/>
      <c r="AX32" s="1127"/>
      <c r="AY32" s="1127"/>
      <c r="AZ32" s="1127">
        <v>0.33333333333333331</v>
      </c>
      <c r="BA32" s="1129">
        <v>872.95798412698423</v>
      </c>
      <c r="BB32" s="1129">
        <v>0</v>
      </c>
      <c r="BC32" s="1129">
        <v>872.95798412698423</v>
      </c>
      <c r="BD32" s="1129">
        <v>0</v>
      </c>
      <c r="BE32" s="1129">
        <v>0</v>
      </c>
      <c r="BF32" s="1129">
        <v>0</v>
      </c>
      <c r="BG32" s="1129">
        <v>0</v>
      </c>
      <c r="BH32" s="1129">
        <v>872.95798412698423</v>
      </c>
      <c r="BI32" s="971"/>
      <c r="BJ32" s="971"/>
      <c r="BK32" s="971"/>
      <c r="BL32" s="1246"/>
      <c r="BM32" s="1247" t="s">
        <v>2127</v>
      </c>
    </row>
    <row r="33" spans="1:65" s="1247" customFormat="1" ht="66" customHeight="1">
      <c r="A33" s="1272">
        <v>2000</v>
      </c>
      <c r="B33" s="971" t="s">
        <v>119</v>
      </c>
      <c r="C33" s="1272">
        <v>2100</v>
      </c>
      <c r="D33" s="971" t="s">
        <v>120</v>
      </c>
      <c r="E33" s="971" t="s">
        <v>175</v>
      </c>
      <c r="F33" s="971" t="s">
        <v>176</v>
      </c>
      <c r="G33" s="971" t="s">
        <v>3750</v>
      </c>
      <c r="H33" s="971" t="s">
        <v>3494</v>
      </c>
      <c r="I33" s="1273" t="s">
        <v>6657</v>
      </c>
      <c r="J33" s="971" t="s">
        <v>2146</v>
      </c>
      <c r="K33" s="971" t="s">
        <v>2127</v>
      </c>
      <c r="L33" s="971" t="s">
        <v>2177</v>
      </c>
      <c r="M33" s="971" t="s">
        <v>2127</v>
      </c>
      <c r="N33" s="971" t="s">
        <v>176</v>
      </c>
      <c r="O33" s="971" t="s">
        <v>2177</v>
      </c>
      <c r="P33" s="971" t="s">
        <v>6658</v>
      </c>
      <c r="Q33" s="971" t="s">
        <v>6659</v>
      </c>
      <c r="R33" s="971" t="s">
        <v>3788</v>
      </c>
      <c r="S33" s="1274">
        <v>1</v>
      </c>
      <c r="T33" s="971" t="s">
        <v>242</v>
      </c>
      <c r="U33" s="1275">
        <v>10</v>
      </c>
      <c r="V33" s="1275">
        <v>45</v>
      </c>
      <c r="W33" s="1275">
        <v>999.13380952380965</v>
      </c>
      <c r="X33" s="1275">
        <v>450</v>
      </c>
      <c r="Y33" s="1275">
        <v>1494.1338095238098</v>
      </c>
      <c r="Z33" s="1129">
        <v>10</v>
      </c>
      <c r="AA33" s="1129">
        <v>45</v>
      </c>
      <c r="AB33" s="1129">
        <v>999.13380952380965</v>
      </c>
      <c r="AC33" s="1129">
        <v>450</v>
      </c>
      <c r="AD33" s="1098">
        <v>1494.1338095238098</v>
      </c>
      <c r="AE33" s="1135">
        <v>24</v>
      </c>
      <c r="AF33" s="1129">
        <v>24</v>
      </c>
      <c r="AG33" s="1127">
        <v>1</v>
      </c>
      <c r="AH33" s="1127">
        <v>0</v>
      </c>
      <c r="AI33" s="1127">
        <v>0</v>
      </c>
      <c r="AJ33" s="1127">
        <v>1</v>
      </c>
      <c r="AK33" s="1129">
        <v>1494.1338095238098</v>
      </c>
      <c r="AL33" s="1129">
        <v>0</v>
      </c>
      <c r="AM33" s="1129">
        <v>0</v>
      </c>
      <c r="AN33" s="1129">
        <v>1494.1338095238098</v>
      </c>
      <c r="AO33" s="1129" t="s">
        <v>131</v>
      </c>
      <c r="AP33" s="1129" t="s">
        <v>96</v>
      </c>
      <c r="AQ33" s="1157">
        <v>2014</v>
      </c>
      <c r="AR33" s="1129" t="s">
        <v>87</v>
      </c>
      <c r="AS33" s="1127">
        <v>0.33333333333333331</v>
      </c>
      <c r="AT33" s="1127"/>
      <c r="AU33" s="1127">
        <v>0.33333333333333331</v>
      </c>
      <c r="AV33" s="1127"/>
      <c r="AW33" s="1127"/>
      <c r="AX33" s="1127"/>
      <c r="AY33" s="1127"/>
      <c r="AZ33" s="1127">
        <v>0.33333333333333331</v>
      </c>
      <c r="BA33" s="1129">
        <v>498.04460317460325</v>
      </c>
      <c r="BB33" s="1129">
        <v>0</v>
      </c>
      <c r="BC33" s="1129">
        <v>498.04460317460325</v>
      </c>
      <c r="BD33" s="1129">
        <v>0</v>
      </c>
      <c r="BE33" s="1129">
        <v>0</v>
      </c>
      <c r="BF33" s="1129">
        <v>0</v>
      </c>
      <c r="BG33" s="1129">
        <v>0</v>
      </c>
      <c r="BH33" s="1129">
        <v>498.04460317460325</v>
      </c>
      <c r="BI33" s="971"/>
      <c r="BJ33" s="971"/>
      <c r="BK33" s="971"/>
      <c r="BL33" s="1246"/>
      <c r="BM33" s="1247" t="s">
        <v>2127</v>
      </c>
    </row>
    <row r="34" spans="1:65" s="1247" customFormat="1" ht="82.5" customHeight="1">
      <c r="A34" s="1272">
        <v>2000</v>
      </c>
      <c r="B34" s="971" t="s">
        <v>119</v>
      </c>
      <c r="C34" s="1272">
        <v>2100</v>
      </c>
      <c r="D34" s="971" t="s">
        <v>120</v>
      </c>
      <c r="E34" s="971" t="s">
        <v>175</v>
      </c>
      <c r="F34" s="971" t="s">
        <v>176</v>
      </c>
      <c r="G34" s="971" t="s">
        <v>3750</v>
      </c>
      <c r="H34" s="971" t="s">
        <v>3494</v>
      </c>
      <c r="I34" s="1273" t="s">
        <v>6660</v>
      </c>
      <c r="J34" s="971" t="s">
        <v>2146</v>
      </c>
      <c r="K34" s="971" t="s">
        <v>2127</v>
      </c>
      <c r="L34" s="971" t="s">
        <v>2177</v>
      </c>
      <c r="M34" s="971" t="s">
        <v>2127</v>
      </c>
      <c r="N34" s="971" t="s">
        <v>176</v>
      </c>
      <c r="O34" s="971" t="s">
        <v>2177</v>
      </c>
      <c r="P34" s="971" t="s">
        <v>2292</v>
      </c>
      <c r="Q34" s="971" t="s">
        <v>6661</v>
      </c>
      <c r="R34" s="971" t="s">
        <v>3794</v>
      </c>
      <c r="S34" s="1274">
        <v>1</v>
      </c>
      <c r="T34" s="971" t="s">
        <v>242</v>
      </c>
      <c r="U34" s="1275">
        <v>10</v>
      </c>
      <c r="V34" s="1275">
        <v>45</v>
      </c>
      <c r="W34" s="1275">
        <v>999.13380952380965</v>
      </c>
      <c r="X34" s="1275">
        <v>450</v>
      </c>
      <c r="Y34" s="1275">
        <v>1494.1338095238098</v>
      </c>
      <c r="Z34" s="1129">
        <v>10</v>
      </c>
      <c r="AA34" s="1129">
        <v>45</v>
      </c>
      <c r="AB34" s="1129">
        <v>999.13380952380965</v>
      </c>
      <c r="AC34" s="1129">
        <v>450</v>
      </c>
      <c r="AD34" s="1098">
        <v>1494.1338095238098</v>
      </c>
      <c r="AE34" s="1135">
        <v>24</v>
      </c>
      <c r="AF34" s="1129">
        <v>24</v>
      </c>
      <c r="AG34" s="1127">
        <v>1</v>
      </c>
      <c r="AH34" s="1127">
        <v>0</v>
      </c>
      <c r="AI34" s="1127">
        <v>0</v>
      </c>
      <c r="AJ34" s="1127">
        <v>1</v>
      </c>
      <c r="AK34" s="1129">
        <v>1494.1338095238098</v>
      </c>
      <c r="AL34" s="1129">
        <v>0</v>
      </c>
      <c r="AM34" s="1129">
        <v>0</v>
      </c>
      <c r="AN34" s="1129">
        <v>1494.1338095238098</v>
      </c>
      <c r="AO34" s="1129" t="s">
        <v>131</v>
      </c>
      <c r="AP34" s="1129" t="s">
        <v>96</v>
      </c>
      <c r="AQ34" s="1157">
        <v>2014</v>
      </c>
      <c r="AR34" s="1129" t="s">
        <v>87</v>
      </c>
      <c r="AS34" s="1127">
        <v>0.33333333333333331</v>
      </c>
      <c r="AT34" s="1127"/>
      <c r="AU34" s="1127">
        <v>0.33333333333333331</v>
      </c>
      <c r="AV34" s="1127"/>
      <c r="AW34" s="1127"/>
      <c r="AX34" s="1127"/>
      <c r="AY34" s="1127"/>
      <c r="AZ34" s="1127">
        <v>0.33333333333333331</v>
      </c>
      <c r="BA34" s="1129">
        <v>498.04460317460325</v>
      </c>
      <c r="BB34" s="1129">
        <v>0</v>
      </c>
      <c r="BC34" s="1129">
        <v>498.04460317460325</v>
      </c>
      <c r="BD34" s="1129">
        <v>0</v>
      </c>
      <c r="BE34" s="1129">
        <v>0</v>
      </c>
      <c r="BF34" s="1129">
        <v>0</v>
      </c>
      <c r="BG34" s="1129">
        <v>0</v>
      </c>
      <c r="BH34" s="1129">
        <v>498.04460317460325</v>
      </c>
      <c r="BI34" s="971"/>
      <c r="BJ34" s="971"/>
      <c r="BK34" s="971"/>
      <c r="BL34" s="1246"/>
      <c r="BM34" s="1247" t="s">
        <v>2125</v>
      </c>
    </row>
    <row r="35" spans="1:65" s="1247" customFormat="1" ht="66" customHeight="1">
      <c r="A35" s="1272">
        <v>2000</v>
      </c>
      <c r="B35" s="971" t="s">
        <v>119</v>
      </c>
      <c r="C35" s="1272">
        <v>2100</v>
      </c>
      <c r="D35" s="971" t="s">
        <v>120</v>
      </c>
      <c r="E35" s="971" t="s">
        <v>175</v>
      </c>
      <c r="F35" s="971" t="s">
        <v>176</v>
      </c>
      <c r="G35" s="971" t="s">
        <v>3750</v>
      </c>
      <c r="H35" s="971" t="s">
        <v>3494</v>
      </c>
      <c r="I35" s="1273" t="s">
        <v>6662</v>
      </c>
      <c r="J35" s="971" t="s">
        <v>2146</v>
      </c>
      <c r="K35" s="971" t="s">
        <v>2129</v>
      </c>
      <c r="L35" s="971" t="s">
        <v>2130</v>
      </c>
      <c r="M35" s="971" t="s">
        <v>2129</v>
      </c>
      <c r="N35" s="971" t="s">
        <v>176</v>
      </c>
      <c r="O35" s="971" t="s">
        <v>2130</v>
      </c>
      <c r="P35" s="971" t="s">
        <v>6663</v>
      </c>
      <c r="Q35" s="971" t="s">
        <v>6664</v>
      </c>
      <c r="R35" s="971" t="s">
        <v>3799</v>
      </c>
      <c r="S35" s="1274">
        <v>1</v>
      </c>
      <c r="T35" s="971" t="s">
        <v>242</v>
      </c>
      <c r="U35" s="1275">
        <v>6.666666666666667</v>
      </c>
      <c r="V35" s="1275">
        <v>25</v>
      </c>
      <c r="W35" s="1275">
        <v>666.08920634920639</v>
      </c>
      <c r="X35" s="1275">
        <v>250</v>
      </c>
      <c r="Y35" s="1275">
        <v>941.08920634920639</v>
      </c>
      <c r="Z35" s="1129">
        <v>6.666666666666667</v>
      </c>
      <c r="AA35" s="1129">
        <v>25</v>
      </c>
      <c r="AB35" s="1129">
        <v>666.08920634920639</v>
      </c>
      <c r="AC35" s="1129">
        <v>250</v>
      </c>
      <c r="AD35" s="1098">
        <v>941.08920634920639</v>
      </c>
      <c r="AE35" s="1135">
        <v>4</v>
      </c>
      <c r="AF35" s="1129">
        <v>4</v>
      </c>
      <c r="AG35" s="1127">
        <v>1</v>
      </c>
      <c r="AH35" s="1127">
        <v>0</v>
      </c>
      <c r="AI35" s="1127">
        <v>0</v>
      </c>
      <c r="AJ35" s="1127">
        <v>1</v>
      </c>
      <c r="AK35" s="1129">
        <v>941.08920634920639</v>
      </c>
      <c r="AL35" s="1129">
        <v>0</v>
      </c>
      <c r="AM35" s="1129">
        <v>0</v>
      </c>
      <c r="AN35" s="1129">
        <v>941.08920634920639</v>
      </c>
      <c r="AO35" s="1129" t="s">
        <v>131</v>
      </c>
      <c r="AP35" s="1129" t="s">
        <v>96</v>
      </c>
      <c r="AQ35" s="1157">
        <v>2014</v>
      </c>
      <c r="AR35" s="1129" t="s">
        <v>87</v>
      </c>
      <c r="AS35" s="1127">
        <v>0.33333333333333331</v>
      </c>
      <c r="AT35" s="1127"/>
      <c r="AU35" s="1127">
        <v>0.33333333333333331</v>
      </c>
      <c r="AV35" s="1127"/>
      <c r="AW35" s="1127"/>
      <c r="AX35" s="1127"/>
      <c r="AY35" s="1127"/>
      <c r="AZ35" s="1127">
        <v>0.33333333333333331</v>
      </c>
      <c r="BA35" s="1129">
        <v>313.69640211640211</v>
      </c>
      <c r="BB35" s="1129">
        <v>0</v>
      </c>
      <c r="BC35" s="1129">
        <v>313.69640211640211</v>
      </c>
      <c r="BD35" s="1129">
        <v>0</v>
      </c>
      <c r="BE35" s="1129">
        <v>0</v>
      </c>
      <c r="BF35" s="1129">
        <v>0</v>
      </c>
      <c r="BG35" s="1129">
        <v>0</v>
      </c>
      <c r="BH35" s="1129">
        <v>313.69640211640211</v>
      </c>
      <c r="BI35" s="971"/>
      <c r="BJ35" s="971"/>
      <c r="BK35" s="971"/>
      <c r="BL35" s="1246"/>
      <c r="BM35" s="1247" t="s">
        <v>2127</v>
      </c>
    </row>
    <row r="36" spans="1:65" s="1247" customFormat="1" ht="66" customHeight="1">
      <c r="A36" s="1272">
        <v>2000</v>
      </c>
      <c r="B36" s="971" t="s">
        <v>119</v>
      </c>
      <c r="C36" s="1272">
        <v>2100</v>
      </c>
      <c r="D36" s="971" t="s">
        <v>120</v>
      </c>
      <c r="E36" s="971" t="s">
        <v>175</v>
      </c>
      <c r="F36" s="971" t="s">
        <v>176</v>
      </c>
      <c r="G36" s="971" t="s">
        <v>3750</v>
      </c>
      <c r="H36" s="971" t="s">
        <v>3494</v>
      </c>
      <c r="I36" s="1273" t="s">
        <v>6665</v>
      </c>
      <c r="J36" s="971" t="s">
        <v>2146</v>
      </c>
      <c r="K36" s="971" t="s">
        <v>2129</v>
      </c>
      <c r="L36" s="971" t="s">
        <v>2130</v>
      </c>
      <c r="M36" s="971" t="s">
        <v>2129</v>
      </c>
      <c r="N36" s="971" t="s">
        <v>176</v>
      </c>
      <c r="O36" s="971" t="s">
        <v>2130</v>
      </c>
      <c r="P36" s="971" t="s">
        <v>6663</v>
      </c>
      <c r="Q36" s="971" t="s">
        <v>6664</v>
      </c>
      <c r="R36" s="971" t="s">
        <v>3807</v>
      </c>
      <c r="S36" s="1274">
        <v>1</v>
      </c>
      <c r="T36" s="971" t="s">
        <v>242</v>
      </c>
      <c r="U36" s="1275">
        <v>6.666666666666667</v>
      </c>
      <c r="V36" s="1275">
        <v>25</v>
      </c>
      <c r="W36" s="1275">
        <v>666.08920634920639</v>
      </c>
      <c r="X36" s="1275">
        <v>250</v>
      </c>
      <c r="Y36" s="1275">
        <v>941.08920634920639</v>
      </c>
      <c r="Z36" s="1129">
        <v>6.666666666666667</v>
      </c>
      <c r="AA36" s="1129">
        <v>25</v>
      </c>
      <c r="AB36" s="1129">
        <v>666.08920634920639</v>
      </c>
      <c r="AC36" s="1129">
        <v>250</v>
      </c>
      <c r="AD36" s="1098">
        <v>941.08920634920639</v>
      </c>
      <c r="AE36" s="1135">
        <v>4</v>
      </c>
      <c r="AF36" s="1129">
        <v>4</v>
      </c>
      <c r="AG36" s="1127">
        <v>1</v>
      </c>
      <c r="AH36" s="1127">
        <v>0</v>
      </c>
      <c r="AI36" s="1127">
        <v>0</v>
      </c>
      <c r="AJ36" s="1127">
        <v>1</v>
      </c>
      <c r="AK36" s="1129">
        <v>941.08920634920639</v>
      </c>
      <c r="AL36" s="1129">
        <v>0</v>
      </c>
      <c r="AM36" s="1129">
        <v>0</v>
      </c>
      <c r="AN36" s="1129">
        <v>941.08920634920639</v>
      </c>
      <c r="AO36" s="1129" t="s">
        <v>131</v>
      </c>
      <c r="AP36" s="1129" t="s">
        <v>96</v>
      </c>
      <c r="AQ36" s="1157">
        <v>2014</v>
      </c>
      <c r="AR36" s="1129" t="s">
        <v>87</v>
      </c>
      <c r="AS36" s="1127">
        <v>0.33333333333333331</v>
      </c>
      <c r="AT36" s="1127"/>
      <c r="AU36" s="1127">
        <v>0.33333333333333331</v>
      </c>
      <c r="AV36" s="1127"/>
      <c r="AW36" s="1127"/>
      <c r="AX36" s="1127"/>
      <c r="AY36" s="1127"/>
      <c r="AZ36" s="1127">
        <v>0.33333333333333331</v>
      </c>
      <c r="BA36" s="1129">
        <v>313.69640211640211</v>
      </c>
      <c r="BB36" s="1129">
        <v>0</v>
      </c>
      <c r="BC36" s="1129">
        <v>313.69640211640211</v>
      </c>
      <c r="BD36" s="1129">
        <v>0</v>
      </c>
      <c r="BE36" s="1129">
        <v>0</v>
      </c>
      <c r="BF36" s="1129">
        <v>0</v>
      </c>
      <c r="BG36" s="1129">
        <v>0</v>
      </c>
      <c r="BH36" s="1129">
        <v>313.69640211640211</v>
      </c>
      <c r="BI36" s="971"/>
      <c r="BJ36" s="971"/>
      <c r="BK36" s="971"/>
      <c r="BL36" s="1246"/>
      <c r="BM36" s="1247" t="s">
        <v>2127</v>
      </c>
    </row>
    <row r="37" spans="1:65" s="1247" customFormat="1" ht="66" customHeight="1">
      <c r="A37" s="1272">
        <v>2000</v>
      </c>
      <c r="B37" s="971" t="s">
        <v>119</v>
      </c>
      <c r="C37" s="1272">
        <v>2100</v>
      </c>
      <c r="D37" s="971" t="s">
        <v>120</v>
      </c>
      <c r="E37" s="971" t="s">
        <v>175</v>
      </c>
      <c r="F37" s="971" t="s">
        <v>176</v>
      </c>
      <c r="G37" s="971" t="s">
        <v>3750</v>
      </c>
      <c r="H37" s="971" t="s">
        <v>3494</v>
      </c>
      <c r="I37" s="1273" t="s">
        <v>6666</v>
      </c>
      <c r="J37" s="971" t="s">
        <v>2146</v>
      </c>
      <c r="K37" s="971" t="s">
        <v>2129</v>
      </c>
      <c r="L37" s="971" t="s">
        <v>2130</v>
      </c>
      <c r="M37" s="971" t="s">
        <v>2129</v>
      </c>
      <c r="N37" s="971" t="s">
        <v>176</v>
      </c>
      <c r="O37" s="971" t="s">
        <v>2130</v>
      </c>
      <c r="P37" s="971" t="s">
        <v>6667</v>
      </c>
      <c r="Q37" s="971" t="s">
        <v>6668</v>
      </c>
      <c r="R37" s="971" t="s">
        <v>3808</v>
      </c>
      <c r="S37" s="1274">
        <v>1</v>
      </c>
      <c r="T37" s="971" t="s">
        <v>242</v>
      </c>
      <c r="U37" s="1275">
        <v>6.666666666666667</v>
      </c>
      <c r="V37" s="1275">
        <v>25</v>
      </c>
      <c r="W37" s="1275">
        <v>666.08920634920639</v>
      </c>
      <c r="X37" s="1275">
        <v>250</v>
      </c>
      <c r="Y37" s="1275">
        <v>941.08920634920639</v>
      </c>
      <c r="Z37" s="1129">
        <v>6.666666666666667</v>
      </c>
      <c r="AA37" s="1129">
        <v>25</v>
      </c>
      <c r="AB37" s="1129">
        <v>666.08920634920639</v>
      </c>
      <c r="AC37" s="1129">
        <v>250</v>
      </c>
      <c r="AD37" s="1098">
        <v>941.08920634920639</v>
      </c>
      <c r="AE37" s="1135">
        <v>4</v>
      </c>
      <c r="AF37" s="1129">
        <v>4</v>
      </c>
      <c r="AG37" s="1127">
        <v>1</v>
      </c>
      <c r="AH37" s="1127">
        <v>0</v>
      </c>
      <c r="AI37" s="1127">
        <v>0</v>
      </c>
      <c r="AJ37" s="1127">
        <v>1</v>
      </c>
      <c r="AK37" s="1129">
        <v>941.08920634920639</v>
      </c>
      <c r="AL37" s="1129">
        <v>0</v>
      </c>
      <c r="AM37" s="1129">
        <v>0</v>
      </c>
      <c r="AN37" s="1129">
        <v>941.08920634920639</v>
      </c>
      <c r="AO37" s="1129" t="s">
        <v>131</v>
      </c>
      <c r="AP37" s="1129" t="s">
        <v>96</v>
      </c>
      <c r="AQ37" s="1157">
        <v>2014</v>
      </c>
      <c r="AR37" s="1129" t="s">
        <v>87</v>
      </c>
      <c r="AS37" s="1127">
        <v>0.33333333333333331</v>
      </c>
      <c r="AT37" s="1127"/>
      <c r="AU37" s="1127">
        <v>0.33333333333333331</v>
      </c>
      <c r="AV37" s="1127"/>
      <c r="AW37" s="1127"/>
      <c r="AX37" s="1127"/>
      <c r="AY37" s="1127"/>
      <c r="AZ37" s="1127">
        <v>0.33333333333333331</v>
      </c>
      <c r="BA37" s="1129">
        <v>313.69640211640211</v>
      </c>
      <c r="BB37" s="1129">
        <v>0</v>
      </c>
      <c r="BC37" s="1129">
        <v>313.69640211640211</v>
      </c>
      <c r="BD37" s="1129">
        <v>0</v>
      </c>
      <c r="BE37" s="1129">
        <v>0</v>
      </c>
      <c r="BF37" s="1129">
        <v>0</v>
      </c>
      <c r="BG37" s="1129">
        <v>0</v>
      </c>
      <c r="BH37" s="1129">
        <v>313.69640211640211</v>
      </c>
      <c r="BI37" s="971"/>
      <c r="BJ37" s="971"/>
      <c r="BK37" s="971"/>
      <c r="BL37" s="1246"/>
      <c r="BM37" s="1247" t="s">
        <v>2129</v>
      </c>
    </row>
    <row r="38" spans="1:65" s="1247" customFormat="1" ht="66" customHeight="1">
      <c r="A38" s="1272">
        <v>2000</v>
      </c>
      <c r="B38" s="971" t="s">
        <v>119</v>
      </c>
      <c r="C38" s="1272">
        <v>2100</v>
      </c>
      <c r="D38" s="971" t="s">
        <v>120</v>
      </c>
      <c r="E38" s="971" t="s">
        <v>175</v>
      </c>
      <c r="F38" s="971" t="s">
        <v>176</v>
      </c>
      <c r="G38" s="971" t="s">
        <v>3750</v>
      </c>
      <c r="H38" s="971" t="s">
        <v>3494</v>
      </c>
      <c r="I38" s="1273" t="s">
        <v>6669</v>
      </c>
      <c r="J38" s="971" t="s">
        <v>2146</v>
      </c>
      <c r="K38" s="971" t="s">
        <v>2129</v>
      </c>
      <c r="L38" s="971" t="s">
        <v>2130</v>
      </c>
      <c r="M38" s="971" t="s">
        <v>2129</v>
      </c>
      <c r="N38" s="971" t="s">
        <v>176</v>
      </c>
      <c r="O38" s="971" t="s">
        <v>2130</v>
      </c>
      <c r="P38" s="971" t="s">
        <v>6667</v>
      </c>
      <c r="Q38" s="971" t="s">
        <v>6668</v>
      </c>
      <c r="R38" s="971" t="s">
        <v>3816</v>
      </c>
      <c r="S38" s="1274">
        <v>1</v>
      </c>
      <c r="T38" s="971" t="s">
        <v>242</v>
      </c>
      <c r="U38" s="1275">
        <v>6.666666666666667</v>
      </c>
      <c r="V38" s="1275">
        <v>25</v>
      </c>
      <c r="W38" s="1275">
        <v>666.08920634920639</v>
      </c>
      <c r="X38" s="1275">
        <v>250</v>
      </c>
      <c r="Y38" s="1275">
        <v>941.08920634920639</v>
      </c>
      <c r="Z38" s="1129">
        <v>6.666666666666667</v>
      </c>
      <c r="AA38" s="1129">
        <v>25</v>
      </c>
      <c r="AB38" s="1129">
        <v>666.08920634920639</v>
      </c>
      <c r="AC38" s="1129">
        <v>250</v>
      </c>
      <c r="AD38" s="1098">
        <v>941.08920634920639</v>
      </c>
      <c r="AE38" s="1135">
        <v>4</v>
      </c>
      <c r="AF38" s="1129">
        <v>4</v>
      </c>
      <c r="AG38" s="1127">
        <v>1</v>
      </c>
      <c r="AH38" s="1127">
        <v>0</v>
      </c>
      <c r="AI38" s="1127">
        <v>0</v>
      </c>
      <c r="AJ38" s="1127">
        <v>1</v>
      </c>
      <c r="AK38" s="1129">
        <v>941.08920634920639</v>
      </c>
      <c r="AL38" s="1129">
        <v>0</v>
      </c>
      <c r="AM38" s="1129">
        <v>0</v>
      </c>
      <c r="AN38" s="1129">
        <v>941.08920634920639</v>
      </c>
      <c r="AO38" s="1129" t="s">
        <v>131</v>
      </c>
      <c r="AP38" s="1129" t="s">
        <v>96</v>
      </c>
      <c r="AQ38" s="1157">
        <v>2014</v>
      </c>
      <c r="AR38" s="1129" t="s">
        <v>87</v>
      </c>
      <c r="AS38" s="1127">
        <v>0.33333333333333331</v>
      </c>
      <c r="AT38" s="1127"/>
      <c r="AU38" s="1127">
        <v>0.33333333333333331</v>
      </c>
      <c r="AV38" s="1127"/>
      <c r="AW38" s="1127"/>
      <c r="AX38" s="1127"/>
      <c r="AY38" s="1127"/>
      <c r="AZ38" s="1127">
        <v>0.33333333333333331</v>
      </c>
      <c r="BA38" s="1129">
        <v>313.69640211640211</v>
      </c>
      <c r="BB38" s="1129">
        <v>0</v>
      </c>
      <c r="BC38" s="1129">
        <v>313.69640211640211</v>
      </c>
      <c r="BD38" s="1129">
        <v>0</v>
      </c>
      <c r="BE38" s="1129">
        <v>0</v>
      </c>
      <c r="BF38" s="1129">
        <v>0</v>
      </c>
      <c r="BG38" s="1129">
        <v>0</v>
      </c>
      <c r="BH38" s="1129">
        <v>313.69640211640211</v>
      </c>
      <c r="BI38" s="971"/>
      <c r="BJ38" s="971"/>
      <c r="BK38" s="971"/>
      <c r="BL38" s="1246"/>
      <c r="BM38" s="1247" t="s">
        <v>2129</v>
      </c>
    </row>
    <row r="39" spans="1:65" s="1247" customFormat="1" ht="66" customHeight="1">
      <c r="A39" s="1272">
        <v>2000</v>
      </c>
      <c r="B39" s="971" t="s">
        <v>119</v>
      </c>
      <c r="C39" s="1272">
        <v>2100</v>
      </c>
      <c r="D39" s="971" t="s">
        <v>120</v>
      </c>
      <c r="E39" s="971" t="s">
        <v>175</v>
      </c>
      <c r="F39" s="971" t="s">
        <v>176</v>
      </c>
      <c r="G39" s="971" t="s">
        <v>3750</v>
      </c>
      <c r="H39" s="971" t="s">
        <v>3494</v>
      </c>
      <c r="I39" s="1273" t="s">
        <v>6670</v>
      </c>
      <c r="J39" s="971" t="s">
        <v>2146</v>
      </c>
      <c r="K39" s="971" t="s">
        <v>2129</v>
      </c>
      <c r="L39" s="971" t="s">
        <v>2130</v>
      </c>
      <c r="M39" s="971" t="s">
        <v>2129</v>
      </c>
      <c r="N39" s="971" t="s">
        <v>176</v>
      </c>
      <c r="O39" s="971" t="s">
        <v>2130</v>
      </c>
      <c r="P39" s="971" t="s">
        <v>6671</v>
      </c>
      <c r="Q39" s="971" t="s">
        <v>6672</v>
      </c>
      <c r="R39" s="971" t="s">
        <v>3817</v>
      </c>
      <c r="S39" s="1274">
        <v>1</v>
      </c>
      <c r="T39" s="971" t="s">
        <v>242</v>
      </c>
      <c r="U39" s="1275">
        <v>6.666666666666667</v>
      </c>
      <c r="V39" s="1275">
        <v>25</v>
      </c>
      <c r="W39" s="1275">
        <v>666.08920634920639</v>
      </c>
      <c r="X39" s="1275">
        <v>250</v>
      </c>
      <c r="Y39" s="1275">
        <v>941.08920634920639</v>
      </c>
      <c r="Z39" s="1129">
        <v>6.666666666666667</v>
      </c>
      <c r="AA39" s="1129">
        <v>25</v>
      </c>
      <c r="AB39" s="1129">
        <v>666.08920634920639</v>
      </c>
      <c r="AC39" s="1129">
        <v>250</v>
      </c>
      <c r="AD39" s="1098">
        <v>941.08920634920639</v>
      </c>
      <c r="AE39" s="1135">
        <v>4</v>
      </c>
      <c r="AF39" s="1129">
        <v>4</v>
      </c>
      <c r="AG39" s="1127">
        <v>1</v>
      </c>
      <c r="AH39" s="1127">
        <v>0</v>
      </c>
      <c r="AI39" s="1127">
        <v>0</v>
      </c>
      <c r="AJ39" s="1127">
        <v>1</v>
      </c>
      <c r="AK39" s="1129">
        <v>941.08920634920639</v>
      </c>
      <c r="AL39" s="1129">
        <v>0</v>
      </c>
      <c r="AM39" s="1129">
        <v>0</v>
      </c>
      <c r="AN39" s="1129">
        <v>941.08920634920639</v>
      </c>
      <c r="AO39" s="1129" t="s">
        <v>131</v>
      </c>
      <c r="AP39" s="1129" t="s">
        <v>96</v>
      </c>
      <c r="AQ39" s="1157">
        <v>2014</v>
      </c>
      <c r="AR39" s="1129" t="s">
        <v>87</v>
      </c>
      <c r="AS39" s="1127">
        <v>0.33333333333333331</v>
      </c>
      <c r="AT39" s="1127"/>
      <c r="AU39" s="1127">
        <v>0.33333333333333331</v>
      </c>
      <c r="AV39" s="1127"/>
      <c r="AW39" s="1127"/>
      <c r="AX39" s="1127"/>
      <c r="AY39" s="1127"/>
      <c r="AZ39" s="1127">
        <v>0.33333333333333331</v>
      </c>
      <c r="BA39" s="1129">
        <v>313.69640211640211</v>
      </c>
      <c r="BB39" s="1129">
        <v>0</v>
      </c>
      <c r="BC39" s="1129">
        <v>313.69640211640211</v>
      </c>
      <c r="BD39" s="1129">
        <v>0</v>
      </c>
      <c r="BE39" s="1129">
        <v>0</v>
      </c>
      <c r="BF39" s="1129">
        <v>0</v>
      </c>
      <c r="BG39" s="1129">
        <v>0</v>
      </c>
      <c r="BH39" s="1129">
        <v>313.69640211640211</v>
      </c>
      <c r="BI39" s="971"/>
      <c r="BJ39" s="971"/>
      <c r="BK39" s="971"/>
      <c r="BL39" s="1246"/>
      <c r="BM39" s="1247" t="s">
        <v>2129</v>
      </c>
    </row>
    <row r="40" spans="1:65" s="1247" customFormat="1" ht="66" customHeight="1">
      <c r="A40" s="1272">
        <v>2000</v>
      </c>
      <c r="B40" s="971" t="s">
        <v>119</v>
      </c>
      <c r="C40" s="1272">
        <v>2100</v>
      </c>
      <c r="D40" s="971" t="s">
        <v>120</v>
      </c>
      <c r="E40" s="971" t="s">
        <v>175</v>
      </c>
      <c r="F40" s="971" t="s">
        <v>176</v>
      </c>
      <c r="G40" s="971" t="s">
        <v>3750</v>
      </c>
      <c r="H40" s="971" t="s">
        <v>3494</v>
      </c>
      <c r="I40" s="1273" t="s">
        <v>6673</v>
      </c>
      <c r="J40" s="971" t="s">
        <v>2146</v>
      </c>
      <c r="K40" s="971" t="s">
        <v>2127</v>
      </c>
      <c r="L40" s="971" t="s">
        <v>2177</v>
      </c>
      <c r="M40" s="971" t="s">
        <v>2127</v>
      </c>
      <c r="N40" s="971" t="s">
        <v>176</v>
      </c>
      <c r="O40" s="971" t="s">
        <v>2177</v>
      </c>
      <c r="P40" s="971" t="s">
        <v>6674</v>
      </c>
      <c r="Q40" s="971" t="s">
        <v>6675</v>
      </c>
      <c r="R40" s="971" t="s">
        <v>3819</v>
      </c>
      <c r="S40" s="1274">
        <v>1</v>
      </c>
      <c r="T40" s="971" t="s">
        <v>242</v>
      </c>
      <c r="U40" s="1275">
        <v>10</v>
      </c>
      <c r="V40" s="1275">
        <v>45</v>
      </c>
      <c r="W40" s="1275">
        <v>999.13380952380965</v>
      </c>
      <c r="X40" s="1275">
        <v>450</v>
      </c>
      <c r="Y40" s="1275">
        <v>1494.1338095238098</v>
      </c>
      <c r="Z40" s="1129">
        <v>10</v>
      </c>
      <c r="AA40" s="1129">
        <v>45</v>
      </c>
      <c r="AB40" s="1129">
        <v>999.13380952380965</v>
      </c>
      <c r="AC40" s="1129">
        <v>450</v>
      </c>
      <c r="AD40" s="1098">
        <v>1494.1338095238098</v>
      </c>
      <c r="AE40" s="1135">
        <v>24</v>
      </c>
      <c r="AF40" s="1129">
        <v>24</v>
      </c>
      <c r="AG40" s="1127">
        <v>1</v>
      </c>
      <c r="AH40" s="1127">
        <v>0</v>
      </c>
      <c r="AI40" s="1127">
        <v>0</v>
      </c>
      <c r="AJ40" s="1127">
        <v>1</v>
      </c>
      <c r="AK40" s="1129">
        <v>1494.1338095238098</v>
      </c>
      <c r="AL40" s="1129">
        <v>0</v>
      </c>
      <c r="AM40" s="1129">
        <v>0</v>
      </c>
      <c r="AN40" s="1129">
        <v>1494.1338095238098</v>
      </c>
      <c r="AO40" s="1129" t="s">
        <v>131</v>
      </c>
      <c r="AP40" s="1129" t="s">
        <v>96</v>
      </c>
      <c r="AQ40" s="1157">
        <v>2014</v>
      </c>
      <c r="AR40" s="1129" t="s">
        <v>87</v>
      </c>
      <c r="AS40" s="1127">
        <v>0.33333333333333331</v>
      </c>
      <c r="AT40" s="1127"/>
      <c r="AU40" s="1127">
        <v>0.33333333333333331</v>
      </c>
      <c r="AV40" s="1127"/>
      <c r="AW40" s="1127"/>
      <c r="AX40" s="1127"/>
      <c r="AY40" s="1127"/>
      <c r="AZ40" s="1127">
        <v>0.33333333333333331</v>
      </c>
      <c r="BA40" s="1129">
        <v>498.04460317460325</v>
      </c>
      <c r="BB40" s="1129">
        <v>0</v>
      </c>
      <c r="BC40" s="1129">
        <v>498.04460317460325</v>
      </c>
      <c r="BD40" s="1129">
        <v>0</v>
      </c>
      <c r="BE40" s="1129">
        <v>0</v>
      </c>
      <c r="BF40" s="1129">
        <v>0</v>
      </c>
      <c r="BG40" s="1129">
        <v>0</v>
      </c>
      <c r="BH40" s="1129">
        <v>498.04460317460325</v>
      </c>
      <c r="BI40" s="971"/>
      <c r="BJ40" s="971"/>
      <c r="BK40" s="971"/>
      <c r="BL40" s="1246"/>
      <c r="BM40" s="1247" t="s">
        <v>2129</v>
      </c>
    </row>
    <row r="41" spans="1:65" s="1247" customFormat="1" ht="66" customHeight="1">
      <c r="A41" s="1272">
        <v>2000</v>
      </c>
      <c r="B41" s="971" t="s">
        <v>119</v>
      </c>
      <c r="C41" s="1272">
        <v>2100</v>
      </c>
      <c r="D41" s="971" t="s">
        <v>120</v>
      </c>
      <c r="E41" s="971" t="s">
        <v>175</v>
      </c>
      <c r="F41" s="971" t="s">
        <v>176</v>
      </c>
      <c r="G41" s="971" t="s">
        <v>3750</v>
      </c>
      <c r="H41" s="971" t="s">
        <v>3494</v>
      </c>
      <c r="I41" s="1273" t="s">
        <v>6676</v>
      </c>
      <c r="J41" s="971" t="s">
        <v>2146</v>
      </c>
      <c r="K41" s="971" t="s">
        <v>2125</v>
      </c>
      <c r="L41" s="971" t="s">
        <v>2126</v>
      </c>
      <c r="M41" s="971" t="s">
        <v>2125</v>
      </c>
      <c r="N41" s="971" t="s">
        <v>176</v>
      </c>
      <c r="O41" s="971" t="s">
        <v>2126</v>
      </c>
      <c r="P41" s="971" t="s">
        <v>6643</v>
      </c>
      <c r="Q41" s="971" t="s">
        <v>6677</v>
      </c>
      <c r="R41" s="971" t="s">
        <v>3825</v>
      </c>
      <c r="S41" s="1274">
        <v>1</v>
      </c>
      <c r="T41" s="971" t="s">
        <v>242</v>
      </c>
      <c r="U41" s="1275">
        <v>13</v>
      </c>
      <c r="V41" s="1275">
        <v>120</v>
      </c>
      <c r="W41" s="1275">
        <v>1298.8739523809525</v>
      </c>
      <c r="X41" s="1275">
        <v>1200</v>
      </c>
      <c r="Y41" s="1275">
        <v>2618.8739523809527</v>
      </c>
      <c r="Z41" s="1129">
        <v>13</v>
      </c>
      <c r="AA41" s="1129">
        <v>120</v>
      </c>
      <c r="AB41" s="1129">
        <v>1298.8739523809525</v>
      </c>
      <c r="AC41" s="1129">
        <v>1200</v>
      </c>
      <c r="AD41" s="1098">
        <v>2618.8739523809527</v>
      </c>
      <c r="AE41" s="1135">
        <v>96</v>
      </c>
      <c r="AF41" s="1129">
        <v>96</v>
      </c>
      <c r="AG41" s="1127">
        <v>1</v>
      </c>
      <c r="AH41" s="1127">
        <v>0</v>
      </c>
      <c r="AI41" s="1127">
        <v>0</v>
      </c>
      <c r="AJ41" s="1127">
        <v>1</v>
      </c>
      <c r="AK41" s="1129">
        <v>2618.8739523809527</v>
      </c>
      <c r="AL41" s="1129">
        <v>0</v>
      </c>
      <c r="AM41" s="1129">
        <v>0</v>
      </c>
      <c r="AN41" s="1129">
        <v>2618.8739523809527</v>
      </c>
      <c r="AO41" s="1129" t="s">
        <v>131</v>
      </c>
      <c r="AP41" s="1129" t="s">
        <v>96</v>
      </c>
      <c r="AQ41" s="1157">
        <v>2014</v>
      </c>
      <c r="AR41" s="1129" t="s">
        <v>87</v>
      </c>
      <c r="AS41" s="1127">
        <v>0.33333333333333331</v>
      </c>
      <c r="AT41" s="1127"/>
      <c r="AU41" s="1127">
        <v>0.33333333333333331</v>
      </c>
      <c r="AV41" s="1127"/>
      <c r="AW41" s="1127"/>
      <c r="AX41" s="1127"/>
      <c r="AY41" s="1127"/>
      <c r="AZ41" s="1127">
        <v>0.33333333333333331</v>
      </c>
      <c r="BA41" s="1129">
        <v>872.95798412698423</v>
      </c>
      <c r="BB41" s="1129">
        <v>0</v>
      </c>
      <c r="BC41" s="1129">
        <v>872.95798412698423</v>
      </c>
      <c r="BD41" s="1129">
        <v>0</v>
      </c>
      <c r="BE41" s="1129">
        <v>0</v>
      </c>
      <c r="BF41" s="1129">
        <v>0</v>
      </c>
      <c r="BG41" s="1129">
        <v>0</v>
      </c>
      <c r="BH41" s="1129">
        <v>872.95798412698423</v>
      </c>
      <c r="BI41" s="971"/>
      <c r="BJ41" s="971"/>
      <c r="BK41" s="971"/>
      <c r="BL41" s="1246"/>
      <c r="BM41" s="1247" t="s">
        <v>2129</v>
      </c>
    </row>
    <row r="42" spans="1:65" s="1247" customFormat="1" ht="66" customHeight="1">
      <c r="A42" s="1272">
        <v>2000</v>
      </c>
      <c r="B42" s="971" t="s">
        <v>119</v>
      </c>
      <c r="C42" s="1272">
        <v>2100</v>
      </c>
      <c r="D42" s="971" t="s">
        <v>120</v>
      </c>
      <c r="E42" s="971" t="s">
        <v>175</v>
      </c>
      <c r="F42" s="971" t="s">
        <v>176</v>
      </c>
      <c r="G42" s="971" t="s">
        <v>3750</v>
      </c>
      <c r="H42" s="971" t="s">
        <v>3494</v>
      </c>
      <c r="I42" s="1273" t="s">
        <v>6678</v>
      </c>
      <c r="J42" s="971" t="s">
        <v>2146</v>
      </c>
      <c r="K42" s="971" t="s">
        <v>2125</v>
      </c>
      <c r="L42" s="971" t="s">
        <v>2126</v>
      </c>
      <c r="M42" s="971" t="s">
        <v>2125</v>
      </c>
      <c r="N42" s="971" t="s">
        <v>176</v>
      </c>
      <c r="O42" s="971" t="s">
        <v>2126</v>
      </c>
      <c r="P42" s="971" t="s">
        <v>6643</v>
      </c>
      <c r="Q42" s="971" t="s">
        <v>6677</v>
      </c>
      <c r="R42" s="971" t="s">
        <v>3828</v>
      </c>
      <c r="S42" s="1274">
        <v>1</v>
      </c>
      <c r="T42" s="971" t="s">
        <v>242</v>
      </c>
      <c r="U42" s="1275">
        <v>13</v>
      </c>
      <c r="V42" s="1275">
        <v>120</v>
      </c>
      <c r="W42" s="1275">
        <v>1298.8739523809525</v>
      </c>
      <c r="X42" s="1275">
        <v>1200</v>
      </c>
      <c r="Y42" s="1275">
        <v>2618.8739523809527</v>
      </c>
      <c r="Z42" s="1129">
        <v>13</v>
      </c>
      <c r="AA42" s="1129">
        <v>120</v>
      </c>
      <c r="AB42" s="1129">
        <v>1298.8739523809525</v>
      </c>
      <c r="AC42" s="1129">
        <v>1200</v>
      </c>
      <c r="AD42" s="1098">
        <v>2618.8739523809527</v>
      </c>
      <c r="AE42" s="1135">
        <v>96</v>
      </c>
      <c r="AF42" s="1129">
        <v>96</v>
      </c>
      <c r="AG42" s="1127">
        <v>1</v>
      </c>
      <c r="AH42" s="1127">
        <v>0</v>
      </c>
      <c r="AI42" s="1127">
        <v>0</v>
      </c>
      <c r="AJ42" s="1127">
        <v>1</v>
      </c>
      <c r="AK42" s="1129">
        <v>2618.8739523809527</v>
      </c>
      <c r="AL42" s="1129">
        <v>0</v>
      </c>
      <c r="AM42" s="1129">
        <v>0</v>
      </c>
      <c r="AN42" s="1129">
        <v>2618.8739523809527</v>
      </c>
      <c r="AO42" s="1129" t="s">
        <v>131</v>
      </c>
      <c r="AP42" s="1129" t="s">
        <v>96</v>
      </c>
      <c r="AQ42" s="1157">
        <v>2014</v>
      </c>
      <c r="AR42" s="1129" t="s">
        <v>87</v>
      </c>
      <c r="AS42" s="1127">
        <v>0.33333333333333331</v>
      </c>
      <c r="AT42" s="1127"/>
      <c r="AU42" s="1127">
        <v>0.33333333333333331</v>
      </c>
      <c r="AV42" s="1127"/>
      <c r="AW42" s="1127"/>
      <c r="AX42" s="1127"/>
      <c r="AY42" s="1127"/>
      <c r="AZ42" s="1127">
        <v>0.33333333333333331</v>
      </c>
      <c r="BA42" s="1129">
        <v>872.95798412698423</v>
      </c>
      <c r="BB42" s="1129">
        <v>0</v>
      </c>
      <c r="BC42" s="1129">
        <v>872.95798412698423</v>
      </c>
      <c r="BD42" s="1129">
        <v>0</v>
      </c>
      <c r="BE42" s="1129">
        <v>0</v>
      </c>
      <c r="BF42" s="1129">
        <v>0</v>
      </c>
      <c r="BG42" s="1129">
        <v>0</v>
      </c>
      <c r="BH42" s="1129">
        <v>872.95798412698423</v>
      </c>
      <c r="BI42" s="971"/>
      <c r="BJ42" s="971"/>
      <c r="BK42" s="971"/>
      <c r="BL42" s="1246"/>
      <c r="BM42" s="1247" t="s">
        <v>2127</v>
      </c>
    </row>
    <row r="43" spans="1:65" s="1247" customFormat="1" ht="82.5" customHeight="1">
      <c r="A43" s="1272">
        <v>2000</v>
      </c>
      <c r="B43" s="971" t="s">
        <v>119</v>
      </c>
      <c r="C43" s="1272">
        <v>2100</v>
      </c>
      <c r="D43" s="971" t="s">
        <v>120</v>
      </c>
      <c r="E43" s="971" t="s">
        <v>175</v>
      </c>
      <c r="F43" s="971" t="s">
        <v>176</v>
      </c>
      <c r="G43" s="971" t="s">
        <v>3750</v>
      </c>
      <c r="H43" s="971" t="s">
        <v>3494</v>
      </c>
      <c r="I43" s="1273" t="s">
        <v>6679</v>
      </c>
      <c r="J43" s="971" t="s">
        <v>2146</v>
      </c>
      <c r="K43" s="971" t="s">
        <v>2125</v>
      </c>
      <c r="L43" s="971" t="s">
        <v>2126</v>
      </c>
      <c r="M43" s="971" t="s">
        <v>2125</v>
      </c>
      <c r="N43" s="971" t="s">
        <v>176</v>
      </c>
      <c r="O43" s="971" t="s">
        <v>2126</v>
      </c>
      <c r="P43" s="971" t="s">
        <v>6643</v>
      </c>
      <c r="Q43" s="971" t="s">
        <v>6677</v>
      </c>
      <c r="R43" s="971" t="s">
        <v>3830</v>
      </c>
      <c r="S43" s="1274">
        <v>1</v>
      </c>
      <c r="T43" s="971" t="s">
        <v>242</v>
      </c>
      <c r="U43" s="1275">
        <v>13</v>
      </c>
      <c r="V43" s="1275">
        <v>120</v>
      </c>
      <c r="W43" s="1275">
        <v>1298.8739523809525</v>
      </c>
      <c r="X43" s="1275">
        <v>1200</v>
      </c>
      <c r="Y43" s="1275">
        <v>2618.8739523809527</v>
      </c>
      <c r="Z43" s="1129">
        <v>13</v>
      </c>
      <c r="AA43" s="1129">
        <v>120</v>
      </c>
      <c r="AB43" s="1129">
        <v>1298.8739523809525</v>
      </c>
      <c r="AC43" s="1129">
        <v>1200</v>
      </c>
      <c r="AD43" s="1098">
        <v>2618.8739523809527</v>
      </c>
      <c r="AE43" s="1135">
        <v>96</v>
      </c>
      <c r="AF43" s="1129">
        <v>96</v>
      </c>
      <c r="AG43" s="1127">
        <v>1</v>
      </c>
      <c r="AH43" s="1127">
        <v>0</v>
      </c>
      <c r="AI43" s="1127">
        <v>0</v>
      </c>
      <c r="AJ43" s="1127">
        <v>1</v>
      </c>
      <c r="AK43" s="1129">
        <v>2618.8739523809527</v>
      </c>
      <c r="AL43" s="1129">
        <v>0</v>
      </c>
      <c r="AM43" s="1129">
        <v>0</v>
      </c>
      <c r="AN43" s="1129">
        <v>2618.8739523809527</v>
      </c>
      <c r="AO43" s="1129" t="s">
        <v>131</v>
      </c>
      <c r="AP43" s="1129" t="s">
        <v>96</v>
      </c>
      <c r="AQ43" s="1157">
        <v>2014</v>
      </c>
      <c r="AR43" s="1129" t="s">
        <v>87</v>
      </c>
      <c r="AS43" s="1127">
        <v>0.33333333333333331</v>
      </c>
      <c r="AT43" s="1127"/>
      <c r="AU43" s="1127">
        <v>0.33333333333333331</v>
      </c>
      <c r="AV43" s="1127"/>
      <c r="AW43" s="1127"/>
      <c r="AX43" s="1127"/>
      <c r="AY43" s="1127"/>
      <c r="AZ43" s="1127">
        <v>0.33333333333333331</v>
      </c>
      <c r="BA43" s="1129">
        <v>872.95798412698423</v>
      </c>
      <c r="BB43" s="1129">
        <v>0</v>
      </c>
      <c r="BC43" s="1129">
        <v>872.95798412698423</v>
      </c>
      <c r="BD43" s="1129">
        <v>0</v>
      </c>
      <c r="BE43" s="1129">
        <v>0</v>
      </c>
      <c r="BF43" s="1129">
        <v>0</v>
      </c>
      <c r="BG43" s="1129">
        <v>0</v>
      </c>
      <c r="BH43" s="1129">
        <v>872.95798412698423</v>
      </c>
      <c r="BI43" s="971"/>
      <c r="BJ43" s="971"/>
      <c r="BK43" s="971"/>
      <c r="BL43" s="1246"/>
      <c r="BM43" s="1247" t="s">
        <v>2125</v>
      </c>
    </row>
    <row r="44" spans="1:65" s="1247" customFormat="1" ht="82.5" customHeight="1">
      <c r="A44" s="1272">
        <v>2000</v>
      </c>
      <c r="B44" s="971" t="s">
        <v>119</v>
      </c>
      <c r="C44" s="1272">
        <v>2100</v>
      </c>
      <c r="D44" s="971" t="s">
        <v>120</v>
      </c>
      <c r="E44" s="971" t="s">
        <v>175</v>
      </c>
      <c r="F44" s="971" t="s">
        <v>176</v>
      </c>
      <c r="G44" s="971" t="s">
        <v>3750</v>
      </c>
      <c r="H44" s="971" t="s">
        <v>3494</v>
      </c>
      <c r="I44" s="1273" t="s">
        <v>6680</v>
      </c>
      <c r="J44" s="971" t="s">
        <v>2146</v>
      </c>
      <c r="K44" s="971" t="s">
        <v>2127</v>
      </c>
      <c r="L44" s="971" t="s">
        <v>2177</v>
      </c>
      <c r="M44" s="971" t="s">
        <v>2127</v>
      </c>
      <c r="N44" s="971" t="s">
        <v>176</v>
      </c>
      <c r="O44" s="971" t="s">
        <v>2177</v>
      </c>
      <c r="P44" s="971" t="s">
        <v>6681</v>
      </c>
      <c r="Q44" s="971" t="s">
        <v>6682</v>
      </c>
      <c r="R44" s="971" t="s">
        <v>3831</v>
      </c>
      <c r="S44" s="1274">
        <v>1</v>
      </c>
      <c r="T44" s="971" t="s">
        <v>242</v>
      </c>
      <c r="U44" s="1275">
        <v>10</v>
      </c>
      <c r="V44" s="1275">
        <v>45</v>
      </c>
      <c r="W44" s="1275">
        <v>999.13380952380965</v>
      </c>
      <c r="X44" s="1275">
        <v>450</v>
      </c>
      <c r="Y44" s="1275">
        <v>1494.1338095238098</v>
      </c>
      <c r="Z44" s="1129">
        <v>10</v>
      </c>
      <c r="AA44" s="1129">
        <v>45</v>
      </c>
      <c r="AB44" s="1129">
        <v>999.13380952380965</v>
      </c>
      <c r="AC44" s="1129">
        <v>450</v>
      </c>
      <c r="AD44" s="1098">
        <v>1494.1338095238098</v>
      </c>
      <c r="AE44" s="1135">
        <v>24</v>
      </c>
      <c r="AF44" s="1129">
        <v>24</v>
      </c>
      <c r="AG44" s="1127">
        <v>1</v>
      </c>
      <c r="AH44" s="1127">
        <v>0</v>
      </c>
      <c r="AI44" s="1127">
        <v>0</v>
      </c>
      <c r="AJ44" s="1127">
        <v>1</v>
      </c>
      <c r="AK44" s="1129">
        <v>1494.1338095238098</v>
      </c>
      <c r="AL44" s="1129">
        <v>0</v>
      </c>
      <c r="AM44" s="1129">
        <v>0</v>
      </c>
      <c r="AN44" s="1129">
        <v>1494.1338095238098</v>
      </c>
      <c r="AO44" s="1129" t="s">
        <v>131</v>
      </c>
      <c r="AP44" s="1129" t="s">
        <v>96</v>
      </c>
      <c r="AQ44" s="1157">
        <v>2014</v>
      </c>
      <c r="AR44" s="1129" t="s">
        <v>87</v>
      </c>
      <c r="AS44" s="1127">
        <v>0.33333333333333331</v>
      </c>
      <c r="AT44" s="1127"/>
      <c r="AU44" s="1127">
        <v>0.33333333333333331</v>
      </c>
      <c r="AV44" s="1127"/>
      <c r="AW44" s="1127"/>
      <c r="AX44" s="1127"/>
      <c r="AY44" s="1127"/>
      <c r="AZ44" s="1127">
        <v>0.33333333333333331</v>
      </c>
      <c r="BA44" s="1129">
        <v>498.04460317460325</v>
      </c>
      <c r="BB44" s="1129">
        <v>0</v>
      </c>
      <c r="BC44" s="1129">
        <v>498.04460317460325</v>
      </c>
      <c r="BD44" s="1129">
        <v>0</v>
      </c>
      <c r="BE44" s="1129">
        <v>0</v>
      </c>
      <c r="BF44" s="1129">
        <v>0</v>
      </c>
      <c r="BG44" s="1129">
        <v>0</v>
      </c>
      <c r="BH44" s="1129">
        <v>498.04460317460325</v>
      </c>
      <c r="BI44" s="971"/>
      <c r="BJ44" s="971"/>
      <c r="BK44" s="971"/>
      <c r="BL44" s="1246"/>
      <c r="BM44" s="1247" t="s">
        <v>2125</v>
      </c>
    </row>
    <row r="45" spans="1:65" s="1247" customFormat="1" ht="82.5" customHeight="1">
      <c r="A45" s="1272">
        <v>2000</v>
      </c>
      <c r="B45" s="971" t="s">
        <v>119</v>
      </c>
      <c r="C45" s="1272">
        <v>2100</v>
      </c>
      <c r="D45" s="971" t="s">
        <v>120</v>
      </c>
      <c r="E45" s="971" t="s">
        <v>175</v>
      </c>
      <c r="F45" s="971" t="s">
        <v>176</v>
      </c>
      <c r="G45" s="971" t="s">
        <v>3750</v>
      </c>
      <c r="H45" s="971" t="s">
        <v>3494</v>
      </c>
      <c r="I45" s="1273" t="s">
        <v>6683</v>
      </c>
      <c r="J45" s="971" t="s">
        <v>2146</v>
      </c>
      <c r="K45" s="971" t="s">
        <v>2127</v>
      </c>
      <c r="L45" s="971" t="s">
        <v>2177</v>
      </c>
      <c r="M45" s="971" t="s">
        <v>2127</v>
      </c>
      <c r="N45" s="971" t="s">
        <v>176</v>
      </c>
      <c r="O45" s="971" t="s">
        <v>2177</v>
      </c>
      <c r="P45" s="971" t="s">
        <v>2292</v>
      </c>
      <c r="Q45" s="971" t="s">
        <v>6684</v>
      </c>
      <c r="R45" s="971" t="s">
        <v>3838</v>
      </c>
      <c r="S45" s="1274">
        <v>1</v>
      </c>
      <c r="T45" s="971" t="s">
        <v>242</v>
      </c>
      <c r="U45" s="1275">
        <v>10</v>
      </c>
      <c r="V45" s="1275">
        <v>45</v>
      </c>
      <c r="W45" s="1275">
        <v>999.13380952380965</v>
      </c>
      <c r="X45" s="1275">
        <v>450</v>
      </c>
      <c r="Y45" s="1275">
        <v>1494.1338095238098</v>
      </c>
      <c r="Z45" s="1129">
        <v>10</v>
      </c>
      <c r="AA45" s="1129">
        <v>45</v>
      </c>
      <c r="AB45" s="1129">
        <v>999.13380952380965</v>
      </c>
      <c r="AC45" s="1129">
        <v>450</v>
      </c>
      <c r="AD45" s="1098">
        <v>1494.1338095238098</v>
      </c>
      <c r="AE45" s="1135">
        <v>24</v>
      </c>
      <c r="AF45" s="1129">
        <v>24</v>
      </c>
      <c r="AG45" s="1127">
        <v>1</v>
      </c>
      <c r="AH45" s="1127">
        <v>0</v>
      </c>
      <c r="AI45" s="1127">
        <v>0</v>
      </c>
      <c r="AJ45" s="1127">
        <v>1</v>
      </c>
      <c r="AK45" s="1129">
        <v>1494.1338095238098</v>
      </c>
      <c r="AL45" s="1129">
        <v>0</v>
      </c>
      <c r="AM45" s="1129">
        <v>0</v>
      </c>
      <c r="AN45" s="1129">
        <v>1494.1338095238098</v>
      </c>
      <c r="AO45" s="1129" t="s">
        <v>131</v>
      </c>
      <c r="AP45" s="1129" t="s">
        <v>96</v>
      </c>
      <c r="AQ45" s="1157">
        <v>2014</v>
      </c>
      <c r="AR45" s="1129" t="s">
        <v>87</v>
      </c>
      <c r="AS45" s="1127">
        <v>0.33333333333333331</v>
      </c>
      <c r="AT45" s="1127"/>
      <c r="AU45" s="1127">
        <v>0.33333333333333331</v>
      </c>
      <c r="AV45" s="1127"/>
      <c r="AW45" s="1127"/>
      <c r="AX45" s="1127"/>
      <c r="AY45" s="1127"/>
      <c r="AZ45" s="1127">
        <v>0.33333333333333331</v>
      </c>
      <c r="BA45" s="1129">
        <v>498.04460317460325</v>
      </c>
      <c r="BB45" s="1129">
        <v>0</v>
      </c>
      <c r="BC45" s="1129">
        <v>498.04460317460325</v>
      </c>
      <c r="BD45" s="1129">
        <v>0</v>
      </c>
      <c r="BE45" s="1129">
        <v>0</v>
      </c>
      <c r="BF45" s="1129">
        <v>0</v>
      </c>
      <c r="BG45" s="1129">
        <v>0</v>
      </c>
      <c r="BH45" s="1129">
        <v>498.04460317460325</v>
      </c>
      <c r="BI45" s="971"/>
      <c r="BJ45" s="971"/>
      <c r="BK45" s="971"/>
      <c r="BL45" s="1246"/>
      <c r="BM45" s="1247" t="s">
        <v>2125</v>
      </c>
    </row>
    <row r="46" spans="1:65" s="1247" customFormat="1" ht="82.5" customHeight="1">
      <c r="A46" s="1272">
        <v>2000</v>
      </c>
      <c r="B46" s="971" t="s">
        <v>119</v>
      </c>
      <c r="C46" s="1272">
        <v>2100</v>
      </c>
      <c r="D46" s="971" t="s">
        <v>120</v>
      </c>
      <c r="E46" s="971" t="s">
        <v>175</v>
      </c>
      <c r="F46" s="971" t="s">
        <v>176</v>
      </c>
      <c r="G46" s="971" t="s">
        <v>3750</v>
      </c>
      <c r="H46" s="971" t="s">
        <v>3494</v>
      </c>
      <c r="I46" s="1273" t="s">
        <v>6685</v>
      </c>
      <c r="J46" s="971" t="s">
        <v>2146</v>
      </c>
      <c r="K46" s="971" t="s">
        <v>2125</v>
      </c>
      <c r="L46" s="971" t="s">
        <v>2126</v>
      </c>
      <c r="M46" s="971" t="s">
        <v>2125</v>
      </c>
      <c r="N46" s="971" t="s">
        <v>176</v>
      </c>
      <c r="O46" s="971" t="s">
        <v>2126</v>
      </c>
      <c r="P46" s="971" t="s">
        <v>6655</v>
      </c>
      <c r="Q46" s="971" t="s">
        <v>6686</v>
      </c>
      <c r="R46" s="971" t="s">
        <v>3840</v>
      </c>
      <c r="S46" s="1274">
        <v>1</v>
      </c>
      <c r="T46" s="971" t="s">
        <v>242</v>
      </c>
      <c r="U46" s="1275">
        <v>13</v>
      </c>
      <c r="V46" s="1275">
        <v>120</v>
      </c>
      <c r="W46" s="1275">
        <v>1298.8739523809525</v>
      </c>
      <c r="X46" s="1275">
        <v>1200</v>
      </c>
      <c r="Y46" s="1275">
        <v>2618.8739523809527</v>
      </c>
      <c r="Z46" s="1129">
        <v>13</v>
      </c>
      <c r="AA46" s="1129">
        <v>120</v>
      </c>
      <c r="AB46" s="1129">
        <v>1298.8739523809525</v>
      </c>
      <c r="AC46" s="1129">
        <v>1200</v>
      </c>
      <c r="AD46" s="1098">
        <v>2618.8739523809527</v>
      </c>
      <c r="AE46" s="1135">
        <v>96</v>
      </c>
      <c r="AF46" s="1129">
        <v>96</v>
      </c>
      <c r="AG46" s="1127">
        <v>1</v>
      </c>
      <c r="AH46" s="1127">
        <v>0</v>
      </c>
      <c r="AI46" s="1127">
        <v>0</v>
      </c>
      <c r="AJ46" s="1127">
        <v>1</v>
      </c>
      <c r="AK46" s="1129">
        <v>2618.8739523809527</v>
      </c>
      <c r="AL46" s="1129">
        <v>0</v>
      </c>
      <c r="AM46" s="1129">
        <v>0</v>
      </c>
      <c r="AN46" s="1129">
        <v>2618.8739523809527</v>
      </c>
      <c r="AO46" s="1129" t="s">
        <v>131</v>
      </c>
      <c r="AP46" s="1129" t="s">
        <v>96</v>
      </c>
      <c r="AQ46" s="1157">
        <v>2014</v>
      </c>
      <c r="AR46" s="1129" t="s">
        <v>87</v>
      </c>
      <c r="AS46" s="1127">
        <v>0.33333333333333331</v>
      </c>
      <c r="AT46" s="1127"/>
      <c r="AU46" s="1127">
        <v>0.33333333333333331</v>
      </c>
      <c r="AV46" s="1127"/>
      <c r="AW46" s="1127"/>
      <c r="AX46" s="1127"/>
      <c r="AY46" s="1127"/>
      <c r="AZ46" s="1127">
        <v>0.33333333333333331</v>
      </c>
      <c r="BA46" s="1129">
        <v>872.95798412698423</v>
      </c>
      <c r="BB46" s="1129">
        <v>0</v>
      </c>
      <c r="BC46" s="1129">
        <v>872.95798412698423</v>
      </c>
      <c r="BD46" s="1129">
        <v>0</v>
      </c>
      <c r="BE46" s="1129">
        <v>0</v>
      </c>
      <c r="BF46" s="1129">
        <v>0</v>
      </c>
      <c r="BG46" s="1129">
        <v>0</v>
      </c>
      <c r="BH46" s="1129">
        <v>872.95798412698423</v>
      </c>
      <c r="BI46" s="971"/>
      <c r="BJ46" s="971"/>
      <c r="BK46" s="971"/>
      <c r="BL46" s="1246"/>
      <c r="BM46" s="1247" t="s">
        <v>2127</v>
      </c>
    </row>
    <row r="47" spans="1:65" s="1247" customFormat="1" ht="66" customHeight="1">
      <c r="A47" s="1272">
        <v>2000</v>
      </c>
      <c r="B47" s="971" t="s">
        <v>119</v>
      </c>
      <c r="C47" s="1272">
        <v>2100</v>
      </c>
      <c r="D47" s="971" t="s">
        <v>120</v>
      </c>
      <c r="E47" s="971" t="s">
        <v>175</v>
      </c>
      <c r="F47" s="971" t="s">
        <v>176</v>
      </c>
      <c r="G47" s="971" t="s">
        <v>3750</v>
      </c>
      <c r="H47" s="971" t="s">
        <v>3494</v>
      </c>
      <c r="I47" s="1273" t="s">
        <v>6687</v>
      </c>
      <c r="J47" s="971" t="s">
        <v>2146</v>
      </c>
      <c r="K47" s="971" t="s">
        <v>2125</v>
      </c>
      <c r="L47" s="971" t="s">
        <v>2126</v>
      </c>
      <c r="M47" s="971" t="s">
        <v>2125</v>
      </c>
      <c r="N47" s="971" t="s">
        <v>176</v>
      </c>
      <c r="O47" s="971" t="s">
        <v>2126</v>
      </c>
      <c r="P47" s="971" t="s">
        <v>3065</v>
      </c>
      <c r="Q47" s="971" t="s">
        <v>6688</v>
      </c>
      <c r="R47" s="971" t="s">
        <v>3843</v>
      </c>
      <c r="S47" s="1274">
        <v>1</v>
      </c>
      <c r="T47" s="971" t="s">
        <v>242</v>
      </c>
      <c r="U47" s="1275">
        <v>13</v>
      </c>
      <c r="V47" s="1275">
        <v>120</v>
      </c>
      <c r="W47" s="1275">
        <v>1298.8739523809525</v>
      </c>
      <c r="X47" s="1275">
        <v>1200</v>
      </c>
      <c r="Y47" s="1275">
        <v>2618.8739523809527</v>
      </c>
      <c r="Z47" s="1129">
        <v>13</v>
      </c>
      <c r="AA47" s="1129">
        <v>120</v>
      </c>
      <c r="AB47" s="1129">
        <v>1298.8739523809525</v>
      </c>
      <c r="AC47" s="1129">
        <v>1200</v>
      </c>
      <c r="AD47" s="1098">
        <v>2618.8739523809527</v>
      </c>
      <c r="AE47" s="1135">
        <v>96</v>
      </c>
      <c r="AF47" s="1129">
        <v>96</v>
      </c>
      <c r="AG47" s="1127">
        <v>1</v>
      </c>
      <c r="AH47" s="1127">
        <v>0</v>
      </c>
      <c r="AI47" s="1127">
        <v>0</v>
      </c>
      <c r="AJ47" s="1127">
        <v>1</v>
      </c>
      <c r="AK47" s="1129">
        <v>2618.8739523809527</v>
      </c>
      <c r="AL47" s="1129">
        <v>0</v>
      </c>
      <c r="AM47" s="1129">
        <v>0</v>
      </c>
      <c r="AN47" s="1129">
        <v>2618.8739523809527</v>
      </c>
      <c r="AO47" s="1129" t="s">
        <v>131</v>
      </c>
      <c r="AP47" s="1129" t="s">
        <v>96</v>
      </c>
      <c r="AQ47" s="1157">
        <v>2014</v>
      </c>
      <c r="AR47" s="1129" t="s">
        <v>87</v>
      </c>
      <c r="AS47" s="1127">
        <v>0.33333333333333331</v>
      </c>
      <c r="AT47" s="1127"/>
      <c r="AU47" s="1127">
        <v>0.33333333333333331</v>
      </c>
      <c r="AV47" s="1127"/>
      <c r="AW47" s="1127"/>
      <c r="AX47" s="1127"/>
      <c r="AY47" s="1127"/>
      <c r="AZ47" s="1127">
        <v>0.33333333333333331</v>
      </c>
      <c r="BA47" s="1129">
        <v>872.95798412698423</v>
      </c>
      <c r="BB47" s="1129">
        <v>0</v>
      </c>
      <c r="BC47" s="1129">
        <v>872.95798412698423</v>
      </c>
      <c r="BD47" s="1129">
        <v>0</v>
      </c>
      <c r="BE47" s="1129">
        <v>0</v>
      </c>
      <c r="BF47" s="1129">
        <v>0</v>
      </c>
      <c r="BG47" s="1129">
        <v>0</v>
      </c>
      <c r="BH47" s="1129">
        <v>872.95798412698423</v>
      </c>
      <c r="BI47" s="971"/>
      <c r="BJ47" s="971"/>
      <c r="BK47" s="971"/>
      <c r="BL47" s="1246"/>
      <c r="BM47" s="1247" t="s">
        <v>2127</v>
      </c>
    </row>
    <row r="48" spans="1:65" s="1247" customFormat="1" ht="82.5" customHeight="1">
      <c r="A48" s="1272">
        <v>2000</v>
      </c>
      <c r="B48" s="971" t="s">
        <v>119</v>
      </c>
      <c r="C48" s="1272">
        <v>2100</v>
      </c>
      <c r="D48" s="971" t="s">
        <v>120</v>
      </c>
      <c r="E48" s="971" t="s">
        <v>175</v>
      </c>
      <c r="F48" s="971" t="s">
        <v>176</v>
      </c>
      <c r="G48" s="971" t="s">
        <v>3750</v>
      </c>
      <c r="H48" s="971" t="s">
        <v>3494</v>
      </c>
      <c r="I48" s="1273" t="s">
        <v>6689</v>
      </c>
      <c r="J48" s="971" t="s">
        <v>2146</v>
      </c>
      <c r="K48" s="971" t="s">
        <v>2129</v>
      </c>
      <c r="L48" s="971" t="s">
        <v>2130</v>
      </c>
      <c r="M48" s="971" t="s">
        <v>2129</v>
      </c>
      <c r="N48" s="971" t="s">
        <v>176</v>
      </c>
      <c r="O48" s="971" t="s">
        <v>2130</v>
      </c>
      <c r="P48" s="971" t="s">
        <v>6690</v>
      </c>
      <c r="Q48" s="971" t="s">
        <v>6691</v>
      </c>
      <c r="R48" s="971" t="s">
        <v>3850</v>
      </c>
      <c r="S48" s="1274">
        <v>1</v>
      </c>
      <c r="T48" s="971" t="s">
        <v>242</v>
      </c>
      <c r="U48" s="1275">
        <v>6.666666666666667</v>
      </c>
      <c r="V48" s="1275">
        <v>25</v>
      </c>
      <c r="W48" s="1275">
        <v>666.08920634920639</v>
      </c>
      <c r="X48" s="1275">
        <v>250</v>
      </c>
      <c r="Y48" s="1275">
        <v>941.08920634920639</v>
      </c>
      <c r="Z48" s="1129">
        <v>6.666666666666667</v>
      </c>
      <c r="AA48" s="1129">
        <v>25</v>
      </c>
      <c r="AB48" s="1129">
        <v>666.08920634920639</v>
      </c>
      <c r="AC48" s="1129">
        <v>250</v>
      </c>
      <c r="AD48" s="1098">
        <v>941.08920634920639</v>
      </c>
      <c r="AE48" s="1135">
        <v>4</v>
      </c>
      <c r="AF48" s="1129">
        <v>4</v>
      </c>
      <c r="AG48" s="1127">
        <v>1</v>
      </c>
      <c r="AH48" s="1127">
        <v>0</v>
      </c>
      <c r="AI48" s="1127">
        <v>0</v>
      </c>
      <c r="AJ48" s="1127">
        <v>1</v>
      </c>
      <c r="AK48" s="1129">
        <v>941.08920634920639</v>
      </c>
      <c r="AL48" s="1129">
        <v>0</v>
      </c>
      <c r="AM48" s="1129">
        <v>0</v>
      </c>
      <c r="AN48" s="1129">
        <v>941.08920634920639</v>
      </c>
      <c r="AO48" s="1129" t="s">
        <v>131</v>
      </c>
      <c r="AP48" s="1129" t="s">
        <v>96</v>
      </c>
      <c r="AQ48" s="1157">
        <v>2014</v>
      </c>
      <c r="AR48" s="1129" t="s">
        <v>87</v>
      </c>
      <c r="AS48" s="1127">
        <v>0.33333333333333331</v>
      </c>
      <c r="AT48" s="1127"/>
      <c r="AU48" s="1127">
        <v>0.33333333333333331</v>
      </c>
      <c r="AV48" s="1127"/>
      <c r="AW48" s="1127"/>
      <c r="AX48" s="1127"/>
      <c r="AY48" s="1127"/>
      <c r="AZ48" s="1127">
        <v>0.33333333333333331</v>
      </c>
      <c r="BA48" s="1129">
        <v>313.69640211640211</v>
      </c>
      <c r="BB48" s="1129">
        <v>0</v>
      </c>
      <c r="BC48" s="1129">
        <v>313.69640211640211</v>
      </c>
      <c r="BD48" s="1129">
        <v>0</v>
      </c>
      <c r="BE48" s="1129">
        <v>0</v>
      </c>
      <c r="BF48" s="1129">
        <v>0</v>
      </c>
      <c r="BG48" s="1129">
        <v>0</v>
      </c>
      <c r="BH48" s="1129">
        <v>313.69640211640211</v>
      </c>
      <c r="BI48" s="971"/>
      <c r="BJ48" s="971"/>
      <c r="BK48" s="971"/>
      <c r="BL48" s="1246"/>
      <c r="BM48" s="1247" t="s">
        <v>2125</v>
      </c>
    </row>
    <row r="49" spans="1:65" s="1247" customFormat="1" ht="66" customHeight="1">
      <c r="A49" s="1272">
        <v>2000</v>
      </c>
      <c r="B49" s="971" t="s">
        <v>119</v>
      </c>
      <c r="C49" s="1272">
        <v>2100</v>
      </c>
      <c r="D49" s="971" t="s">
        <v>120</v>
      </c>
      <c r="E49" s="971" t="s">
        <v>175</v>
      </c>
      <c r="F49" s="971" t="s">
        <v>176</v>
      </c>
      <c r="G49" s="971" t="s">
        <v>3750</v>
      </c>
      <c r="H49" s="971" t="s">
        <v>3494</v>
      </c>
      <c r="I49" s="1273" t="s">
        <v>6692</v>
      </c>
      <c r="J49" s="971" t="s">
        <v>2146</v>
      </c>
      <c r="K49" s="971" t="s">
        <v>2129</v>
      </c>
      <c r="L49" s="971" t="s">
        <v>2130</v>
      </c>
      <c r="M49" s="971" t="s">
        <v>2129</v>
      </c>
      <c r="N49" s="971" t="s">
        <v>176</v>
      </c>
      <c r="O49" s="971" t="s">
        <v>2130</v>
      </c>
      <c r="P49" s="971" t="s">
        <v>6693</v>
      </c>
      <c r="Q49" s="971" t="s">
        <v>6694</v>
      </c>
      <c r="R49" s="971" t="s">
        <v>3856</v>
      </c>
      <c r="S49" s="1274">
        <v>1</v>
      </c>
      <c r="T49" s="971" t="s">
        <v>242</v>
      </c>
      <c r="U49" s="1275">
        <v>6.666666666666667</v>
      </c>
      <c r="V49" s="1275">
        <v>25</v>
      </c>
      <c r="W49" s="1275">
        <v>666.08920634920639</v>
      </c>
      <c r="X49" s="1275">
        <v>250</v>
      </c>
      <c r="Y49" s="1275">
        <v>941.08920634920639</v>
      </c>
      <c r="Z49" s="1129">
        <v>6.666666666666667</v>
      </c>
      <c r="AA49" s="1129">
        <v>25</v>
      </c>
      <c r="AB49" s="1129">
        <v>666.08920634920639</v>
      </c>
      <c r="AC49" s="1129">
        <v>250</v>
      </c>
      <c r="AD49" s="1098">
        <v>941.08920634920639</v>
      </c>
      <c r="AE49" s="1135">
        <v>4</v>
      </c>
      <c r="AF49" s="1129">
        <v>4</v>
      </c>
      <c r="AG49" s="1127">
        <v>1</v>
      </c>
      <c r="AH49" s="1127">
        <v>0</v>
      </c>
      <c r="AI49" s="1127">
        <v>0</v>
      </c>
      <c r="AJ49" s="1127">
        <v>1</v>
      </c>
      <c r="AK49" s="1129">
        <v>941.08920634920639</v>
      </c>
      <c r="AL49" s="1129">
        <v>0</v>
      </c>
      <c r="AM49" s="1129">
        <v>0</v>
      </c>
      <c r="AN49" s="1129">
        <v>941.08920634920639</v>
      </c>
      <c r="AO49" s="1129" t="s">
        <v>131</v>
      </c>
      <c r="AP49" s="1129" t="s">
        <v>96</v>
      </c>
      <c r="AQ49" s="1157">
        <v>2014</v>
      </c>
      <c r="AR49" s="1129" t="s">
        <v>87</v>
      </c>
      <c r="AS49" s="1127">
        <v>0.33333333333333331</v>
      </c>
      <c r="AT49" s="1127"/>
      <c r="AU49" s="1127">
        <v>0.33333333333333331</v>
      </c>
      <c r="AV49" s="1127"/>
      <c r="AW49" s="1127"/>
      <c r="AX49" s="1127"/>
      <c r="AY49" s="1127"/>
      <c r="AZ49" s="1127">
        <v>0.33333333333333331</v>
      </c>
      <c r="BA49" s="1129">
        <v>313.69640211640211</v>
      </c>
      <c r="BB49" s="1129">
        <v>0</v>
      </c>
      <c r="BC49" s="1129">
        <v>313.69640211640211</v>
      </c>
      <c r="BD49" s="1129">
        <v>0</v>
      </c>
      <c r="BE49" s="1129">
        <v>0</v>
      </c>
      <c r="BF49" s="1129">
        <v>0</v>
      </c>
      <c r="BG49" s="1129">
        <v>0</v>
      </c>
      <c r="BH49" s="1129">
        <v>313.69640211640211</v>
      </c>
      <c r="BI49" s="971"/>
      <c r="BJ49" s="971"/>
      <c r="BK49" s="971"/>
      <c r="BL49" s="1246"/>
      <c r="BM49" s="1247" t="s">
        <v>2125</v>
      </c>
    </row>
    <row r="50" spans="1:65" s="1247" customFormat="1" ht="66" customHeight="1">
      <c r="A50" s="1272">
        <v>2000</v>
      </c>
      <c r="B50" s="971" t="s">
        <v>119</v>
      </c>
      <c r="C50" s="1272">
        <v>2100</v>
      </c>
      <c r="D50" s="971" t="s">
        <v>120</v>
      </c>
      <c r="E50" s="971" t="s">
        <v>175</v>
      </c>
      <c r="F50" s="971" t="s">
        <v>176</v>
      </c>
      <c r="G50" s="971" t="s">
        <v>3750</v>
      </c>
      <c r="H50" s="971" t="s">
        <v>3494</v>
      </c>
      <c r="I50" s="1273" t="s">
        <v>6695</v>
      </c>
      <c r="J50" s="971" t="s">
        <v>2146</v>
      </c>
      <c r="K50" s="971" t="s">
        <v>2127</v>
      </c>
      <c r="L50" s="971" t="s">
        <v>2177</v>
      </c>
      <c r="M50" s="971" t="s">
        <v>2127</v>
      </c>
      <c r="N50" s="971" t="s">
        <v>176</v>
      </c>
      <c r="O50" s="971" t="s">
        <v>2177</v>
      </c>
      <c r="P50" s="971" t="s">
        <v>6696</v>
      </c>
      <c r="Q50" s="971" t="s">
        <v>6697</v>
      </c>
      <c r="R50" s="971" t="s">
        <v>3863</v>
      </c>
      <c r="S50" s="1274">
        <v>1</v>
      </c>
      <c r="T50" s="971" t="s">
        <v>242</v>
      </c>
      <c r="U50" s="1275">
        <v>10</v>
      </c>
      <c r="V50" s="1275">
        <v>45</v>
      </c>
      <c r="W50" s="1275">
        <v>999.13380952380965</v>
      </c>
      <c r="X50" s="1275">
        <v>450</v>
      </c>
      <c r="Y50" s="1275">
        <v>1494.1338095238098</v>
      </c>
      <c r="Z50" s="1129">
        <v>10</v>
      </c>
      <c r="AA50" s="1129">
        <v>45</v>
      </c>
      <c r="AB50" s="1129">
        <v>999.13380952380965</v>
      </c>
      <c r="AC50" s="1129">
        <v>450</v>
      </c>
      <c r="AD50" s="1098">
        <v>1494.1338095238098</v>
      </c>
      <c r="AE50" s="1135">
        <v>24</v>
      </c>
      <c r="AF50" s="1129">
        <v>24</v>
      </c>
      <c r="AG50" s="1127">
        <v>1</v>
      </c>
      <c r="AH50" s="1127">
        <v>0</v>
      </c>
      <c r="AI50" s="1127">
        <v>0</v>
      </c>
      <c r="AJ50" s="1127">
        <v>1</v>
      </c>
      <c r="AK50" s="1129">
        <v>1494.1338095238098</v>
      </c>
      <c r="AL50" s="1129">
        <v>0</v>
      </c>
      <c r="AM50" s="1129">
        <v>0</v>
      </c>
      <c r="AN50" s="1129">
        <v>1494.1338095238098</v>
      </c>
      <c r="AO50" s="1129" t="s">
        <v>131</v>
      </c>
      <c r="AP50" s="1129" t="s">
        <v>96</v>
      </c>
      <c r="AQ50" s="1157">
        <v>2014</v>
      </c>
      <c r="AR50" s="1129" t="s">
        <v>87</v>
      </c>
      <c r="AS50" s="1127">
        <v>0.33333333333333331</v>
      </c>
      <c r="AT50" s="1127"/>
      <c r="AU50" s="1127">
        <v>0.33333333333333331</v>
      </c>
      <c r="AV50" s="1127"/>
      <c r="AW50" s="1127"/>
      <c r="AX50" s="1127"/>
      <c r="AY50" s="1127"/>
      <c r="AZ50" s="1127">
        <v>0.33333333333333331</v>
      </c>
      <c r="BA50" s="1129">
        <v>498.04460317460325</v>
      </c>
      <c r="BB50" s="1129">
        <v>0</v>
      </c>
      <c r="BC50" s="1129">
        <v>498.04460317460325</v>
      </c>
      <c r="BD50" s="1129">
        <v>0</v>
      </c>
      <c r="BE50" s="1129">
        <v>0</v>
      </c>
      <c r="BF50" s="1129">
        <v>0</v>
      </c>
      <c r="BG50" s="1129">
        <v>0</v>
      </c>
      <c r="BH50" s="1129">
        <v>498.04460317460325</v>
      </c>
      <c r="BI50" s="971"/>
      <c r="BJ50" s="971"/>
      <c r="BK50" s="971"/>
      <c r="BL50" s="1246"/>
      <c r="BM50" s="1247" t="s">
        <v>2129</v>
      </c>
    </row>
    <row r="51" spans="1:65" s="1247" customFormat="1" ht="66" customHeight="1">
      <c r="A51" s="1272">
        <v>2000</v>
      </c>
      <c r="B51" s="971" t="s">
        <v>119</v>
      </c>
      <c r="C51" s="1272">
        <v>2100</v>
      </c>
      <c r="D51" s="971" t="s">
        <v>120</v>
      </c>
      <c r="E51" s="971" t="s">
        <v>175</v>
      </c>
      <c r="F51" s="971" t="s">
        <v>176</v>
      </c>
      <c r="G51" s="971" t="s">
        <v>3750</v>
      </c>
      <c r="H51" s="971" t="s">
        <v>3494</v>
      </c>
      <c r="I51" s="1273" t="s">
        <v>6698</v>
      </c>
      <c r="J51" s="971" t="s">
        <v>2146</v>
      </c>
      <c r="K51" s="971" t="s">
        <v>2129</v>
      </c>
      <c r="L51" s="971" t="s">
        <v>2130</v>
      </c>
      <c r="M51" s="971" t="s">
        <v>2129</v>
      </c>
      <c r="N51" s="971" t="s">
        <v>176</v>
      </c>
      <c r="O51" s="971" t="s">
        <v>2130</v>
      </c>
      <c r="P51" s="971" t="s">
        <v>6693</v>
      </c>
      <c r="Q51" s="971" t="s">
        <v>6699</v>
      </c>
      <c r="R51" s="971" t="s">
        <v>3867</v>
      </c>
      <c r="S51" s="1274">
        <v>1</v>
      </c>
      <c r="T51" s="971" t="s">
        <v>242</v>
      </c>
      <c r="U51" s="1275">
        <v>6.666666666666667</v>
      </c>
      <c r="V51" s="1275">
        <v>25</v>
      </c>
      <c r="W51" s="1275">
        <v>666.08920634920639</v>
      </c>
      <c r="X51" s="1275">
        <v>250</v>
      </c>
      <c r="Y51" s="1275">
        <v>941.08920634920639</v>
      </c>
      <c r="Z51" s="1129">
        <v>6.666666666666667</v>
      </c>
      <c r="AA51" s="1129">
        <v>25</v>
      </c>
      <c r="AB51" s="1129">
        <v>666.08920634920639</v>
      </c>
      <c r="AC51" s="1129">
        <v>250</v>
      </c>
      <c r="AD51" s="1098">
        <v>941.08920634920639</v>
      </c>
      <c r="AE51" s="1135">
        <v>4</v>
      </c>
      <c r="AF51" s="1129">
        <v>4</v>
      </c>
      <c r="AG51" s="1127">
        <v>1</v>
      </c>
      <c r="AH51" s="1127">
        <v>0</v>
      </c>
      <c r="AI51" s="1127">
        <v>0</v>
      </c>
      <c r="AJ51" s="1127">
        <v>1</v>
      </c>
      <c r="AK51" s="1129">
        <v>941.08920634920639</v>
      </c>
      <c r="AL51" s="1129">
        <v>0</v>
      </c>
      <c r="AM51" s="1129">
        <v>0</v>
      </c>
      <c r="AN51" s="1129">
        <v>941.08920634920639</v>
      </c>
      <c r="AO51" s="1129" t="s">
        <v>131</v>
      </c>
      <c r="AP51" s="1129" t="s">
        <v>96</v>
      </c>
      <c r="AQ51" s="1157">
        <v>2014</v>
      </c>
      <c r="AR51" s="1129" t="s">
        <v>87</v>
      </c>
      <c r="AS51" s="1127">
        <v>0.33333333333333331</v>
      </c>
      <c r="AT51" s="1127"/>
      <c r="AU51" s="1127">
        <v>0.33333333333333331</v>
      </c>
      <c r="AV51" s="1127"/>
      <c r="AW51" s="1127"/>
      <c r="AX51" s="1127"/>
      <c r="AY51" s="1127"/>
      <c r="AZ51" s="1127">
        <v>0.33333333333333331</v>
      </c>
      <c r="BA51" s="1129">
        <v>313.69640211640211</v>
      </c>
      <c r="BB51" s="1129">
        <v>0</v>
      </c>
      <c r="BC51" s="1129">
        <v>313.69640211640211</v>
      </c>
      <c r="BD51" s="1129">
        <v>0</v>
      </c>
      <c r="BE51" s="1129">
        <v>0</v>
      </c>
      <c r="BF51" s="1129">
        <v>0</v>
      </c>
      <c r="BG51" s="1129">
        <v>0</v>
      </c>
      <c r="BH51" s="1129">
        <v>313.69640211640211</v>
      </c>
      <c r="BI51" s="971"/>
      <c r="BJ51" s="971"/>
      <c r="BK51" s="971"/>
      <c r="BL51" s="1246"/>
      <c r="BM51" s="1247" t="s">
        <v>2129</v>
      </c>
    </row>
    <row r="52" spans="1:65" s="1247" customFormat="1" ht="66" customHeight="1">
      <c r="A52" s="1272">
        <v>2000</v>
      </c>
      <c r="B52" s="971" t="s">
        <v>119</v>
      </c>
      <c r="C52" s="1272">
        <v>2100</v>
      </c>
      <c r="D52" s="971" t="s">
        <v>120</v>
      </c>
      <c r="E52" s="971" t="s">
        <v>175</v>
      </c>
      <c r="F52" s="971" t="s">
        <v>176</v>
      </c>
      <c r="G52" s="971" t="s">
        <v>3750</v>
      </c>
      <c r="H52" s="971" t="s">
        <v>3494</v>
      </c>
      <c r="I52" s="1273" t="s">
        <v>6700</v>
      </c>
      <c r="J52" s="971" t="s">
        <v>2146</v>
      </c>
      <c r="K52" s="971" t="s">
        <v>2129</v>
      </c>
      <c r="L52" s="971" t="s">
        <v>2130</v>
      </c>
      <c r="M52" s="971" t="s">
        <v>2129</v>
      </c>
      <c r="N52" s="971" t="s">
        <v>176</v>
      </c>
      <c r="O52" s="971" t="s">
        <v>2130</v>
      </c>
      <c r="P52" s="971" t="s">
        <v>6693</v>
      </c>
      <c r="Q52" s="971" t="s">
        <v>6701</v>
      </c>
      <c r="R52" s="971" t="s">
        <v>3872</v>
      </c>
      <c r="S52" s="1274">
        <v>1</v>
      </c>
      <c r="T52" s="971" t="s">
        <v>242</v>
      </c>
      <c r="U52" s="1275">
        <v>6.666666666666667</v>
      </c>
      <c r="V52" s="1275">
        <v>25</v>
      </c>
      <c r="W52" s="1275">
        <v>666.08920634920639</v>
      </c>
      <c r="X52" s="1275">
        <v>250</v>
      </c>
      <c r="Y52" s="1275">
        <v>941.08920634920639</v>
      </c>
      <c r="Z52" s="1129">
        <v>6.666666666666667</v>
      </c>
      <c r="AA52" s="1129">
        <v>25</v>
      </c>
      <c r="AB52" s="1129">
        <v>666.08920634920639</v>
      </c>
      <c r="AC52" s="1129">
        <v>250</v>
      </c>
      <c r="AD52" s="1098">
        <v>941.08920634920639</v>
      </c>
      <c r="AE52" s="1135">
        <v>4</v>
      </c>
      <c r="AF52" s="1129">
        <v>4</v>
      </c>
      <c r="AG52" s="1127">
        <v>1</v>
      </c>
      <c r="AH52" s="1127">
        <v>0</v>
      </c>
      <c r="AI52" s="1127">
        <v>0</v>
      </c>
      <c r="AJ52" s="1127">
        <v>1</v>
      </c>
      <c r="AK52" s="1129">
        <v>941.08920634920639</v>
      </c>
      <c r="AL52" s="1129">
        <v>0</v>
      </c>
      <c r="AM52" s="1129">
        <v>0</v>
      </c>
      <c r="AN52" s="1129">
        <v>941.08920634920639</v>
      </c>
      <c r="AO52" s="1129" t="s">
        <v>131</v>
      </c>
      <c r="AP52" s="1129" t="s">
        <v>96</v>
      </c>
      <c r="AQ52" s="1157">
        <v>2014</v>
      </c>
      <c r="AR52" s="1129" t="s">
        <v>87</v>
      </c>
      <c r="AS52" s="1127">
        <v>0.33333333333333331</v>
      </c>
      <c r="AT52" s="1127"/>
      <c r="AU52" s="1127">
        <v>0.33333333333333331</v>
      </c>
      <c r="AV52" s="1127"/>
      <c r="AW52" s="1127"/>
      <c r="AX52" s="1127"/>
      <c r="AY52" s="1127"/>
      <c r="AZ52" s="1127">
        <v>0.33333333333333331</v>
      </c>
      <c r="BA52" s="1129">
        <v>313.69640211640211</v>
      </c>
      <c r="BB52" s="1129">
        <v>0</v>
      </c>
      <c r="BC52" s="1129">
        <v>313.69640211640211</v>
      </c>
      <c r="BD52" s="1129">
        <v>0</v>
      </c>
      <c r="BE52" s="1129">
        <v>0</v>
      </c>
      <c r="BF52" s="1129">
        <v>0</v>
      </c>
      <c r="BG52" s="1129">
        <v>0</v>
      </c>
      <c r="BH52" s="1129">
        <v>313.69640211640211</v>
      </c>
      <c r="BI52" s="971"/>
      <c r="BJ52" s="971"/>
      <c r="BK52" s="971"/>
      <c r="BL52" s="1246"/>
      <c r="BM52" s="1247" t="s">
        <v>2127</v>
      </c>
    </row>
    <row r="53" spans="1:65" s="1247" customFormat="1" ht="66" customHeight="1">
      <c r="A53" s="1272">
        <v>2000</v>
      </c>
      <c r="B53" s="971" t="s">
        <v>119</v>
      </c>
      <c r="C53" s="1272">
        <v>2100</v>
      </c>
      <c r="D53" s="971" t="s">
        <v>120</v>
      </c>
      <c r="E53" s="971" t="s">
        <v>175</v>
      </c>
      <c r="F53" s="971" t="s">
        <v>176</v>
      </c>
      <c r="G53" s="971" t="s">
        <v>3750</v>
      </c>
      <c r="H53" s="971" t="s">
        <v>3494</v>
      </c>
      <c r="I53" s="1273" t="s">
        <v>6700</v>
      </c>
      <c r="J53" s="971" t="s">
        <v>2146</v>
      </c>
      <c r="K53" s="971" t="s">
        <v>2129</v>
      </c>
      <c r="L53" s="971" t="s">
        <v>2130</v>
      </c>
      <c r="M53" s="971" t="s">
        <v>2129</v>
      </c>
      <c r="N53" s="971" t="s">
        <v>176</v>
      </c>
      <c r="O53" s="971" t="s">
        <v>2130</v>
      </c>
      <c r="P53" s="971" t="s">
        <v>6693</v>
      </c>
      <c r="Q53" s="971" t="s">
        <v>6701</v>
      </c>
      <c r="R53" s="971" t="s">
        <v>3872</v>
      </c>
      <c r="S53" s="1274">
        <v>1</v>
      </c>
      <c r="T53" s="971" t="s">
        <v>242</v>
      </c>
      <c r="U53" s="1275">
        <v>6.666666666666667</v>
      </c>
      <c r="V53" s="1275">
        <v>25</v>
      </c>
      <c r="W53" s="1275">
        <v>666.08920634920639</v>
      </c>
      <c r="X53" s="1275">
        <v>250</v>
      </c>
      <c r="Y53" s="1275">
        <v>941.08920634920639</v>
      </c>
      <c r="Z53" s="1129">
        <v>6.666666666666667</v>
      </c>
      <c r="AA53" s="1129">
        <v>25</v>
      </c>
      <c r="AB53" s="1129">
        <v>666.08920634920639</v>
      </c>
      <c r="AC53" s="1129">
        <v>250</v>
      </c>
      <c r="AD53" s="1098">
        <v>941.08920634920639</v>
      </c>
      <c r="AE53" s="1135">
        <v>4</v>
      </c>
      <c r="AF53" s="1129">
        <v>4</v>
      </c>
      <c r="AG53" s="1127">
        <v>1</v>
      </c>
      <c r="AH53" s="1127">
        <v>0</v>
      </c>
      <c r="AI53" s="1127">
        <v>0</v>
      </c>
      <c r="AJ53" s="1127">
        <v>1</v>
      </c>
      <c r="AK53" s="1129">
        <v>941.08920634920639</v>
      </c>
      <c r="AL53" s="1129">
        <v>0</v>
      </c>
      <c r="AM53" s="1129">
        <v>0</v>
      </c>
      <c r="AN53" s="1129">
        <v>941.08920634920639</v>
      </c>
      <c r="AO53" s="1129" t="s">
        <v>131</v>
      </c>
      <c r="AP53" s="1129" t="s">
        <v>96</v>
      </c>
      <c r="AQ53" s="1157">
        <v>2014</v>
      </c>
      <c r="AR53" s="1129" t="s">
        <v>87</v>
      </c>
      <c r="AS53" s="1127">
        <v>0.33333333333333331</v>
      </c>
      <c r="AT53" s="1127"/>
      <c r="AU53" s="1127">
        <v>0.33333333333333331</v>
      </c>
      <c r="AV53" s="1127"/>
      <c r="AW53" s="1127"/>
      <c r="AX53" s="1127"/>
      <c r="AY53" s="1127"/>
      <c r="AZ53" s="1127">
        <v>0.33333333333333331</v>
      </c>
      <c r="BA53" s="1129">
        <v>313.69640211640211</v>
      </c>
      <c r="BB53" s="1129">
        <v>0</v>
      </c>
      <c r="BC53" s="1129">
        <v>313.69640211640211</v>
      </c>
      <c r="BD53" s="1129">
        <v>0</v>
      </c>
      <c r="BE53" s="1129">
        <v>0</v>
      </c>
      <c r="BF53" s="1129">
        <v>0</v>
      </c>
      <c r="BG53" s="1129">
        <v>0</v>
      </c>
      <c r="BH53" s="1129">
        <v>313.69640211640211</v>
      </c>
      <c r="BI53" s="971"/>
      <c r="BJ53" s="971"/>
      <c r="BK53" s="971"/>
      <c r="BL53" s="1246"/>
      <c r="BM53" s="1247" t="s">
        <v>2129</v>
      </c>
    </row>
    <row r="54" spans="1:65" s="1247" customFormat="1" ht="66" customHeight="1">
      <c r="A54" s="1272">
        <v>2000</v>
      </c>
      <c r="B54" s="971" t="s">
        <v>119</v>
      </c>
      <c r="C54" s="1272">
        <v>2100</v>
      </c>
      <c r="D54" s="971" t="s">
        <v>120</v>
      </c>
      <c r="E54" s="971" t="s">
        <v>175</v>
      </c>
      <c r="F54" s="971" t="s">
        <v>176</v>
      </c>
      <c r="G54" s="971" t="s">
        <v>3878</v>
      </c>
      <c r="H54" s="971" t="s">
        <v>3495</v>
      </c>
      <c r="I54" s="1273" t="s">
        <v>6702</v>
      </c>
      <c r="J54" s="971" t="s">
        <v>2146</v>
      </c>
      <c r="K54" s="971" t="s">
        <v>2127</v>
      </c>
      <c r="L54" s="971" t="s">
        <v>2177</v>
      </c>
      <c r="M54" s="971" t="s">
        <v>2127</v>
      </c>
      <c r="N54" s="971" t="s">
        <v>176</v>
      </c>
      <c r="O54" s="971" t="s">
        <v>2177</v>
      </c>
      <c r="P54" s="971" t="s">
        <v>2292</v>
      </c>
      <c r="Q54" s="971" t="s">
        <v>6703</v>
      </c>
      <c r="R54" s="971" t="s">
        <v>3879</v>
      </c>
      <c r="S54" s="1274">
        <v>1</v>
      </c>
      <c r="T54" s="971" t="s">
        <v>242</v>
      </c>
      <c r="U54" s="1275">
        <v>10</v>
      </c>
      <c r="V54" s="1275">
        <v>45</v>
      </c>
      <c r="W54" s="1275">
        <v>999.13380952380965</v>
      </c>
      <c r="X54" s="1275">
        <v>450</v>
      </c>
      <c r="Y54" s="1275">
        <v>1494.1338095238098</v>
      </c>
      <c r="Z54" s="1129">
        <v>10</v>
      </c>
      <c r="AA54" s="1129">
        <v>45</v>
      </c>
      <c r="AB54" s="1129">
        <v>999.13380952380965</v>
      </c>
      <c r="AC54" s="1129">
        <v>450</v>
      </c>
      <c r="AD54" s="1098">
        <v>1494.1338095238098</v>
      </c>
      <c r="AE54" s="1135">
        <v>24</v>
      </c>
      <c r="AF54" s="1129">
        <v>24</v>
      </c>
      <c r="AG54" s="1127">
        <v>1</v>
      </c>
      <c r="AH54" s="1127">
        <v>0</v>
      </c>
      <c r="AI54" s="1127">
        <v>0</v>
      </c>
      <c r="AJ54" s="1127">
        <v>1</v>
      </c>
      <c r="AK54" s="1129">
        <v>1494.1338095238098</v>
      </c>
      <c r="AL54" s="1129">
        <v>0</v>
      </c>
      <c r="AM54" s="1129">
        <v>0</v>
      </c>
      <c r="AN54" s="1129">
        <v>1494.1338095238098</v>
      </c>
      <c r="AO54" s="1129" t="s">
        <v>131</v>
      </c>
      <c r="AP54" s="1129" t="s">
        <v>96</v>
      </c>
      <c r="AQ54" s="1157">
        <v>2014</v>
      </c>
      <c r="AR54" s="1129" t="s">
        <v>87</v>
      </c>
      <c r="AS54" s="1127">
        <v>0.33333333333333331</v>
      </c>
      <c r="AT54" s="1127"/>
      <c r="AU54" s="1127">
        <v>0.33333333333333331</v>
      </c>
      <c r="AV54" s="1127"/>
      <c r="AW54" s="1127"/>
      <c r="AX54" s="1127"/>
      <c r="AY54" s="1127"/>
      <c r="AZ54" s="1127">
        <v>0.33333333333333331</v>
      </c>
      <c r="BA54" s="1129">
        <v>498.04460317460325</v>
      </c>
      <c r="BB54" s="1129">
        <v>0</v>
      </c>
      <c r="BC54" s="1129">
        <v>498.04460317460325</v>
      </c>
      <c r="BD54" s="1129">
        <v>0</v>
      </c>
      <c r="BE54" s="1129">
        <v>0</v>
      </c>
      <c r="BF54" s="1129">
        <v>0</v>
      </c>
      <c r="BG54" s="1129">
        <v>0</v>
      </c>
      <c r="BH54" s="1129">
        <v>498.04460317460325</v>
      </c>
      <c r="BI54" s="971"/>
      <c r="BJ54" s="971"/>
      <c r="BK54" s="971"/>
      <c r="BL54" s="1246"/>
      <c r="BM54" s="1247" t="s">
        <v>2129</v>
      </c>
    </row>
    <row r="55" spans="1:65" s="1247" customFormat="1" ht="66" customHeight="1">
      <c r="A55" s="1272">
        <v>2000</v>
      </c>
      <c r="B55" s="971" t="s">
        <v>119</v>
      </c>
      <c r="C55" s="1272">
        <v>2100</v>
      </c>
      <c r="D55" s="971" t="s">
        <v>120</v>
      </c>
      <c r="E55" s="971" t="s">
        <v>175</v>
      </c>
      <c r="F55" s="971" t="s">
        <v>176</v>
      </c>
      <c r="G55" s="971" t="s">
        <v>3878</v>
      </c>
      <c r="H55" s="971" t="s">
        <v>3495</v>
      </c>
      <c r="I55" s="1273" t="s">
        <v>6704</v>
      </c>
      <c r="J55" s="971" t="s">
        <v>2146</v>
      </c>
      <c r="K55" s="971" t="s">
        <v>2125</v>
      </c>
      <c r="L55" s="971" t="s">
        <v>2126</v>
      </c>
      <c r="M55" s="971" t="s">
        <v>2125</v>
      </c>
      <c r="N55" s="971" t="s">
        <v>176</v>
      </c>
      <c r="O55" s="971" t="s">
        <v>2126</v>
      </c>
      <c r="P55" s="971" t="s">
        <v>6705</v>
      </c>
      <c r="Q55" s="971" t="s">
        <v>6706</v>
      </c>
      <c r="R55" s="971" t="s">
        <v>3886</v>
      </c>
      <c r="S55" s="1274">
        <v>1</v>
      </c>
      <c r="T55" s="971" t="s">
        <v>242</v>
      </c>
      <c r="U55" s="1275">
        <v>13</v>
      </c>
      <c r="V55" s="1275">
        <v>120</v>
      </c>
      <c r="W55" s="1275">
        <v>1298.8739523809525</v>
      </c>
      <c r="X55" s="1275">
        <v>1200</v>
      </c>
      <c r="Y55" s="1275">
        <v>2618.8739523809527</v>
      </c>
      <c r="Z55" s="1129">
        <v>13</v>
      </c>
      <c r="AA55" s="1129">
        <v>120</v>
      </c>
      <c r="AB55" s="1129">
        <v>1298.8739523809525</v>
      </c>
      <c r="AC55" s="1129">
        <v>1200</v>
      </c>
      <c r="AD55" s="1098">
        <v>2618.8739523809527</v>
      </c>
      <c r="AE55" s="1135">
        <v>96</v>
      </c>
      <c r="AF55" s="1129">
        <v>96</v>
      </c>
      <c r="AG55" s="1127">
        <v>1</v>
      </c>
      <c r="AH55" s="1127">
        <v>0</v>
      </c>
      <c r="AI55" s="1127">
        <v>0</v>
      </c>
      <c r="AJ55" s="1127">
        <v>1</v>
      </c>
      <c r="AK55" s="1129">
        <v>2618.8739523809527</v>
      </c>
      <c r="AL55" s="1129">
        <v>0</v>
      </c>
      <c r="AM55" s="1129">
        <v>0</v>
      </c>
      <c r="AN55" s="1129">
        <v>2618.8739523809527</v>
      </c>
      <c r="AO55" s="1129" t="s">
        <v>131</v>
      </c>
      <c r="AP55" s="1129" t="s">
        <v>96</v>
      </c>
      <c r="AQ55" s="1157">
        <v>2014</v>
      </c>
      <c r="AR55" s="1129" t="s">
        <v>87</v>
      </c>
      <c r="AS55" s="1127">
        <v>0.33333333333333331</v>
      </c>
      <c r="AT55" s="1127"/>
      <c r="AU55" s="1127">
        <v>0.33333333333333331</v>
      </c>
      <c r="AV55" s="1127"/>
      <c r="AW55" s="1127"/>
      <c r="AX55" s="1127"/>
      <c r="AY55" s="1127"/>
      <c r="AZ55" s="1127">
        <v>0.33333333333333331</v>
      </c>
      <c r="BA55" s="1129">
        <v>872.95798412698423</v>
      </c>
      <c r="BB55" s="1129">
        <v>0</v>
      </c>
      <c r="BC55" s="1129">
        <v>872.95798412698423</v>
      </c>
      <c r="BD55" s="1129">
        <v>0</v>
      </c>
      <c r="BE55" s="1129">
        <v>0</v>
      </c>
      <c r="BF55" s="1129">
        <v>0</v>
      </c>
      <c r="BG55" s="1129">
        <v>0</v>
      </c>
      <c r="BH55" s="1129">
        <v>872.95798412698423</v>
      </c>
      <c r="BI55" s="971"/>
      <c r="BJ55" s="971"/>
      <c r="BK55" s="971"/>
      <c r="BL55" s="1246"/>
      <c r="BM55" s="1247" t="s">
        <v>2129</v>
      </c>
    </row>
    <row r="56" spans="1:65" s="1247" customFormat="1" ht="66" customHeight="1">
      <c r="A56" s="1272">
        <v>2000</v>
      </c>
      <c r="B56" s="971" t="s">
        <v>119</v>
      </c>
      <c r="C56" s="1272">
        <v>2100</v>
      </c>
      <c r="D56" s="971" t="s">
        <v>120</v>
      </c>
      <c r="E56" s="971" t="s">
        <v>175</v>
      </c>
      <c r="F56" s="971" t="s">
        <v>176</v>
      </c>
      <c r="G56" s="971" t="s">
        <v>3878</v>
      </c>
      <c r="H56" s="971" t="s">
        <v>3495</v>
      </c>
      <c r="I56" s="1273" t="s">
        <v>6707</v>
      </c>
      <c r="J56" s="971" t="s">
        <v>2146</v>
      </c>
      <c r="K56" s="971" t="s">
        <v>2127</v>
      </c>
      <c r="L56" s="971" t="s">
        <v>2177</v>
      </c>
      <c r="M56" s="971" t="s">
        <v>2127</v>
      </c>
      <c r="N56" s="971" t="s">
        <v>176</v>
      </c>
      <c r="O56" s="971" t="s">
        <v>2177</v>
      </c>
      <c r="P56" s="971" t="s">
        <v>6708</v>
      </c>
      <c r="Q56" s="971" t="s">
        <v>6709</v>
      </c>
      <c r="R56" s="971" t="s">
        <v>3893</v>
      </c>
      <c r="S56" s="1274">
        <v>1</v>
      </c>
      <c r="T56" s="971" t="s">
        <v>242</v>
      </c>
      <c r="U56" s="1275">
        <v>10</v>
      </c>
      <c r="V56" s="1275">
        <v>45</v>
      </c>
      <c r="W56" s="1275">
        <v>999.13380952380965</v>
      </c>
      <c r="X56" s="1275">
        <v>450</v>
      </c>
      <c r="Y56" s="1275">
        <v>1494.1338095238098</v>
      </c>
      <c r="Z56" s="1129">
        <v>10</v>
      </c>
      <c r="AA56" s="1129">
        <v>45</v>
      </c>
      <c r="AB56" s="1129">
        <v>999.13380952380965</v>
      </c>
      <c r="AC56" s="1129">
        <v>450</v>
      </c>
      <c r="AD56" s="1098">
        <v>1494.1338095238098</v>
      </c>
      <c r="AE56" s="1135">
        <v>24</v>
      </c>
      <c r="AF56" s="1129">
        <v>24</v>
      </c>
      <c r="AG56" s="1127">
        <v>1</v>
      </c>
      <c r="AH56" s="1127">
        <v>0</v>
      </c>
      <c r="AI56" s="1127">
        <v>0</v>
      </c>
      <c r="AJ56" s="1127">
        <v>1</v>
      </c>
      <c r="AK56" s="1129">
        <v>1494.1338095238098</v>
      </c>
      <c r="AL56" s="1129">
        <v>0</v>
      </c>
      <c r="AM56" s="1129">
        <v>0</v>
      </c>
      <c r="AN56" s="1129">
        <v>1494.1338095238098</v>
      </c>
      <c r="AO56" s="1129" t="s">
        <v>131</v>
      </c>
      <c r="AP56" s="1129" t="s">
        <v>96</v>
      </c>
      <c r="AQ56" s="1157">
        <v>2014</v>
      </c>
      <c r="AR56" s="1129" t="s">
        <v>87</v>
      </c>
      <c r="AS56" s="1127">
        <v>0.33333333333333331</v>
      </c>
      <c r="AT56" s="1127"/>
      <c r="AU56" s="1127">
        <v>0.33333333333333331</v>
      </c>
      <c r="AV56" s="1127"/>
      <c r="AW56" s="1127"/>
      <c r="AX56" s="1127"/>
      <c r="AY56" s="1127"/>
      <c r="AZ56" s="1127">
        <v>0.33333333333333331</v>
      </c>
      <c r="BA56" s="1129">
        <v>498.04460317460325</v>
      </c>
      <c r="BB56" s="1129">
        <v>0</v>
      </c>
      <c r="BC56" s="1129">
        <v>498.04460317460325</v>
      </c>
      <c r="BD56" s="1129">
        <v>0</v>
      </c>
      <c r="BE56" s="1129">
        <v>0</v>
      </c>
      <c r="BF56" s="1129">
        <v>0</v>
      </c>
      <c r="BG56" s="1129">
        <v>0</v>
      </c>
      <c r="BH56" s="1129">
        <v>498.04460317460325</v>
      </c>
      <c r="BI56" s="971"/>
      <c r="BJ56" s="971"/>
      <c r="BK56" s="971"/>
      <c r="BL56" s="1246"/>
      <c r="BM56" s="1247" t="s">
        <v>2125</v>
      </c>
    </row>
    <row r="57" spans="1:65" s="1247" customFormat="1" ht="49.5" customHeight="1">
      <c r="A57" s="1272">
        <v>2000</v>
      </c>
      <c r="B57" s="971" t="s">
        <v>119</v>
      </c>
      <c r="C57" s="1272">
        <v>2100</v>
      </c>
      <c r="D57" s="971" t="s">
        <v>120</v>
      </c>
      <c r="E57" s="971" t="s">
        <v>175</v>
      </c>
      <c r="F57" s="971" t="s">
        <v>176</v>
      </c>
      <c r="G57" s="971" t="s">
        <v>3878</v>
      </c>
      <c r="H57" s="971" t="s">
        <v>3495</v>
      </c>
      <c r="I57" s="1273" t="s">
        <v>6710</v>
      </c>
      <c r="J57" s="971" t="s">
        <v>2146</v>
      </c>
      <c r="K57" s="971" t="s">
        <v>2127</v>
      </c>
      <c r="L57" s="971" t="s">
        <v>2177</v>
      </c>
      <c r="M57" s="971" t="s">
        <v>2127</v>
      </c>
      <c r="N57" s="971" t="s">
        <v>176</v>
      </c>
      <c r="O57" s="971" t="s">
        <v>2177</v>
      </c>
      <c r="P57" s="971" t="s">
        <v>6708</v>
      </c>
      <c r="Q57" s="971" t="s">
        <v>6711</v>
      </c>
      <c r="R57" s="971" t="s">
        <v>3899</v>
      </c>
      <c r="S57" s="1274">
        <v>1</v>
      </c>
      <c r="T57" s="971" t="s">
        <v>242</v>
      </c>
      <c r="U57" s="1275">
        <v>10</v>
      </c>
      <c r="V57" s="1275">
        <v>45</v>
      </c>
      <c r="W57" s="1275">
        <v>999.13380952380965</v>
      </c>
      <c r="X57" s="1275">
        <v>450</v>
      </c>
      <c r="Y57" s="1275">
        <v>1494.1338095238098</v>
      </c>
      <c r="Z57" s="1129">
        <v>10</v>
      </c>
      <c r="AA57" s="1129">
        <v>45</v>
      </c>
      <c r="AB57" s="1129">
        <v>999.13380952380965</v>
      </c>
      <c r="AC57" s="1129">
        <v>450</v>
      </c>
      <c r="AD57" s="1098">
        <v>1494.1338095238098</v>
      </c>
      <c r="AE57" s="1135">
        <v>24</v>
      </c>
      <c r="AF57" s="1129">
        <v>24</v>
      </c>
      <c r="AG57" s="1127">
        <v>1</v>
      </c>
      <c r="AH57" s="1127">
        <v>0</v>
      </c>
      <c r="AI57" s="1127">
        <v>0</v>
      </c>
      <c r="AJ57" s="1127">
        <v>1</v>
      </c>
      <c r="AK57" s="1129">
        <v>1494.1338095238098</v>
      </c>
      <c r="AL57" s="1129">
        <v>0</v>
      </c>
      <c r="AM57" s="1129">
        <v>0</v>
      </c>
      <c r="AN57" s="1129">
        <v>1494.1338095238098</v>
      </c>
      <c r="AO57" s="1129" t="s">
        <v>131</v>
      </c>
      <c r="AP57" s="1129" t="s">
        <v>96</v>
      </c>
      <c r="AQ57" s="1157">
        <v>2014</v>
      </c>
      <c r="AR57" s="1129" t="s">
        <v>87</v>
      </c>
      <c r="AS57" s="1127">
        <v>0.33333333333333331</v>
      </c>
      <c r="AT57" s="1127"/>
      <c r="AU57" s="1127">
        <v>0.33333333333333331</v>
      </c>
      <c r="AV57" s="1127"/>
      <c r="AW57" s="1127"/>
      <c r="AX57" s="1127"/>
      <c r="AY57" s="1127"/>
      <c r="AZ57" s="1127">
        <v>0.33333333333333331</v>
      </c>
      <c r="BA57" s="1129">
        <v>498.04460317460325</v>
      </c>
      <c r="BB57" s="1129">
        <v>0</v>
      </c>
      <c r="BC57" s="1129">
        <v>498.04460317460325</v>
      </c>
      <c r="BD57" s="1129">
        <v>0</v>
      </c>
      <c r="BE57" s="1129">
        <v>0</v>
      </c>
      <c r="BF57" s="1129">
        <v>0</v>
      </c>
      <c r="BG57" s="1129">
        <v>0</v>
      </c>
      <c r="BH57" s="1129">
        <v>498.04460317460325</v>
      </c>
      <c r="BI57" s="971"/>
      <c r="BJ57" s="971"/>
      <c r="BK57" s="971"/>
      <c r="BL57" s="1246"/>
      <c r="BM57" s="1247" t="s">
        <v>2127</v>
      </c>
    </row>
    <row r="58" spans="1:65" s="1247" customFormat="1" ht="49.5" customHeight="1">
      <c r="A58" s="1272">
        <v>2000</v>
      </c>
      <c r="B58" s="971" t="s">
        <v>119</v>
      </c>
      <c r="C58" s="1272">
        <v>2100</v>
      </c>
      <c r="D58" s="971" t="s">
        <v>120</v>
      </c>
      <c r="E58" s="971" t="s">
        <v>175</v>
      </c>
      <c r="F58" s="971" t="s">
        <v>176</v>
      </c>
      <c r="G58" s="971" t="s">
        <v>3878</v>
      </c>
      <c r="H58" s="971" t="s">
        <v>3495</v>
      </c>
      <c r="I58" s="1273" t="s">
        <v>6712</v>
      </c>
      <c r="J58" s="971" t="s">
        <v>2146</v>
      </c>
      <c r="K58" s="971" t="s">
        <v>2127</v>
      </c>
      <c r="L58" s="971" t="s">
        <v>2177</v>
      </c>
      <c r="M58" s="971" t="s">
        <v>2127</v>
      </c>
      <c r="N58" s="971" t="s">
        <v>176</v>
      </c>
      <c r="O58" s="971" t="s">
        <v>2177</v>
      </c>
      <c r="P58" s="971" t="s">
        <v>2292</v>
      </c>
      <c r="Q58" s="971" t="s">
        <v>6713</v>
      </c>
      <c r="R58" s="971" t="s">
        <v>3905</v>
      </c>
      <c r="S58" s="1274">
        <v>1</v>
      </c>
      <c r="T58" s="971" t="s">
        <v>242</v>
      </c>
      <c r="U58" s="1275">
        <v>10</v>
      </c>
      <c r="V58" s="1275">
        <v>45</v>
      </c>
      <c r="W58" s="1275">
        <v>999.13380952380965</v>
      </c>
      <c r="X58" s="1275">
        <v>450</v>
      </c>
      <c r="Y58" s="1275">
        <v>1494.1338095238098</v>
      </c>
      <c r="Z58" s="1129">
        <v>10</v>
      </c>
      <c r="AA58" s="1129">
        <v>45</v>
      </c>
      <c r="AB58" s="1129">
        <v>999.13380952380965</v>
      </c>
      <c r="AC58" s="1129">
        <v>450</v>
      </c>
      <c r="AD58" s="1098">
        <v>1494.1338095238098</v>
      </c>
      <c r="AE58" s="1135">
        <v>24</v>
      </c>
      <c r="AF58" s="1129">
        <v>24</v>
      </c>
      <c r="AG58" s="1127">
        <v>1</v>
      </c>
      <c r="AH58" s="1127">
        <v>0</v>
      </c>
      <c r="AI58" s="1127">
        <v>0</v>
      </c>
      <c r="AJ58" s="1127">
        <v>1</v>
      </c>
      <c r="AK58" s="1129">
        <v>1494.1338095238098</v>
      </c>
      <c r="AL58" s="1129">
        <v>0</v>
      </c>
      <c r="AM58" s="1129">
        <v>0</v>
      </c>
      <c r="AN58" s="1129">
        <v>1494.1338095238098</v>
      </c>
      <c r="AO58" s="1129" t="s">
        <v>131</v>
      </c>
      <c r="AP58" s="1129" t="s">
        <v>96</v>
      </c>
      <c r="AQ58" s="1157">
        <v>2014</v>
      </c>
      <c r="AR58" s="1129" t="s">
        <v>87</v>
      </c>
      <c r="AS58" s="1127">
        <v>0.33333333333333331</v>
      </c>
      <c r="AT58" s="1127"/>
      <c r="AU58" s="1127">
        <v>0.33333333333333331</v>
      </c>
      <c r="AV58" s="1127"/>
      <c r="AW58" s="1127"/>
      <c r="AX58" s="1127"/>
      <c r="AY58" s="1127"/>
      <c r="AZ58" s="1127">
        <v>0.33333333333333331</v>
      </c>
      <c r="BA58" s="1129">
        <v>498.04460317460325</v>
      </c>
      <c r="BB58" s="1129">
        <v>0</v>
      </c>
      <c r="BC58" s="1129">
        <v>498.04460317460325</v>
      </c>
      <c r="BD58" s="1129">
        <v>0</v>
      </c>
      <c r="BE58" s="1129">
        <v>0</v>
      </c>
      <c r="BF58" s="1129">
        <v>0</v>
      </c>
      <c r="BG58" s="1129">
        <v>0</v>
      </c>
      <c r="BH58" s="1129">
        <v>498.04460317460325</v>
      </c>
      <c r="BI58" s="971"/>
      <c r="BJ58" s="971"/>
      <c r="BK58" s="971"/>
      <c r="BL58" s="1246"/>
      <c r="BM58" s="1247" t="s">
        <v>2129</v>
      </c>
    </row>
    <row r="59" spans="1:65" s="1247" customFormat="1" ht="49.5" customHeight="1">
      <c r="A59" s="1272">
        <v>2000</v>
      </c>
      <c r="B59" s="971" t="s">
        <v>119</v>
      </c>
      <c r="C59" s="1272">
        <v>2100</v>
      </c>
      <c r="D59" s="971" t="s">
        <v>120</v>
      </c>
      <c r="E59" s="971" t="s">
        <v>175</v>
      </c>
      <c r="F59" s="971" t="s">
        <v>176</v>
      </c>
      <c r="G59" s="971" t="s">
        <v>3878</v>
      </c>
      <c r="H59" s="971" t="s">
        <v>3495</v>
      </c>
      <c r="I59" s="1273" t="s">
        <v>6714</v>
      </c>
      <c r="J59" s="971" t="s">
        <v>2146</v>
      </c>
      <c r="K59" s="971" t="s">
        <v>2127</v>
      </c>
      <c r="L59" s="971" t="s">
        <v>2177</v>
      </c>
      <c r="M59" s="971" t="s">
        <v>2127</v>
      </c>
      <c r="N59" s="971" t="s">
        <v>176</v>
      </c>
      <c r="O59" s="971" t="s">
        <v>2177</v>
      </c>
      <c r="P59" s="971" t="s">
        <v>2292</v>
      </c>
      <c r="Q59" s="971" t="s">
        <v>6715</v>
      </c>
      <c r="R59" s="971" t="s">
        <v>3911</v>
      </c>
      <c r="S59" s="1274">
        <v>1</v>
      </c>
      <c r="T59" s="971" t="s">
        <v>242</v>
      </c>
      <c r="U59" s="1275">
        <v>10</v>
      </c>
      <c r="V59" s="1275">
        <v>45</v>
      </c>
      <c r="W59" s="1275">
        <v>999.13380952380965</v>
      </c>
      <c r="X59" s="1275">
        <v>450</v>
      </c>
      <c r="Y59" s="1275">
        <v>1494.1338095238098</v>
      </c>
      <c r="Z59" s="1129">
        <v>10</v>
      </c>
      <c r="AA59" s="1129">
        <v>45</v>
      </c>
      <c r="AB59" s="1129">
        <v>999.13380952380965</v>
      </c>
      <c r="AC59" s="1129">
        <v>450</v>
      </c>
      <c r="AD59" s="1098">
        <v>1494.1338095238098</v>
      </c>
      <c r="AE59" s="1135">
        <v>24</v>
      </c>
      <c r="AF59" s="1129">
        <v>24</v>
      </c>
      <c r="AG59" s="1127">
        <v>1</v>
      </c>
      <c r="AH59" s="1127">
        <v>0</v>
      </c>
      <c r="AI59" s="1127">
        <v>0</v>
      </c>
      <c r="AJ59" s="1127">
        <v>1</v>
      </c>
      <c r="AK59" s="1129">
        <v>1494.1338095238098</v>
      </c>
      <c r="AL59" s="1129">
        <v>0</v>
      </c>
      <c r="AM59" s="1129">
        <v>0</v>
      </c>
      <c r="AN59" s="1129">
        <v>1494.1338095238098</v>
      </c>
      <c r="AO59" s="1129" t="s">
        <v>131</v>
      </c>
      <c r="AP59" s="1129" t="s">
        <v>96</v>
      </c>
      <c r="AQ59" s="1157">
        <v>2014</v>
      </c>
      <c r="AR59" s="1129" t="s">
        <v>87</v>
      </c>
      <c r="AS59" s="1127">
        <v>0.33333333333333331</v>
      </c>
      <c r="AT59" s="1127"/>
      <c r="AU59" s="1127">
        <v>0.33333333333333331</v>
      </c>
      <c r="AV59" s="1127"/>
      <c r="AW59" s="1127"/>
      <c r="AX59" s="1127"/>
      <c r="AY59" s="1127"/>
      <c r="AZ59" s="1127">
        <v>0.33333333333333331</v>
      </c>
      <c r="BA59" s="1129">
        <v>498.04460317460325</v>
      </c>
      <c r="BB59" s="1129">
        <v>0</v>
      </c>
      <c r="BC59" s="1129">
        <v>498.04460317460325</v>
      </c>
      <c r="BD59" s="1129">
        <v>0</v>
      </c>
      <c r="BE59" s="1129">
        <v>0</v>
      </c>
      <c r="BF59" s="1129">
        <v>0</v>
      </c>
      <c r="BG59" s="1129">
        <v>0</v>
      </c>
      <c r="BH59" s="1129">
        <v>498.04460317460325</v>
      </c>
      <c r="BI59" s="971"/>
      <c r="BJ59" s="971"/>
      <c r="BK59" s="971"/>
      <c r="BL59" s="1246"/>
      <c r="BM59" s="1247" t="s">
        <v>2127</v>
      </c>
    </row>
    <row r="60" spans="1:65" s="1247" customFormat="1" ht="66" customHeight="1">
      <c r="A60" s="1272">
        <v>2000</v>
      </c>
      <c r="B60" s="971" t="s">
        <v>119</v>
      </c>
      <c r="C60" s="1272">
        <v>2100</v>
      </c>
      <c r="D60" s="971" t="s">
        <v>120</v>
      </c>
      <c r="E60" s="971" t="s">
        <v>175</v>
      </c>
      <c r="F60" s="971" t="s">
        <v>176</v>
      </c>
      <c r="G60" s="971" t="s">
        <v>3878</v>
      </c>
      <c r="H60" s="971" t="s">
        <v>3495</v>
      </c>
      <c r="I60" s="1273" t="s">
        <v>6716</v>
      </c>
      <c r="J60" s="971" t="s">
        <v>2146</v>
      </c>
      <c r="K60" s="971" t="s">
        <v>2127</v>
      </c>
      <c r="L60" s="971" t="s">
        <v>2177</v>
      </c>
      <c r="M60" s="971" t="s">
        <v>2127</v>
      </c>
      <c r="N60" s="971" t="s">
        <v>176</v>
      </c>
      <c r="O60" s="971" t="s">
        <v>2177</v>
      </c>
      <c r="P60" s="971" t="s">
        <v>2292</v>
      </c>
      <c r="Q60" s="971" t="s">
        <v>6715</v>
      </c>
      <c r="R60" s="971" t="s">
        <v>3916</v>
      </c>
      <c r="S60" s="1274">
        <v>1</v>
      </c>
      <c r="T60" s="971" t="s">
        <v>242</v>
      </c>
      <c r="U60" s="1275">
        <v>10</v>
      </c>
      <c r="V60" s="1275">
        <v>45</v>
      </c>
      <c r="W60" s="1275">
        <v>999.13380952380965</v>
      </c>
      <c r="X60" s="1275">
        <v>450</v>
      </c>
      <c r="Y60" s="1275">
        <v>1494.1338095238098</v>
      </c>
      <c r="Z60" s="1129">
        <v>10</v>
      </c>
      <c r="AA60" s="1129">
        <v>45</v>
      </c>
      <c r="AB60" s="1129">
        <v>999.13380952380965</v>
      </c>
      <c r="AC60" s="1129">
        <v>450</v>
      </c>
      <c r="AD60" s="1098">
        <v>1494.1338095238098</v>
      </c>
      <c r="AE60" s="1135">
        <v>24</v>
      </c>
      <c r="AF60" s="1129">
        <v>24</v>
      </c>
      <c r="AG60" s="1127">
        <v>1</v>
      </c>
      <c r="AH60" s="1127">
        <v>0</v>
      </c>
      <c r="AI60" s="1127">
        <v>0</v>
      </c>
      <c r="AJ60" s="1127">
        <v>1</v>
      </c>
      <c r="AK60" s="1129">
        <v>1494.1338095238098</v>
      </c>
      <c r="AL60" s="1129">
        <v>0</v>
      </c>
      <c r="AM60" s="1129">
        <v>0</v>
      </c>
      <c r="AN60" s="1129">
        <v>1494.1338095238098</v>
      </c>
      <c r="AO60" s="1129" t="s">
        <v>131</v>
      </c>
      <c r="AP60" s="1129" t="s">
        <v>96</v>
      </c>
      <c r="AQ60" s="1157">
        <v>2014</v>
      </c>
      <c r="AR60" s="1129" t="s">
        <v>87</v>
      </c>
      <c r="AS60" s="1127">
        <v>0.33333333333333331</v>
      </c>
      <c r="AT60" s="1127"/>
      <c r="AU60" s="1127">
        <v>0.33333333333333331</v>
      </c>
      <c r="AV60" s="1127"/>
      <c r="AW60" s="1127"/>
      <c r="AX60" s="1127"/>
      <c r="AY60" s="1127"/>
      <c r="AZ60" s="1127">
        <v>0.33333333333333331</v>
      </c>
      <c r="BA60" s="1129">
        <v>498.04460317460325</v>
      </c>
      <c r="BB60" s="1129">
        <v>0</v>
      </c>
      <c r="BC60" s="1129">
        <v>498.04460317460325</v>
      </c>
      <c r="BD60" s="1129">
        <v>0</v>
      </c>
      <c r="BE60" s="1129">
        <v>0</v>
      </c>
      <c r="BF60" s="1129">
        <v>0</v>
      </c>
      <c r="BG60" s="1129">
        <v>0</v>
      </c>
      <c r="BH60" s="1129">
        <v>498.04460317460325</v>
      </c>
      <c r="BI60" s="971"/>
      <c r="BJ60" s="971"/>
      <c r="BK60" s="971"/>
      <c r="BL60" s="1246"/>
      <c r="BM60" s="1247" t="s">
        <v>2127</v>
      </c>
    </row>
    <row r="61" spans="1:65" s="1247" customFormat="1" ht="82.5" customHeight="1">
      <c r="A61" s="1272">
        <v>2000</v>
      </c>
      <c r="B61" s="971" t="s">
        <v>119</v>
      </c>
      <c r="C61" s="1272">
        <v>2100</v>
      </c>
      <c r="D61" s="971" t="s">
        <v>120</v>
      </c>
      <c r="E61" s="971" t="s">
        <v>175</v>
      </c>
      <c r="F61" s="971" t="s">
        <v>176</v>
      </c>
      <c r="G61" s="971" t="s">
        <v>3878</v>
      </c>
      <c r="H61" s="971" t="s">
        <v>3495</v>
      </c>
      <c r="I61" s="1273" t="s">
        <v>6717</v>
      </c>
      <c r="J61" s="971" t="s">
        <v>2146</v>
      </c>
      <c r="K61" s="971" t="s">
        <v>2127</v>
      </c>
      <c r="L61" s="971" t="s">
        <v>2177</v>
      </c>
      <c r="M61" s="971" t="s">
        <v>2127</v>
      </c>
      <c r="N61" s="971" t="s">
        <v>176</v>
      </c>
      <c r="O61" s="971" t="s">
        <v>2177</v>
      </c>
      <c r="P61" s="971" t="s">
        <v>2292</v>
      </c>
      <c r="Q61" s="971" t="s">
        <v>6715</v>
      </c>
      <c r="R61" s="971" t="s">
        <v>3917</v>
      </c>
      <c r="S61" s="1274">
        <v>1</v>
      </c>
      <c r="T61" s="971" t="s">
        <v>242</v>
      </c>
      <c r="U61" s="1275">
        <v>10</v>
      </c>
      <c r="V61" s="1275">
        <v>45</v>
      </c>
      <c r="W61" s="1275">
        <v>999.13380952380965</v>
      </c>
      <c r="X61" s="1275">
        <v>450</v>
      </c>
      <c r="Y61" s="1275">
        <v>1494.1338095238098</v>
      </c>
      <c r="Z61" s="1129">
        <v>10</v>
      </c>
      <c r="AA61" s="1129">
        <v>45</v>
      </c>
      <c r="AB61" s="1129">
        <v>999.13380952380965</v>
      </c>
      <c r="AC61" s="1129">
        <v>450</v>
      </c>
      <c r="AD61" s="1098">
        <v>1494.1338095238098</v>
      </c>
      <c r="AE61" s="1135">
        <v>24</v>
      </c>
      <c r="AF61" s="1129">
        <v>24</v>
      </c>
      <c r="AG61" s="1127">
        <v>1</v>
      </c>
      <c r="AH61" s="1127">
        <v>0</v>
      </c>
      <c r="AI61" s="1127">
        <v>0</v>
      </c>
      <c r="AJ61" s="1127">
        <v>1</v>
      </c>
      <c r="AK61" s="1129">
        <v>1494.1338095238098</v>
      </c>
      <c r="AL61" s="1129">
        <v>0</v>
      </c>
      <c r="AM61" s="1129">
        <v>0</v>
      </c>
      <c r="AN61" s="1129">
        <v>1494.1338095238098</v>
      </c>
      <c r="AO61" s="1129" t="s">
        <v>131</v>
      </c>
      <c r="AP61" s="1129" t="s">
        <v>96</v>
      </c>
      <c r="AQ61" s="1157">
        <v>2014</v>
      </c>
      <c r="AR61" s="1129" t="s">
        <v>87</v>
      </c>
      <c r="AS61" s="1127">
        <v>0.33333333333333331</v>
      </c>
      <c r="AT61" s="1127"/>
      <c r="AU61" s="1127">
        <v>0.33333333333333331</v>
      </c>
      <c r="AV61" s="1127"/>
      <c r="AW61" s="1127"/>
      <c r="AX61" s="1127"/>
      <c r="AY61" s="1127"/>
      <c r="AZ61" s="1127">
        <v>0.33333333333333331</v>
      </c>
      <c r="BA61" s="1129">
        <v>498.04460317460325</v>
      </c>
      <c r="BB61" s="1129">
        <v>0</v>
      </c>
      <c r="BC61" s="1129">
        <v>498.04460317460325</v>
      </c>
      <c r="BD61" s="1129">
        <v>0</v>
      </c>
      <c r="BE61" s="1129">
        <v>0</v>
      </c>
      <c r="BF61" s="1129">
        <v>0</v>
      </c>
      <c r="BG61" s="1129">
        <v>0</v>
      </c>
      <c r="BH61" s="1129">
        <v>498.04460317460325</v>
      </c>
      <c r="BI61" s="971"/>
      <c r="BJ61" s="971"/>
      <c r="BK61" s="971"/>
      <c r="BL61" s="1246"/>
      <c r="BM61" s="1247" t="s">
        <v>2125</v>
      </c>
    </row>
    <row r="62" spans="1:65" s="1247" customFormat="1" ht="82.5" customHeight="1">
      <c r="A62" s="1272">
        <v>2000</v>
      </c>
      <c r="B62" s="971" t="s">
        <v>119</v>
      </c>
      <c r="C62" s="1272">
        <v>2100</v>
      </c>
      <c r="D62" s="971" t="s">
        <v>120</v>
      </c>
      <c r="E62" s="971" t="s">
        <v>175</v>
      </c>
      <c r="F62" s="971" t="s">
        <v>176</v>
      </c>
      <c r="G62" s="971" t="s">
        <v>3878</v>
      </c>
      <c r="H62" s="971" t="s">
        <v>3495</v>
      </c>
      <c r="I62" s="1273" t="s">
        <v>6718</v>
      </c>
      <c r="J62" s="971" t="s">
        <v>2146</v>
      </c>
      <c r="K62" s="971" t="s">
        <v>2129</v>
      </c>
      <c r="L62" s="971" t="s">
        <v>2130</v>
      </c>
      <c r="M62" s="971" t="s">
        <v>2129</v>
      </c>
      <c r="N62" s="971" t="s">
        <v>176</v>
      </c>
      <c r="O62" s="971" t="s">
        <v>2130</v>
      </c>
      <c r="P62" s="971" t="s">
        <v>2376</v>
      </c>
      <c r="Q62" s="971" t="s">
        <v>6719</v>
      </c>
      <c r="R62" s="971" t="s">
        <v>3918</v>
      </c>
      <c r="S62" s="1274">
        <v>1</v>
      </c>
      <c r="T62" s="971" t="s">
        <v>242</v>
      </c>
      <c r="U62" s="1275">
        <v>6.666666666666667</v>
      </c>
      <c r="V62" s="1275">
        <v>25</v>
      </c>
      <c r="W62" s="1275">
        <v>666.08920634920639</v>
      </c>
      <c r="X62" s="1275">
        <v>250</v>
      </c>
      <c r="Y62" s="1275">
        <v>941.08920634920639</v>
      </c>
      <c r="Z62" s="1129">
        <v>6.666666666666667</v>
      </c>
      <c r="AA62" s="1129">
        <v>25</v>
      </c>
      <c r="AB62" s="1129">
        <v>666.08920634920639</v>
      </c>
      <c r="AC62" s="1129">
        <v>250</v>
      </c>
      <c r="AD62" s="1098">
        <v>941.08920634920639</v>
      </c>
      <c r="AE62" s="1135">
        <v>4</v>
      </c>
      <c r="AF62" s="1129">
        <v>4</v>
      </c>
      <c r="AG62" s="1127">
        <v>1</v>
      </c>
      <c r="AH62" s="1127">
        <v>0</v>
      </c>
      <c r="AI62" s="1127">
        <v>0</v>
      </c>
      <c r="AJ62" s="1127">
        <v>1</v>
      </c>
      <c r="AK62" s="1129">
        <v>941.08920634920639</v>
      </c>
      <c r="AL62" s="1129">
        <v>0</v>
      </c>
      <c r="AM62" s="1129">
        <v>0</v>
      </c>
      <c r="AN62" s="1129">
        <v>941.08920634920639</v>
      </c>
      <c r="AO62" s="1129" t="s">
        <v>131</v>
      </c>
      <c r="AP62" s="1129" t="s">
        <v>96</v>
      </c>
      <c r="AQ62" s="1157">
        <v>2014</v>
      </c>
      <c r="AR62" s="1129" t="s">
        <v>87</v>
      </c>
      <c r="AS62" s="1127">
        <v>0.33333333333333331</v>
      </c>
      <c r="AT62" s="1127"/>
      <c r="AU62" s="1127">
        <v>0.33333333333333331</v>
      </c>
      <c r="AV62" s="1127"/>
      <c r="AW62" s="1127"/>
      <c r="AX62" s="1127"/>
      <c r="AY62" s="1127"/>
      <c r="AZ62" s="1127">
        <v>0.33333333333333331</v>
      </c>
      <c r="BA62" s="1129">
        <v>313.69640211640211</v>
      </c>
      <c r="BB62" s="1129">
        <v>0</v>
      </c>
      <c r="BC62" s="1129">
        <v>313.69640211640211</v>
      </c>
      <c r="BD62" s="1129">
        <v>0</v>
      </c>
      <c r="BE62" s="1129">
        <v>0</v>
      </c>
      <c r="BF62" s="1129">
        <v>0</v>
      </c>
      <c r="BG62" s="1129">
        <v>0</v>
      </c>
      <c r="BH62" s="1129">
        <v>313.69640211640211</v>
      </c>
      <c r="BI62" s="971"/>
      <c r="BJ62" s="971"/>
      <c r="BK62" s="971"/>
      <c r="BL62" s="1246"/>
      <c r="BM62" s="1247" t="s">
        <v>2127</v>
      </c>
    </row>
    <row r="63" spans="1:65" s="1247" customFormat="1" ht="66" customHeight="1">
      <c r="A63" s="1272">
        <v>2000</v>
      </c>
      <c r="B63" s="971" t="s">
        <v>119</v>
      </c>
      <c r="C63" s="1272">
        <v>2100</v>
      </c>
      <c r="D63" s="971" t="s">
        <v>120</v>
      </c>
      <c r="E63" s="971" t="s">
        <v>175</v>
      </c>
      <c r="F63" s="971" t="s">
        <v>176</v>
      </c>
      <c r="G63" s="971" t="s">
        <v>3878</v>
      </c>
      <c r="H63" s="971" t="s">
        <v>3495</v>
      </c>
      <c r="I63" s="1273" t="s">
        <v>6720</v>
      </c>
      <c r="J63" s="971" t="s">
        <v>2146</v>
      </c>
      <c r="K63" s="971" t="s">
        <v>2129</v>
      </c>
      <c r="L63" s="971" t="s">
        <v>2130</v>
      </c>
      <c r="M63" s="971" t="s">
        <v>2129</v>
      </c>
      <c r="N63" s="971" t="s">
        <v>176</v>
      </c>
      <c r="O63" s="971" t="s">
        <v>2130</v>
      </c>
      <c r="P63" s="971" t="s">
        <v>2376</v>
      </c>
      <c r="Q63" s="971" t="s">
        <v>6721</v>
      </c>
      <c r="R63" s="971" t="s">
        <v>3924</v>
      </c>
      <c r="S63" s="1274">
        <v>1</v>
      </c>
      <c r="T63" s="971" t="s">
        <v>242</v>
      </c>
      <c r="U63" s="1275">
        <v>6.666666666666667</v>
      </c>
      <c r="V63" s="1275">
        <v>25</v>
      </c>
      <c r="W63" s="1275">
        <v>666.08920634920639</v>
      </c>
      <c r="X63" s="1275">
        <v>250</v>
      </c>
      <c r="Y63" s="1275">
        <v>941.08920634920639</v>
      </c>
      <c r="Z63" s="1129">
        <v>6.666666666666667</v>
      </c>
      <c r="AA63" s="1129">
        <v>25</v>
      </c>
      <c r="AB63" s="1129">
        <v>666.08920634920639</v>
      </c>
      <c r="AC63" s="1129">
        <v>250</v>
      </c>
      <c r="AD63" s="1098">
        <v>941.08920634920639</v>
      </c>
      <c r="AE63" s="1135">
        <v>4</v>
      </c>
      <c r="AF63" s="1129">
        <v>4</v>
      </c>
      <c r="AG63" s="1127">
        <v>1</v>
      </c>
      <c r="AH63" s="1127">
        <v>0</v>
      </c>
      <c r="AI63" s="1127">
        <v>0</v>
      </c>
      <c r="AJ63" s="1127">
        <v>1</v>
      </c>
      <c r="AK63" s="1129">
        <v>941.08920634920639</v>
      </c>
      <c r="AL63" s="1129">
        <v>0</v>
      </c>
      <c r="AM63" s="1129">
        <v>0</v>
      </c>
      <c r="AN63" s="1129">
        <v>941.08920634920639</v>
      </c>
      <c r="AO63" s="1129" t="s">
        <v>131</v>
      </c>
      <c r="AP63" s="1129" t="s">
        <v>96</v>
      </c>
      <c r="AQ63" s="1157">
        <v>2014</v>
      </c>
      <c r="AR63" s="1129" t="s">
        <v>87</v>
      </c>
      <c r="AS63" s="1127">
        <v>0.33333333333333331</v>
      </c>
      <c r="AT63" s="1127"/>
      <c r="AU63" s="1127">
        <v>0.33333333333333331</v>
      </c>
      <c r="AV63" s="1127"/>
      <c r="AW63" s="1127"/>
      <c r="AX63" s="1127"/>
      <c r="AY63" s="1127"/>
      <c r="AZ63" s="1127">
        <v>0.33333333333333331</v>
      </c>
      <c r="BA63" s="1129">
        <v>313.69640211640211</v>
      </c>
      <c r="BB63" s="1129">
        <v>0</v>
      </c>
      <c r="BC63" s="1129">
        <v>313.69640211640211</v>
      </c>
      <c r="BD63" s="1129">
        <v>0</v>
      </c>
      <c r="BE63" s="1129">
        <v>0</v>
      </c>
      <c r="BF63" s="1129">
        <v>0</v>
      </c>
      <c r="BG63" s="1129">
        <v>0</v>
      </c>
      <c r="BH63" s="1129">
        <v>313.69640211640211</v>
      </c>
      <c r="BI63" s="971"/>
      <c r="BJ63" s="971"/>
      <c r="BK63" s="971"/>
      <c r="BL63" s="1246"/>
      <c r="BM63" s="1247" t="s">
        <v>2127</v>
      </c>
    </row>
    <row r="64" spans="1:65" s="1247" customFormat="1" ht="66" customHeight="1">
      <c r="A64" s="1272">
        <v>2000</v>
      </c>
      <c r="B64" s="971" t="s">
        <v>119</v>
      </c>
      <c r="C64" s="1272">
        <v>2100</v>
      </c>
      <c r="D64" s="971" t="s">
        <v>120</v>
      </c>
      <c r="E64" s="971" t="s">
        <v>175</v>
      </c>
      <c r="F64" s="971" t="s">
        <v>176</v>
      </c>
      <c r="G64" s="971" t="s">
        <v>3878</v>
      </c>
      <c r="H64" s="971" t="s">
        <v>3495</v>
      </c>
      <c r="I64" s="1273" t="s">
        <v>6722</v>
      </c>
      <c r="J64" s="971" t="s">
        <v>2146</v>
      </c>
      <c r="K64" s="971" t="s">
        <v>2129</v>
      </c>
      <c r="L64" s="971" t="s">
        <v>2130</v>
      </c>
      <c r="M64" s="971" t="s">
        <v>2129</v>
      </c>
      <c r="N64" s="971" t="s">
        <v>176</v>
      </c>
      <c r="O64" s="971" t="s">
        <v>2130</v>
      </c>
      <c r="P64" s="971" t="s">
        <v>2376</v>
      </c>
      <c r="Q64" s="971" t="s">
        <v>6723</v>
      </c>
      <c r="R64" s="971" t="s">
        <v>3925</v>
      </c>
      <c r="S64" s="1274">
        <v>1</v>
      </c>
      <c r="T64" s="971" t="s">
        <v>242</v>
      </c>
      <c r="U64" s="1275">
        <v>6.666666666666667</v>
      </c>
      <c r="V64" s="1275">
        <v>25</v>
      </c>
      <c r="W64" s="1275">
        <v>666.08920634920639</v>
      </c>
      <c r="X64" s="1275">
        <v>250</v>
      </c>
      <c r="Y64" s="1275">
        <v>941.08920634920639</v>
      </c>
      <c r="Z64" s="1129">
        <v>6.666666666666667</v>
      </c>
      <c r="AA64" s="1129">
        <v>25</v>
      </c>
      <c r="AB64" s="1129">
        <v>666.08920634920639</v>
      </c>
      <c r="AC64" s="1129">
        <v>250</v>
      </c>
      <c r="AD64" s="1098">
        <v>941.08920634920639</v>
      </c>
      <c r="AE64" s="1135">
        <v>4</v>
      </c>
      <c r="AF64" s="1129">
        <v>4</v>
      </c>
      <c r="AG64" s="1127">
        <v>1</v>
      </c>
      <c r="AH64" s="1127">
        <v>0</v>
      </c>
      <c r="AI64" s="1127">
        <v>0</v>
      </c>
      <c r="AJ64" s="1127">
        <v>1</v>
      </c>
      <c r="AK64" s="1129">
        <v>941.08920634920639</v>
      </c>
      <c r="AL64" s="1129">
        <v>0</v>
      </c>
      <c r="AM64" s="1129">
        <v>0</v>
      </c>
      <c r="AN64" s="1129">
        <v>941.08920634920639</v>
      </c>
      <c r="AO64" s="1129" t="s">
        <v>131</v>
      </c>
      <c r="AP64" s="1129" t="s">
        <v>96</v>
      </c>
      <c r="AQ64" s="1157">
        <v>2014</v>
      </c>
      <c r="AR64" s="1129" t="s">
        <v>87</v>
      </c>
      <c r="AS64" s="1127">
        <v>0.33333333333333331</v>
      </c>
      <c r="AT64" s="1127"/>
      <c r="AU64" s="1127">
        <v>0.33333333333333331</v>
      </c>
      <c r="AV64" s="1127"/>
      <c r="AW64" s="1127"/>
      <c r="AX64" s="1127"/>
      <c r="AY64" s="1127"/>
      <c r="AZ64" s="1127">
        <v>0.33333333333333331</v>
      </c>
      <c r="BA64" s="1129">
        <v>313.69640211640211</v>
      </c>
      <c r="BB64" s="1129">
        <v>0</v>
      </c>
      <c r="BC64" s="1129">
        <v>313.69640211640211</v>
      </c>
      <c r="BD64" s="1129">
        <v>0</v>
      </c>
      <c r="BE64" s="1129">
        <v>0</v>
      </c>
      <c r="BF64" s="1129">
        <v>0</v>
      </c>
      <c r="BG64" s="1129">
        <v>0</v>
      </c>
      <c r="BH64" s="1129">
        <v>313.69640211640211</v>
      </c>
      <c r="BI64" s="971"/>
      <c r="BJ64" s="971"/>
      <c r="BK64" s="971"/>
      <c r="BL64" s="1246"/>
      <c r="BM64" s="1247" t="s">
        <v>2127</v>
      </c>
    </row>
    <row r="65" spans="1:65" s="1247" customFormat="1" ht="66" customHeight="1">
      <c r="A65" s="1272">
        <v>2000</v>
      </c>
      <c r="B65" s="971" t="s">
        <v>119</v>
      </c>
      <c r="C65" s="1272">
        <v>2100</v>
      </c>
      <c r="D65" s="971" t="s">
        <v>120</v>
      </c>
      <c r="E65" s="971" t="s">
        <v>175</v>
      </c>
      <c r="F65" s="971" t="s">
        <v>176</v>
      </c>
      <c r="G65" s="971" t="s">
        <v>3878</v>
      </c>
      <c r="H65" s="971" t="s">
        <v>3495</v>
      </c>
      <c r="I65" s="1273" t="s">
        <v>6724</v>
      </c>
      <c r="J65" s="971" t="s">
        <v>2146</v>
      </c>
      <c r="K65" s="971" t="s">
        <v>2129</v>
      </c>
      <c r="L65" s="971" t="s">
        <v>2130</v>
      </c>
      <c r="M65" s="971" t="s">
        <v>2129</v>
      </c>
      <c r="N65" s="971" t="s">
        <v>176</v>
      </c>
      <c r="O65" s="971" t="s">
        <v>2130</v>
      </c>
      <c r="P65" s="971" t="s">
        <v>6725</v>
      </c>
      <c r="Q65" s="971" t="s">
        <v>6726</v>
      </c>
      <c r="R65" s="971" t="s">
        <v>3926</v>
      </c>
      <c r="S65" s="1274">
        <v>1</v>
      </c>
      <c r="T65" s="971" t="s">
        <v>242</v>
      </c>
      <c r="U65" s="1275">
        <v>6.666666666666667</v>
      </c>
      <c r="V65" s="1275">
        <v>25</v>
      </c>
      <c r="W65" s="1275">
        <v>666.08920634920639</v>
      </c>
      <c r="X65" s="1275">
        <v>250</v>
      </c>
      <c r="Y65" s="1275">
        <v>941.08920634920639</v>
      </c>
      <c r="Z65" s="1129">
        <v>6.666666666666667</v>
      </c>
      <c r="AA65" s="1129">
        <v>25</v>
      </c>
      <c r="AB65" s="1129">
        <v>666.08920634920639</v>
      </c>
      <c r="AC65" s="1129">
        <v>250</v>
      </c>
      <c r="AD65" s="1098">
        <v>941.08920634920639</v>
      </c>
      <c r="AE65" s="1135">
        <v>4</v>
      </c>
      <c r="AF65" s="1129">
        <v>4</v>
      </c>
      <c r="AG65" s="1127">
        <v>1</v>
      </c>
      <c r="AH65" s="1127">
        <v>0</v>
      </c>
      <c r="AI65" s="1127">
        <v>0</v>
      </c>
      <c r="AJ65" s="1127">
        <v>1</v>
      </c>
      <c r="AK65" s="1129">
        <v>941.08920634920639</v>
      </c>
      <c r="AL65" s="1129">
        <v>0</v>
      </c>
      <c r="AM65" s="1129">
        <v>0</v>
      </c>
      <c r="AN65" s="1129">
        <v>941.08920634920639</v>
      </c>
      <c r="AO65" s="1129" t="s">
        <v>131</v>
      </c>
      <c r="AP65" s="1129" t="s">
        <v>96</v>
      </c>
      <c r="AQ65" s="1157">
        <v>2014</v>
      </c>
      <c r="AR65" s="1129" t="s">
        <v>87</v>
      </c>
      <c r="AS65" s="1127">
        <v>0.5</v>
      </c>
      <c r="AT65" s="1127">
        <v>0.5</v>
      </c>
      <c r="AU65" s="1127"/>
      <c r="AV65" s="1127"/>
      <c r="AW65" s="1127"/>
      <c r="AX65" s="1127"/>
      <c r="AY65" s="1127"/>
      <c r="AZ65" s="1127"/>
      <c r="BA65" s="1129">
        <v>470.5446031746032</v>
      </c>
      <c r="BB65" s="1129">
        <v>470.5446031746032</v>
      </c>
      <c r="BC65" s="1129">
        <v>0</v>
      </c>
      <c r="BD65" s="1129">
        <v>0</v>
      </c>
      <c r="BE65" s="1129">
        <v>0</v>
      </c>
      <c r="BF65" s="1129">
        <v>0</v>
      </c>
      <c r="BG65" s="1129">
        <v>0</v>
      </c>
      <c r="BH65" s="1129">
        <v>0</v>
      </c>
      <c r="BI65" s="971"/>
      <c r="BJ65" s="971"/>
      <c r="BK65" s="971"/>
      <c r="BL65" s="1246"/>
      <c r="BM65" s="1247" t="s">
        <v>2127</v>
      </c>
    </row>
    <row r="66" spans="1:65" s="1247" customFormat="1" ht="66" customHeight="1">
      <c r="A66" s="1272">
        <v>2000</v>
      </c>
      <c r="B66" s="971" t="s">
        <v>119</v>
      </c>
      <c r="C66" s="1272">
        <v>2100</v>
      </c>
      <c r="D66" s="971" t="s">
        <v>120</v>
      </c>
      <c r="E66" s="971" t="s">
        <v>175</v>
      </c>
      <c r="F66" s="971" t="s">
        <v>176</v>
      </c>
      <c r="G66" s="971" t="s">
        <v>3878</v>
      </c>
      <c r="H66" s="971" t="s">
        <v>3495</v>
      </c>
      <c r="I66" s="1273" t="s">
        <v>6727</v>
      </c>
      <c r="J66" s="971" t="s">
        <v>2146</v>
      </c>
      <c r="K66" s="971" t="s">
        <v>2127</v>
      </c>
      <c r="L66" s="971" t="s">
        <v>2177</v>
      </c>
      <c r="M66" s="971" t="s">
        <v>2127</v>
      </c>
      <c r="N66" s="971" t="s">
        <v>176</v>
      </c>
      <c r="O66" s="971" t="s">
        <v>2177</v>
      </c>
      <c r="P66" s="971" t="s">
        <v>2292</v>
      </c>
      <c r="Q66" s="971" t="s">
        <v>6728</v>
      </c>
      <c r="R66" s="971" t="s">
        <v>3933</v>
      </c>
      <c r="S66" s="1274">
        <v>1</v>
      </c>
      <c r="T66" s="971" t="s">
        <v>242</v>
      </c>
      <c r="U66" s="1275">
        <v>10</v>
      </c>
      <c r="V66" s="1275">
        <v>45</v>
      </c>
      <c r="W66" s="1275">
        <v>999.13380952380965</v>
      </c>
      <c r="X66" s="1275">
        <v>450</v>
      </c>
      <c r="Y66" s="1275">
        <v>1494.1338095238098</v>
      </c>
      <c r="Z66" s="1129">
        <v>10</v>
      </c>
      <c r="AA66" s="1129">
        <v>45</v>
      </c>
      <c r="AB66" s="1129">
        <v>999.13380952380965</v>
      </c>
      <c r="AC66" s="1129">
        <v>450</v>
      </c>
      <c r="AD66" s="1098">
        <v>1494.1338095238098</v>
      </c>
      <c r="AE66" s="1135">
        <v>24</v>
      </c>
      <c r="AF66" s="1129">
        <v>24</v>
      </c>
      <c r="AG66" s="1127">
        <v>1</v>
      </c>
      <c r="AH66" s="1127">
        <v>0</v>
      </c>
      <c r="AI66" s="1127">
        <v>0</v>
      </c>
      <c r="AJ66" s="1127">
        <v>1</v>
      </c>
      <c r="AK66" s="1129">
        <v>1494.1338095238098</v>
      </c>
      <c r="AL66" s="1129">
        <v>0</v>
      </c>
      <c r="AM66" s="1129">
        <v>0</v>
      </c>
      <c r="AN66" s="1129">
        <v>1494.1338095238098</v>
      </c>
      <c r="AO66" s="1129" t="s">
        <v>131</v>
      </c>
      <c r="AP66" s="1129" t="s">
        <v>96</v>
      </c>
      <c r="AQ66" s="1157">
        <v>2014</v>
      </c>
      <c r="AR66" s="1129" t="s">
        <v>87</v>
      </c>
      <c r="AS66" s="1127">
        <v>0.33333333333333331</v>
      </c>
      <c r="AT66" s="1127"/>
      <c r="AU66" s="1127">
        <v>0.33333333333333331</v>
      </c>
      <c r="AV66" s="1127"/>
      <c r="AW66" s="1127"/>
      <c r="AX66" s="1127"/>
      <c r="AY66" s="1127"/>
      <c r="AZ66" s="1127">
        <v>0.33333333333333331</v>
      </c>
      <c r="BA66" s="1129">
        <v>498.04460317460325</v>
      </c>
      <c r="BB66" s="1129">
        <v>0</v>
      </c>
      <c r="BC66" s="1129">
        <v>498.04460317460325</v>
      </c>
      <c r="BD66" s="1129">
        <v>0</v>
      </c>
      <c r="BE66" s="1129">
        <v>0</v>
      </c>
      <c r="BF66" s="1129">
        <v>0</v>
      </c>
      <c r="BG66" s="1129">
        <v>0</v>
      </c>
      <c r="BH66" s="1129">
        <v>498.04460317460325</v>
      </c>
      <c r="BI66" s="971"/>
      <c r="BJ66" s="971"/>
      <c r="BK66" s="971"/>
      <c r="BL66" s="1246"/>
      <c r="BM66" s="1247" t="s">
        <v>2127</v>
      </c>
    </row>
    <row r="67" spans="1:65" s="1247" customFormat="1" ht="66" customHeight="1">
      <c r="A67" s="1272">
        <v>2000</v>
      </c>
      <c r="B67" s="971" t="s">
        <v>119</v>
      </c>
      <c r="C67" s="1272">
        <v>2100</v>
      </c>
      <c r="D67" s="971" t="s">
        <v>120</v>
      </c>
      <c r="E67" s="971" t="s">
        <v>175</v>
      </c>
      <c r="F67" s="971" t="s">
        <v>176</v>
      </c>
      <c r="G67" s="971" t="s">
        <v>3878</v>
      </c>
      <c r="H67" s="971" t="s">
        <v>3495</v>
      </c>
      <c r="I67" s="1273" t="s">
        <v>6729</v>
      </c>
      <c r="J67" s="971" t="s">
        <v>2146</v>
      </c>
      <c r="K67" s="971" t="s">
        <v>2127</v>
      </c>
      <c r="L67" s="971" t="s">
        <v>2177</v>
      </c>
      <c r="M67" s="971" t="s">
        <v>2127</v>
      </c>
      <c r="N67" s="971" t="s">
        <v>176</v>
      </c>
      <c r="O67" s="971" t="s">
        <v>2177</v>
      </c>
      <c r="P67" s="971" t="s">
        <v>6730</v>
      </c>
      <c r="Q67" s="971" t="s">
        <v>6731</v>
      </c>
      <c r="R67" s="971" t="s">
        <v>3938</v>
      </c>
      <c r="S67" s="1274">
        <v>1</v>
      </c>
      <c r="T67" s="971" t="s">
        <v>242</v>
      </c>
      <c r="U67" s="1275">
        <v>10</v>
      </c>
      <c r="V67" s="1275">
        <v>45</v>
      </c>
      <c r="W67" s="1275">
        <v>999.13380952380965</v>
      </c>
      <c r="X67" s="1275">
        <v>450</v>
      </c>
      <c r="Y67" s="1275">
        <v>1494.1338095238098</v>
      </c>
      <c r="Z67" s="1129">
        <v>10</v>
      </c>
      <c r="AA67" s="1129">
        <v>45</v>
      </c>
      <c r="AB67" s="1129">
        <v>999.13380952380965</v>
      </c>
      <c r="AC67" s="1129">
        <v>450</v>
      </c>
      <c r="AD67" s="1098">
        <v>1494.1338095238098</v>
      </c>
      <c r="AE67" s="1135">
        <v>24</v>
      </c>
      <c r="AF67" s="1129">
        <v>24</v>
      </c>
      <c r="AG67" s="1127">
        <v>1</v>
      </c>
      <c r="AH67" s="1127">
        <v>0</v>
      </c>
      <c r="AI67" s="1127">
        <v>0</v>
      </c>
      <c r="AJ67" s="1127">
        <v>1</v>
      </c>
      <c r="AK67" s="1129">
        <v>1494.1338095238098</v>
      </c>
      <c r="AL67" s="1129">
        <v>0</v>
      </c>
      <c r="AM67" s="1129">
        <v>0</v>
      </c>
      <c r="AN67" s="1129">
        <v>1494.1338095238098</v>
      </c>
      <c r="AO67" s="1129" t="s">
        <v>131</v>
      </c>
      <c r="AP67" s="1129" t="s">
        <v>96</v>
      </c>
      <c r="AQ67" s="1157">
        <v>2014</v>
      </c>
      <c r="AR67" s="1129" t="s">
        <v>87</v>
      </c>
      <c r="AS67" s="1127">
        <v>0.33333333333333331</v>
      </c>
      <c r="AT67" s="1127"/>
      <c r="AU67" s="1127">
        <v>0.33333333333333331</v>
      </c>
      <c r="AV67" s="1127"/>
      <c r="AW67" s="1127"/>
      <c r="AX67" s="1127"/>
      <c r="AY67" s="1127"/>
      <c r="AZ67" s="1127">
        <v>0.33333333333333331</v>
      </c>
      <c r="BA67" s="1129">
        <v>498.04460317460325</v>
      </c>
      <c r="BB67" s="1129">
        <v>0</v>
      </c>
      <c r="BC67" s="1129">
        <v>498.04460317460325</v>
      </c>
      <c r="BD67" s="1129">
        <v>0</v>
      </c>
      <c r="BE67" s="1129">
        <v>0</v>
      </c>
      <c r="BF67" s="1129">
        <v>0</v>
      </c>
      <c r="BG67" s="1129">
        <v>0</v>
      </c>
      <c r="BH67" s="1129">
        <v>498.04460317460325</v>
      </c>
      <c r="BI67" s="971"/>
      <c r="BJ67" s="971"/>
      <c r="BK67" s="971"/>
      <c r="BL67" s="1246"/>
      <c r="BM67" s="1247" t="s">
        <v>2127</v>
      </c>
    </row>
    <row r="68" spans="1:65" s="1247" customFormat="1" ht="66" customHeight="1">
      <c r="A68" s="1272">
        <v>2000</v>
      </c>
      <c r="B68" s="971" t="s">
        <v>119</v>
      </c>
      <c r="C68" s="1272">
        <v>2100</v>
      </c>
      <c r="D68" s="971" t="s">
        <v>120</v>
      </c>
      <c r="E68" s="971" t="s">
        <v>175</v>
      </c>
      <c r="F68" s="971" t="s">
        <v>176</v>
      </c>
      <c r="G68" s="971" t="s">
        <v>3878</v>
      </c>
      <c r="H68" s="971" t="s">
        <v>3495</v>
      </c>
      <c r="I68" s="1273" t="s">
        <v>6732</v>
      </c>
      <c r="J68" s="971" t="s">
        <v>2146</v>
      </c>
      <c r="K68" s="971" t="s">
        <v>2127</v>
      </c>
      <c r="L68" s="971" t="s">
        <v>2177</v>
      </c>
      <c r="M68" s="971" t="s">
        <v>2127</v>
      </c>
      <c r="N68" s="971" t="s">
        <v>176</v>
      </c>
      <c r="O68" s="971" t="s">
        <v>2177</v>
      </c>
      <c r="P68" s="971" t="s">
        <v>6730</v>
      </c>
      <c r="Q68" s="971" t="s">
        <v>6731</v>
      </c>
      <c r="R68" s="971" t="s">
        <v>3941</v>
      </c>
      <c r="S68" s="1274">
        <v>1</v>
      </c>
      <c r="T68" s="971" t="s">
        <v>242</v>
      </c>
      <c r="U68" s="1275">
        <v>10</v>
      </c>
      <c r="V68" s="1275">
        <v>45</v>
      </c>
      <c r="W68" s="1275">
        <v>999.13380952380965</v>
      </c>
      <c r="X68" s="1275">
        <v>450</v>
      </c>
      <c r="Y68" s="1275">
        <v>1494.1338095238098</v>
      </c>
      <c r="Z68" s="1129">
        <v>10</v>
      </c>
      <c r="AA68" s="1129">
        <v>45</v>
      </c>
      <c r="AB68" s="1129">
        <v>999.13380952380965</v>
      </c>
      <c r="AC68" s="1129">
        <v>450</v>
      </c>
      <c r="AD68" s="1098">
        <v>1494.1338095238098</v>
      </c>
      <c r="AE68" s="1135">
        <v>24</v>
      </c>
      <c r="AF68" s="1129">
        <v>24</v>
      </c>
      <c r="AG68" s="1127">
        <v>1</v>
      </c>
      <c r="AH68" s="1127">
        <v>0</v>
      </c>
      <c r="AI68" s="1127">
        <v>0</v>
      </c>
      <c r="AJ68" s="1127">
        <v>1</v>
      </c>
      <c r="AK68" s="1129">
        <v>1494.1338095238098</v>
      </c>
      <c r="AL68" s="1129">
        <v>0</v>
      </c>
      <c r="AM68" s="1129">
        <v>0</v>
      </c>
      <c r="AN68" s="1129">
        <v>1494.1338095238098</v>
      </c>
      <c r="AO68" s="1129" t="s">
        <v>131</v>
      </c>
      <c r="AP68" s="1129" t="s">
        <v>96</v>
      </c>
      <c r="AQ68" s="1157">
        <v>2014</v>
      </c>
      <c r="AR68" s="1129" t="s">
        <v>87</v>
      </c>
      <c r="AS68" s="1127">
        <v>0.33333333333333331</v>
      </c>
      <c r="AT68" s="1127"/>
      <c r="AU68" s="1127">
        <v>0.33333333333333331</v>
      </c>
      <c r="AV68" s="1127"/>
      <c r="AW68" s="1127"/>
      <c r="AX68" s="1127"/>
      <c r="AY68" s="1127"/>
      <c r="AZ68" s="1127">
        <v>0.33333333333333331</v>
      </c>
      <c r="BA68" s="1129">
        <v>498.04460317460325</v>
      </c>
      <c r="BB68" s="1129">
        <v>0</v>
      </c>
      <c r="BC68" s="1129">
        <v>498.04460317460325</v>
      </c>
      <c r="BD68" s="1129">
        <v>0</v>
      </c>
      <c r="BE68" s="1129">
        <v>0</v>
      </c>
      <c r="BF68" s="1129">
        <v>0</v>
      </c>
      <c r="BG68" s="1129">
        <v>0</v>
      </c>
      <c r="BH68" s="1129">
        <v>498.04460317460325</v>
      </c>
      <c r="BI68" s="971"/>
      <c r="BJ68" s="971"/>
      <c r="BK68" s="971"/>
      <c r="BL68" s="1246"/>
      <c r="BM68" s="1247" t="s">
        <v>2129</v>
      </c>
    </row>
    <row r="69" spans="1:65" s="1247" customFormat="1" ht="66" customHeight="1">
      <c r="A69" s="1272">
        <v>2000</v>
      </c>
      <c r="B69" s="971" t="s">
        <v>119</v>
      </c>
      <c r="C69" s="1272">
        <v>2100</v>
      </c>
      <c r="D69" s="971" t="s">
        <v>120</v>
      </c>
      <c r="E69" s="971" t="s">
        <v>175</v>
      </c>
      <c r="F69" s="971" t="s">
        <v>176</v>
      </c>
      <c r="G69" s="971" t="s">
        <v>3878</v>
      </c>
      <c r="H69" s="971" t="s">
        <v>3495</v>
      </c>
      <c r="I69" s="1273" t="s">
        <v>6733</v>
      </c>
      <c r="J69" s="971" t="s">
        <v>2146</v>
      </c>
      <c r="K69" s="971" t="s">
        <v>2127</v>
      </c>
      <c r="L69" s="971" t="s">
        <v>2177</v>
      </c>
      <c r="M69" s="971" t="s">
        <v>2127</v>
      </c>
      <c r="N69" s="971" t="s">
        <v>176</v>
      </c>
      <c r="O69" s="971" t="s">
        <v>2177</v>
      </c>
      <c r="P69" s="971" t="s">
        <v>6730</v>
      </c>
      <c r="Q69" s="971" t="s">
        <v>6731</v>
      </c>
      <c r="R69" s="971" t="s">
        <v>3942</v>
      </c>
      <c r="S69" s="1274">
        <v>1</v>
      </c>
      <c r="T69" s="971" t="s">
        <v>242</v>
      </c>
      <c r="U69" s="1275">
        <v>10</v>
      </c>
      <c r="V69" s="1275">
        <v>45</v>
      </c>
      <c r="W69" s="1275">
        <v>999.13380952380965</v>
      </c>
      <c r="X69" s="1275">
        <v>450</v>
      </c>
      <c r="Y69" s="1275">
        <v>1494.1338095238098</v>
      </c>
      <c r="Z69" s="1129">
        <v>10</v>
      </c>
      <c r="AA69" s="1129">
        <v>45</v>
      </c>
      <c r="AB69" s="1129">
        <v>999.13380952380965</v>
      </c>
      <c r="AC69" s="1129">
        <v>450</v>
      </c>
      <c r="AD69" s="1098">
        <v>1494.1338095238098</v>
      </c>
      <c r="AE69" s="1135">
        <v>24</v>
      </c>
      <c r="AF69" s="1129">
        <v>24</v>
      </c>
      <c r="AG69" s="1127">
        <v>1</v>
      </c>
      <c r="AH69" s="1127">
        <v>0</v>
      </c>
      <c r="AI69" s="1127">
        <v>0</v>
      </c>
      <c r="AJ69" s="1127">
        <v>1</v>
      </c>
      <c r="AK69" s="1129">
        <v>1494.1338095238098</v>
      </c>
      <c r="AL69" s="1129">
        <v>0</v>
      </c>
      <c r="AM69" s="1129">
        <v>0</v>
      </c>
      <c r="AN69" s="1129">
        <v>1494.1338095238098</v>
      </c>
      <c r="AO69" s="1129" t="s">
        <v>131</v>
      </c>
      <c r="AP69" s="1129" t="s">
        <v>96</v>
      </c>
      <c r="AQ69" s="1157">
        <v>2014</v>
      </c>
      <c r="AR69" s="1129" t="s">
        <v>87</v>
      </c>
      <c r="AS69" s="1127">
        <v>0.33333333333333331</v>
      </c>
      <c r="AT69" s="1127"/>
      <c r="AU69" s="1127">
        <v>0.33333333333333331</v>
      </c>
      <c r="AV69" s="1127"/>
      <c r="AW69" s="1127"/>
      <c r="AX69" s="1127"/>
      <c r="AY69" s="1127"/>
      <c r="AZ69" s="1127">
        <v>0.33333333333333331</v>
      </c>
      <c r="BA69" s="1129">
        <v>498.04460317460325</v>
      </c>
      <c r="BB69" s="1129">
        <v>0</v>
      </c>
      <c r="BC69" s="1129">
        <v>498.04460317460325</v>
      </c>
      <c r="BD69" s="1129">
        <v>0</v>
      </c>
      <c r="BE69" s="1129">
        <v>0</v>
      </c>
      <c r="BF69" s="1129">
        <v>0</v>
      </c>
      <c r="BG69" s="1129">
        <v>0</v>
      </c>
      <c r="BH69" s="1129">
        <v>498.04460317460325</v>
      </c>
      <c r="BI69" s="971"/>
      <c r="BJ69" s="971"/>
      <c r="BK69" s="971"/>
      <c r="BL69" s="1246"/>
      <c r="BM69" s="1247" t="s">
        <v>2129</v>
      </c>
    </row>
    <row r="70" spans="1:65" s="1247" customFormat="1" ht="66" customHeight="1">
      <c r="A70" s="1272">
        <v>2000</v>
      </c>
      <c r="B70" s="971" t="s">
        <v>119</v>
      </c>
      <c r="C70" s="1272">
        <v>2100</v>
      </c>
      <c r="D70" s="971" t="s">
        <v>120</v>
      </c>
      <c r="E70" s="971" t="s">
        <v>175</v>
      </c>
      <c r="F70" s="971" t="s">
        <v>176</v>
      </c>
      <c r="G70" s="971" t="s">
        <v>3878</v>
      </c>
      <c r="H70" s="971" t="s">
        <v>3495</v>
      </c>
      <c r="I70" s="1273" t="s">
        <v>6734</v>
      </c>
      <c r="J70" s="971" t="s">
        <v>2146</v>
      </c>
      <c r="K70" s="971" t="s">
        <v>2127</v>
      </c>
      <c r="L70" s="971" t="s">
        <v>2177</v>
      </c>
      <c r="M70" s="971" t="s">
        <v>2127</v>
      </c>
      <c r="N70" s="971" t="s">
        <v>176</v>
      </c>
      <c r="O70" s="971" t="s">
        <v>2177</v>
      </c>
      <c r="P70" s="971" t="s">
        <v>6730</v>
      </c>
      <c r="Q70" s="971" t="s">
        <v>6731</v>
      </c>
      <c r="R70" s="971" t="s">
        <v>3943</v>
      </c>
      <c r="S70" s="1274">
        <v>1</v>
      </c>
      <c r="T70" s="971" t="s">
        <v>242</v>
      </c>
      <c r="U70" s="1275">
        <v>10</v>
      </c>
      <c r="V70" s="1275">
        <v>45</v>
      </c>
      <c r="W70" s="1275">
        <v>999.13380952380965</v>
      </c>
      <c r="X70" s="1275">
        <v>450</v>
      </c>
      <c r="Y70" s="1275">
        <v>1494.1338095238098</v>
      </c>
      <c r="Z70" s="1129">
        <v>10</v>
      </c>
      <c r="AA70" s="1129">
        <v>45</v>
      </c>
      <c r="AB70" s="1129">
        <v>999.13380952380965</v>
      </c>
      <c r="AC70" s="1129">
        <v>450</v>
      </c>
      <c r="AD70" s="1098">
        <v>1494.1338095238098</v>
      </c>
      <c r="AE70" s="1135">
        <v>24</v>
      </c>
      <c r="AF70" s="1129">
        <v>24</v>
      </c>
      <c r="AG70" s="1127">
        <v>1</v>
      </c>
      <c r="AH70" s="1127">
        <v>0</v>
      </c>
      <c r="AI70" s="1127">
        <v>0</v>
      </c>
      <c r="AJ70" s="1127">
        <v>1</v>
      </c>
      <c r="AK70" s="1129">
        <v>1494.1338095238098</v>
      </c>
      <c r="AL70" s="1129">
        <v>0</v>
      </c>
      <c r="AM70" s="1129">
        <v>0</v>
      </c>
      <c r="AN70" s="1129">
        <v>1494.1338095238098</v>
      </c>
      <c r="AO70" s="1129" t="s">
        <v>131</v>
      </c>
      <c r="AP70" s="1129" t="s">
        <v>96</v>
      </c>
      <c r="AQ70" s="1157">
        <v>2014</v>
      </c>
      <c r="AR70" s="1129" t="s">
        <v>87</v>
      </c>
      <c r="AS70" s="1127">
        <v>0.33333333333333331</v>
      </c>
      <c r="AT70" s="1127"/>
      <c r="AU70" s="1127">
        <v>0.33333333333333331</v>
      </c>
      <c r="AV70" s="1127"/>
      <c r="AW70" s="1127"/>
      <c r="AX70" s="1127"/>
      <c r="AY70" s="1127"/>
      <c r="AZ70" s="1127">
        <v>0.33333333333333331</v>
      </c>
      <c r="BA70" s="1129">
        <v>498.04460317460325</v>
      </c>
      <c r="BB70" s="1129">
        <v>0</v>
      </c>
      <c r="BC70" s="1129">
        <v>498.04460317460325</v>
      </c>
      <c r="BD70" s="1129">
        <v>0</v>
      </c>
      <c r="BE70" s="1129">
        <v>0</v>
      </c>
      <c r="BF70" s="1129">
        <v>0</v>
      </c>
      <c r="BG70" s="1129">
        <v>0</v>
      </c>
      <c r="BH70" s="1129">
        <v>498.04460317460325</v>
      </c>
      <c r="BI70" s="971"/>
      <c r="BJ70" s="971"/>
      <c r="BK70" s="971"/>
      <c r="BL70" s="1246"/>
      <c r="BM70" s="1247" t="s">
        <v>2129</v>
      </c>
    </row>
    <row r="71" spans="1:65" s="1247" customFormat="1" ht="66" customHeight="1">
      <c r="A71" s="1272">
        <v>2000</v>
      </c>
      <c r="B71" s="971" t="s">
        <v>119</v>
      </c>
      <c r="C71" s="1272">
        <v>2100</v>
      </c>
      <c r="D71" s="971" t="s">
        <v>120</v>
      </c>
      <c r="E71" s="971" t="s">
        <v>175</v>
      </c>
      <c r="F71" s="971" t="s">
        <v>176</v>
      </c>
      <c r="G71" s="971" t="s">
        <v>3878</v>
      </c>
      <c r="H71" s="971" t="s">
        <v>3495</v>
      </c>
      <c r="I71" s="1273" t="s">
        <v>6735</v>
      </c>
      <c r="J71" s="971" t="s">
        <v>2146</v>
      </c>
      <c r="K71" s="971" t="s">
        <v>2129</v>
      </c>
      <c r="L71" s="971" t="s">
        <v>2130</v>
      </c>
      <c r="M71" s="971" t="s">
        <v>2129</v>
      </c>
      <c r="N71" s="971" t="s">
        <v>176</v>
      </c>
      <c r="O71" s="971" t="s">
        <v>2130</v>
      </c>
      <c r="P71" s="971" t="s">
        <v>6736</v>
      </c>
      <c r="Q71" s="971" t="s">
        <v>6737</v>
      </c>
      <c r="R71" s="971" t="s">
        <v>3944</v>
      </c>
      <c r="S71" s="1274">
        <v>1</v>
      </c>
      <c r="T71" s="971" t="s">
        <v>242</v>
      </c>
      <c r="U71" s="1275">
        <v>6.666666666666667</v>
      </c>
      <c r="V71" s="1275">
        <v>25</v>
      </c>
      <c r="W71" s="1275">
        <v>666.08920634920639</v>
      </c>
      <c r="X71" s="1275">
        <v>250</v>
      </c>
      <c r="Y71" s="1275">
        <v>941.08920634920639</v>
      </c>
      <c r="Z71" s="1129">
        <v>6.666666666666667</v>
      </c>
      <c r="AA71" s="1129">
        <v>25</v>
      </c>
      <c r="AB71" s="1129">
        <v>666.08920634920639</v>
      </c>
      <c r="AC71" s="1129">
        <v>250</v>
      </c>
      <c r="AD71" s="1098">
        <v>941.08920634920639</v>
      </c>
      <c r="AE71" s="1135">
        <v>4</v>
      </c>
      <c r="AF71" s="1129">
        <v>4</v>
      </c>
      <c r="AG71" s="1127">
        <v>1</v>
      </c>
      <c r="AH71" s="1127">
        <v>0</v>
      </c>
      <c r="AI71" s="1127">
        <v>0</v>
      </c>
      <c r="AJ71" s="1127">
        <v>1</v>
      </c>
      <c r="AK71" s="1129">
        <v>941.08920634920639</v>
      </c>
      <c r="AL71" s="1129">
        <v>0</v>
      </c>
      <c r="AM71" s="1129">
        <v>0</v>
      </c>
      <c r="AN71" s="1129">
        <v>941.08920634920639</v>
      </c>
      <c r="AO71" s="1129" t="s">
        <v>131</v>
      </c>
      <c r="AP71" s="1129" t="s">
        <v>96</v>
      </c>
      <c r="AQ71" s="1157">
        <v>2014</v>
      </c>
      <c r="AR71" s="1129" t="s">
        <v>87</v>
      </c>
      <c r="AS71" s="1127">
        <v>0.33333333333333331</v>
      </c>
      <c r="AT71" s="1127"/>
      <c r="AU71" s="1127">
        <v>0.33333333333333331</v>
      </c>
      <c r="AV71" s="1127"/>
      <c r="AW71" s="1127"/>
      <c r="AX71" s="1127"/>
      <c r="AY71" s="1127"/>
      <c r="AZ71" s="1127">
        <v>0.33333333333333331</v>
      </c>
      <c r="BA71" s="1129">
        <v>313.69640211640211</v>
      </c>
      <c r="BB71" s="1129">
        <v>0</v>
      </c>
      <c r="BC71" s="1129">
        <v>313.69640211640211</v>
      </c>
      <c r="BD71" s="1129">
        <v>0</v>
      </c>
      <c r="BE71" s="1129">
        <v>0</v>
      </c>
      <c r="BF71" s="1129">
        <v>0</v>
      </c>
      <c r="BG71" s="1129">
        <v>0</v>
      </c>
      <c r="BH71" s="1129">
        <v>313.69640211640211</v>
      </c>
      <c r="BI71" s="971"/>
      <c r="BJ71" s="971"/>
      <c r="BK71" s="971"/>
      <c r="BL71" s="1246"/>
      <c r="BM71" s="1247" t="s">
        <v>2129</v>
      </c>
    </row>
    <row r="72" spans="1:65" s="1247" customFormat="1" ht="66" customHeight="1">
      <c r="A72" s="1272">
        <v>2000</v>
      </c>
      <c r="B72" s="971" t="s">
        <v>119</v>
      </c>
      <c r="C72" s="1272">
        <v>2100</v>
      </c>
      <c r="D72" s="971" t="s">
        <v>120</v>
      </c>
      <c r="E72" s="971" t="s">
        <v>175</v>
      </c>
      <c r="F72" s="971" t="s">
        <v>176</v>
      </c>
      <c r="G72" s="971" t="s">
        <v>3878</v>
      </c>
      <c r="H72" s="971" t="s">
        <v>3495</v>
      </c>
      <c r="I72" s="1273" t="s">
        <v>6738</v>
      </c>
      <c r="J72" s="971" t="s">
        <v>2146</v>
      </c>
      <c r="K72" s="971" t="s">
        <v>2129</v>
      </c>
      <c r="L72" s="971" t="s">
        <v>2130</v>
      </c>
      <c r="M72" s="971" t="s">
        <v>2129</v>
      </c>
      <c r="N72" s="971" t="s">
        <v>176</v>
      </c>
      <c r="O72" s="971" t="s">
        <v>2130</v>
      </c>
      <c r="P72" s="971" t="s">
        <v>6736</v>
      </c>
      <c r="Q72" s="971" t="s">
        <v>6737</v>
      </c>
      <c r="R72" s="971" t="s">
        <v>3947</v>
      </c>
      <c r="S72" s="1274">
        <v>1</v>
      </c>
      <c r="T72" s="971" t="s">
        <v>242</v>
      </c>
      <c r="U72" s="1275">
        <v>6.666666666666667</v>
      </c>
      <c r="V72" s="1275">
        <v>25</v>
      </c>
      <c r="W72" s="1275">
        <v>666.08920634920639</v>
      </c>
      <c r="X72" s="1275">
        <v>250</v>
      </c>
      <c r="Y72" s="1275">
        <v>941.08920634920639</v>
      </c>
      <c r="Z72" s="1129">
        <v>6.666666666666667</v>
      </c>
      <c r="AA72" s="1129">
        <v>25</v>
      </c>
      <c r="AB72" s="1129">
        <v>666.08920634920639</v>
      </c>
      <c r="AC72" s="1129">
        <v>250</v>
      </c>
      <c r="AD72" s="1098">
        <v>941.08920634920639</v>
      </c>
      <c r="AE72" s="1135">
        <v>4</v>
      </c>
      <c r="AF72" s="1129">
        <v>4</v>
      </c>
      <c r="AG72" s="1127">
        <v>1</v>
      </c>
      <c r="AH72" s="1127">
        <v>0</v>
      </c>
      <c r="AI72" s="1127">
        <v>0</v>
      </c>
      <c r="AJ72" s="1127">
        <v>1</v>
      </c>
      <c r="AK72" s="1129">
        <v>941.08920634920639</v>
      </c>
      <c r="AL72" s="1129">
        <v>0</v>
      </c>
      <c r="AM72" s="1129">
        <v>0</v>
      </c>
      <c r="AN72" s="1129">
        <v>941.08920634920639</v>
      </c>
      <c r="AO72" s="1129" t="s">
        <v>131</v>
      </c>
      <c r="AP72" s="1129" t="s">
        <v>96</v>
      </c>
      <c r="AQ72" s="1157">
        <v>2014</v>
      </c>
      <c r="AR72" s="1129" t="s">
        <v>87</v>
      </c>
      <c r="AS72" s="1127">
        <v>0.33333333333333331</v>
      </c>
      <c r="AT72" s="1127"/>
      <c r="AU72" s="1127">
        <v>0.33333333333333331</v>
      </c>
      <c r="AV72" s="1127"/>
      <c r="AW72" s="1127"/>
      <c r="AX72" s="1127"/>
      <c r="AY72" s="1127"/>
      <c r="AZ72" s="1127">
        <v>0.33333333333333331</v>
      </c>
      <c r="BA72" s="1129">
        <v>313.69640211640211</v>
      </c>
      <c r="BB72" s="1129">
        <v>0</v>
      </c>
      <c r="BC72" s="1129">
        <v>313.69640211640211</v>
      </c>
      <c r="BD72" s="1129">
        <v>0</v>
      </c>
      <c r="BE72" s="1129">
        <v>0</v>
      </c>
      <c r="BF72" s="1129">
        <v>0</v>
      </c>
      <c r="BG72" s="1129">
        <v>0</v>
      </c>
      <c r="BH72" s="1129">
        <v>313.69640211640211</v>
      </c>
      <c r="BI72" s="971"/>
      <c r="BJ72" s="971"/>
      <c r="BK72" s="971"/>
      <c r="BL72" s="1246"/>
      <c r="BM72" s="1247" t="s">
        <v>2127</v>
      </c>
    </row>
    <row r="73" spans="1:65" s="1247" customFormat="1" ht="66" customHeight="1">
      <c r="A73" s="1272">
        <v>2000</v>
      </c>
      <c r="B73" s="971" t="s">
        <v>119</v>
      </c>
      <c r="C73" s="1272">
        <v>2100</v>
      </c>
      <c r="D73" s="971" t="s">
        <v>120</v>
      </c>
      <c r="E73" s="971" t="s">
        <v>175</v>
      </c>
      <c r="F73" s="971" t="s">
        <v>176</v>
      </c>
      <c r="G73" s="971" t="s">
        <v>3878</v>
      </c>
      <c r="H73" s="971" t="s">
        <v>3495</v>
      </c>
      <c r="I73" s="1273" t="s">
        <v>6739</v>
      </c>
      <c r="J73" s="971" t="s">
        <v>2146</v>
      </c>
      <c r="K73" s="971" t="s">
        <v>2129</v>
      </c>
      <c r="L73" s="971" t="s">
        <v>2130</v>
      </c>
      <c r="M73" s="971" t="s">
        <v>2129</v>
      </c>
      <c r="N73" s="971" t="s">
        <v>176</v>
      </c>
      <c r="O73" s="971" t="s">
        <v>2130</v>
      </c>
      <c r="P73" s="971" t="s">
        <v>6736</v>
      </c>
      <c r="Q73" s="971" t="s">
        <v>6740</v>
      </c>
      <c r="R73" s="971" t="s">
        <v>3948</v>
      </c>
      <c r="S73" s="1274">
        <v>1</v>
      </c>
      <c r="T73" s="971" t="s">
        <v>242</v>
      </c>
      <c r="U73" s="1275">
        <v>6.666666666666667</v>
      </c>
      <c r="V73" s="1275">
        <v>25</v>
      </c>
      <c r="W73" s="1275">
        <v>666.08920634920639</v>
      </c>
      <c r="X73" s="1275">
        <v>250</v>
      </c>
      <c r="Y73" s="1275">
        <v>941.08920634920639</v>
      </c>
      <c r="Z73" s="1129">
        <v>6.666666666666667</v>
      </c>
      <c r="AA73" s="1129">
        <v>25</v>
      </c>
      <c r="AB73" s="1129">
        <v>666.08920634920639</v>
      </c>
      <c r="AC73" s="1129">
        <v>250</v>
      </c>
      <c r="AD73" s="1098">
        <v>941.08920634920639</v>
      </c>
      <c r="AE73" s="1135">
        <v>4</v>
      </c>
      <c r="AF73" s="1129">
        <v>4</v>
      </c>
      <c r="AG73" s="1127">
        <v>1</v>
      </c>
      <c r="AH73" s="1127">
        <v>0</v>
      </c>
      <c r="AI73" s="1127">
        <v>0</v>
      </c>
      <c r="AJ73" s="1127">
        <v>1</v>
      </c>
      <c r="AK73" s="1129">
        <v>941.08920634920639</v>
      </c>
      <c r="AL73" s="1129">
        <v>0</v>
      </c>
      <c r="AM73" s="1129">
        <v>0</v>
      </c>
      <c r="AN73" s="1129">
        <v>941.08920634920639</v>
      </c>
      <c r="AO73" s="1129" t="s">
        <v>131</v>
      </c>
      <c r="AP73" s="1129" t="s">
        <v>96</v>
      </c>
      <c r="AQ73" s="1157">
        <v>2014</v>
      </c>
      <c r="AR73" s="1129" t="s">
        <v>87</v>
      </c>
      <c r="AS73" s="1127">
        <v>0.33333333333333331</v>
      </c>
      <c r="AT73" s="1127"/>
      <c r="AU73" s="1127">
        <v>0.33333333333333331</v>
      </c>
      <c r="AV73" s="1127"/>
      <c r="AW73" s="1127"/>
      <c r="AX73" s="1127"/>
      <c r="AY73" s="1127"/>
      <c r="AZ73" s="1127">
        <v>0.33333333333333331</v>
      </c>
      <c r="BA73" s="1129">
        <v>313.69640211640211</v>
      </c>
      <c r="BB73" s="1129">
        <v>0</v>
      </c>
      <c r="BC73" s="1129">
        <v>313.69640211640211</v>
      </c>
      <c r="BD73" s="1129">
        <v>0</v>
      </c>
      <c r="BE73" s="1129">
        <v>0</v>
      </c>
      <c r="BF73" s="1129">
        <v>0</v>
      </c>
      <c r="BG73" s="1129">
        <v>0</v>
      </c>
      <c r="BH73" s="1129">
        <v>313.69640211640211</v>
      </c>
      <c r="BI73" s="971"/>
      <c r="BJ73" s="971"/>
      <c r="BK73" s="971"/>
      <c r="BL73" s="1246"/>
      <c r="BM73" s="1247" t="s">
        <v>2127</v>
      </c>
    </row>
    <row r="74" spans="1:65" s="1247" customFormat="1" ht="66" customHeight="1">
      <c r="A74" s="1272">
        <v>2000</v>
      </c>
      <c r="B74" s="971" t="s">
        <v>119</v>
      </c>
      <c r="C74" s="1272">
        <v>2100</v>
      </c>
      <c r="D74" s="971" t="s">
        <v>120</v>
      </c>
      <c r="E74" s="971" t="s">
        <v>175</v>
      </c>
      <c r="F74" s="971" t="s">
        <v>176</v>
      </c>
      <c r="G74" s="971" t="s">
        <v>3878</v>
      </c>
      <c r="H74" s="971" t="s">
        <v>3495</v>
      </c>
      <c r="I74" s="1273" t="s">
        <v>6741</v>
      </c>
      <c r="J74" s="971" t="s">
        <v>2146</v>
      </c>
      <c r="K74" s="971" t="s">
        <v>2129</v>
      </c>
      <c r="L74" s="971" t="s">
        <v>2130</v>
      </c>
      <c r="M74" s="971" t="s">
        <v>2129</v>
      </c>
      <c r="N74" s="971" t="s">
        <v>176</v>
      </c>
      <c r="O74" s="971" t="s">
        <v>2130</v>
      </c>
      <c r="P74" s="971" t="s">
        <v>6736</v>
      </c>
      <c r="Q74" s="971" t="s">
        <v>6740</v>
      </c>
      <c r="R74" s="971" t="s">
        <v>3952</v>
      </c>
      <c r="S74" s="1274">
        <v>1</v>
      </c>
      <c r="T74" s="971" t="s">
        <v>242</v>
      </c>
      <c r="U74" s="1275">
        <v>6.666666666666667</v>
      </c>
      <c r="V74" s="1275">
        <v>25</v>
      </c>
      <c r="W74" s="1275">
        <v>666.08920634920639</v>
      </c>
      <c r="X74" s="1275">
        <v>250</v>
      </c>
      <c r="Y74" s="1275">
        <v>941.08920634920639</v>
      </c>
      <c r="Z74" s="1129">
        <v>6.666666666666667</v>
      </c>
      <c r="AA74" s="1129">
        <v>25</v>
      </c>
      <c r="AB74" s="1129">
        <v>666.08920634920639</v>
      </c>
      <c r="AC74" s="1129">
        <v>250</v>
      </c>
      <c r="AD74" s="1098">
        <v>941.08920634920639</v>
      </c>
      <c r="AE74" s="1135">
        <v>4</v>
      </c>
      <c r="AF74" s="1129">
        <v>4</v>
      </c>
      <c r="AG74" s="1127">
        <v>1</v>
      </c>
      <c r="AH74" s="1127">
        <v>0</v>
      </c>
      <c r="AI74" s="1127">
        <v>0</v>
      </c>
      <c r="AJ74" s="1127">
        <v>1</v>
      </c>
      <c r="AK74" s="1129">
        <v>941.08920634920639</v>
      </c>
      <c r="AL74" s="1129">
        <v>0</v>
      </c>
      <c r="AM74" s="1129">
        <v>0</v>
      </c>
      <c r="AN74" s="1129">
        <v>941.08920634920639</v>
      </c>
      <c r="AO74" s="1129" t="s">
        <v>131</v>
      </c>
      <c r="AP74" s="1129" t="s">
        <v>96</v>
      </c>
      <c r="AQ74" s="1157">
        <v>2014</v>
      </c>
      <c r="AR74" s="1129" t="s">
        <v>87</v>
      </c>
      <c r="AS74" s="1127">
        <v>0.33333333333333331</v>
      </c>
      <c r="AT74" s="1127"/>
      <c r="AU74" s="1127">
        <v>0.33333333333333331</v>
      </c>
      <c r="AV74" s="1127"/>
      <c r="AW74" s="1127"/>
      <c r="AX74" s="1127"/>
      <c r="AY74" s="1127"/>
      <c r="AZ74" s="1127">
        <v>0.33333333333333331</v>
      </c>
      <c r="BA74" s="1129">
        <v>313.69640211640211</v>
      </c>
      <c r="BB74" s="1129">
        <v>0</v>
      </c>
      <c r="BC74" s="1129">
        <v>313.69640211640211</v>
      </c>
      <c r="BD74" s="1129">
        <v>0</v>
      </c>
      <c r="BE74" s="1129">
        <v>0</v>
      </c>
      <c r="BF74" s="1129">
        <v>0</v>
      </c>
      <c r="BG74" s="1129">
        <v>0</v>
      </c>
      <c r="BH74" s="1129">
        <v>313.69640211640211</v>
      </c>
      <c r="BI74" s="971"/>
      <c r="BJ74" s="971"/>
      <c r="BK74" s="971"/>
      <c r="BL74" s="1246"/>
      <c r="BM74" s="1247" t="s">
        <v>2127</v>
      </c>
    </row>
    <row r="75" spans="1:65" s="1247" customFormat="1" ht="66" customHeight="1">
      <c r="A75" s="1272">
        <v>2000</v>
      </c>
      <c r="B75" s="971" t="s">
        <v>119</v>
      </c>
      <c r="C75" s="1272">
        <v>2100</v>
      </c>
      <c r="D75" s="971" t="s">
        <v>120</v>
      </c>
      <c r="E75" s="971" t="s">
        <v>175</v>
      </c>
      <c r="F75" s="971" t="s">
        <v>176</v>
      </c>
      <c r="G75" s="971" t="s">
        <v>3878</v>
      </c>
      <c r="H75" s="971" t="s">
        <v>3495</v>
      </c>
      <c r="I75" s="1273" t="s">
        <v>6742</v>
      </c>
      <c r="J75" s="971" t="s">
        <v>2146</v>
      </c>
      <c r="K75" s="971" t="s">
        <v>2129</v>
      </c>
      <c r="L75" s="971" t="s">
        <v>2130</v>
      </c>
      <c r="M75" s="971" t="s">
        <v>2129</v>
      </c>
      <c r="N75" s="971" t="s">
        <v>176</v>
      </c>
      <c r="O75" s="971" t="s">
        <v>2130</v>
      </c>
      <c r="P75" s="971" t="s">
        <v>6736</v>
      </c>
      <c r="Q75" s="971" t="s">
        <v>6740</v>
      </c>
      <c r="R75" s="971" t="s">
        <v>3953</v>
      </c>
      <c r="S75" s="1274">
        <v>1</v>
      </c>
      <c r="T75" s="971" t="s">
        <v>242</v>
      </c>
      <c r="U75" s="1275">
        <v>6.666666666666667</v>
      </c>
      <c r="V75" s="1275">
        <v>25</v>
      </c>
      <c r="W75" s="1275">
        <v>666.08920634920639</v>
      </c>
      <c r="X75" s="1275">
        <v>250</v>
      </c>
      <c r="Y75" s="1275">
        <v>941.08920634920639</v>
      </c>
      <c r="Z75" s="1129">
        <v>6.666666666666667</v>
      </c>
      <c r="AA75" s="1129">
        <v>25</v>
      </c>
      <c r="AB75" s="1129">
        <v>666.08920634920639</v>
      </c>
      <c r="AC75" s="1129">
        <v>250</v>
      </c>
      <c r="AD75" s="1098">
        <v>941.08920634920639</v>
      </c>
      <c r="AE75" s="1135">
        <v>4</v>
      </c>
      <c r="AF75" s="1129">
        <v>4</v>
      </c>
      <c r="AG75" s="1127">
        <v>1</v>
      </c>
      <c r="AH75" s="1127">
        <v>0</v>
      </c>
      <c r="AI75" s="1127">
        <v>0</v>
      </c>
      <c r="AJ75" s="1127">
        <v>1</v>
      </c>
      <c r="AK75" s="1129">
        <v>941.08920634920639</v>
      </c>
      <c r="AL75" s="1129">
        <v>0</v>
      </c>
      <c r="AM75" s="1129">
        <v>0</v>
      </c>
      <c r="AN75" s="1129">
        <v>941.08920634920639</v>
      </c>
      <c r="AO75" s="1129" t="s">
        <v>131</v>
      </c>
      <c r="AP75" s="1129" t="s">
        <v>96</v>
      </c>
      <c r="AQ75" s="1157">
        <v>2014</v>
      </c>
      <c r="AR75" s="1129" t="s">
        <v>87</v>
      </c>
      <c r="AS75" s="1127">
        <v>0.33333333333333331</v>
      </c>
      <c r="AT75" s="1127"/>
      <c r="AU75" s="1127">
        <v>0.33333333333333331</v>
      </c>
      <c r="AV75" s="1127"/>
      <c r="AW75" s="1127"/>
      <c r="AX75" s="1127"/>
      <c r="AY75" s="1127"/>
      <c r="AZ75" s="1127">
        <v>0.33333333333333331</v>
      </c>
      <c r="BA75" s="1129">
        <v>313.69640211640211</v>
      </c>
      <c r="BB75" s="1129">
        <v>0</v>
      </c>
      <c r="BC75" s="1129">
        <v>313.69640211640211</v>
      </c>
      <c r="BD75" s="1129">
        <v>0</v>
      </c>
      <c r="BE75" s="1129">
        <v>0</v>
      </c>
      <c r="BF75" s="1129">
        <v>0</v>
      </c>
      <c r="BG75" s="1129">
        <v>0</v>
      </c>
      <c r="BH75" s="1129">
        <v>313.69640211640211</v>
      </c>
      <c r="BI75" s="971"/>
      <c r="BJ75" s="971"/>
      <c r="BK75" s="971"/>
      <c r="BL75" s="1246"/>
      <c r="BM75" s="1247" t="s">
        <v>2127</v>
      </c>
    </row>
    <row r="76" spans="1:65" s="1247" customFormat="1" ht="66" customHeight="1">
      <c r="A76" s="1272">
        <v>2000</v>
      </c>
      <c r="B76" s="971" t="s">
        <v>119</v>
      </c>
      <c r="C76" s="1272">
        <v>2100</v>
      </c>
      <c r="D76" s="971" t="s">
        <v>120</v>
      </c>
      <c r="E76" s="971" t="s">
        <v>175</v>
      </c>
      <c r="F76" s="971" t="s">
        <v>176</v>
      </c>
      <c r="G76" s="971" t="s">
        <v>3878</v>
      </c>
      <c r="H76" s="971" t="s">
        <v>3495</v>
      </c>
      <c r="I76" s="1273" t="s">
        <v>6743</v>
      </c>
      <c r="J76" s="971" t="s">
        <v>2146</v>
      </c>
      <c r="K76" s="971" t="s">
        <v>2129</v>
      </c>
      <c r="L76" s="971" t="s">
        <v>2130</v>
      </c>
      <c r="M76" s="971" t="s">
        <v>2129</v>
      </c>
      <c r="N76" s="971" t="s">
        <v>176</v>
      </c>
      <c r="O76" s="971" t="s">
        <v>2130</v>
      </c>
      <c r="P76" s="971" t="s">
        <v>6744</v>
      </c>
      <c r="Q76" s="971" t="s">
        <v>6745</v>
      </c>
      <c r="R76" s="971" t="s">
        <v>3954</v>
      </c>
      <c r="S76" s="1274">
        <v>1</v>
      </c>
      <c r="T76" s="971" t="s">
        <v>242</v>
      </c>
      <c r="U76" s="1275">
        <v>6.666666666666667</v>
      </c>
      <c r="V76" s="1275">
        <v>25</v>
      </c>
      <c r="W76" s="1275">
        <v>666.08920634920639</v>
      </c>
      <c r="X76" s="1275">
        <v>250</v>
      </c>
      <c r="Y76" s="1275">
        <v>941.08920634920639</v>
      </c>
      <c r="Z76" s="1129">
        <v>6.666666666666667</v>
      </c>
      <c r="AA76" s="1129">
        <v>25</v>
      </c>
      <c r="AB76" s="1129">
        <v>666.08920634920639</v>
      </c>
      <c r="AC76" s="1129">
        <v>250</v>
      </c>
      <c r="AD76" s="1098">
        <v>941.08920634920639</v>
      </c>
      <c r="AE76" s="1135">
        <v>4</v>
      </c>
      <c r="AF76" s="1129">
        <v>4</v>
      </c>
      <c r="AG76" s="1127">
        <v>1</v>
      </c>
      <c r="AH76" s="1127">
        <v>0</v>
      </c>
      <c r="AI76" s="1127">
        <v>0</v>
      </c>
      <c r="AJ76" s="1127">
        <v>1</v>
      </c>
      <c r="AK76" s="1129">
        <v>941.08920634920639</v>
      </c>
      <c r="AL76" s="1129">
        <v>0</v>
      </c>
      <c r="AM76" s="1129">
        <v>0</v>
      </c>
      <c r="AN76" s="1129">
        <v>941.08920634920639</v>
      </c>
      <c r="AO76" s="1129" t="s">
        <v>131</v>
      </c>
      <c r="AP76" s="1129" t="s">
        <v>96</v>
      </c>
      <c r="AQ76" s="1157">
        <v>2014</v>
      </c>
      <c r="AR76" s="1129" t="s">
        <v>87</v>
      </c>
      <c r="AS76" s="1127">
        <v>0.33333333333333331</v>
      </c>
      <c r="AT76" s="1127"/>
      <c r="AU76" s="1127">
        <v>0.33333333333333331</v>
      </c>
      <c r="AV76" s="1127"/>
      <c r="AW76" s="1127"/>
      <c r="AX76" s="1127"/>
      <c r="AY76" s="1127"/>
      <c r="AZ76" s="1127">
        <v>0.33333333333333331</v>
      </c>
      <c r="BA76" s="1129">
        <v>313.69640211640211</v>
      </c>
      <c r="BB76" s="1129">
        <v>0</v>
      </c>
      <c r="BC76" s="1129">
        <v>313.69640211640211</v>
      </c>
      <c r="BD76" s="1129">
        <v>0</v>
      </c>
      <c r="BE76" s="1129">
        <v>0</v>
      </c>
      <c r="BF76" s="1129">
        <v>0</v>
      </c>
      <c r="BG76" s="1129">
        <v>0</v>
      </c>
      <c r="BH76" s="1129">
        <v>313.69640211640211</v>
      </c>
      <c r="BI76" s="971"/>
      <c r="BJ76" s="971"/>
      <c r="BK76" s="971"/>
      <c r="BL76" s="1246"/>
      <c r="BM76" s="1247" t="s">
        <v>2127</v>
      </c>
    </row>
    <row r="77" spans="1:65" s="1247" customFormat="1" ht="66" customHeight="1">
      <c r="A77" s="1272">
        <v>2000</v>
      </c>
      <c r="B77" s="971" t="s">
        <v>119</v>
      </c>
      <c r="C77" s="1272">
        <v>2100</v>
      </c>
      <c r="D77" s="971" t="s">
        <v>120</v>
      </c>
      <c r="E77" s="971" t="s">
        <v>175</v>
      </c>
      <c r="F77" s="971" t="s">
        <v>176</v>
      </c>
      <c r="G77" s="971" t="s">
        <v>3878</v>
      </c>
      <c r="H77" s="971" t="s">
        <v>3495</v>
      </c>
      <c r="I77" s="1273" t="s">
        <v>6746</v>
      </c>
      <c r="J77" s="971" t="s">
        <v>2146</v>
      </c>
      <c r="K77" s="971" t="s">
        <v>2129</v>
      </c>
      <c r="L77" s="971" t="s">
        <v>2130</v>
      </c>
      <c r="M77" s="971" t="s">
        <v>2129</v>
      </c>
      <c r="N77" s="971" t="s">
        <v>176</v>
      </c>
      <c r="O77" s="971" t="s">
        <v>2130</v>
      </c>
      <c r="P77" s="971" t="s">
        <v>6744</v>
      </c>
      <c r="Q77" s="971" t="s">
        <v>6745</v>
      </c>
      <c r="R77" s="971" t="s">
        <v>3961</v>
      </c>
      <c r="S77" s="1274">
        <v>1</v>
      </c>
      <c r="T77" s="971" t="s">
        <v>242</v>
      </c>
      <c r="U77" s="1275">
        <v>6.666666666666667</v>
      </c>
      <c r="V77" s="1275">
        <v>25</v>
      </c>
      <c r="W77" s="1275">
        <v>666.08920634920639</v>
      </c>
      <c r="X77" s="1275">
        <v>250</v>
      </c>
      <c r="Y77" s="1275">
        <v>941.08920634920639</v>
      </c>
      <c r="Z77" s="1129">
        <v>6.666666666666667</v>
      </c>
      <c r="AA77" s="1129">
        <v>25</v>
      </c>
      <c r="AB77" s="1129">
        <v>666.08920634920639</v>
      </c>
      <c r="AC77" s="1129">
        <v>250</v>
      </c>
      <c r="AD77" s="1098">
        <v>941.08920634920639</v>
      </c>
      <c r="AE77" s="1135">
        <v>4</v>
      </c>
      <c r="AF77" s="1129">
        <v>4</v>
      </c>
      <c r="AG77" s="1127">
        <v>1</v>
      </c>
      <c r="AH77" s="1127">
        <v>0</v>
      </c>
      <c r="AI77" s="1127">
        <v>0</v>
      </c>
      <c r="AJ77" s="1127">
        <v>1</v>
      </c>
      <c r="AK77" s="1129">
        <v>941.08920634920639</v>
      </c>
      <c r="AL77" s="1129">
        <v>0</v>
      </c>
      <c r="AM77" s="1129">
        <v>0</v>
      </c>
      <c r="AN77" s="1129">
        <v>941.08920634920639</v>
      </c>
      <c r="AO77" s="1129" t="s">
        <v>131</v>
      </c>
      <c r="AP77" s="1129" t="s">
        <v>96</v>
      </c>
      <c r="AQ77" s="1157">
        <v>2014</v>
      </c>
      <c r="AR77" s="1129" t="s">
        <v>87</v>
      </c>
      <c r="AS77" s="1127">
        <v>0.33333333333333331</v>
      </c>
      <c r="AT77" s="1127"/>
      <c r="AU77" s="1127">
        <v>0.33333333333333331</v>
      </c>
      <c r="AV77" s="1127"/>
      <c r="AW77" s="1127"/>
      <c r="AX77" s="1127"/>
      <c r="AY77" s="1127"/>
      <c r="AZ77" s="1127">
        <v>0.33333333333333331</v>
      </c>
      <c r="BA77" s="1129">
        <v>313.69640211640211</v>
      </c>
      <c r="BB77" s="1129">
        <v>0</v>
      </c>
      <c r="BC77" s="1129">
        <v>313.69640211640211</v>
      </c>
      <c r="BD77" s="1129">
        <v>0</v>
      </c>
      <c r="BE77" s="1129">
        <v>0</v>
      </c>
      <c r="BF77" s="1129">
        <v>0</v>
      </c>
      <c r="BG77" s="1129">
        <v>0</v>
      </c>
      <c r="BH77" s="1129">
        <v>313.69640211640211</v>
      </c>
      <c r="BI77" s="971"/>
      <c r="BJ77" s="971"/>
      <c r="BK77" s="971"/>
      <c r="BL77" s="1246"/>
      <c r="BM77" s="1247" t="s">
        <v>2129</v>
      </c>
    </row>
    <row r="78" spans="1:65" s="1247" customFormat="1" ht="66" customHeight="1">
      <c r="A78" s="1272">
        <v>2000</v>
      </c>
      <c r="B78" s="971" t="s">
        <v>119</v>
      </c>
      <c r="C78" s="1272">
        <v>2100</v>
      </c>
      <c r="D78" s="971" t="s">
        <v>120</v>
      </c>
      <c r="E78" s="971" t="s">
        <v>175</v>
      </c>
      <c r="F78" s="971" t="s">
        <v>176</v>
      </c>
      <c r="G78" s="971" t="s">
        <v>3878</v>
      </c>
      <c r="H78" s="971" t="s">
        <v>3495</v>
      </c>
      <c r="I78" s="1273" t="s">
        <v>6747</v>
      </c>
      <c r="J78" s="971" t="s">
        <v>2146</v>
      </c>
      <c r="K78" s="971" t="s">
        <v>2129</v>
      </c>
      <c r="L78" s="971" t="s">
        <v>2130</v>
      </c>
      <c r="M78" s="971" t="s">
        <v>2129</v>
      </c>
      <c r="N78" s="971" t="s">
        <v>176</v>
      </c>
      <c r="O78" s="971" t="s">
        <v>2130</v>
      </c>
      <c r="P78" s="971" t="s">
        <v>6744</v>
      </c>
      <c r="Q78" s="971" t="s">
        <v>6748</v>
      </c>
      <c r="R78" s="971" t="s">
        <v>3962</v>
      </c>
      <c r="S78" s="1274">
        <v>1</v>
      </c>
      <c r="T78" s="971" t="s">
        <v>242</v>
      </c>
      <c r="U78" s="1275">
        <v>6.666666666666667</v>
      </c>
      <c r="V78" s="1275">
        <v>25</v>
      </c>
      <c r="W78" s="1275">
        <v>666.08920634920639</v>
      </c>
      <c r="X78" s="1275">
        <v>250</v>
      </c>
      <c r="Y78" s="1275">
        <v>941.08920634920639</v>
      </c>
      <c r="Z78" s="1129">
        <v>6.666666666666667</v>
      </c>
      <c r="AA78" s="1129">
        <v>25</v>
      </c>
      <c r="AB78" s="1129">
        <v>666.08920634920639</v>
      </c>
      <c r="AC78" s="1129">
        <v>250</v>
      </c>
      <c r="AD78" s="1098">
        <v>941.08920634920639</v>
      </c>
      <c r="AE78" s="1135">
        <v>4</v>
      </c>
      <c r="AF78" s="1129">
        <v>4</v>
      </c>
      <c r="AG78" s="1127">
        <v>1</v>
      </c>
      <c r="AH78" s="1127">
        <v>0</v>
      </c>
      <c r="AI78" s="1127">
        <v>0</v>
      </c>
      <c r="AJ78" s="1127">
        <v>1</v>
      </c>
      <c r="AK78" s="1129">
        <v>941.08920634920639</v>
      </c>
      <c r="AL78" s="1129">
        <v>0</v>
      </c>
      <c r="AM78" s="1129">
        <v>0</v>
      </c>
      <c r="AN78" s="1129">
        <v>941.08920634920639</v>
      </c>
      <c r="AO78" s="1129" t="s">
        <v>131</v>
      </c>
      <c r="AP78" s="1129" t="s">
        <v>96</v>
      </c>
      <c r="AQ78" s="1157">
        <v>2014</v>
      </c>
      <c r="AR78" s="1129" t="s">
        <v>87</v>
      </c>
      <c r="AS78" s="1127">
        <v>0.33333333333333331</v>
      </c>
      <c r="AT78" s="1127"/>
      <c r="AU78" s="1127">
        <v>0.33333333333333331</v>
      </c>
      <c r="AV78" s="1127"/>
      <c r="AW78" s="1127"/>
      <c r="AX78" s="1127"/>
      <c r="AY78" s="1127"/>
      <c r="AZ78" s="1127">
        <v>0.33333333333333331</v>
      </c>
      <c r="BA78" s="1129">
        <v>313.69640211640211</v>
      </c>
      <c r="BB78" s="1129">
        <v>0</v>
      </c>
      <c r="BC78" s="1129">
        <v>313.69640211640211</v>
      </c>
      <c r="BD78" s="1129">
        <v>0</v>
      </c>
      <c r="BE78" s="1129">
        <v>0</v>
      </c>
      <c r="BF78" s="1129">
        <v>0</v>
      </c>
      <c r="BG78" s="1129">
        <v>0</v>
      </c>
      <c r="BH78" s="1129">
        <v>313.69640211640211</v>
      </c>
      <c r="BI78" s="971"/>
      <c r="BJ78" s="971"/>
      <c r="BK78" s="971"/>
      <c r="BL78" s="1246"/>
      <c r="BM78" s="1247" t="s">
        <v>2129</v>
      </c>
    </row>
    <row r="79" spans="1:65" s="1247" customFormat="1" ht="66" customHeight="1">
      <c r="A79" s="1272">
        <v>2000</v>
      </c>
      <c r="B79" s="971" t="s">
        <v>119</v>
      </c>
      <c r="C79" s="1272">
        <v>2100</v>
      </c>
      <c r="D79" s="971" t="s">
        <v>120</v>
      </c>
      <c r="E79" s="971" t="s">
        <v>175</v>
      </c>
      <c r="F79" s="971" t="s">
        <v>176</v>
      </c>
      <c r="G79" s="971" t="s">
        <v>3878</v>
      </c>
      <c r="H79" s="971" t="s">
        <v>3495</v>
      </c>
      <c r="I79" s="1273" t="s">
        <v>6749</v>
      </c>
      <c r="J79" s="971" t="s">
        <v>2146</v>
      </c>
      <c r="K79" s="971" t="s">
        <v>2129</v>
      </c>
      <c r="L79" s="971" t="s">
        <v>2130</v>
      </c>
      <c r="M79" s="971" t="s">
        <v>2129</v>
      </c>
      <c r="N79" s="971" t="s">
        <v>176</v>
      </c>
      <c r="O79" s="971" t="s">
        <v>2130</v>
      </c>
      <c r="P79" s="971" t="s">
        <v>6744</v>
      </c>
      <c r="Q79" s="971" t="s">
        <v>6748</v>
      </c>
      <c r="R79" s="971" t="s">
        <v>3965</v>
      </c>
      <c r="S79" s="1274">
        <v>1</v>
      </c>
      <c r="T79" s="971" t="s">
        <v>242</v>
      </c>
      <c r="U79" s="1275">
        <v>6.666666666666667</v>
      </c>
      <c r="V79" s="1275">
        <v>25</v>
      </c>
      <c r="W79" s="1275">
        <v>666.08920634920639</v>
      </c>
      <c r="X79" s="1275">
        <v>250</v>
      </c>
      <c r="Y79" s="1275">
        <v>941.08920634920639</v>
      </c>
      <c r="Z79" s="1129">
        <v>6.666666666666667</v>
      </c>
      <c r="AA79" s="1129">
        <v>25</v>
      </c>
      <c r="AB79" s="1129">
        <v>666.08920634920639</v>
      </c>
      <c r="AC79" s="1129">
        <v>250</v>
      </c>
      <c r="AD79" s="1098">
        <v>941.08920634920639</v>
      </c>
      <c r="AE79" s="1135">
        <v>4</v>
      </c>
      <c r="AF79" s="1129">
        <v>4</v>
      </c>
      <c r="AG79" s="1127">
        <v>1</v>
      </c>
      <c r="AH79" s="1127">
        <v>0</v>
      </c>
      <c r="AI79" s="1127">
        <v>0</v>
      </c>
      <c r="AJ79" s="1127">
        <v>1</v>
      </c>
      <c r="AK79" s="1129">
        <v>941.08920634920639</v>
      </c>
      <c r="AL79" s="1129">
        <v>0</v>
      </c>
      <c r="AM79" s="1129">
        <v>0</v>
      </c>
      <c r="AN79" s="1129">
        <v>941.08920634920639</v>
      </c>
      <c r="AO79" s="1129" t="s">
        <v>131</v>
      </c>
      <c r="AP79" s="1129" t="s">
        <v>96</v>
      </c>
      <c r="AQ79" s="1157">
        <v>2014</v>
      </c>
      <c r="AR79" s="1129" t="s">
        <v>87</v>
      </c>
      <c r="AS79" s="1127">
        <v>0.33333333333333331</v>
      </c>
      <c r="AT79" s="1127"/>
      <c r="AU79" s="1127">
        <v>0.33333333333333331</v>
      </c>
      <c r="AV79" s="1127"/>
      <c r="AW79" s="1127"/>
      <c r="AX79" s="1127"/>
      <c r="AY79" s="1127"/>
      <c r="AZ79" s="1127">
        <v>0.33333333333333331</v>
      </c>
      <c r="BA79" s="1129">
        <v>313.69640211640211</v>
      </c>
      <c r="BB79" s="1129">
        <v>0</v>
      </c>
      <c r="BC79" s="1129">
        <v>313.69640211640211</v>
      </c>
      <c r="BD79" s="1129">
        <v>0</v>
      </c>
      <c r="BE79" s="1129">
        <v>0</v>
      </c>
      <c r="BF79" s="1129">
        <v>0</v>
      </c>
      <c r="BG79" s="1129">
        <v>0</v>
      </c>
      <c r="BH79" s="1129">
        <v>313.69640211640211</v>
      </c>
      <c r="BI79" s="971"/>
      <c r="BJ79" s="971"/>
      <c r="BK79" s="971"/>
      <c r="BL79" s="1246"/>
      <c r="BM79" s="1247" t="s">
        <v>2129</v>
      </c>
    </row>
    <row r="80" spans="1:65" s="1247" customFormat="1" ht="66" customHeight="1">
      <c r="A80" s="1272">
        <v>2000</v>
      </c>
      <c r="B80" s="971" t="s">
        <v>119</v>
      </c>
      <c r="C80" s="1272">
        <v>2100</v>
      </c>
      <c r="D80" s="971" t="s">
        <v>120</v>
      </c>
      <c r="E80" s="971" t="s">
        <v>175</v>
      </c>
      <c r="F80" s="971" t="s">
        <v>176</v>
      </c>
      <c r="G80" s="971" t="s">
        <v>3878</v>
      </c>
      <c r="H80" s="971" t="s">
        <v>3495</v>
      </c>
      <c r="I80" s="1273" t="s">
        <v>6750</v>
      </c>
      <c r="J80" s="971" t="s">
        <v>2146</v>
      </c>
      <c r="K80" s="971" t="s">
        <v>2129</v>
      </c>
      <c r="L80" s="971" t="s">
        <v>2130</v>
      </c>
      <c r="M80" s="971" t="s">
        <v>2129</v>
      </c>
      <c r="N80" s="971" t="s">
        <v>176</v>
      </c>
      <c r="O80" s="971" t="s">
        <v>2130</v>
      </c>
      <c r="P80" s="971" t="s">
        <v>6744</v>
      </c>
      <c r="Q80" s="971" t="s">
        <v>6748</v>
      </c>
      <c r="R80" s="971" t="s">
        <v>3966</v>
      </c>
      <c r="S80" s="1274">
        <v>1</v>
      </c>
      <c r="T80" s="971" t="s">
        <v>242</v>
      </c>
      <c r="U80" s="1275">
        <v>6.666666666666667</v>
      </c>
      <c r="V80" s="1275">
        <v>25</v>
      </c>
      <c r="W80" s="1275">
        <v>666.08920634920639</v>
      </c>
      <c r="X80" s="1275">
        <v>250</v>
      </c>
      <c r="Y80" s="1275">
        <v>941.08920634920639</v>
      </c>
      <c r="Z80" s="1129">
        <v>6.666666666666667</v>
      </c>
      <c r="AA80" s="1129">
        <v>25</v>
      </c>
      <c r="AB80" s="1129">
        <v>666.08920634920639</v>
      </c>
      <c r="AC80" s="1129">
        <v>250</v>
      </c>
      <c r="AD80" s="1098">
        <v>941.08920634920639</v>
      </c>
      <c r="AE80" s="1135">
        <v>4</v>
      </c>
      <c r="AF80" s="1129">
        <v>4</v>
      </c>
      <c r="AG80" s="1127">
        <v>1</v>
      </c>
      <c r="AH80" s="1127">
        <v>0</v>
      </c>
      <c r="AI80" s="1127">
        <v>0</v>
      </c>
      <c r="AJ80" s="1127">
        <v>1</v>
      </c>
      <c r="AK80" s="1129">
        <v>941.08920634920639</v>
      </c>
      <c r="AL80" s="1129">
        <v>0</v>
      </c>
      <c r="AM80" s="1129">
        <v>0</v>
      </c>
      <c r="AN80" s="1129">
        <v>941.08920634920639</v>
      </c>
      <c r="AO80" s="1129" t="s">
        <v>131</v>
      </c>
      <c r="AP80" s="1129" t="s">
        <v>96</v>
      </c>
      <c r="AQ80" s="1157">
        <v>2014</v>
      </c>
      <c r="AR80" s="1129" t="s">
        <v>87</v>
      </c>
      <c r="AS80" s="1127">
        <v>0.33333333333333331</v>
      </c>
      <c r="AT80" s="1127"/>
      <c r="AU80" s="1127">
        <v>0.33333333333333331</v>
      </c>
      <c r="AV80" s="1127"/>
      <c r="AW80" s="1127"/>
      <c r="AX80" s="1127"/>
      <c r="AY80" s="1127"/>
      <c r="AZ80" s="1127">
        <v>0.33333333333333331</v>
      </c>
      <c r="BA80" s="1129">
        <v>313.69640211640211</v>
      </c>
      <c r="BB80" s="1129">
        <v>0</v>
      </c>
      <c r="BC80" s="1129">
        <v>313.69640211640211</v>
      </c>
      <c r="BD80" s="1129">
        <v>0</v>
      </c>
      <c r="BE80" s="1129">
        <v>0</v>
      </c>
      <c r="BF80" s="1129">
        <v>0</v>
      </c>
      <c r="BG80" s="1129">
        <v>0</v>
      </c>
      <c r="BH80" s="1129">
        <v>313.69640211640211</v>
      </c>
      <c r="BI80" s="971"/>
      <c r="BJ80" s="971"/>
      <c r="BK80" s="971"/>
      <c r="BL80" s="1246"/>
      <c r="BM80" s="1247" t="s">
        <v>2129</v>
      </c>
    </row>
    <row r="81" spans="1:65" s="1247" customFormat="1" ht="66" customHeight="1">
      <c r="A81" s="1272">
        <v>2000</v>
      </c>
      <c r="B81" s="971" t="s">
        <v>119</v>
      </c>
      <c r="C81" s="1272">
        <v>2100</v>
      </c>
      <c r="D81" s="971" t="s">
        <v>120</v>
      </c>
      <c r="E81" s="971" t="s">
        <v>175</v>
      </c>
      <c r="F81" s="971" t="s">
        <v>176</v>
      </c>
      <c r="G81" s="971" t="s">
        <v>3878</v>
      </c>
      <c r="H81" s="971" t="s">
        <v>3495</v>
      </c>
      <c r="I81" s="1273" t="s">
        <v>6751</v>
      </c>
      <c r="J81" s="971" t="s">
        <v>2146</v>
      </c>
      <c r="K81" s="971" t="s">
        <v>2129</v>
      </c>
      <c r="L81" s="971" t="s">
        <v>2130</v>
      </c>
      <c r="M81" s="971" t="s">
        <v>2129</v>
      </c>
      <c r="N81" s="971" t="s">
        <v>176</v>
      </c>
      <c r="O81" s="971" t="s">
        <v>2130</v>
      </c>
      <c r="P81" s="971" t="s">
        <v>6744</v>
      </c>
      <c r="Q81" s="971" t="s">
        <v>6752</v>
      </c>
      <c r="R81" s="971" t="s">
        <v>3967</v>
      </c>
      <c r="S81" s="1274">
        <v>1</v>
      </c>
      <c r="T81" s="971" t="s">
        <v>242</v>
      </c>
      <c r="U81" s="1275">
        <v>6.666666666666667</v>
      </c>
      <c r="V81" s="1275">
        <v>25</v>
      </c>
      <c r="W81" s="1275">
        <v>666.08920634920639</v>
      </c>
      <c r="X81" s="1275">
        <v>250</v>
      </c>
      <c r="Y81" s="1275">
        <v>941.08920634920639</v>
      </c>
      <c r="Z81" s="1129">
        <v>6.666666666666667</v>
      </c>
      <c r="AA81" s="1129">
        <v>25</v>
      </c>
      <c r="AB81" s="1129">
        <v>666.08920634920639</v>
      </c>
      <c r="AC81" s="1129">
        <v>250</v>
      </c>
      <c r="AD81" s="1098">
        <v>941.08920634920639</v>
      </c>
      <c r="AE81" s="1135">
        <v>4</v>
      </c>
      <c r="AF81" s="1129">
        <v>4</v>
      </c>
      <c r="AG81" s="1127">
        <v>1</v>
      </c>
      <c r="AH81" s="1127">
        <v>0</v>
      </c>
      <c r="AI81" s="1127">
        <v>0</v>
      </c>
      <c r="AJ81" s="1127">
        <v>1</v>
      </c>
      <c r="AK81" s="1129">
        <v>941.08920634920639</v>
      </c>
      <c r="AL81" s="1129">
        <v>0</v>
      </c>
      <c r="AM81" s="1129">
        <v>0</v>
      </c>
      <c r="AN81" s="1129">
        <v>941.08920634920639</v>
      </c>
      <c r="AO81" s="1129" t="s">
        <v>131</v>
      </c>
      <c r="AP81" s="1129" t="s">
        <v>96</v>
      </c>
      <c r="AQ81" s="1157">
        <v>2014</v>
      </c>
      <c r="AR81" s="1129" t="s">
        <v>87</v>
      </c>
      <c r="AS81" s="1127">
        <v>0.33333333333333331</v>
      </c>
      <c r="AT81" s="1127"/>
      <c r="AU81" s="1127">
        <v>0.33333333333333331</v>
      </c>
      <c r="AV81" s="1127"/>
      <c r="AW81" s="1127"/>
      <c r="AX81" s="1127"/>
      <c r="AY81" s="1127"/>
      <c r="AZ81" s="1127">
        <v>0.33333333333333331</v>
      </c>
      <c r="BA81" s="1129">
        <v>313.69640211640211</v>
      </c>
      <c r="BB81" s="1129">
        <v>0</v>
      </c>
      <c r="BC81" s="1129">
        <v>313.69640211640211</v>
      </c>
      <c r="BD81" s="1129">
        <v>0</v>
      </c>
      <c r="BE81" s="1129">
        <v>0</v>
      </c>
      <c r="BF81" s="1129">
        <v>0</v>
      </c>
      <c r="BG81" s="1129">
        <v>0</v>
      </c>
      <c r="BH81" s="1129">
        <v>313.69640211640211</v>
      </c>
      <c r="BI81" s="971"/>
      <c r="BJ81" s="971"/>
      <c r="BK81" s="971"/>
      <c r="BL81" s="1246"/>
      <c r="BM81" s="1247" t="s">
        <v>2129</v>
      </c>
    </row>
    <row r="82" spans="1:65" s="1247" customFormat="1" ht="66" customHeight="1">
      <c r="A82" s="1272">
        <v>2000</v>
      </c>
      <c r="B82" s="971" t="s">
        <v>119</v>
      </c>
      <c r="C82" s="1272">
        <v>2100</v>
      </c>
      <c r="D82" s="971" t="s">
        <v>120</v>
      </c>
      <c r="E82" s="971" t="s">
        <v>175</v>
      </c>
      <c r="F82" s="971" t="s">
        <v>176</v>
      </c>
      <c r="G82" s="971" t="s">
        <v>3878</v>
      </c>
      <c r="H82" s="971" t="s">
        <v>3495</v>
      </c>
      <c r="I82" s="1273" t="s">
        <v>6753</v>
      </c>
      <c r="J82" s="971" t="s">
        <v>2146</v>
      </c>
      <c r="K82" s="971" t="s">
        <v>2129</v>
      </c>
      <c r="L82" s="971" t="s">
        <v>2130</v>
      </c>
      <c r="M82" s="971" t="s">
        <v>2129</v>
      </c>
      <c r="N82" s="971" t="s">
        <v>176</v>
      </c>
      <c r="O82" s="971" t="s">
        <v>2130</v>
      </c>
      <c r="P82" s="971" t="s">
        <v>6744</v>
      </c>
      <c r="Q82" s="971" t="s">
        <v>6752</v>
      </c>
      <c r="R82" s="971" t="s">
        <v>3968</v>
      </c>
      <c r="S82" s="1274">
        <v>1</v>
      </c>
      <c r="T82" s="971" t="s">
        <v>242</v>
      </c>
      <c r="U82" s="1275">
        <v>6.666666666666667</v>
      </c>
      <c r="V82" s="1275">
        <v>25</v>
      </c>
      <c r="W82" s="1275">
        <v>666.08920634920639</v>
      </c>
      <c r="X82" s="1275">
        <v>250</v>
      </c>
      <c r="Y82" s="1275">
        <v>941.08920634920639</v>
      </c>
      <c r="Z82" s="1129">
        <v>6.666666666666667</v>
      </c>
      <c r="AA82" s="1129">
        <v>25</v>
      </c>
      <c r="AB82" s="1129">
        <v>666.08920634920639</v>
      </c>
      <c r="AC82" s="1129">
        <v>250</v>
      </c>
      <c r="AD82" s="1098">
        <v>941.08920634920639</v>
      </c>
      <c r="AE82" s="1135">
        <v>4</v>
      </c>
      <c r="AF82" s="1129">
        <v>4</v>
      </c>
      <c r="AG82" s="1127">
        <v>1</v>
      </c>
      <c r="AH82" s="1127">
        <v>0</v>
      </c>
      <c r="AI82" s="1127">
        <v>0</v>
      </c>
      <c r="AJ82" s="1127">
        <v>1</v>
      </c>
      <c r="AK82" s="1129">
        <v>941.08920634920639</v>
      </c>
      <c r="AL82" s="1129">
        <v>0</v>
      </c>
      <c r="AM82" s="1129">
        <v>0</v>
      </c>
      <c r="AN82" s="1129">
        <v>941.08920634920639</v>
      </c>
      <c r="AO82" s="1129" t="s">
        <v>131</v>
      </c>
      <c r="AP82" s="1129" t="s">
        <v>96</v>
      </c>
      <c r="AQ82" s="1157">
        <v>2014</v>
      </c>
      <c r="AR82" s="1129" t="s">
        <v>87</v>
      </c>
      <c r="AS82" s="1127">
        <v>0.33333333333333331</v>
      </c>
      <c r="AT82" s="1127"/>
      <c r="AU82" s="1127">
        <v>0.33333333333333331</v>
      </c>
      <c r="AV82" s="1127"/>
      <c r="AW82" s="1127"/>
      <c r="AX82" s="1127"/>
      <c r="AY82" s="1127"/>
      <c r="AZ82" s="1127">
        <v>0.33333333333333331</v>
      </c>
      <c r="BA82" s="1129">
        <v>313.69640211640211</v>
      </c>
      <c r="BB82" s="1129">
        <v>0</v>
      </c>
      <c r="BC82" s="1129">
        <v>313.69640211640211</v>
      </c>
      <c r="BD82" s="1129">
        <v>0</v>
      </c>
      <c r="BE82" s="1129">
        <v>0</v>
      </c>
      <c r="BF82" s="1129">
        <v>0</v>
      </c>
      <c r="BG82" s="1129">
        <v>0</v>
      </c>
      <c r="BH82" s="1129">
        <v>313.69640211640211</v>
      </c>
      <c r="BI82" s="971"/>
      <c r="BJ82" s="971"/>
      <c r="BK82" s="971"/>
      <c r="BL82" s="1246"/>
      <c r="BM82" s="1247" t="s">
        <v>2129</v>
      </c>
    </row>
    <row r="83" spans="1:65" s="1247" customFormat="1" ht="66" customHeight="1">
      <c r="A83" s="1272">
        <v>2000</v>
      </c>
      <c r="B83" s="971" t="s">
        <v>119</v>
      </c>
      <c r="C83" s="1272">
        <v>2100</v>
      </c>
      <c r="D83" s="971" t="s">
        <v>120</v>
      </c>
      <c r="E83" s="971" t="s">
        <v>175</v>
      </c>
      <c r="F83" s="971" t="s">
        <v>176</v>
      </c>
      <c r="G83" s="971" t="s">
        <v>3878</v>
      </c>
      <c r="H83" s="971" t="s">
        <v>3495</v>
      </c>
      <c r="I83" s="1273" t="s">
        <v>6754</v>
      </c>
      <c r="J83" s="971" t="s">
        <v>2146</v>
      </c>
      <c r="K83" s="971" t="s">
        <v>2129</v>
      </c>
      <c r="L83" s="971" t="s">
        <v>2130</v>
      </c>
      <c r="M83" s="971" t="s">
        <v>2129</v>
      </c>
      <c r="N83" s="971" t="s">
        <v>176</v>
      </c>
      <c r="O83" s="971" t="s">
        <v>2130</v>
      </c>
      <c r="P83" s="971" t="s">
        <v>6744</v>
      </c>
      <c r="Q83" s="971" t="s">
        <v>6752</v>
      </c>
      <c r="R83" s="971" t="s">
        <v>3969</v>
      </c>
      <c r="S83" s="1274">
        <v>1</v>
      </c>
      <c r="T83" s="971" t="s">
        <v>242</v>
      </c>
      <c r="U83" s="1275">
        <v>6.666666666666667</v>
      </c>
      <c r="V83" s="1275">
        <v>25</v>
      </c>
      <c r="W83" s="1275">
        <v>666.08920634920639</v>
      </c>
      <c r="X83" s="1275">
        <v>250</v>
      </c>
      <c r="Y83" s="1275">
        <v>941.08920634920639</v>
      </c>
      <c r="Z83" s="1129">
        <v>6.666666666666667</v>
      </c>
      <c r="AA83" s="1129">
        <v>25</v>
      </c>
      <c r="AB83" s="1129">
        <v>666.08920634920639</v>
      </c>
      <c r="AC83" s="1129">
        <v>250</v>
      </c>
      <c r="AD83" s="1098">
        <v>941.08920634920639</v>
      </c>
      <c r="AE83" s="1135">
        <v>4</v>
      </c>
      <c r="AF83" s="1129">
        <v>4</v>
      </c>
      <c r="AG83" s="1127">
        <v>1</v>
      </c>
      <c r="AH83" s="1127">
        <v>0</v>
      </c>
      <c r="AI83" s="1127">
        <v>0</v>
      </c>
      <c r="AJ83" s="1127">
        <v>1</v>
      </c>
      <c r="AK83" s="1129">
        <v>941.08920634920639</v>
      </c>
      <c r="AL83" s="1129">
        <v>0</v>
      </c>
      <c r="AM83" s="1129">
        <v>0</v>
      </c>
      <c r="AN83" s="1129">
        <v>941.08920634920639</v>
      </c>
      <c r="AO83" s="1129" t="s">
        <v>131</v>
      </c>
      <c r="AP83" s="1129" t="s">
        <v>96</v>
      </c>
      <c r="AQ83" s="1157">
        <v>2014</v>
      </c>
      <c r="AR83" s="1129" t="s">
        <v>87</v>
      </c>
      <c r="AS83" s="1127">
        <v>0.33333333333333331</v>
      </c>
      <c r="AT83" s="1127"/>
      <c r="AU83" s="1127">
        <v>0.33333333333333331</v>
      </c>
      <c r="AV83" s="1127"/>
      <c r="AW83" s="1127"/>
      <c r="AX83" s="1127"/>
      <c r="AY83" s="1127"/>
      <c r="AZ83" s="1127">
        <v>0.33333333333333331</v>
      </c>
      <c r="BA83" s="1129">
        <v>313.69640211640211</v>
      </c>
      <c r="BB83" s="1129">
        <v>0</v>
      </c>
      <c r="BC83" s="1129">
        <v>313.69640211640211</v>
      </c>
      <c r="BD83" s="1129">
        <v>0</v>
      </c>
      <c r="BE83" s="1129">
        <v>0</v>
      </c>
      <c r="BF83" s="1129">
        <v>0</v>
      </c>
      <c r="BG83" s="1129">
        <v>0</v>
      </c>
      <c r="BH83" s="1129">
        <v>313.69640211640211</v>
      </c>
      <c r="BI83" s="971"/>
      <c r="BJ83" s="971"/>
      <c r="BK83" s="971"/>
      <c r="BL83" s="1246"/>
      <c r="BM83" s="1247" t="s">
        <v>2129</v>
      </c>
    </row>
    <row r="84" spans="1:65" s="1247" customFormat="1" ht="66" customHeight="1">
      <c r="A84" s="1272">
        <v>2000</v>
      </c>
      <c r="B84" s="971" t="s">
        <v>119</v>
      </c>
      <c r="C84" s="1272">
        <v>2100</v>
      </c>
      <c r="D84" s="971" t="s">
        <v>120</v>
      </c>
      <c r="E84" s="971" t="s">
        <v>175</v>
      </c>
      <c r="F84" s="971" t="s">
        <v>176</v>
      </c>
      <c r="G84" s="971" t="s">
        <v>3878</v>
      </c>
      <c r="H84" s="971" t="s">
        <v>3495</v>
      </c>
      <c r="I84" s="1273" t="s">
        <v>6755</v>
      </c>
      <c r="J84" s="971" t="s">
        <v>2146</v>
      </c>
      <c r="K84" s="971" t="s">
        <v>2129</v>
      </c>
      <c r="L84" s="971" t="s">
        <v>2130</v>
      </c>
      <c r="M84" s="971" t="s">
        <v>2129</v>
      </c>
      <c r="N84" s="971" t="s">
        <v>176</v>
      </c>
      <c r="O84" s="971" t="s">
        <v>2130</v>
      </c>
      <c r="P84" s="971" t="s">
        <v>6744</v>
      </c>
      <c r="Q84" s="971" t="s">
        <v>6752</v>
      </c>
      <c r="R84" s="971" t="s">
        <v>3970</v>
      </c>
      <c r="S84" s="1274">
        <v>1</v>
      </c>
      <c r="T84" s="971" t="s">
        <v>242</v>
      </c>
      <c r="U84" s="1275">
        <v>6.666666666666667</v>
      </c>
      <c r="V84" s="1275">
        <v>25</v>
      </c>
      <c r="W84" s="1275">
        <v>666.08920634920639</v>
      </c>
      <c r="X84" s="1275">
        <v>250</v>
      </c>
      <c r="Y84" s="1275">
        <v>941.08920634920639</v>
      </c>
      <c r="Z84" s="1129">
        <v>6.666666666666667</v>
      </c>
      <c r="AA84" s="1129">
        <v>25</v>
      </c>
      <c r="AB84" s="1129">
        <v>666.08920634920639</v>
      </c>
      <c r="AC84" s="1129">
        <v>250</v>
      </c>
      <c r="AD84" s="1098">
        <v>941.08920634920639</v>
      </c>
      <c r="AE84" s="1135">
        <v>4</v>
      </c>
      <c r="AF84" s="1129">
        <v>4</v>
      </c>
      <c r="AG84" s="1127">
        <v>1</v>
      </c>
      <c r="AH84" s="1127">
        <v>0</v>
      </c>
      <c r="AI84" s="1127">
        <v>0</v>
      </c>
      <c r="AJ84" s="1127">
        <v>1</v>
      </c>
      <c r="AK84" s="1129">
        <v>941.08920634920639</v>
      </c>
      <c r="AL84" s="1129">
        <v>0</v>
      </c>
      <c r="AM84" s="1129">
        <v>0</v>
      </c>
      <c r="AN84" s="1129">
        <v>941.08920634920639</v>
      </c>
      <c r="AO84" s="1129" t="s">
        <v>131</v>
      </c>
      <c r="AP84" s="1129" t="s">
        <v>96</v>
      </c>
      <c r="AQ84" s="1157">
        <v>2014</v>
      </c>
      <c r="AR84" s="1129" t="s">
        <v>87</v>
      </c>
      <c r="AS84" s="1127">
        <v>0.33333333333333331</v>
      </c>
      <c r="AT84" s="1127"/>
      <c r="AU84" s="1127">
        <v>0.33333333333333331</v>
      </c>
      <c r="AV84" s="1127"/>
      <c r="AW84" s="1127"/>
      <c r="AX84" s="1127"/>
      <c r="AY84" s="1127"/>
      <c r="AZ84" s="1127">
        <v>0.33333333333333331</v>
      </c>
      <c r="BA84" s="1129">
        <v>313.69640211640211</v>
      </c>
      <c r="BB84" s="1129">
        <v>0</v>
      </c>
      <c r="BC84" s="1129">
        <v>313.69640211640211</v>
      </c>
      <c r="BD84" s="1129">
        <v>0</v>
      </c>
      <c r="BE84" s="1129">
        <v>0</v>
      </c>
      <c r="BF84" s="1129">
        <v>0</v>
      </c>
      <c r="BG84" s="1129">
        <v>0</v>
      </c>
      <c r="BH84" s="1129">
        <v>313.69640211640211</v>
      </c>
      <c r="BI84" s="971"/>
      <c r="BJ84" s="971"/>
      <c r="BK84" s="971"/>
      <c r="BL84" s="1246"/>
      <c r="BM84" s="1247" t="s">
        <v>2129</v>
      </c>
    </row>
    <row r="85" spans="1:65" s="1247" customFormat="1" ht="66" customHeight="1">
      <c r="A85" s="1272">
        <v>2000</v>
      </c>
      <c r="B85" s="971" t="s">
        <v>119</v>
      </c>
      <c r="C85" s="1272">
        <v>2300</v>
      </c>
      <c r="D85" s="971" t="s">
        <v>222</v>
      </c>
      <c r="E85" s="971" t="s">
        <v>223</v>
      </c>
      <c r="F85" s="971" t="s">
        <v>224</v>
      </c>
      <c r="G85" s="971" t="s">
        <v>225</v>
      </c>
      <c r="H85" s="971" t="s">
        <v>226</v>
      </c>
      <c r="I85" s="1273" t="s">
        <v>6756</v>
      </c>
      <c r="J85" s="971" t="s">
        <v>228</v>
      </c>
      <c r="K85" s="971" t="s">
        <v>2125</v>
      </c>
      <c r="L85" s="971" t="s">
        <v>2126</v>
      </c>
      <c r="M85" s="971" t="s">
        <v>2125</v>
      </c>
      <c r="N85" s="971" t="s">
        <v>176</v>
      </c>
      <c r="O85" s="971" t="s">
        <v>2126</v>
      </c>
      <c r="P85" s="971"/>
      <c r="Q85" s="971" t="s">
        <v>6757</v>
      </c>
      <c r="R85" s="971" t="s">
        <v>4032</v>
      </c>
      <c r="S85" s="1274">
        <v>1</v>
      </c>
      <c r="T85" s="971" t="s">
        <v>242</v>
      </c>
      <c r="U85" s="1275">
        <v>13</v>
      </c>
      <c r="V85" s="1275">
        <v>120</v>
      </c>
      <c r="W85" s="1275">
        <v>1298.8739523809525</v>
      </c>
      <c r="X85" s="1275">
        <v>1200</v>
      </c>
      <c r="Y85" s="1275">
        <v>2618.8739523809527</v>
      </c>
      <c r="Z85" s="1129">
        <v>13</v>
      </c>
      <c r="AA85" s="1129">
        <v>120</v>
      </c>
      <c r="AB85" s="1129">
        <v>1298.8739523809525</v>
      </c>
      <c r="AC85" s="1129">
        <v>1200</v>
      </c>
      <c r="AD85" s="1098">
        <v>2618.8739523809527</v>
      </c>
      <c r="AE85" s="1135">
        <v>96</v>
      </c>
      <c r="AF85" s="1129">
        <v>96</v>
      </c>
      <c r="AG85" s="1127">
        <v>1</v>
      </c>
      <c r="AH85" s="1127">
        <v>0</v>
      </c>
      <c r="AI85" s="1127">
        <v>0</v>
      </c>
      <c r="AJ85" s="1127">
        <v>1</v>
      </c>
      <c r="AK85" s="1129">
        <v>2618.8739523809527</v>
      </c>
      <c r="AL85" s="1129">
        <v>0</v>
      </c>
      <c r="AM85" s="1129">
        <v>0</v>
      </c>
      <c r="AN85" s="1129">
        <v>2618.8739523809527</v>
      </c>
      <c r="AO85" s="1129" t="s">
        <v>131</v>
      </c>
      <c r="AP85" s="1129" t="s">
        <v>96</v>
      </c>
      <c r="AQ85" s="1157">
        <v>2014</v>
      </c>
      <c r="AR85" s="1129" t="s">
        <v>87</v>
      </c>
      <c r="AS85" s="1127">
        <v>0.33333333333333331</v>
      </c>
      <c r="AT85" s="1127"/>
      <c r="AU85" s="1127">
        <v>0.33333333333333331</v>
      </c>
      <c r="AV85" s="1127"/>
      <c r="AW85" s="1127"/>
      <c r="AX85" s="1127"/>
      <c r="AY85" s="1127"/>
      <c r="AZ85" s="1127">
        <v>0.33333333333333331</v>
      </c>
      <c r="BA85" s="1129">
        <v>872.95798412698423</v>
      </c>
      <c r="BB85" s="1129">
        <v>0</v>
      </c>
      <c r="BC85" s="1129">
        <v>872.95798412698423</v>
      </c>
      <c r="BD85" s="1129">
        <v>0</v>
      </c>
      <c r="BE85" s="1129">
        <v>0</v>
      </c>
      <c r="BF85" s="1129">
        <v>0</v>
      </c>
      <c r="BG85" s="1129">
        <v>0</v>
      </c>
      <c r="BH85" s="1129">
        <v>872.95798412698423</v>
      </c>
      <c r="BI85" s="971"/>
      <c r="BJ85" s="971"/>
      <c r="BK85" s="971"/>
      <c r="BL85" s="1246"/>
      <c r="BM85" s="1247" t="s">
        <v>2129</v>
      </c>
    </row>
    <row r="86" spans="1:65" s="1247" customFormat="1" ht="66" customHeight="1">
      <c r="A86" s="1272">
        <v>2000</v>
      </c>
      <c r="B86" s="971" t="s">
        <v>119</v>
      </c>
      <c r="C86" s="1272">
        <v>2300</v>
      </c>
      <c r="D86" s="971" t="s">
        <v>222</v>
      </c>
      <c r="E86" s="971" t="s">
        <v>223</v>
      </c>
      <c r="F86" s="971" t="s">
        <v>224</v>
      </c>
      <c r="G86" s="971" t="s">
        <v>225</v>
      </c>
      <c r="H86" s="971" t="s">
        <v>226</v>
      </c>
      <c r="I86" s="1273" t="s">
        <v>6758</v>
      </c>
      <c r="J86" s="971" t="s">
        <v>228</v>
      </c>
      <c r="K86" s="971" t="s">
        <v>2125</v>
      </c>
      <c r="L86" s="971" t="s">
        <v>2126</v>
      </c>
      <c r="M86" s="971" t="s">
        <v>2125</v>
      </c>
      <c r="N86" s="971" t="s">
        <v>176</v>
      </c>
      <c r="O86" s="971" t="s">
        <v>2126</v>
      </c>
      <c r="P86" s="971"/>
      <c r="Q86" s="971" t="s">
        <v>6757</v>
      </c>
      <c r="R86" s="971" t="s">
        <v>4034</v>
      </c>
      <c r="S86" s="1274">
        <v>1</v>
      </c>
      <c r="T86" s="971" t="s">
        <v>242</v>
      </c>
      <c r="U86" s="1275">
        <v>13</v>
      </c>
      <c r="V86" s="1275">
        <v>120</v>
      </c>
      <c r="W86" s="1275">
        <v>1298.8739523809525</v>
      </c>
      <c r="X86" s="1275">
        <v>1200</v>
      </c>
      <c r="Y86" s="1275">
        <v>2618.8739523809527</v>
      </c>
      <c r="Z86" s="1129">
        <v>13</v>
      </c>
      <c r="AA86" s="1129">
        <v>120</v>
      </c>
      <c r="AB86" s="1129">
        <v>1298.8739523809525</v>
      </c>
      <c r="AC86" s="1129">
        <v>1200</v>
      </c>
      <c r="AD86" s="1098">
        <v>2618.8739523809527</v>
      </c>
      <c r="AE86" s="1135">
        <v>96</v>
      </c>
      <c r="AF86" s="1129">
        <v>96</v>
      </c>
      <c r="AG86" s="1127">
        <v>1</v>
      </c>
      <c r="AH86" s="1127">
        <v>0</v>
      </c>
      <c r="AI86" s="1127">
        <v>0</v>
      </c>
      <c r="AJ86" s="1127">
        <v>1</v>
      </c>
      <c r="AK86" s="1129">
        <v>2618.8739523809527</v>
      </c>
      <c r="AL86" s="1129">
        <v>0</v>
      </c>
      <c r="AM86" s="1129">
        <v>0</v>
      </c>
      <c r="AN86" s="1129">
        <v>2618.8739523809527</v>
      </c>
      <c r="AO86" s="1129" t="s">
        <v>131</v>
      </c>
      <c r="AP86" s="1129" t="s">
        <v>96</v>
      </c>
      <c r="AQ86" s="1157">
        <v>2014</v>
      </c>
      <c r="AR86" s="1129" t="s">
        <v>87</v>
      </c>
      <c r="AS86" s="1127">
        <v>0.33333333333333331</v>
      </c>
      <c r="AT86" s="1127"/>
      <c r="AU86" s="1127">
        <v>0.33333333333333331</v>
      </c>
      <c r="AV86" s="1127"/>
      <c r="AW86" s="1127"/>
      <c r="AX86" s="1127"/>
      <c r="AY86" s="1127"/>
      <c r="AZ86" s="1127">
        <v>0.33333333333333331</v>
      </c>
      <c r="BA86" s="1129">
        <v>872.95798412698423</v>
      </c>
      <c r="BB86" s="1129">
        <v>0</v>
      </c>
      <c r="BC86" s="1129">
        <v>872.95798412698423</v>
      </c>
      <c r="BD86" s="1129">
        <v>0</v>
      </c>
      <c r="BE86" s="1129">
        <v>0</v>
      </c>
      <c r="BF86" s="1129">
        <v>0</v>
      </c>
      <c r="BG86" s="1129">
        <v>0</v>
      </c>
      <c r="BH86" s="1129">
        <v>872.95798412698423</v>
      </c>
      <c r="BI86" s="971"/>
      <c r="BJ86" s="971"/>
      <c r="BK86" s="971"/>
      <c r="BL86" s="1246"/>
      <c r="BM86" s="1247" t="s">
        <v>2129</v>
      </c>
    </row>
    <row r="87" spans="1:65" s="1247" customFormat="1" ht="66" customHeight="1">
      <c r="A87" s="1272">
        <v>2000</v>
      </c>
      <c r="B87" s="971" t="s">
        <v>119</v>
      </c>
      <c r="C87" s="1272">
        <v>2300</v>
      </c>
      <c r="D87" s="971" t="s">
        <v>222</v>
      </c>
      <c r="E87" s="971" t="s">
        <v>223</v>
      </c>
      <c r="F87" s="971" t="s">
        <v>224</v>
      </c>
      <c r="G87" s="971" t="s">
        <v>225</v>
      </c>
      <c r="H87" s="971" t="s">
        <v>226</v>
      </c>
      <c r="I87" s="1273" t="s">
        <v>6759</v>
      </c>
      <c r="J87" s="971" t="s">
        <v>228</v>
      </c>
      <c r="K87" s="971" t="s">
        <v>2125</v>
      </c>
      <c r="L87" s="971" t="s">
        <v>2126</v>
      </c>
      <c r="M87" s="971" t="s">
        <v>2125</v>
      </c>
      <c r="N87" s="971" t="s">
        <v>176</v>
      </c>
      <c r="O87" s="971" t="s">
        <v>2126</v>
      </c>
      <c r="P87" s="971"/>
      <c r="Q87" s="971" t="s">
        <v>6757</v>
      </c>
      <c r="R87" s="971" t="s">
        <v>4035</v>
      </c>
      <c r="S87" s="1274">
        <v>1</v>
      </c>
      <c r="T87" s="971" t="s">
        <v>242</v>
      </c>
      <c r="U87" s="1275">
        <v>13</v>
      </c>
      <c r="V87" s="1275">
        <v>120</v>
      </c>
      <c r="W87" s="1275">
        <v>1298.8739523809525</v>
      </c>
      <c r="X87" s="1275">
        <v>1200</v>
      </c>
      <c r="Y87" s="1275">
        <v>2618.8739523809527</v>
      </c>
      <c r="Z87" s="1129">
        <v>13</v>
      </c>
      <c r="AA87" s="1129">
        <v>120</v>
      </c>
      <c r="AB87" s="1129">
        <v>1298.8739523809525</v>
      </c>
      <c r="AC87" s="1129">
        <v>1200</v>
      </c>
      <c r="AD87" s="1098">
        <v>2618.8739523809527</v>
      </c>
      <c r="AE87" s="1135">
        <v>96</v>
      </c>
      <c r="AF87" s="1129">
        <v>96</v>
      </c>
      <c r="AG87" s="1127">
        <v>1</v>
      </c>
      <c r="AH87" s="1127">
        <v>0</v>
      </c>
      <c r="AI87" s="1127">
        <v>0</v>
      </c>
      <c r="AJ87" s="1127">
        <v>1</v>
      </c>
      <c r="AK87" s="1129">
        <v>2618.8739523809527</v>
      </c>
      <c r="AL87" s="1129">
        <v>0</v>
      </c>
      <c r="AM87" s="1129">
        <v>0</v>
      </c>
      <c r="AN87" s="1129">
        <v>2618.8739523809527</v>
      </c>
      <c r="AO87" s="1129" t="s">
        <v>131</v>
      </c>
      <c r="AP87" s="1129" t="s">
        <v>96</v>
      </c>
      <c r="AQ87" s="1157">
        <v>2014</v>
      </c>
      <c r="AR87" s="1129" t="s">
        <v>87</v>
      </c>
      <c r="AS87" s="1127">
        <v>0.33333333333333331</v>
      </c>
      <c r="AT87" s="1127"/>
      <c r="AU87" s="1127">
        <v>0.33333333333333331</v>
      </c>
      <c r="AV87" s="1127"/>
      <c r="AW87" s="1127"/>
      <c r="AX87" s="1127"/>
      <c r="AY87" s="1127"/>
      <c r="AZ87" s="1127">
        <v>0.33333333333333331</v>
      </c>
      <c r="BA87" s="1129">
        <v>872.95798412698423</v>
      </c>
      <c r="BB87" s="1129">
        <v>0</v>
      </c>
      <c r="BC87" s="1129">
        <v>872.95798412698423</v>
      </c>
      <c r="BD87" s="1129">
        <v>0</v>
      </c>
      <c r="BE87" s="1129">
        <v>0</v>
      </c>
      <c r="BF87" s="1129">
        <v>0</v>
      </c>
      <c r="BG87" s="1129">
        <v>0</v>
      </c>
      <c r="BH87" s="1129">
        <v>872.95798412698423</v>
      </c>
      <c r="BI87" s="971"/>
      <c r="BJ87" s="971"/>
      <c r="BK87" s="971"/>
      <c r="BL87" s="1246"/>
      <c r="BM87" s="1247" t="s">
        <v>2129</v>
      </c>
    </row>
    <row r="88" spans="1:65" s="1247" customFormat="1" ht="66" customHeight="1">
      <c r="A88" s="1272">
        <v>2000</v>
      </c>
      <c r="B88" s="971" t="s">
        <v>119</v>
      </c>
      <c r="C88" s="1272">
        <v>2300</v>
      </c>
      <c r="D88" s="971" t="s">
        <v>222</v>
      </c>
      <c r="E88" s="971" t="s">
        <v>223</v>
      </c>
      <c r="F88" s="971" t="s">
        <v>224</v>
      </c>
      <c r="G88" s="971" t="s">
        <v>225</v>
      </c>
      <c r="H88" s="971" t="s">
        <v>226</v>
      </c>
      <c r="I88" s="1273" t="s">
        <v>6760</v>
      </c>
      <c r="J88" s="971" t="s">
        <v>228</v>
      </c>
      <c r="K88" s="971" t="s">
        <v>2125</v>
      </c>
      <c r="L88" s="971" t="s">
        <v>2126</v>
      </c>
      <c r="M88" s="971" t="s">
        <v>2125</v>
      </c>
      <c r="N88" s="971" t="s">
        <v>176</v>
      </c>
      <c r="O88" s="971" t="s">
        <v>2126</v>
      </c>
      <c r="P88" s="971"/>
      <c r="Q88" s="971" t="s">
        <v>6761</v>
      </c>
      <c r="R88" s="971" t="s">
        <v>4036</v>
      </c>
      <c r="S88" s="1274">
        <v>1</v>
      </c>
      <c r="T88" s="971" t="s">
        <v>242</v>
      </c>
      <c r="U88" s="1275">
        <v>13</v>
      </c>
      <c r="V88" s="1275">
        <v>120</v>
      </c>
      <c r="W88" s="1275">
        <v>1298.8739523809525</v>
      </c>
      <c r="X88" s="1275">
        <v>1200</v>
      </c>
      <c r="Y88" s="1275">
        <v>2618.8739523809527</v>
      </c>
      <c r="Z88" s="1129">
        <v>13</v>
      </c>
      <c r="AA88" s="1129">
        <v>120</v>
      </c>
      <c r="AB88" s="1129">
        <v>1298.8739523809525</v>
      </c>
      <c r="AC88" s="1129">
        <v>1200</v>
      </c>
      <c r="AD88" s="1098">
        <v>2618.8739523809527</v>
      </c>
      <c r="AE88" s="1135">
        <v>96</v>
      </c>
      <c r="AF88" s="1129">
        <v>96</v>
      </c>
      <c r="AG88" s="1127">
        <v>1</v>
      </c>
      <c r="AH88" s="1127">
        <v>0</v>
      </c>
      <c r="AI88" s="1127">
        <v>0</v>
      </c>
      <c r="AJ88" s="1127">
        <v>1</v>
      </c>
      <c r="AK88" s="1129">
        <v>2618.8739523809527</v>
      </c>
      <c r="AL88" s="1129">
        <v>0</v>
      </c>
      <c r="AM88" s="1129">
        <v>0</v>
      </c>
      <c r="AN88" s="1129">
        <v>2618.8739523809527</v>
      </c>
      <c r="AO88" s="1129" t="s">
        <v>131</v>
      </c>
      <c r="AP88" s="1129" t="s">
        <v>96</v>
      </c>
      <c r="AQ88" s="1157">
        <v>2014</v>
      </c>
      <c r="AR88" s="1129" t="s">
        <v>87</v>
      </c>
      <c r="AS88" s="1127">
        <v>0.33333333333333331</v>
      </c>
      <c r="AT88" s="1127"/>
      <c r="AU88" s="1127">
        <v>0.33333333333333331</v>
      </c>
      <c r="AV88" s="1127"/>
      <c r="AW88" s="1127"/>
      <c r="AX88" s="1127"/>
      <c r="AY88" s="1127"/>
      <c r="AZ88" s="1127">
        <v>0.33333333333333331</v>
      </c>
      <c r="BA88" s="1129">
        <v>872.95798412698423</v>
      </c>
      <c r="BB88" s="1129">
        <v>0</v>
      </c>
      <c r="BC88" s="1129">
        <v>872.95798412698423</v>
      </c>
      <c r="BD88" s="1129">
        <v>0</v>
      </c>
      <c r="BE88" s="1129">
        <v>0</v>
      </c>
      <c r="BF88" s="1129">
        <v>0</v>
      </c>
      <c r="BG88" s="1129">
        <v>0</v>
      </c>
      <c r="BH88" s="1129">
        <v>872.95798412698423</v>
      </c>
      <c r="BI88" s="971"/>
      <c r="BJ88" s="971"/>
      <c r="BK88" s="971"/>
      <c r="BL88" s="1246"/>
      <c r="BM88" s="1247" t="s">
        <v>2129</v>
      </c>
    </row>
    <row r="89" spans="1:65" s="1247" customFormat="1" ht="66" customHeight="1">
      <c r="A89" s="1272">
        <v>2000</v>
      </c>
      <c r="B89" s="971" t="s">
        <v>119</v>
      </c>
      <c r="C89" s="1272">
        <v>2300</v>
      </c>
      <c r="D89" s="971" t="s">
        <v>222</v>
      </c>
      <c r="E89" s="971" t="s">
        <v>223</v>
      </c>
      <c r="F89" s="971" t="s">
        <v>224</v>
      </c>
      <c r="G89" s="971" t="s">
        <v>225</v>
      </c>
      <c r="H89" s="971" t="s">
        <v>226</v>
      </c>
      <c r="I89" s="1273" t="s">
        <v>6762</v>
      </c>
      <c r="J89" s="971" t="s">
        <v>228</v>
      </c>
      <c r="K89" s="971" t="s">
        <v>2125</v>
      </c>
      <c r="L89" s="971" t="s">
        <v>2126</v>
      </c>
      <c r="M89" s="971" t="s">
        <v>2125</v>
      </c>
      <c r="N89" s="971" t="s">
        <v>176</v>
      </c>
      <c r="O89" s="971" t="s">
        <v>2126</v>
      </c>
      <c r="P89" s="971"/>
      <c r="Q89" s="971" t="s">
        <v>6757</v>
      </c>
      <c r="R89" s="971" t="s">
        <v>4037</v>
      </c>
      <c r="S89" s="1274">
        <v>1</v>
      </c>
      <c r="T89" s="971" t="s">
        <v>242</v>
      </c>
      <c r="U89" s="1275">
        <v>13</v>
      </c>
      <c r="V89" s="1275">
        <v>120</v>
      </c>
      <c r="W89" s="1275">
        <v>1298.8739523809525</v>
      </c>
      <c r="X89" s="1275">
        <v>1200</v>
      </c>
      <c r="Y89" s="1275">
        <v>2618.8739523809527</v>
      </c>
      <c r="Z89" s="1129">
        <v>13</v>
      </c>
      <c r="AA89" s="1129">
        <v>120</v>
      </c>
      <c r="AB89" s="1129">
        <v>1298.8739523809525</v>
      </c>
      <c r="AC89" s="1129">
        <v>1200</v>
      </c>
      <c r="AD89" s="1098">
        <v>2618.8739523809527</v>
      </c>
      <c r="AE89" s="1135">
        <v>96</v>
      </c>
      <c r="AF89" s="1129">
        <v>96</v>
      </c>
      <c r="AG89" s="1127">
        <v>1</v>
      </c>
      <c r="AH89" s="1127">
        <v>0</v>
      </c>
      <c r="AI89" s="1127">
        <v>0</v>
      </c>
      <c r="AJ89" s="1127">
        <v>1</v>
      </c>
      <c r="AK89" s="1129">
        <v>2618.8739523809527</v>
      </c>
      <c r="AL89" s="1129">
        <v>0</v>
      </c>
      <c r="AM89" s="1129">
        <v>0</v>
      </c>
      <c r="AN89" s="1129">
        <v>2618.8739523809527</v>
      </c>
      <c r="AO89" s="1129" t="s">
        <v>131</v>
      </c>
      <c r="AP89" s="1129" t="s">
        <v>96</v>
      </c>
      <c r="AQ89" s="1157">
        <v>2014</v>
      </c>
      <c r="AR89" s="1129" t="s">
        <v>87</v>
      </c>
      <c r="AS89" s="1127">
        <v>0.33333333333333331</v>
      </c>
      <c r="AT89" s="1127"/>
      <c r="AU89" s="1127">
        <v>0.33333333333333331</v>
      </c>
      <c r="AV89" s="1127"/>
      <c r="AW89" s="1127"/>
      <c r="AX89" s="1127"/>
      <c r="AY89" s="1127"/>
      <c r="AZ89" s="1127">
        <v>0.33333333333333331</v>
      </c>
      <c r="BA89" s="1129">
        <v>872.95798412698423</v>
      </c>
      <c r="BB89" s="1129">
        <v>0</v>
      </c>
      <c r="BC89" s="1129">
        <v>872.95798412698423</v>
      </c>
      <c r="BD89" s="1129">
        <v>0</v>
      </c>
      <c r="BE89" s="1129">
        <v>0</v>
      </c>
      <c r="BF89" s="1129">
        <v>0</v>
      </c>
      <c r="BG89" s="1129">
        <v>0</v>
      </c>
      <c r="BH89" s="1129">
        <v>872.95798412698423</v>
      </c>
      <c r="BI89" s="971"/>
      <c r="BJ89" s="971"/>
      <c r="BK89" s="971"/>
      <c r="BL89" s="1246"/>
      <c r="BM89" s="1247" t="s">
        <v>2129</v>
      </c>
    </row>
    <row r="90" spans="1:65" s="1247" customFormat="1" ht="66" customHeight="1">
      <c r="A90" s="1272">
        <v>2000</v>
      </c>
      <c r="B90" s="971" t="s">
        <v>119</v>
      </c>
      <c r="C90" s="1272">
        <v>2300</v>
      </c>
      <c r="D90" s="971" t="s">
        <v>222</v>
      </c>
      <c r="E90" s="971" t="s">
        <v>223</v>
      </c>
      <c r="F90" s="971" t="s">
        <v>224</v>
      </c>
      <c r="G90" s="971" t="s">
        <v>225</v>
      </c>
      <c r="H90" s="971" t="s">
        <v>226</v>
      </c>
      <c r="I90" s="1273" t="s">
        <v>2209</v>
      </c>
      <c r="J90" s="971" t="s">
        <v>228</v>
      </c>
      <c r="K90" s="971" t="s">
        <v>2125</v>
      </c>
      <c r="L90" s="971" t="s">
        <v>2126</v>
      </c>
      <c r="M90" s="971" t="s">
        <v>2125</v>
      </c>
      <c r="N90" s="971" t="s">
        <v>176</v>
      </c>
      <c r="O90" s="971" t="s">
        <v>2126</v>
      </c>
      <c r="P90" s="971"/>
      <c r="Q90" s="971" t="s">
        <v>6757</v>
      </c>
      <c r="R90" s="971" t="s">
        <v>4038</v>
      </c>
      <c r="S90" s="1274">
        <v>1</v>
      </c>
      <c r="T90" s="971" t="s">
        <v>242</v>
      </c>
      <c r="U90" s="1275">
        <v>13</v>
      </c>
      <c r="V90" s="1275">
        <v>120</v>
      </c>
      <c r="W90" s="1275">
        <v>1298.8739523809525</v>
      </c>
      <c r="X90" s="1275">
        <v>1200</v>
      </c>
      <c r="Y90" s="1275">
        <v>2618.8739523809527</v>
      </c>
      <c r="Z90" s="1129">
        <v>13</v>
      </c>
      <c r="AA90" s="1129">
        <v>120</v>
      </c>
      <c r="AB90" s="1129">
        <v>1298.8739523809525</v>
      </c>
      <c r="AC90" s="1129">
        <v>1200</v>
      </c>
      <c r="AD90" s="1098">
        <v>2618.8739523809527</v>
      </c>
      <c r="AE90" s="1135">
        <v>96</v>
      </c>
      <c r="AF90" s="1129">
        <v>96</v>
      </c>
      <c r="AG90" s="1127">
        <v>1</v>
      </c>
      <c r="AH90" s="1127">
        <v>0</v>
      </c>
      <c r="AI90" s="1127">
        <v>0</v>
      </c>
      <c r="AJ90" s="1127">
        <v>1</v>
      </c>
      <c r="AK90" s="1129">
        <v>2618.8739523809527</v>
      </c>
      <c r="AL90" s="1129">
        <v>0</v>
      </c>
      <c r="AM90" s="1129">
        <v>0</v>
      </c>
      <c r="AN90" s="1129">
        <v>2618.8739523809527</v>
      </c>
      <c r="AO90" s="1129" t="s">
        <v>131</v>
      </c>
      <c r="AP90" s="1129" t="s">
        <v>96</v>
      </c>
      <c r="AQ90" s="1157">
        <v>2014</v>
      </c>
      <c r="AR90" s="1129" t="s">
        <v>87</v>
      </c>
      <c r="AS90" s="1127">
        <v>0.33333333333333331</v>
      </c>
      <c r="AT90" s="1127"/>
      <c r="AU90" s="1127">
        <v>0.33333333333333331</v>
      </c>
      <c r="AV90" s="1127"/>
      <c r="AW90" s="1127"/>
      <c r="AX90" s="1127"/>
      <c r="AY90" s="1127"/>
      <c r="AZ90" s="1127">
        <v>0.33333333333333331</v>
      </c>
      <c r="BA90" s="1129">
        <v>872.95798412698423</v>
      </c>
      <c r="BB90" s="1129">
        <v>0</v>
      </c>
      <c r="BC90" s="1129">
        <v>872.95798412698423</v>
      </c>
      <c r="BD90" s="1129">
        <v>0</v>
      </c>
      <c r="BE90" s="1129">
        <v>0</v>
      </c>
      <c r="BF90" s="1129">
        <v>0</v>
      </c>
      <c r="BG90" s="1129">
        <v>0</v>
      </c>
      <c r="BH90" s="1129">
        <v>872.95798412698423</v>
      </c>
      <c r="BI90" s="971"/>
      <c r="BJ90" s="971"/>
      <c r="BK90" s="971"/>
      <c r="BL90" s="1246"/>
      <c r="BM90" s="1247" t="s">
        <v>2129</v>
      </c>
    </row>
    <row r="91" spans="1:65" s="1247" customFormat="1" ht="49.5" customHeight="1">
      <c r="A91" s="1272">
        <v>2000</v>
      </c>
      <c r="B91" s="971" t="s">
        <v>119</v>
      </c>
      <c r="C91" s="1272">
        <v>2500</v>
      </c>
      <c r="D91" s="971" t="s">
        <v>452</v>
      </c>
      <c r="E91" s="971" t="s">
        <v>453</v>
      </c>
      <c r="F91" s="971" t="s">
        <v>454</v>
      </c>
      <c r="G91" s="971" t="s">
        <v>528</v>
      </c>
      <c r="H91" s="971" t="s">
        <v>514</v>
      </c>
      <c r="I91" s="1273" t="s">
        <v>6763</v>
      </c>
      <c r="J91" s="971" t="s">
        <v>2146</v>
      </c>
      <c r="K91" s="971" t="s">
        <v>2129</v>
      </c>
      <c r="L91" s="971" t="s">
        <v>2130</v>
      </c>
      <c r="M91" s="971" t="s">
        <v>2129</v>
      </c>
      <c r="N91" s="971" t="s">
        <v>176</v>
      </c>
      <c r="O91" s="971" t="s">
        <v>2130</v>
      </c>
      <c r="P91" s="971" t="s">
        <v>6619</v>
      </c>
      <c r="Q91" s="971" t="s">
        <v>6764</v>
      </c>
      <c r="R91" s="971" t="s">
        <v>4134</v>
      </c>
      <c r="S91" s="1274">
        <v>1</v>
      </c>
      <c r="T91" s="971" t="s">
        <v>242</v>
      </c>
      <c r="U91" s="1275">
        <v>6.666666666666667</v>
      </c>
      <c r="V91" s="1275">
        <v>25</v>
      </c>
      <c r="W91" s="1275">
        <v>666.08920634920639</v>
      </c>
      <c r="X91" s="1275">
        <v>250</v>
      </c>
      <c r="Y91" s="1275">
        <v>941.08920634920639</v>
      </c>
      <c r="Z91" s="1129">
        <v>6.666666666666667</v>
      </c>
      <c r="AA91" s="1129">
        <v>25</v>
      </c>
      <c r="AB91" s="1129">
        <v>666.08920634920639</v>
      </c>
      <c r="AC91" s="1129">
        <v>250</v>
      </c>
      <c r="AD91" s="1098">
        <v>941.08920634920639</v>
      </c>
      <c r="AE91" s="1135">
        <v>4</v>
      </c>
      <c r="AF91" s="1129">
        <v>4</v>
      </c>
      <c r="AG91" s="1127">
        <v>1</v>
      </c>
      <c r="AH91" s="1127">
        <v>0</v>
      </c>
      <c r="AI91" s="1127">
        <v>0</v>
      </c>
      <c r="AJ91" s="1127">
        <v>1</v>
      </c>
      <c r="AK91" s="1129">
        <v>941.08920634920639</v>
      </c>
      <c r="AL91" s="1129">
        <v>0</v>
      </c>
      <c r="AM91" s="1129">
        <v>0</v>
      </c>
      <c r="AN91" s="1129">
        <v>941.08920634920639</v>
      </c>
      <c r="AO91" s="1129" t="s">
        <v>131</v>
      </c>
      <c r="AP91" s="1129" t="s">
        <v>96</v>
      </c>
      <c r="AQ91" s="1157">
        <v>2014</v>
      </c>
      <c r="AR91" s="1129" t="s">
        <v>87</v>
      </c>
      <c r="AS91" s="1127">
        <v>0.33333333333333331</v>
      </c>
      <c r="AT91" s="1127"/>
      <c r="AU91" s="1127">
        <v>0.33333333333333331</v>
      </c>
      <c r="AV91" s="1127"/>
      <c r="AW91" s="1127"/>
      <c r="AX91" s="1127"/>
      <c r="AY91" s="1127"/>
      <c r="AZ91" s="1127">
        <v>0.33333333333333331</v>
      </c>
      <c r="BA91" s="1129">
        <v>313.69640211640211</v>
      </c>
      <c r="BB91" s="1129">
        <v>0</v>
      </c>
      <c r="BC91" s="1129">
        <v>313.69640211640211</v>
      </c>
      <c r="BD91" s="1129">
        <v>0</v>
      </c>
      <c r="BE91" s="1129">
        <v>0</v>
      </c>
      <c r="BF91" s="1129">
        <v>0</v>
      </c>
      <c r="BG91" s="1129">
        <v>0</v>
      </c>
      <c r="BH91" s="1129">
        <v>313.69640211640211</v>
      </c>
      <c r="BI91" s="971"/>
      <c r="BJ91" s="971"/>
      <c r="BK91" s="971"/>
      <c r="BL91" s="1246"/>
      <c r="BM91" s="1247" t="s">
        <v>2129</v>
      </c>
    </row>
    <row r="92" spans="1:65" s="1247" customFormat="1" ht="82.5" customHeight="1">
      <c r="A92" s="1272">
        <v>2000</v>
      </c>
      <c r="B92" s="971" t="s">
        <v>119</v>
      </c>
      <c r="C92" s="1272">
        <v>2500</v>
      </c>
      <c r="D92" s="971" t="s">
        <v>452</v>
      </c>
      <c r="E92" s="971" t="s">
        <v>453</v>
      </c>
      <c r="F92" s="971" t="s">
        <v>454</v>
      </c>
      <c r="G92" s="971" t="s">
        <v>528</v>
      </c>
      <c r="H92" s="971" t="s">
        <v>514</v>
      </c>
      <c r="I92" s="1273" t="s">
        <v>6765</v>
      </c>
      <c r="J92" s="971" t="s">
        <v>2146</v>
      </c>
      <c r="K92" s="971" t="s">
        <v>2125</v>
      </c>
      <c r="L92" s="971" t="s">
        <v>2126</v>
      </c>
      <c r="M92" s="971" t="s">
        <v>2125</v>
      </c>
      <c r="N92" s="971" t="s">
        <v>176</v>
      </c>
      <c r="O92" s="971" t="s">
        <v>2126</v>
      </c>
      <c r="P92" s="971" t="s">
        <v>6766</v>
      </c>
      <c r="Q92" s="971" t="s">
        <v>6767</v>
      </c>
      <c r="R92" s="971" t="s">
        <v>4138</v>
      </c>
      <c r="S92" s="1274">
        <v>1</v>
      </c>
      <c r="T92" s="971" t="s">
        <v>242</v>
      </c>
      <c r="U92" s="1275">
        <v>13</v>
      </c>
      <c r="V92" s="1275">
        <v>120</v>
      </c>
      <c r="W92" s="1275">
        <v>1298.8739523809525</v>
      </c>
      <c r="X92" s="1275">
        <v>1200</v>
      </c>
      <c r="Y92" s="1275">
        <v>2618.8739523809527</v>
      </c>
      <c r="Z92" s="1129">
        <v>13</v>
      </c>
      <c r="AA92" s="1129">
        <v>120</v>
      </c>
      <c r="AB92" s="1129">
        <v>1298.8739523809525</v>
      </c>
      <c r="AC92" s="1129">
        <v>1200</v>
      </c>
      <c r="AD92" s="1098">
        <v>2618.8739523809527</v>
      </c>
      <c r="AE92" s="1135">
        <v>96</v>
      </c>
      <c r="AF92" s="1129">
        <v>96</v>
      </c>
      <c r="AG92" s="1127">
        <v>1</v>
      </c>
      <c r="AH92" s="1127">
        <v>0</v>
      </c>
      <c r="AI92" s="1127">
        <v>0</v>
      </c>
      <c r="AJ92" s="1127">
        <v>1</v>
      </c>
      <c r="AK92" s="1129">
        <v>2618.8739523809527</v>
      </c>
      <c r="AL92" s="1129">
        <v>0</v>
      </c>
      <c r="AM92" s="1129">
        <v>0</v>
      </c>
      <c r="AN92" s="1129">
        <v>2618.8739523809527</v>
      </c>
      <c r="AO92" s="1129" t="s">
        <v>131</v>
      </c>
      <c r="AP92" s="1129" t="s">
        <v>96</v>
      </c>
      <c r="AQ92" s="1157">
        <v>2014</v>
      </c>
      <c r="AR92" s="1129" t="s">
        <v>87</v>
      </c>
      <c r="AS92" s="1127">
        <v>0.33333333333333331</v>
      </c>
      <c r="AT92" s="1127"/>
      <c r="AU92" s="1127">
        <v>0.33333333333333331</v>
      </c>
      <c r="AV92" s="1127"/>
      <c r="AW92" s="1127"/>
      <c r="AX92" s="1127"/>
      <c r="AY92" s="1127"/>
      <c r="AZ92" s="1127">
        <v>0.33333333333333331</v>
      </c>
      <c r="BA92" s="1129">
        <v>872.95798412698423</v>
      </c>
      <c r="BB92" s="1129">
        <v>0</v>
      </c>
      <c r="BC92" s="1129">
        <v>872.95798412698423</v>
      </c>
      <c r="BD92" s="1129">
        <v>0</v>
      </c>
      <c r="BE92" s="1129">
        <v>0</v>
      </c>
      <c r="BF92" s="1129">
        <v>0</v>
      </c>
      <c r="BG92" s="1129">
        <v>0</v>
      </c>
      <c r="BH92" s="1129">
        <v>872.95798412698423</v>
      </c>
      <c r="BI92" s="971"/>
      <c r="BJ92" s="971"/>
      <c r="BK92" s="971"/>
      <c r="BL92" s="1246"/>
      <c r="BM92" s="1247" t="s">
        <v>2125</v>
      </c>
    </row>
    <row r="93" spans="1:65" s="1247" customFormat="1" ht="49.5" customHeight="1">
      <c r="A93" s="1272">
        <v>4000</v>
      </c>
      <c r="B93" s="971" t="s">
        <v>1316</v>
      </c>
      <c r="C93" s="1272">
        <v>4100</v>
      </c>
      <c r="D93" s="971" t="s">
        <v>120</v>
      </c>
      <c r="E93" s="971" t="s">
        <v>1389</v>
      </c>
      <c r="F93" s="971" t="s">
        <v>176</v>
      </c>
      <c r="G93" s="971" t="s">
        <v>4459</v>
      </c>
      <c r="H93" s="971" t="s">
        <v>1390</v>
      </c>
      <c r="I93" s="1273" t="s">
        <v>6768</v>
      </c>
      <c r="J93" s="971" t="s">
        <v>2146</v>
      </c>
      <c r="K93" s="971" t="s">
        <v>2125</v>
      </c>
      <c r="L93" s="971" t="s">
        <v>2126</v>
      </c>
      <c r="M93" s="971" t="s">
        <v>2125</v>
      </c>
      <c r="N93" s="971" t="s">
        <v>176</v>
      </c>
      <c r="O93" s="971" t="s">
        <v>2126</v>
      </c>
      <c r="P93" s="971" t="s">
        <v>6626</v>
      </c>
      <c r="Q93" s="971" t="s">
        <v>6769</v>
      </c>
      <c r="R93" s="971" t="s">
        <v>4460</v>
      </c>
      <c r="S93" s="1274">
        <v>1</v>
      </c>
      <c r="T93" s="971" t="s">
        <v>242</v>
      </c>
      <c r="U93" s="1275">
        <v>13</v>
      </c>
      <c r="V93" s="1275">
        <v>120</v>
      </c>
      <c r="W93" s="1275">
        <v>1298.8739523809525</v>
      </c>
      <c r="X93" s="1275">
        <v>1200</v>
      </c>
      <c r="Y93" s="1275">
        <v>2618.8739523809527</v>
      </c>
      <c r="Z93" s="1129">
        <v>13</v>
      </c>
      <c r="AA93" s="1129">
        <v>120</v>
      </c>
      <c r="AB93" s="1129">
        <v>1298.8739523809525</v>
      </c>
      <c r="AC93" s="1129">
        <v>1200</v>
      </c>
      <c r="AD93" s="1098">
        <v>2618.8739523809527</v>
      </c>
      <c r="AE93" s="1237">
        <v>96</v>
      </c>
      <c r="AF93" s="1133">
        <v>96</v>
      </c>
      <c r="AG93" s="1127">
        <v>1</v>
      </c>
      <c r="AH93" s="1127">
        <v>0</v>
      </c>
      <c r="AI93" s="1127">
        <v>0</v>
      </c>
      <c r="AJ93" s="1127">
        <v>1</v>
      </c>
      <c r="AK93" s="1129">
        <v>2618.8739523809527</v>
      </c>
      <c r="AL93" s="1129">
        <v>0</v>
      </c>
      <c r="AM93" s="1129">
        <v>0</v>
      </c>
      <c r="AN93" s="1129">
        <v>2618.8739523809527</v>
      </c>
      <c r="AO93" s="1129" t="s">
        <v>85</v>
      </c>
      <c r="AP93" s="1129" t="s">
        <v>96</v>
      </c>
      <c r="AQ93" s="1157">
        <v>2014</v>
      </c>
      <c r="AR93" s="1129" t="s">
        <v>87</v>
      </c>
      <c r="AS93" s="1127">
        <v>0.33333333333333331</v>
      </c>
      <c r="AT93" s="1127"/>
      <c r="AU93" s="1127">
        <v>0.33333333333333331</v>
      </c>
      <c r="AV93" s="1127"/>
      <c r="AW93" s="1127"/>
      <c r="AX93" s="1127"/>
      <c r="AY93" s="1127"/>
      <c r="AZ93" s="1127">
        <v>0.33333333333333331</v>
      </c>
      <c r="BA93" s="1129">
        <v>872.95798412698423</v>
      </c>
      <c r="BB93" s="1129">
        <v>0</v>
      </c>
      <c r="BC93" s="1129">
        <v>872.95798412698423</v>
      </c>
      <c r="BD93" s="1129">
        <v>0</v>
      </c>
      <c r="BE93" s="1129">
        <v>0</v>
      </c>
      <c r="BF93" s="1129">
        <v>0</v>
      </c>
      <c r="BG93" s="1129">
        <v>0</v>
      </c>
      <c r="BH93" s="1129">
        <v>872.95798412698423</v>
      </c>
      <c r="BI93" s="971"/>
      <c r="BJ93" s="971"/>
      <c r="BK93" s="971"/>
      <c r="BL93" s="1246"/>
      <c r="BM93" s="1247" t="s">
        <v>2127</v>
      </c>
    </row>
    <row r="94" spans="1:65" s="1247" customFormat="1" ht="49.5" customHeight="1">
      <c r="A94" s="1272">
        <v>4000</v>
      </c>
      <c r="B94" s="971" t="s">
        <v>1316</v>
      </c>
      <c r="C94" s="1272">
        <v>4100</v>
      </c>
      <c r="D94" s="971" t="s">
        <v>120</v>
      </c>
      <c r="E94" s="971" t="s">
        <v>1389</v>
      </c>
      <c r="F94" s="971" t="s">
        <v>176</v>
      </c>
      <c r="G94" s="971" t="s">
        <v>4459</v>
      </c>
      <c r="H94" s="971" t="s">
        <v>1390</v>
      </c>
      <c r="I94" s="1273" t="s">
        <v>6770</v>
      </c>
      <c r="J94" s="971" t="s">
        <v>2146</v>
      </c>
      <c r="K94" s="971" t="s">
        <v>2125</v>
      </c>
      <c r="L94" s="971" t="s">
        <v>2126</v>
      </c>
      <c r="M94" s="971" t="s">
        <v>2125</v>
      </c>
      <c r="N94" s="971" t="s">
        <v>176</v>
      </c>
      <c r="O94" s="971" t="s">
        <v>2126</v>
      </c>
      <c r="P94" s="971" t="s">
        <v>6626</v>
      </c>
      <c r="Q94" s="971" t="s">
        <v>6769</v>
      </c>
      <c r="R94" s="971" t="s">
        <v>4464</v>
      </c>
      <c r="S94" s="1274">
        <v>1</v>
      </c>
      <c r="T94" s="971" t="s">
        <v>242</v>
      </c>
      <c r="U94" s="1275">
        <v>13</v>
      </c>
      <c r="V94" s="1275">
        <v>120</v>
      </c>
      <c r="W94" s="1275">
        <v>1298.8739523809525</v>
      </c>
      <c r="X94" s="1275">
        <v>1200</v>
      </c>
      <c r="Y94" s="1275">
        <v>2618.8739523809527</v>
      </c>
      <c r="Z94" s="1129">
        <v>13</v>
      </c>
      <c r="AA94" s="1129">
        <v>120</v>
      </c>
      <c r="AB94" s="1129">
        <v>1298.8739523809525</v>
      </c>
      <c r="AC94" s="1129">
        <v>1200</v>
      </c>
      <c r="AD94" s="1098">
        <v>2618.8739523809527</v>
      </c>
      <c r="AE94" s="1237">
        <v>96</v>
      </c>
      <c r="AF94" s="1133">
        <v>96</v>
      </c>
      <c r="AG94" s="1127">
        <v>1</v>
      </c>
      <c r="AH94" s="1127">
        <v>0</v>
      </c>
      <c r="AI94" s="1127">
        <v>0</v>
      </c>
      <c r="AJ94" s="1127">
        <v>1</v>
      </c>
      <c r="AK94" s="1129">
        <v>2618.8739523809527</v>
      </c>
      <c r="AL94" s="1129">
        <v>0</v>
      </c>
      <c r="AM94" s="1129">
        <v>0</v>
      </c>
      <c r="AN94" s="1129">
        <v>2618.8739523809527</v>
      </c>
      <c r="AO94" s="1129" t="s">
        <v>85</v>
      </c>
      <c r="AP94" s="1129" t="s">
        <v>96</v>
      </c>
      <c r="AQ94" s="1157">
        <v>2014</v>
      </c>
      <c r="AR94" s="1129" t="s">
        <v>87</v>
      </c>
      <c r="AS94" s="1127">
        <v>0.33333333333333331</v>
      </c>
      <c r="AT94" s="1127"/>
      <c r="AU94" s="1127">
        <v>0.33333333333333331</v>
      </c>
      <c r="AV94" s="1127"/>
      <c r="AW94" s="1127"/>
      <c r="AX94" s="1127"/>
      <c r="AY94" s="1127"/>
      <c r="AZ94" s="1127">
        <v>0.33333333333333331</v>
      </c>
      <c r="BA94" s="1129">
        <v>872.95798412698423</v>
      </c>
      <c r="BB94" s="1129">
        <v>0</v>
      </c>
      <c r="BC94" s="1129">
        <v>872.95798412698423</v>
      </c>
      <c r="BD94" s="1129">
        <v>0</v>
      </c>
      <c r="BE94" s="1129">
        <v>0</v>
      </c>
      <c r="BF94" s="1129">
        <v>0</v>
      </c>
      <c r="BG94" s="1129">
        <v>0</v>
      </c>
      <c r="BH94" s="1129">
        <v>872.95798412698423</v>
      </c>
      <c r="BI94" s="971"/>
      <c r="BJ94" s="971"/>
      <c r="BK94" s="971"/>
      <c r="BL94" s="1246"/>
      <c r="BM94" s="1247" t="s">
        <v>2127</v>
      </c>
    </row>
    <row r="95" spans="1:65" s="1247" customFormat="1" ht="49.5" customHeight="1">
      <c r="A95" s="1272">
        <v>4000</v>
      </c>
      <c r="B95" s="971" t="s">
        <v>1316</v>
      </c>
      <c r="C95" s="1272">
        <v>4100</v>
      </c>
      <c r="D95" s="971" t="s">
        <v>120</v>
      </c>
      <c r="E95" s="971" t="s">
        <v>1389</v>
      </c>
      <c r="F95" s="971" t="s">
        <v>176</v>
      </c>
      <c r="G95" s="971" t="s">
        <v>4459</v>
      </c>
      <c r="H95" s="971" t="s">
        <v>1390</v>
      </c>
      <c r="I95" s="1273" t="s">
        <v>6771</v>
      </c>
      <c r="J95" s="971" t="s">
        <v>2146</v>
      </c>
      <c r="K95" s="971" t="s">
        <v>2125</v>
      </c>
      <c r="L95" s="971" t="s">
        <v>2126</v>
      </c>
      <c r="M95" s="971" t="s">
        <v>2125</v>
      </c>
      <c r="N95" s="971" t="s">
        <v>176</v>
      </c>
      <c r="O95" s="971" t="s">
        <v>2126</v>
      </c>
      <c r="P95" s="971" t="s">
        <v>6772</v>
      </c>
      <c r="Q95" s="971" t="s">
        <v>6773</v>
      </c>
      <c r="R95" s="971" t="s">
        <v>4465</v>
      </c>
      <c r="S95" s="1274">
        <v>1</v>
      </c>
      <c r="T95" s="971" t="s">
        <v>242</v>
      </c>
      <c r="U95" s="1275">
        <v>13</v>
      </c>
      <c r="V95" s="1275">
        <v>120</v>
      </c>
      <c r="W95" s="1275">
        <v>1298.8739523809525</v>
      </c>
      <c r="X95" s="1275">
        <v>1200</v>
      </c>
      <c r="Y95" s="1275">
        <v>2618.8739523809527</v>
      </c>
      <c r="Z95" s="1129">
        <v>13</v>
      </c>
      <c r="AA95" s="1129">
        <v>120</v>
      </c>
      <c r="AB95" s="1129">
        <v>1298.8739523809525</v>
      </c>
      <c r="AC95" s="1129">
        <v>1200</v>
      </c>
      <c r="AD95" s="1098">
        <v>2618.8739523809527</v>
      </c>
      <c r="AE95" s="1237">
        <v>96</v>
      </c>
      <c r="AF95" s="1133">
        <v>96</v>
      </c>
      <c r="AG95" s="1127">
        <v>1</v>
      </c>
      <c r="AH95" s="1127">
        <v>0</v>
      </c>
      <c r="AI95" s="1127">
        <v>0</v>
      </c>
      <c r="AJ95" s="1127">
        <v>1</v>
      </c>
      <c r="AK95" s="1129">
        <v>2618.8739523809527</v>
      </c>
      <c r="AL95" s="1129">
        <v>0</v>
      </c>
      <c r="AM95" s="1129">
        <v>0</v>
      </c>
      <c r="AN95" s="1129">
        <v>2618.8739523809527</v>
      </c>
      <c r="AO95" s="1129" t="s">
        <v>85</v>
      </c>
      <c r="AP95" s="1129" t="s">
        <v>96</v>
      </c>
      <c r="AQ95" s="1157">
        <v>2014</v>
      </c>
      <c r="AR95" s="1129" t="s">
        <v>87</v>
      </c>
      <c r="AS95" s="1127">
        <v>0.33333333333333331</v>
      </c>
      <c r="AT95" s="1127"/>
      <c r="AU95" s="1127">
        <v>0.33333333333333331</v>
      </c>
      <c r="AV95" s="1127"/>
      <c r="AW95" s="1127"/>
      <c r="AX95" s="1127"/>
      <c r="AY95" s="1127"/>
      <c r="AZ95" s="1127">
        <v>0.33333333333333331</v>
      </c>
      <c r="BA95" s="1129">
        <v>872.95798412698423</v>
      </c>
      <c r="BB95" s="1129">
        <v>0</v>
      </c>
      <c r="BC95" s="1129">
        <v>872.95798412698423</v>
      </c>
      <c r="BD95" s="1129">
        <v>0</v>
      </c>
      <c r="BE95" s="1129">
        <v>0</v>
      </c>
      <c r="BF95" s="1129">
        <v>0</v>
      </c>
      <c r="BG95" s="1129">
        <v>0</v>
      </c>
      <c r="BH95" s="1129">
        <v>872.95798412698423</v>
      </c>
      <c r="BI95" s="971"/>
      <c r="BJ95" s="971"/>
      <c r="BK95" s="971"/>
      <c r="BL95" s="1246"/>
      <c r="BM95" s="1247" t="s">
        <v>2129</v>
      </c>
    </row>
    <row r="96" spans="1:65" s="1247" customFormat="1" ht="49.5" customHeight="1">
      <c r="A96" s="1272">
        <v>4000</v>
      </c>
      <c r="B96" s="971" t="s">
        <v>1316</v>
      </c>
      <c r="C96" s="1272">
        <v>4100</v>
      </c>
      <c r="D96" s="971" t="s">
        <v>120</v>
      </c>
      <c r="E96" s="971" t="s">
        <v>1389</v>
      </c>
      <c r="F96" s="971" t="s">
        <v>176</v>
      </c>
      <c r="G96" s="971" t="s">
        <v>4459</v>
      </c>
      <c r="H96" s="971" t="s">
        <v>1390</v>
      </c>
      <c r="I96" s="1273" t="s">
        <v>6774</v>
      </c>
      <c r="J96" s="971" t="s">
        <v>2146</v>
      </c>
      <c r="K96" s="971" t="s">
        <v>2125</v>
      </c>
      <c r="L96" s="971" t="s">
        <v>2126</v>
      </c>
      <c r="M96" s="971" t="s">
        <v>2125</v>
      </c>
      <c r="N96" s="971" t="s">
        <v>176</v>
      </c>
      <c r="O96" s="971" t="s">
        <v>2126</v>
      </c>
      <c r="P96" s="971" t="s">
        <v>6772</v>
      </c>
      <c r="Q96" s="971" t="s">
        <v>6773</v>
      </c>
      <c r="R96" s="971" t="s">
        <v>4472</v>
      </c>
      <c r="S96" s="1274">
        <v>1</v>
      </c>
      <c r="T96" s="971" t="s">
        <v>242</v>
      </c>
      <c r="U96" s="1275">
        <v>13</v>
      </c>
      <c r="V96" s="1275">
        <v>120</v>
      </c>
      <c r="W96" s="1275">
        <v>1298.8739523809525</v>
      </c>
      <c r="X96" s="1275">
        <v>1200</v>
      </c>
      <c r="Y96" s="1275">
        <v>2618.8739523809527</v>
      </c>
      <c r="Z96" s="1129">
        <v>13</v>
      </c>
      <c r="AA96" s="1129">
        <v>120</v>
      </c>
      <c r="AB96" s="1129">
        <v>1298.8739523809525</v>
      </c>
      <c r="AC96" s="1129">
        <v>1200</v>
      </c>
      <c r="AD96" s="1098">
        <v>2618.8739523809527</v>
      </c>
      <c r="AE96" s="1237">
        <v>96</v>
      </c>
      <c r="AF96" s="1133">
        <v>96</v>
      </c>
      <c r="AG96" s="1127">
        <v>1</v>
      </c>
      <c r="AH96" s="1127">
        <v>0</v>
      </c>
      <c r="AI96" s="1127">
        <v>0</v>
      </c>
      <c r="AJ96" s="1127">
        <v>1</v>
      </c>
      <c r="AK96" s="1129">
        <v>2618.8739523809527</v>
      </c>
      <c r="AL96" s="1129">
        <v>0</v>
      </c>
      <c r="AM96" s="1129">
        <v>0</v>
      </c>
      <c r="AN96" s="1129">
        <v>2618.8739523809527</v>
      </c>
      <c r="AO96" s="1129" t="s">
        <v>85</v>
      </c>
      <c r="AP96" s="1129" t="s">
        <v>96</v>
      </c>
      <c r="AQ96" s="1157">
        <v>2014</v>
      </c>
      <c r="AR96" s="1129" t="s">
        <v>87</v>
      </c>
      <c r="AS96" s="1127">
        <v>0.33333333333333331</v>
      </c>
      <c r="AT96" s="1127"/>
      <c r="AU96" s="1127">
        <v>0.33333333333333331</v>
      </c>
      <c r="AV96" s="1127"/>
      <c r="AW96" s="1127"/>
      <c r="AX96" s="1127"/>
      <c r="AY96" s="1127"/>
      <c r="AZ96" s="1127">
        <v>0.33333333333333331</v>
      </c>
      <c r="BA96" s="1129">
        <v>872.95798412698423</v>
      </c>
      <c r="BB96" s="1129">
        <v>0</v>
      </c>
      <c r="BC96" s="1129">
        <v>872.95798412698423</v>
      </c>
      <c r="BD96" s="1129">
        <v>0</v>
      </c>
      <c r="BE96" s="1129">
        <v>0</v>
      </c>
      <c r="BF96" s="1129">
        <v>0</v>
      </c>
      <c r="BG96" s="1129">
        <v>0</v>
      </c>
      <c r="BH96" s="1129">
        <v>872.95798412698423</v>
      </c>
      <c r="BI96" s="971"/>
      <c r="BJ96" s="971"/>
      <c r="BK96" s="971"/>
      <c r="BL96" s="1246"/>
      <c r="BM96" s="1247" t="s">
        <v>2127</v>
      </c>
    </row>
    <row r="97" spans="1:65" s="1247" customFormat="1" ht="49.5" customHeight="1">
      <c r="A97" s="1272">
        <v>4000</v>
      </c>
      <c r="B97" s="971" t="s">
        <v>1316</v>
      </c>
      <c r="C97" s="1272">
        <v>4100</v>
      </c>
      <c r="D97" s="971" t="s">
        <v>120</v>
      </c>
      <c r="E97" s="971" t="s">
        <v>1389</v>
      </c>
      <c r="F97" s="971" t="s">
        <v>176</v>
      </c>
      <c r="G97" s="971" t="s">
        <v>4459</v>
      </c>
      <c r="H97" s="971" t="s">
        <v>1390</v>
      </c>
      <c r="I97" s="1273" t="s">
        <v>6775</v>
      </c>
      <c r="J97" s="971" t="s">
        <v>2146</v>
      </c>
      <c r="K97" s="971" t="s">
        <v>2125</v>
      </c>
      <c r="L97" s="971" t="s">
        <v>2126</v>
      </c>
      <c r="M97" s="971" t="s">
        <v>2125</v>
      </c>
      <c r="N97" s="971" t="s">
        <v>176</v>
      </c>
      <c r="O97" s="971" t="s">
        <v>2126</v>
      </c>
      <c r="P97" s="971" t="s">
        <v>6772</v>
      </c>
      <c r="Q97" s="971" t="s">
        <v>6773</v>
      </c>
      <c r="R97" s="971" t="s">
        <v>4474</v>
      </c>
      <c r="S97" s="1274">
        <v>1</v>
      </c>
      <c r="T97" s="971" t="s">
        <v>242</v>
      </c>
      <c r="U97" s="1275">
        <v>13</v>
      </c>
      <c r="V97" s="1275">
        <v>120</v>
      </c>
      <c r="W97" s="1275">
        <v>1298.8739523809525</v>
      </c>
      <c r="X97" s="1275">
        <v>1200</v>
      </c>
      <c r="Y97" s="1275">
        <v>2618.8739523809527</v>
      </c>
      <c r="Z97" s="1129">
        <v>13</v>
      </c>
      <c r="AA97" s="1129">
        <v>120</v>
      </c>
      <c r="AB97" s="1129">
        <v>1298.8739523809525</v>
      </c>
      <c r="AC97" s="1129">
        <v>1200</v>
      </c>
      <c r="AD97" s="1098">
        <v>2618.8739523809527</v>
      </c>
      <c r="AE97" s="1237">
        <v>96</v>
      </c>
      <c r="AF97" s="1133">
        <v>96</v>
      </c>
      <c r="AG97" s="1127">
        <v>1</v>
      </c>
      <c r="AH97" s="1127">
        <v>0</v>
      </c>
      <c r="AI97" s="1127">
        <v>0</v>
      </c>
      <c r="AJ97" s="1127">
        <v>1</v>
      </c>
      <c r="AK97" s="1129">
        <v>2618.8739523809527</v>
      </c>
      <c r="AL97" s="1129">
        <v>0</v>
      </c>
      <c r="AM97" s="1129">
        <v>0</v>
      </c>
      <c r="AN97" s="1129">
        <v>2618.8739523809527</v>
      </c>
      <c r="AO97" s="1129" t="s">
        <v>85</v>
      </c>
      <c r="AP97" s="1129" t="s">
        <v>96</v>
      </c>
      <c r="AQ97" s="1157">
        <v>2014</v>
      </c>
      <c r="AR97" s="1129" t="s">
        <v>87</v>
      </c>
      <c r="AS97" s="1127">
        <v>0.33333333333333331</v>
      </c>
      <c r="AT97" s="1127"/>
      <c r="AU97" s="1127">
        <v>0.33333333333333331</v>
      </c>
      <c r="AV97" s="1127"/>
      <c r="AW97" s="1127"/>
      <c r="AX97" s="1127"/>
      <c r="AY97" s="1127"/>
      <c r="AZ97" s="1127">
        <v>0.33333333333333331</v>
      </c>
      <c r="BA97" s="1129">
        <v>872.95798412698423</v>
      </c>
      <c r="BB97" s="1129">
        <v>0</v>
      </c>
      <c r="BC97" s="1129">
        <v>872.95798412698423</v>
      </c>
      <c r="BD97" s="1129">
        <v>0</v>
      </c>
      <c r="BE97" s="1129">
        <v>0</v>
      </c>
      <c r="BF97" s="1129">
        <v>0</v>
      </c>
      <c r="BG97" s="1129">
        <v>0</v>
      </c>
      <c r="BH97" s="1129">
        <v>872.95798412698423</v>
      </c>
      <c r="BI97" s="971"/>
      <c r="BJ97" s="971"/>
      <c r="BK97" s="971"/>
      <c r="BL97" s="1246"/>
      <c r="BM97" s="1247" t="s">
        <v>2125</v>
      </c>
    </row>
    <row r="98" spans="1:65" s="1247" customFormat="1" ht="66" customHeight="1">
      <c r="A98" s="1272">
        <v>4000</v>
      </c>
      <c r="B98" s="971" t="s">
        <v>1316</v>
      </c>
      <c r="C98" s="1272">
        <v>4100</v>
      </c>
      <c r="D98" s="971" t="s">
        <v>120</v>
      </c>
      <c r="E98" s="971" t="s">
        <v>1389</v>
      </c>
      <c r="F98" s="971" t="s">
        <v>176</v>
      </c>
      <c r="G98" s="971" t="s">
        <v>4459</v>
      </c>
      <c r="H98" s="971" t="s">
        <v>1390</v>
      </c>
      <c r="I98" s="1273" t="s">
        <v>6776</v>
      </c>
      <c r="J98" s="971" t="s">
        <v>2146</v>
      </c>
      <c r="K98" s="971" t="s">
        <v>2125</v>
      </c>
      <c r="L98" s="971" t="s">
        <v>2126</v>
      </c>
      <c r="M98" s="971" t="s">
        <v>2125</v>
      </c>
      <c r="N98" s="971" t="s">
        <v>176</v>
      </c>
      <c r="O98" s="971" t="s">
        <v>2126</v>
      </c>
      <c r="P98" s="971" t="s">
        <v>6772</v>
      </c>
      <c r="Q98" s="971" t="s">
        <v>6773</v>
      </c>
      <c r="R98" s="971" t="s">
        <v>4476</v>
      </c>
      <c r="S98" s="1274">
        <v>1</v>
      </c>
      <c r="T98" s="971" t="s">
        <v>242</v>
      </c>
      <c r="U98" s="1275">
        <v>13</v>
      </c>
      <c r="V98" s="1275">
        <v>120</v>
      </c>
      <c r="W98" s="1275">
        <v>1298.8739523809525</v>
      </c>
      <c r="X98" s="1275">
        <v>1200</v>
      </c>
      <c r="Y98" s="1275">
        <v>2618.8739523809527</v>
      </c>
      <c r="Z98" s="1129">
        <v>13</v>
      </c>
      <c r="AA98" s="1129">
        <v>120</v>
      </c>
      <c r="AB98" s="1129">
        <v>1298.8739523809525</v>
      </c>
      <c r="AC98" s="1129">
        <v>1200</v>
      </c>
      <c r="AD98" s="1098">
        <v>2618.8739523809527</v>
      </c>
      <c r="AE98" s="1237">
        <v>96</v>
      </c>
      <c r="AF98" s="1133">
        <v>96</v>
      </c>
      <c r="AG98" s="1127">
        <v>1</v>
      </c>
      <c r="AH98" s="1127">
        <v>0</v>
      </c>
      <c r="AI98" s="1127">
        <v>0</v>
      </c>
      <c r="AJ98" s="1127">
        <v>1</v>
      </c>
      <c r="AK98" s="1129">
        <v>2618.8739523809527</v>
      </c>
      <c r="AL98" s="1129">
        <v>0</v>
      </c>
      <c r="AM98" s="1129">
        <v>0</v>
      </c>
      <c r="AN98" s="1129">
        <v>2618.8739523809527</v>
      </c>
      <c r="AO98" s="1129" t="s">
        <v>85</v>
      </c>
      <c r="AP98" s="1129" t="s">
        <v>96</v>
      </c>
      <c r="AQ98" s="1157">
        <v>2014</v>
      </c>
      <c r="AR98" s="1129" t="s">
        <v>87</v>
      </c>
      <c r="AS98" s="1127">
        <v>0.33333333333333331</v>
      </c>
      <c r="AT98" s="1127"/>
      <c r="AU98" s="1127">
        <v>0.33333333333333331</v>
      </c>
      <c r="AV98" s="1127"/>
      <c r="AW98" s="1127"/>
      <c r="AX98" s="1127"/>
      <c r="AY98" s="1127"/>
      <c r="AZ98" s="1127">
        <v>0.33333333333333331</v>
      </c>
      <c r="BA98" s="1129">
        <v>872.95798412698423</v>
      </c>
      <c r="BB98" s="1129">
        <v>0</v>
      </c>
      <c r="BC98" s="1129">
        <v>872.95798412698423</v>
      </c>
      <c r="BD98" s="1129">
        <v>0</v>
      </c>
      <c r="BE98" s="1129">
        <v>0</v>
      </c>
      <c r="BF98" s="1129">
        <v>0</v>
      </c>
      <c r="BG98" s="1129">
        <v>0</v>
      </c>
      <c r="BH98" s="1129">
        <v>872.95798412698423</v>
      </c>
      <c r="BI98" s="971"/>
      <c r="BJ98" s="971"/>
      <c r="BK98" s="971"/>
      <c r="BL98" s="1246"/>
      <c r="BM98" s="1247" t="s">
        <v>2125</v>
      </c>
    </row>
    <row r="99" spans="1:65" s="1247" customFormat="1" ht="66" customHeight="1">
      <c r="A99" s="1272">
        <v>4000</v>
      </c>
      <c r="B99" s="971" t="s">
        <v>1316</v>
      </c>
      <c r="C99" s="1272">
        <v>4100</v>
      </c>
      <c r="D99" s="971" t="s">
        <v>120</v>
      </c>
      <c r="E99" s="971" t="s">
        <v>1389</v>
      </c>
      <c r="F99" s="971" t="s">
        <v>176</v>
      </c>
      <c r="G99" s="971" t="s">
        <v>4459</v>
      </c>
      <c r="H99" s="971" t="s">
        <v>1390</v>
      </c>
      <c r="I99" s="1273" t="s">
        <v>6777</v>
      </c>
      <c r="J99" s="971" t="s">
        <v>2146</v>
      </c>
      <c r="K99" s="971" t="s">
        <v>2125</v>
      </c>
      <c r="L99" s="971" t="s">
        <v>2126</v>
      </c>
      <c r="M99" s="971" t="s">
        <v>2125</v>
      </c>
      <c r="N99" s="971" t="s">
        <v>176</v>
      </c>
      <c r="O99" s="971" t="s">
        <v>2126</v>
      </c>
      <c r="P99" s="971" t="s">
        <v>3065</v>
      </c>
      <c r="Q99" s="971" t="s">
        <v>6778</v>
      </c>
      <c r="R99" s="971" t="s">
        <v>4477</v>
      </c>
      <c r="S99" s="1274">
        <v>1</v>
      </c>
      <c r="T99" s="971" t="s">
        <v>242</v>
      </c>
      <c r="U99" s="1275">
        <v>13</v>
      </c>
      <c r="V99" s="1275">
        <v>120</v>
      </c>
      <c r="W99" s="1275">
        <v>1298.8739523809525</v>
      </c>
      <c r="X99" s="1275">
        <v>1200</v>
      </c>
      <c r="Y99" s="1275">
        <v>2618.8739523809527</v>
      </c>
      <c r="Z99" s="1129">
        <v>13</v>
      </c>
      <c r="AA99" s="1129">
        <v>120</v>
      </c>
      <c r="AB99" s="1129">
        <v>1298.8739523809525</v>
      </c>
      <c r="AC99" s="1129">
        <v>1200</v>
      </c>
      <c r="AD99" s="1098">
        <v>2618.8739523809527</v>
      </c>
      <c r="AE99" s="1237">
        <v>96</v>
      </c>
      <c r="AF99" s="1133">
        <v>96</v>
      </c>
      <c r="AG99" s="1127">
        <v>1</v>
      </c>
      <c r="AH99" s="1127">
        <v>0</v>
      </c>
      <c r="AI99" s="1127">
        <v>0</v>
      </c>
      <c r="AJ99" s="1127">
        <v>1</v>
      </c>
      <c r="AK99" s="1129">
        <v>2618.8739523809527</v>
      </c>
      <c r="AL99" s="1129">
        <v>0</v>
      </c>
      <c r="AM99" s="1129">
        <v>0</v>
      </c>
      <c r="AN99" s="1129">
        <v>2618.8739523809527</v>
      </c>
      <c r="AO99" s="1129" t="s">
        <v>85</v>
      </c>
      <c r="AP99" s="1129" t="s">
        <v>96</v>
      </c>
      <c r="AQ99" s="1157">
        <v>2014</v>
      </c>
      <c r="AR99" s="1129" t="s">
        <v>87</v>
      </c>
      <c r="AS99" s="1127">
        <v>0.33333333333333331</v>
      </c>
      <c r="AT99" s="1127"/>
      <c r="AU99" s="1127">
        <v>0.33333333333333331</v>
      </c>
      <c r="AV99" s="1127"/>
      <c r="AW99" s="1127"/>
      <c r="AX99" s="1127"/>
      <c r="AY99" s="1127"/>
      <c r="AZ99" s="1127">
        <v>0.33333333333333331</v>
      </c>
      <c r="BA99" s="1129">
        <v>872.95798412698423</v>
      </c>
      <c r="BB99" s="1129">
        <v>0</v>
      </c>
      <c r="BC99" s="1129">
        <v>872.95798412698423</v>
      </c>
      <c r="BD99" s="1129">
        <v>0</v>
      </c>
      <c r="BE99" s="1129">
        <v>0</v>
      </c>
      <c r="BF99" s="1129">
        <v>0</v>
      </c>
      <c r="BG99" s="1129">
        <v>0</v>
      </c>
      <c r="BH99" s="1129">
        <v>872.95798412698423</v>
      </c>
      <c r="BI99" s="971"/>
      <c r="BJ99" s="971"/>
      <c r="BK99" s="971"/>
      <c r="BL99" s="1246"/>
      <c r="BM99" s="1247" t="s">
        <v>2125</v>
      </c>
    </row>
    <row r="100" spans="1:65" s="1247" customFormat="1" ht="66" customHeight="1">
      <c r="A100" s="1272">
        <v>4000</v>
      </c>
      <c r="B100" s="971" t="s">
        <v>1316</v>
      </c>
      <c r="C100" s="1272">
        <v>4100</v>
      </c>
      <c r="D100" s="971" t="s">
        <v>120</v>
      </c>
      <c r="E100" s="971" t="s">
        <v>1389</v>
      </c>
      <c r="F100" s="971" t="s">
        <v>176</v>
      </c>
      <c r="G100" s="971" t="s">
        <v>4459</v>
      </c>
      <c r="H100" s="971" t="s">
        <v>1390</v>
      </c>
      <c r="I100" s="1273" t="s">
        <v>6779</v>
      </c>
      <c r="J100" s="971" t="s">
        <v>2146</v>
      </c>
      <c r="K100" s="971" t="s">
        <v>2129</v>
      </c>
      <c r="L100" s="971" t="s">
        <v>2130</v>
      </c>
      <c r="M100" s="971" t="s">
        <v>2129</v>
      </c>
      <c r="N100" s="971" t="s">
        <v>176</v>
      </c>
      <c r="O100" s="971" t="s">
        <v>2130</v>
      </c>
      <c r="P100" s="971" t="s">
        <v>6619</v>
      </c>
      <c r="Q100" s="971" t="s">
        <v>6622</v>
      </c>
      <c r="R100" s="971" t="s">
        <v>4484</v>
      </c>
      <c r="S100" s="1274">
        <v>1</v>
      </c>
      <c r="T100" s="971" t="s">
        <v>242</v>
      </c>
      <c r="U100" s="1275">
        <v>6.666666666666667</v>
      </c>
      <c r="V100" s="1275">
        <v>25</v>
      </c>
      <c r="W100" s="1275">
        <v>666.08920634920639</v>
      </c>
      <c r="X100" s="1275">
        <v>250</v>
      </c>
      <c r="Y100" s="1275">
        <v>941.08920634920639</v>
      </c>
      <c r="Z100" s="1129">
        <v>6.666666666666667</v>
      </c>
      <c r="AA100" s="1129">
        <v>25</v>
      </c>
      <c r="AB100" s="1129">
        <v>666.08920634920639</v>
      </c>
      <c r="AC100" s="1129">
        <v>250</v>
      </c>
      <c r="AD100" s="1098">
        <v>941.08920634920639</v>
      </c>
      <c r="AE100" s="1237">
        <v>4</v>
      </c>
      <c r="AF100" s="1133">
        <v>4</v>
      </c>
      <c r="AG100" s="1127">
        <v>1</v>
      </c>
      <c r="AH100" s="1127">
        <v>0</v>
      </c>
      <c r="AI100" s="1127">
        <v>0</v>
      </c>
      <c r="AJ100" s="1127">
        <v>1</v>
      </c>
      <c r="AK100" s="1129">
        <v>941.08920634920639</v>
      </c>
      <c r="AL100" s="1129">
        <v>0</v>
      </c>
      <c r="AM100" s="1129">
        <v>0</v>
      </c>
      <c r="AN100" s="1129">
        <v>941.08920634920639</v>
      </c>
      <c r="AO100" s="1129" t="s">
        <v>85</v>
      </c>
      <c r="AP100" s="1129" t="s">
        <v>96</v>
      </c>
      <c r="AQ100" s="1157">
        <v>2014</v>
      </c>
      <c r="AR100" s="1129" t="s">
        <v>87</v>
      </c>
      <c r="AS100" s="1127">
        <v>0.33333333333333331</v>
      </c>
      <c r="AT100" s="1127"/>
      <c r="AU100" s="1127">
        <v>0.33333333333333331</v>
      </c>
      <c r="AV100" s="1127"/>
      <c r="AW100" s="1127"/>
      <c r="AX100" s="1127"/>
      <c r="AY100" s="1127"/>
      <c r="AZ100" s="1127">
        <v>0.33333333333333331</v>
      </c>
      <c r="BA100" s="1129">
        <v>313.69640211640211</v>
      </c>
      <c r="BB100" s="1129">
        <v>0</v>
      </c>
      <c r="BC100" s="1129">
        <v>313.69640211640211</v>
      </c>
      <c r="BD100" s="1129">
        <v>0</v>
      </c>
      <c r="BE100" s="1129">
        <v>0</v>
      </c>
      <c r="BF100" s="1129">
        <v>0</v>
      </c>
      <c r="BG100" s="1129">
        <v>0</v>
      </c>
      <c r="BH100" s="1129">
        <v>313.69640211640211</v>
      </c>
      <c r="BI100" s="971"/>
      <c r="BJ100" s="971"/>
      <c r="BK100" s="971"/>
      <c r="BL100" s="1246"/>
      <c r="BM100" s="1247" t="s">
        <v>2125</v>
      </c>
    </row>
    <row r="101" spans="1:65" s="1247" customFormat="1" ht="66" customHeight="1">
      <c r="A101" s="1272">
        <v>4000</v>
      </c>
      <c r="B101" s="971" t="s">
        <v>1316</v>
      </c>
      <c r="C101" s="1272">
        <v>4100</v>
      </c>
      <c r="D101" s="971" t="s">
        <v>120</v>
      </c>
      <c r="E101" s="971" t="s">
        <v>1389</v>
      </c>
      <c r="F101" s="971" t="s">
        <v>176</v>
      </c>
      <c r="G101" s="971" t="s">
        <v>4459</v>
      </c>
      <c r="H101" s="971" t="s">
        <v>1390</v>
      </c>
      <c r="I101" s="1273" t="s">
        <v>6780</v>
      </c>
      <c r="J101" s="971" t="s">
        <v>2146</v>
      </c>
      <c r="K101" s="971" t="s">
        <v>2129</v>
      </c>
      <c r="L101" s="971" t="s">
        <v>2130</v>
      </c>
      <c r="M101" s="971" t="s">
        <v>2129</v>
      </c>
      <c r="N101" s="971" t="s">
        <v>176</v>
      </c>
      <c r="O101" s="971" t="s">
        <v>2130</v>
      </c>
      <c r="P101" s="971" t="s">
        <v>6619</v>
      </c>
      <c r="Q101" s="971" t="s">
        <v>6622</v>
      </c>
      <c r="R101" s="971" t="s">
        <v>4485</v>
      </c>
      <c r="S101" s="1274">
        <v>1</v>
      </c>
      <c r="T101" s="971" t="s">
        <v>242</v>
      </c>
      <c r="U101" s="1275">
        <v>6.666666666666667</v>
      </c>
      <c r="V101" s="1275">
        <v>25</v>
      </c>
      <c r="W101" s="1275">
        <v>666.08920634920639</v>
      </c>
      <c r="X101" s="1275">
        <v>250</v>
      </c>
      <c r="Y101" s="1275">
        <v>941.08920634920639</v>
      </c>
      <c r="Z101" s="1129">
        <v>6.666666666666667</v>
      </c>
      <c r="AA101" s="1129">
        <v>25</v>
      </c>
      <c r="AB101" s="1129">
        <v>666.08920634920639</v>
      </c>
      <c r="AC101" s="1129">
        <v>250</v>
      </c>
      <c r="AD101" s="1098">
        <v>941.08920634920639</v>
      </c>
      <c r="AE101" s="1237">
        <v>4</v>
      </c>
      <c r="AF101" s="1133">
        <v>4</v>
      </c>
      <c r="AG101" s="1127">
        <v>1</v>
      </c>
      <c r="AH101" s="1127">
        <v>0</v>
      </c>
      <c r="AI101" s="1127">
        <v>0</v>
      </c>
      <c r="AJ101" s="1127">
        <v>1</v>
      </c>
      <c r="AK101" s="1129">
        <v>941.08920634920639</v>
      </c>
      <c r="AL101" s="1129">
        <v>0</v>
      </c>
      <c r="AM101" s="1129">
        <v>0</v>
      </c>
      <c r="AN101" s="1129">
        <v>941.08920634920639</v>
      </c>
      <c r="AO101" s="1129" t="s">
        <v>85</v>
      </c>
      <c r="AP101" s="1129" t="s">
        <v>96</v>
      </c>
      <c r="AQ101" s="1157">
        <v>2014</v>
      </c>
      <c r="AR101" s="1129" t="s">
        <v>87</v>
      </c>
      <c r="AS101" s="1127">
        <v>0.33333333333333331</v>
      </c>
      <c r="AT101" s="1127"/>
      <c r="AU101" s="1127">
        <v>0.33333333333333331</v>
      </c>
      <c r="AV101" s="1127"/>
      <c r="AW101" s="1127"/>
      <c r="AX101" s="1127"/>
      <c r="AY101" s="1127"/>
      <c r="AZ101" s="1127">
        <v>0.33333333333333331</v>
      </c>
      <c r="BA101" s="1129">
        <v>313.69640211640211</v>
      </c>
      <c r="BB101" s="1129">
        <v>0</v>
      </c>
      <c r="BC101" s="1129">
        <v>313.69640211640211</v>
      </c>
      <c r="BD101" s="1129">
        <v>0</v>
      </c>
      <c r="BE101" s="1129">
        <v>0</v>
      </c>
      <c r="BF101" s="1129">
        <v>0</v>
      </c>
      <c r="BG101" s="1129">
        <v>0</v>
      </c>
      <c r="BH101" s="1129">
        <v>313.69640211640211</v>
      </c>
      <c r="BI101" s="971"/>
      <c r="BJ101" s="971"/>
      <c r="BK101" s="971"/>
      <c r="BL101" s="1246"/>
      <c r="BM101" s="1247" t="s">
        <v>2125</v>
      </c>
    </row>
    <row r="102" spans="1:65" s="1247" customFormat="1" ht="66" customHeight="1">
      <c r="A102" s="1272">
        <v>4000</v>
      </c>
      <c r="B102" s="971" t="s">
        <v>1316</v>
      </c>
      <c r="C102" s="1272">
        <v>4100</v>
      </c>
      <c r="D102" s="971" t="s">
        <v>120</v>
      </c>
      <c r="E102" s="971" t="s">
        <v>1389</v>
      </c>
      <c r="F102" s="971" t="s">
        <v>176</v>
      </c>
      <c r="G102" s="971" t="s">
        <v>4459</v>
      </c>
      <c r="H102" s="971" t="s">
        <v>1390</v>
      </c>
      <c r="I102" s="1273" t="s">
        <v>6781</v>
      </c>
      <c r="J102" s="971" t="s">
        <v>2146</v>
      </c>
      <c r="K102" s="971" t="s">
        <v>2129</v>
      </c>
      <c r="L102" s="971" t="s">
        <v>2130</v>
      </c>
      <c r="M102" s="971" t="s">
        <v>2129</v>
      </c>
      <c r="N102" s="971" t="s">
        <v>176</v>
      </c>
      <c r="O102" s="971" t="s">
        <v>2130</v>
      </c>
      <c r="P102" s="971" t="s">
        <v>6619</v>
      </c>
      <c r="Q102" s="971" t="s">
        <v>6622</v>
      </c>
      <c r="R102" s="971" t="s">
        <v>4486</v>
      </c>
      <c r="S102" s="1274">
        <v>1</v>
      </c>
      <c r="T102" s="971" t="s">
        <v>242</v>
      </c>
      <c r="U102" s="1275">
        <v>6.666666666666667</v>
      </c>
      <c r="V102" s="1275">
        <v>25</v>
      </c>
      <c r="W102" s="1275">
        <v>666.08920634920639</v>
      </c>
      <c r="X102" s="1275">
        <v>250</v>
      </c>
      <c r="Y102" s="1275">
        <v>941.08920634920639</v>
      </c>
      <c r="Z102" s="1129">
        <v>6.666666666666667</v>
      </c>
      <c r="AA102" s="1129">
        <v>25</v>
      </c>
      <c r="AB102" s="1129">
        <v>666.08920634920639</v>
      </c>
      <c r="AC102" s="1129">
        <v>250</v>
      </c>
      <c r="AD102" s="1098">
        <v>941.08920634920639</v>
      </c>
      <c r="AE102" s="1237">
        <v>4</v>
      </c>
      <c r="AF102" s="1133">
        <v>4</v>
      </c>
      <c r="AG102" s="1127">
        <v>1</v>
      </c>
      <c r="AH102" s="1127">
        <v>0</v>
      </c>
      <c r="AI102" s="1127">
        <v>0</v>
      </c>
      <c r="AJ102" s="1127">
        <v>1</v>
      </c>
      <c r="AK102" s="1129">
        <v>941.08920634920639</v>
      </c>
      <c r="AL102" s="1129">
        <v>0</v>
      </c>
      <c r="AM102" s="1129">
        <v>0</v>
      </c>
      <c r="AN102" s="1129">
        <v>941.08920634920639</v>
      </c>
      <c r="AO102" s="1129" t="s">
        <v>85</v>
      </c>
      <c r="AP102" s="1129" t="s">
        <v>96</v>
      </c>
      <c r="AQ102" s="1157">
        <v>2014</v>
      </c>
      <c r="AR102" s="1129" t="s">
        <v>87</v>
      </c>
      <c r="AS102" s="1127">
        <v>0.33333333333333331</v>
      </c>
      <c r="AT102" s="1127"/>
      <c r="AU102" s="1127">
        <v>0.33333333333333331</v>
      </c>
      <c r="AV102" s="1127"/>
      <c r="AW102" s="1127"/>
      <c r="AX102" s="1127"/>
      <c r="AY102" s="1127"/>
      <c r="AZ102" s="1127">
        <v>0.33333333333333331</v>
      </c>
      <c r="BA102" s="1129">
        <v>313.69640211640211</v>
      </c>
      <c r="BB102" s="1129">
        <v>0</v>
      </c>
      <c r="BC102" s="1129">
        <v>313.69640211640211</v>
      </c>
      <c r="BD102" s="1129">
        <v>0</v>
      </c>
      <c r="BE102" s="1129">
        <v>0</v>
      </c>
      <c r="BF102" s="1129">
        <v>0</v>
      </c>
      <c r="BG102" s="1129">
        <v>0</v>
      </c>
      <c r="BH102" s="1129">
        <v>313.69640211640211</v>
      </c>
      <c r="BI102" s="971"/>
      <c r="BJ102" s="971"/>
      <c r="BK102" s="971"/>
      <c r="BL102" s="1246"/>
      <c r="BM102" s="1247" t="s">
        <v>2125</v>
      </c>
    </row>
    <row r="103" spans="1:65" s="1247" customFormat="1" ht="66" customHeight="1">
      <c r="A103" s="1272">
        <v>4000</v>
      </c>
      <c r="B103" s="971" t="s">
        <v>1316</v>
      </c>
      <c r="C103" s="1272">
        <v>4100</v>
      </c>
      <c r="D103" s="971" t="s">
        <v>120</v>
      </c>
      <c r="E103" s="971" t="s">
        <v>1389</v>
      </c>
      <c r="F103" s="971" t="s">
        <v>176</v>
      </c>
      <c r="G103" s="971" t="s">
        <v>4459</v>
      </c>
      <c r="H103" s="971" t="s">
        <v>1390</v>
      </c>
      <c r="I103" s="1273" t="s">
        <v>6782</v>
      </c>
      <c r="J103" s="971" t="s">
        <v>2146</v>
      </c>
      <c r="K103" s="971" t="s">
        <v>2129</v>
      </c>
      <c r="L103" s="971" t="s">
        <v>2130</v>
      </c>
      <c r="M103" s="971" t="s">
        <v>2129</v>
      </c>
      <c r="N103" s="971" t="s">
        <v>176</v>
      </c>
      <c r="O103" s="971" t="s">
        <v>2130</v>
      </c>
      <c r="P103" s="971" t="s">
        <v>6619</v>
      </c>
      <c r="Q103" s="971" t="s">
        <v>6622</v>
      </c>
      <c r="R103" s="971" t="s">
        <v>4487</v>
      </c>
      <c r="S103" s="1274">
        <v>1</v>
      </c>
      <c r="T103" s="971" t="s">
        <v>242</v>
      </c>
      <c r="U103" s="1275">
        <v>6.666666666666667</v>
      </c>
      <c r="V103" s="1275">
        <v>25</v>
      </c>
      <c r="W103" s="1275">
        <v>666.08920634920639</v>
      </c>
      <c r="X103" s="1275">
        <v>250</v>
      </c>
      <c r="Y103" s="1275">
        <v>941.08920634920639</v>
      </c>
      <c r="Z103" s="1129">
        <v>6.666666666666667</v>
      </c>
      <c r="AA103" s="1129">
        <v>25</v>
      </c>
      <c r="AB103" s="1129">
        <v>666.08920634920639</v>
      </c>
      <c r="AC103" s="1129">
        <v>250</v>
      </c>
      <c r="AD103" s="1098">
        <v>941.08920634920639</v>
      </c>
      <c r="AE103" s="1237">
        <v>4</v>
      </c>
      <c r="AF103" s="1133">
        <v>4</v>
      </c>
      <c r="AG103" s="1127">
        <v>1</v>
      </c>
      <c r="AH103" s="1127">
        <v>0</v>
      </c>
      <c r="AI103" s="1127">
        <v>0</v>
      </c>
      <c r="AJ103" s="1127">
        <v>1</v>
      </c>
      <c r="AK103" s="1129">
        <v>941.08920634920639</v>
      </c>
      <c r="AL103" s="1129">
        <v>0</v>
      </c>
      <c r="AM103" s="1129">
        <v>0</v>
      </c>
      <c r="AN103" s="1129">
        <v>941.08920634920639</v>
      </c>
      <c r="AO103" s="1129" t="s">
        <v>85</v>
      </c>
      <c r="AP103" s="1129" t="s">
        <v>96</v>
      </c>
      <c r="AQ103" s="1157">
        <v>2014</v>
      </c>
      <c r="AR103" s="1129" t="s">
        <v>87</v>
      </c>
      <c r="AS103" s="1127">
        <v>0.33333333333333331</v>
      </c>
      <c r="AT103" s="1127"/>
      <c r="AU103" s="1127">
        <v>0.33333333333333331</v>
      </c>
      <c r="AV103" s="1127"/>
      <c r="AW103" s="1127"/>
      <c r="AX103" s="1127"/>
      <c r="AY103" s="1127"/>
      <c r="AZ103" s="1127">
        <v>0.33333333333333331</v>
      </c>
      <c r="BA103" s="1129">
        <v>313.69640211640211</v>
      </c>
      <c r="BB103" s="1129">
        <v>0</v>
      </c>
      <c r="BC103" s="1129">
        <v>313.69640211640211</v>
      </c>
      <c r="BD103" s="1129">
        <v>0</v>
      </c>
      <c r="BE103" s="1129">
        <v>0</v>
      </c>
      <c r="BF103" s="1129">
        <v>0</v>
      </c>
      <c r="BG103" s="1129">
        <v>0</v>
      </c>
      <c r="BH103" s="1129">
        <v>313.69640211640211</v>
      </c>
      <c r="BI103" s="971"/>
      <c r="BJ103" s="971"/>
      <c r="BK103" s="971"/>
      <c r="BL103" s="1246"/>
      <c r="BM103" s="1247" t="s">
        <v>2125</v>
      </c>
    </row>
    <row r="104" spans="1:65" s="1247" customFormat="1" ht="49.5" customHeight="1">
      <c r="A104" s="1272">
        <v>4000</v>
      </c>
      <c r="B104" s="971" t="s">
        <v>1316</v>
      </c>
      <c r="C104" s="1272">
        <v>4100</v>
      </c>
      <c r="D104" s="971" t="s">
        <v>120</v>
      </c>
      <c r="E104" s="971" t="s">
        <v>1389</v>
      </c>
      <c r="F104" s="971" t="s">
        <v>176</v>
      </c>
      <c r="G104" s="971" t="s">
        <v>4459</v>
      </c>
      <c r="H104" s="971" t="s">
        <v>1390</v>
      </c>
      <c r="I104" s="1273" t="s">
        <v>6783</v>
      </c>
      <c r="J104" s="971" t="s">
        <v>2146</v>
      </c>
      <c r="K104" s="971" t="s">
        <v>2129</v>
      </c>
      <c r="L104" s="971" t="s">
        <v>2130</v>
      </c>
      <c r="M104" s="971" t="s">
        <v>2129</v>
      </c>
      <c r="N104" s="971" t="s">
        <v>176</v>
      </c>
      <c r="O104" s="971" t="s">
        <v>2130</v>
      </c>
      <c r="P104" s="971" t="s">
        <v>6619</v>
      </c>
      <c r="Q104" s="971" t="s">
        <v>6622</v>
      </c>
      <c r="R104" s="971" t="s">
        <v>4488</v>
      </c>
      <c r="S104" s="1274">
        <v>1</v>
      </c>
      <c r="T104" s="971" t="s">
        <v>242</v>
      </c>
      <c r="U104" s="1275">
        <v>6.666666666666667</v>
      </c>
      <c r="V104" s="1275">
        <v>25</v>
      </c>
      <c r="W104" s="1275">
        <v>666.08920634920639</v>
      </c>
      <c r="X104" s="1275">
        <v>250</v>
      </c>
      <c r="Y104" s="1275">
        <v>941.08920634920639</v>
      </c>
      <c r="Z104" s="1129">
        <v>6.666666666666667</v>
      </c>
      <c r="AA104" s="1129">
        <v>25</v>
      </c>
      <c r="AB104" s="1129">
        <v>666.08920634920639</v>
      </c>
      <c r="AC104" s="1129">
        <v>250</v>
      </c>
      <c r="AD104" s="1098">
        <v>941.08920634920639</v>
      </c>
      <c r="AE104" s="1237">
        <v>4</v>
      </c>
      <c r="AF104" s="1133">
        <v>4</v>
      </c>
      <c r="AG104" s="1127">
        <v>1</v>
      </c>
      <c r="AH104" s="1127">
        <v>0</v>
      </c>
      <c r="AI104" s="1127">
        <v>0</v>
      </c>
      <c r="AJ104" s="1127">
        <v>1</v>
      </c>
      <c r="AK104" s="1129">
        <v>941.08920634920639</v>
      </c>
      <c r="AL104" s="1129">
        <v>0</v>
      </c>
      <c r="AM104" s="1129">
        <v>0</v>
      </c>
      <c r="AN104" s="1129">
        <v>941.08920634920639</v>
      </c>
      <c r="AO104" s="1129" t="s">
        <v>85</v>
      </c>
      <c r="AP104" s="1129" t="s">
        <v>96</v>
      </c>
      <c r="AQ104" s="1157">
        <v>2014</v>
      </c>
      <c r="AR104" s="1129" t="s">
        <v>87</v>
      </c>
      <c r="AS104" s="1127">
        <v>0.33333333333333331</v>
      </c>
      <c r="AT104" s="1127"/>
      <c r="AU104" s="1127">
        <v>0.33333333333333331</v>
      </c>
      <c r="AV104" s="1127"/>
      <c r="AW104" s="1127"/>
      <c r="AX104" s="1127"/>
      <c r="AY104" s="1127"/>
      <c r="AZ104" s="1127">
        <v>0.33333333333333331</v>
      </c>
      <c r="BA104" s="1129">
        <v>313.69640211640211</v>
      </c>
      <c r="BB104" s="1129">
        <v>0</v>
      </c>
      <c r="BC104" s="1129">
        <v>313.69640211640211</v>
      </c>
      <c r="BD104" s="1129">
        <v>0</v>
      </c>
      <c r="BE104" s="1129">
        <v>0</v>
      </c>
      <c r="BF104" s="1129">
        <v>0</v>
      </c>
      <c r="BG104" s="1129">
        <v>0</v>
      </c>
      <c r="BH104" s="1129">
        <v>313.69640211640211</v>
      </c>
      <c r="BI104" s="971"/>
      <c r="BJ104" s="971"/>
      <c r="BK104" s="971"/>
      <c r="BL104" s="1246"/>
      <c r="BM104" s="1247" t="s">
        <v>2125</v>
      </c>
    </row>
    <row r="105" spans="1:65" s="1247" customFormat="1" ht="49.5" customHeight="1">
      <c r="A105" s="1272">
        <v>4000</v>
      </c>
      <c r="B105" s="971" t="s">
        <v>1316</v>
      </c>
      <c r="C105" s="1272">
        <v>4100</v>
      </c>
      <c r="D105" s="971" t="s">
        <v>120</v>
      </c>
      <c r="E105" s="971" t="s">
        <v>1389</v>
      </c>
      <c r="F105" s="971" t="s">
        <v>176</v>
      </c>
      <c r="G105" s="971" t="s">
        <v>4459</v>
      </c>
      <c r="H105" s="971" t="s">
        <v>1390</v>
      </c>
      <c r="I105" s="1273" t="s">
        <v>6784</v>
      </c>
      <c r="J105" s="971" t="s">
        <v>2146</v>
      </c>
      <c r="K105" s="971" t="s">
        <v>2125</v>
      </c>
      <c r="L105" s="971" t="s">
        <v>2126</v>
      </c>
      <c r="M105" s="971" t="s">
        <v>2125</v>
      </c>
      <c r="N105" s="971" t="s">
        <v>176</v>
      </c>
      <c r="O105" s="971" t="s">
        <v>2126</v>
      </c>
      <c r="P105" s="971" t="s">
        <v>6785</v>
      </c>
      <c r="Q105" s="971" t="s">
        <v>6786</v>
      </c>
      <c r="R105" s="971" t="s">
        <v>4489</v>
      </c>
      <c r="S105" s="1274">
        <v>1</v>
      </c>
      <c r="T105" s="971" t="s">
        <v>242</v>
      </c>
      <c r="U105" s="1275">
        <v>13</v>
      </c>
      <c r="V105" s="1275">
        <v>120</v>
      </c>
      <c r="W105" s="1275">
        <v>1298.8739523809525</v>
      </c>
      <c r="X105" s="1275">
        <v>1200</v>
      </c>
      <c r="Y105" s="1275">
        <v>2618.8739523809527</v>
      </c>
      <c r="Z105" s="1129">
        <v>13</v>
      </c>
      <c r="AA105" s="1129">
        <v>120</v>
      </c>
      <c r="AB105" s="1129">
        <v>1298.8739523809525</v>
      </c>
      <c r="AC105" s="1129">
        <v>1200</v>
      </c>
      <c r="AD105" s="1098">
        <v>2618.8739523809527</v>
      </c>
      <c r="AE105" s="1237">
        <v>96</v>
      </c>
      <c r="AF105" s="1133">
        <v>96</v>
      </c>
      <c r="AG105" s="1127">
        <v>1</v>
      </c>
      <c r="AH105" s="1127">
        <v>0</v>
      </c>
      <c r="AI105" s="1127">
        <v>0</v>
      </c>
      <c r="AJ105" s="1127">
        <v>1</v>
      </c>
      <c r="AK105" s="1129">
        <v>2618.8739523809527</v>
      </c>
      <c r="AL105" s="1129">
        <v>0</v>
      </c>
      <c r="AM105" s="1129">
        <v>0</v>
      </c>
      <c r="AN105" s="1129">
        <v>2618.8739523809527</v>
      </c>
      <c r="AO105" s="1129" t="s">
        <v>85</v>
      </c>
      <c r="AP105" s="1129" t="s">
        <v>96</v>
      </c>
      <c r="AQ105" s="1157">
        <v>2014</v>
      </c>
      <c r="AR105" s="1129" t="s">
        <v>87</v>
      </c>
      <c r="AS105" s="1127">
        <v>0.33333333333333331</v>
      </c>
      <c r="AT105" s="1127"/>
      <c r="AU105" s="1127">
        <v>0.33333333333333331</v>
      </c>
      <c r="AV105" s="1127"/>
      <c r="AW105" s="1127"/>
      <c r="AX105" s="1127"/>
      <c r="AY105" s="1127"/>
      <c r="AZ105" s="1127">
        <v>0.33333333333333331</v>
      </c>
      <c r="BA105" s="1129">
        <v>872.95798412698423</v>
      </c>
      <c r="BB105" s="1129">
        <v>0</v>
      </c>
      <c r="BC105" s="1129">
        <v>872.95798412698423</v>
      </c>
      <c r="BD105" s="1129">
        <v>0</v>
      </c>
      <c r="BE105" s="1129">
        <v>0</v>
      </c>
      <c r="BF105" s="1129">
        <v>0</v>
      </c>
      <c r="BG105" s="1129">
        <v>0</v>
      </c>
      <c r="BH105" s="1129">
        <v>872.95798412698423</v>
      </c>
      <c r="BI105" s="971"/>
      <c r="BJ105" s="971"/>
      <c r="BK105" s="971"/>
      <c r="BL105" s="1246"/>
      <c r="BM105" s="1247" t="s">
        <v>2125</v>
      </c>
    </row>
    <row r="106" spans="1:65" s="1247" customFormat="1" ht="66" customHeight="1">
      <c r="A106" s="1272">
        <v>4000</v>
      </c>
      <c r="B106" s="971" t="s">
        <v>1316</v>
      </c>
      <c r="C106" s="1272">
        <v>4100</v>
      </c>
      <c r="D106" s="971" t="s">
        <v>120</v>
      </c>
      <c r="E106" s="971" t="s">
        <v>1389</v>
      </c>
      <c r="F106" s="971" t="s">
        <v>176</v>
      </c>
      <c r="G106" s="971" t="s">
        <v>4459</v>
      </c>
      <c r="H106" s="971" t="s">
        <v>1390</v>
      </c>
      <c r="I106" s="1273" t="s">
        <v>6787</v>
      </c>
      <c r="J106" s="971" t="s">
        <v>2146</v>
      </c>
      <c r="K106" s="971" t="s">
        <v>2125</v>
      </c>
      <c r="L106" s="971" t="s">
        <v>2126</v>
      </c>
      <c r="M106" s="971" t="s">
        <v>2125</v>
      </c>
      <c r="N106" s="971" t="s">
        <v>176</v>
      </c>
      <c r="O106" s="971" t="s">
        <v>2126</v>
      </c>
      <c r="P106" s="971" t="s">
        <v>6785</v>
      </c>
      <c r="Q106" s="971" t="s">
        <v>6788</v>
      </c>
      <c r="R106" s="971" t="s">
        <v>4495</v>
      </c>
      <c r="S106" s="1274">
        <v>1</v>
      </c>
      <c r="T106" s="971" t="s">
        <v>242</v>
      </c>
      <c r="U106" s="1275">
        <v>13</v>
      </c>
      <c r="V106" s="1275">
        <v>120</v>
      </c>
      <c r="W106" s="1275">
        <v>1298.8739523809525</v>
      </c>
      <c r="X106" s="1275">
        <v>1200</v>
      </c>
      <c r="Y106" s="1275">
        <v>2618.8739523809527</v>
      </c>
      <c r="Z106" s="1129">
        <v>13</v>
      </c>
      <c r="AA106" s="1129">
        <v>120</v>
      </c>
      <c r="AB106" s="1129">
        <v>1298.8739523809525</v>
      </c>
      <c r="AC106" s="1129">
        <v>1200</v>
      </c>
      <c r="AD106" s="1098">
        <v>2618.8739523809527</v>
      </c>
      <c r="AE106" s="1237">
        <v>96</v>
      </c>
      <c r="AF106" s="1133">
        <v>96</v>
      </c>
      <c r="AG106" s="1127">
        <v>1</v>
      </c>
      <c r="AH106" s="1127">
        <v>0</v>
      </c>
      <c r="AI106" s="1127">
        <v>0</v>
      </c>
      <c r="AJ106" s="1127">
        <v>1</v>
      </c>
      <c r="AK106" s="1129">
        <v>2618.8739523809527</v>
      </c>
      <c r="AL106" s="1129">
        <v>0</v>
      </c>
      <c r="AM106" s="1129">
        <v>0</v>
      </c>
      <c r="AN106" s="1129">
        <v>2618.8739523809527</v>
      </c>
      <c r="AO106" s="1129" t="s">
        <v>85</v>
      </c>
      <c r="AP106" s="1129" t="s">
        <v>96</v>
      </c>
      <c r="AQ106" s="1157">
        <v>2014</v>
      </c>
      <c r="AR106" s="1129" t="s">
        <v>87</v>
      </c>
      <c r="AS106" s="1127">
        <v>0.33333333333333331</v>
      </c>
      <c r="AT106" s="1127"/>
      <c r="AU106" s="1127">
        <v>0.33333333333333331</v>
      </c>
      <c r="AV106" s="1127"/>
      <c r="AW106" s="1127"/>
      <c r="AX106" s="1127"/>
      <c r="AY106" s="1127"/>
      <c r="AZ106" s="1127">
        <v>0.33333333333333331</v>
      </c>
      <c r="BA106" s="1129">
        <v>872.95798412698423</v>
      </c>
      <c r="BB106" s="1129">
        <v>0</v>
      </c>
      <c r="BC106" s="1129">
        <v>872.95798412698423</v>
      </c>
      <c r="BD106" s="1129">
        <v>0</v>
      </c>
      <c r="BE106" s="1129">
        <v>0</v>
      </c>
      <c r="BF106" s="1129">
        <v>0</v>
      </c>
      <c r="BG106" s="1129">
        <v>0</v>
      </c>
      <c r="BH106" s="1129">
        <v>872.95798412698423</v>
      </c>
      <c r="BI106" s="971"/>
      <c r="BJ106" s="971"/>
      <c r="BK106" s="971"/>
      <c r="BL106" s="1246"/>
      <c r="BM106" s="1247" t="s">
        <v>2129</v>
      </c>
    </row>
    <row r="107" spans="1:65" s="1247" customFormat="1" ht="66" customHeight="1">
      <c r="A107" s="1272">
        <v>4000</v>
      </c>
      <c r="B107" s="971" t="s">
        <v>1316</v>
      </c>
      <c r="C107" s="1272">
        <v>4100</v>
      </c>
      <c r="D107" s="971" t="s">
        <v>120</v>
      </c>
      <c r="E107" s="971" t="s">
        <v>1389</v>
      </c>
      <c r="F107" s="971" t="s">
        <v>176</v>
      </c>
      <c r="G107" s="971" t="s">
        <v>4459</v>
      </c>
      <c r="H107" s="971" t="s">
        <v>1390</v>
      </c>
      <c r="I107" s="1273" t="s">
        <v>6789</v>
      </c>
      <c r="J107" s="971" t="s">
        <v>2146</v>
      </c>
      <c r="K107" s="971" t="s">
        <v>2127</v>
      </c>
      <c r="L107" s="971" t="s">
        <v>2177</v>
      </c>
      <c r="M107" s="971" t="s">
        <v>2127</v>
      </c>
      <c r="N107" s="971" t="s">
        <v>176</v>
      </c>
      <c r="O107" s="971" t="s">
        <v>2177</v>
      </c>
      <c r="P107" s="971" t="s">
        <v>6790</v>
      </c>
      <c r="Q107" s="971" t="s">
        <v>6791</v>
      </c>
      <c r="R107" s="971" t="s">
        <v>4497</v>
      </c>
      <c r="S107" s="1274">
        <v>1</v>
      </c>
      <c r="T107" s="971" t="s">
        <v>242</v>
      </c>
      <c r="U107" s="1275">
        <v>10</v>
      </c>
      <c r="V107" s="1275">
        <v>45</v>
      </c>
      <c r="W107" s="1275">
        <v>999.13380952380965</v>
      </c>
      <c r="X107" s="1275">
        <v>450</v>
      </c>
      <c r="Y107" s="1275">
        <v>1494.1338095238098</v>
      </c>
      <c r="Z107" s="1129">
        <v>10</v>
      </c>
      <c r="AA107" s="1129">
        <v>45</v>
      </c>
      <c r="AB107" s="1129">
        <v>999.13380952380965</v>
      </c>
      <c r="AC107" s="1129">
        <v>450</v>
      </c>
      <c r="AD107" s="1098">
        <v>1494.1338095238098</v>
      </c>
      <c r="AE107" s="1237">
        <v>24</v>
      </c>
      <c r="AF107" s="1133">
        <v>24</v>
      </c>
      <c r="AG107" s="1127">
        <v>1</v>
      </c>
      <c r="AH107" s="1127">
        <v>0</v>
      </c>
      <c r="AI107" s="1127">
        <v>0</v>
      </c>
      <c r="AJ107" s="1127">
        <v>1</v>
      </c>
      <c r="AK107" s="1129">
        <v>1494.1338095238098</v>
      </c>
      <c r="AL107" s="1129">
        <v>0</v>
      </c>
      <c r="AM107" s="1129">
        <v>0</v>
      </c>
      <c r="AN107" s="1129">
        <v>1494.1338095238098</v>
      </c>
      <c r="AO107" s="1129" t="s">
        <v>85</v>
      </c>
      <c r="AP107" s="1129" t="s">
        <v>96</v>
      </c>
      <c r="AQ107" s="1157">
        <v>2014</v>
      </c>
      <c r="AR107" s="1129" t="s">
        <v>87</v>
      </c>
      <c r="AS107" s="1127">
        <v>0.33333333333333331</v>
      </c>
      <c r="AT107" s="1127"/>
      <c r="AU107" s="1127">
        <v>0.33333333333333331</v>
      </c>
      <c r="AV107" s="1127"/>
      <c r="AW107" s="1127"/>
      <c r="AX107" s="1127"/>
      <c r="AY107" s="1127"/>
      <c r="AZ107" s="1127">
        <v>0.33333333333333331</v>
      </c>
      <c r="BA107" s="1129">
        <v>498.04460317460325</v>
      </c>
      <c r="BB107" s="1129">
        <v>0</v>
      </c>
      <c r="BC107" s="1129">
        <v>498.04460317460325</v>
      </c>
      <c r="BD107" s="1129">
        <v>0</v>
      </c>
      <c r="BE107" s="1129">
        <v>0</v>
      </c>
      <c r="BF107" s="1129">
        <v>0</v>
      </c>
      <c r="BG107" s="1129">
        <v>0</v>
      </c>
      <c r="BH107" s="1129">
        <v>498.04460317460325</v>
      </c>
      <c r="BI107" s="971"/>
      <c r="BJ107" s="971"/>
      <c r="BK107" s="971"/>
      <c r="BL107" s="1246"/>
      <c r="BM107" s="1247" t="s">
        <v>2125</v>
      </c>
    </row>
    <row r="108" spans="1:65" s="1247" customFormat="1" ht="49.5" customHeight="1">
      <c r="A108" s="1272">
        <v>4000</v>
      </c>
      <c r="B108" s="971" t="s">
        <v>1316</v>
      </c>
      <c r="C108" s="1272">
        <v>4100</v>
      </c>
      <c r="D108" s="971" t="s">
        <v>120</v>
      </c>
      <c r="E108" s="971" t="s">
        <v>1389</v>
      </c>
      <c r="F108" s="971" t="s">
        <v>176</v>
      </c>
      <c r="G108" s="971" t="s">
        <v>4459</v>
      </c>
      <c r="H108" s="971" t="s">
        <v>1390</v>
      </c>
      <c r="I108" s="1273" t="s">
        <v>6792</v>
      </c>
      <c r="J108" s="971" t="s">
        <v>2146</v>
      </c>
      <c r="K108" s="971" t="s">
        <v>2127</v>
      </c>
      <c r="L108" s="971" t="s">
        <v>2177</v>
      </c>
      <c r="M108" s="971" t="s">
        <v>2127</v>
      </c>
      <c r="N108" s="971" t="s">
        <v>176</v>
      </c>
      <c r="O108" s="971" t="s">
        <v>2177</v>
      </c>
      <c r="P108" s="971" t="s">
        <v>6658</v>
      </c>
      <c r="Q108" s="971" t="s">
        <v>6793</v>
      </c>
      <c r="R108" s="971" t="s">
        <v>4501</v>
      </c>
      <c r="S108" s="1274">
        <v>1</v>
      </c>
      <c r="T108" s="971" t="s">
        <v>242</v>
      </c>
      <c r="U108" s="1275">
        <v>10</v>
      </c>
      <c r="V108" s="1275">
        <v>45</v>
      </c>
      <c r="W108" s="1275">
        <v>999.13380952380965</v>
      </c>
      <c r="X108" s="1275">
        <v>450</v>
      </c>
      <c r="Y108" s="1275">
        <v>1494.1338095238098</v>
      </c>
      <c r="Z108" s="1129">
        <v>10</v>
      </c>
      <c r="AA108" s="1129">
        <v>45</v>
      </c>
      <c r="AB108" s="1129">
        <v>999.13380952380965</v>
      </c>
      <c r="AC108" s="1129">
        <v>450</v>
      </c>
      <c r="AD108" s="1098">
        <v>1494.1338095238098</v>
      </c>
      <c r="AE108" s="1237">
        <v>24</v>
      </c>
      <c r="AF108" s="1133">
        <v>24</v>
      </c>
      <c r="AG108" s="1127">
        <v>1</v>
      </c>
      <c r="AH108" s="1127">
        <v>0</v>
      </c>
      <c r="AI108" s="1127">
        <v>0</v>
      </c>
      <c r="AJ108" s="1127">
        <v>1</v>
      </c>
      <c r="AK108" s="1129">
        <v>1494.1338095238098</v>
      </c>
      <c r="AL108" s="1129">
        <v>0</v>
      </c>
      <c r="AM108" s="1129">
        <v>0</v>
      </c>
      <c r="AN108" s="1129">
        <v>1494.1338095238098</v>
      </c>
      <c r="AO108" s="1129" t="s">
        <v>85</v>
      </c>
      <c r="AP108" s="1129" t="s">
        <v>96</v>
      </c>
      <c r="AQ108" s="1157">
        <v>2014</v>
      </c>
      <c r="AR108" s="1129" t="s">
        <v>87</v>
      </c>
      <c r="AS108" s="1127">
        <v>0.33333333333333331</v>
      </c>
      <c r="AT108" s="1127"/>
      <c r="AU108" s="1127">
        <v>0.33333333333333331</v>
      </c>
      <c r="AV108" s="1127"/>
      <c r="AW108" s="1127"/>
      <c r="AX108" s="1127"/>
      <c r="AY108" s="1127"/>
      <c r="AZ108" s="1127">
        <v>0.33333333333333331</v>
      </c>
      <c r="BA108" s="1129">
        <v>498.04460317460325</v>
      </c>
      <c r="BB108" s="1129">
        <v>0</v>
      </c>
      <c r="BC108" s="1129">
        <v>498.04460317460325</v>
      </c>
      <c r="BD108" s="1129">
        <v>0</v>
      </c>
      <c r="BE108" s="1129">
        <v>0</v>
      </c>
      <c r="BF108" s="1129">
        <v>0</v>
      </c>
      <c r="BG108" s="1129">
        <v>0</v>
      </c>
      <c r="BH108" s="1129">
        <v>498.04460317460325</v>
      </c>
      <c r="BI108" s="971"/>
      <c r="BJ108" s="971"/>
      <c r="BK108" s="971"/>
      <c r="BL108" s="1246"/>
      <c r="BM108" s="1247" t="s">
        <v>2125</v>
      </c>
    </row>
    <row r="109" spans="1:65" s="1247" customFormat="1" ht="82.5" customHeight="1">
      <c r="A109" s="1272">
        <v>4000</v>
      </c>
      <c r="B109" s="971" t="s">
        <v>1316</v>
      </c>
      <c r="C109" s="1272">
        <v>4100</v>
      </c>
      <c r="D109" s="971" t="s">
        <v>120</v>
      </c>
      <c r="E109" s="971" t="s">
        <v>1389</v>
      </c>
      <c r="F109" s="971" t="s">
        <v>176</v>
      </c>
      <c r="G109" s="971" t="s">
        <v>4505</v>
      </c>
      <c r="H109" s="971" t="s">
        <v>3491</v>
      </c>
      <c r="I109" s="1273" t="s">
        <v>6794</v>
      </c>
      <c r="J109" s="971" t="s">
        <v>2146</v>
      </c>
      <c r="K109" s="971" t="s">
        <v>2127</v>
      </c>
      <c r="L109" s="971" t="s">
        <v>2177</v>
      </c>
      <c r="M109" s="971" t="s">
        <v>2127</v>
      </c>
      <c r="N109" s="971" t="s">
        <v>176</v>
      </c>
      <c r="O109" s="971" t="s">
        <v>2177</v>
      </c>
      <c r="P109" s="971" t="s">
        <v>2292</v>
      </c>
      <c r="Q109" s="971" t="s">
        <v>6795</v>
      </c>
      <c r="R109" s="971" t="s">
        <v>4506</v>
      </c>
      <c r="S109" s="1274">
        <v>1</v>
      </c>
      <c r="T109" s="971" t="s">
        <v>242</v>
      </c>
      <c r="U109" s="1275">
        <v>10</v>
      </c>
      <c r="V109" s="1275">
        <v>45</v>
      </c>
      <c r="W109" s="1275">
        <v>999.13380952380965</v>
      </c>
      <c r="X109" s="1275">
        <v>450</v>
      </c>
      <c r="Y109" s="1275">
        <v>1494.1338095238098</v>
      </c>
      <c r="Z109" s="1129">
        <v>10</v>
      </c>
      <c r="AA109" s="1129">
        <v>45</v>
      </c>
      <c r="AB109" s="1129">
        <v>999.13380952380965</v>
      </c>
      <c r="AC109" s="1129">
        <v>450</v>
      </c>
      <c r="AD109" s="1098">
        <v>1494.1338095238098</v>
      </c>
      <c r="AE109" s="1237">
        <v>24</v>
      </c>
      <c r="AF109" s="1133">
        <v>24</v>
      </c>
      <c r="AG109" s="1127">
        <v>1</v>
      </c>
      <c r="AH109" s="1127">
        <v>0</v>
      </c>
      <c r="AI109" s="1127">
        <v>0</v>
      </c>
      <c r="AJ109" s="1127">
        <v>1</v>
      </c>
      <c r="AK109" s="1129">
        <v>1494.1338095238098</v>
      </c>
      <c r="AL109" s="1129">
        <v>0</v>
      </c>
      <c r="AM109" s="1129">
        <v>0</v>
      </c>
      <c r="AN109" s="1129">
        <v>1494.1338095238098</v>
      </c>
      <c r="AO109" s="1129" t="s">
        <v>85</v>
      </c>
      <c r="AP109" s="1129" t="s">
        <v>96</v>
      </c>
      <c r="AQ109" s="1157">
        <v>2014</v>
      </c>
      <c r="AR109" s="1129" t="s">
        <v>87</v>
      </c>
      <c r="AS109" s="1127">
        <v>0.33333333333333331</v>
      </c>
      <c r="AT109" s="1127"/>
      <c r="AU109" s="1127">
        <v>0.33333333333333331</v>
      </c>
      <c r="AV109" s="1127"/>
      <c r="AW109" s="1127"/>
      <c r="AX109" s="1127"/>
      <c r="AY109" s="1127"/>
      <c r="AZ109" s="1127">
        <v>0.33333333333333331</v>
      </c>
      <c r="BA109" s="1129">
        <v>498.04460317460325</v>
      </c>
      <c r="BB109" s="1129">
        <v>0</v>
      </c>
      <c r="BC109" s="1129">
        <v>498.04460317460325</v>
      </c>
      <c r="BD109" s="1129">
        <v>0</v>
      </c>
      <c r="BE109" s="1129">
        <v>0</v>
      </c>
      <c r="BF109" s="1129">
        <v>0</v>
      </c>
      <c r="BG109" s="1129">
        <v>0</v>
      </c>
      <c r="BH109" s="1129">
        <v>498.04460317460325</v>
      </c>
      <c r="BI109" s="971"/>
      <c r="BJ109" s="971"/>
      <c r="BK109" s="971"/>
      <c r="BL109" s="1246"/>
      <c r="BM109" s="1247" t="s">
        <v>2125</v>
      </c>
    </row>
    <row r="110" spans="1:65" s="1247" customFormat="1" ht="82.5" customHeight="1">
      <c r="A110" s="1272">
        <v>4000</v>
      </c>
      <c r="B110" s="971" t="s">
        <v>1316</v>
      </c>
      <c r="C110" s="1272">
        <v>4100</v>
      </c>
      <c r="D110" s="971" t="s">
        <v>120</v>
      </c>
      <c r="E110" s="971" t="s">
        <v>1389</v>
      </c>
      <c r="F110" s="971" t="s">
        <v>176</v>
      </c>
      <c r="G110" s="971" t="s">
        <v>4505</v>
      </c>
      <c r="H110" s="971" t="s">
        <v>3491</v>
      </c>
      <c r="I110" s="1273" t="s">
        <v>6796</v>
      </c>
      <c r="J110" s="971" t="s">
        <v>2146</v>
      </c>
      <c r="K110" s="971" t="s">
        <v>2125</v>
      </c>
      <c r="L110" s="971" t="s">
        <v>2126</v>
      </c>
      <c r="M110" s="971" t="s">
        <v>2125</v>
      </c>
      <c r="N110" s="971" t="s">
        <v>176</v>
      </c>
      <c r="O110" s="971" t="s">
        <v>2126</v>
      </c>
      <c r="P110" s="971" t="s">
        <v>6797</v>
      </c>
      <c r="Q110" s="971" t="s">
        <v>6798</v>
      </c>
      <c r="R110" s="971" t="s">
        <v>4514</v>
      </c>
      <c r="S110" s="1274">
        <v>1</v>
      </c>
      <c r="T110" s="971" t="s">
        <v>242</v>
      </c>
      <c r="U110" s="1275">
        <v>13</v>
      </c>
      <c r="V110" s="1275">
        <v>120</v>
      </c>
      <c r="W110" s="1275">
        <v>1298.8739523809525</v>
      </c>
      <c r="X110" s="1275">
        <v>1200</v>
      </c>
      <c r="Y110" s="1275">
        <v>2618.8739523809527</v>
      </c>
      <c r="Z110" s="1129">
        <v>13</v>
      </c>
      <c r="AA110" s="1129">
        <v>120</v>
      </c>
      <c r="AB110" s="1129">
        <v>1298.8739523809525</v>
      </c>
      <c r="AC110" s="1129">
        <v>1200</v>
      </c>
      <c r="AD110" s="1098">
        <v>2618.8739523809527</v>
      </c>
      <c r="AE110" s="1237">
        <v>96</v>
      </c>
      <c r="AF110" s="1133">
        <v>96</v>
      </c>
      <c r="AG110" s="1127">
        <v>1</v>
      </c>
      <c r="AH110" s="1127">
        <v>0</v>
      </c>
      <c r="AI110" s="1127">
        <v>0</v>
      </c>
      <c r="AJ110" s="1127">
        <v>1</v>
      </c>
      <c r="AK110" s="1129">
        <v>2618.8739523809527</v>
      </c>
      <c r="AL110" s="1129">
        <v>0</v>
      </c>
      <c r="AM110" s="1129">
        <v>0</v>
      </c>
      <c r="AN110" s="1129">
        <v>2618.8739523809527</v>
      </c>
      <c r="AO110" s="1129" t="s">
        <v>85</v>
      </c>
      <c r="AP110" s="1129" t="s">
        <v>96</v>
      </c>
      <c r="AQ110" s="1157">
        <v>2014</v>
      </c>
      <c r="AR110" s="1129" t="s">
        <v>87</v>
      </c>
      <c r="AS110" s="1127">
        <v>0.33333333333333331</v>
      </c>
      <c r="AT110" s="1127"/>
      <c r="AU110" s="1127">
        <v>0.33333333333333331</v>
      </c>
      <c r="AV110" s="1127"/>
      <c r="AW110" s="1127"/>
      <c r="AX110" s="1127"/>
      <c r="AY110" s="1127"/>
      <c r="AZ110" s="1127">
        <v>0.33333333333333331</v>
      </c>
      <c r="BA110" s="1129">
        <v>872.95798412698423</v>
      </c>
      <c r="BB110" s="1129">
        <v>0</v>
      </c>
      <c r="BC110" s="1129">
        <v>872.95798412698423</v>
      </c>
      <c r="BD110" s="1129">
        <v>0</v>
      </c>
      <c r="BE110" s="1129">
        <v>0</v>
      </c>
      <c r="BF110" s="1129">
        <v>0</v>
      </c>
      <c r="BG110" s="1129">
        <v>0</v>
      </c>
      <c r="BH110" s="1129">
        <v>872.95798412698423</v>
      </c>
      <c r="BI110" s="971"/>
      <c r="BJ110" s="971"/>
      <c r="BK110" s="971"/>
      <c r="BL110" s="1246"/>
      <c r="BM110" s="1247" t="s">
        <v>2125</v>
      </c>
    </row>
    <row r="111" spans="1:65" s="1247" customFormat="1" ht="66" customHeight="1">
      <c r="A111" s="1272">
        <v>4000</v>
      </c>
      <c r="B111" s="971" t="s">
        <v>1316</v>
      </c>
      <c r="C111" s="1272">
        <v>4100</v>
      </c>
      <c r="D111" s="971" t="s">
        <v>120</v>
      </c>
      <c r="E111" s="971" t="s">
        <v>1389</v>
      </c>
      <c r="F111" s="971" t="s">
        <v>176</v>
      </c>
      <c r="G111" s="971" t="s">
        <v>4505</v>
      </c>
      <c r="H111" s="971" t="s">
        <v>3491</v>
      </c>
      <c r="I111" s="1273" t="s">
        <v>6799</v>
      </c>
      <c r="J111" s="971" t="s">
        <v>2146</v>
      </c>
      <c r="K111" s="971" t="s">
        <v>2125</v>
      </c>
      <c r="L111" s="971" t="s">
        <v>2126</v>
      </c>
      <c r="M111" s="971" t="s">
        <v>2125</v>
      </c>
      <c r="N111" s="971" t="s">
        <v>176</v>
      </c>
      <c r="O111" s="971" t="s">
        <v>2126</v>
      </c>
      <c r="P111" s="971" t="s">
        <v>6797</v>
      </c>
      <c r="Q111" s="971" t="s">
        <v>6800</v>
      </c>
      <c r="R111" s="971" t="s">
        <v>4522</v>
      </c>
      <c r="S111" s="1274">
        <v>1</v>
      </c>
      <c r="T111" s="971" t="s">
        <v>242</v>
      </c>
      <c r="U111" s="1275">
        <v>13</v>
      </c>
      <c r="V111" s="1275">
        <v>120</v>
      </c>
      <c r="W111" s="1275">
        <v>1298.8739523809525</v>
      </c>
      <c r="X111" s="1275">
        <v>1200</v>
      </c>
      <c r="Y111" s="1275">
        <v>2618.8739523809527</v>
      </c>
      <c r="Z111" s="1129">
        <v>13</v>
      </c>
      <c r="AA111" s="1129">
        <v>120</v>
      </c>
      <c r="AB111" s="1129">
        <v>1298.8739523809525</v>
      </c>
      <c r="AC111" s="1129">
        <v>1200</v>
      </c>
      <c r="AD111" s="1098">
        <v>2618.8739523809527</v>
      </c>
      <c r="AE111" s="1237">
        <v>96</v>
      </c>
      <c r="AF111" s="1133">
        <v>96</v>
      </c>
      <c r="AG111" s="1127">
        <v>1</v>
      </c>
      <c r="AH111" s="1127">
        <v>0</v>
      </c>
      <c r="AI111" s="1127">
        <v>0</v>
      </c>
      <c r="AJ111" s="1127">
        <v>1</v>
      </c>
      <c r="AK111" s="1129">
        <v>2618.8739523809527</v>
      </c>
      <c r="AL111" s="1129">
        <v>0</v>
      </c>
      <c r="AM111" s="1129">
        <v>0</v>
      </c>
      <c r="AN111" s="1129">
        <v>2618.8739523809527</v>
      </c>
      <c r="AO111" s="1129" t="s">
        <v>85</v>
      </c>
      <c r="AP111" s="1129" t="s">
        <v>96</v>
      </c>
      <c r="AQ111" s="1157">
        <v>2014</v>
      </c>
      <c r="AR111" s="1129" t="s">
        <v>87</v>
      </c>
      <c r="AS111" s="1127">
        <v>0.33333333333333331</v>
      </c>
      <c r="AT111" s="1127"/>
      <c r="AU111" s="1127">
        <v>0.33333333333333331</v>
      </c>
      <c r="AV111" s="1127"/>
      <c r="AW111" s="1127"/>
      <c r="AX111" s="1127"/>
      <c r="AY111" s="1127"/>
      <c r="AZ111" s="1127">
        <v>0.33333333333333331</v>
      </c>
      <c r="BA111" s="1129">
        <v>872.95798412698423</v>
      </c>
      <c r="BB111" s="1129">
        <v>0</v>
      </c>
      <c r="BC111" s="1129">
        <v>872.95798412698423</v>
      </c>
      <c r="BD111" s="1129">
        <v>0</v>
      </c>
      <c r="BE111" s="1129">
        <v>0</v>
      </c>
      <c r="BF111" s="1129">
        <v>0</v>
      </c>
      <c r="BG111" s="1129">
        <v>0</v>
      </c>
      <c r="BH111" s="1129">
        <v>872.95798412698423</v>
      </c>
      <c r="BI111" s="971"/>
      <c r="BJ111" s="971"/>
      <c r="BK111" s="971"/>
      <c r="BL111" s="1246"/>
      <c r="BM111" s="1247" t="s">
        <v>2125</v>
      </c>
    </row>
    <row r="112" spans="1:65" s="1247" customFormat="1" ht="66" customHeight="1">
      <c r="A112" s="1272">
        <v>4000</v>
      </c>
      <c r="B112" s="971" t="s">
        <v>1316</v>
      </c>
      <c r="C112" s="1272">
        <v>4100</v>
      </c>
      <c r="D112" s="971" t="s">
        <v>120</v>
      </c>
      <c r="E112" s="971" t="s">
        <v>1389</v>
      </c>
      <c r="F112" s="971" t="s">
        <v>176</v>
      </c>
      <c r="G112" s="971" t="s">
        <v>4505</v>
      </c>
      <c r="H112" s="971" t="s">
        <v>3491</v>
      </c>
      <c r="I112" s="1273" t="s">
        <v>6801</v>
      </c>
      <c r="J112" s="971" t="s">
        <v>2146</v>
      </c>
      <c r="K112" s="971" t="s">
        <v>2127</v>
      </c>
      <c r="L112" s="971" t="s">
        <v>2177</v>
      </c>
      <c r="M112" s="971" t="s">
        <v>2127</v>
      </c>
      <c r="N112" s="971" t="s">
        <v>176</v>
      </c>
      <c r="O112" s="971" t="s">
        <v>2177</v>
      </c>
      <c r="P112" s="971" t="s">
        <v>2292</v>
      </c>
      <c r="Q112" s="971" t="s">
        <v>6795</v>
      </c>
      <c r="R112" s="971" t="s">
        <v>4524</v>
      </c>
      <c r="S112" s="1274">
        <v>1</v>
      </c>
      <c r="T112" s="971" t="s">
        <v>242</v>
      </c>
      <c r="U112" s="1275">
        <v>10</v>
      </c>
      <c r="V112" s="1275">
        <v>45</v>
      </c>
      <c r="W112" s="1275">
        <v>999.13380952380965</v>
      </c>
      <c r="X112" s="1275">
        <v>450</v>
      </c>
      <c r="Y112" s="1275">
        <v>1494.1338095238098</v>
      </c>
      <c r="Z112" s="1129">
        <v>10</v>
      </c>
      <c r="AA112" s="1129">
        <v>45</v>
      </c>
      <c r="AB112" s="1129">
        <v>999.13380952380965</v>
      </c>
      <c r="AC112" s="1129">
        <v>450</v>
      </c>
      <c r="AD112" s="1098">
        <v>1494.1338095238098</v>
      </c>
      <c r="AE112" s="1237">
        <v>24</v>
      </c>
      <c r="AF112" s="1133">
        <v>24</v>
      </c>
      <c r="AG112" s="1127">
        <v>1</v>
      </c>
      <c r="AH112" s="1127">
        <v>0</v>
      </c>
      <c r="AI112" s="1127">
        <v>0</v>
      </c>
      <c r="AJ112" s="1127">
        <v>1</v>
      </c>
      <c r="AK112" s="1129">
        <v>1494.1338095238098</v>
      </c>
      <c r="AL112" s="1129">
        <v>0</v>
      </c>
      <c r="AM112" s="1129">
        <v>0</v>
      </c>
      <c r="AN112" s="1129">
        <v>1494.1338095238098</v>
      </c>
      <c r="AO112" s="1129" t="s">
        <v>85</v>
      </c>
      <c r="AP112" s="1129" t="s">
        <v>96</v>
      </c>
      <c r="AQ112" s="1157">
        <v>2014</v>
      </c>
      <c r="AR112" s="1129" t="s">
        <v>87</v>
      </c>
      <c r="AS112" s="1127">
        <v>0.33333333333333331</v>
      </c>
      <c r="AT112" s="1127"/>
      <c r="AU112" s="1127">
        <v>0.33333333333333331</v>
      </c>
      <c r="AV112" s="1127"/>
      <c r="AW112" s="1127"/>
      <c r="AX112" s="1127"/>
      <c r="AY112" s="1127"/>
      <c r="AZ112" s="1127">
        <v>0.33333333333333331</v>
      </c>
      <c r="BA112" s="1129">
        <v>498.04460317460325</v>
      </c>
      <c r="BB112" s="1129">
        <v>0</v>
      </c>
      <c r="BC112" s="1129">
        <v>498.04460317460325</v>
      </c>
      <c r="BD112" s="1129">
        <v>0</v>
      </c>
      <c r="BE112" s="1129">
        <v>0</v>
      </c>
      <c r="BF112" s="1129">
        <v>0</v>
      </c>
      <c r="BG112" s="1129">
        <v>0</v>
      </c>
      <c r="BH112" s="1129">
        <v>498.04460317460325</v>
      </c>
      <c r="BI112" s="971"/>
      <c r="BJ112" s="971"/>
      <c r="BK112" s="971"/>
      <c r="BL112" s="1246"/>
      <c r="BM112" s="1247" t="s">
        <v>2125</v>
      </c>
    </row>
    <row r="113" spans="1:65" s="1247" customFormat="1" ht="66" customHeight="1">
      <c r="A113" s="1272">
        <v>4000</v>
      </c>
      <c r="B113" s="971" t="s">
        <v>1316</v>
      </c>
      <c r="C113" s="1272">
        <v>4100</v>
      </c>
      <c r="D113" s="971" t="s">
        <v>120</v>
      </c>
      <c r="E113" s="971" t="s">
        <v>1389</v>
      </c>
      <c r="F113" s="971" t="s">
        <v>176</v>
      </c>
      <c r="G113" s="971" t="s">
        <v>4505</v>
      </c>
      <c r="H113" s="971" t="s">
        <v>3491</v>
      </c>
      <c r="I113" s="1273" t="s">
        <v>6802</v>
      </c>
      <c r="J113" s="971" t="s">
        <v>2146</v>
      </c>
      <c r="K113" s="971" t="s">
        <v>2125</v>
      </c>
      <c r="L113" s="971" t="s">
        <v>2126</v>
      </c>
      <c r="M113" s="971" t="s">
        <v>2125</v>
      </c>
      <c r="N113" s="971" t="s">
        <v>176</v>
      </c>
      <c r="O113" s="971" t="s">
        <v>2126</v>
      </c>
      <c r="P113" s="971" t="s">
        <v>6797</v>
      </c>
      <c r="Q113" s="971" t="s">
        <v>6798</v>
      </c>
      <c r="R113" s="971" t="s">
        <v>4525</v>
      </c>
      <c r="S113" s="1274">
        <v>1</v>
      </c>
      <c r="T113" s="971" t="s">
        <v>242</v>
      </c>
      <c r="U113" s="1275">
        <v>13</v>
      </c>
      <c r="V113" s="1275">
        <v>120</v>
      </c>
      <c r="W113" s="1275">
        <v>1298.8739523809525</v>
      </c>
      <c r="X113" s="1275">
        <v>1200</v>
      </c>
      <c r="Y113" s="1275">
        <v>2618.8739523809527</v>
      </c>
      <c r="Z113" s="1129">
        <v>13</v>
      </c>
      <c r="AA113" s="1129">
        <v>120</v>
      </c>
      <c r="AB113" s="1129">
        <v>1298.8739523809525</v>
      </c>
      <c r="AC113" s="1129">
        <v>1200</v>
      </c>
      <c r="AD113" s="1098">
        <v>2618.8739523809527</v>
      </c>
      <c r="AE113" s="1237">
        <v>96</v>
      </c>
      <c r="AF113" s="1133">
        <v>96</v>
      </c>
      <c r="AG113" s="1127">
        <v>1</v>
      </c>
      <c r="AH113" s="1127">
        <v>0</v>
      </c>
      <c r="AI113" s="1127">
        <v>0</v>
      </c>
      <c r="AJ113" s="1127">
        <v>1</v>
      </c>
      <c r="AK113" s="1129">
        <v>2618.8739523809527</v>
      </c>
      <c r="AL113" s="1129">
        <v>0</v>
      </c>
      <c r="AM113" s="1129">
        <v>0</v>
      </c>
      <c r="AN113" s="1129">
        <v>2618.8739523809527</v>
      </c>
      <c r="AO113" s="1129" t="s">
        <v>85</v>
      </c>
      <c r="AP113" s="1129" t="s">
        <v>96</v>
      </c>
      <c r="AQ113" s="1157">
        <v>2014</v>
      </c>
      <c r="AR113" s="1129" t="s">
        <v>87</v>
      </c>
      <c r="AS113" s="1127">
        <v>0.33333333333333331</v>
      </c>
      <c r="AT113" s="1127"/>
      <c r="AU113" s="1127">
        <v>0.33333333333333331</v>
      </c>
      <c r="AV113" s="1127"/>
      <c r="AW113" s="1127"/>
      <c r="AX113" s="1127"/>
      <c r="AY113" s="1127"/>
      <c r="AZ113" s="1127">
        <v>0.33333333333333331</v>
      </c>
      <c r="BA113" s="1129">
        <v>872.95798412698423</v>
      </c>
      <c r="BB113" s="1129">
        <v>0</v>
      </c>
      <c r="BC113" s="1129">
        <v>872.95798412698423</v>
      </c>
      <c r="BD113" s="1129">
        <v>0</v>
      </c>
      <c r="BE113" s="1129">
        <v>0</v>
      </c>
      <c r="BF113" s="1129">
        <v>0</v>
      </c>
      <c r="BG113" s="1129">
        <v>0</v>
      </c>
      <c r="BH113" s="1129">
        <v>872.95798412698423</v>
      </c>
      <c r="BI113" s="971"/>
      <c r="BJ113" s="971"/>
      <c r="BK113" s="971"/>
      <c r="BL113" s="1246"/>
      <c r="BM113" s="1247" t="s">
        <v>2125</v>
      </c>
    </row>
    <row r="114" spans="1:65" s="1247" customFormat="1" ht="66" customHeight="1">
      <c r="A114" s="1272">
        <v>4000</v>
      </c>
      <c r="B114" s="971" t="s">
        <v>1316</v>
      </c>
      <c r="C114" s="1272">
        <v>4100</v>
      </c>
      <c r="D114" s="971" t="s">
        <v>120</v>
      </c>
      <c r="E114" s="971" t="s">
        <v>1389</v>
      </c>
      <c r="F114" s="971" t="s">
        <v>176</v>
      </c>
      <c r="G114" s="971" t="s">
        <v>4505</v>
      </c>
      <c r="H114" s="971" t="s">
        <v>3491</v>
      </c>
      <c r="I114" s="1273" t="s">
        <v>6803</v>
      </c>
      <c r="J114" s="971" t="s">
        <v>2146</v>
      </c>
      <c r="K114" s="971" t="s">
        <v>2125</v>
      </c>
      <c r="L114" s="971" t="s">
        <v>2126</v>
      </c>
      <c r="M114" s="971" t="s">
        <v>2125</v>
      </c>
      <c r="N114" s="971" t="s">
        <v>176</v>
      </c>
      <c r="O114" s="971" t="s">
        <v>2126</v>
      </c>
      <c r="P114" s="971" t="s">
        <v>6797</v>
      </c>
      <c r="Q114" s="971" t="s">
        <v>6800</v>
      </c>
      <c r="R114" s="971" t="s">
        <v>4526</v>
      </c>
      <c r="S114" s="1274">
        <v>1</v>
      </c>
      <c r="T114" s="971" t="s">
        <v>242</v>
      </c>
      <c r="U114" s="1275">
        <v>13</v>
      </c>
      <c r="V114" s="1275">
        <v>120</v>
      </c>
      <c r="W114" s="1275">
        <v>1298.8739523809525</v>
      </c>
      <c r="X114" s="1275">
        <v>1200</v>
      </c>
      <c r="Y114" s="1275">
        <v>2618.8739523809527</v>
      </c>
      <c r="Z114" s="1129">
        <v>13</v>
      </c>
      <c r="AA114" s="1129">
        <v>120</v>
      </c>
      <c r="AB114" s="1129">
        <v>1298.8739523809525</v>
      </c>
      <c r="AC114" s="1129">
        <v>1200</v>
      </c>
      <c r="AD114" s="1098">
        <v>2618.8739523809527</v>
      </c>
      <c r="AE114" s="1237">
        <v>96</v>
      </c>
      <c r="AF114" s="1133">
        <v>96</v>
      </c>
      <c r="AG114" s="1127">
        <v>1</v>
      </c>
      <c r="AH114" s="1127">
        <v>0</v>
      </c>
      <c r="AI114" s="1127">
        <v>0</v>
      </c>
      <c r="AJ114" s="1127">
        <v>1</v>
      </c>
      <c r="AK114" s="1129">
        <v>2618.8739523809527</v>
      </c>
      <c r="AL114" s="1129">
        <v>0</v>
      </c>
      <c r="AM114" s="1129">
        <v>0</v>
      </c>
      <c r="AN114" s="1129">
        <v>2618.8739523809527</v>
      </c>
      <c r="AO114" s="1129" t="s">
        <v>85</v>
      </c>
      <c r="AP114" s="1129" t="s">
        <v>96</v>
      </c>
      <c r="AQ114" s="1157">
        <v>2014</v>
      </c>
      <c r="AR114" s="1129" t="s">
        <v>87</v>
      </c>
      <c r="AS114" s="1127">
        <v>0.33333333333333331</v>
      </c>
      <c r="AT114" s="1127"/>
      <c r="AU114" s="1127">
        <v>0.33333333333333331</v>
      </c>
      <c r="AV114" s="1127"/>
      <c r="AW114" s="1127"/>
      <c r="AX114" s="1127"/>
      <c r="AY114" s="1127"/>
      <c r="AZ114" s="1127">
        <v>0.33333333333333331</v>
      </c>
      <c r="BA114" s="1129">
        <v>872.95798412698423</v>
      </c>
      <c r="BB114" s="1129">
        <v>0</v>
      </c>
      <c r="BC114" s="1129">
        <v>872.95798412698423</v>
      </c>
      <c r="BD114" s="1129">
        <v>0</v>
      </c>
      <c r="BE114" s="1129">
        <v>0</v>
      </c>
      <c r="BF114" s="1129">
        <v>0</v>
      </c>
      <c r="BG114" s="1129">
        <v>0</v>
      </c>
      <c r="BH114" s="1129">
        <v>872.95798412698423</v>
      </c>
      <c r="BI114" s="971"/>
      <c r="BJ114" s="971"/>
      <c r="BK114" s="971"/>
      <c r="BL114" s="1246"/>
      <c r="BM114" s="1247" t="s">
        <v>2125</v>
      </c>
    </row>
    <row r="115" spans="1:65" s="1247" customFormat="1" ht="66" customHeight="1">
      <c r="A115" s="1272">
        <v>4000</v>
      </c>
      <c r="B115" s="971" t="s">
        <v>1316</v>
      </c>
      <c r="C115" s="1272">
        <v>4100</v>
      </c>
      <c r="D115" s="971" t="s">
        <v>120</v>
      </c>
      <c r="E115" s="971" t="s">
        <v>1389</v>
      </c>
      <c r="F115" s="971" t="s">
        <v>176</v>
      </c>
      <c r="G115" s="971" t="s">
        <v>4505</v>
      </c>
      <c r="H115" s="971" t="s">
        <v>3491</v>
      </c>
      <c r="I115" s="1273" t="s">
        <v>6804</v>
      </c>
      <c r="J115" s="971" t="s">
        <v>2146</v>
      </c>
      <c r="K115" s="971" t="s">
        <v>2127</v>
      </c>
      <c r="L115" s="971" t="s">
        <v>2177</v>
      </c>
      <c r="M115" s="971" t="s">
        <v>2127</v>
      </c>
      <c r="N115" s="971" t="s">
        <v>176</v>
      </c>
      <c r="O115" s="971" t="s">
        <v>2177</v>
      </c>
      <c r="P115" s="971" t="s">
        <v>2292</v>
      </c>
      <c r="Q115" s="971" t="s">
        <v>6795</v>
      </c>
      <c r="R115" s="971" t="s">
        <v>4527</v>
      </c>
      <c r="S115" s="1274">
        <v>1</v>
      </c>
      <c r="T115" s="971" t="s">
        <v>242</v>
      </c>
      <c r="U115" s="1275">
        <v>10</v>
      </c>
      <c r="V115" s="1275">
        <v>45</v>
      </c>
      <c r="W115" s="1275">
        <v>999.13380952380965</v>
      </c>
      <c r="X115" s="1275">
        <v>450</v>
      </c>
      <c r="Y115" s="1275">
        <v>1494.1338095238098</v>
      </c>
      <c r="Z115" s="1129">
        <v>10</v>
      </c>
      <c r="AA115" s="1129">
        <v>45</v>
      </c>
      <c r="AB115" s="1129">
        <v>999.13380952380965</v>
      </c>
      <c r="AC115" s="1129">
        <v>450</v>
      </c>
      <c r="AD115" s="1098">
        <v>1494.1338095238098</v>
      </c>
      <c r="AE115" s="1237">
        <v>24</v>
      </c>
      <c r="AF115" s="1133">
        <v>24</v>
      </c>
      <c r="AG115" s="1127">
        <v>1</v>
      </c>
      <c r="AH115" s="1127">
        <v>0</v>
      </c>
      <c r="AI115" s="1127">
        <v>0</v>
      </c>
      <c r="AJ115" s="1127">
        <v>1</v>
      </c>
      <c r="AK115" s="1129">
        <v>1494.1338095238098</v>
      </c>
      <c r="AL115" s="1129">
        <v>0</v>
      </c>
      <c r="AM115" s="1129">
        <v>0</v>
      </c>
      <c r="AN115" s="1129">
        <v>1494.1338095238098</v>
      </c>
      <c r="AO115" s="1129" t="s">
        <v>85</v>
      </c>
      <c r="AP115" s="1129" t="s">
        <v>96</v>
      </c>
      <c r="AQ115" s="1157">
        <v>2014</v>
      </c>
      <c r="AR115" s="1129" t="s">
        <v>87</v>
      </c>
      <c r="AS115" s="1127">
        <v>0.33333333333333331</v>
      </c>
      <c r="AT115" s="1127"/>
      <c r="AU115" s="1127">
        <v>0.33333333333333331</v>
      </c>
      <c r="AV115" s="1127"/>
      <c r="AW115" s="1127"/>
      <c r="AX115" s="1127"/>
      <c r="AY115" s="1127"/>
      <c r="AZ115" s="1127">
        <v>0.33333333333333331</v>
      </c>
      <c r="BA115" s="1129">
        <v>498.04460317460325</v>
      </c>
      <c r="BB115" s="1129">
        <v>0</v>
      </c>
      <c r="BC115" s="1129">
        <v>498.04460317460325</v>
      </c>
      <c r="BD115" s="1129">
        <v>0</v>
      </c>
      <c r="BE115" s="1129">
        <v>0</v>
      </c>
      <c r="BF115" s="1129">
        <v>0</v>
      </c>
      <c r="BG115" s="1129">
        <v>0</v>
      </c>
      <c r="BH115" s="1129">
        <v>498.04460317460325</v>
      </c>
      <c r="BI115" s="971"/>
      <c r="BJ115" s="971"/>
      <c r="BK115" s="971"/>
      <c r="BL115" s="1246"/>
      <c r="BM115" s="1247" t="s">
        <v>2125</v>
      </c>
    </row>
    <row r="116" spans="1:65" s="1247" customFormat="1" ht="49.5" customHeight="1">
      <c r="A116" s="1272">
        <v>4000</v>
      </c>
      <c r="B116" s="971" t="s">
        <v>1316</v>
      </c>
      <c r="C116" s="1272">
        <v>4100</v>
      </c>
      <c r="D116" s="971" t="s">
        <v>120</v>
      </c>
      <c r="E116" s="971" t="s">
        <v>1389</v>
      </c>
      <c r="F116" s="971" t="s">
        <v>176</v>
      </c>
      <c r="G116" s="971" t="s">
        <v>4505</v>
      </c>
      <c r="H116" s="971" t="s">
        <v>3491</v>
      </c>
      <c r="I116" s="1273" t="s">
        <v>6805</v>
      </c>
      <c r="J116" s="971" t="s">
        <v>2146</v>
      </c>
      <c r="K116" s="971" t="s">
        <v>2125</v>
      </c>
      <c r="L116" s="971" t="s">
        <v>2126</v>
      </c>
      <c r="M116" s="971" t="s">
        <v>2125</v>
      </c>
      <c r="N116" s="971" t="s">
        <v>176</v>
      </c>
      <c r="O116" s="971" t="s">
        <v>2126</v>
      </c>
      <c r="P116" s="971" t="s">
        <v>6797</v>
      </c>
      <c r="Q116" s="971" t="s">
        <v>6806</v>
      </c>
      <c r="R116" s="971" t="s">
        <v>4528</v>
      </c>
      <c r="S116" s="1274">
        <v>1</v>
      </c>
      <c r="T116" s="971" t="s">
        <v>242</v>
      </c>
      <c r="U116" s="1275">
        <v>13</v>
      </c>
      <c r="V116" s="1275">
        <v>120</v>
      </c>
      <c r="W116" s="1275">
        <v>1298.8739523809525</v>
      </c>
      <c r="X116" s="1275">
        <v>1200</v>
      </c>
      <c r="Y116" s="1275">
        <v>2618.8739523809527</v>
      </c>
      <c r="Z116" s="1129">
        <v>13</v>
      </c>
      <c r="AA116" s="1129">
        <v>120</v>
      </c>
      <c r="AB116" s="1129">
        <v>1298.8739523809525</v>
      </c>
      <c r="AC116" s="1129">
        <v>1200</v>
      </c>
      <c r="AD116" s="1098">
        <v>2618.8739523809527</v>
      </c>
      <c r="AE116" s="1237">
        <v>96</v>
      </c>
      <c r="AF116" s="1133">
        <v>96</v>
      </c>
      <c r="AG116" s="1127">
        <v>1</v>
      </c>
      <c r="AH116" s="1127">
        <v>0</v>
      </c>
      <c r="AI116" s="1127">
        <v>0</v>
      </c>
      <c r="AJ116" s="1127">
        <v>1</v>
      </c>
      <c r="AK116" s="1129">
        <v>2618.8739523809527</v>
      </c>
      <c r="AL116" s="1129">
        <v>0</v>
      </c>
      <c r="AM116" s="1129">
        <v>0</v>
      </c>
      <c r="AN116" s="1129">
        <v>2618.8739523809527</v>
      </c>
      <c r="AO116" s="1129" t="s">
        <v>85</v>
      </c>
      <c r="AP116" s="1129" t="s">
        <v>96</v>
      </c>
      <c r="AQ116" s="1157">
        <v>2014</v>
      </c>
      <c r="AR116" s="1129" t="s">
        <v>87</v>
      </c>
      <c r="AS116" s="1127">
        <v>0.33333333333333331</v>
      </c>
      <c r="AT116" s="1127"/>
      <c r="AU116" s="1127">
        <v>0.33333333333333331</v>
      </c>
      <c r="AV116" s="1127"/>
      <c r="AW116" s="1127"/>
      <c r="AX116" s="1127"/>
      <c r="AY116" s="1127"/>
      <c r="AZ116" s="1127">
        <v>0.33333333333333331</v>
      </c>
      <c r="BA116" s="1129">
        <v>872.95798412698423</v>
      </c>
      <c r="BB116" s="1129">
        <v>0</v>
      </c>
      <c r="BC116" s="1129">
        <v>872.95798412698423</v>
      </c>
      <c r="BD116" s="1129">
        <v>0</v>
      </c>
      <c r="BE116" s="1129">
        <v>0</v>
      </c>
      <c r="BF116" s="1129">
        <v>0</v>
      </c>
      <c r="BG116" s="1129">
        <v>0</v>
      </c>
      <c r="BH116" s="1129">
        <v>872.95798412698423</v>
      </c>
      <c r="BI116" s="971"/>
      <c r="BJ116" s="971"/>
      <c r="BK116" s="971"/>
      <c r="BL116" s="1246"/>
      <c r="BM116" s="1247" t="s">
        <v>2129</v>
      </c>
    </row>
    <row r="117" spans="1:65" s="1247" customFormat="1" ht="49.5" customHeight="1">
      <c r="A117" s="1272">
        <v>4000</v>
      </c>
      <c r="B117" s="971" t="s">
        <v>1316</v>
      </c>
      <c r="C117" s="1272">
        <v>4100</v>
      </c>
      <c r="D117" s="971" t="s">
        <v>120</v>
      </c>
      <c r="E117" s="971" t="s">
        <v>1389</v>
      </c>
      <c r="F117" s="971" t="s">
        <v>176</v>
      </c>
      <c r="G117" s="971" t="s">
        <v>4505</v>
      </c>
      <c r="H117" s="971" t="s">
        <v>3491</v>
      </c>
      <c r="I117" s="1273" t="s">
        <v>6807</v>
      </c>
      <c r="J117" s="971" t="s">
        <v>2146</v>
      </c>
      <c r="K117" s="971" t="s">
        <v>2125</v>
      </c>
      <c r="L117" s="971" t="s">
        <v>2126</v>
      </c>
      <c r="M117" s="971" t="s">
        <v>2125</v>
      </c>
      <c r="N117" s="971" t="s">
        <v>176</v>
      </c>
      <c r="O117" s="971" t="s">
        <v>2126</v>
      </c>
      <c r="P117" s="971" t="s">
        <v>6797</v>
      </c>
      <c r="Q117" s="971" t="s">
        <v>6806</v>
      </c>
      <c r="R117" s="971" t="s">
        <v>4529</v>
      </c>
      <c r="S117" s="1274">
        <v>1</v>
      </c>
      <c r="T117" s="971" t="s">
        <v>242</v>
      </c>
      <c r="U117" s="1275">
        <v>13</v>
      </c>
      <c r="V117" s="1275">
        <v>120</v>
      </c>
      <c r="W117" s="1275">
        <v>1298.8739523809525</v>
      </c>
      <c r="X117" s="1275">
        <v>1200</v>
      </c>
      <c r="Y117" s="1275">
        <v>2618.8739523809527</v>
      </c>
      <c r="Z117" s="1129">
        <v>13</v>
      </c>
      <c r="AA117" s="1129">
        <v>120</v>
      </c>
      <c r="AB117" s="1129">
        <v>1298.8739523809525</v>
      </c>
      <c r="AC117" s="1129">
        <v>1200</v>
      </c>
      <c r="AD117" s="1098">
        <v>2618.8739523809527</v>
      </c>
      <c r="AE117" s="1237">
        <v>96</v>
      </c>
      <c r="AF117" s="1133">
        <v>96</v>
      </c>
      <c r="AG117" s="1127">
        <v>1</v>
      </c>
      <c r="AH117" s="1127">
        <v>0</v>
      </c>
      <c r="AI117" s="1127">
        <v>0</v>
      </c>
      <c r="AJ117" s="1127">
        <v>1</v>
      </c>
      <c r="AK117" s="1129">
        <v>2618.8739523809527</v>
      </c>
      <c r="AL117" s="1129">
        <v>0</v>
      </c>
      <c r="AM117" s="1129">
        <v>0</v>
      </c>
      <c r="AN117" s="1129">
        <v>2618.8739523809527</v>
      </c>
      <c r="AO117" s="1129" t="s">
        <v>85</v>
      </c>
      <c r="AP117" s="1129" t="s">
        <v>96</v>
      </c>
      <c r="AQ117" s="1157">
        <v>2014</v>
      </c>
      <c r="AR117" s="1129" t="s">
        <v>87</v>
      </c>
      <c r="AS117" s="1127">
        <v>0.33333333333333331</v>
      </c>
      <c r="AT117" s="1127"/>
      <c r="AU117" s="1127">
        <v>0.33333333333333331</v>
      </c>
      <c r="AV117" s="1127"/>
      <c r="AW117" s="1127"/>
      <c r="AX117" s="1127"/>
      <c r="AY117" s="1127"/>
      <c r="AZ117" s="1127">
        <v>0.33333333333333331</v>
      </c>
      <c r="BA117" s="1129">
        <v>872.95798412698423</v>
      </c>
      <c r="BB117" s="1129">
        <v>0</v>
      </c>
      <c r="BC117" s="1129">
        <v>872.95798412698423</v>
      </c>
      <c r="BD117" s="1129">
        <v>0</v>
      </c>
      <c r="BE117" s="1129">
        <v>0</v>
      </c>
      <c r="BF117" s="1129">
        <v>0</v>
      </c>
      <c r="BG117" s="1129">
        <v>0</v>
      </c>
      <c r="BH117" s="1129">
        <v>872.95798412698423</v>
      </c>
      <c r="BI117" s="971"/>
      <c r="BJ117" s="971"/>
      <c r="BK117" s="971"/>
      <c r="BL117" s="1246"/>
      <c r="BM117" s="1247" t="s">
        <v>2129</v>
      </c>
    </row>
    <row r="118" spans="1:65" s="1247" customFormat="1" ht="49.5" customHeight="1">
      <c r="A118" s="1272">
        <v>4000</v>
      </c>
      <c r="B118" s="971" t="s">
        <v>1316</v>
      </c>
      <c r="C118" s="1272">
        <v>4100</v>
      </c>
      <c r="D118" s="971" t="s">
        <v>120</v>
      </c>
      <c r="E118" s="971" t="s">
        <v>1389</v>
      </c>
      <c r="F118" s="971" t="s">
        <v>176</v>
      </c>
      <c r="G118" s="971" t="s">
        <v>4505</v>
      </c>
      <c r="H118" s="971" t="s">
        <v>3491</v>
      </c>
      <c r="I118" s="1273" t="s">
        <v>6808</v>
      </c>
      <c r="J118" s="971" t="s">
        <v>2146</v>
      </c>
      <c r="K118" s="971" t="s">
        <v>2127</v>
      </c>
      <c r="L118" s="971" t="s">
        <v>2177</v>
      </c>
      <c r="M118" s="971" t="s">
        <v>2127</v>
      </c>
      <c r="N118" s="971" t="s">
        <v>176</v>
      </c>
      <c r="O118" s="971" t="s">
        <v>2177</v>
      </c>
      <c r="P118" s="971" t="s">
        <v>2292</v>
      </c>
      <c r="Q118" s="971" t="s">
        <v>6795</v>
      </c>
      <c r="R118" s="971" t="s">
        <v>4530</v>
      </c>
      <c r="S118" s="1274">
        <v>1</v>
      </c>
      <c r="T118" s="971" t="s">
        <v>242</v>
      </c>
      <c r="U118" s="1275">
        <v>10</v>
      </c>
      <c r="V118" s="1275">
        <v>45</v>
      </c>
      <c r="W118" s="1275">
        <v>999.13380952380965</v>
      </c>
      <c r="X118" s="1275">
        <v>450</v>
      </c>
      <c r="Y118" s="1275">
        <v>1494.1338095238098</v>
      </c>
      <c r="Z118" s="1129">
        <v>10</v>
      </c>
      <c r="AA118" s="1129">
        <v>45</v>
      </c>
      <c r="AB118" s="1129">
        <v>999.13380952380965</v>
      </c>
      <c r="AC118" s="1129">
        <v>450</v>
      </c>
      <c r="AD118" s="1098">
        <v>1494.1338095238098</v>
      </c>
      <c r="AE118" s="1237">
        <v>24</v>
      </c>
      <c r="AF118" s="1133">
        <v>24</v>
      </c>
      <c r="AG118" s="1127">
        <v>1</v>
      </c>
      <c r="AH118" s="1127">
        <v>0</v>
      </c>
      <c r="AI118" s="1127">
        <v>0</v>
      </c>
      <c r="AJ118" s="1127">
        <v>1</v>
      </c>
      <c r="AK118" s="1129">
        <v>1494.1338095238098</v>
      </c>
      <c r="AL118" s="1129">
        <v>0</v>
      </c>
      <c r="AM118" s="1129">
        <v>0</v>
      </c>
      <c r="AN118" s="1129">
        <v>1494.1338095238098</v>
      </c>
      <c r="AO118" s="1129" t="s">
        <v>85</v>
      </c>
      <c r="AP118" s="1129" t="s">
        <v>96</v>
      </c>
      <c r="AQ118" s="1157">
        <v>2014</v>
      </c>
      <c r="AR118" s="1129" t="s">
        <v>87</v>
      </c>
      <c r="AS118" s="1127">
        <v>0.33333333333333331</v>
      </c>
      <c r="AT118" s="1127"/>
      <c r="AU118" s="1127">
        <v>0.33333333333333331</v>
      </c>
      <c r="AV118" s="1127"/>
      <c r="AW118" s="1127"/>
      <c r="AX118" s="1127"/>
      <c r="AY118" s="1127"/>
      <c r="AZ118" s="1127">
        <v>0.33333333333333331</v>
      </c>
      <c r="BA118" s="1129">
        <v>498.04460317460325</v>
      </c>
      <c r="BB118" s="1129">
        <v>0</v>
      </c>
      <c r="BC118" s="1129">
        <v>498.04460317460325</v>
      </c>
      <c r="BD118" s="1129">
        <v>0</v>
      </c>
      <c r="BE118" s="1129">
        <v>0</v>
      </c>
      <c r="BF118" s="1129">
        <v>0</v>
      </c>
      <c r="BG118" s="1129">
        <v>0</v>
      </c>
      <c r="BH118" s="1129">
        <v>498.04460317460325</v>
      </c>
      <c r="BI118" s="971"/>
      <c r="BJ118" s="971"/>
      <c r="BK118" s="971"/>
      <c r="BL118" s="1246"/>
      <c r="BM118" s="1247" t="s">
        <v>2129</v>
      </c>
    </row>
    <row r="119" spans="1:65" s="1247" customFormat="1" ht="49.5" customHeight="1">
      <c r="A119" s="1272">
        <v>4000</v>
      </c>
      <c r="B119" s="971" t="s">
        <v>1316</v>
      </c>
      <c r="C119" s="1272">
        <v>4100</v>
      </c>
      <c r="D119" s="971" t="s">
        <v>120</v>
      </c>
      <c r="E119" s="971" t="s">
        <v>1389</v>
      </c>
      <c r="F119" s="971" t="s">
        <v>176</v>
      </c>
      <c r="G119" s="971" t="s">
        <v>4505</v>
      </c>
      <c r="H119" s="971" t="s">
        <v>3491</v>
      </c>
      <c r="I119" s="1273" t="s">
        <v>6809</v>
      </c>
      <c r="J119" s="971" t="s">
        <v>2146</v>
      </c>
      <c r="K119" s="971" t="s">
        <v>2125</v>
      </c>
      <c r="L119" s="971" t="s">
        <v>2126</v>
      </c>
      <c r="M119" s="971" t="s">
        <v>2125</v>
      </c>
      <c r="N119" s="971" t="s">
        <v>176</v>
      </c>
      <c r="O119" s="971" t="s">
        <v>2126</v>
      </c>
      <c r="P119" s="971" t="s">
        <v>6797</v>
      </c>
      <c r="Q119" s="971" t="s">
        <v>6806</v>
      </c>
      <c r="R119" s="971" t="s">
        <v>4531</v>
      </c>
      <c r="S119" s="1274">
        <v>1</v>
      </c>
      <c r="T119" s="971" t="s">
        <v>242</v>
      </c>
      <c r="U119" s="1275">
        <v>13</v>
      </c>
      <c r="V119" s="1275">
        <v>120</v>
      </c>
      <c r="W119" s="1275">
        <v>1298.8739523809525</v>
      </c>
      <c r="X119" s="1275">
        <v>1200</v>
      </c>
      <c r="Y119" s="1275">
        <v>2618.8739523809527</v>
      </c>
      <c r="Z119" s="1129">
        <v>13</v>
      </c>
      <c r="AA119" s="1129">
        <v>120</v>
      </c>
      <c r="AB119" s="1129">
        <v>1298.8739523809525</v>
      </c>
      <c r="AC119" s="1129">
        <v>1200</v>
      </c>
      <c r="AD119" s="1098">
        <v>2618.8739523809527</v>
      </c>
      <c r="AE119" s="1237">
        <v>96</v>
      </c>
      <c r="AF119" s="1133">
        <v>96</v>
      </c>
      <c r="AG119" s="1127">
        <v>1</v>
      </c>
      <c r="AH119" s="1127">
        <v>0</v>
      </c>
      <c r="AI119" s="1127">
        <v>0</v>
      </c>
      <c r="AJ119" s="1127">
        <v>1</v>
      </c>
      <c r="AK119" s="1129">
        <v>2618.8739523809527</v>
      </c>
      <c r="AL119" s="1129">
        <v>0</v>
      </c>
      <c r="AM119" s="1129">
        <v>0</v>
      </c>
      <c r="AN119" s="1129">
        <v>2618.8739523809527</v>
      </c>
      <c r="AO119" s="1129" t="s">
        <v>85</v>
      </c>
      <c r="AP119" s="1129" t="s">
        <v>96</v>
      </c>
      <c r="AQ119" s="1157">
        <v>2014</v>
      </c>
      <c r="AR119" s="1129" t="s">
        <v>87</v>
      </c>
      <c r="AS119" s="1127">
        <v>0.33333333333333331</v>
      </c>
      <c r="AT119" s="1127"/>
      <c r="AU119" s="1127">
        <v>0.33333333333333331</v>
      </c>
      <c r="AV119" s="1127"/>
      <c r="AW119" s="1127"/>
      <c r="AX119" s="1127"/>
      <c r="AY119" s="1127"/>
      <c r="AZ119" s="1127">
        <v>0.33333333333333331</v>
      </c>
      <c r="BA119" s="1129">
        <v>872.95798412698423</v>
      </c>
      <c r="BB119" s="1129">
        <v>0</v>
      </c>
      <c r="BC119" s="1129">
        <v>872.95798412698423</v>
      </c>
      <c r="BD119" s="1129">
        <v>0</v>
      </c>
      <c r="BE119" s="1129">
        <v>0</v>
      </c>
      <c r="BF119" s="1129">
        <v>0</v>
      </c>
      <c r="BG119" s="1129">
        <v>0</v>
      </c>
      <c r="BH119" s="1129">
        <v>872.95798412698423</v>
      </c>
      <c r="BI119" s="971"/>
      <c r="BJ119" s="971"/>
      <c r="BK119" s="971"/>
      <c r="BL119" s="1246"/>
      <c r="BM119" s="1247" t="s">
        <v>2129</v>
      </c>
    </row>
    <row r="120" spans="1:65" s="1247" customFormat="1" ht="49.5" customHeight="1">
      <c r="A120" s="1272">
        <v>4000</v>
      </c>
      <c r="B120" s="971" t="s">
        <v>1316</v>
      </c>
      <c r="C120" s="1272">
        <v>4100</v>
      </c>
      <c r="D120" s="971" t="s">
        <v>120</v>
      </c>
      <c r="E120" s="971" t="s">
        <v>1389</v>
      </c>
      <c r="F120" s="971" t="s">
        <v>176</v>
      </c>
      <c r="G120" s="971" t="s">
        <v>4505</v>
      </c>
      <c r="H120" s="971" t="s">
        <v>3491</v>
      </c>
      <c r="I120" s="1273" t="s">
        <v>6810</v>
      </c>
      <c r="J120" s="971" t="s">
        <v>2146</v>
      </c>
      <c r="K120" s="971" t="s">
        <v>2125</v>
      </c>
      <c r="L120" s="971" t="s">
        <v>2126</v>
      </c>
      <c r="M120" s="971" t="s">
        <v>2125</v>
      </c>
      <c r="N120" s="971" t="s">
        <v>176</v>
      </c>
      <c r="O120" s="971" t="s">
        <v>2126</v>
      </c>
      <c r="P120" s="971" t="s">
        <v>6797</v>
      </c>
      <c r="Q120" s="971" t="s">
        <v>6806</v>
      </c>
      <c r="R120" s="971" t="s">
        <v>4532</v>
      </c>
      <c r="S120" s="1274">
        <v>1</v>
      </c>
      <c r="T120" s="971" t="s">
        <v>242</v>
      </c>
      <c r="U120" s="1275">
        <v>13</v>
      </c>
      <c r="V120" s="1275">
        <v>120</v>
      </c>
      <c r="W120" s="1275">
        <v>1298.8739523809525</v>
      </c>
      <c r="X120" s="1275">
        <v>1200</v>
      </c>
      <c r="Y120" s="1275">
        <v>2618.8739523809527</v>
      </c>
      <c r="Z120" s="1129">
        <v>13</v>
      </c>
      <c r="AA120" s="1129">
        <v>120</v>
      </c>
      <c r="AB120" s="1129">
        <v>1298.8739523809525</v>
      </c>
      <c r="AC120" s="1129">
        <v>1200</v>
      </c>
      <c r="AD120" s="1098">
        <v>2618.8739523809527</v>
      </c>
      <c r="AE120" s="1237">
        <v>96</v>
      </c>
      <c r="AF120" s="1133">
        <v>96</v>
      </c>
      <c r="AG120" s="1127">
        <v>1</v>
      </c>
      <c r="AH120" s="1127">
        <v>0</v>
      </c>
      <c r="AI120" s="1127">
        <v>0</v>
      </c>
      <c r="AJ120" s="1127">
        <v>1</v>
      </c>
      <c r="AK120" s="1129">
        <v>2618.8739523809527</v>
      </c>
      <c r="AL120" s="1129">
        <v>0</v>
      </c>
      <c r="AM120" s="1129">
        <v>0</v>
      </c>
      <c r="AN120" s="1129">
        <v>2618.8739523809527</v>
      </c>
      <c r="AO120" s="1129" t="s">
        <v>85</v>
      </c>
      <c r="AP120" s="1129" t="s">
        <v>96</v>
      </c>
      <c r="AQ120" s="1157">
        <v>2014</v>
      </c>
      <c r="AR120" s="1129" t="s">
        <v>87</v>
      </c>
      <c r="AS120" s="1127">
        <v>0.33333333333333331</v>
      </c>
      <c r="AT120" s="1127"/>
      <c r="AU120" s="1127">
        <v>0.33333333333333331</v>
      </c>
      <c r="AV120" s="1127"/>
      <c r="AW120" s="1127"/>
      <c r="AX120" s="1127"/>
      <c r="AY120" s="1127"/>
      <c r="AZ120" s="1127">
        <v>0.33333333333333331</v>
      </c>
      <c r="BA120" s="1129">
        <v>872.95798412698423</v>
      </c>
      <c r="BB120" s="1129">
        <v>0</v>
      </c>
      <c r="BC120" s="1129">
        <v>872.95798412698423</v>
      </c>
      <c r="BD120" s="1129">
        <v>0</v>
      </c>
      <c r="BE120" s="1129">
        <v>0</v>
      </c>
      <c r="BF120" s="1129">
        <v>0</v>
      </c>
      <c r="BG120" s="1129">
        <v>0</v>
      </c>
      <c r="BH120" s="1129">
        <v>872.95798412698423</v>
      </c>
      <c r="BI120" s="971"/>
      <c r="BJ120" s="971"/>
      <c r="BK120" s="971"/>
      <c r="BL120" s="1246"/>
      <c r="BM120" s="1247" t="s">
        <v>2129</v>
      </c>
    </row>
    <row r="121" spans="1:65" s="1247" customFormat="1" ht="49.5" customHeight="1">
      <c r="A121" s="1272">
        <v>4000</v>
      </c>
      <c r="B121" s="971" t="s">
        <v>1316</v>
      </c>
      <c r="C121" s="1272">
        <v>4100</v>
      </c>
      <c r="D121" s="971" t="s">
        <v>120</v>
      </c>
      <c r="E121" s="971" t="s">
        <v>1389</v>
      </c>
      <c r="F121" s="971" t="s">
        <v>176</v>
      </c>
      <c r="G121" s="971" t="s">
        <v>4505</v>
      </c>
      <c r="H121" s="971" t="s">
        <v>3491</v>
      </c>
      <c r="I121" s="1273" t="s">
        <v>6811</v>
      </c>
      <c r="J121" s="971" t="s">
        <v>2146</v>
      </c>
      <c r="K121" s="971" t="s">
        <v>2127</v>
      </c>
      <c r="L121" s="971" t="s">
        <v>2177</v>
      </c>
      <c r="M121" s="971" t="s">
        <v>2127</v>
      </c>
      <c r="N121" s="971" t="s">
        <v>176</v>
      </c>
      <c r="O121" s="971" t="s">
        <v>2177</v>
      </c>
      <c r="P121" s="971" t="s">
        <v>2292</v>
      </c>
      <c r="Q121" s="971" t="s">
        <v>6795</v>
      </c>
      <c r="R121" s="971" t="s">
        <v>4533</v>
      </c>
      <c r="S121" s="1274">
        <v>1</v>
      </c>
      <c r="T121" s="971" t="s">
        <v>242</v>
      </c>
      <c r="U121" s="1275">
        <v>10</v>
      </c>
      <c r="V121" s="1275">
        <v>45</v>
      </c>
      <c r="W121" s="1275">
        <v>999.13380952380965</v>
      </c>
      <c r="X121" s="1275">
        <v>450</v>
      </c>
      <c r="Y121" s="1275">
        <v>1494.1338095238098</v>
      </c>
      <c r="Z121" s="1129">
        <v>10</v>
      </c>
      <c r="AA121" s="1129">
        <v>45</v>
      </c>
      <c r="AB121" s="1129">
        <v>999.13380952380965</v>
      </c>
      <c r="AC121" s="1129">
        <v>450</v>
      </c>
      <c r="AD121" s="1098">
        <v>1494.1338095238098</v>
      </c>
      <c r="AE121" s="1237">
        <v>24</v>
      </c>
      <c r="AF121" s="1133">
        <v>24</v>
      </c>
      <c r="AG121" s="1127">
        <v>1</v>
      </c>
      <c r="AH121" s="1127">
        <v>0</v>
      </c>
      <c r="AI121" s="1127">
        <v>0</v>
      </c>
      <c r="AJ121" s="1127">
        <v>1</v>
      </c>
      <c r="AK121" s="1129">
        <v>1494.1338095238098</v>
      </c>
      <c r="AL121" s="1129">
        <v>0</v>
      </c>
      <c r="AM121" s="1129">
        <v>0</v>
      </c>
      <c r="AN121" s="1129">
        <v>1494.1338095238098</v>
      </c>
      <c r="AO121" s="1129" t="s">
        <v>85</v>
      </c>
      <c r="AP121" s="1129" t="s">
        <v>96</v>
      </c>
      <c r="AQ121" s="1157">
        <v>2014</v>
      </c>
      <c r="AR121" s="1129" t="s">
        <v>87</v>
      </c>
      <c r="AS121" s="1127">
        <v>0.33333333333333331</v>
      </c>
      <c r="AT121" s="1127"/>
      <c r="AU121" s="1127">
        <v>0.33333333333333331</v>
      </c>
      <c r="AV121" s="1127"/>
      <c r="AW121" s="1127"/>
      <c r="AX121" s="1127"/>
      <c r="AY121" s="1127"/>
      <c r="AZ121" s="1127">
        <v>0.33333333333333331</v>
      </c>
      <c r="BA121" s="1129">
        <v>498.04460317460325</v>
      </c>
      <c r="BB121" s="1129">
        <v>0</v>
      </c>
      <c r="BC121" s="1129">
        <v>498.04460317460325</v>
      </c>
      <c r="BD121" s="1129">
        <v>0</v>
      </c>
      <c r="BE121" s="1129">
        <v>0</v>
      </c>
      <c r="BF121" s="1129">
        <v>0</v>
      </c>
      <c r="BG121" s="1129">
        <v>0</v>
      </c>
      <c r="BH121" s="1129">
        <v>498.04460317460325</v>
      </c>
      <c r="BI121" s="971"/>
      <c r="BJ121" s="971"/>
      <c r="BK121" s="971"/>
      <c r="BL121" s="1246"/>
      <c r="BM121" s="1247" t="s">
        <v>2125</v>
      </c>
    </row>
    <row r="122" spans="1:65" s="1247" customFormat="1" ht="82.5" customHeight="1">
      <c r="A122" s="1272">
        <v>4000</v>
      </c>
      <c r="B122" s="971" t="s">
        <v>1316</v>
      </c>
      <c r="C122" s="1272">
        <v>4100</v>
      </c>
      <c r="D122" s="971" t="s">
        <v>120</v>
      </c>
      <c r="E122" s="971" t="s">
        <v>1389</v>
      </c>
      <c r="F122" s="971" t="s">
        <v>176</v>
      </c>
      <c r="G122" s="971" t="s">
        <v>4505</v>
      </c>
      <c r="H122" s="971" t="s">
        <v>3491</v>
      </c>
      <c r="I122" s="1273" t="s">
        <v>6812</v>
      </c>
      <c r="J122" s="971" t="s">
        <v>2146</v>
      </c>
      <c r="K122" s="971" t="s">
        <v>2125</v>
      </c>
      <c r="L122" s="971" t="s">
        <v>2126</v>
      </c>
      <c r="M122" s="971" t="s">
        <v>2125</v>
      </c>
      <c r="N122" s="971" t="s">
        <v>176</v>
      </c>
      <c r="O122" s="971" t="s">
        <v>2126</v>
      </c>
      <c r="P122" s="971" t="s">
        <v>6797</v>
      </c>
      <c r="Q122" s="971" t="s">
        <v>6806</v>
      </c>
      <c r="R122" s="971" t="s">
        <v>4534</v>
      </c>
      <c r="S122" s="1274">
        <v>1</v>
      </c>
      <c r="T122" s="971" t="s">
        <v>242</v>
      </c>
      <c r="U122" s="1275">
        <v>13</v>
      </c>
      <c r="V122" s="1275">
        <v>120</v>
      </c>
      <c r="W122" s="1275">
        <v>1298.8739523809525</v>
      </c>
      <c r="X122" s="1275">
        <v>1200</v>
      </c>
      <c r="Y122" s="1275">
        <v>2618.8739523809527</v>
      </c>
      <c r="Z122" s="1129">
        <v>13</v>
      </c>
      <c r="AA122" s="1129">
        <v>120</v>
      </c>
      <c r="AB122" s="1129">
        <v>1298.8739523809525</v>
      </c>
      <c r="AC122" s="1129">
        <v>1200</v>
      </c>
      <c r="AD122" s="1098">
        <v>2618.8739523809527</v>
      </c>
      <c r="AE122" s="1237">
        <v>96</v>
      </c>
      <c r="AF122" s="1133">
        <v>96</v>
      </c>
      <c r="AG122" s="1127">
        <v>1</v>
      </c>
      <c r="AH122" s="1127">
        <v>0</v>
      </c>
      <c r="AI122" s="1127">
        <v>0</v>
      </c>
      <c r="AJ122" s="1127">
        <v>1</v>
      </c>
      <c r="AK122" s="1129">
        <v>2618.8739523809527</v>
      </c>
      <c r="AL122" s="1129">
        <v>0</v>
      </c>
      <c r="AM122" s="1129">
        <v>0</v>
      </c>
      <c r="AN122" s="1129">
        <v>2618.8739523809527</v>
      </c>
      <c r="AO122" s="1129" t="s">
        <v>85</v>
      </c>
      <c r="AP122" s="1129" t="s">
        <v>96</v>
      </c>
      <c r="AQ122" s="1157">
        <v>2014</v>
      </c>
      <c r="AR122" s="1129" t="s">
        <v>87</v>
      </c>
      <c r="AS122" s="1127">
        <v>0.33333333333333331</v>
      </c>
      <c r="AT122" s="1127"/>
      <c r="AU122" s="1127">
        <v>0.33333333333333331</v>
      </c>
      <c r="AV122" s="1127"/>
      <c r="AW122" s="1127"/>
      <c r="AX122" s="1127"/>
      <c r="AY122" s="1127"/>
      <c r="AZ122" s="1127">
        <v>0.33333333333333331</v>
      </c>
      <c r="BA122" s="1129">
        <v>872.95798412698423</v>
      </c>
      <c r="BB122" s="1129">
        <v>0</v>
      </c>
      <c r="BC122" s="1129">
        <v>872.95798412698423</v>
      </c>
      <c r="BD122" s="1129">
        <v>0</v>
      </c>
      <c r="BE122" s="1129">
        <v>0</v>
      </c>
      <c r="BF122" s="1129">
        <v>0</v>
      </c>
      <c r="BG122" s="1129">
        <v>0</v>
      </c>
      <c r="BH122" s="1129">
        <v>872.95798412698423</v>
      </c>
      <c r="BI122" s="971"/>
      <c r="BJ122" s="971"/>
      <c r="BK122" s="971"/>
      <c r="BL122" s="1246"/>
      <c r="BM122" s="1247" t="s">
        <v>2125</v>
      </c>
    </row>
    <row r="123" spans="1:65" s="1247" customFormat="1" ht="49.5" customHeight="1">
      <c r="A123" s="1272">
        <v>4000</v>
      </c>
      <c r="B123" s="971" t="s">
        <v>1316</v>
      </c>
      <c r="C123" s="1272">
        <v>4100</v>
      </c>
      <c r="D123" s="971" t="s">
        <v>120</v>
      </c>
      <c r="E123" s="971" t="s">
        <v>1389</v>
      </c>
      <c r="F123" s="971" t="s">
        <v>176</v>
      </c>
      <c r="G123" s="971" t="s">
        <v>4505</v>
      </c>
      <c r="H123" s="971" t="s">
        <v>3491</v>
      </c>
      <c r="I123" s="1273" t="s">
        <v>6813</v>
      </c>
      <c r="J123" s="971" t="s">
        <v>2146</v>
      </c>
      <c r="K123" s="971" t="s">
        <v>2125</v>
      </c>
      <c r="L123" s="971" t="s">
        <v>2126</v>
      </c>
      <c r="M123" s="971" t="s">
        <v>2125</v>
      </c>
      <c r="N123" s="971" t="s">
        <v>176</v>
      </c>
      <c r="O123" s="971" t="s">
        <v>2126</v>
      </c>
      <c r="P123" s="971" t="s">
        <v>6797</v>
      </c>
      <c r="Q123" s="971" t="s">
        <v>6806</v>
      </c>
      <c r="R123" s="971" t="s">
        <v>4535</v>
      </c>
      <c r="S123" s="1274">
        <v>1</v>
      </c>
      <c r="T123" s="971" t="s">
        <v>242</v>
      </c>
      <c r="U123" s="1275">
        <v>13</v>
      </c>
      <c r="V123" s="1275">
        <v>120</v>
      </c>
      <c r="W123" s="1275">
        <v>1298.8739523809525</v>
      </c>
      <c r="X123" s="1275">
        <v>1200</v>
      </c>
      <c r="Y123" s="1275">
        <v>2618.8739523809527</v>
      </c>
      <c r="Z123" s="1129">
        <v>13</v>
      </c>
      <c r="AA123" s="1129">
        <v>120</v>
      </c>
      <c r="AB123" s="1129">
        <v>1298.8739523809525</v>
      </c>
      <c r="AC123" s="1129">
        <v>1200</v>
      </c>
      <c r="AD123" s="1098">
        <v>2618.8739523809527</v>
      </c>
      <c r="AE123" s="1237">
        <v>96</v>
      </c>
      <c r="AF123" s="1133">
        <v>96</v>
      </c>
      <c r="AG123" s="1127">
        <v>1</v>
      </c>
      <c r="AH123" s="1127">
        <v>0</v>
      </c>
      <c r="AI123" s="1127">
        <v>0</v>
      </c>
      <c r="AJ123" s="1127">
        <v>1</v>
      </c>
      <c r="AK123" s="1129">
        <v>2618.8739523809527</v>
      </c>
      <c r="AL123" s="1129">
        <v>0</v>
      </c>
      <c r="AM123" s="1129">
        <v>0</v>
      </c>
      <c r="AN123" s="1129">
        <v>2618.8739523809527</v>
      </c>
      <c r="AO123" s="1129" t="s">
        <v>85</v>
      </c>
      <c r="AP123" s="1129" t="s">
        <v>96</v>
      </c>
      <c r="AQ123" s="1157">
        <v>2014</v>
      </c>
      <c r="AR123" s="1129" t="s">
        <v>87</v>
      </c>
      <c r="AS123" s="1127">
        <v>0.33333333333333331</v>
      </c>
      <c r="AT123" s="1127"/>
      <c r="AU123" s="1127">
        <v>0.33333333333333331</v>
      </c>
      <c r="AV123" s="1127"/>
      <c r="AW123" s="1127"/>
      <c r="AX123" s="1127"/>
      <c r="AY123" s="1127"/>
      <c r="AZ123" s="1127">
        <v>0.33333333333333331</v>
      </c>
      <c r="BA123" s="1129">
        <v>872.95798412698423</v>
      </c>
      <c r="BB123" s="1129">
        <v>0</v>
      </c>
      <c r="BC123" s="1129">
        <v>872.95798412698423</v>
      </c>
      <c r="BD123" s="1129">
        <v>0</v>
      </c>
      <c r="BE123" s="1129">
        <v>0</v>
      </c>
      <c r="BF123" s="1129">
        <v>0</v>
      </c>
      <c r="BG123" s="1129">
        <v>0</v>
      </c>
      <c r="BH123" s="1129">
        <v>872.95798412698423</v>
      </c>
      <c r="BI123" s="971"/>
      <c r="BJ123" s="971"/>
      <c r="BK123" s="971"/>
      <c r="BL123" s="1246"/>
      <c r="BM123" s="1247" t="s">
        <v>2127</v>
      </c>
    </row>
    <row r="124" spans="1:65" s="1247" customFormat="1" ht="66" customHeight="1">
      <c r="A124" s="1272">
        <v>4000</v>
      </c>
      <c r="B124" s="971" t="s">
        <v>1316</v>
      </c>
      <c r="C124" s="1272">
        <v>4100</v>
      </c>
      <c r="D124" s="971" t="s">
        <v>120</v>
      </c>
      <c r="E124" s="971" t="s">
        <v>1389</v>
      </c>
      <c r="F124" s="971" t="s">
        <v>176</v>
      </c>
      <c r="G124" s="971" t="s">
        <v>4505</v>
      </c>
      <c r="H124" s="971" t="s">
        <v>3491</v>
      </c>
      <c r="I124" s="1273" t="s">
        <v>6814</v>
      </c>
      <c r="J124" s="971" t="s">
        <v>2146</v>
      </c>
      <c r="K124" s="971" t="s">
        <v>2127</v>
      </c>
      <c r="L124" s="971" t="s">
        <v>2177</v>
      </c>
      <c r="M124" s="971" t="s">
        <v>2127</v>
      </c>
      <c r="N124" s="971" t="s">
        <v>176</v>
      </c>
      <c r="O124" s="971" t="s">
        <v>2177</v>
      </c>
      <c r="P124" s="971" t="s">
        <v>2292</v>
      </c>
      <c r="Q124" s="971" t="s">
        <v>6795</v>
      </c>
      <c r="R124" s="971" t="s">
        <v>4536</v>
      </c>
      <c r="S124" s="1274">
        <v>1</v>
      </c>
      <c r="T124" s="971" t="s">
        <v>242</v>
      </c>
      <c r="U124" s="1275">
        <v>10</v>
      </c>
      <c r="V124" s="1275">
        <v>45</v>
      </c>
      <c r="W124" s="1275">
        <v>999.13380952380965</v>
      </c>
      <c r="X124" s="1275">
        <v>450</v>
      </c>
      <c r="Y124" s="1275">
        <v>1494.1338095238098</v>
      </c>
      <c r="Z124" s="1129">
        <v>10</v>
      </c>
      <c r="AA124" s="1129">
        <v>45</v>
      </c>
      <c r="AB124" s="1129">
        <v>999.13380952380965</v>
      </c>
      <c r="AC124" s="1129">
        <v>450</v>
      </c>
      <c r="AD124" s="1098">
        <v>1494.1338095238098</v>
      </c>
      <c r="AE124" s="1237">
        <v>24</v>
      </c>
      <c r="AF124" s="1133">
        <v>24</v>
      </c>
      <c r="AG124" s="1127">
        <v>1</v>
      </c>
      <c r="AH124" s="1127">
        <v>0</v>
      </c>
      <c r="AI124" s="1127">
        <v>0</v>
      </c>
      <c r="AJ124" s="1127">
        <v>1</v>
      </c>
      <c r="AK124" s="1129">
        <v>1494.1338095238098</v>
      </c>
      <c r="AL124" s="1129">
        <v>0</v>
      </c>
      <c r="AM124" s="1129">
        <v>0</v>
      </c>
      <c r="AN124" s="1129">
        <v>1494.1338095238098</v>
      </c>
      <c r="AO124" s="1129" t="s">
        <v>85</v>
      </c>
      <c r="AP124" s="1129" t="s">
        <v>96</v>
      </c>
      <c r="AQ124" s="1157">
        <v>2014</v>
      </c>
      <c r="AR124" s="1129" t="s">
        <v>87</v>
      </c>
      <c r="AS124" s="1127">
        <v>0.33333333333333331</v>
      </c>
      <c r="AT124" s="1127"/>
      <c r="AU124" s="1127">
        <v>0.33333333333333331</v>
      </c>
      <c r="AV124" s="1127"/>
      <c r="AW124" s="1127"/>
      <c r="AX124" s="1127"/>
      <c r="AY124" s="1127"/>
      <c r="AZ124" s="1127">
        <v>0.33333333333333331</v>
      </c>
      <c r="BA124" s="1129">
        <v>498.04460317460325</v>
      </c>
      <c r="BB124" s="1129">
        <v>0</v>
      </c>
      <c r="BC124" s="1129">
        <v>498.04460317460325</v>
      </c>
      <c r="BD124" s="1129">
        <v>0</v>
      </c>
      <c r="BE124" s="1129">
        <v>0</v>
      </c>
      <c r="BF124" s="1129">
        <v>0</v>
      </c>
      <c r="BG124" s="1129">
        <v>0</v>
      </c>
      <c r="BH124" s="1129">
        <v>498.04460317460325</v>
      </c>
      <c r="BI124" s="971"/>
      <c r="BJ124" s="971"/>
      <c r="BK124" s="971"/>
      <c r="BL124" s="1246"/>
      <c r="BM124" s="1247" t="s">
        <v>2127</v>
      </c>
    </row>
    <row r="125" spans="1:65" s="1247" customFormat="1" ht="49.5" customHeight="1">
      <c r="A125" s="1272">
        <v>4000</v>
      </c>
      <c r="B125" s="971" t="s">
        <v>1316</v>
      </c>
      <c r="C125" s="1272">
        <v>4100</v>
      </c>
      <c r="D125" s="971" t="s">
        <v>120</v>
      </c>
      <c r="E125" s="971" t="s">
        <v>1389</v>
      </c>
      <c r="F125" s="971" t="s">
        <v>176</v>
      </c>
      <c r="G125" s="971" t="s">
        <v>4505</v>
      </c>
      <c r="H125" s="971" t="s">
        <v>3491</v>
      </c>
      <c r="I125" s="1273" t="s">
        <v>6815</v>
      </c>
      <c r="J125" s="971" t="s">
        <v>2146</v>
      </c>
      <c r="K125" s="971" t="s">
        <v>2125</v>
      </c>
      <c r="L125" s="971" t="s">
        <v>2126</v>
      </c>
      <c r="M125" s="971" t="s">
        <v>2125</v>
      </c>
      <c r="N125" s="971" t="s">
        <v>176</v>
      </c>
      <c r="O125" s="971" t="s">
        <v>2126</v>
      </c>
      <c r="P125" s="971" t="s">
        <v>6797</v>
      </c>
      <c r="Q125" s="971" t="s">
        <v>6806</v>
      </c>
      <c r="R125" s="971" t="s">
        <v>4537</v>
      </c>
      <c r="S125" s="1274">
        <v>1</v>
      </c>
      <c r="T125" s="971" t="s">
        <v>242</v>
      </c>
      <c r="U125" s="1275">
        <v>13</v>
      </c>
      <c r="V125" s="1275">
        <v>120</v>
      </c>
      <c r="W125" s="1275">
        <v>1298.8739523809525</v>
      </c>
      <c r="X125" s="1275">
        <v>1200</v>
      </c>
      <c r="Y125" s="1275">
        <v>2618.8739523809527</v>
      </c>
      <c r="Z125" s="1129">
        <v>13</v>
      </c>
      <c r="AA125" s="1129">
        <v>120</v>
      </c>
      <c r="AB125" s="1129">
        <v>1298.8739523809525</v>
      </c>
      <c r="AC125" s="1129">
        <v>1200</v>
      </c>
      <c r="AD125" s="1098">
        <v>2618.8739523809527</v>
      </c>
      <c r="AE125" s="1237">
        <v>96</v>
      </c>
      <c r="AF125" s="1133">
        <v>96</v>
      </c>
      <c r="AG125" s="1127">
        <v>1</v>
      </c>
      <c r="AH125" s="1127">
        <v>0</v>
      </c>
      <c r="AI125" s="1127">
        <v>0</v>
      </c>
      <c r="AJ125" s="1127">
        <v>1</v>
      </c>
      <c r="AK125" s="1129">
        <v>2618.8739523809527</v>
      </c>
      <c r="AL125" s="1129">
        <v>0</v>
      </c>
      <c r="AM125" s="1129">
        <v>0</v>
      </c>
      <c r="AN125" s="1129">
        <v>2618.8739523809527</v>
      </c>
      <c r="AO125" s="1129" t="s">
        <v>85</v>
      </c>
      <c r="AP125" s="1129" t="s">
        <v>96</v>
      </c>
      <c r="AQ125" s="1157">
        <v>2014</v>
      </c>
      <c r="AR125" s="1129" t="s">
        <v>87</v>
      </c>
      <c r="AS125" s="1127">
        <v>0.33333333333333331</v>
      </c>
      <c r="AT125" s="1127"/>
      <c r="AU125" s="1127">
        <v>0.33333333333333331</v>
      </c>
      <c r="AV125" s="1127"/>
      <c r="AW125" s="1127"/>
      <c r="AX125" s="1127"/>
      <c r="AY125" s="1127"/>
      <c r="AZ125" s="1127">
        <v>0.33333333333333331</v>
      </c>
      <c r="BA125" s="1129">
        <v>872.95798412698423</v>
      </c>
      <c r="BB125" s="1129">
        <v>0</v>
      </c>
      <c r="BC125" s="1129">
        <v>872.95798412698423</v>
      </c>
      <c r="BD125" s="1129">
        <v>0</v>
      </c>
      <c r="BE125" s="1129">
        <v>0</v>
      </c>
      <c r="BF125" s="1129">
        <v>0</v>
      </c>
      <c r="BG125" s="1129">
        <v>0</v>
      </c>
      <c r="BH125" s="1129">
        <v>872.95798412698423</v>
      </c>
      <c r="BI125" s="971"/>
      <c r="BJ125" s="971"/>
      <c r="BK125" s="971"/>
      <c r="BL125" s="1246"/>
      <c r="BM125" s="1247" t="s">
        <v>2125</v>
      </c>
    </row>
    <row r="126" spans="1:65" s="1247" customFormat="1" ht="49.5" customHeight="1">
      <c r="A126" s="1272">
        <v>4000</v>
      </c>
      <c r="B126" s="971" t="s">
        <v>1316</v>
      </c>
      <c r="C126" s="1272">
        <v>4100</v>
      </c>
      <c r="D126" s="971" t="s">
        <v>120</v>
      </c>
      <c r="E126" s="971" t="s">
        <v>1389</v>
      </c>
      <c r="F126" s="971" t="s">
        <v>176</v>
      </c>
      <c r="G126" s="971" t="s">
        <v>4505</v>
      </c>
      <c r="H126" s="971" t="s">
        <v>3491</v>
      </c>
      <c r="I126" s="1273" t="s">
        <v>6816</v>
      </c>
      <c r="J126" s="971" t="s">
        <v>2146</v>
      </c>
      <c r="K126" s="971" t="s">
        <v>2125</v>
      </c>
      <c r="L126" s="971" t="s">
        <v>2126</v>
      </c>
      <c r="M126" s="971" t="s">
        <v>2125</v>
      </c>
      <c r="N126" s="971" t="s">
        <v>176</v>
      </c>
      <c r="O126" s="971" t="s">
        <v>2126</v>
      </c>
      <c r="P126" s="971" t="s">
        <v>6797</v>
      </c>
      <c r="Q126" s="971" t="s">
        <v>6806</v>
      </c>
      <c r="R126" s="971" t="s">
        <v>4538</v>
      </c>
      <c r="S126" s="1274">
        <v>1</v>
      </c>
      <c r="T126" s="971" t="s">
        <v>242</v>
      </c>
      <c r="U126" s="1275">
        <v>13</v>
      </c>
      <c r="V126" s="1275">
        <v>120</v>
      </c>
      <c r="W126" s="1275">
        <v>1298.8739523809525</v>
      </c>
      <c r="X126" s="1275">
        <v>1200</v>
      </c>
      <c r="Y126" s="1275">
        <v>2618.8739523809527</v>
      </c>
      <c r="Z126" s="1129">
        <v>13</v>
      </c>
      <c r="AA126" s="1129">
        <v>120</v>
      </c>
      <c r="AB126" s="1129">
        <v>1298.8739523809525</v>
      </c>
      <c r="AC126" s="1129">
        <v>1200</v>
      </c>
      <c r="AD126" s="1098">
        <v>2618.8739523809527</v>
      </c>
      <c r="AE126" s="1237">
        <v>96</v>
      </c>
      <c r="AF126" s="1133">
        <v>96</v>
      </c>
      <c r="AG126" s="1127">
        <v>1</v>
      </c>
      <c r="AH126" s="1127">
        <v>0</v>
      </c>
      <c r="AI126" s="1127">
        <v>0</v>
      </c>
      <c r="AJ126" s="1127">
        <v>1</v>
      </c>
      <c r="AK126" s="1129">
        <v>2618.8739523809527</v>
      </c>
      <c r="AL126" s="1129">
        <v>0</v>
      </c>
      <c r="AM126" s="1129">
        <v>0</v>
      </c>
      <c r="AN126" s="1129">
        <v>2618.8739523809527</v>
      </c>
      <c r="AO126" s="1129" t="s">
        <v>85</v>
      </c>
      <c r="AP126" s="1129" t="s">
        <v>96</v>
      </c>
      <c r="AQ126" s="1157">
        <v>2014</v>
      </c>
      <c r="AR126" s="1129" t="s">
        <v>87</v>
      </c>
      <c r="AS126" s="1127">
        <v>0.33333333333333331</v>
      </c>
      <c r="AT126" s="1127"/>
      <c r="AU126" s="1127">
        <v>0.33333333333333331</v>
      </c>
      <c r="AV126" s="1127"/>
      <c r="AW126" s="1127"/>
      <c r="AX126" s="1127"/>
      <c r="AY126" s="1127"/>
      <c r="AZ126" s="1127">
        <v>0.33333333333333331</v>
      </c>
      <c r="BA126" s="1129">
        <v>872.95798412698423</v>
      </c>
      <c r="BB126" s="1129">
        <v>0</v>
      </c>
      <c r="BC126" s="1129">
        <v>872.95798412698423</v>
      </c>
      <c r="BD126" s="1129">
        <v>0</v>
      </c>
      <c r="BE126" s="1129">
        <v>0</v>
      </c>
      <c r="BF126" s="1129">
        <v>0</v>
      </c>
      <c r="BG126" s="1129">
        <v>0</v>
      </c>
      <c r="BH126" s="1129">
        <v>872.95798412698423</v>
      </c>
      <c r="BI126" s="971"/>
      <c r="BJ126" s="971"/>
      <c r="BK126" s="971"/>
      <c r="BL126" s="1246"/>
      <c r="BM126" s="1247" t="s">
        <v>2127</v>
      </c>
    </row>
    <row r="127" spans="1:65" s="1247" customFormat="1" ht="66" customHeight="1">
      <c r="A127" s="1272">
        <v>4000</v>
      </c>
      <c r="B127" s="971" t="s">
        <v>1316</v>
      </c>
      <c r="C127" s="1272">
        <v>4100</v>
      </c>
      <c r="D127" s="971" t="s">
        <v>120</v>
      </c>
      <c r="E127" s="971" t="s">
        <v>1389</v>
      </c>
      <c r="F127" s="971" t="s">
        <v>176</v>
      </c>
      <c r="G127" s="971" t="s">
        <v>4505</v>
      </c>
      <c r="H127" s="971" t="s">
        <v>3491</v>
      </c>
      <c r="I127" s="1273" t="s">
        <v>6817</v>
      </c>
      <c r="J127" s="971" t="s">
        <v>2146</v>
      </c>
      <c r="K127" s="971" t="s">
        <v>2127</v>
      </c>
      <c r="L127" s="971" t="s">
        <v>2177</v>
      </c>
      <c r="M127" s="971" t="s">
        <v>2127</v>
      </c>
      <c r="N127" s="971" t="s">
        <v>176</v>
      </c>
      <c r="O127" s="971" t="s">
        <v>2177</v>
      </c>
      <c r="P127" s="971" t="s">
        <v>2292</v>
      </c>
      <c r="Q127" s="971" t="s">
        <v>6795</v>
      </c>
      <c r="R127" s="971" t="s">
        <v>4539</v>
      </c>
      <c r="S127" s="1274">
        <v>1</v>
      </c>
      <c r="T127" s="971" t="s">
        <v>242</v>
      </c>
      <c r="U127" s="1275">
        <v>10</v>
      </c>
      <c r="V127" s="1275">
        <v>45</v>
      </c>
      <c r="W127" s="1275">
        <v>999.13380952380965</v>
      </c>
      <c r="X127" s="1275">
        <v>450</v>
      </c>
      <c r="Y127" s="1275">
        <v>1494.1338095238098</v>
      </c>
      <c r="Z127" s="1129">
        <v>10</v>
      </c>
      <c r="AA127" s="1129">
        <v>45</v>
      </c>
      <c r="AB127" s="1129">
        <v>999.13380952380965</v>
      </c>
      <c r="AC127" s="1129">
        <v>450</v>
      </c>
      <c r="AD127" s="1098">
        <v>1494.1338095238098</v>
      </c>
      <c r="AE127" s="1237">
        <v>24</v>
      </c>
      <c r="AF127" s="1133">
        <v>24</v>
      </c>
      <c r="AG127" s="1127">
        <v>1</v>
      </c>
      <c r="AH127" s="1127">
        <v>0</v>
      </c>
      <c r="AI127" s="1127">
        <v>0</v>
      </c>
      <c r="AJ127" s="1127">
        <v>1</v>
      </c>
      <c r="AK127" s="1129">
        <v>1494.1338095238098</v>
      </c>
      <c r="AL127" s="1129">
        <v>0</v>
      </c>
      <c r="AM127" s="1129">
        <v>0</v>
      </c>
      <c r="AN127" s="1129">
        <v>1494.1338095238098</v>
      </c>
      <c r="AO127" s="1129" t="s">
        <v>85</v>
      </c>
      <c r="AP127" s="1129" t="s">
        <v>96</v>
      </c>
      <c r="AQ127" s="1157">
        <v>2014</v>
      </c>
      <c r="AR127" s="1129" t="s">
        <v>87</v>
      </c>
      <c r="AS127" s="1127">
        <v>0.33333333333333331</v>
      </c>
      <c r="AT127" s="1127"/>
      <c r="AU127" s="1127">
        <v>0.33333333333333331</v>
      </c>
      <c r="AV127" s="1127"/>
      <c r="AW127" s="1127"/>
      <c r="AX127" s="1127"/>
      <c r="AY127" s="1127"/>
      <c r="AZ127" s="1127">
        <v>0.33333333333333331</v>
      </c>
      <c r="BA127" s="1129">
        <v>498.04460317460325</v>
      </c>
      <c r="BB127" s="1129">
        <v>0</v>
      </c>
      <c r="BC127" s="1129">
        <v>498.04460317460325</v>
      </c>
      <c r="BD127" s="1129">
        <v>0</v>
      </c>
      <c r="BE127" s="1129">
        <v>0</v>
      </c>
      <c r="BF127" s="1129">
        <v>0</v>
      </c>
      <c r="BG127" s="1129">
        <v>0</v>
      </c>
      <c r="BH127" s="1129">
        <v>498.04460317460325</v>
      </c>
      <c r="BI127" s="971"/>
      <c r="BJ127" s="971"/>
      <c r="BK127" s="971"/>
      <c r="BL127" s="1246"/>
      <c r="BM127" s="1247" t="s">
        <v>2125</v>
      </c>
    </row>
    <row r="128" spans="1:65" s="1247" customFormat="1" ht="66" customHeight="1">
      <c r="A128" s="1272">
        <v>4000</v>
      </c>
      <c r="B128" s="971" t="s">
        <v>1316</v>
      </c>
      <c r="C128" s="1272">
        <v>4100</v>
      </c>
      <c r="D128" s="971" t="s">
        <v>120</v>
      </c>
      <c r="E128" s="971" t="s">
        <v>1389</v>
      </c>
      <c r="F128" s="971" t="s">
        <v>176</v>
      </c>
      <c r="G128" s="971" t="s">
        <v>4505</v>
      </c>
      <c r="H128" s="971" t="s">
        <v>3491</v>
      </c>
      <c r="I128" s="1273" t="s">
        <v>6818</v>
      </c>
      <c r="J128" s="971" t="s">
        <v>2146</v>
      </c>
      <c r="K128" s="971" t="s">
        <v>2125</v>
      </c>
      <c r="L128" s="971" t="s">
        <v>2126</v>
      </c>
      <c r="M128" s="971" t="s">
        <v>2125</v>
      </c>
      <c r="N128" s="971" t="s">
        <v>176</v>
      </c>
      <c r="O128" s="971" t="s">
        <v>2126</v>
      </c>
      <c r="P128" s="971" t="s">
        <v>6797</v>
      </c>
      <c r="Q128" s="971" t="s">
        <v>6806</v>
      </c>
      <c r="R128" s="971" t="s">
        <v>4540</v>
      </c>
      <c r="S128" s="1274">
        <v>1</v>
      </c>
      <c r="T128" s="971" t="s">
        <v>242</v>
      </c>
      <c r="U128" s="1275">
        <v>13</v>
      </c>
      <c r="V128" s="1275">
        <v>120</v>
      </c>
      <c r="W128" s="1275">
        <v>1298.8739523809525</v>
      </c>
      <c r="X128" s="1275">
        <v>1200</v>
      </c>
      <c r="Y128" s="1275">
        <v>2618.8739523809527</v>
      </c>
      <c r="Z128" s="1129">
        <v>13</v>
      </c>
      <c r="AA128" s="1129">
        <v>120</v>
      </c>
      <c r="AB128" s="1129">
        <v>1298.8739523809525</v>
      </c>
      <c r="AC128" s="1129">
        <v>1200</v>
      </c>
      <c r="AD128" s="1098">
        <v>2618.8739523809527</v>
      </c>
      <c r="AE128" s="1237">
        <v>96</v>
      </c>
      <c r="AF128" s="1133">
        <v>96</v>
      </c>
      <c r="AG128" s="1127">
        <v>1</v>
      </c>
      <c r="AH128" s="1127">
        <v>0</v>
      </c>
      <c r="AI128" s="1127">
        <v>0</v>
      </c>
      <c r="AJ128" s="1127">
        <v>1</v>
      </c>
      <c r="AK128" s="1129">
        <v>2618.8739523809527</v>
      </c>
      <c r="AL128" s="1129">
        <v>0</v>
      </c>
      <c r="AM128" s="1129">
        <v>0</v>
      </c>
      <c r="AN128" s="1129">
        <v>2618.8739523809527</v>
      </c>
      <c r="AO128" s="1129" t="s">
        <v>85</v>
      </c>
      <c r="AP128" s="1129" t="s">
        <v>96</v>
      </c>
      <c r="AQ128" s="1157">
        <v>2014</v>
      </c>
      <c r="AR128" s="1129" t="s">
        <v>87</v>
      </c>
      <c r="AS128" s="1127">
        <v>0.33333333333333331</v>
      </c>
      <c r="AT128" s="1127"/>
      <c r="AU128" s="1127">
        <v>0.33333333333333331</v>
      </c>
      <c r="AV128" s="1127"/>
      <c r="AW128" s="1127"/>
      <c r="AX128" s="1127"/>
      <c r="AY128" s="1127"/>
      <c r="AZ128" s="1127">
        <v>0.33333333333333331</v>
      </c>
      <c r="BA128" s="1129">
        <v>872.95798412698423</v>
      </c>
      <c r="BB128" s="1129">
        <v>0</v>
      </c>
      <c r="BC128" s="1129">
        <v>872.95798412698423</v>
      </c>
      <c r="BD128" s="1129">
        <v>0</v>
      </c>
      <c r="BE128" s="1129">
        <v>0</v>
      </c>
      <c r="BF128" s="1129">
        <v>0</v>
      </c>
      <c r="BG128" s="1129">
        <v>0</v>
      </c>
      <c r="BH128" s="1129">
        <v>872.95798412698423</v>
      </c>
      <c r="BI128" s="971"/>
      <c r="BJ128" s="971"/>
      <c r="BK128" s="971"/>
      <c r="BL128" s="1246"/>
      <c r="BM128" s="1247" t="s">
        <v>2125</v>
      </c>
    </row>
    <row r="129" spans="1:65" s="1247" customFormat="1" ht="49.5" customHeight="1">
      <c r="A129" s="1272">
        <v>4000</v>
      </c>
      <c r="B129" s="971" t="s">
        <v>1316</v>
      </c>
      <c r="C129" s="1272">
        <v>4100</v>
      </c>
      <c r="D129" s="971" t="s">
        <v>120</v>
      </c>
      <c r="E129" s="971" t="s">
        <v>1389</v>
      </c>
      <c r="F129" s="971" t="s">
        <v>176</v>
      </c>
      <c r="G129" s="971" t="s">
        <v>4505</v>
      </c>
      <c r="H129" s="971" t="s">
        <v>3491</v>
      </c>
      <c r="I129" s="1273" t="s">
        <v>6819</v>
      </c>
      <c r="J129" s="971" t="s">
        <v>2146</v>
      </c>
      <c r="K129" s="971" t="s">
        <v>2125</v>
      </c>
      <c r="L129" s="971" t="s">
        <v>2126</v>
      </c>
      <c r="M129" s="971" t="s">
        <v>2125</v>
      </c>
      <c r="N129" s="971" t="s">
        <v>176</v>
      </c>
      <c r="O129" s="971" t="s">
        <v>2126</v>
      </c>
      <c r="P129" s="971" t="s">
        <v>6797</v>
      </c>
      <c r="Q129" s="971" t="s">
        <v>6806</v>
      </c>
      <c r="R129" s="971" t="s">
        <v>4541</v>
      </c>
      <c r="S129" s="1274">
        <v>1</v>
      </c>
      <c r="T129" s="971" t="s">
        <v>242</v>
      </c>
      <c r="U129" s="1275">
        <v>13</v>
      </c>
      <c r="V129" s="1275">
        <v>120</v>
      </c>
      <c r="W129" s="1275">
        <v>1298.8739523809525</v>
      </c>
      <c r="X129" s="1275">
        <v>1200</v>
      </c>
      <c r="Y129" s="1275">
        <v>2618.8739523809527</v>
      </c>
      <c r="Z129" s="1129">
        <v>13</v>
      </c>
      <c r="AA129" s="1129">
        <v>120</v>
      </c>
      <c r="AB129" s="1129">
        <v>1298.8739523809525</v>
      </c>
      <c r="AC129" s="1129">
        <v>1200</v>
      </c>
      <c r="AD129" s="1098">
        <v>2618.8739523809527</v>
      </c>
      <c r="AE129" s="1237">
        <v>96</v>
      </c>
      <c r="AF129" s="1133">
        <v>96</v>
      </c>
      <c r="AG129" s="1127">
        <v>1</v>
      </c>
      <c r="AH129" s="1127">
        <v>0</v>
      </c>
      <c r="AI129" s="1127">
        <v>0</v>
      </c>
      <c r="AJ129" s="1127">
        <v>1</v>
      </c>
      <c r="AK129" s="1129">
        <v>2618.8739523809527</v>
      </c>
      <c r="AL129" s="1129">
        <v>0</v>
      </c>
      <c r="AM129" s="1129">
        <v>0</v>
      </c>
      <c r="AN129" s="1129">
        <v>2618.8739523809527</v>
      </c>
      <c r="AO129" s="1129" t="s">
        <v>85</v>
      </c>
      <c r="AP129" s="1129" t="s">
        <v>96</v>
      </c>
      <c r="AQ129" s="1157">
        <v>2014</v>
      </c>
      <c r="AR129" s="1129" t="s">
        <v>87</v>
      </c>
      <c r="AS129" s="1127">
        <v>0.33333333333333331</v>
      </c>
      <c r="AT129" s="1127"/>
      <c r="AU129" s="1127">
        <v>0.33333333333333331</v>
      </c>
      <c r="AV129" s="1127"/>
      <c r="AW129" s="1127"/>
      <c r="AX129" s="1127"/>
      <c r="AY129" s="1127"/>
      <c r="AZ129" s="1127">
        <v>0.33333333333333331</v>
      </c>
      <c r="BA129" s="1129">
        <v>872.95798412698423</v>
      </c>
      <c r="BB129" s="1129">
        <v>0</v>
      </c>
      <c r="BC129" s="1129">
        <v>872.95798412698423</v>
      </c>
      <c r="BD129" s="1129">
        <v>0</v>
      </c>
      <c r="BE129" s="1129">
        <v>0</v>
      </c>
      <c r="BF129" s="1129">
        <v>0</v>
      </c>
      <c r="BG129" s="1129">
        <v>0</v>
      </c>
      <c r="BH129" s="1129">
        <v>872.95798412698423</v>
      </c>
      <c r="BI129" s="971"/>
      <c r="BJ129" s="971"/>
      <c r="BK129" s="971"/>
      <c r="BL129" s="1246"/>
      <c r="BM129" s="1247" t="s">
        <v>2129</v>
      </c>
    </row>
    <row r="130" spans="1:65" s="1247" customFormat="1" ht="66" customHeight="1">
      <c r="A130" s="1272">
        <v>4000</v>
      </c>
      <c r="B130" s="971" t="s">
        <v>1316</v>
      </c>
      <c r="C130" s="1272">
        <v>4100</v>
      </c>
      <c r="D130" s="971" t="s">
        <v>120</v>
      </c>
      <c r="E130" s="971" t="s">
        <v>1389</v>
      </c>
      <c r="F130" s="971" t="s">
        <v>176</v>
      </c>
      <c r="G130" s="971" t="s">
        <v>4505</v>
      </c>
      <c r="H130" s="971" t="s">
        <v>3491</v>
      </c>
      <c r="I130" s="1273" t="s">
        <v>6820</v>
      </c>
      <c r="J130" s="971" t="s">
        <v>2146</v>
      </c>
      <c r="K130" s="971" t="s">
        <v>2127</v>
      </c>
      <c r="L130" s="971" t="s">
        <v>2177</v>
      </c>
      <c r="M130" s="971" t="s">
        <v>2127</v>
      </c>
      <c r="N130" s="971" t="s">
        <v>176</v>
      </c>
      <c r="O130" s="971" t="s">
        <v>2177</v>
      </c>
      <c r="P130" s="971" t="s">
        <v>2292</v>
      </c>
      <c r="Q130" s="971" t="s">
        <v>6795</v>
      </c>
      <c r="R130" s="971" t="s">
        <v>4542</v>
      </c>
      <c r="S130" s="1274">
        <v>1</v>
      </c>
      <c r="T130" s="971" t="s">
        <v>242</v>
      </c>
      <c r="U130" s="1275">
        <v>10</v>
      </c>
      <c r="V130" s="1275">
        <v>45</v>
      </c>
      <c r="W130" s="1275">
        <v>999.13380952380965</v>
      </c>
      <c r="X130" s="1275">
        <v>450</v>
      </c>
      <c r="Y130" s="1275">
        <v>1494.1338095238098</v>
      </c>
      <c r="Z130" s="1129">
        <v>10</v>
      </c>
      <c r="AA130" s="1129">
        <v>45</v>
      </c>
      <c r="AB130" s="1129">
        <v>999.13380952380965</v>
      </c>
      <c r="AC130" s="1129">
        <v>450</v>
      </c>
      <c r="AD130" s="1098">
        <v>1494.1338095238098</v>
      </c>
      <c r="AE130" s="1237">
        <v>24</v>
      </c>
      <c r="AF130" s="1133">
        <v>24</v>
      </c>
      <c r="AG130" s="1127">
        <v>1</v>
      </c>
      <c r="AH130" s="1127">
        <v>0</v>
      </c>
      <c r="AI130" s="1127">
        <v>0</v>
      </c>
      <c r="AJ130" s="1127">
        <v>1</v>
      </c>
      <c r="AK130" s="1129">
        <v>1494.1338095238098</v>
      </c>
      <c r="AL130" s="1129">
        <v>0</v>
      </c>
      <c r="AM130" s="1129">
        <v>0</v>
      </c>
      <c r="AN130" s="1129">
        <v>1494.1338095238098</v>
      </c>
      <c r="AO130" s="1129" t="s">
        <v>85</v>
      </c>
      <c r="AP130" s="1129" t="s">
        <v>96</v>
      </c>
      <c r="AQ130" s="1157">
        <v>2014</v>
      </c>
      <c r="AR130" s="1129" t="s">
        <v>87</v>
      </c>
      <c r="AS130" s="1127">
        <v>0.33333333333333331</v>
      </c>
      <c r="AT130" s="1127"/>
      <c r="AU130" s="1127">
        <v>0.33333333333333331</v>
      </c>
      <c r="AV130" s="1127"/>
      <c r="AW130" s="1127"/>
      <c r="AX130" s="1127"/>
      <c r="AY130" s="1127"/>
      <c r="AZ130" s="1127">
        <v>0.33333333333333331</v>
      </c>
      <c r="BA130" s="1129">
        <v>498.04460317460325</v>
      </c>
      <c r="BB130" s="1129">
        <v>0</v>
      </c>
      <c r="BC130" s="1129">
        <v>498.04460317460325</v>
      </c>
      <c r="BD130" s="1129">
        <v>0</v>
      </c>
      <c r="BE130" s="1129">
        <v>0</v>
      </c>
      <c r="BF130" s="1129">
        <v>0</v>
      </c>
      <c r="BG130" s="1129">
        <v>0</v>
      </c>
      <c r="BH130" s="1129">
        <v>498.04460317460325</v>
      </c>
      <c r="BI130" s="971"/>
      <c r="BJ130" s="971"/>
      <c r="BK130" s="971"/>
      <c r="BL130" s="1246"/>
      <c r="BM130" s="1247" t="s">
        <v>2127</v>
      </c>
    </row>
    <row r="131" spans="1:65" s="1247" customFormat="1" ht="49.5" customHeight="1">
      <c r="A131" s="1272">
        <v>4000</v>
      </c>
      <c r="B131" s="971" t="s">
        <v>1316</v>
      </c>
      <c r="C131" s="1272">
        <v>4100</v>
      </c>
      <c r="D131" s="971" t="s">
        <v>120</v>
      </c>
      <c r="E131" s="971" t="s">
        <v>1389</v>
      </c>
      <c r="F131" s="971" t="s">
        <v>176</v>
      </c>
      <c r="G131" s="971" t="s">
        <v>4505</v>
      </c>
      <c r="H131" s="971" t="s">
        <v>3491</v>
      </c>
      <c r="I131" s="1273" t="s">
        <v>6821</v>
      </c>
      <c r="J131" s="971" t="s">
        <v>2146</v>
      </c>
      <c r="K131" s="971" t="s">
        <v>2125</v>
      </c>
      <c r="L131" s="971" t="s">
        <v>2126</v>
      </c>
      <c r="M131" s="971" t="s">
        <v>2125</v>
      </c>
      <c r="N131" s="971" t="s">
        <v>176</v>
      </c>
      <c r="O131" s="971" t="s">
        <v>2126</v>
      </c>
      <c r="P131" s="971" t="s">
        <v>6797</v>
      </c>
      <c r="Q131" s="971" t="s">
        <v>6806</v>
      </c>
      <c r="R131" s="971" t="s">
        <v>4543</v>
      </c>
      <c r="S131" s="1274">
        <v>1</v>
      </c>
      <c r="T131" s="971" t="s">
        <v>242</v>
      </c>
      <c r="U131" s="1275">
        <v>13</v>
      </c>
      <c r="V131" s="1275">
        <v>120</v>
      </c>
      <c r="W131" s="1275">
        <v>1298.8739523809525</v>
      </c>
      <c r="X131" s="1275">
        <v>1200</v>
      </c>
      <c r="Y131" s="1275">
        <v>2618.8739523809527</v>
      </c>
      <c r="Z131" s="1129">
        <v>13</v>
      </c>
      <c r="AA131" s="1129">
        <v>120</v>
      </c>
      <c r="AB131" s="1129">
        <v>1298.8739523809525</v>
      </c>
      <c r="AC131" s="1129">
        <v>1200</v>
      </c>
      <c r="AD131" s="1098">
        <v>2618.8739523809527</v>
      </c>
      <c r="AE131" s="1237">
        <v>96</v>
      </c>
      <c r="AF131" s="1133">
        <v>96</v>
      </c>
      <c r="AG131" s="1127">
        <v>1</v>
      </c>
      <c r="AH131" s="1127">
        <v>0</v>
      </c>
      <c r="AI131" s="1127">
        <v>0</v>
      </c>
      <c r="AJ131" s="1127">
        <v>1</v>
      </c>
      <c r="AK131" s="1129">
        <v>2618.8739523809527</v>
      </c>
      <c r="AL131" s="1129">
        <v>0</v>
      </c>
      <c r="AM131" s="1129">
        <v>0</v>
      </c>
      <c r="AN131" s="1129">
        <v>2618.8739523809527</v>
      </c>
      <c r="AO131" s="1129" t="s">
        <v>85</v>
      </c>
      <c r="AP131" s="1129" t="s">
        <v>96</v>
      </c>
      <c r="AQ131" s="1157">
        <v>2014</v>
      </c>
      <c r="AR131" s="1129" t="s">
        <v>87</v>
      </c>
      <c r="AS131" s="1127">
        <v>0.33333333333333331</v>
      </c>
      <c r="AT131" s="1127"/>
      <c r="AU131" s="1127">
        <v>0.33333333333333331</v>
      </c>
      <c r="AV131" s="1127"/>
      <c r="AW131" s="1127"/>
      <c r="AX131" s="1127"/>
      <c r="AY131" s="1127"/>
      <c r="AZ131" s="1127">
        <v>0.33333333333333331</v>
      </c>
      <c r="BA131" s="1129">
        <v>872.95798412698423</v>
      </c>
      <c r="BB131" s="1129">
        <v>0</v>
      </c>
      <c r="BC131" s="1129">
        <v>872.95798412698423</v>
      </c>
      <c r="BD131" s="1129">
        <v>0</v>
      </c>
      <c r="BE131" s="1129">
        <v>0</v>
      </c>
      <c r="BF131" s="1129">
        <v>0</v>
      </c>
      <c r="BG131" s="1129">
        <v>0</v>
      </c>
      <c r="BH131" s="1129">
        <v>872.95798412698423</v>
      </c>
      <c r="BI131" s="971"/>
      <c r="BJ131" s="971"/>
      <c r="BK131" s="971"/>
      <c r="BL131" s="1246"/>
      <c r="BM131" s="1247" t="s">
        <v>2127</v>
      </c>
    </row>
    <row r="132" spans="1:65" s="1247" customFormat="1" ht="49.5" customHeight="1">
      <c r="A132" s="1272">
        <v>4000</v>
      </c>
      <c r="B132" s="971" t="s">
        <v>1316</v>
      </c>
      <c r="C132" s="1272">
        <v>4100</v>
      </c>
      <c r="D132" s="971" t="s">
        <v>120</v>
      </c>
      <c r="E132" s="971" t="s">
        <v>1389</v>
      </c>
      <c r="F132" s="971" t="s">
        <v>176</v>
      </c>
      <c r="G132" s="971" t="s">
        <v>4505</v>
      </c>
      <c r="H132" s="971" t="s">
        <v>3491</v>
      </c>
      <c r="I132" s="1273" t="s">
        <v>6822</v>
      </c>
      <c r="J132" s="971" t="s">
        <v>2146</v>
      </c>
      <c r="K132" s="971" t="s">
        <v>2125</v>
      </c>
      <c r="L132" s="971" t="s">
        <v>2126</v>
      </c>
      <c r="M132" s="971" t="s">
        <v>2125</v>
      </c>
      <c r="N132" s="971" t="s">
        <v>176</v>
      </c>
      <c r="O132" s="971" t="s">
        <v>2126</v>
      </c>
      <c r="P132" s="971" t="s">
        <v>6797</v>
      </c>
      <c r="Q132" s="971" t="s">
        <v>6806</v>
      </c>
      <c r="R132" s="971" t="s">
        <v>4544</v>
      </c>
      <c r="S132" s="1274">
        <v>1</v>
      </c>
      <c r="T132" s="971" t="s">
        <v>242</v>
      </c>
      <c r="U132" s="1275">
        <v>13</v>
      </c>
      <c r="V132" s="1275">
        <v>120</v>
      </c>
      <c r="W132" s="1275">
        <v>1298.8739523809525</v>
      </c>
      <c r="X132" s="1275">
        <v>1200</v>
      </c>
      <c r="Y132" s="1275">
        <v>2618.8739523809527</v>
      </c>
      <c r="Z132" s="1129">
        <v>13</v>
      </c>
      <c r="AA132" s="1129">
        <v>120</v>
      </c>
      <c r="AB132" s="1129">
        <v>1298.8739523809525</v>
      </c>
      <c r="AC132" s="1129">
        <v>1200</v>
      </c>
      <c r="AD132" s="1098">
        <v>2618.8739523809527</v>
      </c>
      <c r="AE132" s="1237">
        <v>96</v>
      </c>
      <c r="AF132" s="1133">
        <v>96</v>
      </c>
      <c r="AG132" s="1127">
        <v>1</v>
      </c>
      <c r="AH132" s="1127">
        <v>0</v>
      </c>
      <c r="AI132" s="1127">
        <v>0</v>
      </c>
      <c r="AJ132" s="1127">
        <v>1</v>
      </c>
      <c r="AK132" s="1129">
        <v>2618.8739523809527</v>
      </c>
      <c r="AL132" s="1129">
        <v>0</v>
      </c>
      <c r="AM132" s="1129">
        <v>0</v>
      </c>
      <c r="AN132" s="1129">
        <v>2618.8739523809527</v>
      </c>
      <c r="AO132" s="1129" t="s">
        <v>85</v>
      </c>
      <c r="AP132" s="1129" t="s">
        <v>96</v>
      </c>
      <c r="AQ132" s="1157">
        <v>2014</v>
      </c>
      <c r="AR132" s="1129" t="s">
        <v>87</v>
      </c>
      <c r="AS132" s="1127">
        <v>0.33333333333333331</v>
      </c>
      <c r="AT132" s="1127"/>
      <c r="AU132" s="1127">
        <v>0.33333333333333331</v>
      </c>
      <c r="AV132" s="1127"/>
      <c r="AW132" s="1127"/>
      <c r="AX132" s="1127"/>
      <c r="AY132" s="1127"/>
      <c r="AZ132" s="1127">
        <v>0.33333333333333331</v>
      </c>
      <c r="BA132" s="1129">
        <v>872.95798412698423</v>
      </c>
      <c r="BB132" s="1129">
        <v>0</v>
      </c>
      <c r="BC132" s="1129">
        <v>872.95798412698423</v>
      </c>
      <c r="BD132" s="1129">
        <v>0</v>
      </c>
      <c r="BE132" s="1129">
        <v>0</v>
      </c>
      <c r="BF132" s="1129">
        <v>0</v>
      </c>
      <c r="BG132" s="1129">
        <v>0</v>
      </c>
      <c r="BH132" s="1129">
        <v>872.95798412698423</v>
      </c>
      <c r="BI132" s="971"/>
      <c r="BJ132" s="971"/>
      <c r="BK132" s="971"/>
      <c r="BL132" s="1246"/>
      <c r="BM132" s="1247" t="s">
        <v>2127</v>
      </c>
    </row>
    <row r="133" spans="1:65" s="1247" customFormat="1" ht="82.5" customHeight="1">
      <c r="A133" s="1272">
        <v>4000</v>
      </c>
      <c r="B133" s="971" t="s">
        <v>1316</v>
      </c>
      <c r="C133" s="1272">
        <v>4100</v>
      </c>
      <c r="D133" s="971" t="s">
        <v>120</v>
      </c>
      <c r="E133" s="971" t="s">
        <v>1389</v>
      </c>
      <c r="F133" s="971" t="s">
        <v>176</v>
      </c>
      <c r="G133" s="971" t="s">
        <v>4505</v>
      </c>
      <c r="H133" s="971" t="s">
        <v>3491</v>
      </c>
      <c r="I133" s="1273" t="s">
        <v>6823</v>
      </c>
      <c r="J133" s="971" t="s">
        <v>2146</v>
      </c>
      <c r="K133" s="971" t="s">
        <v>2127</v>
      </c>
      <c r="L133" s="971" t="s">
        <v>2177</v>
      </c>
      <c r="M133" s="971" t="s">
        <v>2127</v>
      </c>
      <c r="N133" s="971" t="s">
        <v>176</v>
      </c>
      <c r="O133" s="971" t="s">
        <v>2177</v>
      </c>
      <c r="P133" s="971" t="s">
        <v>2292</v>
      </c>
      <c r="Q133" s="971" t="s">
        <v>6795</v>
      </c>
      <c r="R133" s="971" t="s">
        <v>4545</v>
      </c>
      <c r="S133" s="1274">
        <v>1</v>
      </c>
      <c r="T133" s="971" t="s">
        <v>242</v>
      </c>
      <c r="U133" s="1275">
        <v>10</v>
      </c>
      <c r="V133" s="1275">
        <v>45</v>
      </c>
      <c r="W133" s="1275">
        <v>999.13380952380965</v>
      </c>
      <c r="X133" s="1275">
        <v>450</v>
      </c>
      <c r="Y133" s="1275">
        <v>1494.1338095238098</v>
      </c>
      <c r="Z133" s="1129">
        <v>10</v>
      </c>
      <c r="AA133" s="1129">
        <v>45</v>
      </c>
      <c r="AB133" s="1129">
        <v>999.13380952380965</v>
      </c>
      <c r="AC133" s="1129">
        <v>450</v>
      </c>
      <c r="AD133" s="1098">
        <v>1494.1338095238098</v>
      </c>
      <c r="AE133" s="1237">
        <v>24</v>
      </c>
      <c r="AF133" s="1133">
        <v>24</v>
      </c>
      <c r="AG133" s="1127">
        <v>1</v>
      </c>
      <c r="AH133" s="1127">
        <v>0</v>
      </c>
      <c r="AI133" s="1127">
        <v>0</v>
      </c>
      <c r="AJ133" s="1127">
        <v>1</v>
      </c>
      <c r="AK133" s="1129">
        <v>1494.1338095238098</v>
      </c>
      <c r="AL133" s="1129">
        <v>0</v>
      </c>
      <c r="AM133" s="1129">
        <v>0</v>
      </c>
      <c r="AN133" s="1129">
        <v>1494.1338095238098</v>
      </c>
      <c r="AO133" s="1129" t="s">
        <v>85</v>
      </c>
      <c r="AP133" s="1129" t="s">
        <v>96</v>
      </c>
      <c r="AQ133" s="1157">
        <v>2014</v>
      </c>
      <c r="AR133" s="1129" t="s">
        <v>87</v>
      </c>
      <c r="AS133" s="1127">
        <v>0.33333333333333331</v>
      </c>
      <c r="AT133" s="1127"/>
      <c r="AU133" s="1127">
        <v>0.33333333333333331</v>
      </c>
      <c r="AV133" s="1127"/>
      <c r="AW133" s="1127"/>
      <c r="AX133" s="1127"/>
      <c r="AY133" s="1127"/>
      <c r="AZ133" s="1127">
        <v>0.33333333333333331</v>
      </c>
      <c r="BA133" s="1129">
        <v>498.04460317460325</v>
      </c>
      <c r="BB133" s="1129">
        <v>0</v>
      </c>
      <c r="BC133" s="1129">
        <v>498.04460317460325</v>
      </c>
      <c r="BD133" s="1129">
        <v>0</v>
      </c>
      <c r="BE133" s="1129">
        <v>0</v>
      </c>
      <c r="BF133" s="1129">
        <v>0</v>
      </c>
      <c r="BG133" s="1129">
        <v>0</v>
      </c>
      <c r="BH133" s="1129">
        <v>498.04460317460325</v>
      </c>
      <c r="BI133" s="971"/>
      <c r="BJ133" s="971"/>
      <c r="BK133" s="971"/>
      <c r="BL133" s="1246"/>
      <c r="BM133" s="1247" t="s">
        <v>2125</v>
      </c>
    </row>
    <row r="134" spans="1:65" s="1247" customFormat="1" ht="82.5" customHeight="1">
      <c r="A134" s="1272">
        <v>4000</v>
      </c>
      <c r="B134" s="971" t="s">
        <v>1316</v>
      </c>
      <c r="C134" s="1272">
        <v>4100</v>
      </c>
      <c r="D134" s="971" t="s">
        <v>120</v>
      </c>
      <c r="E134" s="971" t="s">
        <v>1389</v>
      </c>
      <c r="F134" s="971" t="s">
        <v>176</v>
      </c>
      <c r="G134" s="971" t="s">
        <v>4505</v>
      </c>
      <c r="H134" s="971" t="s">
        <v>3491</v>
      </c>
      <c r="I134" s="1273" t="s">
        <v>6824</v>
      </c>
      <c r="J134" s="971" t="s">
        <v>2146</v>
      </c>
      <c r="K134" s="971" t="s">
        <v>2125</v>
      </c>
      <c r="L134" s="971" t="s">
        <v>2126</v>
      </c>
      <c r="M134" s="971" t="s">
        <v>2125</v>
      </c>
      <c r="N134" s="971" t="s">
        <v>176</v>
      </c>
      <c r="O134" s="971" t="s">
        <v>2126</v>
      </c>
      <c r="P134" s="971" t="s">
        <v>6797</v>
      </c>
      <c r="Q134" s="971" t="s">
        <v>6806</v>
      </c>
      <c r="R134" s="971" t="s">
        <v>4546</v>
      </c>
      <c r="S134" s="1274">
        <v>1</v>
      </c>
      <c r="T134" s="971" t="s">
        <v>242</v>
      </c>
      <c r="U134" s="1275">
        <v>13</v>
      </c>
      <c r="V134" s="1275">
        <v>120</v>
      </c>
      <c r="W134" s="1275">
        <v>1298.8739523809525</v>
      </c>
      <c r="X134" s="1275">
        <v>1200</v>
      </c>
      <c r="Y134" s="1275">
        <v>2618.8739523809527</v>
      </c>
      <c r="Z134" s="1129">
        <v>13</v>
      </c>
      <c r="AA134" s="1129">
        <v>120</v>
      </c>
      <c r="AB134" s="1129">
        <v>1298.8739523809525</v>
      </c>
      <c r="AC134" s="1129">
        <v>1200</v>
      </c>
      <c r="AD134" s="1098">
        <v>2618.8739523809527</v>
      </c>
      <c r="AE134" s="1237">
        <v>96</v>
      </c>
      <c r="AF134" s="1133">
        <v>96</v>
      </c>
      <c r="AG134" s="1127">
        <v>1</v>
      </c>
      <c r="AH134" s="1127">
        <v>0</v>
      </c>
      <c r="AI134" s="1127">
        <v>0</v>
      </c>
      <c r="AJ134" s="1127">
        <v>1</v>
      </c>
      <c r="AK134" s="1129">
        <v>2618.8739523809527</v>
      </c>
      <c r="AL134" s="1129">
        <v>0</v>
      </c>
      <c r="AM134" s="1129">
        <v>0</v>
      </c>
      <c r="AN134" s="1129">
        <v>2618.8739523809527</v>
      </c>
      <c r="AO134" s="1129" t="s">
        <v>85</v>
      </c>
      <c r="AP134" s="1129" t="s">
        <v>96</v>
      </c>
      <c r="AQ134" s="1157">
        <v>2014</v>
      </c>
      <c r="AR134" s="1129" t="s">
        <v>87</v>
      </c>
      <c r="AS134" s="1127">
        <v>0.33333333333333331</v>
      </c>
      <c r="AT134" s="1127"/>
      <c r="AU134" s="1127">
        <v>0.33333333333333331</v>
      </c>
      <c r="AV134" s="1127"/>
      <c r="AW134" s="1127"/>
      <c r="AX134" s="1127"/>
      <c r="AY134" s="1127"/>
      <c r="AZ134" s="1127">
        <v>0.33333333333333331</v>
      </c>
      <c r="BA134" s="1129">
        <v>872.95798412698423</v>
      </c>
      <c r="BB134" s="1129">
        <v>0</v>
      </c>
      <c r="BC134" s="1129">
        <v>872.95798412698423</v>
      </c>
      <c r="BD134" s="1129">
        <v>0</v>
      </c>
      <c r="BE134" s="1129">
        <v>0</v>
      </c>
      <c r="BF134" s="1129">
        <v>0</v>
      </c>
      <c r="BG134" s="1129">
        <v>0</v>
      </c>
      <c r="BH134" s="1129">
        <v>872.95798412698423</v>
      </c>
      <c r="BI134" s="971"/>
      <c r="BJ134" s="971"/>
      <c r="BK134" s="971"/>
      <c r="BL134" s="1246"/>
      <c r="BM134" s="1247" t="s">
        <v>2125</v>
      </c>
    </row>
    <row r="135" spans="1:65" s="1247" customFormat="1" ht="99" customHeight="1">
      <c r="A135" s="1272">
        <v>4000</v>
      </c>
      <c r="B135" s="971" t="s">
        <v>1316</v>
      </c>
      <c r="C135" s="1272">
        <v>4100</v>
      </c>
      <c r="D135" s="971" t="s">
        <v>120</v>
      </c>
      <c r="E135" s="971" t="s">
        <v>1389</v>
      </c>
      <c r="F135" s="971" t="s">
        <v>176</v>
      </c>
      <c r="G135" s="971" t="s">
        <v>4505</v>
      </c>
      <c r="H135" s="971" t="s">
        <v>3491</v>
      </c>
      <c r="I135" s="1273" t="s">
        <v>6825</v>
      </c>
      <c r="J135" s="971" t="s">
        <v>2146</v>
      </c>
      <c r="K135" s="971" t="s">
        <v>2125</v>
      </c>
      <c r="L135" s="971" t="s">
        <v>2126</v>
      </c>
      <c r="M135" s="971" t="s">
        <v>2125</v>
      </c>
      <c r="N135" s="971" t="s">
        <v>176</v>
      </c>
      <c r="O135" s="971" t="s">
        <v>2126</v>
      </c>
      <c r="P135" s="971" t="s">
        <v>6797</v>
      </c>
      <c r="Q135" s="971" t="s">
        <v>6806</v>
      </c>
      <c r="R135" s="971" t="s">
        <v>4547</v>
      </c>
      <c r="S135" s="1274">
        <v>1</v>
      </c>
      <c r="T135" s="971" t="s">
        <v>242</v>
      </c>
      <c r="U135" s="1275">
        <v>13</v>
      </c>
      <c r="V135" s="1275">
        <v>120</v>
      </c>
      <c r="W135" s="1275">
        <v>1298.8739523809525</v>
      </c>
      <c r="X135" s="1275">
        <v>1200</v>
      </c>
      <c r="Y135" s="1275">
        <v>2618.8739523809527</v>
      </c>
      <c r="Z135" s="1129">
        <v>13</v>
      </c>
      <c r="AA135" s="1129">
        <v>120</v>
      </c>
      <c r="AB135" s="1129">
        <v>1298.8739523809525</v>
      </c>
      <c r="AC135" s="1129">
        <v>1200</v>
      </c>
      <c r="AD135" s="1098">
        <v>2618.8739523809527</v>
      </c>
      <c r="AE135" s="1237">
        <v>96</v>
      </c>
      <c r="AF135" s="1133">
        <v>96</v>
      </c>
      <c r="AG135" s="1127">
        <v>1</v>
      </c>
      <c r="AH135" s="1127">
        <v>0</v>
      </c>
      <c r="AI135" s="1127">
        <v>0</v>
      </c>
      <c r="AJ135" s="1127">
        <v>1</v>
      </c>
      <c r="AK135" s="1129">
        <v>2618.8739523809527</v>
      </c>
      <c r="AL135" s="1129">
        <v>0</v>
      </c>
      <c r="AM135" s="1129">
        <v>0</v>
      </c>
      <c r="AN135" s="1129">
        <v>2618.8739523809527</v>
      </c>
      <c r="AO135" s="1129" t="s">
        <v>85</v>
      </c>
      <c r="AP135" s="1129" t="s">
        <v>96</v>
      </c>
      <c r="AQ135" s="1157">
        <v>2014</v>
      </c>
      <c r="AR135" s="1129" t="s">
        <v>87</v>
      </c>
      <c r="AS135" s="1127">
        <v>0.33333333333333331</v>
      </c>
      <c r="AT135" s="1127"/>
      <c r="AU135" s="1127">
        <v>0.33333333333333331</v>
      </c>
      <c r="AV135" s="1127"/>
      <c r="AW135" s="1127"/>
      <c r="AX135" s="1127"/>
      <c r="AY135" s="1127"/>
      <c r="AZ135" s="1127">
        <v>0.33333333333333331</v>
      </c>
      <c r="BA135" s="1129">
        <v>872.95798412698423</v>
      </c>
      <c r="BB135" s="1129">
        <v>0</v>
      </c>
      <c r="BC135" s="1129">
        <v>872.95798412698423</v>
      </c>
      <c r="BD135" s="1129">
        <v>0</v>
      </c>
      <c r="BE135" s="1129">
        <v>0</v>
      </c>
      <c r="BF135" s="1129">
        <v>0</v>
      </c>
      <c r="BG135" s="1129">
        <v>0</v>
      </c>
      <c r="BH135" s="1129">
        <v>872.95798412698423</v>
      </c>
      <c r="BI135" s="971"/>
      <c r="BJ135" s="971"/>
      <c r="BK135" s="971"/>
      <c r="BL135" s="1246"/>
      <c r="BM135" s="1247" t="s">
        <v>2127</v>
      </c>
    </row>
    <row r="136" spans="1:65" s="1247" customFormat="1" ht="82.5" customHeight="1">
      <c r="A136" s="1272">
        <v>4000</v>
      </c>
      <c r="B136" s="971" t="s">
        <v>1316</v>
      </c>
      <c r="C136" s="1272">
        <v>4100</v>
      </c>
      <c r="D136" s="971" t="s">
        <v>120</v>
      </c>
      <c r="E136" s="971" t="s">
        <v>1389</v>
      </c>
      <c r="F136" s="971" t="s">
        <v>176</v>
      </c>
      <c r="G136" s="971" t="s">
        <v>4505</v>
      </c>
      <c r="H136" s="971" t="s">
        <v>3491</v>
      </c>
      <c r="I136" s="1273" t="s">
        <v>6826</v>
      </c>
      <c r="J136" s="971" t="s">
        <v>2146</v>
      </c>
      <c r="K136" s="971" t="s">
        <v>2127</v>
      </c>
      <c r="L136" s="971" t="s">
        <v>2177</v>
      </c>
      <c r="M136" s="971" t="s">
        <v>2127</v>
      </c>
      <c r="N136" s="971" t="s">
        <v>176</v>
      </c>
      <c r="O136" s="971" t="s">
        <v>2177</v>
      </c>
      <c r="P136" s="971" t="s">
        <v>2292</v>
      </c>
      <c r="Q136" s="971" t="s">
        <v>6795</v>
      </c>
      <c r="R136" s="971" t="s">
        <v>4548</v>
      </c>
      <c r="S136" s="1274">
        <v>1</v>
      </c>
      <c r="T136" s="971" t="s">
        <v>242</v>
      </c>
      <c r="U136" s="1275">
        <v>10</v>
      </c>
      <c r="V136" s="1275">
        <v>45</v>
      </c>
      <c r="W136" s="1275">
        <v>999.13380952380965</v>
      </c>
      <c r="X136" s="1275">
        <v>450</v>
      </c>
      <c r="Y136" s="1275">
        <v>1494.1338095238098</v>
      </c>
      <c r="Z136" s="1129">
        <v>10</v>
      </c>
      <c r="AA136" s="1129">
        <v>45</v>
      </c>
      <c r="AB136" s="1129">
        <v>999.13380952380965</v>
      </c>
      <c r="AC136" s="1129">
        <v>450</v>
      </c>
      <c r="AD136" s="1098">
        <v>1494.1338095238098</v>
      </c>
      <c r="AE136" s="1237">
        <v>24</v>
      </c>
      <c r="AF136" s="1133">
        <v>24</v>
      </c>
      <c r="AG136" s="1127">
        <v>1</v>
      </c>
      <c r="AH136" s="1127">
        <v>0</v>
      </c>
      <c r="AI136" s="1127">
        <v>0</v>
      </c>
      <c r="AJ136" s="1127">
        <v>1</v>
      </c>
      <c r="AK136" s="1129">
        <v>1494.1338095238098</v>
      </c>
      <c r="AL136" s="1129">
        <v>0</v>
      </c>
      <c r="AM136" s="1129">
        <v>0</v>
      </c>
      <c r="AN136" s="1129">
        <v>1494.1338095238098</v>
      </c>
      <c r="AO136" s="1129" t="s">
        <v>85</v>
      </c>
      <c r="AP136" s="1129" t="s">
        <v>96</v>
      </c>
      <c r="AQ136" s="1157">
        <v>2014</v>
      </c>
      <c r="AR136" s="1129" t="s">
        <v>87</v>
      </c>
      <c r="AS136" s="1127">
        <v>0.33333333333333331</v>
      </c>
      <c r="AT136" s="1127"/>
      <c r="AU136" s="1127">
        <v>0.33333333333333331</v>
      </c>
      <c r="AV136" s="1127"/>
      <c r="AW136" s="1127"/>
      <c r="AX136" s="1127"/>
      <c r="AY136" s="1127"/>
      <c r="AZ136" s="1127">
        <v>0.33333333333333331</v>
      </c>
      <c r="BA136" s="1129">
        <v>498.04460317460325</v>
      </c>
      <c r="BB136" s="1129">
        <v>0</v>
      </c>
      <c r="BC136" s="1129">
        <v>498.04460317460325</v>
      </c>
      <c r="BD136" s="1129">
        <v>0</v>
      </c>
      <c r="BE136" s="1129">
        <v>0</v>
      </c>
      <c r="BF136" s="1129">
        <v>0</v>
      </c>
      <c r="BG136" s="1129">
        <v>0</v>
      </c>
      <c r="BH136" s="1129">
        <v>498.04460317460325</v>
      </c>
      <c r="BI136" s="971"/>
      <c r="BJ136" s="971"/>
      <c r="BK136" s="971"/>
      <c r="BL136" s="1246"/>
      <c r="BM136" s="1247" t="s">
        <v>2125</v>
      </c>
    </row>
    <row r="137" spans="1:65" s="1247" customFormat="1" ht="82.5" customHeight="1">
      <c r="A137" s="1272">
        <v>4000</v>
      </c>
      <c r="B137" s="971" t="s">
        <v>1316</v>
      </c>
      <c r="C137" s="1272">
        <v>4100</v>
      </c>
      <c r="D137" s="971" t="s">
        <v>120</v>
      </c>
      <c r="E137" s="971" t="s">
        <v>1389</v>
      </c>
      <c r="F137" s="971" t="s">
        <v>176</v>
      </c>
      <c r="G137" s="971" t="s">
        <v>4505</v>
      </c>
      <c r="H137" s="971" t="s">
        <v>3491</v>
      </c>
      <c r="I137" s="1273" t="s">
        <v>6827</v>
      </c>
      <c r="J137" s="971" t="s">
        <v>2146</v>
      </c>
      <c r="K137" s="971" t="s">
        <v>2125</v>
      </c>
      <c r="L137" s="971" t="s">
        <v>2126</v>
      </c>
      <c r="M137" s="971" t="s">
        <v>2125</v>
      </c>
      <c r="N137" s="971" t="s">
        <v>176</v>
      </c>
      <c r="O137" s="971" t="s">
        <v>2126</v>
      </c>
      <c r="P137" s="971" t="s">
        <v>6797</v>
      </c>
      <c r="Q137" s="971" t="s">
        <v>6806</v>
      </c>
      <c r="R137" s="971" t="s">
        <v>4549</v>
      </c>
      <c r="S137" s="1274">
        <v>1</v>
      </c>
      <c r="T137" s="971" t="s">
        <v>242</v>
      </c>
      <c r="U137" s="1275">
        <v>13</v>
      </c>
      <c r="V137" s="1275">
        <v>120</v>
      </c>
      <c r="W137" s="1275">
        <v>1298.8739523809525</v>
      </c>
      <c r="X137" s="1275">
        <v>1200</v>
      </c>
      <c r="Y137" s="1275">
        <v>2618.8739523809527</v>
      </c>
      <c r="Z137" s="1129">
        <v>13</v>
      </c>
      <c r="AA137" s="1129">
        <v>120</v>
      </c>
      <c r="AB137" s="1129">
        <v>1298.8739523809525</v>
      </c>
      <c r="AC137" s="1129">
        <v>1200</v>
      </c>
      <c r="AD137" s="1098">
        <v>2618.8739523809527</v>
      </c>
      <c r="AE137" s="1237">
        <v>96</v>
      </c>
      <c r="AF137" s="1133">
        <v>96</v>
      </c>
      <c r="AG137" s="1127">
        <v>1</v>
      </c>
      <c r="AH137" s="1127">
        <v>0</v>
      </c>
      <c r="AI137" s="1127">
        <v>0</v>
      </c>
      <c r="AJ137" s="1127">
        <v>1</v>
      </c>
      <c r="AK137" s="1129">
        <v>2618.8739523809527</v>
      </c>
      <c r="AL137" s="1129">
        <v>0</v>
      </c>
      <c r="AM137" s="1129">
        <v>0</v>
      </c>
      <c r="AN137" s="1129">
        <v>2618.8739523809527</v>
      </c>
      <c r="AO137" s="1129" t="s">
        <v>85</v>
      </c>
      <c r="AP137" s="1129" t="s">
        <v>96</v>
      </c>
      <c r="AQ137" s="1157">
        <v>2014</v>
      </c>
      <c r="AR137" s="1129" t="s">
        <v>87</v>
      </c>
      <c r="AS137" s="1127">
        <v>0.33333333333333331</v>
      </c>
      <c r="AT137" s="1127"/>
      <c r="AU137" s="1127">
        <v>0.33333333333333331</v>
      </c>
      <c r="AV137" s="1127"/>
      <c r="AW137" s="1127"/>
      <c r="AX137" s="1127"/>
      <c r="AY137" s="1127"/>
      <c r="AZ137" s="1127">
        <v>0.33333333333333331</v>
      </c>
      <c r="BA137" s="1129">
        <v>872.95798412698423</v>
      </c>
      <c r="BB137" s="1129">
        <v>0</v>
      </c>
      <c r="BC137" s="1129">
        <v>872.95798412698423</v>
      </c>
      <c r="BD137" s="1129">
        <v>0</v>
      </c>
      <c r="BE137" s="1129">
        <v>0</v>
      </c>
      <c r="BF137" s="1129">
        <v>0</v>
      </c>
      <c r="BG137" s="1129">
        <v>0</v>
      </c>
      <c r="BH137" s="1129">
        <v>872.95798412698423</v>
      </c>
      <c r="BI137" s="971"/>
      <c r="BJ137" s="971"/>
      <c r="BK137" s="971"/>
      <c r="BL137" s="1246"/>
      <c r="BM137" s="1247" t="s">
        <v>2125</v>
      </c>
    </row>
    <row r="138" spans="1:65" s="1247" customFormat="1" ht="99" customHeight="1">
      <c r="A138" s="1272">
        <v>4000</v>
      </c>
      <c r="B138" s="971" t="s">
        <v>1316</v>
      </c>
      <c r="C138" s="1272">
        <v>4100</v>
      </c>
      <c r="D138" s="971" t="s">
        <v>120</v>
      </c>
      <c r="E138" s="971" t="s">
        <v>1389</v>
      </c>
      <c r="F138" s="971" t="s">
        <v>176</v>
      </c>
      <c r="G138" s="971" t="s">
        <v>4505</v>
      </c>
      <c r="H138" s="971" t="s">
        <v>3491</v>
      </c>
      <c r="I138" s="1273" t="s">
        <v>6828</v>
      </c>
      <c r="J138" s="971" t="s">
        <v>2146</v>
      </c>
      <c r="K138" s="971" t="s">
        <v>2125</v>
      </c>
      <c r="L138" s="971" t="s">
        <v>2126</v>
      </c>
      <c r="M138" s="971" t="s">
        <v>2125</v>
      </c>
      <c r="N138" s="971" t="s">
        <v>176</v>
      </c>
      <c r="O138" s="971" t="s">
        <v>2126</v>
      </c>
      <c r="P138" s="971" t="s">
        <v>6797</v>
      </c>
      <c r="Q138" s="971" t="s">
        <v>6806</v>
      </c>
      <c r="R138" s="971" t="s">
        <v>4550</v>
      </c>
      <c r="S138" s="1274">
        <v>1</v>
      </c>
      <c r="T138" s="971" t="s">
        <v>242</v>
      </c>
      <c r="U138" s="1275">
        <v>13</v>
      </c>
      <c r="V138" s="1275">
        <v>120</v>
      </c>
      <c r="W138" s="1275">
        <v>1298.8739523809525</v>
      </c>
      <c r="X138" s="1275">
        <v>1200</v>
      </c>
      <c r="Y138" s="1275">
        <v>2618.8739523809527</v>
      </c>
      <c r="Z138" s="1129">
        <v>13</v>
      </c>
      <c r="AA138" s="1129">
        <v>120</v>
      </c>
      <c r="AB138" s="1129">
        <v>1298.8739523809525</v>
      </c>
      <c r="AC138" s="1129">
        <v>1200</v>
      </c>
      <c r="AD138" s="1098">
        <v>2618.8739523809527</v>
      </c>
      <c r="AE138" s="1237">
        <v>96</v>
      </c>
      <c r="AF138" s="1133">
        <v>96</v>
      </c>
      <c r="AG138" s="1127">
        <v>1</v>
      </c>
      <c r="AH138" s="1127">
        <v>0</v>
      </c>
      <c r="AI138" s="1127">
        <v>0</v>
      </c>
      <c r="AJ138" s="1127">
        <v>1</v>
      </c>
      <c r="AK138" s="1129">
        <v>2618.8739523809527</v>
      </c>
      <c r="AL138" s="1129">
        <v>0</v>
      </c>
      <c r="AM138" s="1129">
        <v>0</v>
      </c>
      <c r="AN138" s="1129">
        <v>2618.8739523809527</v>
      </c>
      <c r="AO138" s="1129" t="s">
        <v>85</v>
      </c>
      <c r="AP138" s="1129" t="s">
        <v>96</v>
      </c>
      <c r="AQ138" s="1157">
        <v>2014</v>
      </c>
      <c r="AR138" s="1129" t="s">
        <v>87</v>
      </c>
      <c r="AS138" s="1127">
        <v>0.33333333333333331</v>
      </c>
      <c r="AT138" s="1127"/>
      <c r="AU138" s="1127">
        <v>0.33333333333333331</v>
      </c>
      <c r="AV138" s="1127"/>
      <c r="AW138" s="1127"/>
      <c r="AX138" s="1127"/>
      <c r="AY138" s="1127"/>
      <c r="AZ138" s="1127">
        <v>0.33333333333333331</v>
      </c>
      <c r="BA138" s="1129">
        <v>872.95798412698423</v>
      </c>
      <c r="BB138" s="1129">
        <v>0</v>
      </c>
      <c r="BC138" s="1129">
        <v>872.95798412698423</v>
      </c>
      <c r="BD138" s="1129">
        <v>0</v>
      </c>
      <c r="BE138" s="1129">
        <v>0</v>
      </c>
      <c r="BF138" s="1129">
        <v>0</v>
      </c>
      <c r="BG138" s="1129">
        <v>0</v>
      </c>
      <c r="BH138" s="1129">
        <v>872.95798412698423</v>
      </c>
      <c r="BI138" s="971"/>
      <c r="BJ138" s="971"/>
      <c r="BK138" s="971"/>
      <c r="BL138" s="1246"/>
      <c r="BM138" s="1247" t="s">
        <v>2127</v>
      </c>
    </row>
    <row r="139" spans="1:65" s="1247" customFormat="1" ht="82.5" customHeight="1">
      <c r="A139" s="1272">
        <v>4000</v>
      </c>
      <c r="B139" s="971" t="s">
        <v>1316</v>
      </c>
      <c r="C139" s="1272">
        <v>4100</v>
      </c>
      <c r="D139" s="971" t="s">
        <v>120</v>
      </c>
      <c r="E139" s="971" t="s">
        <v>1389</v>
      </c>
      <c r="F139" s="971" t="s">
        <v>176</v>
      </c>
      <c r="G139" s="971" t="s">
        <v>4505</v>
      </c>
      <c r="H139" s="971" t="s">
        <v>3491</v>
      </c>
      <c r="I139" s="1273" t="s">
        <v>6829</v>
      </c>
      <c r="J139" s="971" t="s">
        <v>2146</v>
      </c>
      <c r="K139" s="971" t="s">
        <v>2127</v>
      </c>
      <c r="L139" s="971" t="s">
        <v>2177</v>
      </c>
      <c r="M139" s="971" t="s">
        <v>2127</v>
      </c>
      <c r="N139" s="971" t="s">
        <v>176</v>
      </c>
      <c r="O139" s="971" t="s">
        <v>2177</v>
      </c>
      <c r="P139" s="971" t="s">
        <v>2292</v>
      </c>
      <c r="Q139" s="971" t="s">
        <v>6795</v>
      </c>
      <c r="R139" s="971" t="s">
        <v>4551</v>
      </c>
      <c r="S139" s="1274">
        <v>1</v>
      </c>
      <c r="T139" s="971" t="s">
        <v>242</v>
      </c>
      <c r="U139" s="1275">
        <v>10</v>
      </c>
      <c r="V139" s="1275">
        <v>45</v>
      </c>
      <c r="W139" s="1275">
        <v>999.13380952380965</v>
      </c>
      <c r="X139" s="1275">
        <v>450</v>
      </c>
      <c r="Y139" s="1275">
        <v>1494.1338095238098</v>
      </c>
      <c r="Z139" s="1129">
        <v>10</v>
      </c>
      <c r="AA139" s="1129">
        <v>45</v>
      </c>
      <c r="AB139" s="1129">
        <v>999.13380952380965</v>
      </c>
      <c r="AC139" s="1129">
        <v>450</v>
      </c>
      <c r="AD139" s="1098">
        <v>1494.1338095238098</v>
      </c>
      <c r="AE139" s="1237">
        <v>24</v>
      </c>
      <c r="AF139" s="1133">
        <v>24</v>
      </c>
      <c r="AG139" s="1127">
        <v>1</v>
      </c>
      <c r="AH139" s="1127">
        <v>0</v>
      </c>
      <c r="AI139" s="1127">
        <v>0</v>
      </c>
      <c r="AJ139" s="1127">
        <v>1</v>
      </c>
      <c r="AK139" s="1129">
        <v>1494.1338095238098</v>
      </c>
      <c r="AL139" s="1129">
        <v>0</v>
      </c>
      <c r="AM139" s="1129">
        <v>0</v>
      </c>
      <c r="AN139" s="1129">
        <v>1494.1338095238098</v>
      </c>
      <c r="AO139" s="1129" t="s">
        <v>85</v>
      </c>
      <c r="AP139" s="1129" t="s">
        <v>96</v>
      </c>
      <c r="AQ139" s="1157">
        <v>2014</v>
      </c>
      <c r="AR139" s="1129" t="s">
        <v>87</v>
      </c>
      <c r="AS139" s="1127">
        <v>0.33333333333333331</v>
      </c>
      <c r="AT139" s="1127"/>
      <c r="AU139" s="1127">
        <v>0.33333333333333331</v>
      </c>
      <c r="AV139" s="1127"/>
      <c r="AW139" s="1127"/>
      <c r="AX139" s="1127"/>
      <c r="AY139" s="1127"/>
      <c r="AZ139" s="1127">
        <v>0.33333333333333331</v>
      </c>
      <c r="BA139" s="1129">
        <v>498.04460317460325</v>
      </c>
      <c r="BB139" s="1129">
        <v>0</v>
      </c>
      <c r="BC139" s="1129">
        <v>498.04460317460325</v>
      </c>
      <c r="BD139" s="1129">
        <v>0</v>
      </c>
      <c r="BE139" s="1129">
        <v>0</v>
      </c>
      <c r="BF139" s="1129">
        <v>0</v>
      </c>
      <c r="BG139" s="1129">
        <v>0</v>
      </c>
      <c r="BH139" s="1129">
        <v>498.04460317460325</v>
      </c>
      <c r="BI139" s="971"/>
      <c r="BJ139" s="971"/>
      <c r="BK139" s="971"/>
      <c r="BL139" s="1246"/>
      <c r="BM139" s="1247" t="s">
        <v>2125</v>
      </c>
    </row>
    <row r="140" spans="1:65" s="1247" customFormat="1" ht="82.5" customHeight="1">
      <c r="A140" s="1272">
        <v>4000</v>
      </c>
      <c r="B140" s="971" t="s">
        <v>1316</v>
      </c>
      <c r="C140" s="1272">
        <v>4100</v>
      </c>
      <c r="D140" s="971" t="s">
        <v>120</v>
      </c>
      <c r="E140" s="971" t="s">
        <v>1389</v>
      </c>
      <c r="F140" s="971" t="s">
        <v>176</v>
      </c>
      <c r="G140" s="971" t="s">
        <v>4505</v>
      </c>
      <c r="H140" s="971" t="s">
        <v>3491</v>
      </c>
      <c r="I140" s="1273" t="s">
        <v>6830</v>
      </c>
      <c r="J140" s="971" t="s">
        <v>2146</v>
      </c>
      <c r="K140" s="971" t="s">
        <v>2125</v>
      </c>
      <c r="L140" s="971" t="s">
        <v>2126</v>
      </c>
      <c r="M140" s="971" t="s">
        <v>2125</v>
      </c>
      <c r="N140" s="971" t="s">
        <v>176</v>
      </c>
      <c r="O140" s="971" t="s">
        <v>2126</v>
      </c>
      <c r="P140" s="971" t="s">
        <v>6797</v>
      </c>
      <c r="Q140" s="971" t="s">
        <v>6806</v>
      </c>
      <c r="R140" s="971" t="s">
        <v>4552</v>
      </c>
      <c r="S140" s="1274">
        <v>1</v>
      </c>
      <c r="T140" s="971" t="s">
        <v>242</v>
      </c>
      <c r="U140" s="1275">
        <v>13</v>
      </c>
      <c r="V140" s="1275">
        <v>120</v>
      </c>
      <c r="W140" s="1275">
        <v>1298.8739523809525</v>
      </c>
      <c r="X140" s="1275">
        <v>1200</v>
      </c>
      <c r="Y140" s="1275">
        <v>2618.8739523809527</v>
      </c>
      <c r="Z140" s="1129">
        <v>13</v>
      </c>
      <c r="AA140" s="1129">
        <v>120</v>
      </c>
      <c r="AB140" s="1129">
        <v>1298.8739523809525</v>
      </c>
      <c r="AC140" s="1129">
        <v>1200</v>
      </c>
      <c r="AD140" s="1098">
        <v>2618.8739523809527</v>
      </c>
      <c r="AE140" s="1237">
        <v>96</v>
      </c>
      <c r="AF140" s="1133">
        <v>96</v>
      </c>
      <c r="AG140" s="1127">
        <v>1</v>
      </c>
      <c r="AH140" s="1127">
        <v>0</v>
      </c>
      <c r="AI140" s="1127">
        <v>0</v>
      </c>
      <c r="AJ140" s="1127">
        <v>1</v>
      </c>
      <c r="AK140" s="1129">
        <v>2618.8739523809527</v>
      </c>
      <c r="AL140" s="1129">
        <v>0</v>
      </c>
      <c r="AM140" s="1129">
        <v>0</v>
      </c>
      <c r="AN140" s="1129">
        <v>2618.8739523809527</v>
      </c>
      <c r="AO140" s="1129" t="s">
        <v>85</v>
      </c>
      <c r="AP140" s="1129" t="s">
        <v>96</v>
      </c>
      <c r="AQ140" s="1157">
        <v>2014</v>
      </c>
      <c r="AR140" s="1129" t="s">
        <v>87</v>
      </c>
      <c r="AS140" s="1127">
        <v>0.33333333333333331</v>
      </c>
      <c r="AT140" s="1127"/>
      <c r="AU140" s="1127">
        <v>0.33333333333333331</v>
      </c>
      <c r="AV140" s="1127"/>
      <c r="AW140" s="1127"/>
      <c r="AX140" s="1127"/>
      <c r="AY140" s="1127"/>
      <c r="AZ140" s="1127">
        <v>0.33333333333333331</v>
      </c>
      <c r="BA140" s="1129">
        <v>872.95798412698423</v>
      </c>
      <c r="BB140" s="1129">
        <v>0</v>
      </c>
      <c r="BC140" s="1129">
        <v>872.95798412698423</v>
      </c>
      <c r="BD140" s="1129">
        <v>0</v>
      </c>
      <c r="BE140" s="1129">
        <v>0</v>
      </c>
      <c r="BF140" s="1129">
        <v>0</v>
      </c>
      <c r="BG140" s="1129">
        <v>0</v>
      </c>
      <c r="BH140" s="1129">
        <v>872.95798412698423</v>
      </c>
      <c r="BI140" s="971"/>
      <c r="BJ140" s="971"/>
      <c r="BK140" s="971"/>
      <c r="BL140" s="1246"/>
      <c r="BM140" s="1247" t="s">
        <v>2125</v>
      </c>
    </row>
    <row r="141" spans="1:65" s="1247" customFormat="1" ht="99" customHeight="1">
      <c r="A141" s="1272">
        <v>4000</v>
      </c>
      <c r="B141" s="971" t="s">
        <v>1316</v>
      </c>
      <c r="C141" s="1272">
        <v>4100</v>
      </c>
      <c r="D141" s="971" t="s">
        <v>120</v>
      </c>
      <c r="E141" s="971" t="s">
        <v>1389</v>
      </c>
      <c r="F141" s="971" t="s">
        <v>176</v>
      </c>
      <c r="G141" s="971" t="s">
        <v>4505</v>
      </c>
      <c r="H141" s="971" t="s">
        <v>3491</v>
      </c>
      <c r="I141" s="1273" t="s">
        <v>6831</v>
      </c>
      <c r="J141" s="971" t="s">
        <v>2146</v>
      </c>
      <c r="K141" s="971" t="s">
        <v>2125</v>
      </c>
      <c r="L141" s="971" t="s">
        <v>2126</v>
      </c>
      <c r="M141" s="971" t="s">
        <v>2125</v>
      </c>
      <c r="N141" s="971" t="s">
        <v>176</v>
      </c>
      <c r="O141" s="971" t="s">
        <v>2126</v>
      </c>
      <c r="P141" s="971" t="s">
        <v>6797</v>
      </c>
      <c r="Q141" s="971" t="s">
        <v>6806</v>
      </c>
      <c r="R141" s="971" t="s">
        <v>4553</v>
      </c>
      <c r="S141" s="1274">
        <v>1</v>
      </c>
      <c r="T141" s="971" t="s">
        <v>242</v>
      </c>
      <c r="U141" s="1275">
        <v>13</v>
      </c>
      <c r="V141" s="1275">
        <v>120</v>
      </c>
      <c r="W141" s="1275">
        <v>1298.8739523809525</v>
      </c>
      <c r="X141" s="1275">
        <v>1200</v>
      </c>
      <c r="Y141" s="1275">
        <v>2618.8739523809527</v>
      </c>
      <c r="Z141" s="1129">
        <v>13</v>
      </c>
      <c r="AA141" s="1129">
        <v>120</v>
      </c>
      <c r="AB141" s="1129">
        <v>1298.8739523809525</v>
      </c>
      <c r="AC141" s="1129">
        <v>1200</v>
      </c>
      <c r="AD141" s="1098">
        <v>2618.8739523809527</v>
      </c>
      <c r="AE141" s="1237">
        <v>96</v>
      </c>
      <c r="AF141" s="1133">
        <v>96</v>
      </c>
      <c r="AG141" s="1127">
        <v>1</v>
      </c>
      <c r="AH141" s="1127">
        <v>0</v>
      </c>
      <c r="AI141" s="1127">
        <v>0</v>
      </c>
      <c r="AJ141" s="1127">
        <v>1</v>
      </c>
      <c r="AK141" s="1129">
        <v>2618.8739523809527</v>
      </c>
      <c r="AL141" s="1129">
        <v>0</v>
      </c>
      <c r="AM141" s="1129">
        <v>0</v>
      </c>
      <c r="AN141" s="1129">
        <v>2618.8739523809527</v>
      </c>
      <c r="AO141" s="1129" t="s">
        <v>85</v>
      </c>
      <c r="AP141" s="1129" t="s">
        <v>96</v>
      </c>
      <c r="AQ141" s="1157">
        <v>2014</v>
      </c>
      <c r="AR141" s="1129" t="s">
        <v>87</v>
      </c>
      <c r="AS141" s="1127">
        <v>0.33333333333333331</v>
      </c>
      <c r="AT141" s="1127"/>
      <c r="AU141" s="1127">
        <v>0.33333333333333331</v>
      </c>
      <c r="AV141" s="1127"/>
      <c r="AW141" s="1127"/>
      <c r="AX141" s="1127"/>
      <c r="AY141" s="1127"/>
      <c r="AZ141" s="1127">
        <v>0.33333333333333331</v>
      </c>
      <c r="BA141" s="1129">
        <v>872.95798412698423</v>
      </c>
      <c r="BB141" s="1129">
        <v>0</v>
      </c>
      <c r="BC141" s="1129">
        <v>872.95798412698423</v>
      </c>
      <c r="BD141" s="1129">
        <v>0</v>
      </c>
      <c r="BE141" s="1129">
        <v>0</v>
      </c>
      <c r="BF141" s="1129">
        <v>0</v>
      </c>
      <c r="BG141" s="1129">
        <v>0</v>
      </c>
      <c r="BH141" s="1129">
        <v>872.95798412698423</v>
      </c>
      <c r="BI141" s="971"/>
      <c r="BJ141" s="971"/>
      <c r="BK141" s="971"/>
      <c r="BL141" s="1246"/>
      <c r="BM141" s="1247" t="s">
        <v>2127</v>
      </c>
    </row>
    <row r="142" spans="1:65" s="1247" customFormat="1" ht="82.5" customHeight="1">
      <c r="A142" s="1272">
        <v>4000</v>
      </c>
      <c r="B142" s="971" t="s">
        <v>1316</v>
      </c>
      <c r="C142" s="1272">
        <v>4100</v>
      </c>
      <c r="D142" s="971" t="s">
        <v>120</v>
      </c>
      <c r="E142" s="971" t="s">
        <v>1389</v>
      </c>
      <c r="F142" s="971" t="s">
        <v>176</v>
      </c>
      <c r="G142" s="971" t="s">
        <v>4505</v>
      </c>
      <c r="H142" s="971" t="s">
        <v>3491</v>
      </c>
      <c r="I142" s="1273" t="s">
        <v>6832</v>
      </c>
      <c r="J142" s="971" t="s">
        <v>2146</v>
      </c>
      <c r="K142" s="971" t="s">
        <v>2127</v>
      </c>
      <c r="L142" s="971" t="s">
        <v>2177</v>
      </c>
      <c r="M142" s="971" t="s">
        <v>2127</v>
      </c>
      <c r="N142" s="971" t="s">
        <v>176</v>
      </c>
      <c r="O142" s="971" t="s">
        <v>2177</v>
      </c>
      <c r="P142" s="971" t="s">
        <v>2292</v>
      </c>
      <c r="Q142" s="971" t="s">
        <v>6795</v>
      </c>
      <c r="R142" s="971" t="s">
        <v>4554</v>
      </c>
      <c r="S142" s="1274">
        <v>1</v>
      </c>
      <c r="T142" s="971" t="s">
        <v>242</v>
      </c>
      <c r="U142" s="1275">
        <v>10</v>
      </c>
      <c r="V142" s="1275">
        <v>45</v>
      </c>
      <c r="W142" s="1275">
        <v>999.13380952380965</v>
      </c>
      <c r="X142" s="1275">
        <v>450</v>
      </c>
      <c r="Y142" s="1275">
        <v>1494.1338095238098</v>
      </c>
      <c r="Z142" s="1129">
        <v>10</v>
      </c>
      <c r="AA142" s="1129">
        <v>45</v>
      </c>
      <c r="AB142" s="1129">
        <v>999.13380952380965</v>
      </c>
      <c r="AC142" s="1129">
        <v>450</v>
      </c>
      <c r="AD142" s="1098">
        <v>1494.1338095238098</v>
      </c>
      <c r="AE142" s="1237">
        <v>24</v>
      </c>
      <c r="AF142" s="1133">
        <v>24</v>
      </c>
      <c r="AG142" s="1127">
        <v>1</v>
      </c>
      <c r="AH142" s="1127">
        <v>0</v>
      </c>
      <c r="AI142" s="1127">
        <v>0</v>
      </c>
      <c r="AJ142" s="1127">
        <v>1</v>
      </c>
      <c r="AK142" s="1129">
        <v>1494.1338095238098</v>
      </c>
      <c r="AL142" s="1129">
        <v>0</v>
      </c>
      <c r="AM142" s="1129">
        <v>0</v>
      </c>
      <c r="AN142" s="1129">
        <v>1494.1338095238098</v>
      </c>
      <c r="AO142" s="1129" t="s">
        <v>85</v>
      </c>
      <c r="AP142" s="1129" t="s">
        <v>96</v>
      </c>
      <c r="AQ142" s="1157">
        <v>2014</v>
      </c>
      <c r="AR142" s="1129" t="s">
        <v>87</v>
      </c>
      <c r="AS142" s="1127">
        <v>0.33333333333333331</v>
      </c>
      <c r="AT142" s="1127"/>
      <c r="AU142" s="1127">
        <v>0.33333333333333331</v>
      </c>
      <c r="AV142" s="1127"/>
      <c r="AW142" s="1127"/>
      <c r="AX142" s="1127"/>
      <c r="AY142" s="1127"/>
      <c r="AZ142" s="1127">
        <v>0.33333333333333331</v>
      </c>
      <c r="BA142" s="1129">
        <v>498.04460317460325</v>
      </c>
      <c r="BB142" s="1129">
        <v>0</v>
      </c>
      <c r="BC142" s="1129">
        <v>498.04460317460325</v>
      </c>
      <c r="BD142" s="1129">
        <v>0</v>
      </c>
      <c r="BE142" s="1129">
        <v>0</v>
      </c>
      <c r="BF142" s="1129">
        <v>0</v>
      </c>
      <c r="BG142" s="1129">
        <v>0</v>
      </c>
      <c r="BH142" s="1129">
        <v>498.04460317460325</v>
      </c>
      <c r="BI142" s="971"/>
      <c r="BJ142" s="971"/>
      <c r="BK142" s="971"/>
      <c r="BL142" s="1246"/>
      <c r="BM142" s="1247" t="s">
        <v>2125</v>
      </c>
    </row>
    <row r="143" spans="1:65" s="1247" customFormat="1" ht="82.5" customHeight="1">
      <c r="A143" s="1272">
        <v>4000</v>
      </c>
      <c r="B143" s="971" t="s">
        <v>1316</v>
      </c>
      <c r="C143" s="1272">
        <v>4100</v>
      </c>
      <c r="D143" s="971" t="s">
        <v>120</v>
      </c>
      <c r="E143" s="971" t="s">
        <v>1389</v>
      </c>
      <c r="F143" s="971" t="s">
        <v>176</v>
      </c>
      <c r="G143" s="971" t="s">
        <v>4505</v>
      </c>
      <c r="H143" s="971" t="s">
        <v>3491</v>
      </c>
      <c r="I143" s="1273" t="s">
        <v>6833</v>
      </c>
      <c r="J143" s="971" t="s">
        <v>2146</v>
      </c>
      <c r="K143" s="971" t="s">
        <v>2125</v>
      </c>
      <c r="L143" s="971" t="s">
        <v>2126</v>
      </c>
      <c r="M143" s="971" t="s">
        <v>2125</v>
      </c>
      <c r="N143" s="971" t="s">
        <v>176</v>
      </c>
      <c r="O143" s="971" t="s">
        <v>2126</v>
      </c>
      <c r="P143" s="971" t="s">
        <v>6797</v>
      </c>
      <c r="Q143" s="971" t="s">
        <v>6806</v>
      </c>
      <c r="R143" s="971" t="s">
        <v>4555</v>
      </c>
      <c r="S143" s="1274">
        <v>1</v>
      </c>
      <c r="T143" s="971" t="s">
        <v>242</v>
      </c>
      <c r="U143" s="1275">
        <v>13</v>
      </c>
      <c r="V143" s="1275">
        <v>120</v>
      </c>
      <c r="W143" s="1275">
        <v>1298.8739523809525</v>
      </c>
      <c r="X143" s="1275">
        <v>1200</v>
      </c>
      <c r="Y143" s="1275">
        <v>2618.8739523809527</v>
      </c>
      <c r="Z143" s="1129">
        <v>13</v>
      </c>
      <c r="AA143" s="1129">
        <v>120</v>
      </c>
      <c r="AB143" s="1129">
        <v>1298.8739523809525</v>
      </c>
      <c r="AC143" s="1129">
        <v>1200</v>
      </c>
      <c r="AD143" s="1098">
        <v>2618.8739523809527</v>
      </c>
      <c r="AE143" s="1237">
        <v>96</v>
      </c>
      <c r="AF143" s="1133">
        <v>96</v>
      </c>
      <c r="AG143" s="1127">
        <v>1</v>
      </c>
      <c r="AH143" s="1127">
        <v>0</v>
      </c>
      <c r="AI143" s="1127">
        <v>0</v>
      </c>
      <c r="AJ143" s="1127">
        <v>1</v>
      </c>
      <c r="AK143" s="1129">
        <v>2618.8739523809527</v>
      </c>
      <c r="AL143" s="1129">
        <v>0</v>
      </c>
      <c r="AM143" s="1129">
        <v>0</v>
      </c>
      <c r="AN143" s="1129">
        <v>2618.8739523809527</v>
      </c>
      <c r="AO143" s="1129" t="s">
        <v>85</v>
      </c>
      <c r="AP143" s="1129" t="s">
        <v>96</v>
      </c>
      <c r="AQ143" s="1157">
        <v>2014</v>
      </c>
      <c r="AR143" s="1129" t="s">
        <v>87</v>
      </c>
      <c r="AS143" s="1127">
        <v>0.33333333333333331</v>
      </c>
      <c r="AT143" s="1127"/>
      <c r="AU143" s="1127">
        <v>0.33333333333333331</v>
      </c>
      <c r="AV143" s="1127"/>
      <c r="AW143" s="1127"/>
      <c r="AX143" s="1127"/>
      <c r="AY143" s="1127"/>
      <c r="AZ143" s="1127">
        <v>0.33333333333333331</v>
      </c>
      <c r="BA143" s="1129">
        <v>872.95798412698423</v>
      </c>
      <c r="BB143" s="1129">
        <v>0</v>
      </c>
      <c r="BC143" s="1129">
        <v>872.95798412698423</v>
      </c>
      <c r="BD143" s="1129">
        <v>0</v>
      </c>
      <c r="BE143" s="1129">
        <v>0</v>
      </c>
      <c r="BF143" s="1129">
        <v>0</v>
      </c>
      <c r="BG143" s="1129">
        <v>0</v>
      </c>
      <c r="BH143" s="1129">
        <v>872.95798412698423</v>
      </c>
      <c r="BI143" s="971"/>
      <c r="BJ143" s="971"/>
      <c r="BK143" s="971"/>
      <c r="BL143" s="1246"/>
      <c r="BM143" s="1247" t="s">
        <v>2125</v>
      </c>
    </row>
    <row r="144" spans="1:65" s="1247" customFormat="1" ht="99" customHeight="1">
      <c r="A144" s="1272">
        <v>4000</v>
      </c>
      <c r="B144" s="971" t="s">
        <v>1316</v>
      </c>
      <c r="C144" s="1272">
        <v>4100</v>
      </c>
      <c r="D144" s="971" t="s">
        <v>120</v>
      </c>
      <c r="E144" s="971" t="s">
        <v>1389</v>
      </c>
      <c r="F144" s="971" t="s">
        <v>176</v>
      </c>
      <c r="G144" s="971" t="s">
        <v>4505</v>
      </c>
      <c r="H144" s="971" t="s">
        <v>3491</v>
      </c>
      <c r="I144" s="1273" t="s">
        <v>6834</v>
      </c>
      <c r="J144" s="971" t="s">
        <v>2146</v>
      </c>
      <c r="K144" s="971" t="s">
        <v>2125</v>
      </c>
      <c r="L144" s="971" t="s">
        <v>2126</v>
      </c>
      <c r="M144" s="971" t="s">
        <v>2125</v>
      </c>
      <c r="N144" s="971" t="s">
        <v>176</v>
      </c>
      <c r="O144" s="971" t="s">
        <v>2126</v>
      </c>
      <c r="P144" s="971" t="s">
        <v>6797</v>
      </c>
      <c r="Q144" s="971" t="s">
        <v>6806</v>
      </c>
      <c r="R144" s="971" t="s">
        <v>4556</v>
      </c>
      <c r="S144" s="1274">
        <v>1</v>
      </c>
      <c r="T144" s="971" t="s">
        <v>242</v>
      </c>
      <c r="U144" s="1275">
        <v>13</v>
      </c>
      <c r="V144" s="1275">
        <v>120</v>
      </c>
      <c r="W144" s="1275">
        <v>1298.8739523809525</v>
      </c>
      <c r="X144" s="1275">
        <v>1200</v>
      </c>
      <c r="Y144" s="1275">
        <v>2618.8739523809527</v>
      </c>
      <c r="Z144" s="1129">
        <v>13</v>
      </c>
      <c r="AA144" s="1129">
        <v>120</v>
      </c>
      <c r="AB144" s="1129">
        <v>1298.8739523809525</v>
      </c>
      <c r="AC144" s="1129">
        <v>1200</v>
      </c>
      <c r="AD144" s="1098">
        <v>2618.8739523809527</v>
      </c>
      <c r="AE144" s="1237">
        <v>96</v>
      </c>
      <c r="AF144" s="1133">
        <v>96</v>
      </c>
      <c r="AG144" s="1127">
        <v>1</v>
      </c>
      <c r="AH144" s="1127">
        <v>0</v>
      </c>
      <c r="AI144" s="1127">
        <v>0</v>
      </c>
      <c r="AJ144" s="1127">
        <v>1</v>
      </c>
      <c r="AK144" s="1129">
        <v>2618.8739523809527</v>
      </c>
      <c r="AL144" s="1129">
        <v>0</v>
      </c>
      <c r="AM144" s="1129">
        <v>0</v>
      </c>
      <c r="AN144" s="1129">
        <v>2618.8739523809527</v>
      </c>
      <c r="AO144" s="1129" t="s">
        <v>85</v>
      </c>
      <c r="AP144" s="1129" t="s">
        <v>96</v>
      </c>
      <c r="AQ144" s="1157">
        <v>2014</v>
      </c>
      <c r="AR144" s="1129" t="s">
        <v>87</v>
      </c>
      <c r="AS144" s="1127">
        <v>0.33333333333333331</v>
      </c>
      <c r="AT144" s="1127"/>
      <c r="AU144" s="1127">
        <v>0.33333333333333331</v>
      </c>
      <c r="AV144" s="1127"/>
      <c r="AW144" s="1127"/>
      <c r="AX144" s="1127"/>
      <c r="AY144" s="1127"/>
      <c r="AZ144" s="1127">
        <v>0.33333333333333331</v>
      </c>
      <c r="BA144" s="1129">
        <v>872.95798412698423</v>
      </c>
      <c r="BB144" s="1129">
        <v>0</v>
      </c>
      <c r="BC144" s="1129">
        <v>872.95798412698423</v>
      </c>
      <c r="BD144" s="1129">
        <v>0</v>
      </c>
      <c r="BE144" s="1129">
        <v>0</v>
      </c>
      <c r="BF144" s="1129">
        <v>0</v>
      </c>
      <c r="BG144" s="1129">
        <v>0</v>
      </c>
      <c r="BH144" s="1129">
        <v>872.95798412698423</v>
      </c>
      <c r="BI144" s="971"/>
      <c r="BJ144" s="971"/>
      <c r="BK144" s="971"/>
      <c r="BL144" s="1246"/>
      <c r="BM144" s="1247" t="s">
        <v>2127</v>
      </c>
    </row>
    <row r="145" spans="1:65" s="1247" customFormat="1" ht="82.5" customHeight="1">
      <c r="A145" s="1272">
        <v>4000</v>
      </c>
      <c r="B145" s="971" t="s">
        <v>1316</v>
      </c>
      <c r="C145" s="1272">
        <v>4100</v>
      </c>
      <c r="D145" s="971" t="s">
        <v>120</v>
      </c>
      <c r="E145" s="971" t="s">
        <v>1389</v>
      </c>
      <c r="F145" s="971" t="s">
        <v>176</v>
      </c>
      <c r="G145" s="971" t="s">
        <v>4505</v>
      </c>
      <c r="H145" s="971" t="s">
        <v>3491</v>
      </c>
      <c r="I145" s="1273" t="s">
        <v>6835</v>
      </c>
      <c r="J145" s="971" t="s">
        <v>2146</v>
      </c>
      <c r="K145" s="971" t="s">
        <v>2127</v>
      </c>
      <c r="L145" s="971" t="s">
        <v>2177</v>
      </c>
      <c r="M145" s="971" t="s">
        <v>2127</v>
      </c>
      <c r="N145" s="971" t="s">
        <v>176</v>
      </c>
      <c r="O145" s="971" t="s">
        <v>2177</v>
      </c>
      <c r="P145" s="971" t="s">
        <v>2292</v>
      </c>
      <c r="Q145" s="971" t="s">
        <v>6795</v>
      </c>
      <c r="R145" s="971" t="s">
        <v>4557</v>
      </c>
      <c r="S145" s="1274">
        <v>1</v>
      </c>
      <c r="T145" s="971" t="s">
        <v>242</v>
      </c>
      <c r="U145" s="1275">
        <v>10</v>
      </c>
      <c r="V145" s="1275">
        <v>45</v>
      </c>
      <c r="W145" s="1275">
        <v>999.13380952380965</v>
      </c>
      <c r="X145" s="1275">
        <v>450</v>
      </c>
      <c r="Y145" s="1275">
        <v>1494.1338095238098</v>
      </c>
      <c r="Z145" s="1129">
        <v>10</v>
      </c>
      <c r="AA145" s="1129">
        <v>45</v>
      </c>
      <c r="AB145" s="1129">
        <v>999.13380952380965</v>
      </c>
      <c r="AC145" s="1129">
        <v>450</v>
      </c>
      <c r="AD145" s="1098">
        <v>1494.1338095238098</v>
      </c>
      <c r="AE145" s="1237">
        <v>24</v>
      </c>
      <c r="AF145" s="1133">
        <v>24</v>
      </c>
      <c r="AG145" s="1127">
        <v>1</v>
      </c>
      <c r="AH145" s="1127">
        <v>0</v>
      </c>
      <c r="AI145" s="1127">
        <v>0</v>
      </c>
      <c r="AJ145" s="1127">
        <v>1</v>
      </c>
      <c r="AK145" s="1129">
        <v>1494.1338095238098</v>
      </c>
      <c r="AL145" s="1129">
        <v>0</v>
      </c>
      <c r="AM145" s="1129">
        <v>0</v>
      </c>
      <c r="AN145" s="1129">
        <v>1494.1338095238098</v>
      </c>
      <c r="AO145" s="1129" t="s">
        <v>85</v>
      </c>
      <c r="AP145" s="1129" t="s">
        <v>96</v>
      </c>
      <c r="AQ145" s="1157">
        <v>2014</v>
      </c>
      <c r="AR145" s="1129" t="s">
        <v>87</v>
      </c>
      <c r="AS145" s="1127">
        <v>0.33333333333333331</v>
      </c>
      <c r="AT145" s="1127"/>
      <c r="AU145" s="1127">
        <v>0.33333333333333331</v>
      </c>
      <c r="AV145" s="1127"/>
      <c r="AW145" s="1127"/>
      <c r="AX145" s="1127"/>
      <c r="AY145" s="1127"/>
      <c r="AZ145" s="1127">
        <v>0.33333333333333331</v>
      </c>
      <c r="BA145" s="1129">
        <v>498.04460317460325</v>
      </c>
      <c r="BB145" s="1129">
        <v>0</v>
      </c>
      <c r="BC145" s="1129">
        <v>498.04460317460325</v>
      </c>
      <c r="BD145" s="1129">
        <v>0</v>
      </c>
      <c r="BE145" s="1129">
        <v>0</v>
      </c>
      <c r="BF145" s="1129">
        <v>0</v>
      </c>
      <c r="BG145" s="1129">
        <v>0</v>
      </c>
      <c r="BH145" s="1129">
        <v>498.04460317460325</v>
      </c>
      <c r="BI145" s="971"/>
      <c r="BJ145" s="971"/>
      <c r="BK145" s="971"/>
      <c r="BL145" s="1246"/>
      <c r="BM145" s="1247" t="s">
        <v>2125</v>
      </c>
    </row>
    <row r="146" spans="1:65" s="1247" customFormat="1" ht="82.5" customHeight="1">
      <c r="A146" s="1272">
        <v>4000</v>
      </c>
      <c r="B146" s="971" t="s">
        <v>1316</v>
      </c>
      <c r="C146" s="1272">
        <v>4100</v>
      </c>
      <c r="D146" s="971" t="s">
        <v>120</v>
      </c>
      <c r="E146" s="971" t="s">
        <v>1389</v>
      </c>
      <c r="F146" s="971" t="s">
        <v>176</v>
      </c>
      <c r="G146" s="971" t="s">
        <v>4505</v>
      </c>
      <c r="H146" s="971" t="s">
        <v>3491</v>
      </c>
      <c r="I146" s="1273" t="s">
        <v>6836</v>
      </c>
      <c r="J146" s="971" t="s">
        <v>2146</v>
      </c>
      <c r="K146" s="971" t="s">
        <v>2125</v>
      </c>
      <c r="L146" s="971" t="s">
        <v>2126</v>
      </c>
      <c r="M146" s="971" t="s">
        <v>2125</v>
      </c>
      <c r="N146" s="971" t="s">
        <v>176</v>
      </c>
      <c r="O146" s="971" t="s">
        <v>2126</v>
      </c>
      <c r="P146" s="971" t="s">
        <v>6797</v>
      </c>
      <c r="Q146" s="971" t="s">
        <v>6806</v>
      </c>
      <c r="R146" s="971" t="s">
        <v>4558</v>
      </c>
      <c r="S146" s="1274">
        <v>1</v>
      </c>
      <c r="T146" s="971" t="s">
        <v>242</v>
      </c>
      <c r="U146" s="1275">
        <v>13</v>
      </c>
      <c r="V146" s="1275">
        <v>120</v>
      </c>
      <c r="W146" s="1275">
        <v>1298.8739523809525</v>
      </c>
      <c r="X146" s="1275">
        <v>1200</v>
      </c>
      <c r="Y146" s="1275">
        <v>2618.8739523809527</v>
      </c>
      <c r="Z146" s="1129">
        <v>13</v>
      </c>
      <c r="AA146" s="1129">
        <v>120</v>
      </c>
      <c r="AB146" s="1129">
        <v>1298.8739523809525</v>
      </c>
      <c r="AC146" s="1129">
        <v>1200</v>
      </c>
      <c r="AD146" s="1098">
        <v>2618.8739523809527</v>
      </c>
      <c r="AE146" s="1237">
        <v>96</v>
      </c>
      <c r="AF146" s="1133">
        <v>96</v>
      </c>
      <c r="AG146" s="1127">
        <v>1</v>
      </c>
      <c r="AH146" s="1127">
        <v>0</v>
      </c>
      <c r="AI146" s="1127">
        <v>0</v>
      </c>
      <c r="AJ146" s="1127">
        <v>1</v>
      </c>
      <c r="AK146" s="1129">
        <v>2618.8739523809527</v>
      </c>
      <c r="AL146" s="1129">
        <v>0</v>
      </c>
      <c r="AM146" s="1129">
        <v>0</v>
      </c>
      <c r="AN146" s="1129">
        <v>2618.8739523809527</v>
      </c>
      <c r="AO146" s="1129" t="s">
        <v>85</v>
      </c>
      <c r="AP146" s="1129" t="s">
        <v>96</v>
      </c>
      <c r="AQ146" s="1157">
        <v>2014</v>
      </c>
      <c r="AR146" s="1129" t="s">
        <v>87</v>
      </c>
      <c r="AS146" s="1127">
        <v>0.33333333333333331</v>
      </c>
      <c r="AT146" s="1127"/>
      <c r="AU146" s="1127">
        <v>0.33333333333333331</v>
      </c>
      <c r="AV146" s="1127"/>
      <c r="AW146" s="1127"/>
      <c r="AX146" s="1127"/>
      <c r="AY146" s="1127"/>
      <c r="AZ146" s="1127">
        <v>0.33333333333333331</v>
      </c>
      <c r="BA146" s="1129">
        <v>872.95798412698423</v>
      </c>
      <c r="BB146" s="1129">
        <v>0</v>
      </c>
      <c r="BC146" s="1129">
        <v>872.95798412698423</v>
      </c>
      <c r="BD146" s="1129">
        <v>0</v>
      </c>
      <c r="BE146" s="1129">
        <v>0</v>
      </c>
      <c r="BF146" s="1129">
        <v>0</v>
      </c>
      <c r="BG146" s="1129">
        <v>0</v>
      </c>
      <c r="BH146" s="1129">
        <v>872.95798412698423</v>
      </c>
      <c r="BI146" s="971"/>
      <c r="BJ146" s="971"/>
      <c r="BK146" s="971"/>
      <c r="BL146" s="1246"/>
      <c r="BM146" s="1247" t="s">
        <v>2125</v>
      </c>
    </row>
    <row r="147" spans="1:65" s="1247" customFormat="1" ht="99" customHeight="1">
      <c r="A147" s="1272">
        <v>4000</v>
      </c>
      <c r="B147" s="971" t="s">
        <v>1316</v>
      </c>
      <c r="C147" s="1272">
        <v>4100</v>
      </c>
      <c r="D147" s="971" t="s">
        <v>120</v>
      </c>
      <c r="E147" s="971" t="s">
        <v>1389</v>
      </c>
      <c r="F147" s="971" t="s">
        <v>176</v>
      </c>
      <c r="G147" s="971" t="s">
        <v>4505</v>
      </c>
      <c r="H147" s="971" t="s">
        <v>3491</v>
      </c>
      <c r="I147" s="1273" t="s">
        <v>6837</v>
      </c>
      <c r="J147" s="971" t="s">
        <v>2146</v>
      </c>
      <c r="K147" s="971" t="s">
        <v>2125</v>
      </c>
      <c r="L147" s="971" t="s">
        <v>2126</v>
      </c>
      <c r="M147" s="971" t="s">
        <v>2125</v>
      </c>
      <c r="N147" s="971" t="s">
        <v>176</v>
      </c>
      <c r="O147" s="971" t="s">
        <v>2126</v>
      </c>
      <c r="P147" s="971" t="s">
        <v>6797</v>
      </c>
      <c r="Q147" s="971" t="s">
        <v>6806</v>
      </c>
      <c r="R147" s="971" t="s">
        <v>4559</v>
      </c>
      <c r="S147" s="1274">
        <v>1</v>
      </c>
      <c r="T147" s="971" t="s">
        <v>242</v>
      </c>
      <c r="U147" s="1275">
        <v>13</v>
      </c>
      <c r="V147" s="1275">
        <v>120</v>
      </c>
      <c r="W147" s="1275">
        <v>1298.8739523809525</v>
      </c>
      <c r="X147" s="1275">
        <v>1200</v>
      </c>
      <c r="Y147" s="1275">
        <v>2618.8739523809527</v>
      </c>
      <c r="Z147" s="1129">
        <v>13</v>
      </c>
      <c r="AA147" s="1129">
        <v>120</v>
      </c>
      <c r="AB147" s="1129">
        <v>1298.8739523809525</v>
      </c>
      <c r="AC147" s="1129">
        <v>1200</v>
      </c>
      <c r="AD147" s="1098">
        <v>2618.8739523809527</v>
      </c>
      <c r="AE147" s="1237">
        <v>96</v>
      </c>
      <c r="AF147" s="1133">
        <v>96</v>
      </c>
      <c r="AG147" s="1127">
        <v>1</v>
      </c>
      <c r="AH147" s="1127">
        <v>0</v>
      </c>
      <c r="AI147" s="1127">
        <v>0</v>
      </c>
      <c r="AJ147" s="1127">
        <v>1</v>
      </c>
      <c r="AK147" s="1129">
        <v>2618.8739523809527</v>
      </c>
      <c r="AL147" s="1129">
        <v>0</v>
      </c>
      <c r="AM147" s="1129">
        <v>0</v>
      </c>
      <c r="AN147" s="1129">
        <v>2618.8739523809527</v>
      </c>
      <c r="AO147" s="1129" t="s">
        <v>85</v>
      </c>
      <c r="AP147" s="1129" t="s">
        <v>96</v>
      </c>
      <c r="AQ147" s="1157">
        <v>2014</v>
      </c>
      <c r="AR147" s="1129" t="s">
        <v>87</v>
      </c>
      <c r="AS147" s="1127">
        <v>0.33333333333333331</v>
      </c>
      <c r="AT147" s="1127"/>
      <c r="AU147" s="1127">
        <v>0.33333333333333331</v>
      </c>
      <c r="AV147" s="1127"/>
      <c r="AW147" s="1127"/>
      <c r="AX147" s="1127"/>
      <c r="AY147" s="1127"/>
      <c r="AZ147" s="1127">
        <v>0.33333333333333331</v>
      </c>
      <c r="BA147" s="1129">
        <v>872.95798412698423</v>
      </c>
      <c r="BB147" s="1129">
        <v>0</v>
      </c>
      <c r="BC147" s="1129">
        <v>872.95798412698423</v>
      </c>
      <c r="BD147" s="1129">
        <v>0</v>
      </c>
      <c r="BE147" s="1129">
        <v>0</v>
      </c>
      <c r="BF147" s="1129">
        <v>0</v>
      </c>
      <c r="BG147" s="1129">
        <v>0</v>
      </c>
      <c r="BH147" s="1129">
        <v>872.95798412698423</v>
      </c>
      <c r="BI147" s="971"/>
      <c r="BJ147" s="971"/>
      <c r="BK147" s="971"/>
      <c r="BL147" s="1246"/>
      <c r="BM147" s="1247" t="s">
        <v>2127</v>
      </c>
    </row>
    <row r="148" spans="1:65" s="1247" customFormat="1" ht="82.5" customHeight="1">
      <c r="A148" s="1272">
        <v>4000</v>
      </c>
      <c r="B148" s="971" t="s">
        <v>1316</v>
      </c>
      <c r="C148" s="1272">
        <v>4100</v>
      </c>
      <c r="D148" s="971" t="s">
        <v>120</v>
      </c>
      <c r="E148" s="971" t="s">
        <v>1389</v>
      </c>
      <c r="F148" s="971" t="s">
        <v>176</v>
      </c>
      <c r="G148" s="971" t="s">
        <v>4505</v>
      </c>
      <c r="H148" s="971" t="s">
        <v>3491</v>
      </c>
      <c r="I148" s="1273" t="s">
        <v>6838</v>
      </c>
      <c r="J148" s="971" t="s">
        <v>2146</v>
      </c>
      <c r="K148" s="971" t="s">
        <v>2127</v>
      </c>
      <c r="L148" s="971" t="s">
        <v>2177</v>
      </c>
      <c r="M148" s="971" t="s">
        <v>2127</v>
      </c>
      <c r="N148" s="971" t="s">
        <v>176</v>
      </c>
      <c r="O148" s="971" t="s">
        <v>2177</v>
      </c>
      <c r="P148" s="971" t="s">
        <v>2292</v>
      </c>
      <c r="Q148" s="971" t="s">
        <v>6795</v>
      </c>
      <c r="R148" s="971" t="s">
        <v>4560</v>
      </c>
      <c r="S148" s="1274">
        <v>1</v>
      </c>
      <c r="T148" s="971" t="s">
        <v>242</v>
      </c>
      <c r="U148" s="1275">
        <v>10</v>
      </c>
      <c r="V148" s="1275">
        <v>45</v>
      </c>
      <c r="W148" s="1275">
        <v>999.13380952380965</v>
      </c>
      <c r="X148" s="1275">
        <v>450</v>
      </c>
      <c r="Y148" s="1275">
        <v>1494.1338095238098</v>
      </c>
      <c r="Z148" s="1129">
        <v>10</v>
      </c>
      <c r="AA148" s="1129">
        <v>45</v>
      </c>
      <c r="AB148" s="1129">
        <v>999.13380952380965</v>
      </c>
      <c r="AC148" s="1129">
        <v>450</v>
      </c>
      <c r="AD148" s="1098">
        <v>1494.1338095238098</v>
      </c>
      <c r="AE148" s="1237">
        <v>24</v>
      </c>
      <c r="AF148" s="1133">
        <v>24</v>
      </c>
      <c r="AG148" s="1127">
        <v>1</v>
      </c>
      <c r="AH148" s="1127">
        <v>0</v>
      </c>
      <c r="AI148" s="1127">
        <v>0</v>
      </c>
      <c r="AJ148" s="1127">
        <v>1</v>
      </c>
      <c r="AK148" s="1129">
        <v>1494.1338095238098</v>
      </c>
      <c r="AL148" s="1129">
        <v>0</v>
      </c>
      <c r="AM148" s="1129">
        <v>0</v>
      </c>
      <c r="AN148" s="1129">
        <v>1494.1338095238098</v>
      </c>
      <c r="AO148" s="1129" t="s">
        <v>85</v>
      </c>
      <c r="AP148" s="1129" t="s">
        <v>96</v>
      </c>
      <c r="AQ148" s="1157">
        <v>2014</v>
      </c>
      <c r="AR148" s="1129" t="s">
        <v>87</v>
      </c>
      <c r="AS148" s="1127">
        <v>0.33333333333333331</v>
      </c>
      <c r="AT148" s="1127"/>
      <c r="AU148" s="1127">
        <v>0.33333333333333331</v>
      </c>
      <c r="AV148" s="1127"/>
      <c r="AW148" s="1127"/>
      <c r="AX148" s="1127"/>
      <c r="AY148" s="1127"/>
      <c r="AZ148" s="1127">
        <v>0.33333333333333331</v>
      </c>
      <c r="BA148" s="1129">
        <v>498.04460317460325</v>
      </c>
      <c r="BB148" s="1129">
        <v>0</v>
      </c>
      <c r="BC148" s="1129">
        <v>498.04460317460325</v>
      </c>
      <c r="BD148" s="1129">
        <v>0</v>
      </c>
      <c r="BE148" s="1129">
        <v>0</v>
      </c>
      <c r="BF148" s="1129">
        <v>0</v>
      </c>
      <c r="BG148" s="1129">
        <v>0</v>
      </c>
      <c r="BH148" s="1129">
        <v>498.04460317460325</v>
      </c>
      <c r="BI148" s="971"/>
      <c r="BJ148" s="971"/>
      <c r="BK148" s="971"/>
      <c r="BL148" s="1246"/>
      <c r="BM148" s="1247" t="s">
        <v>2125</v>
      </c>
    </row>
    <row r="149" spans="1:65" s="1247" customFormat="1" ht="82.5" customHeight="1">
      <c r="A149" s="1272">
        <v>4000</v>
      </c>
      <c r="B149" s="971" t="s">
        <v>1316</v>
      </c>
      <c r="C149" s="1272">
        <v>4100</v>
      </c>
      <c r="D149" s="971" t="s">
        <v>120</v>
      </c>
      <c r="E149" s="971" t="s">
        <v>1389</v>
      </c>
      <c r="F149" s="971" t="s">
        <v>176</v>
      </c>
      <c r="G149" s="971" t="s">
        <v>4505</v>
      </c>
      <c r="H149" s="971" t="s">
        <v>3491</v>
      </c>
      <c r="I149" s="1273" t="s">
        <v>6839</v>
      </c>
      <c r="J149" s="971" t="s">
        <v>2146</v>
      </c>
      <c r="K149" s="971" t="s">
        <v>2125</v>
      </c>
      <c r="L149" s="971" t="s">
        <v>2126</v>
      </c>
      <c r="M149" s="971" t="s">
        <v>2125</v>
      </c>
      <c r="N149" s="971" t="s">
        <v>176</v>
      </c>
      <c r="O149" s="971" t="s">
        <v>2126</v>
      </c>
      <c r="P149" s="971" t="s">
        <v>6797</v>
      </c>
      <c r="Q149" s="971" t="s">
        <v>6806</v>
      </c>
      <c r="R149" s="971" t="s">
        <v>4561</v>
      </c>
      <c r="S149" s="1274">
        <v>1</v>
      </c>
      <c r="T149" s="971" t="s">
        <v>242</v>
      </c>
      <c r="U149" s="1275">
        <v>13</v>
      </c>
      <c r="V149" s="1275">
        <v>120</v>
      </c>
      <c r="W149" s="1275">
        <v>1298.8739523809525</v>
      </c>
      <c r="X149" s="1275">
        <v>1200</v>
      </c>
      <c r="Y149" s="1275">
        <v>2618.8739523809527</v>
      </c>
      <c r="Z149" s="1129">
        <v>13</v>
      </c>
      <c r="AA149" s="1129">
        <v>120</v>
      </c>
      <c r="AB149" s="1129">
        <v>1298.8739523809525</v>
      </c>
      <c r="AC149" s="1129">
        <v>1200</v>
      </c>
      <c r="AD149" s="1098">
        <v>2618.8739523809527</v>
      </c>
      <c r="AE149" s="1237">
        <v>96</v>
      </c>
      <c r="AF149" s="1133">
        <v>96</v>
      </c>
      <c r="AG149" s="1127">
        <v>1</v>
      </c>
      <c r="AH149" s="1127">
        <v>0</v>
      </c>
      <c r="AI149" s="1127">
        <v>0</v>
      </c>
      <c r="AJ149" s="1127">
        <v>1</v>
      </c>
      <c r="AK149" s="1129">
        <v>2618.8739523809527</v>
      </c>
      <c r="AL149" s="1129">
        <v>0</v>
      </c>
      <c r="AM149" s="1129">
        <v>0</v>
      </c>
      <c r="AN149" s="1129">
        <v>2618.8739523809527</v>
      </c>
      <c r="AO149" s="1129" t="s">
        <v>85</v>
      </c>
      <c r="AP149" s="1129" t="s">
        <v>96</v>
      </c>
      <c r="AQ149" s="1157">
        <v>2014</v>
      </c>
      <c r="AR149" s="1129" t="s">
        <v>87</v>
      </c>
      <c r="AS149" s="1127">
        <v>0.33333333333333331</v>
      </c>
      <c r="AT149" s="1127"/>
      <c r="AU149" s="1127">
        <v>0.33333333333333331</v>
      </c>
      <c r="AV149" s="1127"/>
      <c r="AW149" s="1127"/>
      <c r="AX149" s="1127"/>
      <c r="AY149" s="1127"/>
      <c r="AZ149" s="1127">
        <v>0.33333333333333331</v>
      </c>
      <c r="BA149" s="1129">
        <v>872.95798412698423</v>
      </c>
      <c r="BB149" s="1129">
        <v>0</v>
      </c>
      <c r="BC149" s="1129">
        <v>872.95798412698423</v>
      </c>
      <c r="BD149" s="1129">
        <v>0</v>
      </c>
      <c r="BE149" s="1129">
        <v>0</v>
      </c>
      <c r="BF149" s="1129">
        <v>0</v>
      </c>
      <c r="BG149" s="1129">
        <v>0</v>
      </c>
      <c r="BH149" s="1129">
        <v>872.95798412698423</v>
      </c>
      <c r="BI149" s="971"/>
      <c r="BJ149" s="971"/>
      <c r="BK149" s="971"/>
      <c r="BL149" s="1246"/>
      <c r="BM149" s="1247" t="s">
        <v>2125</v>
      </c>
    </row>
    <row r="150" spans="1:65" s="1247" customFormat="1" ht="99" customHeight="1">
      <c r="A150" s="1272">
        <v>4000</v>
      </c>
      <c r="B150" s="971" t="s">
        <v>1316</v>
      </c>
      <c r="C150" s="1272">
        <v>4100</v>
      </c>
      <c r="D150" s="971" t="s">
        <v>120</v>
      </c>
      <c r="E150" s="971" t="s">
        <v>1389</v>
      </c>
      <c r="F150" s="971" t="s">
        <v>176</v>
      </c>
      <c r="G150" s="971" t="s">
        <v>4505</v>
      </c>
      <c r="H150" s="971" t="s">
        <v>3491</v>
      </c>
      <c r="I150" s="1273" t="s">
        <v>6840</v>
      </c>
      <c r="J150" s="971" t="s">
        <v>2146</v>
      </c>
      <c r="K150" s="971" t="s">
        <v>2125</v>
      </c>
      <c r="L150" s="971" t="s">
        <v>2126</v>
      </c>
      <c r="M150" s="971" t="s">
        <v>2125</v>
      </c>
      <c r="N150" s="971" t="s">
        <v>176</v>
      </c>
      <c r="O150" s="971" t="s">
        <v>2126</v>
      </c>
      <c r="P150" s="971" t="s">
        <v>6797</v>
      </c>
      <c r="Q150" s="971" t="s">
        <v>6806</v>
      </c>
      <c r="R150" s="971" t="s">
        <v>4562</v>
      </c>
      <c r="S150" s="1274">
        <v>1</v>
      </c>
      <c r="T150" s="971" t="s">
        <v>242</v>
      </c>
      <c r="U150" s="1275">
        <v>13</v>
      </c>
      <c r="V150" s="1275">
        <v>120</v>
      </c>
      <c r="W150" s="1275">
        <v>1298.8739523809525</v>
      </c>
      <c r="X150" s="1275">
        <v>1200</v>
      </c>
      <c r="Y150" s="1275">
        <v>2618.8739523809527</v>
      </c>
      <c r="Z150" s="1129">
        <v>13</v>
      </c>
      <c r="AA150" s="1129">
        <v>120</v>
      </c>
      <c r="AB150" s="1129">
        <v>1298.8739523809525</v>
      </c>
      <c r="AC150" s="1129">
        <v>1200</v>
      </c>
      <c r="AD150" s="1098">
        <v>2618.8739523809527</v>
      </c>
      <c r="AE150" s="1237">
        <v>96</v>
      </c>
      <c r="AF150" s="1133">
        <v>96</v>
      </c>
      <c r="AG150" s="1127">
        <v>1</v>
      </c>
      <c r="AH150" s="1127">
        <v>0</v>
      </c>
      <c r="AI150" s="1127">
        <v>0</v>
      </c>
      <c r="AJ150" s="1127">
        <v>1</v>
      </c>
      <c r="AK150" s="1129">
        <v>2618.8739523809527</v>
      </c>
      <c r="AL150" s="1129">
        <v>0</v>
      </c>
      <c r="AM150" s="1129">
        <v>0</v>
      </c>
      <c r="AN150" s="1129">
        <v>2618.8739523809527</v>
      </c>
      <c r="AO150" s="1129" t="s">
        <v>85</v>
      </c>
      <c r="AP150" s="1129" t="s">
        <v>96</v>
      </c>
      <c r="AQ150" s="1157">
        <v>2014</v>
      </c>
      <c r="AR150" s="1129" t="s">
        <v>87</v>
      </c>
      <c r="AS150" s="1127">
        <v>0.33333333333333331</v>
      </c>
      <c r="AT150" s="1127"/>
      <c r="AU150" s="1127">
        <v>0.33333333333333331</v>
      </c>
      <c r="AV150" s="1127"/>
      <c r="AW150" s="1127"/>
      <c r="AX150" s="1127"/>
      <c r="AY150" s="1127"/>
      <c r="AZ150" s="1127">
        <v>0.33333333333333331</v>
      </c>
      <c r="BA150" s="1129">
        <v>872.95798412698423</v>
      </c>
      <c r="BB150" s="1129">
        <v>0</v>
      </c>
      <c r="BC150" s="1129">
        <v>872.95798412698423</v>
      </c>
      <c r="BD150" s="1129">
        <v>0</v>
      </c>
      <c r="BE150" s="1129">
        <v>0</v>
      </c>
      <c r="BF150" s="1129">
        <v>0</v>
      </c>
      <c r="BG150" s="1129">
        <v>0</v>
      </c>
      <c r="BH150" s="1129">
        <v>872.95798412698423</v>
      </c>
      <c r="BI150" s="971"/>
      <c r="BJ150" s="971"/>
      <c r="BK150" s="971"/>
      <c r="BL150" s="1246"/>
      <c r="BM150" s="1247" t="s">
        <v>2127</v>
      </c>
    </row>
    <row r="151" spans="1:65" s="1247" customFormat="1" ht="82.5" customHeight="1">
      <c r="A151" s="1272">
        <v>4000</v>
      </c>
      <c r="B151" s="971" t="s">
        <v>1316</v>
      </c>
      <c r="C151" s="1272">
        <v>4100</v>
      </c>
      <c r="D151" s="971" t="s">
        <v>120</v>
      </c>
      <c r="E151" s="971" t="s">
        <v>1389</v>
      </c>
      <c r="F151" s="971" t="s">
        <v>176</v>
      </c>
      <c r="G151" s="971" t="s">
        <v>4505</v>
      </c>
      <c r="H151" s="971" t="s">
        <v>3491</v>
      </c>
      <c r="I151" s="1273" t="s">
        <v>6841</v>
      </c>
      <c r="J151" s="971" t="s">
        <v>2146</v>
      </c>
      <c r="K151" s="971" t="s">
        <v>2127</v>
      </c>
      <c r="L151" s="971" t="s">
        <v>2177</v>
      </c>
      <c r="M151" s="971" t="s">
        <v>2127</v>
      </c>
      <c r="N151" s="971" t="s">
        <v>176</v>
      </c>
      <c r="O151" s="971" t="s">
        <v>2177</v>
      </c>
      <c r="P151" s="971" t="s">
        <v>2292</v>
      </c>
      <c r="Q151" s="971" t="s">
        <v>6795</v>
      </c>
      <c r="R151" s="971" t="s">
        <v>4563</v>
      </c>
      <c r="S151" s="1274">
        <v>1</v>
      </c>
      <c r="T151" s="971" t="s">
        <v>242</v>
      </c>
      <c r="U151" s="1275">
        <v>10</v>
      </c>
      <c r="V151" s="1275">
        <v>45</v>
      </c>
      <c r="W151" s="1275">
        <v>999.13380952380965</v>
      </c>
      <c r="X151" s="1275">
        <v>450</v>
      </c>
      <c r="Y151" s="1275">
        <v>1494.1338095238098</v>
      </c>
      <c r="Z151" s="1129">
        <v>10</v>
      </c>
      <c r="AA151" s="1129">
        <v>45</v>
      </c>
      <c r="AB151" s="1129">
        <v>999.13380952380965</v>
      </c>
      <c r="AC151" s="1129">
        <v>450</v>
      </c>
      <c r="AD151" s="1098">
        <v>1494.1338095238098</v>
      </c>
      <c r="AE151" s="1237">
        <v>24</v>
      </c>
      <c r="AF151" s="1133">
        <v>24</v>
      </c>
      <c r="AG151" s="1127">
        <v>1</v>
      </c>
      <c r="AH151" s="1127">
        <v>0</v>
      </c>
      <c r="AI151" s="1127">
        <v>0</v>
      </c>
      <c r="AJ151" s="1127">
        <v>1</v>
      </c>
      <c r="AK151" s="1129">
        <v>1494.1338095238098</v>
      </c>
      <c r="AL151" s="1129">
        <v>0</v>
      </c>
      <c r="AM151" s="1129">
        <v>0</v>
      </c>
      <c r="AN151" s="1129">
        <v>1494.1338095238098</v>
      </c>
      <c r="AO151" s="1129" t="s">
        <v>85</v>
      </c>
      <c r="AP151" s="1129" t="s">
        <v>96</v>
      </c>
      <c r="AQ151" s="1157">
        <v>2014</v>
      </c>
      <c r="AR151" s="1129" t="s">
        <v>87</v>
      </c>
      <c r="AS151" s="1127">
        <v>0.33333333333333331</v>
      </c>
      <c r="AT151" s="1127"/>
      <c r="AU151" s="1127">
        <v>0.33333333333333331</v>
      </c>
      <c r="AV151" s="1127"/>
      <c r="AW151" s="1127"/>
      <c r="AX151" s="1127"/>
      <c r="AY151" s="1127"/>
      <c r="AZ151" s="1127">
        <v>0.33333333333333331</v>
      </c>
      <c r="BA151" s="1129">
        <v>498.04460317460325</v>
      </c>
      <c r="BB151" s="1129">
        <v>0</v>
      </c>
      <c r="BC151" s="1129">
        <v>498.04460317460325</v>
      </c>
      <c r="BD151" s="1129">
        <v>0</v>
      </c>
      <c r="BE151" s="1129">
        <v>0</v>
      </c>
      <c r="BF151" s="1129">
        <v>0</v>
      </c>
      <c r="BG151" s="1129">
        <v>0</v>
      </c>
      <c r="BH151" s="1129">
        <v>498.04460317460325</v>
      </c>
      <c r="BI151" s="971"/>
      <c r="BJ151" s="971"/>
      <c r="BK151" s="971"/>
      <c r="BL151" s="1246"/>
      <c r="BM151" s="1247" t="s">
        <v>2125</v>
      </c>
    </row>
    <row r="152" spans="1:65" s="1247" customFormat="1" ht="82.5" customHeight="1">
      <c r="A152" s="1272">
        <v>4000</v>
      </c>
      <c r="B152" s="971" t="s">
        <v>1316</v>
      </c>
      <c r="C152" s="1272">
        <v>4100</v>
      </c>
      <c r="D152" s="971" t="s">
        <v>120</v>
      </c>
      <c r="E152" s="971" t="s">
        <v>1389</v>
      </c>
      <c r="F152" s="971" t="s">
        <v>176</v>
      </c>
      <c r="G152" s="971" t="s">
        <v>4505</v>
      </c>
      <c r="H152" s="971" t="s">
        <v>3491</v>
      </c>
      <c r="I152" s="1273" t="s">
        <v>6842</v>
      </c>
      <c r="J152" s="971" t="s">
        <v>2146</v>
      </c>
      <c r="K152" s="971" t="s">
        <v>2125</v>
      </c>
      <c r="L152" s="971" t="s">
        <v>2126</v>
      </c>
      <c r="M152" s="971" t="s">
        <v>2125</v>
      </c>
      <c r="N152" s="971" t="s">
        <v>176</v>
      </c>
      <c r="O152" s="971" t="s">
        <v>2126</v>
      </c>
      <c r="P152" s="971" t="s">
        <v>6797</v>
      </c>
      <c r="Q152" s="971" t="s">
        <v>6806</v>
      </c>
      <c r="R152" s="971" t="s">
        <v>4564</v>
      </c>
      <c r="S152" s="1274">
        <v>1</v>
      </c>
      <c r="T152" s="971" t="s">
        <v>242</v>
      </c>
      <c r="U152" s="1275">
        <v>13</v>
      </c>
      <c r="V152" s="1275">
        <v>120</v>
      </c>
      <c r="W152" s="1275">
        <v>1298.8739523809525</v>
      </c>
      <c r="X152" s="1275">
        <v>1200</v>
      </c>
      <c r="Y152" s="1275">
        <v>2618.8739523809527</v>
      </c>
      <c r="Z152" s="1129">
        <v>13</v>
      </c>
      <c r="AA152" s="1129">
        <v>120</v>
      </c>
      <c r="AB152" s="1129">
        <v>1298.8739523809525</v>
      </c>
      <c r="AC152" s="1129">
        <v>1200</v>
      </c>
      <c r="AD152" s="1098">
        <v>2618.8739523809527</v>
      </c>
      <c r="AE152" s="1237">
        <v>96</v>
      </c>
      <c r="AF152" s="1133">
        <v>96</v>
      </c>
      <c r="AG152" s="1127">
        <v>1</v>
      </c>
      <c r="AH152" s="1127">
        <v>0</v>
      </c>
      <c r="AI152" s="1127">
        <v>0</v>
      </c>
      <c r="AJ152" s="1127">
        <v>1</v>
      </c>
      <c r="AK152" s="1129">
        <v>2618.8739523809527</v>
      </c>
      <c r="AL152" s="1129">
        <v>0</v>
      </c>
      <c r="AM152" s="1129">
        <v>0</v>
      </c>
      <c r="AN152" s="1129">
        <v>2618.8739523809527</v>
      </c>
      <c r="AO152" s="1129" t="s">
        <v>85</v>
      </c>
      <c r="AP152" s="1129" t="s">
        <v>96</v>
      </c>
      <c r="AQ152" s="1157">
        <v>2014</v>
      </c>
      <c r="AR152" s="1129" t="s">
        <v>87</v>
      </c>
      <c r="AS152" s="1127">
        <v>0.33333333333333331</v>
      </c>
      <c r="AT152" s="1127"/>
      <c r="AU152" s="1127">
        <v>0.33333333333333331</v>
      </c>
      <c r="AV152" s="1127"/>
      <c r="AW152" s="1127"/>
      <c r="AX152" s="1127"/>
      <c r="AY152" s="1127"/>
      <c r="AZ152" s="1127">
        <v>0.33333333333333331</v>
      </c>
      <c r="BA152" s="1129">
        <v>872.95798412698423</v>
      </c>
      <c r="BB152" s="1129">
        <v>0</v>
      </c>
      <c r="BC152" s="1129">
        <v>872.95798412698423</v>
      </c>
      <c r="BD152" s="1129">
        <v>0</v>
      </c>
      <c r="BE152" s="1129">
        <v>0</v>
      </c>
      <c r="BF152" s="1129">
        <v>0</v>
      </c>
      <c r="BG152" s="1129">
        <v>0</v>
      </c>
      <c r="BH152" s="1129">
        <v>872.95798412698423</v>
      </c>
      <c r="BI152" s="971"/>
      <c r="BJ152" s="971"/>
      <c r="BK152" s="971"/>
      <c r="BL152" s="1246"/>
      <c r="BM152" s="1247" t="s">
        <v>2125</v>
      </c>
    </row>
    <row r="153" spans="1:65" s="1247" customFormat="1" ht="99" customHeight="1">
      <c r="A153" s="1272">
        <v>4000</v>
      </c>
      <c r="B153" s="971" t="s">
        <v>1316</v>
      </c>
      <c r="C153" s="1272">
        <v>4100</v>
      </c>
      <c r="D153" s="971" t="s">
        <v>120</v>
      </c>
      <c r="E153" s="971" t="s">
        <v>1389</v>
      </c>
      <c r="F153" s="971" t="s">
        <v>176</v>
      </c>
      <c r="G153" s="971" t="s">
        <v>4505</v>
      </c>
      <c r="H153" s="971" t="s">
        <v>3491</v>
      </c>
      <c r="I153" s="1273" t="s">
        <v>6843</v>
      </c>
      <c r="J153" s="971" t="s">
        <v>2146</v>
      </c>
      <c r="K153" s="971" t="s">
        <v>2125</v>
      </c>
      <c r="L153" s="971" t="s">
        <v>2126</v>
      </c>
      <c r="M153" s="971" t="s">
        <v>2125</v>
      </c>
      <c r="N153" s="971" t="s">
        <v>176</v>
      </c>
      <c r="O153" s="971" t="s">
        <v>2126</v>
      </c>
      <c r="P153" s="971" t="s">
        <v>6797</v>
      </c>
      <c r="Q153" s="971" t="s">
        <v>6806</v>
      </c>
      <c r="R153" s="971" t="s">
        <v>4565</v>
      </c>
      <c r="S153" s="1274">
        <v>1</v>
      </c>
      <c r="T153" s="971" t="s">
        <v>242</v>
      </c>
      <c r="U153" s="1275">
        <v>13</v>
      </c>
      <c r="V153" s="1275">
        <v>120</v>
      </c>
      <c r="W153" s="1275">
        <v>1298.8739523809525</v>
      </c>
      <c r="X153" s="1275">
        <v>1200</v>
      </c>
      <c r="Y153" s="1275">
        <v>2618.8739523809527</v>
      </c>
      <c r="Z153" s="1129">
        <v>13</v>
      </c>
      <c r="AA153" s="1129">
        <v>120</v>
      </c>
      <c r="AB153" s="1129">
        <v>1298.8739523809525</v>
      </c>
      <c r="AC153" s="1129">
        <v>1200</v>
      </c>
      <c r="AD153" s="1098">
        <v>2618.8739523809527</v>
      </c>
      <c r="AE153" s="1237">
        <v>96</v>
      </c>
      <c r="AF153" s="1133">
        <v>96</v>
      </c>
      <c r="AG153" s="1127">
        <v>1</v>
      </c>
      <c r="AH153" s="1127">
        <v>0</v>
      </c>
      <c r="AI153" s="1127">
        <v>0</v>
      </c>
      <c r="AJ153" s="1127">
        <v>1</v>
      </c>
      <c r="AK153" s="1129">
        <v>2618.8739523809527</v>
      </c>
      <c r="AL153" s="1129">
        <v>0</v>
      </c>
      <c r="AM153" s="1129">
        <v>0</v>
      </c>
      <c r="AN153" s="1129">
        <v>2618.8739523809527</v>
      </c>
      <c r="AO153" s="1129" t="s">
        <v>85</v>
      </c>
      <c r="AP153" s="1129" t="s">
        <v>96</v>
      </c>
      <c r="AQ153" s="1157">
        <v>2014</v>
      </c>
      <c r="AR153" s="1129" t="s">
        <v>87</v>
      </c>
      <c r="AS153" s="1127">
        <v>0.33333333333333331</v>
      </c>
      <c r="AT153" s="1127"/>
      <c r="AU153" s="1127">
        <v>0.33333333333333331</v>
      </c>
      <c r="AV153" s="1127"/>
      <c r="AW153" s="1127"/>
      <c r="AX153" s="1127"/>
      <c r="AY153" s="1127"/>
      <c r="AZ153" s="1127">
        <v>0.33333333333333331</v>
      </c>
      <c r="BA153" s="1129">
        <v>872.95798412698423</v>
      </c>
      <c r="BB153" s="1129">
        <v>0</v>
      </c>
      <c r="BC153" s="1129">
        <v>872.95798412698423</v>
      </c>
      <c r="BD153" s="1129">
        <v>0</v>
      </c>
      <c r="BE153" s="1129">
        <v>0</v>
      </c>
      <c r="BF153" s="1129">
        <v>0</v>
      </c>
      <c r="BG153" s="1129">
        <v>0</v>
      </c>
      <c r="BH153" s="1129">
        <v>872.95798412698423</v>
      </c>
      <c r="BI153" s="971"/>
      <c r="BJ153" s="971"/>
      <c r="BK153" s="971"/>
      <c r="BL153" s="1246"/>
      <c r="BM153" s="1247" t="s">
        <v>2127</v>
      </c>
    </row>
    <row r="154" spans="1:65" s="1247" customFormat="1" ht="82.5" customHeight="1">
      <c r="A154" s="1272">
        <v>4000</v>
      </c>
      <c r="B154" s="971" t="s">
        <v>1316</v>
      </c>
      <c r="C154" s="1272">
        <v>4100</v>
      </c>
      <c r="D154" s="971" t="s">
        <v>120</v>
      </c>
      <c r="E154" s="971" t="s">
        <v>1389</v>
      </c>
      <c r="F154" s="971" t="s">
        <v>176</v>
      </c>
      <c r="G154" s="971" t="s">
        <v>4505</v>
      </c>
      <c r="H154" s="971" t="s">
        <v>3491</v>
      </c>
      <c r="I154" s="1273" t="s">
        <v>6844</v>
      </c>
      <c r="J154" s="971" t="s">
        <v>2146</v>
      </c>
      <c r="K154" s="971" t="s">
        <v>2127</v>
      </c>
      <c r="L154" s="971" t="s">
        <v>2177</v>
      </c>
      <c r="M154" s="971" t="s">
        <v>2127</v>
      </c>
      <c r="N154" s="971" t="s">
        <v>176</v>
      </c>
      <c r="O154" s="971" t="s">
        <v>2177</v>
      </c>
      <c r="P154" s="971" t="s">
        <v>2292</v>
      </c>
      <c r="Q154" s="971" t="s">
        <v>6795</v>
      </c>
      <c r="R154" s="971" t="s">
        <v>4566</v>
      </c>
      <c r="S154" s="1274">
        <v>1</v>
      </c>
      <c r="T154" s="971" t="s">
        <v>242</v>
      </c>
      <c r="U154" s="1275">
        <v>10</v>
      </c>
      <c r="V154" s="1275">
        <v>45</v>
      </c>
      <c r="W154" s="1275">
        <v>999.13380952380965</v>
      </c>
      <c r="X154" s="1275">
        <v>450</v>
      </c>
      <c r="Y154" s="1275">
        <v>1494.1338095238098</v>
      </c>
      <c r="Z154" s="1129">
        <v>10</v>
      </c>
      <c r="AA154" s="1129">
        <v>45</v>
      </c>
      <c r="AB154" s="1129">
        <v>999.13380952380965</v>
      </c>
      <c r="AC154" s="1129">
        <v>450</v>
      </c>
      <c r="AD154" s="1098">
        <v>1494.1338095238098</v>
      </c>
      <c r="AE154" s="1237">
        <v>24</v>
      </c>
      <c r="AF154" s="1133">
        <v>24</v>
      </c>
      <c r="AG154" s="1127">
        <v>1</v>
      </c>
      <c r="AH154" s="1127">
        <v>0</v>
      </c>
      <c r="AI154" s="1127">
        <v>0</v>
      </c>
      <c r="AJ154" s="1127">
        <v>1</v>
      </c>
      <c r="AK154" s="1129">
        <v>1494.1338095238098</v>
      </c>
      <c r="AL154" s="1129">
        <v>0</v>
      </c>
      <c r="AM154" s="1129">
        <v>0</v>
      </c>
      <c r="AN154" s="1129">
        <v>1494.1338095238098</v>
      </c>
      <c r="AO154" s="1129" t="s">
        <v>85</v>
      </c>
      <c r="AP154" s="1129" t="s">
        <v>96</v>
      </c>
      <c r="AQ154" s="1157">
        <v>2014</v>
      </c>
      <c r="AR154" s="1129" t="s">
        <v>87</v>
      </c>
      <c r="AS154" s="1127">
        <v>0.33333333333333331</v>
      </c>
      <c r="AT154" s="1127"/>
      <c r="AU154" s="1127">
        <v>0.33333333333333331</v>
      </c>
      <c r="AV154" s="1127"/>
      <c r="AW154" s="1127"/>
      <c r="AX154" s="1127"/>
      <c r="AY154" s="1127"/>
      <c r="AZ154" s="1127">
        <v>0.33333333333333331</v>
      </c>
      <c r="BA154" s="1129">
        <v>498.04460317460325</v>
      </c>
      <c r="BB154" s="1129">
        <v>0</v>
      </c>
      <c r="BC154" s="1129">
        <v>498.04460317460325</v>
      </c>
      <c r="BD154" s="1129">
        <v>0</v>
      </c>
      <c r="BE154" s="1129">
        <v>0</v>
      </c>
      <c r="BF154" s="1129">
        <v>0</v>
      </c>
      <c r="BG154" s="1129">
        <v>0</v>
      </c>
      <c r="BH154" s="1129">
        <v>498.04460317460325</v>
      </c>
      <c r="BI154" s="971"/>
      <c r="BJ154" s="971"/>
      <c r="BK154" s="971"/>
      <c r="BL154" s="1246"/>
      <c r="BM154" s="1247" t="s">
        <v>2125</v>
      </c>
    </row>
    <row r="155" spans="1:65" s="1247" customFormat="1" ht="82.5" customHeight="1">
      <c r="A155" s="1272">
        <v>4000</v>
      </c>
      <c r="B155" s="971" t="s">
        <v>1316</v>
      </c>
      <c r="C155" s="1272">
        <v>4100</v>
      </c>
      <c r="D155" s="971" t="s">
        <v>120</v>
      </c>
      <c r="E155" s="971" t="s">
        <v>1389</v>
      </c>
      <c r="F155" s="971" t="s">
        <v>176</v>
      </c>
      <c r="G155" s="971" t="s">
        <v>4505</v>
      </c>
      <c r="H155" s="971" t="s">
        <v>3491</v>
      </c>
      <c r="I155" s="1273" t="s">
        <v>6845</v>
      </c>
      <c r="J155" s="971" t="s">
        <v>2146</v>
      </c>
      <c r="K155" s="971" t="s">
        <v>2125</v>
      </c>
      <c r="L155" s="971" t="s">
        <v>2126</v>
      </c>
      <c r="M155" s="971" t="s">
        <v>2125</v>
      </c>
      <c r="N155" s="971" t="s">
        <v>176</v>
      </c>
      <c r="O155" s="971" t="s">
        <v>2126</v>
      </c>
      <c r="P155" s="971" t="s">
        <v>6797</v>
      </c>
      <c r="Q155" s="971" t="s">
        <v>6806</v>
      </c>
      <c r="R155" s="971" t="s">
        <v>4567</v>
      </c>
      <c r="S155" s="1274">
        <v>1</v>
      </c>
      <c r="T155" s="971" t="s">
        <v>242</v>
      </c>
      <c r="U155" s="1275">
        <v>13</v>
      </c>
      <c r="V155" s="1275">
        <v>120</v>
      </c>
      <c r="W155" s="1275">
        <v>1298.8739523809525</v>
      </c>
      <c r="X155" s="1275">
        <v>1200</v>
      </c>
      <c r="Y155" s="1275">
        <v>2618.8739523809527</v>
      </c>
      <c r="Z155" s="1129">
        <v>13</v>
      </c>
      <c r="AA155" s="1129">
        <v>120</v>
      </c>
      <c r="AB155" s="1129">
        <v>1298.8739523809525</v>
      </c>
      <c r="AC155" s="1129">
        <v>1200</v>
      </c>
      <c r="AD155" s="1098">
        <v>2618.8739523809527</v>
      </c>
      <c r="AE155" s="1237">
        <v>96</v>
      </c>
      <c r="AF155" s="1133">
        <v>96</v>
      </c>
      <c r="AG155" s="1127">
        <v>1</v>
      </c>
      <c r="AH155" s="1127">
        <v>0</v>
      </c>
      <c r="AI155" s="1127">
        <v>0</v>
      </c>
      <c r="AJ155" s="1127">
        <v>1</v>
      </c>
      <c r="AK155" s="1129">
        <v>2618.8739523809527</v>
      </c>
      <c r="AL155" s="1129">
        <v>0</v>
      </c>
      <c r="AM155" s="1129">
        <v>0</v>
      </c>
      <c r="AN155" s="1129">
        <v>2618.8739523809527</v>
      </c>
      <c r="AO155" s="1129" t="s">
        <v>85</v>
      </c>
      <c r="AP155" s="1129" t="s">
        <v>96</v>
      </c>
      <c r="AQ155" s="1157">
        <v>2014</v>
      </c>
      <c r="AR155" s="1129" t="s">
        <v>87</v>
      </c>
      <c r="AS155" s="1127">
        <v>0.33333333333333331</v>
      </c>
      <c r="AT155" s="1127"/>
      <c r="AU155" s="1127">
        <v>0.33333333333333331</v>
      </c>
      <c r="AV155" s="1127"/>
      <c r="AW155" s="1127"/>
      <c r="AX155" s="1127"/>
      <c r="AY155" s="1127"/>
      <c r="AZ155" s="1127">
        <v>0.33333333333333331</v>
      </c>
      <c r="BA155" s="1129">
        <v>872.95798412698423</v>
      </c>
      <c r="BB155" s="1129">
        <v>0</v>
      </c>
      <c r="BC155" s="1129">
        <v>872.95798412698423</v>
      </c>
      <c r="BD155" s="1129">
        <v>0</v>
      </c>
      <c r="BE155" s="1129">
        <v>0</v>
      </c>
      <c r="BF155" s="1129">
        <v>0</v>
      </c>
      <c r="BG155" s="1129">
        <v>0</v>
      </c>
      <c r="BH155" s="1129">
        <v>872.95798412698423</v>
      </c>
      <c r="BI155" s="971"/>
      <c r="BJ155" s="971"/>
      <c r="BK155" s="971"/>
      <c r="BL155" s="1246"/>
      <c r="BM155" s="1247" t="s">
        <v>2125</v>
      </c>
    </row>
    <row r="156" spans="1:65" s="1247" customFormat="1" ht="99" customHeight="1">
      <c r="A156" s="1272">
        <v>4000</v>
      </c>
      <c r="B156" s="971" t="s">
        <v>1316</v>
      </c>
      <c r="C156" s="1272">
        <v>4100</v>
      </c>
      <c r="D156" s="971" t="s">
        <v>120</v>
      </c>
      <c r="E156" s="971" t="s">
        <v>1389</v>
      </c>
      <c r="F156" s="971" t="s">
        <v>176</v>
      </c>
      <c r="G156" s="971" t="s">
        <v>4505</v>
      </c>
      <c r="H156" s="971" t="s">
        <v>3491</v>
      </c>
      <c r="I156" s="1273" t="s">
        <v>6846</v>
      </c>
      <c r="J156" s="971" t="s">
        <v>2146</v>
      </c>
      <c r="K156" s="971" t="s">
        <v>2125</v>
      </c>
      <c r="L156" s="971" t="s">
        <v>2126</v>
      </c>
      <c r="M156" s="971" t="s">
        <v>2125</v>
      </c>
      <c r="N156" s="971" t="s">
        <v>176</v>
      </c>
      <c r="O156" s="971" t="s">
        <v>2126</v>
      </c>
      <c r="P156" s="971" t="s">
        <v>6797</v>
      </c>
      <c r="Q156" s="971" t="s">
        <v>6806</v>
      </c>
      <c r="R156" s="971" t="s">
        <v>4568</v>
      </c>
      <c r="S156" s="1274">
        <v>1</v>
      </c>
      <c r="T156" s="971" t="s">
        <v>242</v>
      </c>
      <c r="U156" s="1275">
        <v>13</v>
      </c>
      <c r="V156" s="1275">
        <v>120</v>
      </c>
      <c r="W156" s="1275">
        <v>1298.8739523809525</v>
      </c>
      <c r="X156" s="1275">
        <v>1200</v>
      </c>
      <c r="Y156" s="1275">
        <v>2618.8739523809527</v>
      </c>
      <c r="Z156" s="1129">
        <v>13</v>
      </c>
      <c r="AA156" s="1129">
        <v>120</v>
      </c>
      <c r="AB156" s="1129">
        <v>1298.8739523809525</v>
      </c>
      <c r="AC156" s="1129">
        <v>1200</v>
      </c>
      <c r="AD156" s="1098">
        <v>2618.8739523809527</v>
      </c>
      <c r="AE156" s="1237">
        <v>96</v>
      </c>
      <c r="AF156" s="1133">
        <v>96</v>
      </c>
      <c r="AG156" s="1127">
        <v>1</v>
      </c>
      <c r="AH156" s="1127">
        <v>0</v>
      </c>
      <c r="AI156" s="1127">
        <v>0</v>
      </c>
      <c r="AJ156" s="1127">
        <v>1</v>
      </c>
      <c r="AK156" s="1129">
        <v>2618.8739523809527</v>
      </c>
      <c r="AL156" s="1129">
        <v>0</v>
      </c>
      <c r="AM156" s="1129">
        <v>0</v>
      </c>
      <c r="AN156" s="1129">
        <v>2618.8739523809527</v>
      </c>
      <c r="AO156" s="1129" t="s">
        <v>85</v>
      </c>
      <c r="AP156" s="1129" t="s">
        <v>96</v>
      </c>
      <c r="AQ156" s="1157">
        <v>2014</v>
      </c>
      <c r="AR156" s="1129" t="s">
        <v>87</v>
      </c>
      <c r="AS156" s="1127">
        <v>0.33333333333333331</v>
      </c>
      <c r="AT156" s="1127"/>
      <c r="AU156" s="1127">
        <v>0.33333333333333331</v>
      </c>
      <c r="AV156" s="1127"/>
      <c r="AW156" s="1127"/>
      <c r="AX156" s="1127"/>
      <c r="AY156" s="1127"/>
      <c r="AZ156" s="1127">
        <v>0.33333333333333331</v>
      </c>
      <c r="BA156" s="1129">
        <v>872.95798412698423</v>
      </c>
      <c r="BB156" s="1129">
        <v>0</v>
      </c>
      <c r="BC156" s="1129">
        <v>872.95798412698423</v>
      </c>
      <c r="BD156" s="1129">
        <v>0</v>
      </c>
      <c r="BE156" s="1129">
        <v>0</v>
      </c>
      <c r="BF156" s="1129">
        <v>0</v>
      </c>
      <c r="BG156" s="1129">
        <v>0</v>
      </c>
      <c r="BH156" s="1129">
        <v>872.95798412698423</v>
      </c>
      <c r="BI156" s="971"/>
      <c r="BJ156" s="971"/>
      <c r="BK156" s="971"/>
      <c r="BL156" s="1246"/>
      <c r="BM156" s="1247" t="s">
        <v>2127</v>
      </c>
    </row>
    <row r="157" spans="1:65" s="1247" customFormat="1" ht="82.5" customHeight="1">
      <c r="A157" s="1272">
        <v>4000</v>
      </c>
      <c r="B157" s="971" t="s">
        <v>1316</v>
      </c>
      <c r="C157" s="1272">
        <v>4100</v>
      </c>
      <c r="D157" s="971" t="s">
        <v>120</v>
      </c>
      <c r="E157" s="971" t="s">
        <v>1389</v>
      </c>
      <c r="F157" s="971" t="s">
        <v>176</v>
      </c>
      <c r="G157" s="971" t="s">
        <v>4505</v>
      </c>
      <c r="H157" s="971" t="s">
        <v>3491</v>
      </c>
      <c r="I157" s="1273" t="s">
        <v>6847</v>
      </c>
      <c r="J157" s="971" t="s">
        <v>2146</v>
      </c>
      <c r="K157" s="971" t="s">
        <v>2127</v>
      </c>
      <c r="L157" s="971" t="s">
        <v>2177</v>
      </c>
      <c r="M157" s="971" t="s">
        <v>2127</v>
      </c>
      <c r="N157" s="971" t="s">
        <v>176</v>
      </c>
      <c r="O157" s="971" t="s">
        <v>2177</v>
      </c>
      <c r="P157" s="971" t="s">
        <v>2292</v>
      </c>
      <c r="Q157" s="971" t="s">
        <v>6795</v>
      </c>
      <c r="R157" s="971" t="s">
        <v>4569</v>
      </c>
      <c r="S157" s="1274">
        <v>1</v>
      </c>
      <c r="T157" s="971" t="s">
        <v>242</v>
      </c>
      <c r="U157" s="1275">
        <v>10</v>
      </c>
      <c r="V157" s="1275">
        <v>45</v>
      </c>
      <c r="W157" s="1275">
        <v>999.13380952380965</v>
      </c>
      <c r="X157" s="1275">
        <v>450</v>
      </c>
      <c r="Y157" s="1275">
        <v>1494.1338095238098</v>
      </c>
      <c r="Z157" s="1129">
        <v>10</v>
      </c>
      <c r="AA157" s="1129">
        <v>45</v>
      </c>
      <c r="AB157" s="1129">
        <v>999.13380952380965</v>
      </c>
      <c r="AC157" s="1129">
        <v>450</v>
      </c>
      <c r="AD157" s="1098">
        <v>1494.1338095238098</v>
      </c>
      <c r="AE157" s="1237">
        <v>24</v>
      </c>
      <c r="AF157" s="1133">
        <v>24</v>
      </c>
      <c r="AG157" s="1127">
        <v>1</v>
      </c>
      <c r="AH157" s="1127">
        <v>0</v>
      </c>
      <c r="AI157" s="1127">
        <v>0</v>
      </c>
      <c r="AJ157" s="1127">
        <v>1</v>
      </c>
      <c r="AK157" s="1129">
        <v>1494.1338095238098</v>
      </c>
      <c r="AL157" s="1129">
        <v>0</v>
      </c>
      <c r="AM157" s="1129">
        <v>0</v>
      </c>
      <c r="AN157" s="1129">
        <v>1494.1338095238098</v>
      </c>
      <c r="AO157" s="1129" t="s">
        <v>85</v>
      </c>
      <c r="AP157" s="1129" t="s">
        <v>96</v>
      </c>
      <c r="AQ157" s="1157">
        <v>2014</v>
      </c>
      <c r="AR157" s="1129" t="s">
        <v>87</v>
      </c>
      <c r="AS157" s="1127">
        <v>0.33333333333333331</v>
      </c>
      <c r="AT157" s="1127"/>
      <c r="AU157" s="1127">
        <v>0.33333333333333331</v>
      </c>
      <c r="AV157" s="1127"/>
      <c r="AW157" s="1127"/>
      <c r="AX157" s="1127"/>
      <c r="AY157" s="1127"/>
      <c r="AZ157" s="1127">
        <v>0.33333333333333331</v>
      </c>
      <c r="BA157" s="1129">
        <v>498.04460317460325</v>
      </c>
      <c r="BB157" s="1129">
        <v>0</v>
      </c>
      <c r="BC157" s="1129">
        <v>498.04460317460325</v>
      </c>
      <c r="BD157" s="1129">
        <v>0</v>
      </c>
      <c r="BE157" s="1129">
        <v>0</v>
      </c>
      <c r="BF157" s="1129">
        <v>0</v>
      </c>
      <c r="BG157" s="1129">
        <v>0</v>
      </c>
      <c r="BH157" s="1129">
        <v>498.04460317460325</v>
      </c>
      <c r="BI157" s="971"/>
      <c r="BJ157" s="971"/>
      <c r="BK157" s="971"/>
      <c r="BL157" s="1246"/>
      <c r="BM157" s="1247" t="s">
        <v>2125</v>
      </c>
    </row>
    <row r="158" spans="1:65" s="1247" customFormat="1" ht="82.5" customHeight="1">
      <c r="A158" s="1272">
        <v>4000</v>
      </c>
      <c r="B158" s="971" t="s">
        <v>1316</v>
      </c>
      <c r="C158" s="1272">
        <v>4100</v>
      </c>
      <c r="D158" s="971" t="s">
        <v>120</v>
      </c>
      <c r="E158" s="971" t="s">
        <v>1389</v>
      </c>
      <c r="F158" s="971" t="s">
        <v>176</v>
      </c>
      <c r="G158" s="971" t="s">
        <v>4505</v>
      </c>
      <c r="H158" s="971" t="s">
        <v>3491</v>
      </c>
      <c r="I158" s="1273" t="s">
        <v>6848</v>
      </c>
      <c r="J158" s="971" t="s">
        <v>2146</v>
      </c>
      <c r="K158" s="971" t="s">
        <v>2125</v>
      </c>
      <c r="L158" s="971" t="s">
        <v>2126</v>
      </c>
      <c r="M158" s="971" t="s">
        <v>2125</v>
      </c>
      <c r="N158" s="971" t="s">
        <v>176</v>
      </c>
      <c r="O158" s="971" t="s">
        <v>2126</v>
      </c>
      <c r="P158" s="971" t="s">
        <v>6797</v>
      </c>
      <c r="Q158" s="971" t="s">
        <v>6806</v>
      </c>
      <c r="R158" s="971" t="s">
        <v>4570</v>
      </c>
      <c r="S158" s="1274">
        <v>1</v>
      </c>
      <c r="T158" s="971" t="s">
        <v>242</v>
      </c>
      <c r="U158" s="1275">
        <v>13</v>
      </c>
      <c r="V158" s="1275">
        <v>120</v>
      </c>
      <c r="W158" s="1275">
        <v>1298.8739523809525</v>
      </c>
      <c r="X158" s="1275">
        <v>1200</v>
      </c>
      <c r="Y158" s="1275">
        <v>2618.8739523809527</v>
      </c>
      <c r="Z158" s="1129">
        <v>13</v>
      </c>
      <c r="AA158" s="1129">
        <v>120</v>
      </c>
      <c r="AB158" s="1129">
        <v>1298.8739523809525</v>
      </c>
      <c r="AC158" s="1129">
        <v>1200</v>
      </c>
      <c r="AD158" s="1098">
        <v>2618.8739523809527</v>
      </c>
      <c r="AE158" s="1237">
        <v>96</v>
      </c>
      <c r="AF158" s="1133">
        <v>96</v>
      </c>
      <c r="AG158" s="1127">
        <v>1</v>
      </c>
      <c r="AH158" s="1127">
        <v>0</v>
      </c>
      <c r="AI158" s="1127">
        <v>0</v>
      </c>
      <c r="AJ158" s="1127">
        <v>1</v>
      </c>
      <c r="AK158" s="1129">
        <v>2618.8739523809527</v>
      </c>
      <c r="AL158" s="1129">
        <v>0</v>
      </c>
      <c r="AM158" s="1129">
        <v>0</v>
      </c>
      <c r="AN158" s="1129">
        <v>2618.8739523809527</v>
      </c>
      <c r="AO158" s="1129" t="s">
        <v>85</v>
      </c>
      <c r="AP158" s="1129" t="s">
        <v>96</v>
      </c>
      <c r="AQ158" s="1157">
        <v>2014</v>
      </c>
      <c r="AR158" s="1129" t="s">
        <v>87</v>
      </c>
      <c r="AS158" s="1127">
        <v>0.33333333333333331</v>
      </c>
      <c r="AT158" s="1127"/>
      <c r="AU158" s="1127">
        <v>0.33333333333333331</v>
      </c>
      <c r="AV158" s="1127"/>
      <c r="AW158" s="1127"/>
      <c r="AX158" s="1127"/>
      <c r="AY158" s="1127"/>
      <c r="AZ158" s="1127">
        <v>0.33333333333333331</v>
      </c>
      <c r="BA158" s="1129">
        <v>872.95798412698423</v>
      </c>
      <c r="BB158" s="1129">
        <v>0</v>
      </c>
      <c r="BC158" s="1129">
        <v>872.95798412698423</v>
      </c>
      <c r="BD158" s="1129">
        <v>0</v>
      </c>
      <c r="BE158" s="1129">
        <v>0</v>
      </c>
      <c r="BF158" s="1129">
        <v>0</v>
      </c>
      <c r="BG158" s="1129">
        <v>0</v>
      </c>
      <c r="BH158" s="1129">
        <v>872.95798412698423</v>
      </c>
      <c r="BI158" s="971"/>
      <c r="BJ158" s="971"/>
      <c r="BK158" s="971"/>
      <c r="BL158" s="1246"/>
      <c r="BM158" s="1247" t="s">
        <v>2125</v>
      </c>
    </row>
    <row r="159" spans="1:65" s="1247" customFormat="1" ht="99" customHeight="1">
      <c r="A159" s="1272">
        <v>4000</v>
      </c>
      <c r="B159" s="971" t="s">
        <v>1316</v>
      </c>
      <c r="C159" s="1272">
        <v>4100</v>
      </c>
      <c r="D159" s="971" t="s">
        <v>120</v>
      </c>
      <c r="E159" s="971" t="s">
        <v>1389</v>
      </c>
      <c r="F159" s="971" t="s">
        <v>176</v>
      </c>
      <c r="G159" s="971" t="s">
        <v>4505</v>
      </c>
      <c r="H159" s="971" t="s">
        <v>3491</v>
      </c>
      <c r="I159" s="1273" t="s">
        <v>6849</v>
      </c>
      <c r="J159" s="971" t="s">
        <v>2146</v>
      </c>
      <c r="K159" s="971" t="s">
        <v>2125</v>
      </c>
      <c r="L159" s="971" t="s">
        <v>2126</v>
      </c>
      <c r="M159" s="971" t="s">
        <v>2125</v>
      </c>
      <c r="N159" s="971" t="s">
        <v>176</v>
      </c>
      <c r="O159" s="971" t="s">
        <v>2126</v>
      </c>
      <c r="P159" s="971" t="s">
        <v>6797</v>
      </c>
      <c r="Q159" s="971" t="s">
        <v>6806</v>
      </c>
      <c r="R159" s="971" t="s">
        <v>4571</v>
      </c>
      <c r="S159" s="1274">
        <v>1</v>
      </c>
      <c r="T159" s="971" t="s">
        <v>242</v>
      </c>
      <c r="U159" s="1275">
        <v>13</v>
      </c>
      <c r="V159" s="1275">
        <v>120</v>
      </c>
      <c r="W159" s="1275">
        <v>1298.8739523809525</v>
      </c>
      <c r="X159" s="1275">
        <v>1200</v>
      </c>
      <c r="Y159" s="1275">
        <v>2618.8739523809527</v>
      </c>
      <c r="Z159" s="1129">
        <v>13</v>
      </c>
      <c r="AA159" s="1129">
        <v>120</v>
      </c>
      <c r="AB159" s="1129">
        <v>1298.8739523809525</v>
      </c>
      <c r="AC159" s="1129">
        <v>1200</v>
      </c>
      <c r="AD159" s="1098">
        <v>2618.8739523809527</v>
      </c>
      <c r="AE159" s="1237">
        <v>96</v>
      </c>
      <c r="AF159" s="1133">
        <v>96</v>
      </c>
      <c r="AG159" s="1127">
        <v>1</v>
      </c>
      <c r="AH159" s="1127">
        <v>0</v>
      </c>
      <c r="AI159" s="1127">
        <v>0</v>
      </c>
      <c r="AJ159" s="1127">
        <v>1</v>
      </c>
      <c r="AK159" s="1129">
        <v>2618.8739523809527</v>
      </c>
      <c r="AL159" s="1129">
        <v>0</v>
      </c>
      <c r="AM159" s="1129">
        <v>0</v>
      </c>
      <c r="AN159" s="1129">
        <v>2618.8739523809527</v>
      </c>
      <c r="AO159" s="1129" t="s">
        <v>85</v>
      </c>
      <c r="AP159" s="1129" t="s">
        <v>96</v>
      </c>
      <c r="AQ159" s="1157">
        <v>2014</v>
      </c>
      <c r="AR159" s="1129" t="s">
        <v>87</v>
      </c>
      <c r="AS159" s="1127">
        <v>0.33333333333333331</v>
      </c>
      <c r="AT159" s="1127"/>
      <c r="AU159" s="1127">
        <v>0.33333333333333331</v>
      </c>
      <c r="AV159" s="1127"/>
      <c r="AW159" s="1127"/>
      <c r="AX159" s="1127"/>
      <c r="AY159" s="1127"/>
      <c r="AZ159" s="1127">
        <v>0.33333333333333331</v>
      </c>
      <c r="BA159" s="1129">
        <v>872.95798412698423</v>
      </c>
      <c r="BB159" s="1129">
        <v>0</v>
      </c>
      <c r="BC159" s="1129">
        <v>872.95798412698423</v>
      </c>
      <c r="BD159" s="1129">
        <v>0</v>
      </c>
      <c r="BE159" s="1129">
        <v>0</v>
      </c>
      <c r="BF159" s="1129">
        <v>0</v>
      </c>
      <c r="BG159" s="1129">
        <v>0</v>
      </c>
      <c r="BH159" s="1129">
        <v>872.95798412698423</v>
      </c>
      <c r="BI159" s="971"/>
      <c r="BJ159" s="971"/>
      <c r="BK159" s="971"/>
      <c r="BL159" s="1246"/>
      <c r="BM159" s="1247" t="s">
        <v>2127</v>
      </c>
    </row>
    <row r="160" spans="1:65" s="1247" customFormat="1" ht="82.5" customHeight="1">
      <c r="A160" s="1272">
        <v>4000</v>
      </c>
      <c r="B160" s="971" t="s">
        <v>1316</v>
      </c>
      <c r="C160" s="1272">
        <v>4100</v>
      </c>
      <c r="D160" s="971" t="s">
        <v>120</v>
      </c>
      <c r="E160" s="971" t="s">
        <v>1389</v>
      </c>
      <c r="F160" s="971" t="s">
        <v>176</v>
      </c>
      <c r="G160" s="971" t="s">
        <v>4505</v>
      </c>
      <c r="H160" s="971" t="s">
        <v>3491</v>
      </c>
      <c r="I160" s="1273" t="s">
        <v>6850</v>
      </c>
      <c r="J160" s="971" t="s">
        <v>2146</v>
      </c>
      <c r="K160" s="971" t="s">
        <v>2127</v>
      </c>
      <c r="L160" s="971" t="s">
        <v>2177</v>
      </c>
      <c r="M160" s="971" t="s">
        <v>2127</v>
      </c>
      <c r="N160" s="971" t="s">
        <v>176</v>
      </c>
      <c r="O160" s="971" t="s">
        <v>2177</v>
      </c>
      <c r="P160" s="971" t="s">
        <v>2292</v>
      </c>
      <c r="Q160" s="971" t="s">
        <v>6795</v>
      </c>
      <c r="R160" s="971" t="s">
        <v>4572</v>
      </c>
      <c r="S160" s="1274">
        <v>1</v>
      </c>
      <c r="T160" s="971" t="s">
        <v>242</v>
      </c>
      <c r="U160" s="1275">
        <v>10</v>
      </c>
      <c r="V160" s="1275">
        <v>45</v>
      </c>
      <c r="W160" s="1275">
        <v>999.13380952380965</v>
      </c>
      <c r="X160" s="1275">
        <v>450</v>
      </c>
      <c r="Y160" s="1275">
        <v>1494.1338095238098</v>
      </c>
      <c r="Z160" s="1129">
        <v>10</v>
      </c>
      <c r="AA160" s="1129">
        <v>45</v>
      </c>
      <c r="AB160" s="1129">
        <v>999.13380952380965</v>
      </c>
      <c r="AC160" s="1129">
        <v>450</v>
      </c>
      <c r="AD160" s="1098">
        <v>1494.1338095238098</v>
      </c>
      <c r="AE160" s="1237">
        <v>24</v>
      </c>
      <c r="AF160" s="1133">
        <v>24</v>
      </c>
      <c r="AG160" s="1127">
        <v>1</v>
      </c>
      <c r="AH160" s="1127">
        <v>0</v>
      </c>
      <c r="AI160" s="1127">
        <v>0</v>
      </c>
      <c r="AJ160" s="1127">
        <v>1</v>
      </c>
      <c r="AK160" s="1129">
        <v>1494.1338095238098</v>
      </c>
      <c r="AL160" s="1129">
        <v>0</v>
      </c>
      <c r="AM160" s="1129">
        <v>0</v>
      </c>
      <c r="AN160" s="1129">
        <v>1494.1338095238098</v>
      </c>
      <c r="AO160" s="1129" t="s">
        <v>85</v>
      </c>
      <c r="AP160" s="1129" t="s">
        <v>96</v>
      </c>
      <c r="AQ160" s="1157">
        <v>2014</v>
      </c>
      <c r="AR160" s="1129" t="s">
        <v>87</v>
      </c>
      <c r="AS160" s="1127">
        <v>0.33333333333333331</v>
      </c>
      <c r="AT160" s="1127"/>
      <c r="AU160" s="1127">
        <v>0.33333333333333331</v>
      </c>
      <c r="AV160" s="1127"/>
      <c r="AW160" s="1127"/>
      <c r="AX160" s="1127"/>
      <c r="AY160" s="1127"/>
      <c r="AZ160" s="1127">
        <v>0.33333333333333331</v>
      </c>
      <c r="BA160" s="1129">
        <v>498.04460317460325</v>
      </c>
      <c r="BB160" s="1129">
        <v>0</v>
      </c>
      <c r="BC160" s="1129">
        <v>498.04460317460325</v>
      </c>
      <c r="BD160" s="1129">
        <v>0</v>
      </c>
      <c r="BE160" s="1129">
        <v>0</v>
      </c>
      <c r="BF160" s="1129">
        <v>0</v>
      </c>
      <c r="BG160" s="1129">
        <v>0</v>
      </c>
      <c r="BH160" s="1129">
        <v>498.04460317460325</v>
      </c>
      <c r="BI160" s="971"/>
      <c r="BJ160" s="971"/>
      <c r="BK160" s="971"/>
      <c r="BL160" s="1246"/>
      <c r="BM160" s="1247" t="s">
        <v>2125</v>
      </c>
    </row>
    <row r="161" spans="1:65" s="1247" customFormat="1" ht="82.5" customHeight="1">
      <c r="A161" s="1272">
        <v>4000</v>
      </c>
      <c r="B161" s="971" t="s">
        <v>1316</v>
      </c>
      <c r="C161" s="1272">
        <v>4100</v>
      </c>
      <c r="D161" s="971" t="s">
        <v>120</v>
      </c>
      <c r="E161" s="971" t="s">
        <v>1389</v>
      </c>
      <c r="F161" s="971" t="s">
        <v>176</v>
      </c>
      <c r="G161" s="971" t="s">
        <v>4505</v>
      </c>
      <c r="H161" s="971" t="s">
        <v>3491</v>
      </c>
      <c r="I161" s="1273" t="s">
        <v>6851</v>
      </c>
      <c r="J161" s="971" t="s">
        <v>2146</v>
      </c>
      <c r="K161" s="971" t="s">
        <v>2125</v>
      </c>
      <c r="L161" s="971" t="s">
        <v>2126</v>
      </c>
      <c r="M161" s="971" t="s">
        <v>2125</v>
      </c>
      <c r="N161" s="971" t="s">
        <v>176</v>
      </c>
      <c r="O161" s="971" t="s">
        <v>2126</v>
      </c>
      <c r="P161" s="971" t="s">
        <v>6797</v>
      </c>
      <c r="Q161" s="971" t="s">
        <v>6806</v>
      </c>
      <c r="R161" s="971" t="s">
        <v>4573</v>
      </c>
      <c r="S161" s="1274">
        <v>1</v>
      </c>
      <c r="T161" s="971" t="s">
        <v>242</v>
      </c>
      <c r="U161" s="1275">
        <v>13</v>
      </c>
      <c r="V161" s="1275">
        <v>120</v>
      </c>
      <c r="W161" s="1275">
        <v>1298.8739523809525</v>
      </c>
      <c r="X161" s="1275">
        <v>1200</v>
      </c>
      <c r="Y161" s="1275">
        <v>2618.8739523809527</v>
      </c>
      <c r="Z161" s="1129">
        <v>13</v>
      </c>
      <c r="AA161" s="1129">
        <v>120</v>
      </c>
      <c r="AB161" s="1129">
        <v>1298.8739523809525</v>
      </c>
      <c r="AC161" s="1129">
        <v>1200</v>
      </c>
      <c r="AD161" s="1098">
        <v>2618.8739523809527</v>
      </c>
      <c r="AE161" s="1237">
        <v>96</v>
      </c>
      <c r="AF161" s="1133">
        <v>96</v>
      </c>
      <c r="AG161" s="1127">
        <v>1</v>
      </c>
      <c r="AH161" s="1127">
        <v>0</v>
      </c>
      <c r="AI161" s="1127">
        <v>0</v>
      </c>
      <c r="AJ161" s="1127">
        <v>1</v>
      </c>
      <c r="AK161" s="1129">
        <v>2618.8739523809527</v>
      </c>
      <c r="AL161" s="1129">
        <v>0</v>
      </c>
      <c r="AM161" s="1129">
        <v>0</v>
      </c>
      <c r="AN161" s="1129">
        <v>2618.8739523809527</v>
      </c>
      <c r="AO161" s="1129" t="s">
        <v>85</v>
      </c>
      <c r="AP161" s="1129" t="s">
        <v>96</v>
      </c>
      <c r="AQ161" s="1157">
        <v>2014</v>
      </c>
      <c r="AR161" s="1129" t="s">
        <v>87</v>
      </c>
      <c r="AS161" s="1127">
        <v>0.33333333333333331</v>
      </c>
      <c r="AT161" s="1127"/>
      <c r="AU161" s="1127">
        <v>0.33333333333333331</v>
      </c>
      <c r="AV161" s="1127"/>
      <c r="AW161" s="1127"/>
      <c r="AX161" s="1127"/>
      <c r="AY161" s="1127"/>
      <c r="AZ161" s="1127">
        <v>0.33333333333333331</v>
      </c>
      <c r="BA161" s="1129">
        <v>872.95798412698423</v>
      </c>
      <c r="BB161" s="1129">
        <v>0</v>
      </c>
      <c r="BC161" s="1129">
        <v>872.95798412698423</v>
      </c>
      <c r="BD161" s="1129">
        <v>0</v>
      </c>
      <c r="BE161" s="1129">
        <v>0</v>
      </c>
      <c r="BF161" s="1129">
        <v>0</v>
      </c>
      <c r="BG161" s="1129">
        <v>0</v>
      </c>
      <c r="BH161" s="1129">
        <v>872.95798412698423</v>
      </c>
      <c r="BI161" s="971"/>
      <c r="BJ161" s="971"/>
      <c r="BK161" s="971"/>
      <c r="BL161" s="1246"/>
      <c r="BM161" s="1247" t="s">
        <v>2125</v>
      </c>
    </row>
    <row r="162" spans="1:65" s="1247" customFormat="1" ht="99" customHeight="1">
      <c r="A162" s="1272">
        <v>4000</v>
      </c>
      <c r="B162" s="971" t="s">
        <v>1316</v>
      </c>
      <c r="C162" s="1272">
        <v>4100</v>
      </c>
      <c r="D162" s="971" t="s">
        <v>120</v>
      </c>
      <c r="E162" s="971" t="s">
        <v>1389</v>
      </c>
      <c r="F162" s="971" t="s">
        <v>176</v>
      </c>
      <c r="G162" s="971" t="s">
        <v>4505</v>
      </c>
      <c r="H162" s="971" t="s">
        <v>3491</v>
      </c>
      <c r="I162" s="1273" t="s">
        <v>6852</v>
      </c>
      <c r="J162" s="971" t="s">
        <v>2146</v>
      </c>
      <c r="K162" s="971" t="s">
        <v>2125</v>
      </c>
      <c r="L162" s="971" t="s">
        <v>2126</v>
      </c>
      <c r="M162" s="971" t="s">
        <v>2125</v>
      </c>
      <c r="N162" s="971" t="s">
        <v>176</v>
      </c>
      <c r="O162" s="971" t="s">
        <v>2126</v>
      </c>
      <c r="P162" s="971" t="s">
        <v>6797</v>
      </c>
      <c r="Q162" s="971" t="s">
        <v>6806</v>
      </c>
      <c r="R162" s="971" t="s">
        <v>4574</v>
      </c>
      <c r="S162" s="1274">
        <v>1</v>
      </c>
      <c r="T162" s="971" t="s">
        <v>242</v>
      </c>
      <c r="U162" s="1275">
        <v>13</v>
      </c>
      <c r="V162" s="1275">
        <v>120</v>
      </c>
      <c r="W162" s="1275">
        <v>1298.8739523809525</v>
      </c>
      <c r="X162" s="1275">
        <v>1200</v>
      </c>
      <c r="Y162" s="1275">
        <v>2618.8739523809527</v>
      </c>
      <c r="Z162" s="1129">
        <v>13</v>
      </c>
      <c r="AA162" s="1129">
        <v>120</v>
      </c>
      <c r="AB162" s="1129">
        <v>1298.8739523809525</v>
      </c>
      <c r="AC162" s="1129">
        <v>1200</v>
      </c>
      <c r="AD162" s="1098">
        <v>2618.8739523809527</v>
      </c>
      <c r="AE162" s="1237">
        <v>96</v>
      </c>
      <c r="AF162" s="1133">
        <v>96</v>
      </c>
      <c r="AG162" s="1127">
        <v>1</v>
      </c>
      <c r="AH162" s="1127">
        <v>0</v>
      </c>
      <c r="AI162" s="1127">
        <v>0</v>
      </c>
      <c r="AJ162" s="1127">
        <v>1</v>
      </c>
      <c r="AK162" s="1129">
        <v>2618.8739523809527</v>
      </c>
      <c r="AL162" s="1129">
        <v>0</v>
      </c>
      <c r="AM162" s="1129">
        <v>0</v>
      </c>
      <c r="AN162" s="1129">
        <v>2618.8739523809527</v>
      </c>
      <c r="AO162" s="1129" t="s">
        <v>85</v>
      </c>
      <c r="AP162" s="1129" t="s">
        <v>96</v>
      </c>
      <c r="AQ162" s="1157">
        <v>2014</v>
      </c>
      <c r="AR162" s="1129" t="s">
        <v>87</v>
      </c>
      <c r="AS162" s="1127">
        <v>0.33333333333333331</v>
      </c>
      <c r="AT162" s="1127"/>
      <c r="AU162" s="1127">
        <v>0.33333333333333331</v>
      </c>
      <c r="AV162" s="1127"/>
      <c r="AW162" s="1127"/>
      <c r="AX162" s="1127"/>
      <c r="AY162" s="1127"/>
      <c r="AZ162" s="1127">
        <v>0.33333333333333331</v>
      </c>
      <c r="BA162" s="1129">
        <v>872.95798412698423</v>
      </c>
      <c r="BB162" s="1129">
        <v>0</v>
      </c>
      <c r="BC162" s="1129">
        <v>872.95798412698423</v>
      </c>
      <c r="BD162" s="1129">
        <v>0</v>
      </c>
      <c r="BE162" s="1129">
        <v>0</v>
      </c>
      <c r="BF162" s="1129">
        <v>0</v>
      </c>
      <c r="BG162" s="1129">
        <v>0</v>
      </c>
      <c r="BH162" s="1129">
        <v>872.95798412698423</v>
      </c>
      <c r="BI162" s="971"/>
      <c r="BJ162" s="971"/>
      <c r="BK162" s="971"/>
      <c r="BL162" s="1246"/>
      <c r="BM162" s="1247" t="s">
        <v>2127</v>
      </c>
    </row>
    <row r="163" spans="1:65" s="1247" customFormat="1" ht="82.5" customHeight="1">
      <c r="A163" s="1272">
        <v>4000</v>
      </c>
      <c r="B163" s="971" t="s">
        <v>1316</v>
      </c>
      <c r="C163" s="1272">
        <v>4100</v>
      </c>
      <c r="D163" s="971" t="s">
        <v>120</v>
      </c>
      <c r="E163" s="971" t="s">
        <v>1389</v>
      </c>
      <c r="F163" s="971" t="s">
        <v>176</v>
      </c>
      <c r="G163" s="971" t="s">
        <v>4505</v>
      </c>
      <c r="H163" s="971" t="s">
        <v>3491</v>
      </c>
      <c r="I163" s="1273" t="s">
        <v>6853</v>
      </c>
      <c r="J163" s="971" t="s">
        <v>2146</v>
      </c>
      <c r="K163" s="971" t="s">
        <v>2127</v>
      </c>
      <c r="L163" s="971" t="s">
        <v>2177</v>
      </c>
      <c r="M163" s="971" t="s">
        <v>2127</v>
      </c>
      <c r="N163" s="971" t="s">
        <v>176</v>
      </c>
      <c r="O163" s="971" t="s">
        <v>2177</v>
      </c>
      <c r="P163" s="971" t="s">
        <v>2292</v>
      </c>
      <c r="Q163" s="971" t="s">
        <v>6795</v>
      </c>
      <c r="R163" s="971" t="s">
        <v>4575</v>
      </c>
      <c r="S163" s="1274">
        <v>1</v>
      </c>
      <c r="T163" s="971" t="s">
        <v>242</v>
      </c>
      <c r="U163" s="1275">
        <v>10</v>
      </c>
      <c r="V163" s="1275">
        <v>45</v>
      </c>
      <c r="W163" s="1275">
        <v>999.13380952380965</v>
      </c>
      <c r="X163" s="1275">
        <v>450</v>
      </c>
      <c r="Y163" s="1275">
        <v>1494.1338095238098</v>
      </c>
      <c r="Z163" s="1129">
        <v>10</v>
      </c>
      <c r="AA163" s="1129">
        <v>45</v>
      </c>
      <c r="AB163" s="1129">
        <v>999.13380952380965</v>
      </c>
      <c r="AC163" s="1129">
        <v>450</v>
      </c>
      <c r="AD163" s="1098">
        <v>1494.1338095238098</v>
      </c>
      <c r="AE163" s="1237">
        <v>24</v>
      </c>
      <c r="AF163" s="1133">
        <v>24</v>
      </c>
      <c r="AG163" s="1127">
        <v>1</v>
      </c>
      <c r="AH163" s="1127">
        <v>0</v>
      </c>
      <c r="AI163" s="1127">
        <v>0</v>
      </c>
      <c r="AJ163" s="1127">
        <v>1</v>
      </c>
      <c r="AK163" s="1129">
        <v>1494.1338095238098</v>
      </c>
      <c r="AL163" s="1129">
        <v>0</v>
      </c>
      <c r="AM163" s="1129">
        <v>0</v>
      </c>
      <c r="AN163" s="1129">
        <v>1494.1338095238098</v>
      </c>
      <c r="AO163" s="1129" t="s">
        <v>85</v>
      </c>
      <c r="AP163" s="1129" t="s">
        <v>96</v>
      </c>
      <c r="AQ163" s="1157">
        <v>2014</v>
      </c>
      <c r="AR163" s="1129" t="s">
        <v>87</v>
      </c>
      <c r="AS163" s="1127">
        <v>0.33333333333333331</v>
      </c>
      <c r="AT163" s="1127"/>
      <c r="AU163" s="1127">
        <v>0.33333333333333331</v>
      </c>
      <c r="AV163" s="1127"/>
      <c r="AW163" s="1127"/>
      <c r="AX163" s="1127"/>
      <c r="AY163" s="1127"/>
      <c r="AZ163" s="1127">
        <v>0.33333333333333331</v>
      </c>
      <c r="BA163" s="1129">
        <v>498.04460317460325</v>
      </c>
      <c r="BB163" s="1129">
        <v>0</v>
      </c>
      <c r="BC163" s="1129">
        <v>498.04460317460325</v>
      </c>
      <c r="BD163" s="1129">
        <v>0</v>
      </c>
      <c r="BE163" s="1129">
        <v>0</v>
      </c>
      <c r="BF163" s="1129">
        <v>0</v>
      </c>
      <c r="BG163" s="1129">
        <v>0</v>
      </c>
      <c r="BH163" s="1129">
        <v>498.04460317460325</v>
      </c>
      <c r="BI163" s="971"/>
      <c r="BJ163" s="971"/>
      <c r="BK163" s="971"/>
      <c r="BL163" s="1246"/>
      <c r="BM163" s="1247" t="s">
        <v>2125</v>
      </c>
    </row>
    <row r="164" spans="1:65" s="1247" customFormat="1" ht="82.5" customHeight="1">
      <c r="A164" s="1272">
        <v>4000</v>
      </c>
      <c r="B164" s="971" t="s">
        <v>1316</v>
      </c>
      <c r="C164" s="1272">
        <v>4100</v>
      </c>
      <c r="D164" s="971" t="s">
        <v>120</v>
      </c>
      <c r="E164" s="971" t="s">
        <v>1389</v>
      </c>
      <c r="F164" s="971" t="s">
        <v>176</v>
      </c>
      <c r="G164" s="971" t="s">
        <v>4505</v>
      </c>
      <c r="H164" s="971" t="s">
        <v>3491</v>
      </c>
      <c r="I164" s="1273" t="s">
        <v>6854</v>
      </c>
      <c r="J164" s="971" t="s">
        <v>2146</v>
      </c>
      <c r="K164" s="971" t="s">
        <v>2125</v>
      </c>
      <c r="L164" s="971" t="s">
        <v>2126</v>
      </c>
      <c r="M164" s="971" t="s">
        <v>2125</v>
      </c>
      <c r="N164" s="971" t="s">
        <v>176</v>
      </c>
      <c r="O164" s="971" t="s">
        <v>2126</v>
      </c>
      <c r="P164" s="971" t="s">
        <v>6797</v>
      </c>
      <c r="Q164" s="971" t="s">
        <v>6806</v>
      </c>
      <c r="R164" s="971" t="s">
        <v>4576</v>
      </c>
      <c r="S164" s="1274">
        <v>1</v>
      </c>
      <c r="T164" s="971" t="s">
        <v>242</v>
      </c>
      <c r="U164" s="1275">
        <v>13</v>
      </c>
      <c r="V164" s="1275">
        <v>120</v>
      </c>
      <c r="W164" s="1275">
        <v>1298.8739523809525</v>
      </c>
      <c r="X164" s="1275">
        <v>1200</v>
      </c>
      <c r="Y164" s="1275">
        <v>2618.8739523809527</v>
      </c>
      <c r="Z164" s="1129">
        <v>13</v>
      </c>
      <c r="AA164" s="1129">
        <v>120</v>
      </c>
      <c r="AB164" s="1129">
        <v>1298.8739523809525</v>
      </c>
      <c r="AC164" s="1129">
        <v>1200</v>
      </c>
      <c r="AD164" s="1098">
        <v>2618.8739523809527</v>
      </c>
      <c r="AE164" s="1237">
        <v>96</v>
      </c>
      <c r="AF164" s="1133">
        <v>96</v>
      </c>
      <c r="AG164" s="1127">
        <v>1</v>
      </c>
      <c r="AH164" s="1127">
        <v>0</v>
      </c>
      <c r="AI164" s="1127">
        <v>0</v>
      </c>
      <c r="AJ164" s="1127">
        <v>1</v>
      </c>
      <c r="AK164" s="1129">
        <v>2618.8739523809527</v>
      </c>
      <c r="AL164" s="1129">
        <v>0</v>
      </c>
      <c r="AM164" s="1129">
        <v>0</v>
      </c>
      <c r="AN164" s="1129">
        <v>2618.8739523809527</v>
      </c>
      <c r="AO164" s="1129" t="s">
        <v>85</v>
      </c>
      <c r="AP164" s="1129" t="s">
        <v>96</v>
      </c>
      <c r="AQ164" s="1157">
        <v>2014</v>
      </c>
      <c r="AR164" s="1129" t="s">
        <v>87</v>
      </c>
      <c r="AS164" s="1127">
        <v>0.33333333333333331</v>
      </c>
      <c r="AT164" s="1127"/>
      <c r="AU164" s="1127">
        <v>0.33333333333333331</v>
      </c>
      <c r="AV164" s="1127"/>
      <c r="AW164" s="1127"/>
      <c r="AX164" s="1127"/>
      <c r="AY164" s="1127"/>
      <c r="AZ164" s="1127">
        <v>0.33333333333333331</v>
      </c>
      <c r="BA164" s="1129">
        <v>872.95798412698423</v>
      </c>
      <c r="BB164" s="1129">
        <v>0</v>
      </c>
      <c r="BC164" s="1129">
        <v>872.95798412698423</v>
      </c>
      <c r="BD164" s="1129">
        <v>0</v>
      </c>
      <c r="BE164" s="1129">
        <v>0</v>
      </c>
      <c r="BF164" s="1129">
        <v>0</v>
      </c>
      <c r="BG164" s="1129">
        <v>0</v>
      </c>
      <c r="BH164" s="1129">
        <v>872.95798412698423</v>
      </c>
      <c r="BI164" s="971"/>
      <c r="BJ164" s="971"/>
      <c r="BK164" s="971"/>
      <c r="BL164" s="1246"/>
      <c r="BM164" s="1247" t="s">
        <v>2125</v>
      </c>
    </row>
    <row r="165" spans="1:65" s="1247" customFormat="1" ht="99" customHeight="1">
      <c r="A165" s="1272">
        <v>4000</v>
      </c>
      <c r="B165" s="971" t="s">
        <v>1316</v>
      </c>
      <c r="C165" s="1272">
        <v>4100</v>
      </c>
      <c r="D165" s="971" t="s">
        <v>120</v>
      </c>
      <c r="E165" s="971" t="s">
        <v>1389</v>
      </c>
      <c r="F165" s="971" t="s">
        <v>176</v>
      </c>
      <c r="G165" s="971" t="s">
        <v>4505</v>
      </c>
      <c r="H165" s="971" t="s">
        <v>3491</v>
      </c>
      <c r="I165" s="1273" t="s">
        <v>6855</v>
      </c>
      <c r="J165" s="971" t="s">
        <v>2146</v>
      </c>
      <c r="K165" s="971" t="s">
        <v>2125</v>
      </c>
      <c r="L165" s="971" t="s">
        <v>2126</v>
      </c>
      <c r="M165" s="971" t="s">
        <v>2125</v>
      </c>
      <c r="N165" s="971" t="s">
        <v>176</v>
      </c>
      <c r="O165" s="971" t="s">
        <v>2126</v>
      </c>
      <c r="P165" s="971" t="s">
        <v>6797</v>
      </c>
      <c r="Q165" s="971" t="s">
        <v>6806</v>
      </c>
      <c r="R165" s="971" t="s">
        <v>4577</v>
      </c>
      <c r="S165" s="1274">
        <v>1</v>
      </c>
      <c r="T165" s="971" t="s">
        <v>242</v>
      </c>
      <c r="U165" s="1275">
        <v>13</v>
      </c>
      <c r="V165" s="1275">
        <v>120</v>
      </c>
      <c r="W165" s="1275">
        <v>1298.8739523809525</v>
      </c>
      <c r="X165" s="1275">
        <v>1200</v>
      </c>
      <c r="Y165" s="1275">
        <v>2618.8739523809527</v>
      </c>
      <c r="Z165" s="1129">
        <v>13</v>
      </c>
      <c r="AA165" s="1129">
        <v>120</v>
      </c>
      <c r="AB165" s="1129">
        <v>1298.8739523809525</v>
      </c>
      <c r="AC165" s="1129">
        <v>1200</v>
      </c>
      <c r="AD165" s="1098">
        <v>2618.8739523809527</v>
      </c>
      <c r="AE165" s="1237">
        <v>96</v>
      </c>
      <c r="AF165" s="1133">
        <v>96</v>
      </c>
      <c r="AG165" s="1127">
        <v>1</v>
      </c>
      <c r="AH165" s="1127">
        <v>0</v>
      </c>
      <c r="AI165" s="1127">
        <v>0</v>
      </c>
      <c r="AJ165" s="1127">
        <v>1</v>
      </c>
      <c r="AK165" s="1129">
        <v>2618.8739523809527</v>
      </c>
      <c r="AL165" s="1129">
        <v>0</v>
      </c>
      <c r="AM165" s="1129">
        <v>0</v>
      </c>
      <c r="AN165" s="1129">
        <v>2618.8739523809527</v>
      </c>
      <c r="AO165" s="1129" t="s">
        <v>85</v>
      </c>
      <c r="AP165" s="1129" t="s">
        <v>96</v>
      </c>
      <c r="AQ165" s="1157">
        <v>2014</v>
      </c>
      <c r="AR165" s="1129" t="s">
        <v>87</v>
      </c>
      <c r="AS165" s="1127">
        <v>0.33333333333333331</v>
      </c>
      <c r="AT165" s="1127"/>
      <c r="AU165" s="1127">
        <v>0.33333333333333331</v>
      </c>
      <c r="AV165" s="1127"/>
      <c r="AW165" s="1127"/>
      <c r="AX165" s="1127"/>
      <c r="AY165" s="1127"/>
      <c r="AZ165" s="1127">
        <v>0.33333333333333331</v>
      </c>
      <c r="BA165" s="1129">
        <v>872.95798412698423</v>
      </c>
      <c r="BB165" s="1129">
        <v>0</v>
      </c>
      <c r="BC165" s="1129">
        <v>872.95798412698423</v>
      </c>
      <c r="BD165" s="1129">
        <v>0</v>
      </c>
      <c r="BE165" s="1129">
        <v>0</v>
      </c>
      <c r="BF165" s="1129">
        <v>0</v>
      </c>
      <c r="BG165" s="1129">
        <v>0</v>
      </c>
      <c r="BH165" s="1129">
        <v>872.95798412698423</v>
      </c>
      <c r="BI165" s="971"/>
      <c r="BJ165" s="971"/>
      <c r="BK165" s="971"/>
      <c r="BL165" s="1246"/>
      <c r="BM165" s="1247" t="s">
        <v>2127</v>
      </c>
    </row>
    <row r="166" spans="1:65" s="1247" customFormat="1" ht="82.5" customHeight="1">
      <c r="A166" s="1272">
        <v>4000</v>
      </c>
      <c r="B166" s="971" t="s">
        <v>1316</v>
      </c>
      <c r="C166" s="1272">
        <v>4100</v>
      </c>
      <c r="D166" s="971" t="s">
        <v>120</v>
      </c>
      <c r="E166" s="971" t="s">
        <v>1389</v>
      </c>
      <c r="F166" s="971" t="s">
        <v>176</v>
      </c>
      <c r="G166" s="971" t="s">
        <v>4505</v>
      </c>
      <c r="H166" s="971" t="s">
        <v>3491</v>
      </c>
      <c r="I166" s="1273" t="s">
        <v>6856</v>
      </c>
      <c r="J166" s="971" t="s">
        <v>2146</v>
      </c>
      <c r="K166" s="971" t="s">
        <v>2127</v>
      </c>
      <c r="L166" s="971" t="s">
        <v>2177</v>
      </c>
      <c r="M166" s="971" t="s">
        <v>2127</v>
      </c>
      <c r="N166" s="971" t="s">
        <v>176</v>
      </c>
      <c r="O166" s="971" t="s">
        <v>2177</v>
      </c>
      <c r="P166" s="971" t="s">
        <v>2292</v>
      </c>
      <c r="Q166" s="971" t="s">
        <v>6795</v>
      </c>
      <c r="R166" s="971" t="s">
        <v>4578</v>
      </c>
      <c r="S166" s="1274">
        <v>1</v>
      </c>
      <c r="T166" s="971" t="s">
        <v>242</v>
      </c>
      <c r="U166" s="1275">
        <v>10</v>
      </c>
      <c r="V166" s="1275">
        <v>45</v>
      </c>
      <c r="W166" s="1275">
        <v>999.13380952380965</v>
      </c>
      <c r="X166" s="1275">
        <v>450</v>
      </c>
      <c r="Y166" s="1275">
        <v>1494.1338095238098</v>
      </c>
      <c r="Z166" s="1129">
        <v>10</v>
      </c>
      <c r="AA166" s="1129">
        <v>45</v>
      </c>
      <c r="AB166" s="1129">
        <v>999.13380952380965</v>
      </c>
      <c r="AC166" s="1129">
        <v>450</v>
      </c>
      <c r="AD166" s="1098">
        <v>1494.1338095238098</v>
      </c>
      <c r="AE166" s="1237">
        <v>24</v>
      </c>
      <c r="AF166" s="1133">
        <v>24</v>
      </c>
      <c r="AG166" s="1127">
        <v>1</v>
      </c>
      <c r="AH166" s="1127">
        <v>0</v>
      </c>
      <c r="AI166" s="1127">
        <v>0</v>
      </c>
      <c r="AJ166" s="1127">
        <v>1</v>
      </c>
      <c r="AK166" s="1129">
        <v>1494.1338095238098</v>
      </c>
      <c r="AL166" s="1129">
        <v>0</v>
      </c>
      <c r="AM166" s="1129">
        <v>0</v>
      </c>
      <c r="AN166" s="1129">
        <v>1494.1338095238098</v>
      </c>
      <c r="AO166" s="1129" t="s">
        <v>85</v>
      </c>
      <c r="AP166" s="1129" t="s">
        <v>96</v>
      </c>
      <c r="AQ166" s="1157">
        <v>2014</v>
      </c>
      <c r="AR166" s="1129" t="s">
        <v>87</v>
      </c>
      <c r="AS166" s="1127">
        <v>0.33333333333333331</v>
      </c>
      <c r="AT166" s="1127"/>
      <c r="AU166" s="1127">
        <v>0.33333333333333331</v>
      </c>
      <c r="AV166" s="1127"/>
      <c r="AW166" s="1127"/>
      <c r="AX166" s="1127"/>
      <c r="AY166" s="1127"/>
      <c r="AZ166" s="1127">
        <v>0.33333333333333331</v>
      </c>
      <c r="BA166" s="1129">
        <v>498.04460317460325</v>
      </c>
      <c r="BB166" s="1129">
        <v>0</v>
      </c>
      <c r="BC166" s="1129">
        <v>498.04460317460325</v>
      </c>
      <c r="BD166" s="1129">
        <v>0</v>
      </c>
      <c r="BE166" s="1129">
        <v>0</v>
      </c>
      <c r="BF166" s="1129">
        <v>0</v>
      </c>
      <c r="BG166" s="1129">
        <v>0</v>
      </c>
      <c r="BH166" s="1129">
        <v>498.04460317460325</v>
      </c>
      <c r="BI166" s="971"/>
      <c r="BJ166" s="971"/>
      <c r="BK166" s="971"/>
      <c r="BL166" s="1246"/>
      <c r="BM166" s="1247" t="s">
        <v>2125</v>
      </c>
    </row>
    <row r="167" spans="1:65" s="1247" customFormat="1" ht="82.5" customHeight="1">
      <c r="A167" s="1272">
        <v>4000</v>
      </c>
      <c r="B167" s="971" t="s">
        <v>1316</v>
      </c>
      <c r="C167" s="1272">
        <v>4100</v>
      </c>
      <c r="D167" s="971" t="s">
        <v>120</v>
      </c>
      <c r="E167" s="971" t="s">
        <v>1389</v>
      </c>
      <c r="F167" s="971" t="s">
        <v>176</v>
      </c>
      <c r="G167" s="971" t="s">
        <v>4505</v>
      </c>
      <c r="H167" s="971" t="s">
        <v>3491</v>
      </c>
      <c r="I167" s="1273" t="s">
        <v>6857</v>
      </c>
      <c r="J167" s="971" t="s">
        <v>2146</v>
      </c>
      <c r="K167" s="971" t="s">
        <v>2125</v>
      </c>
      <c r="L167" s="971" t="s">
        <v>2126</v>
      </c>
      <c r="M167" s="971" t="s">
        <v>2125</v>
      </c>
      <c r="N167" s="971" t="s">
        <v>176</v>
      </c>
      <c r="O167" s="971" t="s">
        <v>2126</v>
      </c>
      <c r="P167" s="971" t="s">
        <v>6797</v>
      </c>
      <c r="Q167" s="971" t="s">
        <v>6806</v>
      </c>
      <c r="R167" s="971" t="s">
        <v>4580</v>
      </c>
      <c r="S167" s="1274">
        <v>1</v>
      </c>
      <c r="T167" s="971" t="s">
        <v>242</v>
      </c>
      <c r="U167" s="1275">
        <v>13</v>
      </c>
      <c r="V167" s="1275">
        <v>120</v>
      </c>
      <c r="W167" s="1275">
        <v>1298.8739523809525</v>
      </c>
      <c r="X167" s="1275">
        <v>1200</v>
      </c>
      <c r="Y167" s="1275">
        <v>2618.8739523809527</v>
      </c>
      <c r="Z167" s="1129">
        <v>13</v>
      </c>
      <c r="AA167" s="1129">
        <v>120</v>
      </c>
      <c r="AB167" s="1129">
        <v>1298.8739523809525</v>
      </c>
      <c r="AC167" s="1129">
        <v>1200</v>
      </c>
      <c r="AD167" s="1098">
        <v>2618.8739523809527</v>
      </c>
      <c r="AE167" s="1237">
        <v>96</v>
      </c>
      <c r="AF167" s="1133">
        <v>96</v>
      </c>
      <c r="AG167" s="1127">
        <v>1</v>
      </c>
      <c r="AH167" s="1127">
        <v>0</v>
      </c>
      <c r="AI167" s="1127">
        <v>0</v>
      </c>
      <c r="AJ167" s="1127">
        <v>1</v>
      </c>
      <c r="AK167" s="1129">
        <v>2618.8739523809527</v>
      </c>
      <c r="AL167" s="1129">
        <v>0</v>
      </c>
      <c r="AM167" s="1129">
        <v>0</v>
      </c>
      <c r="AN167" s="1129">
        <v>2618.8739523809527</v>
      </c>
      <c r="AO167" s="1129" t="s">
        <v>85</v>
      </c>
      <c r="AP167" s="1129" t="s">
        <v>96</v>
      </c>
      <c r="AQ167" s="1157">
        <v>2014</v>
      </c>
      <c r="AR167" s="1129" t="s">
        <v>87</v>
      </c>
      <c r="AS167" s="1127">
        <v>0.33333333333333331</v>
      </c>
      <c r="AT167" s="1127"/>
      <c r="AU167" s="1127">
        <v>0.33333333333333331</v>
      </c>
      <c r="AV167" s="1127"/>
      <c r="AW167" s="1127"/>
      <c r="AX167" s="1127"/>
      <c r="AY167" s="1127"/>
      <c r="AZ167" s="1127">
        <v>0.33333333333333331</v>
      </c>
      <c r="BA167" s="1129">
        <v>872.95798412698423</v>
      </c>
      <c r="BB167" s="1129">
        <v>0</v>
      </c>
      <c r="BC167" s="1129">
        <v>872.95798412698423</v>
      </c>
      <c r="BD167" s="1129">
        <v>0</v>
      </c>
      <c r="BE167" s="1129">
        <v>0</v>
      </c>
      <c r="BF167" s="1129">
        <v>0</v>
      </c>
      <c r="BG167" s="1129">
        <v>0</v>
      </c>
      <c r="BH167" s="1129">
        <v>872.95798412698423</v>
      </c>
      <c r="BI167" s="971"/>
      <c r="BJ167" s="971"/>
      <c r="BK167" s="971"/>
      <c r="BL167" s="1246"/>
      <c r="BM167" s="1247" t="s">
        <v>2125</v>
      </c>
    </row>
    <row r="168" spans="1:65" s="1247" customFormat="1" ht="99" customHeight="1">
      <c r="A168" s="1272">
        <v>4000</v>
      </c>
      <c r="B168" s="971" t="s">
        <v>1316</v>
      </c>
      <c r="C168" s="1272">
        <v>4100</v>
      </c>
      <c r="D168" s="971" t="s">
        <v>120</v>
      </c>
      <c r="E168" s="971" t="s">
        <v>1389</v>
      </c>
      <c r="F168" s="971" t="s">
        <v>176</v>
      </c>
      <c r="G168" s="971" t="s">
        <v>4505</v>
      </c>
      <c r="H168" s="971" t="s">
        <v>3491</v>
      </c>
      <c r="I168" s="1273" t="s">
        <v>6858</v>
      </c>
      <c r="J168" s="971" t="s">
        <v>2146</v>
      </c>
      <c r="K168" s="971" t="s">
        <v>2125</v>
      </c>
      <c r="L168" s="971" t="s">
        <v>2126</v>
      </c>
      <c r="M168" s="971" t="s">
        <v>2125</v>
      </c>
      <c r="N168" s="971" t="s">
        <v>176</v>
      </c>
      <c r="O168" s="971" t="s">
        <v>2126</v>
      </c>
      <c r="P168" s="971" t="s">
        <v>6797</v>
      </c>
      <c r="Q168" s="971" t="s">
        <v>6806</v>
      </c>
      <c r="R168" s="971" t="s">
        <v>4581</v>
      </c>
      <c r="S168" s="1274">
        <v>1</v>
      </c>
      <c r="T168" s="971" t="s">
        <v>242</v>
      </c>
      <c r="U168" s="1275">
        <v>13</v>
      </c>
      <c r="V168" s="1275">
        <v>120</v>
      </c>
      <c r="W168" s="1275">
        <v>1298.8739523809525</v>
      </c>
      <c r="X168" s="1275">
        <v>1200</v>
      </c>
      <c r="Y168" s="1275">
        <v>2618.8739523809527</v>
      </c>
      <c r="Z168" s="1129">
        <v>13</v>
      </c>
      <c r="AA168" s="1129">
        <v>120</v>
      </c>
      <c r="AB168" s="1129">
        <v>1298.8739523809525</v>
      </c>
      <c r="AC168" s="1129">
        <v>1200</v>
      </c>
      <c r="AD168" s="1098">
        <v>2618.8739523809527</v>
      </c>
      <c r="AE168" s="1237">
        <v>96</v>
      </c>
      <c r="AF168" s="1133">
        <v>96</v>
      </c>
      <c r="AG168" s="1127">
        <v>1</v>
      </c>
      <c r="AH168" s="1127">
        <v>0</v>
      </c>
      <c r="AI168" s="1127">
        <v>0</v>
      </c>
      <c r="AJ168" s="1127">
        <v>1</v>
      </c>
      <c r="AK168" s="1129">
        <v>2618.8739523809527</v>
      </c>
      <c r="AL168" s="1129">
        <v>0</v>
      </c>
      <c r="AM168" s="1129">
        <v>0</v>
      </c>
      <c r="AN168" s="1129">
        <v>2618.8739523809527</v>
      </c>
      <c r="AO168" s="1129" t="s">
        <v>85</v>
      </c>
      <c r="AP168" s="1129" t="s">
        <v>96</v>
      </c>
      <c r="AQ168" s="1157">
        <v>2014</v>
      </c>
      <c r="AR168" s="1129" t="s">
        <v>87</v>
      </c>
      <c r="AS168" s="1127">
        <v>0.33333333333333331</v>
      </c>
      <c r="AT168" s="1127"/>
      <c r="AU168" s="1127">
        <v>0.33333333333333331</v>
      </c>
      <c r="AV168" s="1127"/>
      <c r="AW168" s="1127"/>
      <c r="AX168" s="1127"/>
      <c r="AY168" s="1127"/>
      <c r="AZ168" s="1127">
        <v>0.33333333333333331</v>
      </c>
      <c r="BA168" s="1129">
        <v>872.95798412698423</v>
      </c>
      <c r="BB168" s="1129">
        <v>0</v>
      </c>
      <c r="BC168" s="1129">
        <v>872.95798412698423</v>
      </c>
      <c r="BD168" s="1129">
        <v>0</v>
      </c>
      <c r="BE168" s="1129">
        <v>0</v>
      </c>
      <c r="BF168" s="1129">
        <v>0</v>
      </c>
      <c r="BG168" s="1129">
        <v>0</v>
      </c>
      <c r="BH168" s="1129">
        <v>872.95798412698423</v>
      </c>
      <c r="BI168" s="971"/>
      <c r="BJ168" s="971"/>
      <c r="BK168" s="971"/>
      <c r="BL168" s="1246"/>
      <c r="BM168" s="1247" t="s">
        <v>2127</v>
      </c>
    </row>
    <row r="169" spans="1:65" s="1247" customFormat="1" ht="82.5" customHeight="1">
      <c r="A169" s="1272">
        <v>4000</v>
      </c>
      <c r="B169" s="971" t="s">
        <v>1316</v>
      </c>
      <c r="C169" s="1272">
        <v>4100</v>
      </c>
      <c r="D169" s="971" t="s">
        <v>120</v>
      </c>
      <c r="E169" s="971" t="s">
        <v>1389</v>
      </c>
      <c r="F169" s="971" t="s">
        <v>176</v>
      </c>
      <c r="G169" s="971" t="s">
        <v>4505</v>
      </c>
      <c r="H169" s="971" t="s">
        <v>3491</v>
      </c>
      <c r="I169" s="1273" t="s">
        <v>6859</v>
      </c>
      <c r="J169" s="971" t="s">
        <v>2146</v>
      </c>
      <c r="K169" s="971" t="s">
        <v>2127</v>
      </c>
      <c r="L169" s="971" t="s">
        <v>2177</v>
      </c>
      <c r="M169" s="971" t="s">
        <v>2127</v>
      </c>
      <c r="N169" s="971" t="s">
        <v>176</v>
      </c>
      <c r="O169" s="971" t="s">
        <v>2177</v>
      </c>
      <c r="P169" s="971" t="s">
        <v>6646</v>
      </c>
      <c r="Q169" s="971" t="s">
        <v>6860</v>
      </c>
      <c r="R169" s="971" t="s">
        <v>4582</v>
      </c>
      <c r="S169" s="1274">
        <v>1</v>
      </c>
      <c r="T169" s="971" t="s">
        <v>242</v>
      </c>
      <c r="U169" s="1275">
        <v>10</v>
      </c>
      <c r="V169" s="1275">
        <v>45</v>
      </c>
      <c r="W169" s="1275">
        <v>999.13380952380965</v>
      </c>
      <c r="X169" s="1275">
        <v>450</v>
      </c>
      <c r="Y169" s="1275">
        <v>1494.1338095238098</v>
      </c>
      <c r="Z169" s="1129">
        <v>10</v>
      </c>
      <c r="AA169" s="1129">
        <v>45</v>
      </c>
      <c r="AB169" s="1129">
        <v>999.13380952380965</v>
      </c>
      <c r="AC169" s="1129">
        <v>450</v>
      </c>
      <c r="AD169" s="1098">
        <v>1494.1338095238098</v>
      </c>
      <c r="AE169" s="1237">
        <v>24</v>
      </c>
      <c r="AF169" s="1133">
        <v>24</v>
      </c>
      <c r="AG169" s="1127">
        <v>1</v>
      </c>
      <c r="AH169" s="1127">
        <v>0</v>
      </c>
      <c r="AI169" s="1127">
        <v>0</v>
      </c>
      <c r="AJ169" s="1127">
        <v>1</v>
      </c>
      <c r="AK169" s="1129">
        <v>1494.1338095238098</v>
      </c>
      <c r="AL169" s="1129">
        <v>0</v>
      </c>
      <c r="AM169" s="1129">
        <v>0</v>
      </c>
      <c r="AN169" s="1129">
        <v>1494.1338095238098</v>
      </c>
      <c r="AO169" s="1129" t="s">
        <v>85</v>
      </c>
      <c r="AP169" s="1129" t="s">
        <v>96</v>
      </c>
      <c r="AQ169" s="1157">
        <v>2014</v>
      </c>
      <c r="AR169" s="1129" t="s">
        <v>87</v>
      </c>
      <c r="AS169" s="1127">
        <v>0.33333333333333331</v>
      </c>
      <c r="AT169" s="1127"/>
      <c r="AU169" s="1127">
        <v>0.33333333333333331</v>
      </c>
      <c r="AV169" s="1127"/>
      <c r="AW169" s="1127"/>
      <c r="AX169" s="1127"/>
      <c r="AY169" s="1127"/>
      <c r="AZ169" s="1127">
        <v>0.33333333333333331</v>
      </c>
      <c r="BA169" s="1129">
        <v>498.04460317460325</v>
      </c>
      <c r="BB169" s="1129">
        <v>0</v>
      </c>
      <c r="BC169" s="1129">
        <v>498.04460317460325</v>
      </c>
      <c r="BD169" s="1129">
        <v>0</v>
      </c>
      <c r="BE169" s="1129">
        <v>0</v>
      </c>
      <c r="BF169" s="1129">
        <v>0</v>
      </c>
      <c r="BG169" s="1129">
        <v>0</v>
      </c>
      <c r="BH169" s="1129">
        <v>498.04460317460325</v>
      </c>
      <c r="BI169" s="971"/>
      <c r="BJ169" s="971"/>
      <c r="BK169" s="971"/>
      <c r="BL169" s="1246"/>
      <c r="BM169" s="1247" t="s">
        <v>2125</v>
      </c>
    </row>
    <row r="170" spans="1:65" s="1247" customFormat="1" ht="82.5" customHeight="1">
      <c r="A170" s="1272">
        <v>4000</v>
      </c>
      <c r="B170" s="971" t="s">
        <v>1316</v>
      </c>
      <c r="C170" s="1272">
        <v>4100</v>
      </c>
      <c r="D170" s="971" t="s">
        <v>120</v>
      </c>
      <c r="E170" s="971" t="s">
        <v>1389</v>
      </c>
      <c r="F170" s="971" t="s">
        <v>176</v>
      </c>
      <c r="G170" s="971" t="s">
        <v>4505</v>
      </c>
      <c r="H170" s="971" t="s">
        <v>3491</v>
      </c>
      <c r="I170" s="1273" t="s">
        <v>6861</v>
      </c>
      <c r="J170" s="971" t="s">
        <v>2146</v>
      </c>
      <c r="K170" s="971" t="s">
        <v>2127</v>
      </c>
      <c r="L170" s="971" t="s">
        <v>2177</v>
      </c>
      <c r="M170" s="971" t="s">
        <v>2127</v>
      </c>
      <c r="N170" s="971" t="s">
        <v>176</v>
      </c>
      <c r="O170" s="971" t="s">
        <v>2177</v>
      </c>
      <c r="P170" s="971" t="s">
        <v>6646</v>
      </c>
      <c r="Q170" s="971" t="s">
        <v>6862</v>
      </c>
      <c r="R170" s="971" t="s">
        <v>4588</v>
      </c>
      <c r="S170" s="1274">
        <v>1</v>
      </c>
      <c r="T170" s="971" t="s">
        <v>242</v>
      </c>
      <c r="U170" s="1275">
        <v>10</v>
      </c>
      <c r="V170" s="1275">
        <v>45</v>
      </c>
      <c r="W170" s="1275">
        <v>999.13380952380965</v>
      </c>
      <c r="X170" s="1275">
        <v>450</v>
      </c>
      <c r="Y170" s="1275">
        <v>1494.1338095238098</v>
      </c>
      <c r="Z170" s="1129">
        <v>10</v>
      </c>
      <c r="AA170" s="1129">
        <v>45</v>
      </c>
      <c r="AB170" s="1129">
        <v>999.13380952380965</v>
      </c>
      <c r="AC170" s="1129">
        <v>450</v>
      </c>
      <c r="AD170" s="1098">
        <v>1494.1338095238098</v>
      </c>
      <c r="AE170" s="1237">
        <v>24</v>
      </c>
      <c r="AF170" s="1133">
        <v>24</v>
      </c>
      <c r="AG170" s="1127">
        <v>1</v>
      </c>
      <c r="AH170" s="1127">
        <v>0</v>
      </c>
      <c r="AI170" s="1127">
        <v>0</v>
      </c>
      <c r="AJ170" s="1127">
        <v>1</v>
      </c>
      <c r="AK170" s="1129">
        <v>1494.1338095238098</v>
      </c>
      <c r="AL170" s="1129">
        <v>0</v>
      </c>
      <c r="AM170" s="1129">
        <v>0</v>
      </c>
      <c r="AN170" s="1129">
        <v>1494.1338095238098</v>
      </c>
      <c r="AO170" s="1129" t="s">
        <v>85</v>
      </c>
      <c r="AP170" s="1129" t="s">
        <v>96</v>
      </c>
      <c r="AQ170" s="1157">
        <v>2014</v>
      </c>
      <c r="AR170" s="1129" t="s">
        <v>87</v>
      </c>
      <c r="AS170" s="1127">
        <v>0.33333333333333331</v>
      </c>
      <c r="AT170" s="1127"/>
      <c r="AU170" s="1127">
        <v>0.33333333333333331</v>
      </c>
      <c r="AV170" s="1127"/>
      <c r="AW170" s="1127"/>
      <c r="AX170" s="1127"/>
      <c r="AY170" s="1127"/>
      <c r="AZ170" s="1127">
        <v>0.33333333333333331</v>
      </c>
      <c r="BA170" s="1129">
        <v>498.04460317460325</v>
      </c>
      <c r="BB170" s="1129">
        <v>0</v>
      </c>
      <c r="BC170" s="1129">
        <v>498.04460317460325</v>
      </c>
      <c r="BD170" s="1129">
        <v>0</v>
      </c>
      <c r="BE170" s="1129">
        <v>0</v>
      </c>
      <c r="BF170" s="1129">
        <v>0</v>
      </c>
      <c r="BG170" s="1129">
        <v>0</v>
      </c>
      <c r="BH170" s="1129">
        <v>498.04460317460325</v>
      </c>
      <c r="BI170" s="971"/>
      <c r="BJ170" s="971"/>
      <c r="BK170" s="971"/>
      <c r="BL170" s="1246"/>
      <c r="BM170" s="1247" t="s">
        <v>2125</v>
      </c>
    </row>
    <row r="171" spans="1:65" s="1247" customFormat="1" ht="99" customHeight="1">
      <c r="A171" s="1272">
        <v>4000</v>
      </c>
      <c r="B171" s="971" t="s">
        <v>1316</v>
      </c>
      <c r="C171" s="1272">
        <v>4100</v>
      </c>
      <c r="D171" s="971" t="s">
        <v>120</v>
      </c>
      <c r="E171" s="971" t="s">
        <v>1389</v>
      </c>
      <c r="F171" s="971" t="s">
        <v>176</v>
      </c>
      <c r="G171" s="971" t="s">
        <v>4505</v>
      </c>
      <c r="H171" s="971" t="s">
        <v>3491</v>
      </c>
      <c r="I171" s="1273" t="s">
        <v>6863</v>
      </c>
      <c r="J171" s="971" t="s">
        <v>2146</v>
      </c>
      <c r="K171" s="971" t="s">
        <v>2125</v>
      </c>
      <c r="L171" s="971" t="s">
        <v>2126</v>
      </c>
      <c r="M171" s="971" t="s">
        <v>2125</v>
      </c>
      <c r="N171" s="971" t="s">
        <v>176</v>
      </c>
      <c r="O171" s="971" t="s">
        <v>2126</v>
      </c>
      <c r="P171" s="971" t="s">
        <v>6646</v>
      </c>
      <c r="Q171" s="971" t="s">
        <v>6864</v>
      </c>
      <c r="R171" s="971" t="s">
        <v>4590</v>
      </c>
      <c r="S171" s="1274">
        <v>1</v>
      </c>
      <c r="T171" s="971" t="s">
        <v>242</v>
      </c>
      <c r="U171" s="1275">
        <v>13</v>
      </c>
      <c r="V171" s="1275">
        <v>120</v>
      </c>
      <c r="W171" s="1275">
        <v>1298.8739523809525</v>
      </c>
      <c r="X171" s="1275">
        <v>1200</v>
      </c>
      <c r="Y171" s="1275">
        <v>2618.8739523809527</v>
      </c>
      <c r="Z171" s="1129">
        <v>13</v>
      </c>
      <c r="AA171" s="1129">
        <v>120</v>
      </c>
      <c r="AB171" s="1129">
        <v>1298.8739523809525</v>
      </c>
      <c r="AC171" s="1129">
        <v>1200</v>
      </c>
      <c r="AD171" s="1098">
        <v>2618.8739523809527</v>
      </c>
      <c r="AE171" s="1237">
        <v>96</v>
      </c>
      <c r="AF171" s="1133">
        <v>96</v>
      </c>
      <c r="AG171" s="1127">
        <v>1</v>
      </c>
      <c r="AH171" s="1127">
        <v>0</v>
      </c>
      <c r="AI171" s="1127">
        <v>0</v>
      </c>
      <c r="AJ171" s="1127">
        <v>1</v>
      </c>
      <c r="AK171" s="1129">
        <v>2618.8739523809527</v>
      </c>
      <c r="AL171" s="1129">
        <v>0</v>
      </c>
      <c r="AM171" s="1129">
        <v>0</v>
      </c>
      <c r="AN171" s="1129">
        <v>2618.8739523809527</v>
      </c>
      <c r="AO171" s="1129" t="s">
        <v>85</v>
      </c>
      <c r="AP171" s="1129" t="s">
        <v>96</v>
      </c>
      <c r="AQ171" s="1157">
        <v>2014</v>
      </c>
      <c r="AR171" s="1129" t="s">
        <v>87</v>
      </c>
      <c r="AS171" s="1127">
        <v>0.33333333333333331</v>
      </c>
      <c r="AT171" s="1127"/>
      <c r="AU171" s="1127">
        <v>0.33333333333333331</v>
      </c>
      <c r="AV171" s="1127"/>
      <c r="AW171" s="1127"/>
      <c r="AX171" s="1127"/>
      <c r="AY171" s="1127"/>
      <c r="AZ171" s="1127">
        <v>0.33333333333333331</v>
      </c>
      <c r="BA171" s="1129">
        <v>872.95798412698423</v>
      </c>
      <c r="BB171" s="1129">
        <v>0</v>
      </c>
      <c r="BC171" s="1129">
        <v>872.95798412698423</v>
      </c>
      <c r="BD171" s="1129">
        <v>0</v>
      </c>
      <c r="BE171" s="1129">
        <v>0</v>
      </c>
      <c r="BF171" s="1129">
        <v>0</v>
      </c>
      <c r="BG171" s="1129">
        <v>0</v>
      </c>
      <c r="BH171" s="1129">
        <v>872.95798412698423</v>
      </c>
      <c r="BI171" s="971"/>
      <c r="BJ171" s="971"/>
      <c r="BK171" s="971"/>
      <c r="BL171" s="1246"/>
      <c r="BM171" s="1247" t="s">
        <v>2127</v>
      </c>
    </row>
    <row r="172" spans="1:65" s="1247" customFormat="1" ht="82.5" customHeight="1">
      <c r="A172" s="1272">
        <v>4000</v>
      </c>
      <c r="B172" s="971" t="s">
        <v>1316</v>
      </c>
      <c r="C172" s="1272">
        <v>4100</v>
      </c>
      <c r="D172" s="971" t="s">
        <v>120</v>
      </c>
      <c r="E172" s="971" t="s">
        <v>1389</v>
      </c>
      <c r="F172" s="971" t="s">
        <v>176</v>
      </c>
      <c r="G172" s="971" t="s">
        <v>4505</v>
      </c>
      <c r="H172" s="971" t="s">
        <v>3491</v>
      </c>
      <c r="I172" s="1273" t="s">
        <v>6865</v>
      </c>
      <c r="J172" s="971" t="s">
        <v>2146</v>
      </c>
      <c r="K172" s="971" t="s">
        <v>2125</v>
      </c>
      <c r="L172" s="971" t="s">
        <v>2126</v>
      </c>
      <c r="M172" s="971" t="s">
        <v>2125</v>
      </c>
      <c r="N172" s="971" t="s">
        <v>176</v>
      </c>
      <c r="O172" s="971" t="s">
        <v>2126</v>
      </c>
      <c r="P172" s="971" t="s">
        <v>6391</v>
      </c>
      <c r="Q172" s="971" t="s">
        <v>6866</v>
      </c>
      <c r="R172" s="971" t="s">
        <v>4597</v>
      </c>
      <c r="S172" s="1274">
        <v>1</v>
      </c>
      <c r="T172" s="971" t="s">
        <v>242</v>
      </c>
      <c r="U172" s="1275">
        <v>13</v>
      </c>
      <c r="V172" s="1275">
        <v>120</v>
      </c>
      <c r="W172" s="1275">
        <v>1298.8739523809525</v>
      </c>
      <c r="X172" s="1275">
        <v>1200</v>
      </c>
      <c r="Y172" s="1275">
        <v>2618.8739523809527</v>
      </c>
      <c r="Z172" s="1129">
        <v>13</v>
      </c>
      <c r="AA172" s="1129">
        <v>120</v>
      </c>
      <c r="AB172" s="1129">
        <v>1298.8739523809525</v>
      </c>
      <c r="AC172" s="1129">
        <v>1200</v>
      </c>
      <c r="AD172" s="1098">
        <v>2618.8739523809527</v>
      </c>
      <c r="AE172" s="1237">
        <v>96</v>
      </c>
      <c r="AF172" s="1133">
        <v>96</v>
      </c>
      <c r="AG172" s="1127">
        <v>1</v>
      </c>
      <c r="AH172" s="1127">
        <v>0</v>
      </c>
      <c r="AI172" s="1127">
        <v>0</v>
      </c>
      <c r="AJ172" s="1127">
        <v>1</v>
      </c>
      <c r="AK172" s="1129">
        <v>2618.8739523809527</v>
      </c>
      <c r="AL172" s="1129">
        <v>0</v>
      </c>
      <c r="AM172" s="1129">
        <v>0</v>
      </c>
      <c r="AN172" s="1129">
        <v>2618.8739523809527</v>
      </c>
      <c r="AO172" s="1129" t="s">
        <v>85</v>
      </c>
      <c r="AP172" s="1129" t="s">
        <v>96</v>
      </c>
      <c r="AQ172" s="1157">
        <v>2014</v>
      </c>
      <c r="AR172" s="1129" t="s">
        <v>87</v>
      </c>
      <c r="AS172" s="1127">
        <v>0.33333333333333331</v>
      </c>
      <c r="AT172" s="1127"/>
      <c r="AU172" s="1127">
        <v>0.33333333333333331</v>
      </c>
      <c r="AV172" s="1127"/>
      <c r="AW172" s="1127"/>
      <c r="AX172" s="1127"/>
      <c r="AY172" s="1127"/>
      <c r="AZ172" s="1127">
        <v>0.33333333333333331</v>
      </c>
      <c r="BA172" s="1129">
        <v>872.95798412698423</v>
      </c>
      <c r="BB172" s="1129">
        <v>0</v>
      </c>
      <c r="BC172" s="1129">
        <v>872.95798412698423</v>
      </c>
      <c r="BD172" s="1129">
        <v>0</v>
      </c>
      <c r="BE172" s="1129">
        <v>0</v>
      </c>
      <c r="BF172" s="1129">
        <v>0</v>
      </c>
      <c r="BG172" s="1129">
        <v>0</v>
      </c>
      <c r="BH172" s="1129">
        <v>872.95798412698423</v>
      </c>
      <c r="BI172" s="971"/>
      <c r="BJ172" s="971"/>
      <c r="BK172" s="971"/>
      <c r="BL172" s="1246"/>
      <c r="BM172" s="1247" t="s">
        <v>2125</v>
      </c>
    </row>
    <row r="173" spans="1:65" s="1247" customFormat="1" ht="82.5" customHeight="1">
      <c r="A173" s="1272">
        <v>4000</v>
      </c>
      <c r="B173" s="971" t="s">
        <v>1316</v>
      </c>
      <c r="C173" s="1272">
        <v>4100</v>
      </c>
      <c r="D173" s="971" t="s">
        <v>120</v>
      </c>
      <c r="E173" s="971" t="s">
        <v>1389</v>
      </c>
      <c r="F173" s="971" t="s">
        <v>176</v>
      </c>
      <c r="G173" s="971" t="s">
        <v>4505</v>
      </c>
      <c r="H173" s="971" t="s">
        <v>3491</v>
      </c>
      <c r="I173" s="1273" t="s">
        <v>6867</v>
      </c>
      <c r="J173" s="971" t="s">
        <v>2146</v>
      </c>
      <c r="K173" s="971" t="s">
        <v>2125</v>
      </c>
      <c r="L173" s="971" t="s">
        <v>2126</v>
      </c>
      <c r="M173" s="971" t="s">
        <v>2125</v>
      </c>
      <c r="N173" s="971" t="s">
        <v>176</v>
      </c>
      <c r="O173" s="971" t="s">
        <v>2126</v>
      </c>
      <c r="P173" s="971" t="s">
        <v>3065</v>
      </c>
      <c r="Q173" s="971" t="s">
        <v>6868</v>
      </c>
      <c r="R173" s="971" t="s">
        <v>4604</v>
      </c>
      <c r="S173" s="1274">
        <v>1</v>
      </c>
      <c r="T173" s="971" t="s">
        <v>242</v>
      </c>
      <c r="U173" s="1275">
        <v>13</v>
      </c>
      <c r="V173" s="1275">
        <v>120</v>
      </c>
      <c r="W173" s="1275">
        <v>1298.8739523809525</v>
      </c>
      <c r="X173" s="1275">
        <v>1200</v>
      </c>
      <c r="Y173" s="1275">
        <v>2618.8739523809527</v>
      </c>
      <c r="Z173" s="1129">
        <v>13</v>
      </c>
      <c r="AA173" s="1129">
        <v>120</v>
      </c>
      <c r="AB173" s="1129">
        <v>1298.8739523809525</v>
      </c>
      <c r="AC173" s="1129">
        <v>1200</v>
      </c>
      <c r="AD173" s="1098">
        <v>2618.8739523809527</v>
      </c>
      <c r="AE173" s="1237">
        <v>96</v>
      </c>
      <c r="AF173" s="1133">
        <v>96</v>
      </c>
      <c r="AG173" s="1127">
        <v>1</v>
      </c>
      <c r="AH173" s="1127">
        <v>0</v>
      </c>
      <c r="AI173" s="1127">
        <v>0</v>
      </c>
      <c r="AJ173" s="1127">
        <v>1</v>
      </c>
      <c r="AK173" s="1129">
        <v>2618.8739523809527</v>
      </c>
      <c r="AL173" s="1129">
        <v>0</v>
      </c>
      <c r="AM173" s="1129">
        <v>0</v>
      </c>
      <c r="AN173" s="1129">
        <v>2618.8739523809527</v>
      </c>
      <c r="AO173" s="1129" t="s">
        <v>85</v>
      </c>
      <c r="AP173" s="1129" t="s">
        <v>96</v>
      </c>
      <c r="AQ173" s="1157">
        <v>2014</v>
      </c>
      <c r="AR173" s="1129" t="s">
        <v>87</v>
      </c>
      <c r="AS173" s="1127">
        <v>0.33333333333333331</v>
      </c>
      <c r="AT173" s="1127"/>
      <c r="AU173" s="1127">
        <v>0.33333333333333331</v>
      </c>
      <c r="AV173" s="1127"/>
      <c r="AW173" s="1127"/>
      <c r="AX173" s="1127"/>
      <c r="AY173" s="1127"/>
      <c r="AZ173" s="1127">
        <v>0.33333333333333331</v>
      </c>
      <c r="BA173" s="1129">
        <v>872.95798412698423</v>
      </c>
      <c r="BB173" s="1129">
        <v>0</v>
      </c>
      <c r="BC173" s="1129">
        <v>872.95798412698423</v>
      </c>
      <c r="BD173" s="1129">
        <v>0</v>
      </c>
      <c r="BE173" s="1129">
        <v>0</v>
      </c>
      <c r="BF173" s="1129">
        <v>0</v>
      </c>
      <c r="BG173" s="1129">
        <v>0</v>
      </c>
      <c r="BH173" s="1129">
        <v>872.95798412698423</v>
      </c>
      <c r="BI173" s="971"/>
      <c r="BJ173" s="971"/>
      <c r="BK173" s="971"/>
      <c r="BL173" s="1246"/>
      <c r="BM173" s="1247" t="s">
        <v>2125</v>
      </c>
    </row>
    <row r="174" spans="1:65" s="1247" customFormat="1" ht="99" customHeight="1">
      <c r="A174" s="1272">
        <v>4000</v>
      </c>
      <c r="B174" s="971" t="s">
        <v>1316</v>
      </c>
      <c r="C174" s="1272">
        <v>4100</v>
      </c>
      <c r="D174" s="971" t="s">
        <v>120</v>
      </c>
      <c r="E174" s="971" t="s">
        <v>1389</v>
      </c>
      <c r="F174" s="971" t="s">
        <v>176</v>
      </c>
      <c r="G174" s="971" t="s">
        <v>4505</v>
      </c>
      <c r="H174" s="971" t="s">
        <v>3491</v>
      </c>
      <c r="I174" s="1273" t="s">
        <v>6869</v>
      </c>
      <c r="J174" s="971" t="s">
        <v>2146</v>
      </c>
      <c r="K174" s="971" t="s">
        <v>2125</v>
      </c>
      <c r="L174" s="971" t="s">
        <v>2126</v>
      </c>
      <c r="M174" s="971" t="s">
        <v>2125</v>
      </c>
      <c r="N174" s="971" t="s">
        <v>176</v>
      </c>
      <c r="O174" s="971" t="s">
        <v>2126</v>
      </c>
      <c r="P174" s="971" t="s">
        <v>3065</v>
      </c>
      <c r="Q174" s="971" t="s">
        <v>6870</v>
      </c>
      <c r="R174" s="971" t="s">
        <v>4611</v>
      </c>
      <c r="S174" s="1274">
        <v>1</v>
      </c>
      <c r="T174" s="971" t="s">
        <v>242</v>
      </c>
      <c r="U174" s="1275">
        <v>13</v>
      </c>
      <c r="V174" s="1275">
        <v>120</v>
      </c>
      <c r="W174" s="1275">
        <v>1298.8739523809525</v>
      </c>
      <c r="X174" s="1275">
        <v>1200</v>
      </c>
      <c r="Y174" s="1275">
        <v>2618.8739523809527</v>
      </c>
      <c r="Z174" s="1129">
        <v>13</v>
      </c>
      <c r="AA174" s="1129">
        <v>120</v>
      </c>
      <c r="AB174" s="1129">
        <v>1298.8739523809525</v>
      </c>
      <c r="AC174" s="1129">
        <v>1200</v>
      </c>
      <c r="AD174" s="1098">
        <v>2618.8739523809527</v>
      </c>
      <c r="AE174" s="1237">
        <v>96</v>
      </c>
      <c r="AF174" s="1133">
        <v>96</v>
      </c>
      <c r="AG174" s="1127">
        <v>1</v>
      </c>
      <c r="AH174" s="1127">
        <v>0</v>
      </c>
      <c r="AI174" s="1127">
        <v>0</v>
      </c>
      <c r="AJ174" s="1127">
        <v>1</v>
      </c>
      <c r="AK174" s="1129">
        <v>2618.8739523809527</v>
      </c>
      <c r="AL174" s="1129">
        <v>0</v>
      </c>
      <c r="AM174" s="1129">
        <v>0</v>
      </c>
      <c r="AN174" s="1129">
        <v>2618.8739523809527</v>
      </c>
      <c r="AO174" s="1129" t="s">
        <v>85</v>
      </c>
      <c r="AP174" s="1129" t="s">
        <v>96</v>
      </c>
      <c r="AQ174" s="1157">
        <v>2014</v>
      </c>
      <c r="AR174" s="1129" t="s">
        <v>87</v>
      </c>
      <c r="AS174" s="1127">
        <v>0.33333333333333331</v>
      </c>
      <c r="AT174" s="1127"/>
      <c r="AU174" s="1127">
        <v>0.33333333333333331</v>
      </c>
      <c r="AV174" s="1127"/>
      <c r="AW174" s="1127"/>
      <c r="AX174" s="1127"/>
      <c r="AY174" s="1127"/>
      <c r="AZ174" s="1127">
        <v>0.33333333333333331</v>
      </c>
      <c r="BA174" s="1129">
        <v>872.95798412698423</v>
      </c>
      <c r="BB174" s="1129">
        <v>0</v>
      </c>
      <c r="BC174" s="1129">
        <v>872.95798412698423</v>
      </c>
      <c r="BD174" s="1129">
        <v>0</v>
      </c>
      <c r="BE174" s="1129">
        <v>0</v>
      </c>
      <c r="BF174" s="1129">
        <v>0</v>
      </c>
      <c r="BG174" s="1129">
        <v>0</v>
      </c>
      <c r="BH174" s="1129">
        <v>872.95798412698423</v>
      </c>
      <c r="BI174" s="971"/>
      <c r="BJ174" s="971"/>
      <c r="BK174" s="971"/>
      <c r="BL174" s="1246"/>
      <c r="BM174" s="1247" t="s">
        <v>2127</v>
      </c>
    </row>
    <row r="175" spans="1:65" s="1247" customFormat="1" ht="82.5" customHeight="1">
      <c r="A175" s="1272">
        <v>4000</v>
      </c>
      <c r="B175" s="971" t="s">
        <v>1316</v>
      </c>
      <c r="C175" s="1272">
        <v>4100</v>
      </c>
      <c r="D175" s="971" t="s">
        <v>120</v>
      </c>
      <c r="E175" s="971" t="s">
        <v>1389</v>
      </c>
      <c r="F175" s="971" t="s">
        <v>176</v>
      </c>
      <c r="G175" s="971" t="s">
        <v>4505</v>
      </c>
      <c r="H175" s="971" t="s">
        <v>3491</v>
      </c>
      <c r="I175" s="1273" t="s">
        <v>6871</v>
      </c>
      <c r="J175" s="971" t="s">
        <v>2146</v>
      </c>
      <c r="K175" s="971" t="s">
        <v>2129</v>
      </c>
      <c r="L175" s="971" t="s">
        <v>2130</v>
      </c>
      <c r="M175" s="971" t="s">
        <v>2129</v>
      </c>
      <c r="N175" s="971" t="s">
        <v>176</v>
      </c>
      <c r="O175" s="971" t="s">
        <v>2130</v>
      </c>
      <c r="P175" s="971" t="s">
        <v>6632</v>
      </c>
      <c r="Q175" s="971" t="s">
        <v>6633</v>
      </c>
      <c r="R175" s="971" t="s">
        <v>4614</v>
      </c>
      <c r="S175" s="1274">
        <v>1</v>
      </c>
      <c r="T175" s="971" t="s">
        <v>242</v>
      </c>
      <c r="U175" s="1275">
        <v>6.666666666666667</v>
      </c>
      <c r="V175" s="1275">
        <v>25</v>
      </c>
      <c r="W175" s="1275">
        <v>666.08920634920639</v>
      </c>
      <c r="X175" s="1275">
        <v>250</v>
      </c>
      <c r="Y175" s="1275">
        <v>941.08920634920639</v>
      </c>
      <c r="Z175" s="1129">
        <v>6.666666666666667</v>
      </c>
      <c r="AA175" s="1129">
        <v>25</v>
      </c>
      <c r="AB175" s="1129">
        <v>666.08920634920639</v>
      </c>
      <c r="AC175" s="1129">
        <v>250</v>
      </c>
      <c r="AD175" s="1098">
        <v>941.08920634920639</v>
      </c>
      <c r="AE175" s="1237">
        <v>4</v>
      </c>
      <c r="AF175" s="1133">
        <v>4</v>
      </c>
      <c r="AG175" s="1127">
        <v>1</v>
      </c>
      <c r="AH175" s="1127">
        <v>0</v>
      </c>
      <c r="AI175" s="1127">
        <v>0</v>
      </c>
      <c r="AJ175" s="1127">
        <v>1</v>
      </c>
      <c r="AK175" s="1129">
        <v>941.08920634920639</v>
      </c>
      <c r="AL175" s="1129">
        <v>0</v>
      </c>
      <c r="AM175" s="1129">
        <v>0</v>
      </c>
      <c r="AN175" s="1129">
        <v>941.08920634920639</v>
      </c>
      <c r="AO175" s="1129" t="s">
        <v>85</v>
      </c>
      <c r="AP175" s="1129" t="s">
        <v>96</v>
      </c>
      <c r="AQ175" s="1157">
        <v>2014</v>
      </c>
      <c r="AR175" s="1129" t="s">
        <v>87</v>
      </c>
      <c r="AS175" s="1127">
        <v>0.33333333333333331</v>
      </c>
      <c r="AT175" s="1127"/>
      <c r="AU175" s="1127">
        <v>0.33333333333333331</v>
      </c>
      <c r="AV175" s="1127"/>
      <c r="AW175" s="1127"/>
      <c r="AX175" s="1127"/>
      <c r="AY175" s="1127"/>
      <c r="AZ175" s="1127">
        <v>0.33333333333333331</v>
      </c>
      <c r="BA175" s="1129">
        <v>313.69640211640211</v>
      </c>
      <c r="BB175" s="1129">
        <v>0</v>
      </c>
      <c r="BC175" s="1129">
        <v>313.69640211640211</v>
      </c>
      <c r="BD175" s="1129">
        <v>0</v>
      </c>
      <c r="BE175" s="1129">
        <v>0</v>
      </c>
      <c r="BF175" s="1129">
        <v>0</v>
      </c>
      <c r="BG175" s="1129">
        <v>0</v>
      </c>
      <c r="BH175" s="1129">
        <v>313.69640211640211</v>
      </c>
      <c r="BI175" s="971"/>
      <c r="BJ175" s="971"/>
      <c r="BK175" s="971"/>
      <c r="BL175" s="1246"/>
      <c r="BM175" s="1247" t="s">
        <v>2125</v>
      </c>
    </row>
    <row r="176" spans="1:65" s="1247" customFormat="1" ht="82.5" customHeight="1">
      <c r="A176" s="1272">
        <v>4000</v>
      </c>
      <c r="B176" s="971" t="s">
        <v>1316</v>
      </c>
      <c r="C176" s="1272">
        <v>4100</v>
      </c>
      <c r="D176" s="971" t="s">
        <v>120</v>
      </c>
      <c r="E176" s="971" t="s">
        <v>1389</v>
      </c>
      <c r="F176" s="971" t="s">
        <v>176</v>
      </c>
      <c r="G176" s="971" t="s">
        <v>4505</v>
      </c>
      <c r="H176" s="971" t="s">
        <v>3491</v>
      </c>
      <c r="I176" s="1273" t="s">
        <v>6872</v>
      </c>
      <c r="J176" s="971" t="s">
        <v>2146</v>
      </c>
      <c r="K176" s="971" t="s">
        <v>2129</v>
      </c>
      <c r="L176" s="971" t="s">
        <v>2130</v>
      </c>
      <c r="M176" s="971" t="s">
        <v>2129</v>
      </c>
      <c r="N176" s="971" t="s">
        <v>176</v>
      </c>
      <c r="O176" s="971" t="s">
        <v>2130</v>
      </c>
      <c r="P176" s="971" t="s">
        <v>6632</v>
      </c>
      <c r="Q176" s="971" t="s">
        <v>6633</v>
      </c>
      <c r="R176" s="971" t="s">
        <v>4615</v>
      </c>
      <c r="S176" s="1274">
        <v>1</v>
      </c>
      <c r="T176" s="971" t="s">
        <v>242</v>
      </c>
      <c r="U176" s="1275">
        <v>6.666666666666667</v>
      </c>
      <c r="V176" s="1275">
        <v>25</v>
      </c>
      <c r="W176" s="1275">
        <v>666.08920634920639</v>
      </c>
      <c r="X176" s="1275">
        <v>250</v>
      </c>
      <c r="Y176" s="1275">
        <v>941.08920634920639</v>
      </c>
      <c r="Z176" s="1129">
        <v>6.666666666666667</v>
      </c>
      <c r="AA176" s="1129">
        <v>25</v>
      </c>
      <c r="AB176" s="1129">
        <v>666.08920634920639</v>
      </c>
      <c r="AC176" s="1129">
        <v>250</v>
      </c>
      <c r="AD176" s="1098">
        <v>941.08920634920639</v>
      </c>
      <c r="AE176" s="1237">
        <v>4</v>
      </c>
      <c r="AF176" s="1133">
        <v>4</v>
      </c>
      <c r="AG176" s="1127">
        <v>1</v>
      </c>
      <c r="AH176" s="1127">
        <v>0</v>
      </c>
      <c r="AI176" s="1127">
        <v>0</v>
      </c>
      <c r="AJ176" s="1127">
        <v>1</v>
      </c>
      <c r="AK176" s="1129">
        <v>941.08920634920639</v>
      </c>
      <c r="AL176" s="1129">
        <v>0</v>
      </c>
      <c r="AM176" s="1129">
        <v>0</v>
      </c>
      <c r="AN176" s="1129">
        <v>941.08920634920639</v>
      </c>
      <c r="AO176" s="1129" t="s">
        <v>85</v>
      </c>
      <c r="AP176" s="1129" t="s">
        <v>96</v>
      </c>
      <c r="AQ176" s="1157">
        <v>2014</v>
      </c>
      <c r="AR176" s="1129" t="s">
        <v>87</v>
      </c>
      <c r="AS176" s="1127">
        <v>0.33333333333333331</v>
      </c>
      <c r="AT176" s="1127"/>
      <c r="AU176" s="1127">
        <v>0.33333333333333331</v>
      </c>
      <c r="AV176" s="1127"/>
      <c r="AW176" s="1127"/>
      <c r="AX176" s="1127"/>
      <c r="AY176" s="1127"/>
      <c r="AZ176" s="1127">
        <v>0.33333333333333331</v>
      </c>
      <c r="BA176" s="1129">
        <v>313.69640211640211</v>
      </c>
      <c r="BB176" s="1129">
        <v>0</v>
      </c>
      <c r="BC176" s="1129">
        <v>313.69640211640211</v>
      </c>
      <c r="BD176" s="1129">
        <v>0</v>
      </c>
      <c r="BE176" s="1129">
        <v>0</v>
      </c>
      <c r="BF176" s="1129">
        <v>0</v>
      </c>
      <c r="BG176" s="1129">
        <v>0</v>
      </c>
      <c r="BH176" s="1129">
        <v>313.69640211640211</v>
      </c>
      <c r="BI176" s="971"/>
      <c r="BJ176" s="971"/>
      <c r="BK176" s="971"/>
      <c r="BL176" s="1246"/>
      <c r="BM176" s="1247" t="s">
        <v>2125</v>
      </c>
    </row>
    <row r="177" spans="1:65" s="1247" customFormat="1" ht="99" customHeight="1">
      <c r="A177" s="1272">
        <v>4000</v>
      </c>
      <c r="B177" s="971" t="s">
        <v>1316</v>
      </c>
      <c r="C177" s="1272">
        <v>4100</v>
      </c>
      <c r="D177" s="971" t="s">
        <v>120</v>
      </c>
      <c r="E177" s="971" t="s">
        <v>1389</v>
      </c>
      <c r="F177" s="971" t="s">
        <v>176</v>
      </c>
      <c r="G177" s="971" t="s">
        <v>4505</v>
      </c>
      <c r="H177" s="971" t="s">
        <v>3491</v>
      </c>
      <c r="I177" s="1273" t="s">
        <v>6873</v>
      </c>
      <c r="J177" s="971" t="s">
        <v>2146</v>
      </c>
      <c r="K177" s="971" t="s">
        <v>2129</v>
      </c>
      <c r="L177" s="971" t="s">
        <v>2130</v>
      </c>
      <c r="M177" s="971" t="s">
        <v>2129</v>
      </c>
      <c r="N177" s="971" t="s">
        <v>176</v>
      </c>
      <c r="O177" s="971" t="s">
        <v>2130</v>
      </c>
      <c r="P177" s="971" t="s">
        <v>6632</v>
      </c>
      <c r="Q177" s="971" t="s">
        <v>6633</v>
      </c>
      <c r="R177" s="971" t="s">
        <v>4616</v>
      </c>
      <c r="S177" s="1274">
        <v>1</v>
      </c>
      <c r="T177" s="971" t="s">
        <v>242</v>
      </c>
      <c r="U177" s="1275">
        <v>6.666666666666667</v>
      </c>
      <c r="V177" s="1275">
        <v>25</v>
      </c>
      <c r="W177" s="1275">
        <v>666.08920634920639</v>
      </c>
      <c r="X177" s="1275">
        <v>250</v>
      </c>
      <c r="Y177" s="1275">
        <v>941.08920634920639</v>
      </c>
      <c r="Z177" s="1129">
        <v>6.666666666666667</v>
      </c>
      <c r="AA177" s="1129">
        <v>25</v>
      </c>
      <c r="AB177" s="1129">
        <v>666.08920634920639</v>
      </c>
      <c r="AC177" s="1129">
        <v>250</v>
      </c>
      <c r="AD177" s="1098">
        <v>941.08920634920639</v>
      </c>
      <c r="AE177" s="1237">
        <v>4</v>
      </c>
      <c r="AF177" s="1133">
        <v>4</v>
      </c>
      <c r="AG177" s="1127">
        <v>1</v>
      </c>
      <c r="AH177" s="1127">
        <v>0</v>
      </c>
      <c r="AI177" s="1127">
        <v>0</v>
      </c>
      <c r="AJ177" s="1127">
        <v>1</v>
      </c>
      <c r="AK177" s="1129">
        <v>941.08920634920639</v>
      </c>
      <c r="AL177" s="1129">
        <v>0</v>
      </c>
      <c r="AM177" s="1129">
        <v>0</v>
      </c>
      <c r="AN177" s="1129">
        <v>941.08920634920639</v>
      </c>
      <c r="AO177" s="1129" t="s">
        <v>85</v>
      </c>
      <c r="AP177" s="1129" t="s">
        <v>96</v>
      </c>
      <c r="AQ177" s="1157">
        <v>2014</v>
      </c>
      <c r="AR177" s="1129" t="s">
        <v>87</v>
      </c>
      <c r="AS177" s="1127">
        <v>0.33333333333333331</v>
      </c>
      <c r="AT177" s="1127"/>
      <c r="AU177" s="1127">
        <v>0.33333333333333331</v>
      </c>
      <c r="AV177" s="1127"/>
      <c r="AW177" s="1127"/>
      <c r="AX177" s="1127"/>
      <c r="AY177" s="1127"/>
      <c r="AZ177" s="1127">
        <v>0.33333333333333331</v>
      </c>
      <c r="BA177" s="1129">
        <v>313.69640211640211</v>
      </c>
      <c r="BB177" s="1129">
        <v>0</v>
      </c>
      <c r="BC177" s="1129">
        <v>313.69640211640211</v>
      </c>
      <c r="BD177" s="1129">
        <v>0</v>
      </c>
      <c r="BE177" s="1129">
        <v>0</v>
      </c>
      <c r="BF177" s="1129">
        <v>0</v>
      </c>
      <c r="BG177" s="1129">
        <v>0</v>
      </c>
      <c r="BH177" s="1129">
        <v>313.69640211640211</v>
      </c>
      <c r="BI177" s="971"/>
      <c r="BJ177" s="971"/>
      <c r="BK177" s="971"/>
      <c r="BL177" s="1246"/>
      <c r="BM177" s="1247" t="s">
        <v>2127</v>
      </c>
    </row>
    <row r="178" spans="1:65" s="1247" customFormat="1" ht="82.5" customHeight="1">
      <c r="A178" s="1272">
        <v>4000</v>
      </c>
      <c r="B178" s="971" t="s">
        <v>1316</v>
      </c>
      <c r="C178" s="1272">
        <v>4100</v>
      </c>
      <c r="D178" s="971" t="s">
        <v>120</v>
      </c>
      <c r="E178" s="971" t="s">
        <v>1389</v>
      </c>
      <c r="F178" s="971" t="s">
        <v>176</v>
      </c>
      <c r="G178" s="971" t="s">
        <v>4505</v>
      </c>
      <c r="H178" s="971" t="s">
        <v>3491</v>
      </c>
      <c r="I178" s="1273" t="s">
        <v>6874</v>
      </c>
      <c r="J178" s="971" t="s">
        <v>2146</v>
      </c>
      <c r="K178" s="971" t="s">
        <v>2129</v>
      </c>
      <c r="L178" s="971" t="s">
        <v>2130</v>
      </c>
      <c r="M178" s="971" t="s">
        <v>2129</v>
      </c>
      <c r="N178" s="971" t="s">
        <v>176</v>
      </c>
      <c r="O178" s="971" t="s">
        <v>2130</v>
      </c>
      <c r="P178" s="971" t="s">
        <v>6632</v>
      </c>
      <c r="Q178" s="971" t="s">
        <v>6633</v>
      </c>
      <c r="R178" s="971" t="s">
        <v>4617</v>
      </c>
      <c r="S178" s="1274">
        <v>1</v>
      </c>
      <c r="T178" s="971" t="s">
        <v>242</v>
      </c>
      <c r="U178" s="1275">
        <v>6.666666666666667</v>
      </c>
      <c r="V178" s="1275">
        <v>25</v>
      </c>
      <c r="W178" s="1275">
        <v>666.08920634920639</v>
      </c>
      <c r="X178" s="1275">
        <v>250</v>
      </c>
      <c r="Y178" s="1275">
        <v>941.08920634920639</v>
      </c>
      <c r="Z178" s="1129">
        <v>6.666666666666667</v>
      </c>
      <c r="AA178" s="1129">
        <v>25</v>
      </c>
      <c r="AB178" s="1129">
        <v>666.08920634920639</v>
      </c>
      <c r="AC178" s="1129">
        <v>250</v>
      </c>
      <c r="AD178" s="1098">
        <v>941.08920634920639</v>
      </c>
      <c r="AE178" s="1237">
        <v>4</v>
      </c>
      <c r="AF178" s="1133">
        <v>4</v>
      </c>
      <c r="AG178" s="1127">
        <v>1</v>
      </c>
      <c r="AH178" s="1127">
        <v>0</v>
      </c>
      <c r="AI178" s="1127">
        <v>0</v>
      </c>
      <c r="AJ178" s="1127">
        <v>1</v>
      </c>
      <c r="AK178" s="1129">
        <v>941.08920634920639</v>
      </c>
      <c r="AL178" s="1129">
        <v>0</v>
      </c>
      <c r="AM178" s="1129">
        <v>0</v>
      </c>
      <c r="AN178" s="1129">
        <v>941.08920634920639</v>
      </c>
      <c r="AO178" s="1129" t="s">
        <v>85</v>
      </c>
      <c r="AP178" s="1129" t="s">
        <v>96</v>
      </c>
      <c r="AQ178" s="1157">
        <v>2014</v>
      </c>
      <c r="AR178" s="1129" t="s">
        <v>87</v>
      </c>
      <c r="AS178" s="1127">
        <v>0.33333333333333331</v>
      </c>
      <c r="AT178" s="1127"/>
      <c r="AU178" s="1127">
        <v>0.33333333333333331</v>
      </c>
      <c r="AV178" s="1127"/>
      <c r="AW178" s="1127"/>
      <c r="AX178" s="1127"/>
      <c r="AY178" s="1127"/>
      <c r="AZ178" s="1127">
        <v>0.33333333333333331</v>
      </c>
      <c r="BA178" s="1129">
        <v>313.69640211640211</v>
      </c>
      <c r="BB178" s="1129">
        <v>0</v>
      </c>
      <c r="BC178" s="1129">
        <v>313.69640211640211</v>
      </c>
      <c r="BD178" s="1129">
        <v>0</v>
      </c>
      <c r="BE178" s="1129">
        <v>0</v>
      </c>
      <c r="BF178" s="1129">
        <v>0</v>
      </c>
      <c r="BG178" s="1129">
        <v>0</v>
      </c>
      <c r="BH178" s="1129">
        <v>313.69640211640211</v>
      </c>
      <c r="BI178" s="971"/>
      <c r="BJ178" s="971"/>
      <c r="BK178" s="971"/>
      <c r="BL178" s="1246"/>
      <c r="BM178" s="1247" t="s">
        <v>2125</v>
      </c>
    </row>
    <row r="179" spans="1:65" s="1247" customFormat="1" ht="82.5" customHeight="1">
      <c r="A179" s="1272">
        <v>4000</v>
      </c>
      <c r="B179" s="971" t="s">
        <v>1316</v>
      </c>
      <c r="C179" s="1272">
        <v>4100</v>
      </c>
      <c r="D179" s="971" t="s">
        <v>120</v>
      </c>
      <c r="E179" s="971" t="s">
        <v>1389</v>
      </c>
      <c r="F179" s="971" t="s">
        <v>176</v>
      </c>
      <c r="G179" s="971" t="s">
        <v>4505</v>
      </c>
      <c r="H179" s="971" t="s">
        <v>3491</v>
      </c>
      <c r="I179" s="1273" t="s">
        <v>6875</v>
      </c>
      <c r="J179" s="971" t="s">
        <v>2146</v>
      </c>
      <c r="K179" s="971" t="s">
        <v>2129</v>
      </c>
      <c r="L179" s="971" t="s">
        <v>2130</v>
      </c>
      <c r="M179" s="971" t="s">
        <v>2129</v>
      </c>
      <c r="N179" s="971" t="s">
        <v>176</v>
      </c>
      <c r="O179" s="971" t="s">
        <v>2130</v>
      </c>
      <c r="P179" s="971" t="s">
        <v>6632</v>
      </c>
      <c r="Q179" s="971" t="s">
        <v>6633</v>
      </c>
      <c r="R179" s="971" t="s">
        <v>4618</v>
      </c>
      <c r="S179" s="1274">
        <v>1</v>
      </c>
      <c r="T179" s="971" t="s">
        <v>242</v>
      </c>
      <c r="U179" s="1275">
        <v>6.666666666666667</v>
      </c>
      <c r="V179" s="1275">
        <v>25</v>
      </c>
      <c r="W179" s="1275">
        <v>666.08920634920639</v>
      </c>
      <c r="X179" s="1275">
        <v>250</v>
      </c>
      <c r="Y179" s="1275">
        <v>941.08920634920639</v>
      </c>
      <c r="Z179" s="1129">
        <v>6.666666666666667</v>
      </c>
      <c r="AA179" s="1129">
        <v>25</v>
      </c>
      <c r="AB179" s="1129">
        <v>666.08920634920639</v>
      </c>
      <c r="AC179" s="1129">
        <v>250</v>
      </c>
      <c r="AD179" s="1098">
        <v>941.08920634920639</v>
      </c>
      <c r="AE179" s="1237">
        <v>4</v>
      </c>
      <c r="AF179" s="1133">
        <v>4</v>
      </c>
      <c r="AG179" s="1127">
        <v>1</v>
      </c>
      <c r="AH179" s="1127">
        <v>0</v>
      </c>
      <c r="AI179" s="1127">
        <v>0</v>
      </c>
      <c r="AJ179" s="1127">
        <v>1</v>
      </c>
      <c r="AK179" s="1129">
        <v>941.08920634920639</v>
      </c>
      <c r="AL179" s="1129">
        <v>0</v>
      </c>
      <c r="AM179" s="1129">
        <v>0</v>
      </c>
      <c r="AN179" s="1129">
        <v>941.08920634920639</v>
      </c>
      <c r="AO179" s="1129" t="s">
        <v>85</v>
      </c>
      <c r="AP179" s="1129" t="s">
        <v>96</v>
      </c>
      <c r="AQ179" s="1157">
        <v>2014</v>
      </c>
      <c r="AR179" s="1129" t="s">
        <v>87</v>
      </c>
      <c r="AS179" s="1127">
        <v>0.33333333333333331</v>
      </c>
      <c r="AT179" s="1127"/>
      <c r="AU179" s="1127">
        <v>0.33333333333333331</v>
      </c>
      <c r="AV179" s="1127"/>
      <c r="AW179" s="1127"/>
      <c r="AX179" s="1127"/>
      <c r="AY179" s="1127"/>
      <c r="AZ179" s="1127">
        <v>0.33333333333333331</v>
      </c>
      <c r="BA179" s="1129">
        <v>313.69640211640211</v>
      </c>
      <c r="BB179" s="1129">
        <v>0</v>
      </c>
      <c r="BC179" s="1129">
        <v>313.69640211640211</v>
      </c>
      <c r="BD179" s="1129">
        <v>0</v>
      </c>
      <c r="BE179" s="1129">
        <v>0</v>
      </c>
      <c r="BF179" s="1129">
        <v>0</v>
      </c>
      <c r="BG179" s="1129">
        <v>0</v>
      </c>
      <c r="BH179" s="1129">
        <v>313.69640211640211</v>
      </c>
      <c r="BI179" s="971"/>
      <c r="BJ179" s="971"/>
      <c r="BK179" s="971"/>
      <c r="BL179" s="1246"/>
      <c r="BM179" s="1247" t="s">
        <v>2125</v>
      </c>
    </row>
    <row r="180" spans="1:65" s="1247" customFormat="1" ht="99" customHeight="1">
      <c r="A180" s="1272">
        <v>4000</v>
      </c>
      <c r="B180" s="971" t="s">
        <v>1316</v>
      </c>
      <c r="C180" s="1272">
        <v>4100</v>
      </c>
      <c r="D180" s="971" t="s">
        <v>120</v>
      </c>
      <c r="E180" s="971" t="s">
        <v>1389</v>
      </c>
      <c r="F180" s="971" t="s">
        <v>176</v>
      </c>
      <c r="G180" s="971" t="s">
        <v>4505</v>
      </c>
      <c r="H180" s="971" t="s">
        <v>3491</v>
      </c>
      <c r="I180" s="1273" t="s">
        <v>6876</v>
      </c>
      <c r="J180" s="971" t="s">
        <v>2146</v>
      </c>
      <c r="K180" s="971" t="s">
        <v>2129</v>
      </c>
      <c r="L180" s="971" t="s">
        <v>2130</v>
      </c>
      <c r="M180" s="971" t="s">
        <v>2129</v>
      </c>
      <c r="N180" s="971" t="s">
        <v>176</v>
      </c>
      <c r="O180" s="971" t="s">
        <v>2130</v>
      </c>
      <c r="P180" s="971" t="s">
        <v>6632</v>
      </c>
      <c r="Q180" s="971" t="s">
        <v>6633</v>
      </c>
      <c r="R180" s="971" t="s">
        <v>4619</v>
      </c>
      <c r="S180" s="1274">
        <v>1</v>
      </c>
      <c r="T180" s="971" t="s">
        <v>242</v>
      </c>
      <c r="U180" s="1275">
        <v>6.666666666666667</v>
      </c>
      <c r="V180" s="1275">
        <v>25</v>
      </c>
      <c r="W180" s="1275">
        <v>666.08920634920639</v>
      </c>
      <c r="X180" s="1275">
        <v>250</v>
      </c>
      <c r="Y180" s="1275">
        <v>941.08920634920639</v>
      </c>
      <c r="Z180" s="1129">
        <v>6.666666666666667</v>
      </c>
      <c r="AA180" s="1129">
        <v>25</v>
      </c>
      <c r="AB180" s="1129">
        <v>666.08920634920639</v>
      </c>
      <c r="AC180" s="1129">
        <v>250</v>
      </c>
      <c r="AD180" s="1098">
        <v>941.08920634920639</v>
      </c>
      <c r="AE180" s="1237">
        <v>4</v>
      </c>
      <c r="AF180" s="1133">
        <v>4</v>
      </c>
      <c r="AG180" s="1127">
        <v>1</v>
      </c>
      <c r="AH180" s="1127">
        <v>0</v>
      </c>
      <c r="AI180" s="1127">
        <v>0</v>
      </c>
      <c r="AJ180" s="1127">
        <v>1</v>
      </c>
      <c r="AK180" s="1129">
        <v>941.08920634920639</v>
      </c>
      <c r="AL180" s="1129">
        <v>0</v>
      </c>
      <c r="AM180" s="1129">
        <v>0</v>
      </c>
      <c r="AN180" s="1129">
        <v>941.08920634920639</v>
      </c>
      <c r="AO180" s="1129" t="s">
        <v>85</v>
      </c>
      <c r="AP180" s="1129" t="s">
        <v>96</v>
      </c>
      <c r="AQ180" s="1157">
        <v>2014</v>
      </c>
      <c r="AR180" s="1129" t="s">
        <v>87</v>
      </c>
      <c r="AS180" s="1127">
        <v>0.33333333333333331</v>
      </c>
      <c r="AT180" s="1127"/>
      <c r="AU180" s="1127">
        <v>0.33333333333333331</v>
      </c>
      <c r="AV180" s="1127"/>
      <c r="AW180" s="1127"/>
      <c r="AX180" s="1127"/>
      <c r="AY180" s="1127"/>
      <c r="AZ180" s="1127">
        <v>0.33333333333333331</v>
      </c>
      <c r="BA180" s="1129">
        <v>313.69640211640211</v>
      </c>
      <c r="BB180" s="1129">
        <v>0</v>
      </c>
      <c r="BC180" s="1129">
        <v>313.69640211640211</v>
      </c>
      <c r="BD180" s="1129">
        <v>0</v>
      </c>
      <c r="BE180" s="1129">
        <v>0</v>
      </c>
      <c r="BF180" s="1129">
        <v>0</v>
      </c>
      <c r="BG180" s="1129">
        <v>0</v>
      </c>
      <c r="BH180" s="1129">
        <v>313.69640211640211</v>
      </c>
      <c r="BI180" s="971"/>
      <c r="BJ180" s="971"/>
      <c r="BK180" s="971"/>
      <c r="BL180" s="1246"/>
      <c r="BM180" s="1247" t="s">
        <v>2127</v>
      </c>
    </row>
    <row r="181" spans="1:65" s="1247" customFormat="1" ht="82.5" customHeight="1">
      <c r="A181" s="1272">
        <v>4000</v>
      </c>
      <c r="B181" s="971" t="s">
        <v>1316</v>
      </c>
      <c r="C181" s="1272">
        <v>4100</v>
      </c>
      <c r="D181" s="971" t="s">
        <v>120</v>
      </c>
      <c r="E181" s="971" t="s">
        <v>1389</v>
      </c>
      <c r="F181" s="971" t="s">
        <v>176</v>
      </c>
      <c r="G181" s="971" t="s">
        <v>4505</v>
      </c>
      <c r="H181" s="971" t="s">
        <v>3491</v>
      </c>
      <c r="I181" s="1273" t="s">
        <v>6877</v>
      </c>
      <c r="J181" s="971" t="s">
        <v>2146</v>
      </c>
      <c r="K181" s="971" t="s">
        <v>2129</v>
      </c>
      <c r="L181" s="971" t="s">
        <v>2130</v>
      </c>
      <c r="M181" s="971" t="s">
        <v>2129</v>
      </c>
      <c r="N181" s="971" t="s">
        <v>176</v>
      </c>
      <c r="O181" s="971" t="s">
        <v>2130</v>
      </c>
      <c r="P181" s="971" t="s">
        <v>6632</v>
      </c>
      <c r="Q181" s="971" t="s">
        <v>6633</v>
      </c>
      <c r="R181" s="971" t="s">
        <v>4620</v>
      </c>
      <c r="S181" s="1274">
        <v>1</v>
      </c>
      <c r="T181" s="971" t="s">
        <v>242</v>
      </c>
      <c r="U181" s="1275">
        <v>6.666666666666667</v>
      </c>
      <c r="V181" s="1275">
        <v>25</v>
      </c>
      <c r="W181" s="1275">
        <v>666.08920634920639</v>
      </c>
      <c r="X181" s="1275">
        <v>250</v>
      </c>
      <c r="Y181" s="1275">
        <v>941.08920634920639</v>
      </c>
      <c r="Z181" s="1129">
        <v>6.666666666666667</v>
      </c>
      <c r="AA181" s="1129">
        <v>25</v>
      </c>
      <c r="AB181" s="1129">
        <v>666.08920634920639</v>
      </c>
      <c r="AC181" s="1129">
        <v>250</v>
      </c>
      <c r="AD181" s="1098">
        <v>941.08920634920639</v>
      </c>
      <c r="AE181" s="1237">
        <v>4</v>
      </c>
      <c r="AF181" s="1133">
        <v>4</v>
      </c>
      <c r="AG181" s="1127">
        <v>1</v>
      </c>
      <c r="AH181" s="1127">
        <v>0</v>
      </c>
      <c r="AI181" s="1127">
        <v>0</v>
      </c>
      <c r="AJ181" s="1127">
        <v>1</v>
      </c>
      <c r="AK181" s="1129">
        <v>941.08920634920639</v>
      </c>
      <c r="AL181" s="1129">
        <v>0</v>
      </c>
      <c r="AM181" s="1129">
        <v>0</v>
      </c>
      <c r="AN181" s="1129">
        <v>941.08920634920639</v>
      </c>
      <c r="AO181" s="1129" t="s">
        <v>85</v>
      </c>
      <c r="AP181" s="1129" t="s">
        <v>96</v>
      </c>
      <c r="AQ181" s="1157">
        <v>2014</v>
      </c>
      <c r="AR181" s="1129" t="s">
        <v>87</v>
      </c>
      <c r="AS181" s="1127">
        <v>0.33333333333333331</v>
      </c>
      <c r="AT181" s="1127"/>
      <c r="AU181" s="1127">
        <v>0.33333333333333331</v>
      </c>
      <c r="AV181" s="1127"/>
      <c r="AW181" s="1127"/>
      <c r="AX181" s="1127"/>
      <c r="AY181" s="1127"/>
      <c r="AZ181" s="1127">
        <v>0.33333333333333331</v>
      </c>
      <c r="BA181" s="1129">
        <v>313.69640211640211</v>
      </c>
      <c r="BB181" s="1129">
        <v>0</v>
      </c>
      <c r="BC181" s="1129">
        <v>313.69640211640211</v>
      </c>
      <c r="BD181" s="1129">
        <v>0</v>
      </c>
      <c r="BE181" s="1129">
        <v>0</v>
      </c>
      <c r="BF181" s="1129">
        <v>0</v>
      </c>
      <c r="BG181" s="1129">
        <v>0</v>
      </c>
      <c r="BH181" s="1129">
        <v>313.69640211640211</v>
      </c>
      <c r="BI181" s="971"/>
      <c r="BJ181" s="971"/>
      <c r="BK181" s="971"/>
      <c r="BL181" s="1246"/>
      <c r="BM181" s="1247" t="s">
        <v>2125</v>
      </c>
    </row>
    <row r="182" spans="1:65" s="1247" customFormat="1" ht="82.5" customHeight="1">
      <c r="A182" s="1272">
        <v>4000</v>
      </c>
      <c r="B182" s="971" t="s">
        <v>1316</v>
      </c>
      <c r="C182" s="1272">
        <v>4100</v>
      </c>
      <c r="D182" s="971" t="s">
        <v>120</v>
      </c>
      <c r="E182" s="971" t="s">
        <v>1389</v>
      </c>
      <c r="F182" s="971" t="s">
        <v>176</v>
      </c>
      <c r="G182" s="971" t="s">
        <v>4505</v>
      </c>
      <c r="H182" s="971" t="s">
        <v>3491</v>
      </c>
      <c r="I182" s="1273" t="s">
        <v>6878</v>
      </c>
      <c r="J182" s="971" t="s">
        <v>2146</v>
      </c>
      <c r="K182" s="971" t="s">
        <v>2129</v>
      </c>
      <c r="L182" s="971" t="s">
        <v>2130</v>
      </c>
      <c r="M182" s="971" t="s">
        <v>2129</v>
      </c>
      <c r="N182" s="971" t="s">
        <v>176</v>
      </c>
      <c r="O182" s="971" t="s">
        <v>2130</v>
      </c>
      <c r="P182" s="971" t="s">
        <v>6632</v>
      </c>
      <c r="Q182" s="971" t="s">
        <v>6633</v>
      </c>
      <c r="R182" s="971" t="s">
        <v>4621</v>
      </c>
      <c r="S182" s="1274">
        <v>1</v>
      </c>
      <c r="T182" s="971" t="s">
        <v>242</v>
      </c>
      <c r="U182" s="1275">
        <v>6.666666666666667</v>
      </c>
      <c r="V182" s="1275">
        <v>25</v>
      </c>
      <c r="W182" s="1275">
        <v>666.08920634920639</v>
      </c>
      <c r="X182" s="1275">
        <v>250</v>
      </c>
      <c r="Y182" s="1275">
        <v>941.08920634920639</v>
      </c>
      <c r="Z182" s="1129">
        <v>6.666666666666667</v>
      </c>
      <c r="AA182" s="1129">
        <v>25</v>
      </c>
      <c r="AB182" s="1129">
        <v>666.08920634920639</v>
      </c>
      <c r="AC182" s="1129">
        <v>250</v>
      </c>
      <c r="AD182" s="1098">
        <v>941.08920634920639</v>
      </c>
      <c r="AE182" s="1237">
        <v>4</v>
      </c>
      <c r="AF182" s="1133">
        <v>4</v>
      </c>
      <c r="AG182" s="1127">
        <v>1</v>
      </c>
      <c r="AH182" s="1127">
        <v>0</v>
      </c>
      <c r="AI182" s="1127">
        <v>0</v>
      </c>
      <c r="AJ182" s="1127">
        <v>1</v>
      </c>
      <c r="AK182" s="1129">
        <v>941.08920634920639</v>
      </c>
      <c r="AL182" s="1129">
        <v>0</v>
      </c>
      <c r="AM182" s="1129">
        <v>0</v>
      </c>
      <c r="AN182" s="1129">
        <v>941.08920634920639</v>
      </c>
      <c r="AO182" s="1129" t="s">
        <v>85</v>
      </c>
      <c r="AP182" s="1129" t="s">
        <v>96</v>
      </c>
      <c r="AQ182" s="1157">
        <v>2014</v>
      </c>
      <c r="AR182" s="1129" t="s">
        <v>87</v>
      </c>
      <c r="AS182" s="1127">
        <v>0.33333333333333331</v>
      </c>
      <c r="AT182" s="1127"/>
      <c r="AU182" s="1127">
        <v>0.33333333333333331</v>
      </c>
      <c r="AV182" s="1127"/>
      <c r="AW182" s="1127"/>
      <c r="AX182" s="1127"/>
      <c r="AY182" s="1127"/>
      <c r="AZ182" s="1127">
        <v>0.33333333333333331</v>
      </c>
      <c r="BA182" s="1129">
        <v>313.69640211640211</v>
      </c>
      <c r="BB182" s="1129">
        <v>0</v>
      </c>
      <c r="BC182" s="1129">
        <v>313.69640211640211</v>
      </c>
      <c r="BD182" s="1129">
        <v>0</v>
      </c>
      <c r="BE182" s="1129">
        <v>0</v>
      </c>
      <c r="BF182" s="1129">
        <v>0</v>
      </c>
      <c r="BG182" s="1129">
        <v>0</v>
      </c>
      <c r="BH182" s="1129">
        <v>313.69640211640211</v>
      </c>
      <c r="BI182" s="971"/>
      <c r="BJ182" s="971"/>
      <c r="BK182" s="971"/>
      <c r="BL182" s="1246"/>
      <c r="BM182" s="1247" t="s">
        <v>2125</v>
      </c>
    </row>
    <row r="183" spans="1:65" s="1247" customFormat="1" ht="99" customHeight="1">
      <c r="A183" s="1272">
        <v>4000</v>
      </c>
      <c r="B183" s="971" t="s">
        <v>1316</v>
      </c>
      <c r="C183" s="1272">
        <v>4100</v>
      </c>
      <c r="D183" s="971" t="s">
        <v>120</v>
      </c>
      <c r="E183" s="971" t="s">
        <v>1389</v>
      </c>
      <c r="F183" s="971" t="s">
        <v>176</v>
      </c>
      <c r="G183" s="971" t="s">
        <v>4505</v>
      </c>
      <c r="H183" s="971" t="s">
        <v>3491</v>
      </c>
      <c r="I183" s="1273" t="s">
        <v>6879</v>
      </c>
      <c r="J183" s="971" t="s">
        <v>2146</v>
      </c>
      <c r="K183" s="971" t="s">
        <v>2129</v>
      </c>
      <c r="L183" s="971" t="s">
        <v>2130</v>
      </c>
      <c r="M183" s="971" t="s">
        <v>2129</v>
      </c>
      <c r="N183" s="971" t="s">
        <v>176</v>
      </c>
      <c r="O183" s="971" t="s">
        <v>2130</v>
      </c>
      <c r="P183" s="971" t="s">
        <v>6632</v>
      </c>
      <c r="Q183" s="971" t="s">
        <v>6633</v>
      </c>
      <c r="R183" s="971" t="s">
        <v>4622</v>
      </c>
      <c r="S183" s="1274">
        <v>1</v>
      </c>
      <c r="T183" s="971" t="s">
        <v>242</v>
      </c>
      <c r="U183" s="1275">
        <v>6.666666666666667</v>
      </c>
      <c r="V183" s="1275">
        <v>25</v>
      </c>
      <c r="W183" s="1275">
        <v>666.08920634920639</v>
      </c>
      <c r="X183" s="1275">
        <v>250</v>
      </c>
      <c r="Y183" s="1275">
        <v>941.08920634920639</v>
      </c>
      <c r="Z183" s="1129">
        <v>6.666666666666667</v>
      </c>
      <c r="AA183" s="1129">
        <v>25</v>
      </c>
      <c r="AB183" s="1129">
        <v>666.08920634920639</v>
      </c>
      <c r="AC183" s="1129">
        <v>250</v>
      </c>
      <c r="AD183" s="1098">
        <v>941.08920634920639</v>
      </c>
      <c r="AE183" s="1237">
        <v>4</v>
      </c>
      <c r="AF183" s="1133">
        <v>4</v>
      </c>
      <c r="AG183" s="1127">
        <v>1</v>
      </c>
      <c r="AH183" s="1127">
        <v>0</v>
      </c>
      <c r="AI183" s="1127">
        <v>0</v>
      </c>
      <c r="AJ183" s="1127">
        <v>1</v>
      </c>
      <c r="AK183" s="1129">
        <v>941.08920634920639</v>
      </c>
      <c r="AL183" s="1129">
        <v>0</v>
      </c>
      <c r="AM183" s="1129">
        <v>0</v>
      </c>
      <c r="AN183" s="1129">
        <v>941.08920634920639</v>
      </c>
      <c r="AO183" s="1129" t="s">
        <v>85</v>
      </c>
      <c r="AP183" s="1129" t="s">
        <v>96</v>
      </c>
      <c r="AQ183" s="1157">
        <v>2014</v>
      </c>
      <c r="AR183" s="1129" t="s">
        <v>87</v>
      </c>
      <c r="AS183" s="1127">
        <v>0.33333333333333331</v>
      </c>
      <c r="AT183" s="1127"/>
      <c r="AU183" s="1127">
        <v>0.33333333333333331</v>
      </c>
      <c r="AV183" s="1127"/>
      <c r="AW183" s="1127"/>
      <c r="AX183" s="1127"/>
      <c r="AY183" s="1127"/>
      <c r="AZ183" s="1127">
        <v>0.33333333333333331</v>
      </c>
      <c r="BA183" s="1129">
        <v>313.69640211640211</v>
      </c>
      <c r="BB183" s="1129">
        <v>0</v>
      </c>
      <c r="BC183" s="1129">
        <v>313.69640211640211</v>
      </c>
      <c r="BD183" s="1129">
        <v>0</v>
      </c>
      <c r="BE183" s="1129">
        <v>0</v>
      </c>
      <c r="BF183" s="1129">
        <v>0</v>
      </c>
      <c r="BG183" s="1129">
        <v>0</v>
      </c>
      <c r="BH183" s="1129">
        <v>313.69640211640211</v>
      </c>
      <c r="BI183" s="971"/>
      <c r="BJ183" s="971"/>
      <c r="BK183" s="971"/>
      <c r="BL183" s="1246"/>
      <c r="BM183" s="1247" t="s">
        <v>2127</v>
      </c>
    </row>
    <row r="184" spans="1:65" s="1247" customFormat="1" ht="82.5" customHeight="1">
      <c r="A184" s="1272">
        <v>4000</v>
      </c>
      <c r="B184" s="971" t="s">
        <v>1316</v>
      </c>
      <c r="C184" s="1272">
        <v>4100</v>
      </c>
      <c r="D184" s="971" t="s">
        <v>120</v>
      </c>
      <c r="E184" s="971" t="s">
        <v>1389</v>
      </c>
      <c r="F184" s="971" t="s">
        <v>176</v>
      </c>
      <c r="G184" s="971" t="s">
        <v>4505</v>
      </c>
      <c r="H184" s="971" t="s">
        <v>3491</v>
      </c>
      <c r="I184" s="1273" t="s">
        <v>6880</v>
      </c>
      <c r="J184" s="971" t="s">
        <v>2146</v>
      </c>
      <c r="K184" s="971" t="s">
        <v>2129</v>
      </c>
      <c r="L184" s="971" t="s">
        <v>2130</v>
      </c>
      <c r="M184" s="971" t="s">
        <v>2129</v>
      </c>
      <c r="N184" s="971" t="s">
        <v>176</v>
      </c>
      <c r="O184" s="971" t="s">
        <v>2130</v>
      </c>
      <c r="P184" s="971" t="s">
        <v>6632</v>
      </c>
      <c r="Q184" s="971" t="s">
        <v>6633</v>
      </c>
      <c r="R184" s="971" t="s">
        <v>4623</v>
      </c>
      <c r="S184" s="1274">
        <v>1</v>
      </c>
      <c r="T184" s="971" t="s">
        <v>242</v>
      </c>
      <c r="U184" s="1275">
        <v>6.666666666666667</v>
      </c>
      <c r="V184" s="1275">
        <v>25</v>
      </c>
      <c r="W184" s="1275">
        <v>666.08920634920639</v>
      </c>
      <c r="X184" s="1275">
        <v>250</v>
      </c>
      <c r="Y184" s="1275">
        <v>941.08920634920639</v>
      </c>
      <c r="Z184" s="1129">
        <v>6.666666666666667</v>
      </c>
      <c r="AA184" s="1129">
        <v>25</v>
      </c>
      <c r="AB184" s="1129">
        <v>666.08920634920639</v>
      </c>
      <c r="AC184" s="1129">
        <v>250</v>
      </c>
      <c r="AD184" s="1098">
        <v>941.08920634920639</v>
      </c>
      <c r="AE184" s="1237">
        <v>4</v>
      </c>
      <c r="AF184" s="1133">
        <v>4</v>
      </c>
      <c r="AG184" s="1127">
        <v>1</v>
      </c>
      <c r="AH184" s="1127">
        <v>0</v>
      </c>
      <c r="AI184" s="1127">
        <v>0</v>
      </c>
      <c r="AJ184" s="1127">
        <v>1</v>
      </c>
      <c r="AK184" s="1129">
        <v>941.08920634920639</v>
      </c>
      <c r="AL184" s="1129">
        <v>0</v>
      </c>
      <c r="AM184" s="1129">
        <v>0</v>
      </c>
      <c r="AN184" s="1129">
        <v>941.08920634920639</v>
      </c>
      <c r="AO184" s="1129" t="s">
        <v>85</v>
      </c>
      <c r="AP184" s="1129" t="s">
        <v>96</v>
      </c>
      <c r="AQ184" s="1157">
        <v>2014</v>
      </c>
      <c r="AR184" s="1129" t="s">
        <v>87</v>
      </c>
      <c r="AS184" s="1127">
        <v>0.33333333333333331</v>
      </c>
      <c r="AT184" s="1127"/>
      <c r="AU184" s="1127">
        <v>0.33333333333333331</v>
      </c>
      <c r="AV184" s="1127"/>
      <c r="AW184" s="1127"/>
      <c r="AX184" s="1127"/>
      <c r="AY184" s="1127"/>
      <c r="AZ184" s="1127">
        <v>0.33333333333333331</v>
      </c>
      <c r="BA184" s="1129">
        <v>313.69640211640211</v>
      </c>
      <c r="BB184" s="1129">
        <v>0</v>
      </c>
      <c r="BC184" s="1129">
        <v>313.69640211640211</v>
      </c>
      <c r="BD184" s="1129">
        <v>0</v>
      </c>
      <c r="BE184" s="1129">
        <v>0</v>
      </c>
      <c r="BF184" s="1129">
        <v>0</v>
      </c>
      <c r="BG184" s="1129">
        <v>0</v>
      </c>
      <c r="BH184" s="1129">
        <v>313.69640211640211</v>
      </c>
      <c r="BI184" s="971"/>
      <c r="BJ184" s="971"/>
      <c r="BK184" s="971"/>
      <c r="BL184" s="1246"/>
      <c r="BM184" s="1247" t="s">
        <v>2125</v>
      </c>
    </row>
    <row r="185" spans="1:65" s="1247" customFormat="1" ht="82.5" customHeight="1">
      <c r="A185" s="1272">
        <v>4000</v>
      </c>
      <c r="B185" s="971" t="s">
        <v>1316</v>
      </c>
      <c r="C185" s="1272">
        <v>4100</v>
      </c>
      <c r="D185" s="971" t="s">
        <v>120</v>
      </c>
      <c r="E185" s="971" t="s">
        <v>1389</v>
      </c>
      <c r="F185" s="971" t="s">
        <v>176</v>
      </c>
      <c r="G185" s="971" t="s">
        <v>4624</v>
      </c>
      <c r="H185" s="971" t="s">
        <v>3494</v>
      </c>
      <c r="I185" s="1273" t="s">
        <v>6881</v>
      </c>
      <c r="J185" s="971" t="s">
        <v>2146</v>
      </c>
      <c r="K185" s="971" t="s">
        <v>2129</v>
      </c>
      <c r="L185" s="971" t="s">
        <v>2130</v>
      </c>
      <c r="M185" s="971" t="s">
        <v>2129</v>
      </c>
      <c r="N185" s="971" t="s">
        <v>176</v>
      </c>
      <c r="O185" s="971" t="s">
        <v>2130</v>
      </c>
      <c r="P185" s="971" t="s">
        <v>6619</v>
      </c>
      <c r="Q185" s="971" t="s">
        <v>6882</v>
      </c>
      <c r="R185" s="971" t="s">
        <v>4625</v>
      </c>
      <c r="S185" s="1274">
        <v>1</v>
      </c>
      <c r="T185" s="971" t="s">
        <v>242</v>
      </c>
      <c r="U185" s="1275">
        <v>6.666666666666667</v>
      </c>
      <c r="V185" s="1275">
        <v>25</v>
      </c>
      <c r="W185" s="1275">
        <v>666.08920634920639</v>
      </c>
      <c r="X185" s="1275">
        <v>250</v>
      </c>
      <c r="Y185" s="1275">
        <v>941.08920634920639</v>
      </c>
      <c r="Z185" s="1129">
        <v>6.666666666666667</v>
      </c>
      <c r="AA185" s="1129">
        <v>25</v>
      </c>
      <c r="AB185" s="1129">
        <v>666.08920634920639</v>
      </c>
      <c r="AC185" s="1129">
        <v>250</v>
      </c>
      <c r="AD185" s="1098">
        <v>941.08920634920639</v>
      </c>
      <c r="AE185" s="1237">
        <v>4</v>
      </c>
      <c r="AF185" s="1133">
        <v>4</v>
      </c>
      <c r="AG185" s="1127">
        <v>1</v>
      </c>
      <c r="AH185" s="1127">
        <v>0</v>
      </c>
      <c r="AI185" s="1127">
        <v>0</v>
      </c>
      <c r="AJ185" s="1127">
        <v>1</v>
      </c>
      <c r="AK185" s="1129">
        <v>941.08920634920639</v>
      </c>
      <c r="AL185" s="1129">
        <v>0</v>
      </c>
      <c r="AM185" s="1129">
        <v>0</v>
      </c>
      <c r="AN185" s="1129">
        <v>941.08920634920639</v>
      </c>
      <c r="AO185" s="1129" t="s">
        <v>85</v>
      </c>
      <c r="AP185" s="1129" t="s">
        <v>96</v>
      </c>
      <c r="AQ185" s="1157">
        <v>2014</v>
      </c>
      <c r="AR185" s="1129" t="s">
        <v>87</v>
      </c>
      <c r="AS185" s="1127">
        <v>0.33333333333333331</v>
      </c>
      <c r="AT185" s="1127"/>
      <c r="AU185" s="1127">
        <v>0.33333333333333331</v>
      </c>
      <c r="AV185" s="1127"/>
      <c r="AW185" s="1127"/>
      <c r="AX185" s="1127"/>
      <c r="AY185" s="1127"/>
      <c r="AZ185" s="1127">
        <v>0.33333333333333331</v>
      </c>
      <c r="BA185" s="1129">
        <v>313.69640211640211</v>
      </c>
      <c r="BB185" s="1129">
        <v>0</v>
      </c>
      <c r="BC185" s="1129">
        <v>313.69640211640211</v>
      </c>
      <c r="BD185" s="1129">
        <v>0</v>
      </c>
      <c r="BE185" s="1129">
        <v>0</v>
      </c>
      <c r="BF185" s="1129">
        <v>0</v>
      </c>
      <c r="BG185" s="1129">
        <v>0</v>
      </c>
      <c r="BH185" s="1129">
        <v>313.69640211640211</v>
      </c>
      <c r="BI185" s="971"/>
      <c r="BJ185" s="971"/>
      <c r="BK185" s="971"/>
      <c r="BL185" s="1246"/>
      <c r="BM185" s="1247" t="s">
        <v>2125</v>
      </c>
    </row>
    <row r="186" spans="1:65" s="1247" customFormat="1" ht="99" customHeight="1">
      <c r="A186" s="1272">
        <v>4000</v>
      </c>
      <c r="B186" s="971" t="s">
        <v>1316</v>
      </c>
      <c r="C186" s="1272">
        <v>4100</v>
      </c>
      <c r="D186" s="971" t="s">
        <v>120</v>
      </c>
      <c r="E186" s="971" t="s">
        <v>1389</v>
      </c>
      <c r="F186" s="971" t="s">
        <v>176</v>
      </c>
      <c r="G186" s="971" t="s">
        <v>4624</v>
      </c>
      <c r="H186" s="971" t="s">
        <v>3494</v>
      </c>
      <c r="I186" s="1273" t="s">
        <v>6883</v>
      </c>
      <c r="J186" s="971" t="s">
        <v>2146</v>
      </c>
      <c r="K186" s="971" t="s">
        <v>2127</v>
      </c>
      <c r="L186" s="971" t="s">
        <v>2177</v>
      </c>
      <c r="M186" s="971" t="s">
        <v>2127</v>
      </c>
      <c r="N186" s="971" t="s">
        <v>176</v>
      </c>
      <c r="O186" s="971" t="s">
        <v>2177</v>
      </c>
      <c r="P186" s="971" t="s">
        <v>6884</v>
      </c>
      <c r="Q186" s="971" t="s">
        <v>6885</v>
      </c>
      <c r="R186" s="971" t="s">
        <v>4627</v>
      </c>
      <c r="S186" s="1274">
        <v>1</v>
      </c>
      <c r="T186" s="971" t="s">
        <v>242</v>
      </c>
      <c r="U186" s="1275">
        <v>10</v>
      </c>
      <c r="V186" s="1275">
        <v>45</v>
      </c>
      <c r="W186" s="1275">
        <v>999.13380952380965</v>
      </c>
      <c r="X186" s="1275">
        <v>450</v>
      </c>
      <c r="Y186" s="1275">
        <v>1494.1338095238098</v>
      </c>
      <c r="Z186" s="1129">
        <v>10</v>
      </c>
      <c r="AA186" s="1129">
        <v>45</v>
      </c>
      <c r="AB186" s="1129">
        <v>999.13380952380965</v>
      </c>
      <c r="AC186" s="1129">
        <v>450</v>
      </c>
      <c r="AD186" s="1098">
        <v>1494.1338095238098</v>
      </c>
      <c r="AE186" s="1237">
        <v>24</v>
      </c>
      <c r="AF186" s="1133">
        <v>24</v>
      </c>
      <c r="AG186" s="1127">
        <v>1</v>
      </c>
      <c r="AH186" s="1127">
        <v>0</v>
      </c>
      <c r="AI186" s="1127">
        <v>0</v>
      </c>
      <c r="AJ186" s="1127">
        <v>1</v>
      </c>
      <c r="AK186" s="1129">
        <v>1494.1338095238098</v>
      </c>
      <c r="AL186" s="1129">
        <v>0</v>
      </c>
      <c r="AM186" s="1129">
        <v>0</v>
      </c>
      <c r="AN186" s="1129">
        <v>1494.1338095238098</v>
      </c>
      <c r="AO186" s="1129" t="s">
        <v>85</v>
      </c>
      <c r="AP186" s="1129" t="s">
        <v>96</v>
      </c>
      <c r="AQ186" s="1157">
        <v>2014</v>
      </c>
      <c r="AR186" s="1129" t="s">
        <v>87</v>
      </c>
      <c r="AS186" s="1127">
        <v>0.33333333333333331</v>
      </c>
      <c r="AT186" s="1127"/>
      <c r="AU186" s="1127">
        <v>0.33333333333333331</v>
      </c>
      <c r="AV186" s="1127"/>
      <c r="AW186" s="1127"/>
      <c r="AX186" s="1127"/>
      <c r="AY186" s="1127"/>
      <c r="AZ186" s="1127">
        <v>0.33333333333333331</v>
      </c>
      <c r="BA186" s="1129">
        <v>498.04460317460325</v>
      </c>
      <c r="BB186" s="1129">
        <v>0</v>
      </c>
      <c r="BC186" s="1129">
        <v>498.04460317460325</v>
      </c>
      <c r="BD186" s="1129">
        <v>0</v>
      </c>
      <c r="BE186" s="1129">
        <v>0</v>
      </c>
      <c r="BF186" s="1129">
        <v>0</v>
      </c>
      <c r="BG186" s="1129">
        <v>0</v>
      </c>
      <c r="BH186" s="1129">
        <v>498.04460317460325</v>
      </c>
      <c r="BI186" s="971"/>
      <c r="BJ186" s="971"/>
      <c r="BK186" s="971"/>
      <c r="BL186" s="1246"/>
      <c r="BM186" s="1247" t="s">
        <v>2127</v>
      </c>
    </row>
    <row r="187" spans="1:65" s="1247" customFormat="1" ht="82.5" customHeight="1">
      <c r="A187" s="1272">
        <v>4000</v>
      </c>
      <c r="B187" s="971" t="s">
        <v>1316</v>
      </c>
      <c r="C187" s="1272">
        <v>4100</v>
      </c>
      <c r="D187" s="971" t="s">
        <v>120</v>
      </c>
      <c r="E187" s="971" t="s">
        <v>1389</v>
      </c>
      <c r="F187" s="971" t="s">
        <v>176</v>
      </c>
      <c r="G187" s="971" t="s">
        <v>4624</v>
      </c>
      <c r="H187" s="971" t="s">
        <v>3494</v>
      </c>
      <c r="I187" s="1273" t="s">
        <v>6886</v>
      </c>
      <c r="J187" s="971" t="s">
        <v>2146</v>
      </c>
      <c r="K187" s="971" t="s">
        <v>2127</v>
      </c>
      <c r="L187" s="971" t="s">
        <v>2177</v>
      </c>
      <c r="M187" s="971" t="s">
        <v>2127</v>
      </c>
      <c r="N187" s="971" t="s">
        <v>176</v>
      </c>
      <c r="O187" s="971" t="s">
        <v>2177</v>
      </c>
      <c r="P187" s="971" t="s">
        <v>6658</v>
      </c>
      <c r="Q187" s="971" t="s">
        <v>6659</v>
      </c>
      <c r="R187" s="971" t="s">
        <v>4628</v>
      </c>
      <c r="S187" s="1274">
        <v>1</v>
      </c>
      <c r="T187" s="971" t="s">
        <v>242</v>
      </c>
      <c r="U187" s="1275">
        <v>10</v>
      </c>
      <c r="V187" s="1275">
        <v>45</v>
      </c>
      <c r="W187" s="1275">
        <v>999.13380952380965</v>
      </c>
      <c r="X187" s="1275">
        <v>450</v>
      </c>
      <c r="Y187" s="1275">
        <v>1494.1338095238098</v>
      </c>
      <c r="Z187" s="1129">
        <v>10</v>
      </c>
      <c r="AA187" s="1129">
        <v>45</v>
      </c>
      <c r="AB187" s="1129">
        <v>999.13380952380965</v>
      </c>
      <c r="AC187" s="1129">
        <v>450</v>
      </c>
      <c r="AD187" s="1098">
        <v>1494.1338095238098</v>
      </c>
      <c r="AE187" s="1237">
        <v>24</v>
      </c>
      <c r="AF187" s="1133">
        <v>24</v>
      </c>
      <c r="AG187" s="1127">
        <v>1</v>
      </c>
      <c r="AH187" s="1127">
        <v>0</v>
      </c>
      <c r="AI187" s="1127">
        <v>0</v>
      </c>
      <c r="AJ187" s="1127">
        <v>1</v>
      </c>
      <c r="AK187" s="1129">
        <v>1494.1338095238098</v>
      </c>
      <c r="AL187" s="1129">
        <v>0</v>
      </c>
      <c r="AM187" s="1129">
        <v>0</v>
      </c>
      <c r="AN187" s="1129">
        <v>1494.1338095238098</v>
      </c>
      <c r="AO187" s="1129" t="s">
        <v>85</v>
      </c>
      <c r="AP187" s="1129" t="s">
        <v>96</v>
      </c>
      <c r="AQ187" s="1157">
        <v>2014</v>
      </c>
      <c r="AR187" s="1129" t="s">
        <v>87</v>
      </c>
      <c r="AS187" s="1127">
        <v>0.33333333333333331</v>
      </c>
      <c r="AT187" s="1127"/>
      <c r="AU187" s="1127">
        <v>0.33333333333333331</v>
      </c>
      <c r="AV187" s="1127"/>
      <c r="AW187" s="1127"/>
      <c r="AX187" s="1127"/>
      <c r="AY187" s="1127"/>
      <c r="AZ187" s="1127">
        <v>0.33333333333333331</v>
      </c>
      <c r="BA187" s="1129">
        <v>498.04460317460325</v>
      </c>
      <c r="BB187" s="1129">
        <v>0</v>
      </c>
      <c r="BC187" s="1129">
        <v>498.04460317460325</v>
      </c>
      <c r="BD187" s="1129">
        <v>0</v>
      </c>
      <c r="BE187" s="1129">
        <v>0</v>
      </c>
      <c r="BF187" s="1129">
        <v>0</v>
      </c>
      <c r="BG187" s="1129">
        <v>0</v>
      </c>
      <c r="BH187" s="1129">
        <v>498.04460317460325</v>
      </c>
      <c r="BI187" s="971"/>
      <c r="BJ187" s="971"/>
      <c r="BK187" s="971"/>
      <c r="BL187" s="1246"/>
      <c r="BM187" s="1247" t="s">
        <v>2125</v>
      </c>
    </row>
    <row r="188" spans="1:65" s="1247" customFormat="1" ht="82.5" customHeight="1">
      <c r="A188" s="1272">
        <v>4000</v>
      </c>
      <c r="B188" s="971" t="s">
        <v>1316</v>
      </c>
      <c r="C188" s="1272">
        <v>4100</v>
      </c>
      <c r="D188" s="971" t="s">
        <v>120</v>
      </c>
      <c r="E188" s="971" t="s">
        <v>1389</v>
      </c>
      <c r="F188" s="971" t="s">
        <v>176</v>
      </c>
      <c r="G188" s="971" t="s">
        <v>4624</v>
      </c>
      <c r="H188" s="971" t="s">
        <v>3494</v>
      </c>
      <c r="I188" s="1273" t="s">
        <v>6887</v>
      </c>
      <c r="J188" s="971" t="s">
        <v>2146</v>
      </c>
      <c r="K188" s="971" t="s">
        <v>2127</v>
      </c>
      <c r="L188" s="971" t="s">
        <v>2177</v>
      </c>
      <c r="M188" s="971" t="s">
        <v>2127</v>
      </c>
      <c r="N188" s="971" t="s">
        <v>176</v>
      </c>
      <c r="O188" s="971" t="s">
        <v>2177</v>
      </c>
      <c r="P188" s="971" t="s">
        <v>2292</v>
      </c>
      <c r="Q188" s="971" t="s">
        <v>6888</v>
      </c>
      <c r="R188" s="971" t="s">
        <v>4630</v>
      </c>
      <c r="S188" s="1274">
        <v>1</v>
      </c>
      <c r="T188" s="971" t="s">
        <v>242</v>
      </c>
      <c r="U188" s="1275">
        <v>10</v>
      </c>
      <c r="V188" s="1275">
        <v>45</v>
      </c>
      <c r="W188" s="1275">
        <v>999.13380952380965</v>
      </c>
      <c r="X188" s="1275">
        <v>450</v>
      </c>
      <c r="Y188" s="1275">
        <v>1494.1338095238098</v>
      </c>
      <c r="Z188" s="1129">
        <v>10</v>
      </c>
      <c r="AA188" s="1129">
        <v>45</v>
      </c>
      <c r="AB188" s="1129">
        <v>999.13380952380965</v>
      </c>
      <c r="AC188" s="1129">
        <v>450</v>
      </c>
      <c r="AD188" s="1098">
        <v>1494.1338095238098</v>
      </c>
      <c r="AE188" s="1237">
        <v>24</v>
      </c>
      <c r="AF188" s="1133">
        <v>24</v>
      </c>
      <c r="AG188" s="1127">
        <v>1</v>
      </c>
      <c r="AH188" s="1127">
        <v>0</v>
      </c>
      <c r="AI188" s="1127">
        <v>0</v>
      </c>
      <c r="AJ188" s="1127">
        <v>1</v>
      </c>
      <c r="AK188" s="1129">
        <v>1494.1338095238098</v>
      </c>
      <c r="AL188" s="1129">
        <v>0</v>
      </c>
      <c r="AM188" s="1129">
        <v>0</v>
      </c>
      <c r="AN188" s="1129">
        <v>1494.1338095238098</v>
      </c>
      <c r="AO188" s="1129" t="s">
        <v>85</v>
      </c>
      <c r="AP188" s="1129" t="s">
        <v>96</v>
      </c>
      <c r="AQ188" s="1157">
        <v>2014</v>
      </c>
      <c r="AR188" s="1129" t="s">
        <v>87</v>
      </c>
      <c r="AS188" s="1127">
        <v>0.33333333333333331</v>
      </c>
      <c r="AT188" s="1127"/>
      <c r="AU188" s="1127">
        <v>0.33333333333333331</v>
      </c>
      <c r="AV188" s="1127"/>
      <c r="AW188" s="1127"/>
      <c r="AX188" s="1127"/>
      <c r="AY188" s="1127"/>
      <c r="AZ188" s="1127">
        <v>0.33333333333333331</v>
      </c>
      <c r="BA188" s="1129">
        <v>498.04460317460325</v>
      </c>
      <c r="BB188" s="1129">
        <v>0</v>
      </c>
      <c r="BC188" s="1129">
        <v>498.04460317460325</v>
      </c>
      <c r="BD188" s="1129">
        <v>0</v>
      </c>
      <c r="BE188" s="1129">
        <v>0</v>
      </c>
      <c r="BF188" s="1129">
        <v>0</v>
      </c>
      <c r="BG188" s="1129">
        <v>0</v>
      </c>
      <c r="BH188" s="1129">
        <v>498.04460317460325</v>
      </c>
      <c r="BI188" s="971"/>
      <c r="BJ188" s="971"/>
      <c r="BK188" s="971"/>
      <c r="BL188" s="1246"/>
      <c r="BM188" s="1247" t="s">
        <v>2125</v>
      </c>
    </row>
    <row r="189" spans="1:65" s="1247" customFormat="1" ht="99" customHeight="1">
      <c r="A189" s="1272">
        <v>4000</v>
      </c>
      <c r="B189" s="971" t="s">
        <v>1316</v>
      </c>
      <c r="C189" s="1272">
        <v>4100</v>
      </c>
      <c r="D189" s="971" t="s">
        <v>120</v>
      </c>
      <c r="E189" s="971" t="s">
        <v>1389</v>
      </c>
      <c r="F189" s="971" t="s">
        <v>176</v>
      </c>
      <c r="G189" s="971" t="s">
        <v>4624</v>
      </c>
      <c r="H189" s="971" t="s">
        <v>3494</v>
      </c>
      <c r="I189" s="1273" t="s">
        <v>6889</v>
      </c>
      <c r="J189" s="971" t="s">
        <v>2146</v>
      </c>
      <c r="K189" s="971" t="s">
        <v>2127</v>
      </c>
      <c r="L189" s="971" t="s">
        <v>2177</v>
      </c>
      <c r="M189" s="971" t="s">
        <v>2127</v>
      </c>
      <c r="N189" s="971" t="s">
        <v>176</v>
      </c>
      <c r="O189" s="971" t="s">
        <v>2177</v>
      </c>
      <c r="P189" s="971" t="s">
        <v>2292</v>
      </c>
      <c r="Q189" s="971" t="s">
        <v>6888</v>
      </c>
      <c r="R189" s="971" t="s">
        <v>4632</v>
      </c>
      <c r="S189" s="1274">
        <v>1</v>
      </c>
      <c r="T189" s="971" t="s">
        <v>242</v>
      </c>
      <c r="U189" s="1275">
        <v>10</v>
      </c>
      <c r="V189" s="1275">
        <v>45</v>
      </c>
      <c r="W189" s="1275">
        <v>999.13380952380965</v>
      </c>
      <c r="X189" s="1275">
        <v>450</v>
      </c>
      <c r="Y189" s="1275">
        <v>1494.1338095238098</v>
      </c>
      <c r="Z189" s="1129">
        <v>10</v>
      </c>
      <c r="AA189" s="1129">
        <v>45</v>
      </c>
      <c r="AB189" s="1129">
        <v>999.13380952380965</v>
      </c>
      <c r="AC189" s="1129">
        <v>450</v>
      </c>
      <c r="AD189" s="1098">
        <v>1494.1338095238098</v>
      </c>
      <c r="AE189" s="1237">
        <v>24</v>
      </c>
      <c r="AF189" s="1133">
        <v>24</v>
      </c>
      <c r="AG189" s="1127">
        <v>1</v>
      </c>
      <c r="AH189" s="1127">
        <v>0</v>
      </c>
      <c r="AI189" s="1127">
        <v>0</v>
      </c>
      <c r="AJ189" s="1127">
        <v>1</v>
      </c>
      <c r="AK189" s="1129">
        <v>1494.1338095238098</v>
      </c>
      <c r="AL189" s="1129">
        <v>0</v>
      </c>
      <c r="AM189" s="1129">
        <v>0</v>
      </c>
      <c r="AN189" s="1129">
        <v>1494.1338095238098</v>
      </c>
      <c r="AO189" s="1129" t="s">
        <v>85</v>
      </c>
      <c r="AP189" s="1129" t="s">
        <v>96</v>
      </c>
      <c r="AQ189" s="1157">
        <v>2014</v>
      </c>
      <c r="AR189" s="1129" t="s">
        <v>87</v>
      </c>
      <c r="AS189" s="1127">
        <v>0.33333333333333331</v>
      </c>
      <c r="AT189" s="1127"/>
      <c r="AU189" s="1127">
        <v>0.33333333333333331</v>
      </c>
      <c r="AV189" s="1127"/>
      <c r="AW189" s="1127"/>
      <c r="AX189" s="1127"/>
      <c r="AY189" s="1127"/>
      <c r="AZ189" s="1127">
        <v>0.33333333333333331</v>
      </c>
      <c r="BA189" s="1129">
        <v>498.04460317460325</v>
      </c>
      <c r="BB189" s="1129">
        <v>0</v>
      </c>
      <c r="BC189" s="1129">
        <v>498.04460317460325</v>
      </c>
      <c r="BD189" s="1129">
        <v>0</v>
      </c>
      <c r="BE189" s="1129">
        <v>0</v>
      </c>
      <c r="BF189" s="1129">
        <v>0</v>
      </c>
      <c r="BG189" s="1129">
        <v>0</v>
      </c>
      <c r="BH189" s="1129">
        <v>498.04460317460325</v>
      </c>
      <c r="BI189" s="971"/>
      <c r="BJ189" s="971"/>
      <c r="BK189" s="971"/>
      <c r="BL189" s="1246"/>
      <c r="BM189" s="1247" t="s">
        <v>2127</v>
      </c>
    </row>
    <row r="190" spans="1:65" s="1247" customFormat="1" ht="82.5" customHeight="1">
      <c r="A190" s="1272">
        <v>4000</v>
      </c>
      <c r="B190" s="971" t="s">
        <v>1316</v>
      </c>
      <c r="C190" s="1272">
        <v>4100</v>
      </c>
      <c r="D190" s="971" t="s">
        <v>120</v>
      </c>
      <c r="E190" s="971" t="s">
        <v>1389</v>
      </c>
      <c r="F190" s="971" t="s">
        <v>176</v>
      </c>
      <c r="G190" s="971" t="s">
        <v>4624</v>
      </c>
      <c r="H190" s="971" t="s">
        <v>3494</v>
      </c>
      <c r="I190" s="1273" t="s">
        <v>6890</v>
      </c>
      <c r="J190" s="971" t="s">
        <v>2146</v>
      </c>
      <c r="K190" s="971" t="s">
        <v>2129</v>
      </c>
      <c r="L190" s="971" t="s">
        <v>2130</v>
      </c>
      <c r="M190" s="971" t="s">
        <v>2129</v>
      </c>
      <c r="N190" s="971" t="s">
        <v>176</v>
      </c>
      <c r="O190" s="971" t="s">
        <v>2130</v>
      </c>
      <c r="P190" s="971" t="s">
        <v>6891</v>
      </c>
      <c r="Q190" s="971" t="s">
        <v>6892</v>
      </c>
      <c r="R190" s="971" t="s">
        <v>4633</v>
      </c>
      <c r="S190" s="1274">
        <v>1</v>
      </c>
      <c r="T190" s="971" t="s">
        <v>242</v>
      </c>
      <c r="U190" s="1275">
        <v>6.666666666666667</v>
      </c>
      <c r="V190" s="1275">
        <v>25</v>
      </c>
      <c r="W190" s="1275">
        <v>666.08920634920639</v>
      </c>
      <c r="X190" s="1275">
        <v>250</v>
      </c>
      <c r="Y190" s="1275">
        <v>941.08920634920639</v>
      </c>
      <c r="Z190" s="1129">
        <v>6.666666666666667</v>
      </c>
      <c r="AA190" s="1129">
        <v>25</v>
      </c>
      <c r="AB190" s="1129">
        <v>666.08920634920639</v>
      </c>
      <c r="AC190" s="1129">
        <v>250</v>
      </c>
      <c r="AD190" s="1098">
        <v>941.08920634920639</v>
      </c>
      <c r="AE190" s="1237">
        <v>4</v>
      </c>
      <c r="AF190" s="1133">
        <v>4</v>
      </c>
      <c r="AG190" s="1127">
        <v>1</v>
      </c>
      <c r="AH190" s="1127">
        <v>0</v>
      </c>
      <c r="AI190" s="1127">
        <v>0</v>
      </c>
      <c r="AJ190" s="1127">
        <v>1</v>
      </c>
      <c r="AK190" s="1129">
        <v>941.08920634920639</v>
      </c>
      <c r="AL190" s="1129">
        <v>0</v>
      </c>
      <c r="AM190" s="1129">
        <v>0</v>
      </c>
      <c r="AN190" s="1129">
        <v>941.08920634920639</v>
      </c>
      <c r="AO190" s="1129" t="s">
        <v>85</v>
      </c>
      <c r="AP190" s="1129" t="s">
        <v>96</v>
      </c>
      <c r="AQ190" s="1157">
        <v>2014</v>
      </c>
      <c r="AR190" s="1129" t="s">
        <v>87</v>
      </c>
      <c r="AS190" s="1127">
        <v>0.33333333333333331</v>
      </c>
      <c r="AT190" s="1127"/>
      <c r="AU190" s="1127">
        <v>0.33333333333333331</v>
      </c>
      <c r="AV190" s="1127"/>
      <c r="AW190" s="1127"/>
      <c r="AX190" s="1127"/>
      <c r="AY190" s="1127"/>
      <c r="AZ190" s="1127">
        <v>0.33333333333333331</v>
      </c>
      <c r="BA190" s="1129">
        <v>313.69640211640211</v>
      </c>
      <c r="BB190" s="1129">
        <v>0</v>
      </c>
      <c r="BC190" s="1129">
        <v>313.69640211640211</v>
      </c>
      <c r="BD190" s="1129">
        <v>0</v>
      </c>
      <c r="BE190" s="1129">
        <v>0</v>
      </c>
      <c r="BF190" s="1129">
        <v>0</v>
      </c>
      <c r="BG190" s="1129">
        <v>0</v>
      </c>
      <c r="BH190" s="1129">
        <v>313.69640211640211</v>
      </c>
      <c r="BI190" s="971"/>
      <c r="BJ190" s="971"/>
      <c r="BK190" s="971"/>
      <c r="BL190" s="1246"/>
      <c r="BM190" s="1247" t="s">
        <v>2125</v>
      </c>
    </row>
    <row r="191" spans="1:65" s="1247" customFormat="1" ht="82.5" customHeight="1">
      <c r="A191" s="1272">
        <v>4000</v>
      </c>
      <c r="B191" s="971" t="s">
        <v>1316</v>
      </c>
      <c r="C191" s="1272">
        <v>4100</v>
      </c>
      <c r="D191" s="971" t="s">
        <v>120</v>
      </c>
      <c r="E191" s="971" t="s">
        <v>1389</v>
      </c>
      <c r="F191" s="971" t="s">
        <v>176</v>
      </c>
      <c r="G191" s="971" t="s">
        <v>4624</v>
      </c>
      <c r="H191" s="971" t="s">
        <v>3494</v>
      </c>
      <c r="I191" s="1273" t="s">
        <v>6893</v>
      </c>
      <c r="J191" s="971" t="s">
        <v>2146</v>
      </c>
      <c r="K191" s="971" t="s">
        <v>2127</v>
      </c>
      <c r="L191" s="971" t="s">
        <v>2177</v>
      </c>
      <c r="M191" s="971" t="s">
        <v>2127</v>
      </c>
      <c r="N191" s="971" t="s">
        <v>176</v>
      </c>
      <c r="O191" s="971" t="s">
        <v>2177</v>
      </c>
      <c r="P191" s="971" t="s">
        <v>3065</v>
      </c>
      <c r="Q191" s="971" t="s">
        <v>6894</v>
      </c>
      <c r="R191" s="971" t="s">
        <v>4639</v>
      </c>
      <c r="S191" s="1274">
        <v>1</v>
      </c>
      <c r="T191" s="971" t="s">
        <v>242</v>
      </c>
      <c r="U191" s="1275">
        <v>10</v>
      </c>
      <c r="V191" s="1275">
        <v>45</v>
      </c>
      <c r="W191" s="1275">
        <v>999.13380952380965</v>
      </c>
      <c r="X191" s="1275">
        <v>450</v>
      </c>
      <c r="Y191" s="1275">
        <v>1494.1338095238098</v>
      </c>
      <c r="Z191" s="1129">
        <v>10</v>
      </c>
      <c r="AA191" s="1129">
        <v>45</v>
      </c>
      <c r="AB191" s="1129">
        <v>999.13380952380965</v>
      </c>
      <c r="AC191" s="1129">
        <v>450</v>
      </c>
      <c r="AD191" s="1098">
        <v>1494.1338095238098</v>
      </c>
      <c r="AE191" s="1237">
        <v>24</v>
      </c>
      <c r="AF191" s="1133">
        <v>24</v>
      </c>
      <c r="AG191" s="1127">
        <v>1</v>
      </c>
      <c r="AH191" s="1127">
        <v>0</v>
      </c>
      <c r="AI191" s="1127">
        <v>0</v>
      </c>
      <c r="AJ191" s="1127">
        <v>1</v>
      </c>
      <c r="AK191" s="1129">
        <v>1494.1338095238098</v>
      </c>
      <c r="AL191" s="1129">
        <v>0</v>
      </c>
      <c r="AM191" s="1129">
        <v>0</v>
      </c>
      <c r="AN191" s="1129">
        <v>1494.1338095238098</v>
      </c>
      <c r="AO191" s="1129" t="s">
        <v>85</v>
      </c>
      <c r="AP191" s="1129" t="s">
        <v>96</v>
      </c>
      <c r="AQ191" s="1157">
        <v>2014</v>
      </c>
      <c r="AR191" s="1129" t="s">
        <v>87</v>
      </c>
      <c r="AS191" s="1127">
        <v>0.33333333333333331</v>
      </c>
      <c r="AT191" s="1127"/>
      <c r="AU191" s="1127">
        <v>0.33333333333333331</v>
      </c>
      <c r="AV191" s="1127"/>
      <c r="AW191" s="1127"/>
      <c r="AX191" s="1127"/>
      <c r="AY191" s="1127"/>
      <c r="AZ191" s="1127">
        <v>0.33333333333333331</v>
      </c>
      <c r="BA191" s="1129">
        <v>498.04460317460325</v>
      </c>
      <c r="BB191" s="1129">
        <v>0</v>
      </c>
      <c r="BC191" s="1129">
        <v>498.04460317460325</v>
      </c>
      <c r="BD191" s="1129">
        <v>0</v>
      </c>
      <c r="BE191" s="1129">
        <v>0</v>
      </c>
      <c r="BF191" s="1129">
        <v>0</v>
      </c>
      <c r="BG191" s="1129">
        <v>0</v>
      </c>
      <c r="BH191" s="1129">
        <v>498.04460317460325</v>
      </c>
      <c r="BI191" s="971"/>
      <c r="BJ191" s="971"/>
      <c r="BK191" s="971"/>
      <c r="BL191" s="1246"/>
      <c r="BM191" s="1247" t="s">
        <v>2125</v>
      </c>
    </row>
    <row r="192" spans="1:65" s="1247" customFormat="1" ht="99" customHeight="1">
      <c r="A192" s="1272">
        <v>4000</v>
      </c>
      <c r="B192" s="971" t="s">
        <v>1316</v>
      </c>
      <c r="C192" s="1272">
        <v>4100</v>
      </c>
      <c r="D192" s="971" t="s">
        <v>120</v>
      </c>
      <c r="E192" s="971" t="s">
        <v>1389</v>
      </c>
      <c r="F192" s="971" t="s">
        <v>176</v>
      </c>
      <c r="G192" s="971" t="s">
        <v>4624</v>
      </c>
      <c r="H192" s="971" t="s">
        <v>3494</v>
      </c>
      <c r="I192" s="1273" t="s">
        <v>6895</v>
      </c>
      <c r="J192" s="971" t="s">
        <v>2146</v>
      </c>
      <c r="K192" s="971" t="s">
        <v>2125</v>
      </c>
      <c r="L192" s="971" t="s">
        <v>2126</v>
      </c>
      <c r="M192" s="971" t="s">
        <v>2125</v>
      </c>
      <c r="N192" s="971" t="s">
        <v>176</v>
      </c>
      <c r="O192" s="971" t="s">
        <v>2126</v>
      </c>
      <c r="P192" s="971" t="s">
        <v>6655</v>
      </c>
      <c r="Q192" s="971" t="s">
        <v>6896</v>
      </c>
      <c r="R192" s="971" t="s">
        <v>4641</v>
      </c>
      <c r="S192" s="1274">
        <v>1</v>
      </c>
      <c r="T192" s="971" t="s">
        <v>242</v>
      </c>
      <c r="U192" s="1275">
        <v>13</v>
      </c>
      <c r="V192" s="1275">
        <v>120</v>
      </c>
      <c r="W192" s="1275">
        <v>1298.8739523809525</v>
      </c>
      <c r="X192" s="1275">
        <v>1200</v>
      </c>
      <c r="Y192" s="1275">
        <v>2618.8739523809527</v>
      </c>
      <c r="Z192" s="1129">
        <v>13</v>
      </c>
      <c r="AA192" s="1129">
        <v>120</v>
      </c>
      <c r="AB192" s="1129">
        <v>1298.8739523809525</v>
      </c>
      <c r="AC192" s="1129">
        <v>1200</v>
      </c>
      <c r="AD192" s="1098">
        <v>2618.8739523809527</v>
      </c>
      <c r="AE192" s="1237">
        <v>96</v>
      </c>
      <c r="AF192" s="1133">
        <v>96</v>
      </c>
      <c r="AG192" s="1127">
        <v>1</v>
      </c>
      <c r="AH192" s="1127">
        <v>0</v>
      </c>
      <c r="AI192" s="1127">
        <v>0</v>
      </c>
      <c r="AJ192" s="1127">
        <v>1</v>
      </c>
      <c r="AK192" s="1129">
        <v>2618.8739523809527</v>
      </c>
      <c r="AL192" s="1129">
        <v>0</v>
      </c>
      <c r="AM192" s="1129">
        <v>0</v>
      </c>
      <c r="AN192" s="1129">
        <v>2618.8739523809527</v>
      </c>
      <c r="AO192" s="1129" t="s">
        <v>85</v>
      </c>
      <c r="AP192" s="1129" t="s">
        <v>96</v>
      </c>
      <c r="AQ192" s="1157">
        <v>2014</v>
      </c>
      <c r="AR192" s="1129" t="s">
        <v>87</v>
      </c>
      <c r="AS192" s="1127">
        <v>0.33333333333333331</v>
      </c>
      <c r="AT192" s="1127"/>
      <c r="AU192" s="1127">
        <v>0.33333333333333331</v>
      </c>
      <c r="AV192" s="1127"/>
      <c r="AW192" s="1127"/>
      <c r="AX192" s="1127"/>
      <c r="AY192" s="1127"/>
      <c r="AZ192" s="1127">
        <v>0.33333333333333331</v>
      </c>
      <c r="BA192" s="1129">
        <v>872.95798412698423</v>
      </c>
      <c r="BB192" s="1129">
        <v>0</v>
      </c>
      <c r="BC192" s="1129">
        <v>872.95798412698423</v>
      </c>
      <c r="BD192" s="1129">
        <v>0</v>
      </c>
      <c r="BE192" s="1129">
        <v>0</v>
      </c>
      <c r="BF192" s="1129">
        <v>0</v>
      </c>
      <c r="BG192" s="1129">
        <v>0</v>
      </c>
      <c r="BH192" s="1129">
        <v>872.95798412698423</v>
      </c>
      <c r="BI192" s="971"/>
      <c r="BJ192" s="971"/>
      <c r="BK192" s="971"/>
      <c r="BL192" s="1246"/>
      <c r="BM192" s="1247" t="s">
        <v>2127</v>
      </c>
    </row>
    <row r="193" spans="1:65" s="1247" customFormat="1" ht="82.5" customHeight="1">
      <c r="A193" s="1272">
        <v>4000</v>
      </c>
      <c r="B193" s="971" t="s">
        <v>1316</v>
      </c>
      <c r="C193" s="1272">
        <v>4100</v>
      </c>
      <c r="D193" s="971" t="s">
        <v>120</v>
      </c>
      <c r="E193" s="971" t="s">
        <v>1389</v>
      </c>
      <c r="F193" s="971" t="s">
        <v>176</v>
      </c>
      <c r="G193" s="971" t="s">
        <v>4624</v>
      </c>
      <c r="H193" s="971" t="s">
        <v>3494</v>
      </c>
      <c r="I193" s="1273" t="s">
        <v>6897</v>
      </c>
      <c r="J193" s="971" t="s">
        <v>2146</v>
      </c>
      <c r="K193" s="971" t="s">
        <v>2129</v>
      </c>
      <c r="L193" s="971" t="s">
        <v>2130</v>
      </c>
      <c r="M193" s="971" t="s">
        <v>2129</v>
      </c>
      <c r="N193" s="971" t="s">
        <v>176</v>
      </c>
      <c r="O193" s="971" t="s">
        <v>2130</v>
      </c>
      <c r="P193" s="971" t="s">
        <v>6639</v>
      </c>
      <c r="Q193" s="971" t="s">
        <v>6898</v>
      </c>
      <c r="R193" s="971" t="s">
        <v>4643</v>
      </c>
      <c r="S193" s="1274">
        <v>1</v>
      </c>
      <c r="T193" s="971" t="s">
        <v>242</v>
      </c>
      <c r="U193" s="1275">
        <v>6.666666666666667</v>
      </c>
      <c r="V193" s="1275">
        <v>25</v>
      </c>
      <c r="W193" s="1275">
        <v>666.08920634920639</v>
      </c>
      <c r="X193" s="1275">
        <v>250</v>
      </c>
      <c r="Y193" s="1275">
        <v>941.08920634920639</v>
      </c>
      <c r="Z193" s="1129">
        <v>6.666666666666667</v>
      </c>
      <c r="AA193" s="1129">
        <v>25</v>
      </c>
      <c r="AB193" s="1129">
        <v>666.08920634920639</v>
      </c>
      <c r="AC193" s="1129">
        <v>250</v>
      </c>
      <c r="AD193" s="1098">
        <v>941.08920634920639</v>
      </c>
      <c r="AE193" s="1237">
        <v>4</v>
      </c>
      <c r="AF193" s="1133">
        <v>4</v>
      </c>
      <c r="AG193" s="1127">
        <v>1</v>
      </c>
      <c r="AH193" s="1127">
        <v>0</v>
      </c>
      <c r="AI193" s="1127">
        <v>0</v>
      </c>
      <c r="AJ193" s="1127">
        <v>1</v>
      </c>
      <c r="AK193" s="1129">
        <v>941.08920634920639</v>
      </c>
      <c r="AL193" s="1129">
        <v>0</v>
      </c>
      <c r="AM193" s="1129">
        <v>0</v>
      </c>
      <c r="AN193" s="1129">
        <v>941.08920634920639</v>
      </c>
      <c r="AO193" s="1129" t="s">
        <v>85</v>
      </c>
      <c r="AP193" s="1129" t="s">
        <v>96</v>
      </c>
      <c r="AQ193" s="1157">
        <v>2014</v>
      </c>
      <c r="AR193" s="1129" t="s">
        <v>87</v>
      </c>
      <c r="AS193" s="1127">
        <v>0.33333333333333331</v>
      </c>
      <c r="AT193" s="1127"/>
      <c r="AU193" s="1127">
        <v>0.33333333333333331</v>
      </c>
      <c r="AV193" s="1127"/>
      <c r="AW193" s="1127"/>
      <c r="AX193" s="1127"/>
      <c r="AY193" s="1127"/>
      <c r="AZ193" s="1127">
        <v>0.33333333333333331</v>
      </c>
      <c r="BA193" s="1129">
        <v>313.69640211640211</v>
      </c>
      <c r="BB193" s="1129">
        <v>0</v>
      </c>
      <c r="BC193" s="1129">
        <v>313.69640211640211</v>
      </c>
      <c r="BD193" s="1129">
        <v>0</v>
      </c>
      <c r="BE193" s="1129">
        <v>0</v>
      </c>
      <c r="BF193" s="1129">
        <v>0</v>
      </c>
      <c r="BG193" s="1129">
        <v>0</v>
      </c>
      <c r="BH193" s="1129">
        <v>313.69640211640211</v>
      </c>
      <c r="BI193" s="971"/>
      <c r="BJ193" s="971"/>
      <c r="BK193" s="971"/>
      <c r="BL193" s="1246"/>
      <c r="BM193" s="1247" t="s">
        <v>2125</v>
      </c>
    </row>
    <row r="194" spans="1:65" s="1247" customFormat="1" ht="82.5" customHeight="1">
      <c r="A194" s="1272">
        <v>4000</v>
      </c>
      <c r="B194" s="971" t="s">
        <v>1316</v>
      </c>
      <c r="C194" s="1272">
        <v>4100</v>
      </c>
      <c r="D194" s="971" t="s">
        <v>120</v>
      </c>
      <c r="E194" s="971" t="s">
        <v>1389</v>
      </c>
      <c r="F194" s="971" t="s">
        <v>176</v>
      </c>
      <c r="G194" s="971" t="s">
        <v>4624</v>
      </c>
      <c r="H194" s="971" t="s">
        <v>3494</v>
      </c>
      <c r="I194" s="1273" t="s">
        <v>6899</v>
      </c>
      <c r="J194" s="971" t="s">
        <v>2146</v>
      </c>
      <c r="K194" s="971" t="s">
        <v>2129</v>
      </c>
      <c r="L194" s="971" t="s">
        <v>2130</v>
      </c>
      <c r="M194" s="971" t="s">
        <v>2129</v>
      </c>
      <c r="N194" s="971" t="s">
        <v>176</v>
      </c>
      <c r="O194" s="971" t="s">
        <v>2130</v>
      </c>
      <c r="P194" s="971" t="s">
        <v>6639</v>
      </c>
      <c r="Q194" s="971" t="s">
        <v>6898</v>
      </c>
      <c r="R194" s="971" t="s">
        <v>4646</v>
      </c>
      <c r="S194" s="1274">
        <v>1</v>
      </c>
      <c r="T194" s="971" t="s">
        <v>242</v>
      </c>
      <c r="U194" s="1275">
        <v>6.666666666666667</v>
      </c>
      <c r="V194" s="1275">
        <v>25</v>
      </c>
      <c r="W194" s="1275">
        <v>666.08920634920639</v>
      </c>
      <c r="X194" s="1275">
        <v>250</v>
      </c>
      <c r="Y194" s="1275">
        <v>941.08920634920639</v>
      </c>
      <c r="Z194" s="1129">
        <v>6.666666666666667</v>
      </c>
      <c r="AA194" s="1129">
        <v>25</v>
      </c>
      <c r="AB194" s="1129">
        <v>666.08920634920639</v>
      </c>
      <c r="AC194" s="1129">
        <v>250</v>
      </c>
      <c r="AD194" s="1098">
        <v>941.08920634920639</v>
      </c>
      <c r="AE194" s="1237">
        <v>4</v>
      </c>
      <c r="AF194" s="1133">
        <v>4</v>
      </c>
      <c r="AG194" s="1127">
        <v>1</v>
      </c>
      <c r="AH194" s="1127">
        <v>0</v>
      </c>
      <c r="AI194" s="1127">
        <v>0</v>
      </c>
      <c r="AJ194" s="1127">
        <v>1</v>
      </c>
      <c r="AK194" s="1129">
        <v>941.08920634920639</v>
      </c>
      <c r="AL194" s="1129">
        <v>0</v>
      </c>
      <c r="AM194" s="1129">
        <v>0</v>
      </c>
      <c r="AN194" s="1129">
        <v>941.08920634920639</v>
      </c>
      <c r="AO194" s="1129" t="s">
        <v>85</v>
      </c>
      <c r="AP194" s="1129" t="s">
        <v>96</v>
      </c>
      <c r="AQ194" s="1157">
        <v>2014</v>
      </c>
      <c r="AR194" s="1129" t="s">
        <v>87</v>
      </c>
      <c r="AS194" s="1127">
        <v>0.33333333333333331</v>
      </c>
      <c r="AT194" s="1127"/>
      <c r="AU194" s="1127">
        <v>0.33333333333333331</v>
      </c>
      <c r="AV194" s="1127"/>
      <c r="AW194" s="1127"/>
      <c r="AX194" s="1127"/>
      <c r="AY194" s="1127"/>
      <c r="AZ194" s="1127">
        <v>0.33333333333333331</v>
      </c>
      <c r="BA194" s="1129">
        <v>313.69640211640211</v>
      </c>
      <c r="BB194" s="1129">
        <v>0</v>
      </c>
      <c r="BC194" s="1129">
        <v>313.69640211640211</v>
      </c>
      <c r="BD194" s="1129">
        <v>0</v>
      </c>
      <c r="BE194" s="1129">
        <v>0</v>
      </c>
      <c r="BF194" s="1129">
        <v>0</v>
      </c>
      <c r="BG194" s="1129">
        <v>0</v>
      </c>
      <c r="BH194" s="1129">
        <v>313.69640211640211</v>
      </c>
      <c r="BI194" s="971"/>
      <c r="BJ194" s="971"/>
      <c r="BK194" s="971"/>
      <c r="BL194" s="1246"/>
      <c r="BM194" s="1247" t="s">
        <v>2125</v>
      </c>
    </row>
    <row r="195" spans="1:65" s="1247" customFormat="1" ht="66" customHeight="1">
      <c r="A195" s="1272">
        <v>4000</v>
      </c>
      <c r="B195" s="971" t="s">
        <v>1316</v>
      </c>
      <c r="C195" s="1272">
        <v>4100</v>
      </c>
      <c r="D195" s="971" t="s">
        <v>120</v>
      </c>
      <c r="E195" s="971" t="s">
        <v>1389</v>
      </c>
      <c r="F195" s="971" t="s">
        <v>176</v>
      </c>
      <c r="G195" s="971" t="s">
        <v>4624</v>
      </c>
      <c r="H195" s="971" t="s">
        <v>3494</v>
      </c>
      <c r="I195" s="1273" t="s">
        <v>6900</v>
      </c>
      <c r="J195" s="971" t="s">
        <v>2146</v>
      </c>
      <c r="K195" s="971" t="s">
        <v>2127</v>
      </c>
      <c r="L195" s="971" t="s">
        <v>2177</v>
      </c>
      <c r="M195" s="971" t="s">
        <v>2127</v>
      </c>
      <c r="N195" s="971" t="s">
        <v>176</v>
      </c>
      <c r="O195" s="971" t="s">
        <v>2177</v>
      </c>
      <c r="P195" s="971" t="s">
        <v>6658</v>
      </c>
      <c r="Q195" s="971" t="s">
        <v>6901</v>
      </c>
      <c r="R195" s="971" t="s">
        <v>4647</v>
      </c>
      <c r="S195" s="1274">
        <v>1</v>
      </c>
      <c r="T195" s="971" t="s">
        <v>242</v>
      </c>
      <c r="U195" s="1275">
        <v>10</v>
      </c>
      <c r="V195" s="1275">
        <v>45</v>
      </c>
      <c r="W195" s="1275">
        <v>999.13380952380965</v>
      </c>
      <c r="X195" s="1275">
        <v>450</v>
      </c>
      <c r="Y195" s="1275">
        <v>1494.1338095238098</v>
      </c>
      <c r="Z195" s="1129">
        <v>10</v>
      </c>
      <c r="AA195" s="1129">
        <v>45</v>
      </c>
      <c r="AB195" s="1129">
        <v>999.13380952380965</v>
      </c>
      <c r="AC195" s="1129">
        <v>450</v>
      </c>
      <c r="AD195" s="1098">
        <v>1494.1338095238098</v>
      </c>
      <c r="AE195" s="1237">
        <v>24</v>
      </c>
      <c r="AF195" s="1133">
        <v>24</v>
      </c>
      <c r="AG195" s="1127">
        <v>1</v>
      </c>
      <c r="AH195" s="1127">
        <v>0</v>
      </c>
      <c r="AI195" s="1127">
        <v>0</v>
      </c>
      <c r="AJ195" s="1127">
        <v>1</v>
      </c>
      <c r="AK195" s="1129">
        <v>1494.1338095238098</v>
      </c>
      <c r="AL195" s="1129">
        <v>0</v>
      </c>
      <c r="AM195" s="1129">
        <v>0</v>
      </c>
      <c r="AN195" s="1129">
        <v>1494.1338095238098</v>
      </c>
      <c r="AO195" s="1129" t="s">
        <v>85</v>
      </c>
      <c r="AP195" s="1129" t="s">
        <v>96</v>
      </c>
      <c r="AQ195" s="1157">
        <v>2014</v>
      </c>
      <c r="AR195" s="1129" t="s">
        <v>87</v>
      </c>
      <c r="AS195" s="1127">
        <v>0.33333333333333331</v>
      </c>
      <c r="AT195" s="1127"/>
      <c r="AU195" s="1127">
        <v>0.33333333333333331</v>
      </c>
      <c r="AV195" s="1127"/>
      <c r="AW195" s="1127"/>
      <c r="AX195" s="1127"/>
      <c r="AY195" s="1127"/>
      <c r="AZ195" s="1127">
        <v>0.33333333333333331</v>
      </c>
      <c r="BA195" s="1129">
        <v>498.04460317460325</v>
      </c>
      <c r="BB195" s="1129">
        <v>0</v>
      </c>
      <c r="BC195" s="1129">
        <v>498.04460317460325</v>
      </c>
      <c r="BD195" s="1129">
        <v>0</v>
      </c>
      <c r="BE195" s="1129">
        <v>0</v>
      </c>
      <c r="BF195" s="1129">
        <v>0</v>
      </c>
      <c r="BG195" s="1129">
        <v>0</v>
      </c>
      <c r="BH195" s="1129">
        <v>498.04460317460325</v>
      </c>
      <c r="BI195" s="971"/>
      <c r="BJ195" s="971"/>
      <c r="BK195" s="971"/>
      <c r="BL195" s="1246"/>
      <c r="BM195" s="1247" t="s">
        <v>2127</v>
      </c>
    </row>
    <row r="196" spans="1:65" s="1247" customFormat="1" ht="66" customHeight="1">
      <c r="A196" s="1272">
        <v>4000</v>
      </c>
      <c r="B196" s="971" t="s">
        <v>1316</v>
      </c>
      <c r="C196" s="1272">
        <v>4100</v>
      </c>
      <c r="D196" s="971" t="s">
        <v>120</v>
      </c>
      <c r="E196" s="971" t="s">
        <v>1389</v>
      </c>
      <c r="F196" s="971" t="s">
        <v>176</v>
      </c>
      <c r="G196" s="971" t="s">
        <v>4624</v>
      </c>
      <c r="H196" s="971" t="s">
        <v>3494</v>
      </c>
      <c r="I196" s="1273" t="s">
        <v>6902</v>
      </c>
      <c r="J196" s="971" t="s">
        <v>2146</v>
      </c>
      <c r="K196" s="971" t="s">
        <v>2125</v>
      </c>
      <c r="L196" s="971" t="s">
        <v>2126</v>
      </c>
      <c r="M196" s="971" t="s">
        <v>2125</v>
      </c>
      <c r="N196" s="971" t="s">
        <v>176</v>
      </c>
      <c r="O196" s="971" t="s">
        <v>2126</v>
      </c>
      <c r="P196" s="971" t="s">
        <v>6903</v>
      </c>
      <c r="Q196" s="971" t="s">
        <v>6904</v>
      </c>
      <c r="R196" s="971" t="s">
        <v>4651</v>
      </c>
      <c r="S196" s="1274">
        <v>1</v>
      </c>
      <c r="T196" s="971" t="s">
        <v>242</v>
      </c>
      <c r="U196" s="1275">
        <v>13</v>
      </c>
      <c r="V196" s="1275">
        <v>120</v>
      </c>
      <c r="W196" s="1275">
        <v>1298.8739523809525</v>
      </c>
      <c r="X196" s="1275">
        <v>1200</v>
      </c>
      <c r="Y196" s="1275">
        <v>2618.8739523809527</v>
      </c>
      <c r="Z196" s="1129">
        <v>13</v>
      </c>
      <c r="AA196" s="1129">
        <v>120</v>
      </c>
      <c r="AB196" s="1129">
        <v>1298.8739523809525</v>
      </c>
      <c r="AC196" s="1129">
        <v>1200</v>
      </c>
      <c r="AD196" s="1098">
        <v>2618.8739523809527</v>
      </c>
      <c r="AE196" s="1237">
        <v>96</v>
      </c>
      <c r="AF196" s="1133">
        <v>96</v>
      </c>
      <c r="AG196" s="1127">
        <v>1</v>
      </c>
      <c r="AH196" s="1127">
        <v>0</v>
      </c>
      <c r="AI196" s="1127">
        <v>0</v>
      </c>
      <c r="AJ196" s="1127">
        <v>1</v>
      </c>
      <c r="AK196" s="1129">
        <v>2618.8739523809527</v>
      </c>
      <c r="AL196" s="1129">
        <v>0</v>
      </c>
      <c r="AM196" s="1129">
        <v>0</v>
      </c>
      <c r="AN196" s="1129">
        <v>2618.8739523809527</v>
      </c>
      <c r="AO196" s="1129" t="s">
        <v>85</v>
      </c>
      <c r="AP196" s="1129" t="s">
        <v>96</v>
      </c>
      <c r="AQ196" s="1157">
        <v>2014</v>
      </c>
      <c r="AR196" s="1129" t="s">
        <v>87</v>
      </c>
      <c r="AS196" s="1127">
        <v>0.33333333333333331</v>
      </c>
      <c r="AT196" s="1127"/>
      <c r="AU196" s="1127">
        <v>0.33333333333333331</v>
      </c>
      <c r="AV196" s="1127"/>
      <c r="AW196" s="1127"/>
      <c r="AX196" s="1127"/>
      <c r="AY196" s="1127"/>
      <c r="AZ196" s="1127">
        <v>0.33333333333333331</v>
      </c>
      <c r="BA196" s="1129">
        <v>872.95798412698423</v>
      </c>
      <c r="BB196" s="1129">
        <v>0</v>
      </c>
      <c r="BC196" s="1129">
        <v>872.95798412698423</v>
      </c>
      <c r="BD196" s="1129">
        <v>0</v>
      </c>
      <c r="BE196" s="1129">
        <v>0</v>
      </c>
      <c r="BF196" s="1129">
        <v>0</v>
      </c>
      <c r="BG196" s="1129">
        <v>0</v>
      </c>
      <c r="BH196" s="1129">
        <v>872.95798412698423</v>
      </c>
      <c r="BI196" s="971"/>
      <c r="BJ196" s="971"/>
      <c r="BK196" s="971"/>
      <c r="BL196" s="1246"/>
      <c r="BM196" s="1247" t="s">
        <v>2127</v>
      </c>
    </row>
    <row r="197" spans="1:65" s="1247" customFormat="1" ht="66" customHeight="1">
      <c r="A197" s="1272">
        <v>4000</v>
      </c>
      <c r="B197" s="971" t="s">
        <v>1316</v>
      </c>
      <c r="C197" s="1272">
        <v>4100</v>
      </c>
      <c r="D197" s="971" t="s">
        <v>120</v>
      </c>
      <c r="E197" s="971" t="s">
        <v>1389</v>
      </c>
      <c r="F197" s="971" t="s">
        <v>176</v>
      </c>
      <c r="G197" s="971" t="s">
        <v>4624</v>
      </c>
      <c r="H197" s="971" t="s">
        <v>3494</v>
      </c>
      <c r="I197" s="1273" t="s">
        <v>2288</v>
      </c>
      <c r="J197" s="971" t="s">
        <v>2146</v>
      </c>
      <c r="K197" s="971" t="s">
        <v>2125</v>
      </c>
      <c r="L197" s="971" t="s">
        <v>2126</v>
      </c>
      <c r="M197" s="971" t="s">
        <v>2125</v>
      </c>
      <c r="N197" s="971" t="s">
        <v>176</v>
      </c>
      <c r="O197" s="971" t="s">
        <v>2126</v>
      </c>
      <c r="P197" s="971" t="s">
        <v>2289</v>
      </c>
      <c r="Q197" s="971" t="s">
        <v>6905</v>
      </c>
      <c r="R197" s="971" t="s">
        <v>4658</v>
      </c>
      <c r="S197" s="1274">
        <v>1</v>
      </c>
      <c r="T197" s="971" t="s">
        <v>242</v>
      </c>
      <c r="U197" s="1275">
        <v>13</v>
      </c>
      <c r="V197" s="1275">
        <v>120</v>
      </c>
      <c r="W197" s="1275">
        <v>1298.8739523809525</v>
      </c>
      <c r="X197" s="1275">
        <v>1200</v>
      </c>
      <c r="Y197" s="1275">
        <v>2618.8739523809527</v>
      </c>
      <c r="Z197" s="1129">
        <v>13</v>
      </c>
      <c r="AA197" s="1129">
        <v>120</v>
      </c>
      <c r="AB197" s="1129">
        <v>1298.8739523809525</v>
      </c>
      <c r="AC197" s="1129">
        <v>1200</v>
      </c>
      <c r="AD197" s="1098">
        <v>2618.8739523809527</v>
      </c>
      <c r="AE197" s="1237">
        <v>96</v>
      </c>
      <c r="AF197" s="1133">
        <v>96</v>
      </c>
      <c r="AG197" s="1127">
        <v>1</v>
      </c>
      <c r="AH197" s="1127">
        <v>0</v>
      </c>
      <c r="AI197" s="1127">
        <v>0</v>
      </c>
      <c r="AJ197" s="1127">
        <v>1</v>
      </c>
      <c r="AK197" s="1129">
        <v>2618.8739523809527</v>
      </c>
      <c r="AL197" s="1129">
        <v>0</v>
      </c>
      <c r="AM197" s="1129">
        <v>0</v>
      </c>
      <c r="AN197" s="1129">
        <v>2618.8739523809527</v>
      </c>
      <c r="AO197" s="1129" t="s">
        <v>85</v>
      </c>
      <c r="AP197" s="1129" t="s">
        <v>96</v>
      </c>
      <c r="AQ197" s="1157">
        <v>2014</v>
      </c>
      <c r="AR197" s="1129" t="s">
        <v>87</v>
      </c>
      <c r="AS197" s="1127">
        <v>0.33333333333333331</v>
      </c>
      <c r="AT197" s="1127"/>
      <c r="AU197" s="1127">
        <v>0.33333333333333331</v>
      </c>
      <c r="AV197" s="1127"/>
      <c r="AW197" s="1127"/>
      <c r="AX197" s="1127"/>
      <c r="AY197" s="1127"/>
      <c r="AZ197" s="1127">
        <v>0.33333333333333331</v>
      </c>
      <c r="BA197" s="1129">
        <v>872.95798412698423</v>
      </c>
      <c r="BB197" s="1129">
        <v>0</v>
      </c>
      <c r="BC197" s="1129">
        <v>872.95798412698423</v>
      </c>
      <c r="BD197" s="1129">
        <v>0</v>
      </c>
      <c r="BE197" s="1129">
        <v>0</v>
      </c>
      <c r="BF197" s="1129">
        <v>0</v>
      </c>
      <c r="BG197" s="1129">
        <v>0</v>
      </c>
      <c r="BH197" s="1129">
        <v>872.95798412698423</v>
      </c>
      <c r="BI197" s="971"/>
      <c r="BJ197" s="971"/>
      <c r="BK197" s="971"/>
      <c r="BL197" s="1246"/>
      <c r="BM197" s="1247" t="s">
        <v>2125</v>
      </c>
    </row>
    <row r="198" spans="1:65" s="1247" customFormat="1" ht="66" customHeight="1">
      <c r="A198" s="1272">
        <v>4000</v>
      </c>
      <c r="B198" s="971" t="s">
        <v>1316</v>
      </c>
      <c r="C198" s="1272">
        <v>4100</v>
      </c>
      <c r="D198" s="971" t="s">
        <v>120</v>
      </c>
      <c r="E198" s="971" t="s">
        <v>1389</v>
      </c>
      <c r="F198" s="971" t="s">
        <v>176</v>
      </c>
      <c r="G198" s="971" t="s">
        <v>4624</v>
      </c>
      <c r="H198" s="971" t="s">
        <v>3494</v>
      </c>
      <c r="I198" s="1273" t="s">
        <v>6906</v>
      </c>
      <c r="J198" s="971" t="s">
        <v>2146</v>
      </c>
      <c r="K198" s="971" t="s">
        <v>2129</v>
      </c>
      <c r="L198" s="971" t="s">
        <v>2130</v>
      </c>
      <c r="M198" s="971" t="s">
        <v>2129</v>
      </c>
      <c r="N198" s="971" t="s">
        <v>176</v>
      </c>
      <c r="O198" s="971" t="s">
        <v>2130</v>
      </c>
      <c r="P198" s="971" t="s">
        <v>6693</v>
      </c>
      <c r="Q198" s="971" t="s">
        <v>6907</v>
      </c>
      <c r="R198" s="971" t="s">
        <v>4663</v>
      </c>
      <c r="S198" s="1274">
        <v>1</v>
      </c>
      <c r="T198" s="971" t="s">
        <v>242</v>
      </c>
      <c r="U198" s="1275">
        <v>6.666666666666667</v>
      </c>
      <c r="V198" s="1275">
        <v>25</v>
      </c>
      <c r="W198" s="1275">
        <v>666.08920634920639</v>
      </c>
      <c r="X198" s="1275">
        <v>250</v>
      </c>
      <c r="Y198" s="1275">
        <v>941.08920634920639</v>
      </c>
      <c r="Z198" s="1129">
        <v>6.666666666666667</v>
      </c>
      <c r="AA198" s="1129">
        <v>25</v>
      </c>
      <c r="AB198" s="1129">
        <v>666.08920634920639</v>
      </c>
      <c r="AC198" s="1129">
        <v>250</v>
      </c>
      <c r="AD198" s="1098">
        <v>941.08920634920639</v>
      </c>
      <c r="AE198" s="1237">
        <v>4</v>
      </c>
      <c r="AF198" s="1133">
        <v>4</v>
      </c>
      <c r="AG198" s="1127">
        <v>1</v>
      </c>
      <c r="AH198" s="1127">
        <v>0</v>
      </c>
      <c r="AI198" s="1127">
        <v>0</v>
      </c>
      <c r="AJ198" s="1127">
        <v>1</v>
      </c>
      <c r="AK198" s="1129">
        <v>941.08920634920639</v>
      </c>
      <c r="AL198" s="1129">
        <v>0</v>
      </c>
      <c r="AM198" s="1129">
        <v>0</v>
      </c>
      <c r="AN198" s="1129">
        <v>941.08920634920639</v>
      </c>
      <c r="AO198" s="1129" t="s">
        <v>85</v>
      </c>
      <c r="AP198" s="1129" t="s">
        <v>96</v>
      </c>
      <c r="AQ198" s="1157">
        <v>2014</v>
      </c>
      <c r="AR198" s="1129" t="s">
        <v>87</v>
      </c>
      <c r="AS198" s="1127">
        <v>0.33333333333333331</v>
      </c>
      <c r="AT198" s="1127"/>
      <c r="AU198" s="1127">
        <v>0.33333333333333331</v>
      </c>
      <c r="AV198" s="1127"/>
      <c r="AW198" s="1127"/>
      <c r="AX198" s="1127"/>
      <c r="AY198" s="1127"/>
      <c r="AZ198" s="1127">
        <v>0.33333333333333331</v>
      </c>
      <c r="BA198" s="1129">
        <v>313.69640211640211</v>
      </c>
      <c r="BB198" s="1129">
        <v>0</v>
      </c>
      <c r="BC198" s="1129">
        <v>313.69640211640211</v>
      </c>
      <c r="BD198" s="1129">
        <v>0</v>
      </c>
      <c r="BE198" s="1129">
        <v>0</v>
      </c>
      <c r="BF198" s="1129">
        <v>0</v>
      </c>
      <c r="BG198" s="1129">
        <v>0</v>
      </c>
      <c r="BH198" s="1129">
        <v>313.69640211640211</v>
      </c>
      <c r="BI198" s="971"/>
      <c r="BJ198" s="971"/>
      <c r="BK198" s="971"/>
      <c r="BL198" s="1246"/>
      <c r="BM198" s="1247" t="s">
        <v>2125</v>
      </c>
    </row>
    <row r="199" spans="1:65" s="1247" customFormat="1" ht="82.5" customHeight="1">
      <c r="A199" s="1272">
        <v>4000</v>
      </c>
      <c r="B199" s="971" t="s">
        <v>1316</v>
      </c>
      <c r="C199" s="1272">
        <v>4100</v>
      </c>
      <c r="D199" s="971" t="s">
        <v>120</v>
      </c>
      <c r="E199" s="971" t="s">
        <v>1389</v>
      </c>
      <c r="F199" s="971" t="s">
        <v>176</v>
      </c>
      <c r="G199" s="971" t="s">
        <v>4624</v>
      </c>
      <c r="H199" s="971" t="s">
        <v>3494</v>
      </c>
      <c r="I199" s="1273" t="s">
        <v>6908</v>
      </c>
      <c r="J199" s="971" t="s">
        <v>2146</v>
      </c>
      <c r="K199" s="971" t="s">
        <v>2129</v>
      </c>
      <c r="L199" s="971" t="s">
        <v>2130</v>
      </c>
      <c r="M199" s="971" t="s">
        <v>2129</v>
      </c>
      <c r="N199" s="971" t="s">
        <v>176</v>
      </c>
      <c r="O199" s="971" t="s">
        <v>2130</v>
      </c>
      <c r="P199" s="971" t="s">
        <v>6693</v>
      </c>
      <c r="Q199" s="971" t="s">
        <v>6909</v>
      </c>
      <c r="R199" s="971" t="s">
        <v>4670</v>
      </c>
      <c r="S199" s="1274">
        <v>1</v>
      </c>
      <c r="T199" s="971" t="s">
        <v>242</v>
      </c>
      <c r="U199" s="1275">
        <v>6.666666666666667</v>
      </c>
      <c r="V199" s="1275">
        <v>25</v>
      </c>
      <c r="W199" s="1275">
        <v>666.08920634920639</v>
      </c>
      <c r="X199" s="1275">
        <v>250</v>
      </c>
      <c r="Y199" s="1275">
        <v>941.08920634920639</v>
      </c>
      <c r="Z199" s="1129">
        <v>6.666666666666667</v>
      </c>
      <c r="AA199" s="1129">
        <v>25</v>
      </c>
      <c r="AB199" s="1129">
        <v>666.08920634920639</v>
      </c>
      <c r="AC199" s="1129">
        <v>250</v>
      </c>
      <c r="AD199" s="1098">
        <v>941.08920634920639</v>
      </c>
      <c r="AE199" s="1237">
        <v>4</v>
      </c>
      <c r="AF199" s="1133">
        <v>4</v>
      </c>
      <c r="AG199" s="1127">
        <v>1</v>
      </c>
      <c r="AH199" s="1127">
        <v>0</v>
      </c>
      <c r="AI199" s="1127">
        <v>0</v>
      </c>
      <c r="AJ199" s="1127">
        <v>1</v>
      </c>
      <c r="AK199" s="1129">
        <v>941.08920634920639</v>
      </c>
      <c r="AL199" s="1129">
        <v>0</v>
      </c>
      <c r="AM199" s="1129">
        <v>0</v>
      </c>
      <c r="AN199" s="1129">
        <v>941.08920634920639</v>
      </c>
      <c r="AO199" s="1129" t="s">
        <v>85</v>
      </c>
      <c r="AP199" s="1129" t="s">
        <v>96</v>
      </c>
      <c r="AQ199" s="1157">
        <v>2014</v>
      </c>
      <c r="AR199" s="1129" t="s">
        <v>87</v>
      </c>
      <c r="AS199" s="1127">
        <v>0.33333333333333331</v>
      </c>
      <c r="AT199" s="1127"/>
      <c r="AU199" s="1127">
        <v>0.33333333333333331</v>
      </c>
      <c r="AV199" s="1127"/>
      <c r="AW199" s="1127"/>
      <c r="AX199" s="1127"/>
      <c r="AY199" s="1127"/>
      <c r="AZ199" s="1127">
        <v>0.33333333333333331</v>
      </c>
      <c r="BA199" s="1129">
        <v>313.69640211640211</v>
      </c>
      <c r="BB199" s="1129">
        <v>0</v>
      </c>
      <c r="BC199" s="1129">
        <v>313.69640211640211</v>
      </c>
      <c r="BD199" s="1129">
        <v>0</v>
      </c>
      <c r="BE199" s="1129">
        <v>0</v>
      </c>
      <c r="BF199" s="1129">
        <v>0</v>
      </c>
      <c r="BG199" s="1129">
        <v>0</v>
      </c>
      <c r="BH199" s="1129">
        <v>313.69640211640211</v>
      </c>
      <c r="BI199" s="971"/>
      <c r="BJ199" s="971"/>
      <c r="BK199" s="971"/>
      <c r="BL199" s="1246"/>
      <c r="BM199" s="1247" t="s">
        <v>2125</v>
      </c>
    </row>
    <row r="200" spans="1:65" s="1247" customFormat="1" ht="66" customHeight="1">
      <c r="A200" s="1272">
        <v>4000</v>
      </c>
      <c r="B200" s="971" t="s">
        <v>1316</v>
      </c>
      <c r="C200" s="1272">
        <v>4100</v>
      </c>
      <c r="D200" s="971" t="s">
        <v>120</v>
      </c>
      <c r="E200" s="971" t="s">
        <v>1389</v>
      </c>
      <c r="F200" s="971" t="s">
        <v>176</v>
      </c>
      <c r="G200" s="971" t="s">
        <v>4624</v>
      </c>
      <c r="H200" s="971" t="s">
        <v>3494</v>
      </c>
      <c r="I200" s="1273" t="s">
        <v>6910</v>
      </c>
      <c r="J200" s="971" t="s">
        <v>2146</v>
      </c>
      <c r="K200" s="971" t="s">
        <v>2127</v>
      </c>
      <c r="L200" s="971" t="s">
        <v>2177</v>
      </c>
      <c r="M200" s="971" t="s">
        <v>2127</v>
      </c>
      <c r="N200" s="971" t="s">
        <v>176</v>
      </c>
      <c r="O200" s="971" t="s">
        <v>2177</v>
      </c>
      <c r="P200" s="971" t="s">
        <v>6911</v>
      </c>
      <c r="Q200" s="971" t="s">
        <v>6912</v>
      </c>
      <c r="R200" s="971" t="s">
        <v>4677</v>
      </c>
      <c r="S200" s="1274">
        <v>1</v>
      </c>
      <c r="T200" s="971" t="s">
        <v>242</v>
      </c>
      <c r="U200" s="1275">
        <v>10</v>
      </c>
      <c r="V200" s="1275">
        <v>45</v>
      </c>
      <c r="W200" s="1275">
        <v>999.13380952380965</v>
      </c>
      <c r="X200" s="1275">
        <v>450</v>
      </c>
      <c r="Y200" s="1275">
        <v>1494.1338095238098</v>
      </c>
      <c r="Z200" s="1129">
        <v>10</v>
      </c>
      <c r="AA200" s="1129">
        <v>45</v>
      </c>
      <c r="AB200" s="1129">
        <v>999.13380952380965</v>
      </c>
      <c r="AC200" s="1129">
        <v>450</v>
      </c>
      <c r="AD200" s="1098">
        <v>1494.1338095238098</v>
      </c>
      <c r="AE200" s="1237">
        <v>24</v>
      </c>
      <c r="AF200" s="1133">
        <v>24</v>
      </c>
      <c r="AG200" s="1127">
        <v>1</v>
      </c>
      <c r="AH200" s="1127">
        <v>0</v>
      </c>
      <c r="AI200" s="1127">
        <v>0</v>
      </c>
      <c r="AJ200" s="1127">
        <v>1</v>
      </c>
      <c r="AK200" s="1129">
        <v>1494.1338095238098</v>
      </c>
      <c r="AL200" s="1129">
        <v>0</v>
      </c>
      <c r="AM200" s="1129">
        <v>0</v>
      </c>
      <c r="AN200" s="1129">
        <v>1494.1338095238098</v>
      </c>
      <c r="AO200" s="1129" t="s">
        <v>85</v>
      </c>
      <c r="AP200" s="1129" t="s">
        <v>96</v>
      </c>
      <c r="AQ200" s="1157">
        <v>2014</v>
      </c>
      <c r="AR200" s="1129" t="s">
        <v>87</v>
      </c>
      <c r="AS200" s="1127">
        <v>0.33333333333333331</v>
      </c>
      <c r="AT200" s="1127"/>
      <c r="AU200" s="1127">
        <v>0.33333333333333331</v>
      </c>
      <c r="AV200" s="1127"/>
      <c r="AW200" s="1127"/>
      <c r="AX200" s="1127"/>
      <c r="AY200" s="1127"/>
      <c r="AZ200" s="1127">
        <v>0.33333333333333331</v>
      </c>
      <c r="BA200" s="1129">
        <v>498.04460317460325</v>
      </c>
      <c r="BB200" s="1129">
        <v>0</v>
      </c>
      <c r="BC200" s="1129">
        <v>498.04460317460325</v>
      </c>
      <c r="BD200" s="1129">
        <v>0</v>
      </c>
      <c r="BE200" s="1129">
        <v>0</v>
      </c>
      <c r="BF200" s="1129">
        <v>0</v>
      </c>
      <c r="BG200" s="1129">
        <v>0</v>
      </c>
      <c r="BH200" s="1129">
        <v>498.04460317460325</v>
      </c>
      <c r="BI200" s="971"/>
      <c r="BJ200" s="971"/>
      <c r="BK200" s="971"/>
      <c r="BL200" s="1246"/>
      <c r="BM200" s="1247" t="s">
        <v>2125</v>
      </c>
    </row>
    <row r="201" spans="1:65" s="1247" customFormat="1" ht="66" customHeight="1">
      <c r="A201" s="1272">
        <v>4000</v>
      </c>
      <c r="B201" s="971" t="s">
        <v>1316</v>
      </c>
      <c r="C201" s="1272">
        <v>4100</v>
      </c>
      <c r="D201" s="971" t="s">
        <v>120</v>
      </c>
      <c r="E201" s="971" t="s">
        <v>1389</v>
      </c>
      <c r="F201" s="971" t="s">
        <v>176</v>
      </c>
      <c r="G201" s="971" t="s">
        <v>4624</v>
      </c>
      <c r="H201" s="971" t="s">
        <v>3494</v>
      </c>
      <c r="I201" s="1273" t="s">
        <v>6913</v>
      </c>
      <c r="J201" s="971" t="s">
        <v>2146</v>
      </c>
      <c r="K201" s="971" t="s">
        <v>2129</v>
      </c>
      <c r="L201" s="971" t="s">
        <v>2130</v>
      </c>
      <c r="M201" s="971" t="s">
        <v>2129</v>
      </c>
      <c r="N201" s="971" t="s">
        <v>176</v>
      </c>
      <c r="O201" s="971" t="s">
        <v>2130</v>
      </c>
      <c r="P201" s="971" t="s">
        <v>6663</v>
      </c>
      <c r="Q201" s="971" t="s">
        <v>6914</v>
      </c>
      <c r="R201" s="971" t="s">
        <v>4678</v>
      </c>
      <c r="S201" s="1274">
        <v>1</v>
      </c>
      <c r="T201" s="971" t="s">
        <v>242</v>
      </c>
      <c r="U201" s="1275">
        <v>6.666666666666667</v>
      </c>
      <c r="V201" s="1275">
        <v>25</v>
      </c>
      <c r="W201" s="1275">
        <v>666.08920634920639</v>
      </c>
      <c r="X201" s="1275">
        <v>250</v>
      </c>
      <c r="Y201" s="1275">
        <v>941.08920634920639</v>
      </c>
      <c r="Z201" s="1129">
        <v>6.666666666666667</v>
      </c>
      <c r="AA201" s="1129">
        <v>25</v>
      </c>
      <c r="AB201" s="1129">
        <v>666.08920634920639</v>
      </c>
      <c r="AC201" s="1129">
        <v>250</v>
      </c>
      <c r="AD201" s="1098">
        <v>941.08920634920639</v>
      </c>
      <c r="AE201" s="1237">
        <v>4</v>
      </c>
      <c r="AF201" s="1133">
        <v>4</v>
      </c>
      <c r="AG201" s="1127">
        <v>1</v>
      </c>
      <c r="AH201" s="1127">
        <v>0</v>
      </c>
      <c r="AI201" s="1127">
        <v>0</v>
      </c>
      <c r="AJ201" s="1127">
        <v>1</v>
      </c>
      <c r="AK201" s="1129">
        <v>941.08920634920639</v>
      </c>
      <c r="AL201" s="1129">
        <v>0</v>
      </c>
      <c r="AM201" s="1129">
        <v>0</v>
      </c>
      <c r="AN201" s="1129">
        <v>941.08920634920639</v>
      </c>
      <c r="AO201" s="1129" t="s">
        <v>85</v>
      </c>
      <c r="AP201" s="1129" t="s">
        <v>96</v>
      </c>
      <c r="AQ201" s="1157">
        <v>2014</v>
      </c>
      <c r="AR201" s="1129" t="s">
        <v>87</v>
      </c>
      <c r="AS201" s="1127">
        <v>0.33333333333333331</v>
      </c>
      <c r="AT201" s="1127"/>
      <c r="AU201" s="1127">
        <v>0.33333333333333331</v>
      </c>
      <c r="AV201" s="1127"/>
      <c r="AW201" s="1127"/>
      <c r="AX201" s="1127"/>
      <c r="AY201" s="1127"/>
      <c r="AZ201" s="1127">
        <v>0.33333333333333331</v>
      </c>
      <c r="BA201" s="1129">
        <v>313.69640211640211</v>
      </c>
      <c r="BB201" s="1129">
        <v>0</v>
      </c>
      <c r="BC201" s="1129">
        <v>313.69640211640211</v>
      </c>
      <c r="BD201" s="1129">
        <v>0</v>
      </c>
      <c r="BE201" s="1129">
        <v>0</v>
      </c>
      <c r="BF201" s="1129">
        <v>0</v>
      </c>
      <c r="BG201" s="1129">
        <v>0</v>
      </c>
      <c r="BH201" s="1129">
        <v>313.69640211640211</v>
      </c>
      <c r="BI201" s="971"/>
      <c r="BJ201" s="971"/>
      <c r="BK201" s="971"/>
      <c r="BL201" s="1246"/>
      <c r="BM201" s="1247" t="s">
        <v>2129</v>
      </c>
    </row>
    <row r="202" spans="1:65" s="1247" customFormat="1" ht="66" customHeight="1">
      <c r="A202" s="1272">
        <v>4000</v>
      </c>
      <c r="B202" s="971" t="s">
        <v>1316</v>
      </c>
      <c r="C202" s="1272">
        <v>4100</v>
      </c>
      <c r="D202" s="971" t="s">
        <v>120</v>
      </c>
      <c r="E202" s="971" t="s">
        <v>1389</v>
      </c>
      <c r="F202" s="971" t="s">
        <v>176</v>
      </c>
      <c r="G202" s="971" t="s">
        <v>4624</v>
      </c>
      <c r="H202" s="971" t="s">
        <v>3494</v>
      </c>
      <c r="I202" s="1273" t="s">
        <v>6915</v>
      </c>
      <c r="J202" s="971" t="s">
        <v>2146</v>
      </c>
      <c r="K202" s="971" t="s">
        <v>2129</v>
      </c>
      <c r="L202" s="971" t="s">
        <v>2130</v>
      </c>
      <c r="M202" s="971" t="s">
        <v>2129</v>
      </c>
      <c r="N202" s="971" t="s">
        <v>176</v>
      </c>
      <c r="O202" s="971" t="s">
        <v>2130</v>
      </c>
      <c r="P202" s="971" t="s">
        <v>6663</v>
      </c>
      <c r="Q202" s="971" t="s">
        <v>6914</v>
      </c>
      <c r="R202" s="971" t="s">
        <v>4683</v>
      </c>
      <c r="S202" s="1274">
        <v>1</v>
      </c>
      <c r="T202" s="971" t="s">
        <v>242</v>
      </c>
      <c r="U202" s="1275">
        <v>6.666666666666667</v>
      </c>
      <c r="V202" s="1275">
        <v>25</v>
      </c>
      <c r="W202" s="1275">
        <v>666.08920634920639</v>
      </c>
      <c r="X202" s="1275">
        <v>250</v>
      </c>
      <c r="Y202" s="1275">
        <v>941.08920634920639</v>
      </c>
      <c r="Z202" s="1129">
        <v>6.666666666666667</v>
      </c>
      <c r="AA202" s="1129">
        <v>25</v>
      </c>
      <c r="AB202" s="1129">
        <v>666.08920634920639</v>
      </c>
      <c r="AC202" s="1129">
        <v>250</v>
      </c>
      <c r="AD202" s="1098">
        <v>941.08920634920639</v>
      </c>
      <c r="AE202" s="1237">
        <v>4</v>
      </c>
      <c r="AF202" s="1133">
        <v>4</v>
      </c>
      <c r="AG202" s="1127">
        <v>1</v>
      </c>
      <c r="AH202" s="1127">
        <v>0</v>
      </c>
      <c r="AI202" s="1127">
        <v>0</v>
      </c>
      <c r="AJ202" s="1127">
        <v>1</v>
      </c>
      <c r="AK202" s="1129">
        <v>941.08920634920639</v>
      </c>
      <c r="AL202" s="1129">
        <v>0</v>
      </c>
      <c r="AM202" s="1129">
        <v>0</v>
      </c>
      <c r="AN202" s="1129">
        <v>941.08920634920639</v>
      </c>
      <c r="AO202" s="1129" t="s">
        <v>85</v>
      </c>
      <c r="AP202" s="1129" t="s">
        <v>96</v>
      </c>
      <c r="AQ202" s="1157">
        <v>2014</v>
      </c>
      <c r="AR202" s="1129" t="s">
        <v>87</v>
      </c>
      <c r="AS202" s="1127">
        <v>0.33333333333333331</v>
      </c>
      <c r="AT202" s="1127"/>
      <c r="AU202" s="1127">
        <v>0.33333333333333331</v>
      </c>
      <c r="AV202" s="1127"/>
      <c r="AW202" s="1127"/>
      <c r="AX202" s="1127"/>
      <c r="AY202" s="1127"/>
      <c r="AZ202" s="1127">
        <v>0.33333333333333331</v>
      </c>
      <c r="BA202" s="1129">
        <v>313.69640211640211</v>
      </c>
      <c r="BB202" s="1129">
        <v>0</v>
      </c>
      <c r="BC202" s="1129">
        <v>313.69640211640211</v>
      </c>
      <c r="BD202" s="1129">
        <v>0</v>
      </c>
      <c r="BE202" s="1129">
        <v>0</v>
      </c>
      <c r="BF202" s="1129">
        <v>0</v>
      </c>
      <c r="BG202" s="1129">
        <v>0</v>
      </c>
      <c r="BH202" s="1129">
        <v>313.69640211640211</v>
      </c>
      <c r="BI202" s="971"/>
      <c r="BJ202" s="971"/>
      <c r="BK202" s="971"/>
      <c r="BL202" s="1246"/>
      <c r="BM202" s="1247" t="s">
        <v>2129</v>
      </c>
    </row>
    <row r="203" spans="1:65" s="1247" customFormat="1" ht="66" customHeight="1">
      <c r="A203" s="1272">
        <v>4000</v>
      </c>
      <c r="B203" s="971" t="s">
        <v>1316</v>
      </c>
      <c r="C203" s="1272">
        <v>4100</v>
      </c>
      <c r="D203" s="971" t="s">
        <v>120</v>
      </c>
      <c r="E203" s="971" t="s">
        <v>1389</v>
      </c>
      <c r="F203" s="971" t="s">
        <v>176</v>
      </c>
      <c r="G203" s="971" t="s">
        <v>4624</v>
      </c>
      <c r="H203" s="971" t="s">
        <v>3494</v>
      </c>
      <c r="I203" s="1273" t="s">
        <v>6916</v>
      </c>
      <c r="J203" s="971" t="s">
        <v>2146</v>
      </c>
      <c r="K203" s="971" t="s">
        <v>2129</v>
      </c>
      <c r="L203" s="971" t="s">
        <v>2130</v>
      </c>
      <c r="M203" s="971" t="s">
        <v>2129</v>
      </c>
      <c r="N203" s="971" t="s">
        <v>176</v>
      </c>
      <c r="O203" s="971" t="s">
        <v>2130</v>
      </c>
      <c r="P203" s="971" t="s">
        <v>6667</v>
      </c>
      <c r="Q203" s="971" t="s">
        <v>6668</v>
      </c>
      <c r="R203" s="971" t="s">
        <v>4684</v>
      </c>
      <c r="S203" s="1274">
        <v>1</v>
      </c>
      <c r="T203" s="971" t="s">
        <v>242</v>
      </c>
      <c r="U203" s="1275">
        <v>6.666666666666667</v>
      </c>
      <c r="V203" s="1275">
        <v>25</v>
      </c>
      <c r="W203" s="1275">
        <v>666.08920634920639</v>
      </c>
      <c r="X203" s="1275">
        <v>250</v>
      </c>
      <c r="Y203" s="1275">
        <v>941.08920634920639</v>
      </c>
      <c r="Z203" s="1129">
        <v>6.666666666666667</v>
      </c>
      <c r="AA203" s="1129">
        <v>25</v>
      </c>
      <c r="AB203" s="1129">
        <v>666.08920634920639</v>
      </c>
      <c r="AC203" s="1129">
        <v>250</v>
      </c>
      <c r="AD203" s="1098">
        <v>941.08920634920639</v>
      </c>
      <c r="AE203" s="1237">
        <v>4</v>
      </c>
      <c r="AF203" s="1133">
        <v>4</v>
      </c>
      <c r="AG203" s="1127">
        <v>1</v>
      </c>
      <c r="AH203" s="1127">
        <v>0</v>
      </c>
      <c r="AI203" s="1127">
        <v>0</v>
      </c>
      <c r="AJ203" s="1127">
        <v>1</v>
      </c>
      <c r="AK203" s="1129">
        <v>941.08920634920639</v>
      </c>
      <c r="AL203" s="1129">
        <v>0</v>
      </c>
      <c r="AM203" s="1129">
        <v>0</v>
      </c>
      <c r="AN203" s="1129">
        <v>941.08920634920639</v>
      </c>
      <c r="AO203" s="1129" t="s">
        <v>85</v>
      </c>
      <c r="AP203" s="1129" t="s">
        <v>96</v>
      </c>
      <c r="AQ203" s="1157">
        <v>2014</v>
      </c>
      <c r="AR203" s="1129" t="s">
        <v>87</v>
      </c>
      <c r="AS203" s="1127">
        <v>0.33333333333333331</v>
      </c>
      <c r="AT203" s="1127"/>
      <c r="AU203" s="1127">
        <v>0.33333333333333331</v>
      </c>
      <c r="AV203" s="1127"/>
      <c r="AW203" s="1127"/>
      <c r="AX203" s="1127"/>
      <c r="AY203" s="1127"/>
      <c r="AZ203" s="1127">
        <v>0.33333333333333331</v>
      </c>
      <c r="BA203" s="1129">
        <v>313.69640211640211</v>
      </c>
      <c r="BB203" s="1129">
        <v>0</v>
      </c>
      <c r="BC203" s="1129">
        <v>313.69640211640211</v>
      </c>
      <c r="BD203" s="1129">
        <v>0</v>
      </c>
      <c r="BE203" s="1129">
        <v>0</v>
      </c>
      <c r="BF203" s="1129">
        <v>0</v>
      </c>
      <c r="BG203" s="1129">
        <v>0</v>
      </c>
      <c r="BH203" s="1129">
        <v>313.69640211640211</v>
      </c>
      <c r="BI203" s="971"/>
      <c r="BJ203" s="971"/>
      <c r="BK203" s="971"/>
      <c r="BL203" s="1246"/>
      <c r="BM203" s="1247" t="s">
        <v>2129</v>
      </c>
    </row>
    <row r="204" spans="1:65" s="1247" customFormat="1" ht="66" customHeight="1">
      <c r="A204" s="1272">
        <v>4000</v>
      </c>
      <c r="B204" s="971" t="s">
        <v>1316</v>
      </c>
      <c r="C204" s="1272">
        <v>4100</v>
      </c>
      <c r="D204" s="971" t="s">
        <v>120</v>
      </c>
      <c r="E204" s="971" t="s">
        <v>1389</v>
      </c>
      <c r="F204" s="971" t="s">
        <v>176</v>
      </c>
      <c r="G204" s="971" t="s">
        <v>4624</v>
      </c>
      <c r="H204" s="971" t="s">
        <v>3494</v>
      </c>
      <c r="I204" s="1273" t="s">
        <v>6917</v>
      </c>
      <c r="J204" s="971" t="s">
        <v>2146</v>
      </c>
      <c r="K204" s="971" t="s">
        <v>2129</v>
      </c>
      <c r="L204" s="971" t="s">
        <v>2130</v>
      </c>
      <c r="M204" s="971" t="s">
        <v>2129</v>
      </c>
      <c r="N204" s="971" t="s">
        <v>176</v>
      </c>
      <c r="O204" s="971" t="s">
        <v>2130</v>
      </c>
      <c r="P204" s="971" t="s">
        <v>6667</v>
      </c>
      <c r="Q204" s="971" t="s">
        <v>6668</v>
      </c>
      <c r="R204" s="971" t="s">
        <v>4685</v>
      </c>
      <c r="S204" s="1274">
        <v>1</v>
      </c>
      <c r="T204" s="971" t="s">
        <v>242</v>
      </c>
      <c r="U204" s="1275">
        <v>6.666666666666667</v>
      </c>
      <c r="V204" s="1275">
        <v>25</v>
      </c>
      <c r="W204" s="1275">
        <v>666.08920634920639</v>
      </c>
      <c r="X204" s="1275">
        <v>250</v>
      </c>
      <c r="Y204" s="1275">
        <v>941.08920634920639</v>
      </c>
      <c r="Z204" s="1129">
        <v>6.666666666666667</v>
      </c>
      <c r="AA204" s="1129">
        <v>25</v>
      </c>
      <c r="AB204" s="1129">
        <v>666.08920634920639</v>
      </c>
      <c r="AC204" s="1129">
        <v>250</v>
      </c>
      <c r="AD204" s="1098">
        <v>941.08920634920639</v>
      </c>
      <c r="AE204" s="1237">
        <v>4</v>
      </c>
      <c r="AF204" s="1133">
        <v>4</v>
      </c>
      <c r="AG204" s="1127">
        <v>1</v>
      </c>
      <c r="AH204" s="1127">
        <v>0</v>
      </c>
      <c r="AI204" s="1127">
        <v>0</v>
      </c>
      <c r="AJ204" s="1127">
        <v>1</v>
      </c>
      <c r="AK204" s="1129">
        <v>941.08920634920639</v>
      </c>
      <c r="AL204" s="1129">
        <v>0</v>
      </c>
      <c r="AM204" s="1129">
        <v>0</v>
      </c>
      <c r="AN204" s="1129">
        <v>941.08920634920639</v>
      </c>
      <c r="AO204" s="1129" t="s">
        <v>85</v>
      </c>
      <c r="AP204" s="1129" t="s">
        <v>96</v>
      </c>
      <c r="AQ204" s="1157">
        <v>2014</v>
      </c>
      <c r="AR204" s="1129" t="s">
        <v>87</v>
      </c>
      <c r="AS204" s="1127">
        <v>0.33333333333333331</v>
      </c>
      <c r="AT204" s="1127"/>
      <c r="AU204" s="1127">
        <v>0.33333333333333331</v>
      </c>
      <c r="AV204" s="1127"/>
      <c r="AW204" s="1127"/>
      <c r="AX204" s="1127"/>
      <c r="AY204" s="1127"/>
      <c r="AZ204" s="1127">
        <v>0.33333333333333331</v>
      </c>
      <c r="BA204" s="1129">
        <v>313.69640211640211</v>
      </c>
      <c r="BB204" s="1129">
        <v>0</v>
      </c>
      <c r="BC204" s="1129">
        <v>313.69640211640211</v>
      </c>
      <c r="BD204" s="1129">
        <v>0</v>
      </c>
      <c r="BE204" s="1129">
        <v>0</v>
      </c>
      <c r="BF204" s="1129">
        <v>0</v>
      </c>
      <c r="BG204" s="1129">
        <v>0</v>
      </c>
      <c r="BH204" s="1129">
        <v>313.69640211640211</v>
      </c>
      <c r="BI204" s="971"/>
      <c r="BJ204" s="971"/>
      <c r="BK204" s="971"/>
      <c r="BL204" s="1246"/>
      <c r="BM204" s="1247" t="s">
        <v>2129</v>
      </c>
    </row>
    <row r="205" spans="1:65" s="1247" customFormat="1" ht="66" customHeight="1">
      <c r="A205" s="1272">
        <v>4000</v>
      </c>
      <c r="B205" s="971" t="s">
        <v>1316</v>
      </c>
      <c r="C205" s="1272">
        <v>4100</v>
      </c>
      <c r="D205" s="971" t="s">
        <v>120</v>
      </c>
      <c r="E205" s="971" t="s">
        <v>1389</v>
      </c>
      <c r="F205" s="971" t="s">
        <v>176</v>
      </c>
      <c r="G205" s="971" t="s">
        <v>4624</v>
      </c>
      <c r="H205" s="971" t="s">
        <v>3494</v>
      </c>
      <c r="I205" s="1273" t="s">
        <v>6918</v>
      </c>
      <c r="J205" s="971" t="s">
        <v>2146</v>
      </c>
      <c r="K205" s="971" t="s">
        <v>2129</v>
      </c>
      <c r="L205" s="971" t="s">
        <v>2130</v>
      </c>
      <c r="M205" s="971" t="s">
        <v>2129</v>
      </c>
      <c r="N205" s="971" t="s">
        <v>176</v>
      </c>
      <c r="O205" s="971" t="s">
        <v>2130</v>
      </c>
      <c r="P205" s="971" t="s">
        <v>6667</v>
      </c>
      <c r="Q205" s="971" t="s">
        <v>6668</v>
      </c>
      <c r="R205" s="971" t="s">
        <v>4686</v>
      </c>
      <c r="S205" s="1274">
        <v>1</v>
      </c>
      <c r="T205" s="971" t="s">
        <v>242</v>
      </c>
      <c r="U205" s="1275">
        <v>6.666666666666667</v>
      </c>
      <c r="V205" s="1275">
        <v>25</v>
      </c>
      <c r="W205" s="1275">
        <v>666.08920634920639</v>
      </c>
      <c r="X205" s="1275">
        <v>250</v>
      </c>
      <c r="Y205" s="1275">
        <v>941.08920634920639</v>
      </c>
      <c r="Z205" s="1129">
        <v>6.666666666666667</v>
      </c>
      <c r="AA205" s="1129">
        <v>25</v>
      </c>
      <c r="AB205" s="1129">
        <v>666.08920634920639</v>
      </c>
      <c r="AC205" s="1129">
        <v>250</v>
      </c>
      <c r="AD205" s="1098">
        <v>941.08920634920639</v>
      </c>
      <c r="AE205" s="1237">
        <v>4</v>
      </c>
      <c r="AF205" s="1133">
        <v>4</v>
      </c>
      <c r="AG205" s="1127">
        <v>1</v>
      </c>
      <c r="AH205" s="1127">
        <v>0</v>
      </c>
      <c r="AI205" s="1127">
        <v>0</v>
      </c>
      <c r="AJ205" s="1127">
        <v>1</v>
      </c>
      <c r="AK205" s="1129">
        <v>941.08920634920639</v>
      </c>
      <c r="AL205" s="1129">
        <v>0</v>
      </c>
      <c r="AM205" s="1129">
        <v>0</v>
      </c>
      <c r="AN205" s="1129">
        <v>941.08920634920639</v>
      </c>
      <c r="AO205" s="1129" t="s">
        <v>85</v>
      </c>
      <c r="AP205" s="1129" t="s">
        <v>96</v>
      </c>
      <c r="AQ205" s="1157">
        <v>2014</v>
      </c>
      <c r="AR205" s="1129" t="s">
        <v>87</v>
      </c>
      <c r="AS205" s="1127">
        <v>0.33333333333333331</v>
      </c>
      <c r="AT205" s="1127"/>
      <c r="AU205" s="1127">
        <v>0.33333333333333331</v>
      </c>
      <c r="AV205" s="1127"/>
      <c r="AW205" s="1127"/>
      <c r="AX205" s="1127"/>
      <c r="AY205" s="1127"/>
      <c r="AZ205" s="1127">
        <v>0.33333333333333331</v>
      </c>
      <c r="BA205" s="1129">
        <v>313.69640211640211</v>
      </c>
      <c r="BB205" s="1129">
        <v>0</v>
      </c>
      <c r="BC205" s="1129">
        <v>313.69640211640211</v>
      </c>
      <c r="BD205" s="1129">
        <v>0</v>
      </c>
      <c r="BE205" s="1129">
        <v>0</v>
      </c>
      <c r="BF205" s="1129">
        <v>0</v>
      </c>
      <c r="BG205" s="1129">
        <v>0</v>
      </c>
      <c r="BH205" s="1129">
        <v>313.69640211640211</v>
      </c>
      <c r="BI205" s="971"/>
      <c r="BJ205" s="971"/>
      <c r="BK205" s="971"/>
      <c r="BL205" s="1246"/>
      <c r="BM205" s="1247" t="s">
        <v>2129</v>
      </c>
    </row>
    <row r="206" spans="1:65" s="1247" customFormat="1" ht="66" customHeight="1">
      <c r="A206" s="1272">
        <v>4000</v>
      </c>
      <c r="B206" s="971" t="s">
        <v>1316</v>
      </c>
      <c r="C206" s="1272">
        <v>4100</v>
      </c>
      <c r="D206" s="971" t="s">
        <v>120</v>
      </c>
      <c r="E206" s="971" t="s">
        <v>1389</v>
      </c>
      <c r="F206" s="971" t="s">
        <v>176</v>
      </c>
      <c r="G206" s="971" t="s">
        <v>4624</v>
      </c>
      <c r="H206" s="971" t="s">
        <v>3494</v>
      </c>
      <c r="I206" s="1273" t="s">
        <v>6919</v>
      </c>
      <c r="J206" s="971" t="s">
        <v>2146</v>
      </c>
      <c r="K206" s="971" t="s">
        <v>2127</v>
      </c>
      <c r="L206" s="971" t="s">
        <v>2177</v>
      </c>
      <c r="M206" s="971" t="s">
        <v>2127</v>
      </c>
      <c r="N206" s="971" t="s">
        <v>176</v>
      </c>
      <c r="O206" s="971" t="s">
        <v>2177</v>
      </c>
      <c r="P206" s="971" t="s">
        <v>6884</v>
      </c>
      <c r="Q206" s="971" t="s">
        <v>6920</v>
      </c>
      <c r="R206" s="971" t="s">
        <v>4687</v>
      </c>
      <c r="S206" s="1274">
        <v>1</v>
      </c>
      <c r="T206" s="971" t="s">
        <v>242</v>
      </c>
      <c r="U206" s="1275">
        <v>10</v>
      </c>
      <c r="V206" s="1275">
        <v>45</v>
      </c>
      <c r="W206" s="1275">
        <v>999.13380952380965</v>
      </c>
      <c r="X206" s="1275">
        <v>450</v>
      </c>
      <c r="Y206" s="1275">
        <v>1494.1338095238098</v>
      </c>
      <c r="Z206" s="1129">
        <v>10</v>
      </c>
      <c r="AA206" s="1129">
        <v>45</v>
      </c>
      <c r="AB206" s="1129">
        <v>999.13380952380965</v>
      </c>
      <c r="AC206" s="1129">
        <v>450</v>
      </c>
      <c r="AD206" s="1098">
        <v>1494.1338095238098</v>
      </c>
      <c r="AE206" s="1237">
        <v>24</v>
      </c>
      <c r="AF206" s="1133">
        <v>24</v>
      </c>
      <c r="AG206" s="1127">
        <v>1</v>
      </c>
      <c r="AH206" s="1127">
        <v>0</v>
      </c>
      <c r="AI206" s="1127">
        <v>0</v>
      </c>
      <c r="AJ206" s="1127">
        <v>1</v>
      </c>
      <c r="AK206" s="1129">
        <v>1494.1338095238098</v>
      </c>
      <c r="AL206" s="1129">
        <v>0</v>
      </c>
      <c r="AM206" s="1129">
        <v>0</v>
      </c>
      <c r="AN206" s="1129">
        <v>1494.1338095238098</v>
      </c>
      <c r="AO206" s="1129" t="s">
        <v>85</v>
      </c>
      <c r="AP206" s="1129" t="s">
        <v>96</v>
      </c>
      <c r="AQ206" s="1157">
        <v>2014</v>
      </c>
      <c r="AR206" s="1129" t="s">
        <v>87</v>
      </c>
      <c r="AS206" s="1127">
        <v>0.33333333333333331</v>
      </c>
      <c r="AT206" s="1127"/>
      <c r="AU206" s="1127">
        <v>0.33333333333333331</v>
      </c>
      <c r="AV206" s="1127"/>
      <c r="AW206" s="1127"/>
      <c r="AX206" s="1127"/>
      <c r="AY206" s="1127"/>
      <c r="AZ206" s="1127">
        <v>0.33333333333333331</v>
      </c>
      <c r="BA206" s="1129">
        <v>498.04460317460325</v>
      </c>
      <c r="BB206" s="1129">
        <v>0</v>
      </c>
      <c r="BC206" s="1129">
        <v>498.04460317460325</v>
      </c>
      <c r="BD206" s="1129">
        <v>0</v>
      </c>
      <c r="BE206" s="1129">
        <v>0</v>
      </c>
      <c r="BF206" s="1129">
        <v>0</v>
      </c>
      <c r="BG206" s="1129">
        <v>0</v>
      </c>
      <c r="BH206" s="1129">
        <v>498.04460317460325</v>
      </c>
      <c r="BI206" s="971"/>
      <c r="BJ206" s="971"/>
      <c r="BK206" s="971"/>
      <c r="BL206" s="1246"/>
      <c r="BM206" s="1247" t="s">
        <v>2129</v>
      </c>
    </row>
    <row r="207" spans="1:65" s="1247" customFormat="1" ht="66" customHeight="1">
      <c r="A207" s="1272">
        <v>4000</v>
      </c>
      <c r="B207" s="971" t="s">
        <v>1316</v>
      </c>
      <c r="C207" s="1272">
        <v>4100</v>
      </c>
      <c r="D207" s="971" t="s">
        <v>120</v>
      </c>
      <c r="E207" s="971" t="s">
        <v>1389</v>
      </c>
      <c r="F207" s="971" t="s">
        <v>176</v>
      </c>
      <c r="G207" s="971" t="s">
        <v>4624</v>
      </c>
      <c r="H207" s="971" t="s">
        <v>3494</v>
      </c>
      <c r="I207" s="1273" t="s">
        <v>6921</v>
      </c>
      <c r="J207" s="971" t="s">
        <v>2146</v>
      </c>
      <c r="K207" s="971" t="s">
        <v>2125</v>
      </c>
      <c r="L207" s="971" t="s">
        <v>2126</v>
      </c>
      <c r="M207" s="971" t="s">
        <v>2125</v>
      </c>
      <c r="N207" s="971" t="s">
        <v>176</v>
      </c>
      <c r="O207" s="971" t="s">
        <v>2126</v>
      </c>
      <c r="P207" s="971" t="s">
        <v>6391</v>
      </c>
      <c r="Q207" s="971" t="s">
        <v>6922</v>
      </c>
      <c r="R207" s="971" t="s">
        <v>4691</v>
      </c>
      <c r="S207" s="1274">
        <v>1</v>
      </c>
      <c r="T207" s="971" t="s">
        <v>242</v>
      </c>
      <c r="U207" s="1275">
        <v>13</v>
      </c>
      <c r="V207" s="1275">
        <v>120</v>
      </c>
      <c r="W207" s="1275">
        <v>1298.8739523809525</v>
      </c>
      <c r="X207" s="1275">
        <v>1200</v>
      </c>
      <c r="Y207" s="1275">
        <v>2618.8739523809527</v>
      </c>
      <c r="Z207" s="1129">
        <v>13</v>
      </c>
      <c r="AA207" s="1129">
        <v>120</v>
      </c>
      <c r="AB207" s="1129">
        <v>1298.8739523809525</v>
      </c>
      <c r="AC207" s="1129">
        <v>1200</v>
      </c>
      <c r="AD207" s="1098">
        <v>2618.8739523809527</v>
      </c>
      <c r="AE207" s="1237">
        <v>96</v>
      </c>
      <c r="AF207" s="1133">
        <v>96</v>
      </c>
      <c r="AG207" s="1127">
        <v>1</v>
      </c>
      <c r="AH207" s="1127">
        <v>0</v>
      </c>
      <c r="AI207" s="1127">
        <v>0</v>
      </c>
      <c r="AJ207" s="1127">
        <v>1</v>
      </c>
      <c r="AK207" s="1129">
        <v>2618.8739523809527</v>
      </c>
      <c r="AL207" s="1129">
        <v>0</v>
      </c>
      <c r="AM207" s="1129">
        <v>0</v>
      </c>
      <c r="AN207" s="1129">
        <v>2618.8739523809527</v>
      </c>
      <c r="AO207" s="1129" t="s">
        <v>85</v>
      </c>
      <c r="AP207" s="1129" t="s">
        <v>96</v>
      </c>
      <c r="AQ207" s="1157">
        <v>2014</v>
      </c>
      <c r="AR207" s="1129" t="s">
        <v>87</v>
      </c>
      <c r="AS207" s="1127">
        <v>0.33333333333333331</v>
      </c>
      <c r="AT207" s="1127"/>
      <c r="AU207" s="1127">
        <v>0.33333333333333331</v>
      </c>
      <c r="AV207" s="1127"/>
      <c r="AW207" s="1127"/>
      <c r="AX207" s="1127"/>
      <c r="AY207" s="1127"/>
      <c r="AZ207" s="1127">
        <v>0.33333333333333331</v>
      </c>
      <c r="BA207" s="1129">
        <v>872.95798412698423</v>
      </c>
      <c r="BB207" s="1129">
        <v>0</v>
      </c>
      <c r="BC207" s="1129">
        <v>872.95798412698423</v>
      </c>
      <c r="BD207" s="1129">
        <v>0</v>
      </c>
      <c r="BE207" s="1129">
        <v>0</v>
      </c>
      <c r="BF207" s="1129">
        <v>0</v>
      </c>
      <c r="BG207" s="1129">
        <v>0</v>
      </c>
      <c r="BH207" s="1129">
        <v>872.95798412698423</v>
      </c>
      <c r="BI207" s="971"/>
      <c r="BJ207" s="971"/>
      <c r="BK207" s="971"/>
      <c r="BL207" s="1246"/>
      <c r="BM207" s="1247" t="s">
        <v>2129</v>
      </c>
    </row>
    <row r="208" spans="1:65" s="1247" customFormat="1" ht="66" customHeight="1">
      <c r="A208" s="1272">
        <v>4000</v>
      </c>
      <c r="B208" s="971" t="s">
        <v>1316</v>
      </c>
      <c r="C208" s="1272">
        <v>4100</v>
      </c>
      <c r="D208" s="971" t="s">
        <v>120</v>
      </c>
      <c r="E208" s="971" t="s">
        <v>1389</v>
      </c>
      <c r="F208" s="971" t="s">
        <v>176</v>
      </c>
      <c r="G208" s="971" t="s">
        <v>4624</v>
      </c>
      <c r="H208" s="971" t="s">
        <v>3494</v>
      </c>
      <c r="I208" s="1273" t="s">
        <v>6923</v>
      </c>
      <c r="J208" s="971" t="s">
        <v>2146</v>
      </c>
      <c r="K208" s="971" t="s">
        <v>2127</v>
      </c>
      <c r="L208" s="971" t="s">
        <v>2177</v>
      </c>
      <c r="M208" s="971" t="s">
        <v>2127</v>
      </c>
      <c r="N208" s="971" t="s">
        <v>176</v>
      </c>
      <c r="O208" s="971" t="s">
        <v>2177</v>
      </c>
      <c r="P208" s="971" t="s">
        <v>6646</v>
      </c>
      <c r="Q208" s="971" t="s">
        <v>6924</v>
      </c>
      <c r="R208" s="971" t="s">
        <v>4696</v>
      </c>
      <c r="S208" s="1274">
        <v>1</v>
      </c>
      <c r="T208" s="971" t="s">
        <v>242</v>
      </c>
      <c r="U208" s="1275">
        <v>10</v>
      </c>
      <c r="V208" s="1275">
        <v>45</v>
      </c>
      <c r="W208" s="1275">
        <v>999.13380952380965</v>
      </c>
      <c r="X208" s="1275">
        <v>450</v>
      </c>
      <c r="Y208" s="1275">
        <v>1494.1338095238098</v>
      </c>
      <c r="Z208" s="1129">
        <v>10</v>
      </c>
      <c r="AA208" s="1129">
        <v>45</v>
      </c>
      <c r="AB208" s="1129">
        <v>999.13380952380965</v>
      </c>
      <c r="AC208" s="1129">
        <v>450</v>
      </c>
      <c r="AD208" s="1098">
        <v>1494.1338095238098</v>
      </c>
      <c r="AE208" s="1237">
        <v>24</v>
      </c>
      <c r="AF208" s="1133">
        <v>24</v>
      </c>
      <c r="AG208" s="1127">
        <v>1</v>
      </c>
      <c r="AH208" s="1127">
        <v>0</v>
      </c>
      <c r="AI208" s="1127">
        <v>0</v>
      </c>
      <c r="AJ208" s="1127">
        <v>1</v>
      </c>
      <c r="AK208" s="1129">
        <v>1494.1338095238098</v>
      </c>
      <c r="AL208" s="1129">
        <v>0</v>
      </c>
      <c r="AM208" s="1129">
        <v>0</v>
      </c>
      <c r="AN208" s="1129">
        <v>1494.1338095238098</v>
      </c>
      <c r="AO208" s="1129" t="s">
        <v>85</v>
      </c>
      <c r="AP208" s="1129" t="s">
        <v>96</v>
      </c>
      <c r="AQ208" s="1157">
        <v>2014</v>
      </c>
      <c r="AR208" s="1129" t="s">
        <v>87</v>
      </c>
      <c r="AS208" s="1127">
        <v>0.33333333333333331</v>
      </c>
      <c r="AT208" s="1127"/>
      <c r="AU208" s="1127">
        <v>0.33333333333333331</v>
      </c>
      <c r="AV208" s="1127"/>
      <c r="AW208" s="1127"/>
      <c r="AX208" s="1127"/>
      <c r="AY208" s="1127"/>
      <c r="AZ208" s="1127">
        <v>0.33333333333333331</v>
      </c>
      <c r="BA208" s="1129">
        <v>498.04460317460325</v>
      </c>
      <c r="BB208" s="1129">
        <v>0</v>
      </c>
      <c r="BC208" s="1129">
        <v>498.04460317460325</v>
      </c>
      <c r="BD208" s="1129">
        <v>0</v>
      </c>
      <c r="BE208" s="1129">
        <v>0</v>
      </c>
      <c r="BF208" s="1129">
        <v>0</v>
      </c>
      <c r="BG208" s="1129">
        <v>0</v>
      </c>
      <c r="BH208" s="1129">
        <v>498.04460317460325</v>
      </c>
      <c r="BI208" s="971"/>
      <c r="BJ208" s="971"/>
      <c r="BK208" s="971"/>
      <c r="BL208" s="1246"/>
      <c r="BM208" s="1247" t="s">
        <v>2129</v>
      </c>
    </row>
    <row r="209" spans="1:65" s="1247" customFormat="1" ht="66" customHeight="1">
      <c r="A209" s="1272">
        <v>4000</v>
      </c>
      <c r="B209" s="971" t="s">
        <v>1316</v>
      </c>
      <c r="C209" s="1272">
        <v>4100</v>
      </c>
      <c r="D209" s="971" t="s">
        <v>120</v>
      </c>
      <c r="E209" s="971" t="s">
        <v>1389</v>
      </c>
      <c r="F209" s="971" t="s">
        <v>176</v>
      </c>
      <c r="G209" s="971" t="s">
        <v>4624</v>
      </c>
      <c r="H209" s="971" t="s">
        <v>3494</v>
      </c>
      <c r="I209" s="1273" t="s">
        <v>6925</v>
      </c>
      <c r="J209" s="971" t="s">
        <v>2146</v>
      </c>
      <c r="K209" s="971" t="s">
        <v>2129</v>
      </c>
      <c r="L209" s="971" t="s">
        <v>2130</v>
      </c>
      <c r="M209" s="971" t="s">
        <v>2129</v>
      </c>
      <c r="N209" s="971" t="s">
        <v>176</v>
      </c>
      <c r="O209" s="971" t="s">
        <v>2130</v>
      </c>
      <c r="P209" s="971" t="s">
        <v>6671</v>
      </c>
      <c r="Q209" s="971" t="s">
        <v>6672</v>
      </c>
      <c r="R209" s="971" t="s">
        <v>4698</v>
      </c>
      <c r="S209" s="1274">
        <v>1</v>
      </c>
      <c r="T209" s="971" t="s">
        <v>242</v>
      </c>
      <c r="U209" s="1275">
        <v>6.666666666666667</v>
      </c>
      <c r="V209" s="1275">
        <v>25</v>
      </c>
      <c r="W209" s="1275">
        <v>666.08920634920639</v>
      </c>
      <c r="X209" s="1275">
        <v>250</v>
      </c>
      <c r="Y209" s="1275">
        <v>941.08920634920639</v>
      </c>
      <c r="Z209" s="1129">
        <v>6.666666666666667</v>
      </c>
      <c r="AA209" s="1129">
        <v>25</v>
      </c>
      <c r="AB209" s="1129">
        <v>666.08920634920639</v>
      </c>
      <c r="AC209" s="1129">
        <v>250</v>
      </c>
      <c r="AD209" s="1098">
        <v>941.08920634920639</v>
      </c>
      <c r="AE209" s="1237">
        <v>4</v>
      </c>
      <c r="AF209" s="1133">
        <v>4</v>
      </c>
      <c r="AG209" s="1127">
        <v>1</v>
      </c>
      <c r="AH209" s="1127">
        <v>0</v>
      </c>
      <c r="AI209" s="1127">
        <v>0</v>
      </c>
      <c r="AJ209" s="1127">
        <v>1</v>
      </c>
      <c r="AK209" s="1129">
        <v>941.08920634920639</v>
      </c>
      <c r="AL209" s="1129">
        <v>0</v>
      </c>
      <c r="AM209" s="1129">
        <v>0</v>
      </c>
      <c r="AN209" s="1129">
        <v>941.08920634920639</v>
      </c>
      <c r="AO209" s="1129" t="s">
        <v>85</v>
      </c>
      <c r="AP209" s="1129" t="s">
        <v>96</v>
      </c>
      <c r="AQ209" s="1157">
        <v>2014</v>
      </c>
      <c r="AR209" s="1129" t="s">
        <v>87</v>
      </c>
      <c r="AS209" s="1127">
        <v>0.33333333333333331</v>
      </c>
      <c r="AT209" s="1127"/>
      <c r="AU209" s="1127">
        <v>0.33333333333333331</v>
      </c>
      <c r="AV209" s="1127"/>
      <c r="AW209" s="1127"/>
      <c r="AX209" s="1127"/>
      <c r="AY209" s="1127"/>
      <c r="AZ209" s="1127">
        <v>0.33333333333333331</v>
      </c>
      <c r="BA209" s="1129">
        <v>313.69640211640211</v>
      </c>
      <c r="BB209" s="1129">
        <v>0</v>
      </c>
      <c r="BC209" s="1129">
        <v>313.69640211640211</v>
      </c>
      <c r="BD209" s="1129">
        <v>0</v>
      </c>
      <c r="BE209" s="1129">
        <v>0</v>
      </c>
      <c r="BF209" s="1129">
        <v>0</v>
      </c>
      <c r="BG209" s="1129">
        <v>0</v>
      </c>
      <c r="BH209" s="1129">
        <v>313.69640211640211</v>
      </c>
      <c r="BI209" s="971"/>
      <c r="BJ209" s="971"/>
      <c r="BK209" s="971"/>
      <c r="BL209" s="1246"/>
      <c r="BM209" s="1247" t="s">
        <v>2129</v>
      </c>
    </row>
    <row r="210" spans="1:65" s="1247" customFormat="1" ht="66" customHeight="1">
      <c r="A210" s="1272">
        <v>4000</v>
      </c>
      <c r="B210" s="971" t="s">
        <v>1316</v>
      </c>
      <c r="C210" s="1272">
        <v>4100</v>
      </c>
      <c r="D210" s="971" t="s">
        <v>120</v>
      </c>
      <c r="E210" s="971" t="s">
        <v>1389</v>
      </c>
      <c r="F210" s="971" t="s">
        <v>176</v>
      </c>
      <c r="G210" s="971" t="s">
        <v>4624</v>
      </c>
      <c r="H210" s="971" t="s">
        <v>3494</v>
      </c>
      <c r="I210" s="1273" t="s">
        <v>6926</v>
      </c>
      <c r="J210" s="971" t="s">
        <v>2146</v>
      </c>
      <c r="K210" s="971" t="s">
        <v>2129</v>
      </c>
      <c r="L210" s="971" t="s">
        <v>2130</v>
      </c>
      <c r="M210" s="971" t="s">
        <v>2129</v>
      </c>
      <c r="N210" s="971" t="s">
        <v>176</v>
      </c>
      <c r="O210" s="971" t="s">
        <v>2130</v>
      </c>
      <c r="P210" s="971" t="s">
        <v>6927</v>
      </c>
      <c r="Q210" s="971" t="s">
        <v>6928</v>
      </c>
      <c r="R210" s="971" t="s">
        <v>4699</v>
      </c>
      <c r="S210" s="1274">
        <v>1</v>
      </c>
      <c r="T210" s="971" t="s">
        <v>242</v>
      </c>
      <c r="U210" s="1275">
        <v>6.666666666666667</v>
      </c>
      <c r="V210" s="1275">
        <v>25</v>
      </c>
      <c r="W210" s="1275">
        <v>666.08920634920639</v>
      </c>
      <c r="X210" s="1275">
        <v>250</v>
      </c>
      <c r="Y210" s="1275">
        <v>941.08920634920639</v>
      </c>
      <c r="Z210" s="1129">
        <v>6.666666666666667</v>
      </c>
      <c r="AA210" s="1129">
        <v>25</v>
      </c>
      <c r="AB210" s="1129">
        <v>666.08920634920639</v>
      </c>
      <c r="AC210" s="1129">
        <v>250</v>
      </c>
      <c r="AD210" s="1098">
        <v>941.08920634920639</v>
      </c>
      <c r="AE210" s="1237">
        <v>4</v>
      </c>
      <c r="AF210" s="1133">
        <v>4</v>
      </c>
      <c r="AG210" s="1127">
        <v>1</v>
      </c>
      <c r="AH210" s="1127">
        <v>0</v>
      </c>
      <c r="AI210" s="1127">
        <v>0</v>
      </c>
      <c r="AJ210" s="1127">
        <v>1</v>
      </c>
      <c r="AK210" s="1129">
        <v>941.08920634920639</v>
      </c>
      <c r="AL210" s="1129">
        <v>0</v>
      </c>
      <c r="AM210" s="1129">
        <v>0</v>
      </c>
      <c r="AN210" s="1129">
        <v>941.08920634920639</v>
      </c>
      <c r="AO210" s="1129" t="s">
        <v>85</v>
      </c>
      <c r="AP210" s="1129" t="s">
        <v>96</v>
      </c>
      <c r="AQ210" s="1157">
        <v>2014</v>
      </c>
      <c r="AR210" s="1129" t="s">
        <v>87</v>
      </c>
      <c r="AS210" s="1127">
        <v>0.33333333333333331</v>
      </c>
      <c r="AT210" s="1127"/>
      <c r="AU210" s="1127">
        <v>0.33333333333333331</v>
      </c>
      <c r="AV210" s="1127"/>
      <c r="AW210" s="1127"/>
      <c r="AX210" s="1127"/>
      <c r="AY210" s="1127"/>
      <c r="AZ210" s="1127">
        <v>0.33333333333333331</v>
      </c>
      <c r="BA210" s="1129">
        <v>313.69640211640211</v>
      </c>
      <c r="BB210" s="1129">
        <v>0</v>
      </c>
      <c r="BC210" s="1129">
        <v>313.69640211640211</v>
      </c>
      <c r="BD210" s="1129">
        <v>0</v>
      </c>
      <c r="BE210" s="1129">
        <v>0</v>
      </c>
      <c r="BF210" s="1129">
        <v>0</v>
      </c>
      <c r="BG210" s="1129">
        <v>0</v>
      </c>
      <c r="BH210" s="1129">
        <v>313.69640211640211</v>
      </c>
      <c r="BI210" s="971"/>
      <c r="BJ210" s="971"/>
      <c r="BK210" s="971"/>
      <c r="BL210" s="1246"/>
      <c r="BM210" s="1247" t="s">
        <v>2129</v>
      </c>
    </row>
    <row r="211" spans="1:65" s="1247" customFormat="1" ht="82.5" customHeight="1">
      <c r="A211" s="1272">
        <v>4000</v>
      </c>
      <c r="B211" s="971" t="s">
        <v>1316</v>
      </c>
      <c r="C211" s="1272">
        <v>4100</v>
      </c>
      <c r="D211" s="971" t="s">
        <v>120</v>
      </c>
      <c r="E211" s="971" t="s">
        <v>1389</v>
      </c>
      <c r="F211" s="971" t="s">
        <v>176</v>
      </c>
      <c r="G211" s="971" t="s">
        <v>4624</v>
      </c>
      <c r="H211" s="971" t="s">
        <v>3494</v>
      </c>
      <c r="I211" s="1273" t="s">
        <v>6929</v>
      </c>
      <c r="J211" s="971" t="s">
        <v>2146</v>
      </c>
      <c r="K211" s="971" t="s">
        <v>2129</v>
      </c>
      <c r="L211" s="971" t="s">
        <v>2130</v>
      </c>
      <c r="M211" s="971" t="s">
        <v>2129</v>
      </c>
      <c r="N211" s="971" t="s">
        <v>176</v>
      </c>
      <c r="O211" s="971" t="s">
        <v>2130</v>
      </c>
      <c r="P211" s="971" t="s">
        <v>6927</v>
      </c>
      <c r="Q211" s="971" t="s">
        <v>6930</v>
      </c>
      <c r="R211" s="971" t="s">
        <v>4706</v>
      </c>
      <c r="S211" s="1274">
        <v>1</v>
      </c>
      <c r="T211" s="971" t="s">
        <v>242</v>
      </c>
      <c r="U211" s="1275">
        <v>6.666666666666667</v>
      </c>
      <c r="V211" s="1275">
        <v>25</v>
      </c>
      <c r="W211" s="1275">
        <v>666.08920634920639</v>
      </c>
      <c r="X211" s="1275">
        <v>250</v>
      </c>
      <c r="Y211" s="1275">
        <v>941.08920634920639</v>
      </c>
      <c r="Z211" s="1129">
        <v>6.666666666666667</v>
      </c>
      <c r="AA211" s="1129">
        <v>25</v>
      </c>
      <c r="AB211" s="1129">
        <v>666.08920634920639</v>
      </c>
      <c r="AC211" s="1129">
        <v>250</v>
      </c>
      <c r="AD211" s="1098">
        <v>941.08920634920639</v>
      </c>
      <c r="AE211" s="1237">
        <v>4</v>
      </c>
      <c r="AF211" s="1133">
        <v>4</v>
      </c>
      <c r="AG211" s="1127">
        <v>1</v>
      </c>
      <c r="AH211" s="1127">
        <v>0</v>
      </c>
      <c r="AI211" s="1127">
        <v>0</v>
      </c>
      <c r="AJ211" s="1127">
        <v>1</v>
      </c>
      <c r="AK211" s="1129">
        <v>941.08920634920639</v>
      </c>
      <c r="AL211" s="1129">
        <v>0</v>
      </c>
      <c r="AM211" s="1129">
        <v>0</v>
      </c>
      <c r="AN211" s="1129">
        <v>941.08920634920639</v>
      </c>
      <c r="AO211" s="1129" t="s">
        <v>85</v>
      </c>
      <c r="AP211" s="1129" t="s">
        <v>96</v>
      </c>
      <c r="AQ211" s="1157">
        <v>2014</v>
      </c>
      <c r="AR211" s="1129" t="s">
        <v>87</v>
      </c>
      <c r="AS211" s="1127">
        <v>0.33333333333333331</v>
      </c>
      <c r="AT211" s="1127"/>
      <c r="AU211" s="1127">
        <v>0.33333333333333331</v>
      </c>
      <c r="AV211" s="1127"/>
      <c r="AW211" s="1127"/>
      <c r="AX211" s="1127"/>
      <c r="AY211" s="1127"/>
      <c r="AZ211" s="1127">
        <v>0.33333333333333331</v>
      </c>
      <c r="BA211" s="1129">
        <v>313.69640211640211</v>
      </c>
      <c r="BB211" s="1129">
        <v>0</v>
      </c>
      <c r="BC211" s="1129">
        <v>313.69640211640211</v>
      </c>
      <c r="BD211" s="1129">
        <v>0</v>
      </c>
      <c r="BE211" s="1129">
        <v>0</v>
      </c>
      <c r="BF211" s="1129">
        <v>0</v>
      </c>
      <c r="BG211" s="1129">
        <v>0</v>
      </c>
      <c r="BH211" s="1129">
        <v>313.69640211640211</v>
      </c>
      <c r="BI211" s="971"/>
      <c r="BJ211" s="971"/>
      <c r="BK211" s="971"/>
      <c r="BL211" s="1246"/>
      <c r="BM211" s="1247" t="s">
        <v>2125</v>
      </c>
    </row>
    <row r="212" spans="1:65" s="1247" customFormat="1" ht="66" customHeight="1">
      <c r="A212" s="1272">
        <v>4000</v>
      </c>
      <c r="B212" s="971" t="s">
        <v>1316</v>
      </c>
      <c r="C212" s="1272">
        <v>4100</v>
      </c>
      <c r="D212" s="971" t="s">
        <v>120</v>
      </c>
      <c r="E212" s="971" t="s">
        <v>1389</v>
      </c>
      <c r="F212" s="971" t="s">
        <v>176</v>
      </c>
      <c r="G212" s="971" t="s">
        <v>4624</v>
      </c>
      <c r="H212" s="971" t="s">
        <v>3494</v>
      </c>
      <c r="I212" s="1273" t="s">
        <v>6931</v>
      </c>
      <c r="J212" s="971" t="s">
        <v>2146</v>
      </c>
      <c r="K212" s="971" t="s">
        <v>2127</v>
      </c>
      <c r="L212" s="971" t="s">
        <v>2177</v>
      </c>
      <c r="M212" s="971" t="s">
        <v>2127</v>
      </c>
      <c r="N212" s="971" t="s">
        <v>176</v>
      </c>
      <c r="O212" s="971" t="s">
        <v>2177</v>
      </c>
      <c r="P212" s="971" t="s">
        <v>6658</v>
      </c>
      <c r="Q212" s="971" t="s">
        <v>6932</v>
      </c>
      <c r="R212" s="971" t="s">
        <v>4712</v>
      </c>
      <c r="S212" s="1274">
        <v>1</v>
      </c>
      <c r="T212" s="971" t="s">
        <v>242</v>
      </c>
      <c r="U212" s="1275">
        <v>10</v>
      </c>
      <c r="V212" s="1275">
        <v>45</v>
      </c>
      <c r="W212" s="1275">
        <v>999.13380952380965</v>
      </c>
      <c r="X212" s="1275">
        <v>450</v>
      </c>
      <c r="Y212" s="1275">
        <v>1494.1338095238098</v>
      </c>
      <c r="Z212" s="1129">
        <v>10</v>
      </c>
      <c r="AA212" s="1129">
        <v>45</v>
      </c>
      <c r="AB212" s="1129">
        <v>999.13380952380965</v>
      </c>
      <c r="AC212" s="1129">
        <v>450</v>
      </c>
      <c r="AD212" s="1098">
        <v>1494.1338095238098</v>
      </c>
      <c r="AE212" s="1237">
        <v>24</v>
      </c>
      <c r="AF212" s="1133">
        <v>24</v>
      </c>
      <c r="AG212" s="1127">
        <v>1</v>
      </c>
      <c r="AH212" s="1127">
        <v>0</v>
      </c>
      <c r="AI212" s="1127">
        <v>0</v>
      </c>
      <c r="AJ212" s="1127">
        <v>1</v>
      </c>
      <c r="AK212" s="1129">
        <v>1494.1338095238098</v>
      </c>
      <c r="AL212" s="1129">
        <v>0</v>
      </c>
      <c r="AM212" s="1129">
        <v>0</v>
      </c>
      <c r="AN212" s="1129">
        <v>1494.1338095238098</v>
      </c>
      <c r="AO212" s="1129" t="s">
        <v>85</v>
      </c>
      <c r="AP212" s="1129" t="s">
        <v>96</v>
      </c>
      <c r="AQ212" s="1157">
        <v>2014</v>
      </c>
      <c r="AR212" s="1129" t="s">
        <v>87</v>
      </c>
      <c r="AS212" s="1127">
        <v>0.33333333333333331</v>
      </c>
      <c r="AT212" s="1127"/>
      <c r="AU212" s="1127">
        <v>0.33333333333333331</v>
      </c>
      <c r="AV212" s="1127"/>
      <c r="AW212" s="1127"/>
      <c r="AX212" s="1127"/>
      <c r="AY212" s="1127"/>
      <c r="AZ212" s="1127">
        <v>0.33333333333333331</v>
      </c>
      <c r="BA212" s="1129">
        <v>498.04460317460325</v>
      </c>
      <c r="BB212" s="1129">
        <v>0</v>
      </c>
      <c r="BC212" s="1129">
        <v>498.04460317460325</v>
      </c>
      <c r="BD212" s="1129">
        <v>0</v>
      </c>
      <c r="BE212" s="1129">
        <v>0</v>
      </c>
      <c r="BF212" s="1129">
        <v>0</v>
      </c>
      <c r="BG212" s="1129">
        <v>0</v>
      </c>
      <c r="BH212" s="1129">
        <v>498.04460317460325</v>
      </c>
      <c r="BI212" s="971"/>
      <c r="BJ212" s="971"/>
      <c r="BK212" s="971"/>
      <c r="BL212" s="1246"/>
      <c r="BM212" s="1247" t="s">
        <v>2125</v>
      </c>
    </row>
    <row r="213" spans="1:65" s="1247" customFormat="1" ht="66" customHeight="1">
      <c r="A213" s="1272">
        <v>4000</v>
      </c>
      <c r="B213" s="971" t="s">
        <v>1316</v>
      </c>
      <c r="C213" s="1272">
        <v>4100</v>
      </c>
      <c r="D213" s="971" t="s">
        <v>120</v>
      </c>
      <c r="E213" s="971" t="s">
        <v>1389</v>
      </c>
      <c r="F213" s="971" t="s">
        <v>176</v>
      </c>
      <c r="G213" s="971" t="s">
        <v>4624</v>
      </c>
      <c r="H213" s="971" t="s">
        <v>3494</v>
      </c>
      <c r="I213" s="1273" t="s">
        <v>2291</v>
      </c>
      <c r="J213" s="971" t="s">
        <v>2146</v>
      </c>
      <c r="K213" s="971" t="s">
        <v>2127</v>
      </c>
      <c r="L213" s="971" t="s">
        <v>2177</v>
      </c>
      <c r="M213" s="971" t="s">
        <v>2127</v>
      </c>
      <c r="N213" s="971" t="s">
        <v>176</v>
      </c>
      <c r="O213" s="971" t="s">
        <v>2177</v>
      </c>
      <c r="P213" s="971" t="s">
        <v>2292</v>
      </c>
      <c r="Q213" s="971" t="s">
        <v>6933</v>
      </c>
      <c r="R213" s="971" t="s">
        <v>4717</v>
      </c>
      <c r="S213" s="1274">
        <v>1</v>
      </c>
      <c r="T213" s="971" t="s">
        <v>242</v>
      </c>
      <c r="U213" s="1275">
        <v>10</v>
      </c>
      <c r="V213" s="1275">
        <v>45</v>
      </c>
      <c r="W213" s="1275">
        <v>999.13380952380965</v>
      </c>
      <c r="X213" s="1275">
        <v>450</v>
      </c>
      <c r="Y213" s="1275">
        <v>1494.1338095238098</v>
      </c>
      <c r="Z213" s="1129">
        <v>10</v>
      </c>
      <c r="AA213" s="1129">
        <v>45</v>
      </c>
      <c r="AB213" s="1129">
        <v>999.13380952380965</v>
      </c>
      <c r="AC213" s="1129">
        <v>450</v>
      </c>
      <c r="AD213" s="1098">
        <v>1494.1338095238098</v>
      </c>
      <c r="AE213" s="1237">
        <v>24</v>
      </c>
      <c r="AF213" s="1133">
        <v>24</v>
      </c>
      <c r="AG213" s="1127">
        <v>1</v>
      </c>
      <c r="AH213" s="1127">
        <v>0</v>
      </c>
      <c r="AI213" s="1127">
        <v>0</v>
      </c>
      <c r="AJ213" s="1127">
        <v>1</v>
      </c>
      <c r="AK213" s="1129">
        <v>1494.1338095238098</v>
      </c>
      <c r="AL213" s="1129">
        <v>0</v>
      </c>
      <c r="AM213" s="1129">
        <v>0</v>
      </c>
      <c r="AN213" s="1129">
        <v>1494.1338095238098</v>
      </c>
      <c r="AO213" s="1129" t="s">
        <v>85</v>
      </c>
      <c r="AP213" s="1129" t="s">
        <v>96</v>
      </c>
      <c r="AQ213" s="1157">
        <v>2014</v>
      </c>
      <c r="AR213" s="1129" t="s">
        <v>87</v>
      </c>
      <c r="AS213" s="1127">
        <v>0.33333333333333331</v>
      </c>
      <c r="AT213" s="1127"/>
      <c r="AU213" s="1127">
        <v>0.33333333333333331</v>
      </c>
      <c r="AV213" s="1127"/>
      <c r="AW213" s="1127"/>
      <c r="AX213" s="1127"/>
      <c r="AY213" s="1127"/>
      <c r="AZ213" s="1127">
        <v>0.33333333333333331</v>
      </c>
      <c r="BA213" s="1129">
        <v>498.04460317460325</v>
      </c>
      <c r="BB213" s="1129">
        <v>0</v>
      </c>
      <c r="BC213" s="1129">
        <v>498.04460317460325</v>
      </c>
      <c r="BD213" s="1129">
        <v>0</v>
      </c>
      <c r="BE213" s="1129">
        <v>0</v>
      </c>
      <c r="BF213" s="1129">
        <v>0</v>
      </c>
      <c r="BG213" s="1129">
        <v>0</v>
      </c>
      <c r="BH213" s="1129">
        <v>498.04460317460325</v>
      </c>
      <c r="BI213" s="971"/>
      <c r="BJ213" s="971"/>
      <c r="BK213" s="971"/>
      <c r="BL213" s="1246"/>
      <c r="BM213" s="1247" t="s">
        <v>2125</v>
      </c>
    </row>
    <row r="214" spans="1:65" s="1247" customFormat="1" ht="66" customHeight="1">
      <c r="A214" s="1272">
        <v>4000</v>
      </c>
      <c r="B214" s="971" t="s">
        <v>1316</v>
      </c>
      <c r="C214" s="1272">
        <v>4100</v>
      </c>
      <c r="D214" s="971" t="s">
        <v>120</v>
      </c>
      <c r="E214" s="971" t="s">
        <v>1389</v>
      </c>
      <c r="F214" s="971" t="s">
        <v>176</v>
      </c>
      <c r="G214" s="971" t="s">
        <v>4624</v>
      </c>
      <c r="H214" s="971" t="s">
        <v>3494</v>
      </c>
      <c r="I214" s="1273" t="s">
        <v>6934</v>
      </c>
      <c r="J214" s="971" t="s">
        <v>2146</v>
      </c>
      <c r="K214" s="971" t="s">
        <v>2129</v>
      </c>
      <c r="L214" s="971" t="s">
        <v>2130</v>
      </c>
      <c r="M214" s="971" t="s">
        <v>2129</v>
      </c>
      <c r="N214" s="971" t="s">
        <v>176</v>
      </c>
      <c r="O214" s="971" t="s">
        <v>2130</v>
      </c>
      <c r="P214" s="971" t="s">
        <v>6619</v>
      </c>
      <c r="Q214" s="971" t="s">
        <v>6622</v>
      </c>
      <c r="R214" s="971" t="s">
        <v>4721</v>
      </c>
      <c r="S214" s="1274">
        <v>1</v>
      </c>
      <c r="T214" s="971" t="s">
        <v>242</v>
      </c>
      <c r="U214" s="1275">
        <v>6.666666666666667</v>
      </c>
      <c r="V214" s="1275">
        <v>25</v>
      </c>
      <c r="W214" s="1275">
        <v>666.08920634920639</v>
      </c>
      <c r="X214" s="1275">
        <v>250</v>
      </c>
      <c r="Y214" s="1275">
        <v>941.08920634920639</v>
      </c>
      <c r="Z214" s="1129">
        <v>6.666666666666667</v>
      </c>
      <c r="AA214" s="1129">
        <v>25</v>
      </c>
      <c r="AB214" s="1129">
        <v>666.08920634920639</v>
      </c>
      <c r="AC214" s="1129">
        <v>250</v>
      </c>
      <c r="AD214" s="1098">
        <v>941.08920634920639</v>
      </c>
      <c r="AE214" s="1237">
        <v>4</v>
      </c>
      <c r="AF214" s="1133">
        <v>4</v>
      </c>
      <c r="AG214" s="1127">
        <v>1</v>
      </c>
      <c r="AH214" s="1127">
        <v>0</v>
      </c>
      <c r="AI214" s="1127">
        <v>0</v>
      </c>
      <c r="AJ214" s="1127">
        <v>1</v>
      </c>
      <c r="AK214" s="1129">
        <v>941.08920634920639</v>
      </c>
      <c r="AL214" s="1129">
        <v>0</v>
      </c>
      <c r="AM214" s="1129">
        <v>0</v>
      </c>
      <c r="AN214" s="1129">
        <v>941.08920634920639</v>
      </c>
      <c r="AO214" s="1129" t="s">
        <v>85</v>
      </c>
      <c r="AP214" s="1129" t="s">
        <v>96</v>
      </c>
      <c r="AQ214" s="1157">
        <v>2014</v>
      </c>
      <c r="AR214" s="1129" t="s">
        <v>87</v>
      </c>
      <c r="AS214" s="1127">
        <v>0.33333333333333331</v>
      </c>
      <c r="AT214" s="1127"/>
      <c r="AU214" s="1127">
        <v>0.33333333333333331</v>
      </c>
      <c r="AV214" s="1127"/>
      <c r="AW214" s="1127"/>
      <c r="AX214" s="1127"/>
      <c r="AY214" s="1127"/>
      <c r="AZ214" s="1127">
        <v>0.33333333333333331</v>
      </c>
      <c r="BA214" s="1129">
        <v>313.69640211640211</v>
      </c>
      <c r="BB214" s="1129">
        <v>0</v>
      </c>
      <c r="BC214" s="1129">
        <v>313.69640211640211</v>
      </c>
      <c r="BD214" s="1129">
        <v>0</v>
      </c>
      <c r="BE214" s="1129">
        <v>0</v>
      </c>
      <c r="BF214" s="1129">
        <v>0</v>
      </c>
      <c r="BG214" s="1129">
        <v>0</v>
      </c>
      <c r="BH214" s="1129">
        <v>313.69640211640211</v>
      </c>
      <c r="BI214" s="971"/>
      <c r="BJ214" s="971"/>
      <c r="BK214" s="971"/>
      <c r="BL214" s="1246"/>
      <c r="BM214" s="1247" t="s">
        <v>2125</v>
      </c>
    </row>
    <row r="215" spans="1:65" s="1247" customFormat="1" ht="66" customHeight="1">
      <c r="A215" s="1272">
        <v>4000</v>
      </c>
      <c r="B215" s="971" t="s">
        <v>1316</v>
      </c>
      <c r="C215" s="1272">
        <v>4100</v>
      </c>
      <c r="D215" s="971" t="s">
        <v>120</v>
      </c>
      <c r="E215" s="971" t="s">
        <v>1389</v>
      </c>
      <c r="F215" s="971" t="s">
        <v>176</v>
      </c>
      <c r="G215" s="971" t="s">
        <v>4624</v>
      </c>
      <c r="H215" s="971" t="s">
        <v>3494</v>
      </c>
      <c r="I215" s="1273" t="s">
        <v>6935</v>
      </c>
      <c r="J215" s="971" t="s">
        <v>2146</v>
      </c>
      <c r="K215" s="971" t="s">
        <v>2129</v>
      </c>
      <c r="L215" s="971" t="s">
        <v>2130</v>
      </c>
      <c r="M215" s="971" t="s">
        <v>2129</v>
      </c>
      <c r="N215" s="971" t="s">
        <v>176</v>
      </c>
      <c r="O215" s="971" t="s">
        <v>2130</v>
      </c>
      <c r="P215" s="971" t="s">
        <v>6619</v>
      </c>
      <c r="Q215" s="971" t="s">
        <v>6622</v>
      </c>
      <c r="R215" s="971" t="s">
        <v>4722</v>
      </c>
      <c r="S215" s="1274">
        <v>1</v>
      </c>
      <c r="T215" s="971" t="s">
        <v>242</v>
      </c>
      <c r="U215" s="1275">
        <v>6.666666666666667</v>
      </c>
      <c r="V215" s="1275">
        <v>25</v>
      </c>
      <c r="W215" s="1275">
        <v>666.08920634920639</v>
      </c>
      <c r="X215" s="1275">
        <v>250</v>
      </c>
      <c r="Y215" s="1275">
        <v>941.08920634920639</v>
      </c>
      <c r="Z215" s="1129">
        <v>6.666666666666667</v>
      </c>
      <c r="AA215" s="1129">
        <v>25</v>
      </c>
      <c r="AB215" s="1129">
        <v>666.08920634920639</v>
      </c>
      <c r="AC215" s="1129">
        <v>250</v>
      </c>
      <c r="AD215" s="1098">
        <v>941.08920634920639</v>
      </c>
      <c r="AE215" s="1237">
        <v>4</v>
      </c>
      <c r="AF215" s="1133">
        <v>4</v>
      </c>
      <c r="AG215" s="1127">
        <v>1</v>
      </c>
      <c r="AH215" s="1127">
        <v>0</v>
      </c>
      <c r="AI215" s="1127">
        <v>0</v>
      </c>
      <c r="AJ215" s="1127">
        <v>1</v>
      </c>
      <c r="AK215" s="1129">
        <v>941.08920634920639</v>
      </c>
      <c r="AL215" s="1129">
        <v>0</v>
      </c>
      <c r="AM215" s="1129">
        <v>0</v>
      </c>
      <c r="AN215" s="1129">
        <v>941.08920634920639</v>
      </c>
      <c r="AO215" s="1129" t="s">
        <v>85</v>
      </c>
      <c r="AP215" s="1129" t="s">
        <v>96</v>
      </c>
      <c r="AQ215" s="1157">
        <v>2014</v>
      </c>
      <c r="AR215" s="1129" t="s">
        <v>87</v>
      </c>
      <c r="AS215" s="1127">
        <v>0.33333333333333331</v>
      </c>
      <c r="AT215" s="1127"/>
      <c r="AU215" s="1127">
        <v>0.33333333333333331</v>
      </c>
      <c r="AV215" s="1127"/>
      <c r="AW215" s="1127"/>
      <c r="AX215" s="1127"/>
      <c r="AY215" s="1127"/>
      <c r="AZ215" s="1127">
        <v>0.33333333333333331</v>
      </c>
      <c r="BA215" s="1129">
        <v>313.69640211640211</v>
      </c>
      <c r="BB215" s="1129">
        <v>0</v>
      </c>
      <c r="BC215" s="1129">
        <v>313.69640211640211</v>
      </c>
      <c r="BD215" s="1129">
        <v>0</v>
      </c>
      <c r="BE215" s="1129">
        <v>0</v>
      </c>
      <c r="BF215" s="1129">
        <v>0</v>
      </c>
      <c r="BG215" s="1129">
        <v>0</v>
      </c>
      <c r="BH215" s="1129">
        <v>313.69640211640211</v>
      </c>
      <c r="BI215" s="971"/>
      <c r="BJ215" s="971"/>
      <c r="BK215" s="971"/>
      <c r="BL215" s="1246"/>
      <c r="BM215" s="1247" t="s">
        <v>2125</v>
      </c>
    </row>
    <row r="216" spans="1:65" s="1247" customFormat="1" ht="66" customHeight="1">
      <c r="A216" s="1272">
        <v>4000</v>
      </c>
      <c r="B216" s="971" t="s">
        <v>1316</v>
      </c>
      <c r="C216" s="1272">
        <v>4100</v>
      </c>
      <c r="D216" s="971" t="s">
        <v>120</v>
      </c>
      <c r="E216" s="971" t="s">
        <v>1389</v>
      </c>
      <c r="F216" s="971" t="s">
        <v>176</v>
      </c>
      <c r="G216" s="971" t="s">
        <v>4624</v>
      </c>
      <c r="H216" s="971" t="s">
        <v>3494</v>
      </c>
      <c r="I216" s="1273" t="s">
        <v>6936</v>
      </c>
      <c r="J216" s="971" t="s">
        <v>2146</v>
      </c>
      <c r="K216" s="971" t="s">
        <v>2129</v>
      </c>
      <c r="L216" s="971" t="s">
        <v>2130</v>
      </c>
      <c r="M216" s="971" t="s">
        <v>2129</v>
      </c>
      <c r="N216" s="971" t="s">
        <v>176</v>
      </c>
      <c r="O216" s="971" t="s">
        <v>2130</v>
      </c>
      <c r="P216" s="971" t="s">
        <v>6619</v>
      </c>
      <c r="Q216" s="971" t="s">
        <v>6622</v>
      </c>
      <c r="R216" s="971" t="s">
        <v>4723</v>
      </c>
      <c r="S216" s="1274">
        <v>1</v>
      </c>
      <c r="T216" s="971" t="s">
        <v>242</v>
      </c>
      <c r="U216" s="1275">
        <v>6.666666666666667</v>
      </c>
      <c r="V216" s="1275">
        <v>25</v>
      </c>
      <c r="W216" s="1275">
        <v>666.08920634920639</v>
      </c>
      <c r="X216" s="1275">
        <v>250</v>
      </c>
      <c r="Y216" s="1275">
        <v>941.08920634920639</v>
      </c>
      <c r="Z216" s="1129">
        <v>6.666666666666667</v>
      </c>
      <c r="AA216" s="1129">
        <v>25</v>
      </c>
      <c r="AB216" s="1129">
        <v>666.08920634920639</v>
      </c>
      <c r="AC216" s="1129">
        <v>250</v>
      </c>
      <c r="AD216" s="1098">
        <v>941.08920634920639</v>
      </c>
      <c r="AE216" s="1237">
        <v>4</v>
      </c>
      <c r="AF216" s="1133">
        <v>4</v>
      </c>
      <c r="AG216" s="1127">
        <v>1</v>
      </c>
      <c r="AH216" s="1127">
        <v>0</v>
      </c>
      <c r="AI216" s="1127">
        <v>0</v>
      </c>
      <c r="AJ216" s="1127">
        <v>1</v>
      </c>
      <c r="AK216" s="1129">
        <v>941.08920634920639</v>
      </c>
      <c r="AL216" s="1129">
        <v>0</v>
      </c>
      <c r="AM216" s="1129">
        <v>0</v>
      </c>
      <c r="AN216" s="1129">
        <v>941.08920634920639</v>
      </c>
      <c r="AO216" s="1129" t="s">
        <v>85</v>
      </c>
      <c r="AP216" s="1129" t="s">
        <v>96</v>
      </c>
      <c r="AQ216" s="1157">
        <v>2014</v>
      </c>
      <c r="AR216" s="1129" t="s">
        <v>87</v>
      </c>
      <c r="AS216" s="1127">
        <v>0.33333333333333331</v>
      </c>
      <c r="AT216" s="1127"/>
      <c r="AU216" s="1127">
        <v>0.33333333333333331</v>
      </c>
      <c r="AV216" s="1127"/>
      <c r="AW216" s="1127"/>
      <c r="AX216" s="1127"/>
      <c r="AY216" s="1127"/>
      <c r="AZ216" s="1127">
        <v>0.33333333333333331</v>
      </c>
      <c r="BA216" s="1129">
        <v>313.69640211640211</v>
      </c>
      <c r="BB216" s="1129">
        <v>0</v>
      </c>
      <c r="BC216" s="1129">
        <v>313.69640211640211</v>
      </c>
      <c r="BD216" s="1129">
        <v>0</v>
      </c>
      <c r="BE216" s="1129">
        <v>0</v>
      </c>
      <c r="BF216" s="1129">
        <v>0</v>
      </c>
      <c r="BG216" s="1129">
        <v>0</v>
      </c>
      <c r="BH216" s="1129">
        <v>313.69640211640211</v>
      </c>
      <c r="BI216" s="971"/>
      <c r="BJ216" s="971"/>
      <c r="BK216" s="971"/>
      <c r="BL216" s="1246"/>
      <c r="BM216" s="1247" t="s">
        <v>2125</v>
      </c>
    </row>
    <row r="217" spans="1:65" s="1247" customFormat="1" ht="66" customHeight="1">
      <c r="A217" s="1272">
        <v>4000</v>
      </c>
      <c r="B217" s="971" t="s">
        <v>1316</v>
      </c>
      <c r="C217" s="1272">
        <v>4100</v>
      </c>
      <c r="D217" s="971" t="s">
        <v>120</v>
      </c>
      <c r="E217" s="971" t="s">
        <v>1389</v>
      </c>
      <c r="F217" s="971" t="s">
        <v>176</v>
      </c>
      <c r="G217" s="971" t="s">
        <v>4624</v>
      </c>
      <c r="H217" s="971" t="s">
        <v>3494</v>
      </c>
      <c r="I217" s="1273" t="s">
        <v>6937</v>
      </c>
      <c r="J217" s="971" t="s">
        <v>2146</v>
      </c>
      <c r="K217" s="971" t="s">
        <v>2129</v>
      </c>
      <c r="L217" s="971" t="s">
        <v>2130</v>
      </c>
      <c r="M217" s="971" t="s">
        <v>2129</v>
      </c>
      <c r="N217" s="971" t="s">
        <v>176</v>
      </c>
      <c r="O217" s="971" t="s">
        <v>2130</v>
      </c>
      <c r="P217" s="971" t="s">
        <v>6619</v>
      </c>
      <c r="Q217" s="971" t="s">
        <v>6622</v>
      </c>
      <c r="R217" s="971" t="s">
        <v>4724</v>
      </c>
      <c r="S217" s="1274">
        <v>1</v>
      </c>
      <c r="T217" s="971" t="s">
        <v>242</v>
      </c>
      <c r="U217" s="1275">
        <v>6.666666666666667</v>
      </c>
      <c r="V217" s="1275">
        <v>25</v>
      </c>
      <c r="W217" s="1275">
        <v>666.08920634920639</v>
      </c>
      <c r="X217" s="1275">
        <v>250</v>
      </c>
      <c r="Y217" s="1275">
        <v>941.08920634920639</v>
      </c>
      <c r="Z217" s="1129">
        <v>6.666666666666667</v>
      </c>
      <c r="AA217" s="1129">
        <v>25</v>
      </c>
      <c r="AB217" s="1129">
        <v>666.08920634920639</v>
      </c>
      <c r="AC217" s="1129">
        <v>250</v>
      </c>
      <c r="AD217" s="1098">
        <v>941.08920634920639</v>
      </c>
      <c r="AE217" s="1237">
        <v>4</v>
      </c>
      <c r="AF217" s="1133">
        <v>4</v>
      </c>
      <c r="AG217" s="1127">
        <v>1</v>
      </c>
      <c r="AH217" s="1127">
        <v>0</v>
      </c>
      <c r="AI217" s="1127">
        <v>0</v>
      </c>
      <c r="AJ217" s="1127">
        <v>1</v>
      </c>
      <c r="AK217" s="1129">
        <v>941.08920634920639</v>
      </c>
      <c r="AL217" s="1129">
        <v>0</v>
      </c>
      <c r="AM217" s="1129">
        <v>0</v>
      </c>
      <c r="AN217" s="1129">
        <v>941.08920634920639</v>
      </c>
      <c r="AO217" s="1129" t="s">
        <v>85</v>
      </c>
      <c r="AP217" s="1129" t="s">
        <v>96</v>
      </c>
      <c r="AQ217" s="1157">
        <v>2014</v>
      </c>
      <c r="AR217" s="1129" t="s">
        <v>87</v>
      </c>
      <c r="AS217" s="1127">
        <v>0.33333333333333331</v>
      </c>
      <c r="AT217" s="1127"/>
      <c r="AU217" s="1127">
        <v>0.33333333333333331</v>
      </c>
      <c r="AV217" s="1127"/>
      <c r="AW217" s="1127"/>
      <c r="AX217" s="1127"/>
      <c r="AY217" s="1127"/>
      <c r="AZ217" s="1127">
        <v>0.33333333333333331</v>
      </c>
      <c r="BA217" s="1129">
        <v>313.69640211640211</v>
      </c>
      <c r="BB217" s="1129">
        <v>0</v>
      </c>
      <c r="BC217" s="1129">
        <v>313.69640211640211</v>
      </c>
      <c r="BD217" s="1129">
        <v>0</v>
      </c>
      <c r="BE217" s="1129">
        <v>0</v>
      </c>
      <c r="BF217" s="1129">
        <v>0</v>
      </c>
      <c r="BG217" s="1129">
        <v>0</v>
      </c>
      <c r="BH217" s="1129">
        <v>313.69640211640211</v>
      </c>
      <c r="BI217" s="971"/>
      <c r="BJ217" s="971"/>
      <c r="BK217" s="971"/>
      <c r="BL217" s="1246"/>
      <c r="BM217" s="1247" t="s">
        <v>2125</v>
      </c>
    </row>
    <row r="218" spans="1:65" s="1247" customFormat="1" ht="49.5" customHeight="1">
      <c r="A218" s="1272">
        <v>4000</v>
      </c>
      <c r="B218" s="971" t="s">
        <v>1316</v>
      </c>
      <c r="C218" s="1272">
        <v>4100</v>
      </c>
      <c r="D218" s="971" t="s">
        <v>120</v>
      </c>
      <c r="E218" s="971" t="s">
        <v>1389</v>
      </c>
      <c r="F218" s="971" t="s">
        <v>176</v>
      </c>
      <c r="G218" s="971" t="s">
        <v>4624</v>
      </c>
      <c r="H218" s="971" t="s">
        <v>3494</v>
      </c>
      <c r="I218" s="1273" t="s">
        <v>6938</v>
      </c>
      <c r="J218" s="971" t="s">
        <v>2146</v>
      </c>
      <c r="K218" s="971" t="s">
        <v>2129</v>
      </c>
      <c r="L218" s="971" t="s">
        <v>2130</v>
      </c>
      <c r="M218" s="971" t="s">
        <v>2129</v>
      </c>
      <c r="N218" s="971" t="s">
        <v>176</v>
      </c>
      <c r="O218" s="971" t="s">
        <v>2130</v>
      </c>
      <c r="P218" s="971" t="s">
        <v>6619</v>
      </c>
      <c r="Q218" s="971" t="s">
        <v>6622</v>
      </c>
      <c r="R218" s="971" t="s">
        <v>4725</v>
      </c>
      <c r="S218" s="1274">
        <v>1</v>
      </c>
      <c r="T218" s="971" t="s">
        <v>242</v>
      </c>
      <c r="U218" s="1275">
        <v>6.666666666666667</v>
      </c>
      <c r="V218" s="1275">
        <v>25</v>
      </c>
      <c r="W218" s="1275">
        <v>666.08920634920639</v>
      </c>
      <c r="X218" s="1275">
        <v>250</v>
      </c>
      <c r="Y218" s="1275">
        <v>941.08920634920639</v>
      </c>
      <c r="Z218" s="1129">
        <v>6.666666666666667</v>
      </c>
      <c r="AA218" s="1129">
        <v>25</v>
      </c>
      <c r="AB218" s="1129">
        <v>666.08920634920639</v>
      </c>
      <c r="AC218" s="1129">
        <v>250</v>
      </c>
      <c r="AD218" s="1098">
        <v>941.08920634920639</v>
      </c>
      <c r="AE218" s="1237">
        <v>4</v>
      </c>
      <c r="AF218" s="1133">
        <v>4</v>
      </c>
      <c r="AG218" s="1127">
        <v>1</v>
      </c>
      <c r="AH218" s="1127">
        <v>0</v>
      </c>
      <c r="AI218" s="1127">
        <v>0</v>
      </c>
      <c r="AJ218" s="1127">
        <v>1</v>
      </c>
      <c r="AK218" s="1129">
        <v>941.08920634920639</v>
      </c>
      <c r="AL218" s="1129">
        <v>0</v>
      </c>
      <c r="AM218" s="1129">
        <v>0</v>
      </c>
      <c r="AN218" s="1129">
        <v>941.08920634920639</v>
      </c>
      <c r="AO218" s="1129" t="s">
        <v>85</v>
      </c>
      <c r="AP218" s="1129" t="s">
        <v>96</v>
      </c>
      <c r="AQ218" s="1157">
        <v>2014</v>
      </c>
      <c r="AR218" s="1129" t="s">
        <v>87</v>
      </c>
      <c r="AS218" s="1127">
        <v>0.33333333333333331</v>
      </c>
      <c r="AT218" s="1127"/>
      <c r="AU218" s="1127">
        <v>0.33333333333333331</v>
      </c>
      <c r="AV218" s="1127"/>
      <c r="AW218" s="1127"/>
      <c r="AX218" s="1127"/>
      <c r="AY218" s="1127"/>
      <c r="AZ218" s="1127">
        <v>0.33333333333333331</v>
      </c>
      <c r="BA218" s="1129">
        <v>313.69640211640211</v>
      </c>
      <c r="BB218" s="1129">
        <v>0</v>
      </c>
      <c r="BC218" s="1129">
        <v>313.69640211640211</v>
      </c>
      <c r="BD218" s="1129">
        <v>0</v>
      </c>
      <c r="BE218" s="1129">
        <v>0</v>
      </c>
      <c r="BF218" s="1129">
        <v>0</v>
      </c>
      <c r="BG218" s="1129">
        <v>0</v>
      </c>
      <c r="BH218" s="1129">
        <v>313.69640211640211</v>
      </c>
      <c r="BI218" s="971"/>
      <c r="BJ218" s="971"/>
      <c r="BK218" s="971"/>
      <c r="BL218" s="1246"/>
      <c r="BM218" s="1247" t="s">
        <v>2129</v>
      </c>
    </row>
    <row r="219" spans="1:65" s="1247" customFormat="1" ht="49.5" customHeight="1">
      <c r="A219" s="1272">
        <v>4000</v>
      </c>
      <c r="B219" s="971" t="s">
        <v>1316</v>
      </c>
      <c r="C219" s="1272">
        <v>4100</v>
      </c>
      <c r="D219" s="971" t="s">
        <v>120</v>
      </c>
      <c r="E219" s="971" t="s">
        <v>1389</v>
      </c>
      <c r="F219" s="971" t="s">
        <v>176</v>
      </c>
      <c r="G219" s="971" t="s">
        <v>4624</v>
      </c>
      <c r="H219" s="971" t="s">
        <v>3494</v>
      </c>
      <c r="I219" s="1273" t="s">
        <v>6939</v>
      </c>
      <c r="J219" s="971" t="s">
        <v>2146</v>
      </c>
      <c r="K219" s="971" t="s">
        <v>2129</v>
      </c>
      <c r="L219" s="971" t="s">
        <v>2130</v>
      </c>
      <c r="M219" s="971" t="s">
        <v>2129</v>
      </c>
      <c r="N219" s="971" t="s">
        <v>176</v>
      </c>
      <c r="O219" s="971" t="s">
        <v>2130</v>
      </c>
      <c r="P219" s="971" t="s">
        <v>6693</v>
      </c>
      <c r="Q219" s="971" t="s">
        <v>6940</v>
      </c>
      <c r="R219" s="971" t="s">
        <v>4726</v>
      </c>
      <c r="S219" s="1274">
        <v>1</v>
      </c>
      <c r="T219" s="971" t="s">
        <v>242</v>
      </c>
      <c r="U219" s="1275">
        <v>6.666666666666667</v>
      </c>
      <c r="V219" s="1275">
        <v>25</v>
      </c>
      <c r="W219" s="1275">
        <v>666.08920634920639</v>
      </c>
      <c r="X219" s="1275">
        <v>250</v>
      </c>
      <c r="Y219" s="1275">
        <v>941.08920634920639</v>
      </c>
      <c r="Z219" s="1129">
        <v>6.666666666666667</v>
      </c>
      <c r="AA219" s="1129">
        <v>25</v>
      </c>
      <c r="AB219" s="1129">
        <v>666.08920634920639</v>
      </c>
      <c r="AC219" s="1129">
        <v>250</v>
      </c>
      <c r="AD219" s="1098">
        <v>941.08920634920639</v>
      </c>
      <c r="AE219" s="1237">
        <v>4</v>
      </c>
      <c r="AF219" s="1133">
        <v>4</v>
      </c>
      <c r="AG219" s="1127">
        <v>1</v>
      </c>
      <c r="AH219" s="1127">
        <v>0</v>
      </c>
      <c r="AI219" s="1127">
        <v>0</v>
      </c>
      <c r="AJ219" s="1127">
        <v>1</v>
      </c>
      <c r="AK219" s="1129">
        <v>941.08920634920639</v>
      </c>
      <c r="AL219" s="1129">
        <v>0</v>
      </c>
      <c r="AM219" s="1129">
        <v>0</v>
      </c>
      <c r="AN219" s="1129">
        <v>941.08920634920639</v>
      </c>
      <c r="AO219" s="1129" t="s">
        <v>85</v>
      </c>
      <c r="AP219" s="1129" t="s">
        <v>96</v>
      </c>
      <c r="AQ219" s="1157">
        <v>2014</v>
      </c>
      <c r="AR219" s="1129" t="s">
        <v>87</v>
      </c>
      <c r="AS219" s="1127">
        <v>0.33333333333333331</v>
      </c>
      <c r="AT219" s="1127"/>
      <c r="AU219" s="1127">
        <v>0.33333333333333331</v>
      </c>
      <c r="AV219" s="1127"/>
      <c r="AW219" s="1127"/>
      <c r="AX219" s="1127"/>
      <c r="AY219" s="1127"/>
      <c r="AZ219" s="1127">
        <v>0.33333333333333331</v>
      </c>
      <c r="BA219" s="1129">
        <v>313.69640211640211</v>
      </c>
      <c r="BB219" s="1129">
        <v>0</v>
      </c>
      <c r="BC219" s="1129">
        <v>313.69640211640211</v>
      </c>
      <c r="BD219" s="1129">
        <v>0</v>
      </c>
      <c r="BE219" s="1129">
        <v>0</v>
      </c>
      <c r="BF219" s="1129">
        <v>0</v>
      </c>
      <c r="BG219" s="1129">
        <v>0</v>
      </c>
      <c r="BH219" s="1129">
        <v>313.69640211640211</v>
      </c>
      <c r="BI219" s="971"/>
      <c r="BJ219" s="971"/>
      <c r="BK219" s="971"/>
      <c r="BL219" s="1246"/>
      <c r="BM219" s="1247" t="s">
        <v>2127</v>
      </c>
    </row>
    <row r="220" spans="1:65" s="1247" customFormat="1" ht="49.5" customHeight="1">
      <c r="A220" s="1272">
        <v>4000</v>
      </c>
      <c r="B220" s="971" t="s">
        <v>1316</v>
      </c>
      <c r="C220" s="1272">
        <v>4100</v>
      </c>
      <c r="D220" s="971" t="s">
        <v>120</v>
      </c>
      <c r="E220" s="971" t="s">
        <v>1389</v>
      </c>
      <c r="F220" s="971" t="s">
        <v>176</v>
      </c>
      <c r="G220" s="971" t="s">
        <v>4624</v>
      </c>
      <c r="H220" s="971" t="s">
        <v>3494</v>
      </c>
      <c r="I220" s="1273" t="s">
        <v>2296</v>
      </c>
      <c r="J220" s="971" t="s">
        <v>2146</v>
      </c>
      <c r="K220" s="971" t="s">
        <v>2125</v>
      </c>
      <c r="L220" s="971" t="s">
        <v>2126</v>
      </c>
      <c r="M220" s="971" t="s">
        <v>2125</v>
      </c>
      <c r="N220" s="971" t="s">
        <v>176</v>
      </c>
      <c r="O220" s="971" t="s">
        <v>2126</v>
      </c>
      <c r="P220" s="971" t="s">
        <v>2289</v>
      </c>
      <c r="Q220" s="971" t="s">
        <v>6941</v>
      </c>
      <c r="R220" s="971" t="s">
        <v>4731</v>
      </c>
      <c r="S220" s="1274">
        <v>1</v>
      </c>
      <c r="T220" s="971" t="s">
        <v>242</v>
      </c>
      <c r="U220" s="1275">
        <v>13</v>
      </c>
      <c r="V220" s="1275">
        <v>120</v>
      </c>
      <c r="W220" s="1275">
        <v>1298.8739523809525</v>
      </c>
      <c r="X220" s="1275">
        <v>1200</v>
      </c>
      <c r="Y220" s="1275">
        <v>2618.8739523809527</v>
      </c>
      <c r="Z220" s="1129">
        <v>13</v>
      </c>
      <c r="AA220" s="1129">
        <v>120</v>
      </c>
      <c r="AB220" s="1129">
        <v>1298.8739523809525</v>
      </c>
      <c r="AC220" s="1129">
        <v>1200</v>
      </c>
      <c r="AD220" s="1098">
        <v>2618.8739523809527</v>
      </c>
      <c r="AE220" s="1237">
        <v>96</v>
      </c>
      <c r="AF220" s="1133">
        <v>96</v>
      </c>
      <c r="AG220" s="1127">
        <v>1</v>
      </c>
      <c r="AH220" s="1127">
        <v>0</v>
      </c>
      <c r="AI220" s="1127">
        <v>0</v>
      </c>
      <c r="AJ220" s="1127">
        <v>1</v>
      </c>
      <c r="AK220" s="1129">
        <v>2618.8739523809527</v>
      </c>
      <c r="AL220" s="1129">
        <v>0</v>
      </c>
      <c r="AM220" s="1129">
        <v>0</v>
      </c>
      <c r="AN220" s="1129">
        <v>2618.8739523809527</v>
      </c>
      <c r="AO220" s="1129" t="s">
        <v>85</v>
      </c>
      <c r="AP220" s="1129" t="s">
        <v>96</v>
      </c>
      <c r="AQ220" s="1157">
        <v>2014</v>
      </c>
      <c r="AR220" s="1129" t="s">
        <v>87</v>
      </c>
      <c r="AS220" s="1127">
        <v>0.33333333333333331</v>
      </c>
      <c r="AT220" s="1127"/>
      <c r="AU220" s="1127">
        <v>0.33333333333333331</v>
      </c>
      <c r="AV220" s="1127"/>
      <c r="AW220" s="1127"/>
      <c r="AX220" s="1127"/>
      <c r="AY220" s="1127"/>
      <c r="AZ220" s="1127">
        <v>0.33333333333333331</v>
      </c>
      <c r="BA220" s="1129">
        <v>872.95798412698423</v>
      </c>
      <c r="BB220" s="1129">
        <v>0</v>
      </c>
      <c r="BC220" s="1129">
        <v>872.95798412698423</v>
      </c>
      <c r="BD220" s="1129">
        <v>0</v>
      </c>
      <c r="BE220" s="1129">
        <v>0</v>
      </c>
      <c r="BF220" s="1129">
        <v>0</v>
      </c>
      <c r="BG220" s="1129">
        <v>0</v>
      </c>
      <c r="BH220" s="1129">
        <v>872.95798412698423</v>
      </c>
      <c r="BI220" s="971"/>
      <c r="BJ220" s="971"/>
      <c r="BK220" s="971"/>
      <c r="BL220" s="1246"/>
      <c r="BM220" s="1247" t="s">
        <v>2127</v>
      </c>
    </row>
    <row r="221" spans="1:65" s="1247" customFormat="1" ht="49.5" customHeight="1">
      <c r="A221" s="1272">
        <v>4000</v>
      </c>
      <c r="B221" s="971" t="s">
        <v>1316</v>
      </c>
      <c r="C221" s="1272">
        <v>4100</v>
      </c>
      <c r="D221" s="971" t="s">
        <v>120</v>
      </c>
      <c r="E221" s="971" t="s">
        <v>1389</v>
      </c>
      <c r="F221" s="971" t="s">
        <v>176</v>
      </c>
      <c r="G221" s="971" t="s">
        <v>4624</v>
      </c>
      <c r="H221" s="971" t="s">
        <v>3494</v>
      </c>
      <c r="I221" s="1273" t="s">
        <v>6942</v>
      </c>
      <c r="J221" s="971" t="s">
        <v>2146</v>
      </c>
      <c r="K221" s="971" t="s">
        <v>2127</v>
      </c>
      <c r="L221" s="971" t="s">
        <v>2177</v>
      </c>
      <c r="M221" s="971" t="s">
        <v>2127</v>
      </c>
      <c r="N221" s="971" t="s">
        <v>176</v>
      </c>
      <c r="O221" s="971" t="s">
        <v>2177</v>
      </c>
      <c r="P221" s="971" t="s">
        <v>6696</v>
      </c>
      <c r="Q221" s="971" t="s">
        <v>6697</v>
      </c>
      <c r="R221" s="971" t="s">
        <v>4734</v>
      </c>
      <c r="S221" s="1274">
        <v>1</v>
      </c>
      <c r="T221" s="971" t="s">
        <v>242</v>
      </c>
      <c r="U221" s="1275">
        <v>10</v>
      </c>
      <c r="V221" s="1275">
        <v>45</v>
      </c>
      <c r="W221" s="1275">
        <v>999.13380952380965</v>
      </c>
      <c r="X221" s="1275">
        <v>450</v>
      </c>
      <c r="Y221" s="1275">
        <v>1494.1338095238098</v>
      </c>
      <c r="Z221" s="1129">
        <v>10</v>
      </c>
      <c r="AA221" s="1129">
        <v>45</v>
      </c>
      <c r="AB221" s="1129">
        <v>999.13380952380965</v>
      </c>
      <c r="AC221" s="1129">
        <v>450</v>
      </c>
      <c r="AD221" s="1098">
        <v>1494.1338095238098</v>
      </c>
      <c r="AE221" s="1237">
        <v>24</v>
      </c>
      <c r="AF221" s="1133">
        <v>24</v>
      </c>
      <c r="AG221" s="1127">
        <v>1</v>
      </c>
      <c r="AH221" s="1127">
        <v>0</v>
      </c>
      <c r="AI221" s="1127">
        <v>0</v>
      </c>
      <c r="AJ221" s="1127">
        <v>1</v>
      </c>
      <c r="AK221" s="1129">
        <v>1494.1338095238098</v>
      </c>
      <c r="AL221" s="1129">
        <v>0</v>
      </c>
      <c r="AM221" s="1129">
        <v>0</v>
      </c>
      <c r="AN221" s="1129">
        <v>1494.1338095238098</v>
      </c>
      <c r="AO221" s="1129" t="s">
        <v>85</v>
      </c>
      <c r="AP221" s="1129" t="s">
        <v>96</v>
      </c>
      <c r="AQ221" s="1157">
        <v>2014</v>
      </c>
      <c r="AR221" s="1129" t="s">
        <v>87</v>
      </c>
      <c r="AS221" s="1127">
        <v>0.33333333333333331</v>
      </c>
      <c r="AT221" s="1127"/>
      <c r="AU221" s="1127">
        <v>0.33333333333333331</v>
      </c>
      <c r="AV221" s="1127"/>
      <c r="AW221" s="1127"/>
      <c r="AX221" s="1127"/>
      <c r="AY221" s="1127"/>
      <c r="AZ221" s="1127">
        <v>0.33333333333333331</v>
      </c>
      <c r="BA221" s="1129">
        <v>498.04460317460325</v>
      </c>
      <c r="BB221" s="1129">
        <v>0</v>
      </c>
      <c r="BC221" s="1129">
        <v>498.04460317460325</v>
      </c>
      <c r="BD221" s="1129">
        <v>0</v>
      </c>
      <c r="BE221" s="1129">
        <v>0</v>
      </c>
      <c r="BF221" s="1129">
        <v>0</v>
      </c>
      <c r="BG221" s="1129">
        <v>0</v>
      </c>
      <c r="BH221" s="1129">
        <v>498.04460317460325</v>
      </c>
      <c r="BI221" s="971"/>
      <c r="BJ221" s="971"/>
      <c r="BK221" s="971"/>
      <c r="BL221" s="1246"/>
      <c r="BM221" s="1247" t="s">
        <v>2127</v>
      </c>
    </row>
    <row r="222" spans="1:65" s="1247" customFormat="1" ht="49.5" customHeight="1">
      <c r="A222" s="1272">
        <v>4000</v>
      </c>
      <c r="B222" s="971" t="s">
        <v>1316</v>
      </c>
      <c r="C222" s="1272">
        <v>4100</v>
      </c>
      <c r="D222" s="971" t="s">
        <v>120</v>
      </c>
      <c r="E222" s="971" t="s">
        <v>1389</v>
      </c>
      <c r="F222" s="971" t="s">
        <v>176</v>
      </c>
      <c r="G222" s="971" t="s">
        <v>4735</v>
      </c>
      <c r="H222" s="971" t="s">
        <v>3495</v>
      </c>
      <c r="I222" s="1273" t="s">
        <v>6943</v>
      </c>
      <c r="J222" s="971" t="s">
        <v>2146</v>
      </c>
      <c r="K222" s="971" t="s">
        <v>2127</v>
      </c>
      <c r="L222" s="971" t="s">
        <v>2177</v>
      </c>
      <c r="M222" s="971" t="s">
        <v>2127</v>
      </c>
      <c r="N222" s="971" t="s">
        <v>176</v>
      </c>
      <c r="O222" s="971" t="s">
        <v>2177</v>
      </c>
      <c r="P222" s="971" t="s">
        <v>2292</v>
      </c>
      <c r="Q222" s="971" t="s">
        <v>6703</v>
      </c>
      <c r="R222" s="971" t="s">
        <v>4736</v>
      </c>
      <c r="S222" s="1274">
        <v>1</v>
      </c>
      <c r="T222" s="971" t="s">
        <v>242</v>
      </c>
      <c r="U222" s="1275">
        <v>10</v>
      </c>
      <c r="V222" s="1275">
        <v>45</v>
      </c>
      <c r="W222" s="1275">
        <v>999.13380952380965</v>
      </c>
      <c r="X222" s="1275">
        <v>450</v>
      </c>
      <c r="Y222" s="1275">
        <v>1494.1338095238098</v>
      </c>
      <c r="Z222" s="1129">
        <v>10</v>
      </c>
      <c r="AA222" s="1129">
        <v>45</v>
      </c>
      <c r="AB222" s="1129">
        <v>999.13380952380965</v>
      </c>
      <c r="AC222" s="1129">
        <v>450</v>
      </c>
      <c r="AD222" s="1098">
        <v>1494.1338095238098</v>
      </c>
      <c r="AE222" s="1237">
        <v>24</v>
      </c>
      <c r="AF222" s="1133">
        <v>24</v>
      </c>
      <c r="AG222" s="1127">
        <v>1</v>
      </c>
      <c r="AH222" s="1127">
        <v>0</v>
      </c>
      <c r="AI222" s="1127">
        <v>0</v>
      </c>
      <c r="AJ222" s="1127">
        <v>1</v>
      </c>
      <c r="AK222" s="1129">
        <v>1494.1338095238098</v>
      </c>
      <c r="AL222" s="1129">
        <v>0</v>
      </c>
      <c r="AM222" s="1129">
        <v>0</v>
      </c>
      <c r="AN222" s="1129">
        <v>1494.1338095238098</v>
      </c>
      <c r="AO222" s="1129" t="s">
        <v>85</v>
      </c>
      <c r="AP222" s="1129" t="s">
        <v>96</v>
      </c>
      <c r="AQ222" s="1157">
        <v>2014</v>
      </c>
      <c r="AR222" s="1129" t="s">
        <v>87</v>
      </c>
      <c r="AS222" s="1127">
        <v>0.33333333333333331</v>
      </c>
      <c r="AT222" s="1127"/>
      <c r="AU222" s="1127">
        <v>0.33333333333333331</v>
      </c>
      <c r="AV222" s="1127"/>
      <c r="AW222" s="1127"/>
      <c r="AX222" s="1127"/>
      <c r="AY222" s="1127"/>
      <c r="AZ222" s="1127">
        <v>0.33333333333333331</v>
      </c>
      <c r="BA222" s="1129">
        <v>498.04460317460325</v>
      </c>
      <c r="BB222" s="1129">
        <v>0</v>
      </c>
      <c r="BC222" s="1129">
        <v>498.04460317460325</v>
      </c>
      <c r="BD222" s="1129">
        <v>0</v>
      </c>
      <c r="BE222" s="1129">
        <v>0</v>
      </c>
      <c r="BF222" s="1129">
        <v>0</v>
      </c>
      <c r="BG222" s="1129">
        <v>0</v>
      </c>
      <c r="BH222" s="1129">
        <v>498.04460317460325</v>
      </c>
      <c r="BI222" s="971"/>
      <c r="BJ222" s="971"/>
      <c r="BK222" s="971"/>
      <c r="BL222" s="1246"/>
      <c r="BM222" s="1247" t="s">
        <v>2127</v>
      </c>
    </row>
    <row r="223" spans="1:65" s="1247" customFormat="1" ht="49.5" customHeight="1">
      <c r="A223" s="1272">
        <v>4000</v>
      </c>
      <c r="B223" s="971" t="s">
        <v>1316</v>
      </c>
      <c r="C223" s="1272">
        <v>4100</v>
      </c>
      <c r="D223" s="971" t="s">
        <v>120</v>
      </c>
      <c r="E223" s="971" t="s">
        <v>1389</v>
      </c>
      <c r="F223" s="971" t="s">
        <v>176</v>
      </c>
      <c r="G223" s="971" t="s">
        <v>4735</v>
      </c>
      <c r="H223" s="971" t="s">
        <v>3495</v>
      </c>
      <c r="I223" s="1273" t="s">
        <v>6944</v>
      </c>
      <c r="J223" s="971" t="s">
        <v>2146</v>
      </c>
      <c r="K223" s="971" t="s">
        <v>2125</v>
      </c>
      <c r="L223" s="971" t="s">
        <v>2126</v>
      </c>
      <c r="M223" s="971" t="s">
        <v>2125</v>
      </c>
      <c r="N223" s="971" t="s">
        <v>176</v>
      </c>
      <c r="O223" s="971" t="s">
        <v>2126</v>
      </c>
      <c r="P223" s="971" t="s">
        <v>6705</v>
      </c>
      <c r="Q223" s="971" t="s">
        <v>6706</v>
      </c>
      <c r="R223" s="971" t="s">
        <v>4737</v>
      </c>
      <c r="S223" s="1274">
        <v>1</v>
      </c>
      <c r="T223" s="971" t="s">
        <v>242</v>
      </c>
      <c r="U223" s="1275">
        <v>13</v>
      </c>
      <c r="V223" s="1275">
        <v>120</v>
      </c>
      <c r="W223" s="1275">
        <v>1298.8739523809525</v>
      </c>
      <c r="X223" s="1275">
        <v>1200</v>
      </c>
      <c r="Y223" s="1275">
        <v>2618.8739523809527</v>
      </c>
      <c r="Z223" s="1129">
        <v>13</v>
      </c>
      <c r="AA223" s="1129">
        <v>120</v>
      </c>
      <c r="AB223" s="1129">
        <v>1298.8739523809525</v>
      </c>
      <c r="AC223" s="1129">
        <v>1200</v>
      </c>
      <c r="AD223" s="1098">
        <v>2618.8739523809527</v>
      </c>
      <c r="AE223" s="1237">
        <v>96</v>
      </c>
      <c r="AF223" s="1133">
        <v>96</v>
      </c>
      <c r="AG223" s="1127">
        <v>1</v>
      </c>
      <c r="AH223" s="1127">
        <v>0</v>
      </c>
      <c r="AI223" s="1127">
        <v>0</v>
      </c>
      <c r="AJ223" s="1127">
        <v>1</v>
      </c>
      <c r="AK223" s="1129">
        <v>2618.8739523809527</v>
      </c>
      <c r="AL223" s="1129">
        <v>0</v>
      </c>
      <c r="AM223" s="1129">
        <v>0</v>
      </c>
      <c r="AN223" s="1129">
        <v>2618.8739523809527</v>
      </c>
      <c r="AO223" s="1129" t="s">
        <v>85</v>
      </c>
      <c r="AP223" s="1129" t="s">
        <v>96</v>
      </c>
      <c r="AQ223" s="1157">
        <v>2014</v>
      </c>
      <c r="AR223" s="1129" t="s">
        <v>87</v>
      </c>
      <c r="AS223" s="1127">
        <v>0.33333333333333331</v>
      </c>
      <c r="AT223" s="1127"/>
      <c r="AU223" s="1127">
        <v>0.33333333333333331</v>
      </c>
      <c r="AV223" s="1127"/>
      <c r="AW223" s="1127"/>
      <c r="AX223" s="1127"/>
      <c r="AY223" s="1127"/>
      <c r="AZ223" s="1127">
        <v>0.33333333333333331</v>
      </c>
      <c r="BA223" s="1129">
        <v>872.95798412698423</v>
      </c>
      <c r="BB223" s="1129">
        <v>0</v>
      </c>
      <c r="BC223" s="1129">
        <v>872.95798412698423</v>
      </c>
      <c r="BD223" s="1129">
        <v>0</v>
      </c>
      <c r="BE223" s="1129">
        <v>0</v>
      </c>
      <c r="BF223" s="1129">
        <v>0</v>
      </c>
      <c r="BG223" s="1129">
        <v>0</v>
      </c>
      <c r="BH223" s="1129">
        <v>872.95798412698423</v>
      </c>
      <c r="BI223" s="971"/>
      <c r="BJ223" s="971"/>
      <c r="BK223" s="971"/>
      <c r="BL223" s="1246"/>
      <c r="BM223" s="1247" t="s">
        <v>2129</v>
      </c>
    </row>
    <row r="224" spans="1:65" s="1247" customFormat="1" ht="66" customHeight="1">
      <c r="A224" s="1272">
        <v>4000</v>
      </c>
      <c r="B224" s="971" t="s">
        <v>1316</v>
      </c>
      <c r="C224" s="1272">
        <v>4100</v>
      </c>
      <c r="D224" s="971" t="s">
        <v>120</v>
      </c>
      <c r="E224" s="971" t="s">
        <v>1389</v>
      </c>
      <c r="F224" s="971" t="s">
        <v>176</v>
      </c>
      <c r="G224" s="971" t="s">
        <v>4735</v>
      </c>
      <c r="H224" s="971" t="s">
        <v>3495</v>
      </c>
      <c r="I224" s="1273" t="s">
        <v>6945</v>
      </c>
      <c r="J224" s="971" t="s">
        <v>2146</v>
      </c>
      <c r="K224" s="971" t="s">
        <v>2127</v>
      </c>
      <c r="L224" s="971" t="s">
        <v>2177</v>
      </c>
      <c r="M224" s="971" t="s">
        <v>2127</v>
      </c>
      <c r="N224" s="971" t="s">
        <v>176</v>
      </c>
      <c r="O224" s="971" t="s">
        <v>2177</v>
      </c>
      <c r="P224" s="971" t="s">
        <v>6708</v>
      </c>
      <c r="Q224" s="971" t="s">
        <v>6709</v>
      </c>
      <c r="R224" s="971" t="s">
        <v>4738</v>
      </c>
      <c r="S224" s="1274">
        <v>1</v>
      </c>
      <c r="T224" s="971" t="s">
        <v>242</v>
      </c>
      <c r="U224" s="1275">
        <v>10</v>
      </c>
      <c r="V224" s="1275">
        <v>45</v>
      </c>
      <c r="W224" s="1275">
        <v>999.13380952380965</v>
      </c>
      <c r="X224" s="1275">
        <v>450</v>
      </c>
      <c r="Y224" s="1275">
        <v>1494.1338095238098</v>
      </c>
      <c r="Z224" s="1129">
        <v>10</v>
      </c>
      <c r="AA224" s="1129">
        <v>45</v>
      </c>
      <c r="AB224" s="1129">
        <v>999.13380952380965</v>
      </c>
      <c r="AC224" s="1129">
        <v>450</v>
      </c>
      <c r="AD224" s="1098">
        <v>1494.1338095238098</v>
      </c>
      <c r="AE224" s="1237">
        <v>24</v>
      </c>
      <c r="AF224" s="1133">
        <v>24</v>
      </c>
      <c r="AG224" s="1127">
        <v>1</v>
      </c>
      <c r="AH224" s="1127">
        <v>0</v>
      </c>
      <c r="AI224" s="1127">
        <v>0</v>
      </c>
      <c r="AJ224" s="1127">
        <v>1</v>
      </c>
      <c r="AK224" s="1129">
        <v>1494.1338095238098</v>
      </c>
      <c r="AL224" s="1129">
        <v>0</v>
      </c>
      <c r="AM224" s="1129">
        <v>0</v>
      </c>
      <c r="AN224" s="1129">
        <v>1494.1338095238098</v>
      </c>
      <c r="AO224" s="1129" t="s">
        <v>85</v>
      </c>
      <c r="AP224" s="1129" t="s">
        <v>96</v>
      </c>
      <c r="AQ224" s="1157">
        <v>2014</v>
      </c>
      <c r="AR224" s="1129" t="s">
        <v>87</v>
      </c>
      <c r="AS224" s="1127">
        <v>0.33333333333333331</v>
      </c>
      <c r="AT224" s="1127"/>
      <c r="AU224" s="1127">
        <v>0.33333333333333331</v>
      </c>
      <c r="AV224" s="1127"/>
      <c r="AW224" s="1127"/>
      <c r="AX224" s="1127"/>
      <c r="AY224" s="1127"/>
      <c r="AZ224" s="1127">
        <v>0.33333333333333331</v>
      </c>
      <c r="BA224" s="1129">
        <v>498.04460317460325</v>
      </c>
      <c r="BB224" s="1129">
        <v>0</v>
      </c>
      <c r="BC224" s="1129">
        <v>498.04460317460325</v>
      </c>
      <c r="BD224" s="1129">
        <v>0</v>
      </c>
      <c r="BE224" s="1129">
        <v>0</v>
      </c>
      <c r="BF224" s="1129">
        <v>0</v>
      </c>
      <c r="BG224" s="1129">
        <v>0</v>
      </c>
      <c r="BH224" s="1129">
        <v>498.04460317460325</v>
      </c>
      <c r="BI224" s="971"/>
      <c r="BJ224" s="971"/>
      <c r="BK224" s="971"/>
      <c r="BL224" s="1246"/>
      <c r="BM224" s="1247" t="s">
        <v>2127</v>
      </c>
    </row>
    <row r="225" spans="1:65" s="1247" customFormat="1" ht="66" customHeight="1">
      <c r="A225" s="1272">
        <v>4000</v>
      </c>
      <c r="B225" s="971" t="s">
        <v>1316</v>
      </c>
      <c r="C225" s="1272">
        <v>4100</v>
      </c>
      <c r="D225" s="971" t="s">
        <v>120</v>
      </c>
      <c r="E225" s="971" t="s">
        <v>1389</v>
      </c>
      <c r="F225" s="971" t="s">
        <v>176</v>
      </c>
      <c r="G225" s="971" t="s">
        <v>4735</v>
      </c>
      <c r="H225" s="971" t="s">
        <v>3495</v>
      </c>
      <c r="I225" s="1273" t="s">
        <v>6946</v>
      </c>
      <c r="J225" s="971" t="s">
        <v>2146</v>
      </c>
      <c r="K225" s="971" t="s">
        <v>2127</v>
      </c>
      <c r="L225" s="971" t="s">
        <v>2177</v>
      </c>
      <c r="M225" s="971" t="s">
        <v>2127</v>
      </c>
      <c r="N225" s="971" t="s">
        <v>176</v>
      </c>
      <c r="O225" s="971" t="s">
        <v>2177</v>
      </c>
      <c r="P225" s="971" t="s">
        <v>6708</v>
      </c>
      <c r="Q225" s="971" t="s">
        <v>6709</v>
      </c>
      <c r="R225" s="971" t="s">
        <v>4739</v>
      </c>
      <c r="S225" s="1274">
        <v>1</v>
      </c>
      <c r="T225" s="971" t="s">
        <v>242</v>
      </c>
      <c r="U225" s="1275">
        <v>10</v>
      </c>
      <c r="V225" s="1275">
        <v>45</v>
      </c>
      <c r="W225" s="1275">
        <v>999.13380952380965</v>
      </c>
      <c r="X225" s="1275">
        <v>450</v>
      </c>
      <c r="Y225" s="1275">
        <v>1494.1338095238098</v>
      </c>
      <c r="Z225" s="1129">
        <v>10</v>
      </c>
      <c r="AA225" s="1129">
        <v>45</v>
      </c>
      <c r="AB225" s="1129">
        <v>999.13380952380965</v>
      </c>
      <c r="AC225" s="1129">
        <v>450</v>
      </c>
      <c r="AD225" s="1098">
        <v>1494.1338095238098</v>
      </c>
      <c r="AE225" s="1237">
        <v>24</v>
      </c>
      <c r="AF225" s="1133">
        <v>24</v>
      </c>
      <c r="AG225" s="1127">
        <v>1</v>
      </c>
      <c r="AH225" s="1127">
        <v>0</v>
      </c>
      <c r="AI225" s="1127">
        <v>0</v>
      </c>
      <c r="AJ225" s="1127">
        <v>1</v>
      </c>
      <c r="AK225" s="1129">
        <v>1494.1338095238098</v>
      </c>
      <c r="AL225" s="1129">
        <v>0</v>
      </c>
      <c r="AM225" s="1129">
        <v>0</v>
      </c>
      <c r="AN225" s="1129">
        <v>1494.1338095238098</v>
      </c>
      <c r="AO225" s="1129" t="s">
        <v>85</v>
      </c>
      <c r="AP225" s="1129" t="s">
        <v>96</v>
      </c>
      <c r="AQ225" s="1157">
        <v>2014</v>
      </c>
      <c r="AR225" s="1129" t="s">
        <v>87</v>
      </c>
      <c r="AS225" s="1127">
        <v>0.33333333333333331</v>
      </c>
      <c r="AT225" s="1127"/>
      <c r="AU225" s="1127">
        <v>0.33333333333333331</v>
      </c>
      <c r="AV225" s="1127"/>
      <c r="AW225" s="1127"/>
      <c r="AX225" s="1127"/>
      <c r="AY225" s="1127"/>
      <c r="AZ225" s="1127">
        <v>0.33333333333333331</v>
      </c>
      <c r="BA225" s="1129">
        <v>498.04460317460325</v>
      </c>
      <c r="BB225" s="1129">
        <v>0</v>
      </c>
      <c r="BC225" s="1129">
        <v>498.04460317460325</v>
      </c>
      <c r="BD225" s="1129">
        <v>0</v>
      </c>
      <c r="BE225" s="1129">
        <v>0</v>
      </c>
      <c r="BF225" s="1129">
        <v>0</v>
      </c>
      <c r="BG225" s="1129">
        <v>0</v>
      </c>
      <c r="BH225" s="1129">
        <v>498.04460317460325</v>
      </c>
      <c r="BI225" s="971"/>
      <c r="BJ225" s="971"/>
      <c r="BK225" s="971"/>
      <c r="BL225" s="1246"/>
      <c r="BM225" s="1247" t="s">
        <v>2125</v>
      </c>
    </row>
    <row r="226" spans="1:65" s="1247" customFormat="1" ht="82.5" customHeight="1">
      <c r="A226" s="1272">
        <v>4000</v>
      </c>
      <c r="B226" s="971" t="s">
        <v>1316</v>
      </c>
      <c r="C226" s="1272">
        <v>4100</v>
      </c>
      <c r="D226" s="971" t="s">
        <v>120</v>
      </c>
      <c r="E226" s="971" t="s">
        <v>1389</v>
      </c>
      <c r="F226" s="971" t="s">
        <v>176</v>
      </c>
      <c r="G226" s="971" t="s">
        <v>4735</v>
      </c>
      <c r="H226" s="971" t="s">
        <v>3495</v>
      </c>
      <c r="I226" s="1273" t="s">
        <v>6947</v>
      </c>
      <c r="J226" s="971" t="s">
        <v>2146</v>
      </c>
      <c r="K226" s="971" t="s">
        <v>2127</v>
      </c>
      <c r="L226" s="971" t="s">
        <v>2177</v>
      </c>
      <c r="M226" s="971" t="s">
        <v>2127</v>
      </c>
      <c r="N226" s="971" t="s">
        <v>176</v>
      </c>
      <c r="O226" s="971" t="s">
        <v>2177</v>
      </c>
      <c r="P226" s="971" t="s">
        <v>6708</v>
      </c>
      <c r="Q226" s="971" t="s">
        <v>6948</v>
      </c>
      <c r="R226" s="971" t="s">
        <v>4740</v>
      </c>
      <c r="S226" s="1274">
        <v>1</v>
      </c>
      <c r="T226" s="971" t="s">
        <v>242</v>
      </c>
      <c r="U226" s="1275">
        <v>10</v>
      </c>
      <c r="V226" s="1275">
        <v>45</v>
      </c>
      <c r="W226" s="1275">
        <v>999.13380952380965</v>
      </c>
      <c r="X226" s="1275">
        <v>450</v>
      </c>
      <c r="Y226" s="1275">
        <v>1494.1338095238098</v>
      </c>
      <c r="Z226" s="1129">
        <v>10</v>
      </c>
      <c r="AA226" s="1129">
        <v>45</v>
      </c>
      <c r="AB226" s="1129">
        <v>999.13380952380965</v>
      </c>
      <c r="AC226" s="1129">
        <v>450</v>
      </c>
      <c r="AD226" s="1098">
        <v>1494.1338095238098</v>
      </c>
      <c r="AE226" s="1237">
        <v>24</v>
      </c>
      <c r="AF226" s="1133">
        <v>24</v>
      </c>
      <c r="AG226" s="1127">
        <v>1</v>
      </c>
      <c r="AH226" s="1127">
        <v>0</v>
      </c>
      <c r="AI226" s="1127">
        <v>0</v>
      </c>
      <c r="AJ226" s="1127">
        <v>1</v>
      </c>
      <c r="AK226" s="1129">
        <v>1494.1338095238098</v>
      </c>
      <c r="AL226" s="1129">
        <v>0</v>
      </c>
      <c r="AM226" s="1129">
        <v>0</v>
      </c>
      <c r="AN226" s="1129">
        <v>1494.1338095238098</v>
      </c>
      <c r="AO226" s="1129" t="s">
        <v>85</v>
      </c>
      <c r="AP226" s="1129" t="s">
        <v>96</v>
      </c>
      <c r="AQ226" s="1157">
        <v>2014</v>
      </c>
      <c r="AR226" s="1129" t="s">
        <v>87</v>
      </c>
      <c r="AS226" s="1127">
        <v>0.33333333333333331</v>
      </c>
      <c r="AT226" s="1127"/>
      <c r="AU226" s="1127">
        <v>0.33333333333333331</v>
      </c>
      <c r="AV226" s="1127"/>
      <c r="AW226" s="1127"/>
      <c r="AX226" s="1127"/>
      <c r="AY226" s="1127"/>
      <c r="AZ226" s="1127">
        <v>0.33333333333333331</v>
      </c>
      <c r="BA226" s="1129">
        <v>498.04460317460325</v>
      </c>
      <c r="BB226" s="1129">
        <v>0</v>
      </c>
      <c r="BC226" s="1129">
        <v>498.04460317460325</v>
      </c>
      <c r="BD226" s="1129">
        <v>0</v>
      </c>
      <c r="BE226" s="1129">
        <v>0</v>
      </c>
      <c r="BF226" s="1129">
        <v>0</v>
      </c>
      <c r="BG226" s="1129">
        <v>0</v>
      </c>
      <c r="BH226" s="1129">
        <v>498.04460317460325</v>
      </c>
      <c r="BI226" s="971"/>
      <c r="BJ226" s="971"/>
      <c r="BK226" s="971"/>
      <c r="BL226" s="1246"/>
      <c r="BM226" s="1247" t="s">
        <v>2129</v>
      </c>
    </row>
    <row r="227" spans="1:65" s="1247" customFormat="1" ht="82.5" customHeight="1">
      <c r="A227" s="1272">
        <v>4000</v>
      </c>
      <c r="B227" s="971" t="s">
        <v>1316</v>
      </c>
      <c r="C227" s="1272">
        <v>4100</v>
      </c>
      <c r="D227" s="971" t="s">
        <v>120</v>
      </c>
      <c r="E227" s="971" t="s">
        <v>1389</v>
      </c>
      <c r="F227" s="971" t="s">
        <v>176</v>
      </c>
      <c r="G227" s="971" t="s">
        <v>4735</v>
      </c>
      <c r="H227" s="971" t="s">
        <v>3495</v>
      </c>
      <c r="I227" s="1273" t="s">
        <v>6949</v>
      </c>
      <c r="J227" s="971" t="s">
        <v>2146</v>
      </c>
      <c r="K227" s="971" t="s">
        <v>2129</v>
      </c>
      <c r="L227" s="971" t="s">
        <v>2130</v>
      </c>
      <c r="M227" s="971" t="s">
        <v>2129</v>
      </c>
      <c r="N227" s="971" t="s">
        <v>176</v>
      </c>
      <c r="O227" s="971" t="s">
        <v>2130</v>
      </c>
      <c r="P227" s="971" t="s">
        <v>6725</v>
      </c>
      <c r="Q227" s="971" t="s">
        <v>6726</v>
      </c>
      <c r="R227" s="971" t="s">
        <v>4741</v>
      </c>
      <c r="S227" s="1274">
        <v>1</v>
      </c>
      <c r="T227" s="971" t="s">
        <v>242</v>
      </c>
      <c r="U227" s="1275">
        <v>6.666666666666667</v>
      </c>
      <c r="V227" s="1275">
        <v>25</v>
      </c>
      <c r="W227" s="1275">
        <v>666.08920634920639</v>
      </c>
      <c r="X227" s="1275">
        <v>250</v>
      </c>
      <c r="Y227" s="1275">
        <v>941.08920634920639</v>
      </c>
      <c r="Z227" s="1129">
        <v>6.666666666666667</v>
      </c>
      <c r="AA227" s="1129">
        <v>25</v>
      </c>
      <c r="AB227" s="1129">
        <v>666.08920634920639</v>
      </c>
      <c r="AC227" s="1129">
        <v>250</v>
      </c>
      <c r="AD227" s="1098">
        <v>941.08920634920639</v>
      </c>
      <c r="AE227" s="1237">
        <v>4</v>
      </c>
      <c r="AF227" s="1133">
        <v>4</v>
      </c>
      <c r="AG227" s="1127">
        <v>1</v>
      </c>
      <c r="AH227" s="1127">
        <v>0</v>
      </c>
      <c r="AI227" s="1127">
        <v>0</v>
      </c>
      <c r="AJ227" s="1127">
        <v>1</v>
      </c>
      <c r="AK227" s="1129">
        <v>941.08920634920639</v>
      </c>
      <c r="AL227" s="1129">
        <v>0</v>
      </c>
      <c r="AM227" s="1129">
        <v>0</v>
      </c>
      <c r="AN227" s="1129">
        <v>941.08920634920639</v>
      </c>
      <c r="AO227" s="1129" t="s">
        <v>85</v>
      </c>
      <c r="AP227" s="1129" t="s">
        <v>96</v>
      </c>
      <c r="AQ227" s="1157">
        <v>2014</v>
      </c>
      <c r="AR227" s="1129" t="s">
        <v>87</v>
      </c>
      <c r="AS227" s="1127">
        <v>0.5</v>
      </c>
      <c r="AT227" s="1127">
        <v>0.5</v>
      </c>
      <c r="AU227" s="1127"/>
      <c r="AV227" s="1127"/>
      <c r="AW227" s="1127"/>
      <c r="AX227" s="1127"/>
      <c r="AY227" s="1127"/>
      <c r="AZ227" s="1127"/>
      <c r="BA227" s="1129">
        <v>470.5446031746032</v>
      </c>
      <c r="BB227" s="1129">
        <v>470.5446031746032</v>
      </c>
      <c r="BC227" s="1129">
        <v>0</v>
      </c>
      <c r="BD227" s="1129">
        <v>0</v>
      </c>
      <c r="BE227" s="1129">
        <v>0</v>
      </c>
      <c r="BF227" s="1129">
        <v>0</v>
      </c>
      <c r="BG227" s="1129">
        <v>0</v>
      </c>
      <c r="BH227" s="1129">
        <v>0</v>
      </c>
      <c r="BI227" s="971"/>
      <c r="BJ227" s="971"/>
      <c r="BK227" s="971"/>
      <c r="BL227" s="1246"/>
      <c r="BM227" s="1247" t="s">
        <v>2129</v>
      </c>
    </row>
    <row r="228" spans="1:65" s="1247" customFormat="1" ht="49.5" customHeight="1">
      <c r="A228" s="1272">
        <v>4000</v>
      </c>
      <c r="B228" s="971" t="s">
        <v>1316</v>
      </c>
      <c r="C228" s="1272">
        <v>4100</v>
      </c>
      <c r="D228" s="971" t="s">
        <v>120</v>
      </c>
      <c r="E228" s="971" t="s">
        <v>1389</v>
      </c>
      <c r="F228" s="971" t="s">
        <v>176</v>
      </c>
      <c r="G228" s="971" t="s">
        <v>4735</v>
      </c>
      <c r="H228" s="971" t="s">
        <v>3495</v>
      </c>
      <c r="I228" s="1273" t="s">
        <v>6950</v>
      </c>
      <c r="J228" s="971" t="s">
        <v>2146</v>
      </c>
      <c r="K228" s="971" t="s">
        <v>2129</v>
      </c>
      <c r="L228" s="971" t="s">
        <v>2130</v>
      </c>
      <c r="M228" s="971" t="s">
        <v>2129</v>
      </c>
      <c r="N228" s="971" t="s">
        <v>176</v>
      </c>
      <c r="O228" s="971" t="s">
        <v>2130</v>
      </c>
      <c r="P228" s="971" t="s">
        <v>2376</v>
      </c>
      <c r="Q228" s="971" t="s">
        <v>6951</v>
      </c>
      <c r="R228" s="971" t="s">
        <v>4744</v>
      </c>
      <c r="S228" s="1274">
        <v>1</v>
      </c>
      <c r="T228" s="971" t="s">
        <v>242</v>
      </c>
      <c r="U228" s="1275">
        <v>6.666666666666667</v>
      </c>
      <c r="V228" s="1275">
        <v>25</v>
      </c>
      <c r="W228" s="1275">
        <v>666.08920634920639</v>
      </c>
      <c r="X228" s="1275">
        <v>250</v>
      </c>
      <c r="Y228" s="1275">
        <v>941.08920634920639</v>
      </c>
      <c r="Z228" s="1129">
        <v>6.666666666666667</v>
      </c>
      <c r="AA228" s="1129">
        <v>25</v>
      </c>
      <c r="AB228" s="1129">
        <v>666.08920634920639</v>
      </c>
      <c r="AC228" s="1129">
        <v>250</v>
      </c>
      <c r="AD228" s="1098">
        <v>941.08920634920639</v>
      </c>
      <c r="AE228" s="1237">
        <v>4</v>
      </c>
      <c r="AF228" s="1133">
        <v>4</v>
      </c>
      <c r="AG228" s="1127">
        <v>1</v>
      </c>
      <c r="AH228" s="1127">
        <v>0</v>
      </c>
      <c r="AI228" s="1127">
        <v>0</v>
      </c>
      <c r="AJ228" s="1127">
        <v>1</v>
      </c>
      <c r="AK228" s="1129">
        <v>941.08920634920639</v>
      </c>
      <c r="AL228" s="1129">
        <v>0</v>
      </c>
      <c r="AM228" s="1129">
        <v>0</v>
      </c>
      <c r="AN228" s="1129">
        <v>941.08920634920639</v>
      </c>
      <c r="AO228" s="1129" t="s">
        <v>85</v>
      </c>
      <c r="AP228" s="1129" t="s">
        <v>96</v>
      </c>
      <c r="AQ228" s="1157">
        <v>2014</v>
      </c>
      <c r="AR228" s="1129" t="s">
        <v>87</v>
      </c>
      <c r="AS228" s="1127">
        <v>0.33333333333333331</v>
      </c>
      <c r="AT228" s="1127"/>
      <c r="AU228" s="1127">
        <v>0.33333333333333331</v>
      </c>
      <c r="AV228" s="1127"/>
      <c r="AW228" s="1127"/>
      <c r="AX228" s="1127"/>
      <c r="AY228" s="1127"/>
      <c r="AZ228" s="1127">
        <v>0.33333333333333331</v>
      </c>
      <c r="BA228" s="1129">
        <v>313.69640211640211</v>
      </c>
      <c r="BB228" s="1129">
        <v>0</v>
      </c>
      <c r="BC228" s="1129">
        <v>313.69640211640211</v>
      </c>
      <c r="BD228" s="1129">
        <v>0</v>
      </c>
      <c r="BE228" s="1129">
        <v>0</v>
      </c>
      <c r="BF228" s="1129">
        <v>0</v>
      </c>
      <c r="BG228" s="1129">
        <v>0</v>
      </c>
      <c r="BH228" s="1129">
        <v>313.69640211640211</v>
      </c>
      <c r="BI228" s="971"/>
      <c r="BJ228" s="971"/>
      <c r="BK228" s="971"/>
      <c r="BL228" s="1246"/>
      <c r="BM228" s="1247" t="s">
        <v>2127</v>
      </c>
    </row>
    <row r="229" spans="1:65" s="1247" customFormat="1" ht="82.5" customHeight="1">
      <c r="A229" s="1272">
        <v>4000</v>
      </c>
      <c r="B229" s="971" t="s">
        <v>1316</v>
      </c>
      <c r="C229" s="1272">
        <v>4100</v>
      </c>
      <c r="D229" s="971" t="s">
        <v>120</v>
      </c>
      <c r="E229" s="971" t="s">
        <v>1389</v>
      </c>
      <c r="F229" s="971" t="s">
        <v>176</v>
      </c>
      <c r="G229" s="971" t="s">
        <v>4735</v>
      </c>
      <c r="H229" s="971" t="s">
        <v>3495</v>
      </c>
      <c r="I229" s="1273" t="s">
        <v>6952</v>
      </c>
      <c r="J229" s="971" t="s">
        <v>2146</v>
      </c>
      <c r="K229" s="971" t="s">
        <v>2125</v>
      </c>
      <c r="L229" s="971" t="s">
        <v>2126</v>
      </c>
      <c r="M229" s="971" t="s">
        <v>2125</v>
      </c>
      <c r="N229" s="971" t="s">
        <v>176</v>
      </c>
      <c r="O229" s="971" t="s">
        <v>2126</v>
      </c>
      <c r="P229" s="971" t="s">
        <v>2292</v>
      </c>
      <c r="Q229" s="971" t="s">
        <v>6953</v>
      </c>
      <c r="R229" s="971" t="s">
        <v>4748</v>
      </c>
      <c r="S229" s="1274">
        <v>1</v>
      </c>
      <c r="T229" s="971" t="s">
        <v>242</v>
      </c>
      <c r="U229" s="1275">
        <v>13</v>
      </c>
      <c r="V229" s="1275">
        <v>120</v>
      </c>
      <c r="W229" s="1275">
        <v>1298.8739523809525</v>
      </c>
      <c r="X229" s="1275">
        <v>1200</v>
      </c>
      <c r="Y229" s="1275">
        <v>2618.8739523809527</v>
      </c>
      <c r="Z229" s="1129">
        <v>13</v>
      </c>
      <c r="AA229" s="1129">
        <v>120</v>
      </c>
      <c r="AB229" s="1129">
        <v>1298.8739523809525</v>
      </c>
      <c r="AC229" s="1129">
        <v>1200</v>
      </c>
      <c r="AD229" s="1098">
        <v>2618.8739523809527</v>
      </c>
      <c r="AE229" s="1237">
        <v>96</v>
      </c>
      <c r="AF229" s="1133">
        <v>96</v>
      </c>
      <c r="AG229" s="1127">
        <v>1</v>
      </c>
      <c r="AH229" s="1127">
        <v>0</v>
      </c>
      <c r="AI229" s="1127">
        <v>0</v>
      </c>
      <c r="AJ229" s="1127">
        <v>1</v>
      </c>
      <c r="AK229" s="1129">
        <v>2618.8739523809527</v>
      </c>
      <c r="AL229" s="1129">
        <v>0</v>
      </c>
      <c r="AM229" s="1129">
        <v>0</v>
      </c>
      <c r="AN229" s="1129">
        <v>2618.8739523809527</v>
      </c>
      <c r="AO229" s="1129" t="s">
        <v>85</v>
      </c>
      <c r="AP229" s="1129" t="s">
        <v>96</v>
      </c>
      <c r="AQ229" s="1157">
        <v>2014</v>
      </c>
      <c r="AR229" s="1129" t="s">
        <v>87</v>
      </c>
      <c r="AS229" s="1127">
        <v>0.33333333333333331</v>
      </c>
      <c r="AT229" s="1127"/>
      <c r="AU229" s="1127">
        <v>0.33333333333333331</v>
      </c>
      <c r="AV229" s="1127"/>
      <c r="AW229" s="1127"/>
      <c r="AX229" s="1127"/>
      <c r="AY229" s="1127"/>
      <c r="AZ229" s="1127">
        <v>0.33333333333333331</v>
      </c>
      <c r="BA229" s="1129">
        <v>872.95798412698423</v>
      </c>
      <c r="BB229" s="1129">
        <v>0</v>
      </c>
      <c r="BC229" s="1129">
        <v>872.95798412698423</v>
      </c>
      <c r="BD229" s="1129">
        <v>0</v>
      </c>
      <c r="BE229" s="1129">
        <v>0</v>
      </c>
      <c r="BF229" s="1129">
        <v>0</v>
      </c>
      <c r="BG229" s="1129">
        <v>0</v>
      </c>
      <c r="BH229" s="1129">
        <v>872.95798412698423</v>
      </c>
      <c r="BI229" s="971"/>
      <c r="BJ229" s="971"/>
      <c r="BK229" s="971"/>
      <c r="BL229" s="1246"/>
      <c r="BM229" s="1247" t="s">
        <v>2125</v>
      </c>
    </row>
    <row r="230" spans="1:65" s="1247" customFormat="1" ht="82.5" customHeight="1">
      <c r="A230" s="1272">
        <v>4000</v>
      </c>
      <c r="B230" s="971" t="s">
        <v>1316</v>
      </c>
      <c r="C230" s="1272">
        <v>4100</v>
      </c>
      <c r="D230" s="971" t="s">
        <v>120</v>
      </c>
      <c r="E230" s="971" t="s">
        <v>1389</v>
      </c>
      <c r="F230" s="971" t="s">
        <v>176</v>
      </c>
      <c r="G230" s="971" t="s">
        <v>4735</v>
      </c>
      <c r="H230" s="971" t="s">
        <v>3495</v>
      </c>
      <c r="I230" s="1273" t="s">
        <v>6954</v>
      </c>
      <c r="J230" s="971" t="s">
        <v>2146</v>
      </c>
      <c r="K230" s="971" t="s">
        <v>2127</v>
      </c>
      <c r="L230" s="971" t="s">
        <v>2177</v>
      </c>
      <c r="M230" s="971" t="s">
        <v>2127</v>
      </c>
      <c r="N230" s="971" t="s">
        <v>176</v>
      </c>
      <c r="O230" s="971" t="s">
        <v>2177</v>
      </c>
      <c r="P230" s="971" t="s">
        <v>6884</v>
      </c>
      <c r="Q230" s="971" t="s">
        <v>6955</v>
      </c>
      <c r="R230" s="971" t="s">
        <v>4753</v>
      </c>
      <c r="S230" s="1274">
        <v>1</v>
      </c>
      <c r="T230" s="971" t="s">
        <v>242</v>
      </c>
      <c r="U230" s="1275">
        <v>10</v>
      </c>
      <c r="V230" s="1275">
        <v>45</v>
      </c>
      <c r="W230" s="1275">
        <v>999.13380952380965</v>
      </c>
      <c r="X230" s="1275">
        <v>450</v>
      </c>
      <c r="Y230" s="1275">
        <v>1494.1338095238098</v>
      </c>
      <c r="Z230" s="1129">
        <v>10</v>
      </c>
      <c r="AA230" s="1129">
        <v>45</v>
      </c>
      <c r="AB230" s="1129">
        <v>999.13380952380965</v>
      </c>
      <c r="AC230" s="1129">
        <v>450</v>
      </c>
      <c r="AD230" s="1098">
        <v>1494.1338095238098</v>
      </c>
      <c r="AE230" s="1237">
        <v>24</v>
      </c>
      <c r="AF230" s="1133">
        <v>24</v>
      </c>
      <c r="AG230" s="1127">
        <v>1</v>
      </c>
      <c r="AH230" s="1127">
        <v>0</v>
      </c>
      <c r="AI230" s="1127">
        <v>0</v>
      </c>
      <c r="AJ230" s="1127">
        <v>1</v>
      </c>
      <c r="AK230" s="1129">
        <v>1494.1338095238098</v>
      </c>
      <c r="AL230" s="1129">
        <v>0</v>
      </c>
      <c r="AM230" s="1129">
        <v>0</v>
      </c>
      <c r="AN230" s="1129">
        <v>1494.1338095238098</v>
      </c>
      <c r="AO230" s="1129" t="s">
        <v>85</v>
      </c>
      <c r="AP230" s="1129" t="s">
        <v>96</v>
      </c>
      <c r="AQ230" s="1157">
        <v>2014</v>
      </c>
      <c r="AR230" s="1129" t="s">
        <v>87</v>
      </c>
      <c r="AS230" s="1127">
        <v>0.33333333333333331</v>
      </c>
      <c r="AT230" s="1127"/>
      <c r="AU230" s="1127">
        <v>0.33333333333333331</v>
      </c>
      <c r="AV230" s="1127"/>
      <c r="AW230" s="1127"/>
      <c r="AX230" s="1127"/>
      <c r="AY230" s="1127"/>
      <c r="AZ230" s="1127">
        <v>0.33333333333333331</v>
      </c>
      <c r="BA230" s="1129">
        <v>498.04460317460325</v>
      </c>
      <c r="BB230" s="1129">
        <v>0</v>
      </c>
      <c r="BC230" s="1129">
        <v>498.04460317460325</v>
      </c>
      <c r="BD230" s="1129">
        <v>0</v>
      </c>
      <c r="BE230" s="1129">
        <v>0</v>
      </c>
      <c r="BF230" s="1129">
        <v>0</v>
      </c>
      <c r="BG230" s="1129">
        <v>0</v>
      </c>
      <c r="BH230" s="1129">
        <v>498.04460317460325</v>
      </c>
      <c r="BI230" s="971"/>
      <c r="BJ230" s="971"/>
      <c r="BK230" s="971"/>
      <c r="BL230" s="1246"/>
      <c r="BM230" s="1247" t="s">
        <v>2125</v>
      </c>
    </row>
    <row r="231" spans="1:65" s="1247" customFormat="1" ht="66" customHeight="1">
      <c r="A231" s="1272">
        <v>4000</v>
      </c>
      <c r="B231" s="971" t="s">
        <v>1316</v>
      </c>
      <c r="C231" s="1272">
        <v>4100</v>
      </c>
      <c r="D231" s="971" t="s">
        <v>120</v>
      </c>
      <c r="E231" s="971" t="s">
        <v>1389</v>
      </c>
      <c r="F231" s="971" t="s">
        <v>176</v>
      </c>
      <c r="G231" s="971" t="s">
        <v>4735</v>
      </c>
      <c r="H231" s="971" t="s">
        <v>3495</v>
      </c>
      <c r="I231" s="1273" t="s">
        <v>6956</v>
      </c>
      <c r="J231" s="971" t="s">
        <v>2146</v>
      </c>
      <c r="K231" s="971" t="s">
        <v>2125</v>
      </c>
      <c r="L231" s="971" t="s">
        <v>2126</v>
      </c>
      <c r="M231" s="971" t="s">
        <v>2125</v>
      </c>
      <c r="N231" s="971" t="s">
        <v>176</v>
      </c>
      <c r="O231" s="971" t="s">
        <v>2126</v>
      </c>
      <c r="P231" s="971" t="s">
        <v>6957</v>
      </c>
      <c r="Q231" s="971" t="s">
        <v>6958</v>
      </c>
      <c r="R231" s="971" t="s">
        <v>4759</v>
      </c>
      <c r="S231" s="1274">
        <v>1</v>
      </c>
      <c r="T231" s="971" t="s">
        <v>242</v>
      </c>
      <c r="U231" s="1275">
        <v>13</v>
      </c>
      <c r="V231" s="1275">
        <v>120</v>
      </c>
      <c r="W231" s="1275">
        <v>1298.8739523809525</v>
      </c>
      <c r="X231" s="1275">
        <v>1200</v>
      </c>
      <c r="Y231" s="1275">
        <v>2618.8739523809527</v>
      </c>
      <c r="Z231" s="1129">
        <v>13</v>
      </c>
      <c r="AA231" s="1129">
        <v>120</v>
      </c>
      <c r="AB231" s="1129">
        <v>1298.8739523809525</v>
      </c>
      <c r="AC231" s="1129">
        <v>1200</v>
      </c>
      <c r="AD231" s="1098">
        <v>2618.8739523809527</v>
      </c>
      <c r="AE231" s="1237">
        <v>96</v>
      </c>
      <c r="AF231" s="1133">
        <v>96</v>
      </c>
      <c r="AG231" s="1127">
        <v>1</v>
      </c>
      <c r="AH231" s="1127">
        <v>0</v>
      </c>
      <c r="AI231" s="1127">
        <v>0</v>
      </c>
      <c r="AJ231" s="1127">
        <v>1</v>
      </c>
      <c r="AK231" s="1129">
        <v>2618.8739523809527</v>
      </c>
      <c r="AL231" s="1129">
        <v>0</v>
      </c>
      <c r="AM231" s="1129">
        <v>0</v>
      </c>
      <c r="AN231" s="1129">
        <v>2618.8739523809527</v>
      </c>
      <c r="AO231" s="1129" t="s">
        <v>85</v>
      </c>
      <c r="AP231" s="1129" t="s">
        <v>96</v>
      </c>
      <c r="AQ231" s="1157">
        <v>2014</v>
      </c>
      <c r="AR231" s="1129" t="s">
        <v>87</v>
      </c>
      <c r="AS231" s="1127">
        <v>0.33333333333333331</v>
      </c>
      <c r="AT231" s="1127"/>
      <c r="AU231" s="1127">
        <v>0.33333333333333331</v>
      </c>
      <c r="AV231" s="1127"/>
      <c r="AW231" s="1127"/>
      <c r="AX231" s="1127"/>
      <c r="AY231" s="1127"/>
      <c r="AZ231" s="1127">
        <v>0.33333333333333331</v>
      </c>
      <c r="BA231" s="1129">
        <v>872.95798412698423</v>
      </c>
      <c r="BB231" s="1129">
        <v>0</v>
      </c>
      <c r="BC231" s="1129">
        <v>872.95798412698423</v>
      </c>
      <c r="BD231" s="1129">
        <v>0</v>
      </c>
      <c r="BE231" s="1129">
        <v>0</v>
      </c>
      <c r="BF231" s="1129">
        <v>0</v>
      </c>
      <c r="BG231" s="1129">
        <v>0</v>
      </c>
      <c r="BH231" s="1129">
        <v>872.95798412698423</v>
      </c>
      <c r="BI231" s="971"/>
      <c r="BJ231" s="971"/>
      <c r="BK231" s="971"/>
      <c r="BL231" s="1246"/>
      <c r="BM231" s="1247" t="s">
        <v>2129</v>
      </c>
    </row>
    <row r="232" spans="1:65" s="1247" customFormat="1" ht="82.5" customHeight="1">
      <c r="A232" s="1272">
        <v>4000</v>
      </c>
      <c r="B232" s="971" t="s">
        <v>1316</v>
      </c>
      <c r="C232" s="1272">
        <v>4100</v>
      </c>
      <c r="D232" s="971" t="s">
        <v>120</v>
      </c>
      <c r="E232" s="971" t="s">
        <v>1389</v>
      </c>
      <c r="F232" s="971" t="s">
        <v>176</v>
      </c>
      <c r="G232" s="971" t="s">
        <v>4735</v>
      </c>
      <c r="H232" s="971" t="s">
        <v>3495</v>
      </c>
      <c r="I232" s="1273" t="s">
        <v>6959</v>
      </c>
      <c r="J232" s="971" t="s">
        <v>2146</v>
      </c>
      <c r="K232" s="971" t="s">
        <v>2127</v>
      </c>
      <c r="L232" s="971" t="s">
        <v>2177</v>
      </c>
      <c r="M232" s="971" t="s">
        <v>2127</v>
      </c>
      <c r="N232" s="971" t="s">
        <v>176</v>
      </c>
      <c r="O232" s="971" t="s">
        <v>2177</v>
      </c>
      <c r="P232" s="971" t="s">
        <v>6960</v>
      </c>
      <c r="Q232" s="971" t="s">
        <v>6961</v>
      </c>
      <c r="R232" s="971" t="s">
        <v>4766</v>
      </c>
      <c r="S232" s="1274">
        <v>1</v>
      </c>
      <c r="T232" s="971" t="s">
        <v>242</v>
      </c>
      <c r="U232" s="1275">
        <v>10</v>
      </c>
      <c r="V232" s="1275">
        <v>45</v>
      </c>
      <c r="W232" s="1275">
        <v>999.13380952380965</v>
      </c>
      <c r="X232" s="1275">
        <v>450</v>
      </c>
      <c r="Y232" s="1275">
        <v>1494.1338095238098</v>
      </c>
      <c r="Z232" s="1129">
        <v>10</v>
      </c>
      <c r="AA232" s="1129">
        <v>45</v>
      </c>
      <c r="AB232" s="1129">
        <v>999.13380952380965</v>
      </c>
      <c r="AC232" s="1129">
        <v>450</v>
      </c>
      <c r="AD232" s="1098">
        <v>1494.1338095238098</v>
      </c>
      <c r="AE232" s="1237">
        <v>24</v>
      </c>
      <c r="AF232" s="1133">
        <v>24</v>
      </c>
      <c r="AG232" s="1127">
        <v>1</v>
      </c>
      <c r="AH232" s="1127">
        <v>0</v>
      </c>
      <c r="AI232" s="1127">
        <v>0</v>
      </c>
      <c r="AJ232" s="1127">
        <v>1</v>
      </c>
      <c r="AK232" s="1129">
        <v>1494.1338095238098</v>
      </c>
      <c r="AL232" s="1129">
        <v>0</v>
      </c>
      <c r="AM232" s="1129">
        <v>0</v>
      </c>
      <c r="AN232" s="1129">
        <v>1494.1338095238098</v>
      </c>
      <c r="AO232" s="1129" t="s">
        <v>85</v>
      </c>
      <c r="AP232" s="1129" t="s">
        <v>96</v>
      </c>
      <c r="AQ232" s="1157">
        <v>2014</v>
      </c>
      <c r="AR232" s="1129" t="s">
        <v>87</v>
      </c>
      <c r="AS232" s="1127">
        <v>0.33333333333333331</v>
      </c>
      <c r="AT232" s="1127"/>
      <c r="AU232" s="1127">
        <v>0.33333333333333331</v>
      </c>
      <c r="AV232" s="1127"/>
      <c r="AW232" s="1127"/>
      <c r="AX232" s="1127"/>
      <c r="AY232" s="1127"/>
      <c r="AZ232" s="1127">
        <v>0.33333333333333331</v>
      </c>
      <c r="BA232" s="1129">
        <v>498.04460317460325</v>
      </c>
      <c r="BB232" s="1129">
        <v>0</v>
      </c>
      <c r="BC232" s="1129">
        <v>498.04460317460325</v>
      </c>
      <c r="BD232" s="1129">
        <v>0</v>
      </c>
      <c r="BE232" s="1129">
        <v>0</v>
      </c>
      <c r="BF232" s="1129">
        <v>0</v>
      </c>
      <c r="BG232" s="1129">
        <v>0</v>
      </c>
      <c r="BH232" s="1129">
        <v>498.04460317460325</v>
      </c>
      <c r="BI232" s="971"/>
      <c r="BJ232" s="971"/>
      <c r="BK232" s="971"/>
      <c r="BL232" s="1246"/>
      <c r="BM232" s="1247" t="s">
        <v>2129</v>
      </c>
    </row>
    <row r="233" spans="1:65" s="1247" customFormat="1" ht="49.5" customHeight="1">
      <c r="A233" s="1272">
        <v>4000</v>
      </c>
      <c r="B233" s="971" t="s">
        <v>1316</v>
      </c>
      <c r="C233" s="1272">
        <v>4100</v>
      </c>
      <c r="D233" s="971" t="s">
        <v>120</v>
      </c>
      <c r="E233" s="971" t="s">
        <v>1389</v>
      </c>
      <c r="F233" s="971" t="s">
        <v>176</v>
      </c>
      <c r="G233" s="971" t="s">
        <v>4735</v>
      </c>
      <c r="H233" s="971" t="s">
        <v>3495</v>
      </c>
      <c r="I233" s="1273" t="s">
        <v>6962</v>
      </c>
      <c r="J233" s="971" t="s">
        <v>2146</v>
      </c>
      <c r="K233" s="971" t="s">
        <v>2127</v>
      </c>
      <c r="L233" s="971" t="s">
        <v>2177</v>
      </c>
      <c r="M233" s="971" t="s">
        <v>2127</v>
      </c>
      <c r="N233" s="971" t="s">
        <v>176</v>
      </c>
      <c r="O233" s="971" t="s">
        <v>2177</v>
      </c>
      <c r="P233" s="971" t="s">
        <v>2292</v>
      </c>
      <c r="Q233" s="971" t="s">
        <v>6728</v>
      </c>
      <c r="R233" s="971" t="s">
        <v>4772</v>
      </c>
      <c r="S233" s="1274">
        <v>1</v>
      </c>
      <c r="T233" s="971" t="s">
        <v>242</v>
      </c>
      <c r="U233" s="1275">
        <v>10</v>
      </c>
      <c r="V233" s="1275">
        <v>45</v>
      </c>
      <c r="W233" s="1275">
        <v>999.13380952380965</v>
      </c>
      <c r="X233" s="1275">
        <v>450</v>
      </c>
      <c r="Y233" s="1275">
        <v>1494.1338095238098</v>
      </c>
      <c r="Z233" s="1129">
        <v>10</v>
      </c>
      <c r="AA233" s="1129">
        <v>45</v>
      </c>
      <c r="AB233" s="1129">
        <v>999.13380952380965</v>
      </c>
      <c r="AC233" s="1129">
        <v>450</v>
      </c>
      <c r="AD233" s="1098">
        <v>1494.1338095238098</v>
      </c>
      <c r="AE233" s="1237">
        <v>24</v>
      </c>
      <c r="AF233" s="1133">
        <v>24</v>
      </c>
      <c r="AG233" s="1127">
        <v>1</v>
      </c>
      <c r="AH233" s="1127">
        <v>0</v>
      </c>
      <c r="AI233" s="1127">
        <v>0</v>
      </c>
      <c r="AJ233" s="1127">
        <v>1</v>
      </c>
      <c r="AK233" s="1129">
        <v>1494.1338095238098</v>
      </c>
      <c r="AL233" s="1129">
        <v>0</v>
      </c>
      <c r="AM233" s="1129">
        <v>0</v>
      </c>
      <c r="AN233" s="1129">
        <v>1494.1338095238098</v>
      </c>
      <c r="AO233" s="1129" t="s">
        <v>85</v>
      </c>
      <c r="AP233" s="1129" t="s">
        <v>96</v>
      </c>
      <c r="AQ233" s="1157">
        <v>2014</v>
      </c>
      <c r="AR233" s="1129" t="s">
        <v>87</v>
      </c>
      <c r="AS233" s="1127">
        <v>0.33333333333333331</v>
      </c>
      <c r="AT233" s="1127"/>
      <c r="AU233" s="1127">
        <v>0.33333333333333331</v>
      </c>
      <c r="AV233" s="1127"/>
      <c r="AW233" s="1127"/>
      <c r="AX233" s="1127"/>
      <c r="AY233" s="1127"/>
      <c r="AZ233" s="1127">
        <v>0.33333333333333331</v>
      </c>
      <c r="BA233" s="1129">
        <v>498.04460317460325</v>
      </c>
      <c r="BB233" s="1129">
        <v>0</v>
      </c>
      <c r="BC233" s="1129">
        <v>498.04460317460325</v>
      </c>
      <c r="BD233" s="1129">
        <v>0</v>
      </c>
      <c r="BE233" s="1129">
        <v>0</v>
      </c>
      <c r="BF233" s="1129">
        <v>0</v>
      </c>
      <c r="BG233" s="1129">
        <v>0</v>
      </c>
      <c r="BH233" s="1129">
        <v>498.04460317460325</v>
      </c>
      <c r="BI233" s="971"/>
      <c r="BJ233" s="971"/>
      <c r="BK233" s="971"/>
      <c r="BL233" s="1246"/>
      <c r="BM233" s="1247" t="s">
        <v>2127</v>
      </c>
    </row>
    <row r="234" spans="1:65" s="1247" customFormat="1" ht="49.5" customHeight="1">
      <c r="A234" s="1272">
        <v>4000</v>
      </c>
      <c r="B234" s="971" t="s">
        <v>1316</v>
      </c>
      <c r="C234" s="1272">
        <v>4100</v>
      </c>
      <c r="D234" s="971" t="s">
        <v>120</v>
      </c>
      <c r="E234" s="971" t="s">
        <v>1389</v>
      </c>
      <c r="F234" s="971" t="s">
        <v>176</v>
      </c>
      <c r="G234" s="971" t="s">
        <v>4735</v>
      </c>
      <c r="H234" s="971" t="s">
        <v>3495</v>
      </c>
      <c r="I234" s="1273" t="s">
        <v>6963</v>
      </c>
      <c r="J234" s="971" t="s">
        <v>2146</v>
      </c>
      <c r="K234" s="971" t="s">
        <v>2127</v>
      </c>
      <c r="L234" s="971" t="s">
        <v>2177</v>
      </c>
      <c r="M234" s="971" t="s">
        <v>2127</v>
      </c>
      <c r="N234" s="971" t="s">
        <v>176</v>
      </c>
      <c r="O234" s="971" t="s">
        <v>2177</v>
      </c>
      <c r="P234" s="971" t="s">
        <v>6730</v>
      </c>
      <c r="Q234" s="971" t="s">
        <v>6731</v>
      </c>
      <c r="R234" s="971" t="s">
        <v>4775</v>
      </c>
      <c r="S234" s="1274">
        <v>1</v>
      </c>
      <c r="T234" s="971" t="s">
        <v>242</v>
      </c>
      <c r="U234" s="1275">
        <v>10</v>
      </c>
      <c r="V234" s="1275">
        <v>45</v>
      </c>
      <c r="W234" s="1275">
        <v>999.13380952380965</v>
      </c>
      <c r="X234" s="1275">
        <v>450</v>
      </c>
      <c r="Y234" s="1275">
        <v>1494.1338095238098</v>
      </c>
      <c r="Z234" s="1129">
        <v>10</v>
      </c>
      <c r="AA234" s="1129">
        <v>45</v>
      </c>
      <c r="AB234" s="1129">
        <v>999.13380952380965</v>
      </c>
      <c r="AC234" s="1129">
        <v>450</v>
      </c>
      <c r="AD234" s="1098">
        <v>1494.1338095238098</v>
      </c>
      <c r="AE234" s="1237">
        <v>24</v>
      </c>
      <c r="AF234" s="1133">
        <v>24</v>
      </c>
      <c r="AG234" s="1127">
        <v>1</v>
      </c>
      <c r="AH234" s="1127">
        <v>0</v>
      </c>
      <c r="AI234" s="1127">
        <v>0</v>
      </c>
      <c r="AJ234" s="1127">
        <v>1</v>
      </c>
      <c r="AK234" s="1129">
        <v>1494.1338095238098</v>
      </c>
      <c r="AL234" s="1129">
        <v>0</v>
      </c>
      <c r="AM234" s="1129">
        <v>0</v>
      </c>
      <c r="AN234" s="1129">
        <v>1494.1338095238098</v>
      </c>
      <c r="AO234" s="1129" t="s">
        <v>85</v>
      </c>
      <c r="AP234" s="1129" t="s">
        <v>96</v>
      </c>
      <c r="AQ234" s="1157">
        <v>2014</v>
      </c>
      <c r="AR234" s="1129" t="s">
        <v>87</v>
      </c>
      <c r="AS234" s="1127">
        <v>0.33333333333333331</v>
      </c>
      <c r="AT234" s="1127"/>
      <c r="AU234" s="1127">
        <v>0.33333333333333331</v>
      </c>
      <c r="AV234" s="1127"/>
      <c r="AW234" s="1127"/>
      <c r="AX234" s="1127"/>
      <c r="AY234" s="1127"/>
      <c r="AZ234" s="1127">
        <v>0.33333333333333331</v>
      </c>
      <c r="BA234" s="1129">
        <v>498.04460317460325</v>
      </c>
      <c r="BB234" s="1129">
        <v>0</v>
      </c>
      <c r="BC234" s="1129">
        <v>498.04460317460325</v>
      </c>
      <c r="BD234" s="1129">
        <v>0</v>
      </c>
      <c r="BE234" s="1129">
        <v>0</v>
      </c>
      <c r="BF234" s="1129">
        <v>0</v>
      </c>
      <c r="BG234" s="1129">
        <v>0</v>
      </c>
      <c r="BH234" s="1129">
        <v>498.04460317460325</v>
      </c>
      <c r="BI234" s="971"/>
      <c r="BJ234" s="971"/>
      <c r="BK234" s="971"/>
      <c r="BL234" s="1246"/>
      <c r="BM234" s="1247" t="s">
        <v>2129</v>
      </c>
    </row>
    <row r="235" spans="1:65" s="1247" customFormat="1" ht="49.5" customHeight="1">
      <c r="A235" s="1272">
        <v>4000</v>
      </c>
      <c r="B235" s="971" t="s">
        <v>1316</v>
      </c>
      <c r="C235" s="1272">
        <v>4100</v>
      </c>
      <c r="D235" s="971" t="s">
        <v>120</v>
      </c>
      <c r="E235" s="971" t="s">
        <v>1389</v>
      </c>
      <c r="F235" s="971" t="s">
        <v>176</v>
      </c>
      <c r="G235" s="971" t="s">
        <v>4735</v>
      </c>
      <c r="H235" s="971" t="s">
        <v>3495</v>
      </c>
      <c r="I235" s="1273" t="s">
        <v>6964</v>
      </c>
      <c r="J235" s="971" t="s">
        <v>2146</v>
      </c>
      <c r="K235" s="971" t="s">
        <v>2127</v>
      </c>
      <c r="L235" s="971" t="s">
        <v>2177</v>
      </c>
      <c r="M235" s="971" t="s">
        <v>2127</v>
      </c>
      <c r="N235" s="971" t="s">
        <v>176</v>
      </c>
      <c r="O235" s="971" t="s">
        <v>2177</v>
      </c>
      <c r="P235" s="971" t="s">
        <v>6730</v>
      </c>
      <c r="Q235" s="971" t="s">
        <v>6731</v>
      </c>
      <c r="R235" s="971" t="s">
        <v>4776</v>
      </c>
      <c r="S235" s="1274">
        <v>1</v>
      </c>
      <c r="T235" s="971" t="s">
        <v>242</v>
      </c>
      <c r="U235" s="1275">
        <v>10</v>
      </c>
      <c r="V235" s="1275">
        <v>45</v>
      </c>
      <c r="W235" s="1275">
        <v>999.13380952380965</v>
      </c>
      <c r="X235" s="1275">
        <v>450</v>
      </c>
      <c r="Y235" s="1275">
        <v>1494.1338095238098</v>
      </c>
      <c r="Z235" s="1129">
        <v>10</v>
      </c>
      <c r="AA235" s="1129">
        <v>45</v>
      </c>
      <c r="AB235" s="1129">
        <v>999.13380952380965</v>
      </c>
      <c r="AC235" s="1129">
        <v>450</v>
      </c>
      <c r="AD235" s="1098">
        <v>1494.1338095238098</v>
      </c>
      <c r="AE235" s="1237">
        <v>24</v>
      </c>
      <c r="AF235" s="1133">
        <v>24</v>
      </c>
      <c r="AG235" s="1127">
        <v>1</v>
      </c>
      <c r="AH235" s="1127">
        <v>0</v>
      </c>
      <c r="AI235" s="1127">
        <v>0</v>
      </c>
      <c r="AJ235" s="1127">
        <v>1</v>
      </c>
      <c r="AK235" s="1129">
        <v>1494.1338095238098</v>
      </c>
      <c r="AL235" s="1129">
        <v>0</v>
      </c>
      <c r="AM235" s="1129">
        <v>0</v>
      </c>
      <c r="AN235" s="1129">
        <v>1494.1338095238098</v>
      </c>
      <c r="AO235" s="1129" t="s">
        <v>85</v>
      </c>
      <c r="AP235" s="1129" t="s">
        <v>96</v>
      </c>
      <c r="AQ235" s="1157">
        <v>2014</v>
      </c>
      <c r="AR235" s="1129" t="s">
        <v>87</v>
      </c>
      <c r="AS235" s="1127">
        <v>0.33333333333333331</v>
      </c>
      <c r="AT235" s="1127"/>
      <c r="AU235" s="1127">
        <v>0.33333333333333331</v>
      </c>
      <c r="AV235" s="1127"/>
      <c r="AW235" s="1127"/>
      <c r="AX235" s="1127"/>
      <c r="AY235" s="1127"/>
      <c r="AZ235" s="1127">
        <v>0.33333333333333331</v>
      </c>
      <c r="BA235" s="1129">
        <v>498.04460317460325</v>
      </c>
      <c r="BB235" s="1129">
        <v>0</v>
      </c>
      <c r="BC235" s="1129">
        <v>498.04460317460325</v>
      </c>
      <c r="BD235" s="1129">
        <v>0</v>
      </c>
      <c r="BE235" s="1129">
        <v>0</v>
      </c>
      <c r="BF235" s="1129">
        <v>0</v>
      </c>
      <c r="BG235" s="1129">
        <v>0</v>
      </c>
      <c r="BH235" s="1129">
        <v>498.04460317460325</v>
      </c>
      <c r="BI235" s="971"/>
      <c r="BJ235" s="971"/>
      <c r="BK235" s="971"/>
      <c r="BL235" s="1246"/>
      <c r="BM235" s="1247" t="s">
        <v>2129</v>
      </c>
    </row>
    <row r="236" spans="1:65" s="1247" customFormat="1" ht="66" customHeight="1">
      <c r="A236" s="1272">
        <v>4000</v>
      </c>
      <c r="B236" s="971" t="s">
        <v>1316</v>
      </c>
      <c r="C236" s="1272">
        <v>4100</v>
      </c>
      <c r="D236" s="971" t="s">
        <v>120</v>
      </c>
      <c r="E236" s="971" t="s">
        <v>1389</v>
      </c>
      <c r="F236" s="971" t="s">
        <v>176</v>
      </c>
      <c r="G236" s="971" t="s">
        <v>4735</v>
      </c>
      <c r="H236" s="971" t="s">
        <v>3495</v>
      </c>
      <c r="I236" s="1273" t="s">
        <v>6965</v>
      </c>
      <c r="J236" s="971" t="s">
        <v>2146</v>
      </c>
      <c r="K236" s="971" t="s">
        <v>2127</v>
      </c>
      <c r="L236" s="971" t="s">
        <v>2177</v>
      </c>
      <c r="M236" s="971" t="s">
        <v>2127</v>
      </c>
      <c r="N236" s="971" t="s">
        <v>176</v>
      </c>
      <c r="O236" s="971" t="s">
        <v>2177</v>
      </c>
      <c r="P236" s="971" t="s">
        <v>6730</v>
      </c>
      <c r="Q236" s="971" t="s">
        <v>6731</v>
      </c>
      <c r="R236" s="971" t="s">
        <v>4777</v>
      </c>
      <c r="S236" s="1274">
        <v>1</v>
      </c>
      <c r="T236" s="971" t="s">
        <v>242</v>
      </c>
      <c r="U236" s="1275">
        <v>10</v>
      </c>
      <c r="V236" s="1275">
        <v>45</v>
      </c>
      <c r="W236" s="1275">
        <v>999.13380952380965</v>
      </c>
      <c r="X236" s="1275">
        <v>450</v>
      </c>
      <c r="Y236" s="1275">
        <v>1494.1338095238098</v>
      </c>
      <c r="Z236" s="1129">
        <v>10</v>
      </c>
      <c r="AA236" s="1129">
        <v>45</v>
      </c>
      <c r="AB236" s="1129">
        <v>999.13380952380965</v>
      </c>
      <c r="AC236" s="1129">
        <v>450</v>
      </c>
      <c r="AD236" s="1098">
        <v>1494.1338095238098</v>
      </c>
      <c r="AE236" s="1237">
        <v>24</v>
      </c>
      <c r="AF236" s="1133">
        <v>24</v>
      </c>
      <c r="AG236" s="1127">
        <v>1</v>
      </c>
      <c r="AH236" s="1127">
        <v>0</v>
      </c>
      <c r="AI236" s="1127">
        <v>0</v>
      </c>
      <c r="AJ236" s="1127">
        <v>1</v>
      </c>
      <c r="AK236" s="1129">
        <v>1494.1338095238098</v>
      </c>
      <c r="AL236" s="1129">
        <v>0</v>
      </c>
      <c r="AM236" s="1129">
        <v>0</v>
      </c>
      <c r="AN236" s="1129">
        <v>1494.1338095238098</v>
      </c>
      <c r="AO236" s="1129" t="s">
        <v>85</v>
      </c>
      <c r="AP236" s="1129" t="s">
        <v>96</v>
      </c>
      <c r="AQ236" s="1157">
        <v>2014</v>
      </c>
      <c r="AR236" s="1129" t="s">
        <v>87</v>
      </c>
      <c r="AS236" s="1127">
        <v>0.33333333333333331</v>
      </c>
      <c r="AT236" s="1127"/>
      <c r="AU236" s="1127">
        <v>0.33333333333333331</v>
      </c>
      <c r="AV236" s="1127"/>
      <c r="AW236" s="1127"/>
      <c r="AX236" s="1127"/>
      <c r="AY236" s="1127"/>
      <c r="AZ236" s="1127">
        <v>0.33333333333333331</v>
      </c>
      <c r="BA236" s="1129">
        <v>498.04460317460325</v>
      </c>
      <c r="BB236" s="1129">
        <v>0</v>
      </c>
      <c r="BC236" s="1129">
        <v>498.04460317460325</v>
      </c>
      <c r="BD236" s="1129">
        <v>0</v>
      </c>
      <c r="BE236" s="1129">
        <v>0</v>
      </c>
      <c r="BF236" s="1129">
        <v>0</v>
      </c>
      <c r="BG236" s="1129">
        <v>0</v>
      </c>
      <c r="BH236" s="1129">
        <v>498.04460317460325</v>
      </c>
      <c r="BI236" s="971"/>
      <c r="BJ236" s="971"/>
      <c r="BK236" s="971"/>
      <c r="BL236" s="1246"/>
      <c r="BM236" s="1247" t="s">
        <v>2129</v>
      </c>
    </row>
    <row r="237" spans="1:65" s="1247" customFormat="1" ht="66" customHeight="1">
      <c r="A237" s="1272">
        <v>4000</v>
      </c>
      <c r="B237" s="971" t="s">
        <v>1316</v>
      </c>
      <c r="C237" s="1272">
        <v>4100</v>
      </c>
      <c r="D237" s="971" t="s">
        <v>120</v>
      </c>
      <c r="E237" s="971" t="s">
        <v>1389</v>
      </c>
      <c r="F237" s="971" t="s">
        <v>176</v>
      </c>
      <c r="G237" s="971" t="s">
        <v>4735</v>
      </c>
      <c r="H237" s="971" t="s">
        <v>3495</v>
      </c>
      <c r="I237" s="1273" t="s">
        <v>6966</v>
      </c>
      <c r="J237" s="971" t="s">
        <v>2146</v>
      </c>
      <c r="K237" s="971" t="s">
        <v>2127</v>
      </c>
      <c r="L237" s="971" t="s">
        <v>2177</v>
      </c>
      <c r="M237" s="971" t="s">
        <v>2127</v>
      </c>
      <c r="N237" s="971" t="s">
        <v>176</v>
      </c>
      <c r="O237" s="971" t="s">
        <v>2177</v>
      </c>
      <c r="P237" s="971" t="s">
        <v>6730</v>
      </c>
      <c r="Q237" s="971" t="s">
        <v>6731</v>
      </c>
      <c r="R237" s="971" t="s">
        <v>4778</v>
      </c>
      <c r="S237" s="1274">
        <v>1</v>
      </c>
      <c r="T237" s="971" t="s">
        <v>242</v>
      </c>
      <c r="U237" s="1275">
        <v>10</v>
      </c>
      <c r="V237" s="1275">
        <v>45</v>
      </c>
      <c r="W237" s="1275">
        <v>999.13380952380965</v>
      </c>
      <c r="X237" s="1275">
        <v>450</v>
      </c>
      <c r="Y237" s="1275">
        <v>1494.1338095238098</v>
      </c>
      <c r="Z237" s="1129">
        <v>10</v>
      </c>
      <c r="AA237" s="1129">
        <v>45</v>
      </c>
      <c r="AB237" s="1129">
        <v>999.13380952380965</v>
      </c>
      <c r="AC237" s="1129">
        <v>450</v>
      </c>
      <c r="AD237" s="1098">
        <v>1494.1338095238098</v>
      </c>
      <c r="AE237" s="1237">
        <v>24</v>
      </c>
      <c r="AF237" s="1133">
        <v>24</v>
      </c>
      <c r="AG237" s="1127">
        <v>1</v>
      </c>
      <c r="AH237" s="1127">
        <v>0</v>
      </c>
      <c r="AI237" s="1127">
        <v>0</v>
      </c>
      <c r="AJ237" s="1127">
        <v>1</v>
      </c>
      <c r="AK237" s="1129">
        <v>1494.1338095238098</v>
      </c>
      <c r="AL237" s="1129">
        <v>0</v>
      </c>
      <c r="AM237" s="1129">
        <v>0</v>
      </c>
      <c r="AN237" s="1129">
        <v>1494.1338095238098</v>
      </c>
      <c r="AO237" s="1129" t="s">
        <v>85</v>
      </c>
      <c r="AP237" s="1129" t="s">
        <v>96</v>
      </c>
      <c r="AQ237" s="1157">
        <v>2014</v>
      </c>
      <c r="AR237" s="1129" t="s">
        <v>87</v>
      </c>
      <c r="AS237" s="1127">
        <v>0.33333333333333331</v>
      </c>
      <c r="AT237" s="1127"/>
      <c r="AU237" s="1127">
        <v>0.33333333333333331</v>
      </c>
      <c r="AV237" s="1127"/>
      <c r="AW237" s="1127"/>
      <c r="AX237" s="1127"/>
      <c r="AY237" s="1127"/>
      <c r="AZ237" s="1127">
        <v>0.33333333333333331</v>
      </c>
      <c r="BA237" s="1129">
        <v>498.04460317460325</v>
      </c>
      <c r="BB237" s="1129">
        <v>0</v>
      </c>
      <c r="BC237" s="1129">
        <v>498.04460317460325</v>
      </c>
      <c r="BD237" s="1129">
        <v>0</v>
      </c>
      <c r="BE237" s="1129">
        <v>0</v>
      </c>
      <c r="BF237" s="1129">
        <v>0</v>
      </c>
      <c r="BG237" s="1129">
        <v>0</v>
      </c>
      <c r="BH237" s="1129">
        <v>498.04460317460325</v>
      </c>
      <c r="BI237" s="971"/>
      <c r="BJ237" s="971"/>
      <c r="BK237" s="971"/>
      <c r="BL237" s="1246"/>
      <c r="BM237" s="1247" t="s">
        <v>2129</v>
      </c>
    </row>
    <row r="238" spans="1:65" s="1247" customFormat="1" ht="66" customHeight="1">
      <c r="A238" s="1272">
        <v>4000</v>
      </c>
      <c r="B238" s="971" t="s">
        <v>1316</v>
      </c>
      <c r="C238" s="1272">
        <v>4100</v>
      </c>
      <c r="D238" s="971" t="s">
        <v>120</v>
      </c>
      <c r="E238" s="971" t="s">
        <v>1389</v>
      </c>
      <c r="F238" s="971" t="s">
        <v>176</v>
      </c>
      <c r="G238" s="971" t="s">
        <v>4735</v>
      </c>
      <c r="H238" s="971" t="s">
        <v>3495</v>
      </c>
      <c r="I238" s="1273" t="s">
        <v>6967</v>
      </c>
      <c r="J238" s="971" t="s">
        <v>2146</v>
      </c>
      <c r="K238" s="971" t="s">
        <v>2129</v>
      </c>
      <c r="L238" s="971" t="s">
        <v>2130</v>
      </c>
      <c r="M238" s="971" t="s">
        <v>2129</v>
      </c>
      <c r="N238" s="971" t="s">
        <v>176</v>
      </c>
      <c r="O238" s="971" t="s">
        <v>2130</v>
      </c>
      <c r="P238" s="971" t="s">
        <v>6736</v>
      </c>
      <c r="Q238" s="971" t="s">
        <v>6737</v>
      </c>
      <c r="R238" s="971" t="s">
        <v>4779</v>
      </c>
      <c r="S238" s="1274">
        <v>1</v>
      </c>
      <c r="T238" s="971" t="s">
        <v>242</v>
      </c>
      <c r="U238" s="1275">
        <v>6.666666666666667</v>
      </c>
      <c r="V238" s="1275">
        <v>25</v>
      </c>
      <c r="W238" s="1275">
        <v>666.08920634920639</v>
      </c>
      <c r="X238" s="1275">
        <v>250</v>
      </c>
      <c r="Y238" s="1275">
        <v>941.08920634920639</v>
      </c>
      <c r="Z238" s="1129">
        <v>6.666666666666667</v>
      </c>
      <c r="AA238" s="1129">
        <v>25</v>
      </c>
      <c r="AB238" s="1129">
        <v>666.08920634920639</v>
      </c>
      <c r="AC238" s="1129">
        <v>250</v>
      </c>
      <c r="AD238" s="1098">
        <v>941.08920634920639</v>
      </c>
      <c r="AE238" s="1237">
        <v>4</v>
      </c>
      <c r="AF238" s="1133">
        <v>4</v>
      </c>
      <c r="AG238" s="1127">
        <v>1</v>
      </c>
      <c r="AH238" s="1127">
        <v>0</v>
      </c>
      <c r="AI238" s="1127">
        <v>0</v>
      </c>
      <c r="AJ238" s="1127">
        <v>1</v>
      </c>
      <c r="AK238" s="1129">
        <v>941.08920634920639</v>
      </c>
      <c r="AL238" s="1129">
        <v>0</v>
      </c>
      <c r="AM238" s="1129">
        <v>0</v>
      </c>
      <c r="AN238" s="1129">
        <v>941.08920634920639</v>
      </c>
      <c r="AO238" s="1129" t="s">
        <v>85</v>
      </c>
      <c r="AP238" s="1129" t="s">
        <v>96</v>
      </c>
      <c r="AQ238" s="1157">
        <v>2014</v>
      </c>
      <c r="AR238" s="1129" t="s">
        <v>87</v>
      </c>
      <c r="AS238" s="1127">
        <v>0.33333333333333331</v>
      </c>
      <c r="AT238" s="1127"/>
      <c r="AU238" s="1127">
        <v>0.33333333333333331</v>
      </c>
      <c r="AV238" s="1127"/>
      <c r="AW238" s="1127"/>
      <c r="AX238" s="1127"/>
      <c r="AY238" s="1127"/>
      <c r="AZ238" s="1127">
        <v>0.33333333333333331</v>
      </c>
      <c r="BA238" s="1129">
        <v>313.69640211640211</v>
      </c>
      <c r="BB238" s="1129">
        <v>0</v>
      </c>
      <c r="BC238" s="1129">
        <v>313.69640211640211</v>
      </c>
      <c r="BD238" s="1129">
        <v>0</v>
      </c>
      <c r="BE238" s="1129">
        <v>0</v>
      </c>
      <c r="BF238" s="1129">
        <v>0</v>
      </c>
      <c r="BG238" s="1129">
        <v>0</v>
      </c>
      <c r="BH238" s="1129">
        <v>313.69640211640211</v>
      </c>
      <c r="BI238" s="971"/>
      <c r="BJ238" s="971"/>
      <c r="BK238" s="971"/>
      <c r="BL238" s="1246"/>
      <c r="BM238" s="1247" t="s">
        <v>2129</v>
      </c>
    </row>
    <row r="239" spans="1:65" s="1247" customFormat="1" ht="49.5" customHeight="1">
      <c r="A239" s="1272">
        <v>4000</v>
      </c>
      <c r="B239" s="971" t="s">
        <v>1316</v>
      </c>
      <c r="C239" s="1272">
        <v>4100</v>
      </c>
      <c r="D239" s="971" t="s">
        <v>120</v>
      </c>
      <c r="E239" s="971" t="s">
        <v>1389</v>
      </c>
      <c r="F239" s="971" t="s">
        <v>176</v>
      </c>
      <c r="G239" s="971" t="s">
        <v>4735</v>
      </c>
      <c r="H239" s="971" t="s">
        <v>3495</v>
      </c>
      <c r="I239" s="1273" t="s">
        <v>6968</v>
      </c>
      <c r="J239" s="971" t="s">
        <v>2146</v>
      </c>
      <c r="K239" s="971" t="s">
        <v>2129</v>
      </c>
      <c r="L239" s="971" t="s">
        <v>2130</v>
      </c>
      <c r="M239" s="971" t="s">
        <v>2129</v>
      </c>
      <c r="N239" s="971" t="s">
        <v>176</v>
      </c>
      <c r="O239" s="971" t="s">
        <v>2130</v>
      </c>
      <c r="P239" s="971" t="s">
        <v>6736</v>
      </c>
      <c r="Q239" s="971" t="s">
        <v>6737</v>
      </c>
      <c r="R239" s="971" t="s">
        <v>4780</v>
      </c>
      <c r="S239" s="1274">
        <v>1</v>
      </c>
      <c r="T239" s="971" t="s">
        <v>242</v>
      </c>
      <c r="U239" s="1275">
        <v>6.666666666666667</v>
      </c>
      <c r="V239" s="1275">
        <v>25</v>
      </c>
      <c r="W239" s="1275">
        <v>666.08920634920639</v>
      </c>
      <c r="X239" s="1275">
        <v>250</v>
      </c>
      <c r="Y239" s="1275">
        <v>941.08920634920639</v>
      </c>
      <c r="Z239" s="1129">
        <v>6.666666666666667</v>
      </c>
      <c r="AA239" s="1129">
        <v>25</v>
      </c>
      <c r="AB239" s="1129">
        <v>666.08920634920639</v>
      </c>
      <c r="AC239" s="1129">
        <v>250</v>
      </c>
      <c r="AD239" s="1098">
        <v>941.08920634920639</v>
      </c>
      <c r="AE239" s="1237">
        <v>4</v>
      </c>
      <c r="AF239" s="1133">
        <v>4</v>
      </c>
      <c r="AG239" s="1127">
        <v>1</v>
      </c>
      <c r="AH239" s="1127">
        <v>0</v>
      </c>
      <c r="AI239" s="1127">
        <v>0</v>
      </c>
      <c r="AJ239" s="1127">
        <v>1</v>
      </c>
      <c r="AK239" s="1129">
        <v>941.08920634920639</v>
      </c>
      <c r="AL239" s="1129">
        <v>0</v>
      </c>
      <c r="AM239" s="1129">
        <v>0</v>
      </c>
      <c r="AN239" s="1129">
        <v>941.08920634920639</v>
      </c>
      <c r="AO239" s="1129" t="s">
        <v>85</v>
      </c>
      <c r="AP239" s="1129" t="s">
        <v>96</v>
      </c>
      <c r="AQ239" s="1157">
        <v>2014</v>
      </c>
      <c r="AR239" s="1129" t="s">
        <v>87</v>
      </c>
      <c r="AS239" s="1127">
        <v>0.33333333333333331</v>
      </c>
      <c r="AT239" s="1127"/>
      <c r="AU239" s="1127">
        <v>0.33333333333333331</v>
      </c>
      <c r="AV239" s="1127"/>
      <c r="AW239" s="1127"/>
      <c r="AX239" s="1127"/>
      <c r="AY239" s="1127"/>
      <c r="AZ239" s="1127">
        <v>0.33333333333333331</v>
      </c>
      <c r="BA239" s="1129">
        <v>313.69640211640211</v>
      </c>
      <c r="BB239" s="1129">
        <v>0</v>
      </c>
      <c r="BC239" s="1129">
        <v>313.69640211640211</v>
      </c>
      <c r="BD239" s="1129">
        <v>0</v>
      </c>
      <c r="BE239" s="1129">
        <v>0</v>
      </c>
      <c r="BF239" s="1129">
        <v>0</v>
      </c>
      <c r="BG239" s="1129">
        <v>0</v>
      </c>
      <c r="BH239" s="1129">
        <v>313.69640211640211</v>
      </c>
      <c r="BI239" s="971"/>
      <c r="BJ239" s="971"/>
      <c r="BK239" s="971"/>
      <c r="BL239" s="1246"/>
      <c r="BM239" s="1247" t="s">
        <v>2127</v>
      </c>
    </row>
    <row r="240" spans="1:65" s="1247" customFormat="1" ht="66" customHeight="1">
      <c r="A240" s="1272">
        <v>4000</v>
      </c>
      <c r="B240" s="971" t="s">
        <v>1316</v>
      </c>
      <c r="C240" s="1272">
        <v>4100</v>
      </c>
      <c r="D240" s="971" t="s">
        <v>120</v>
      </c>
      <c r="E240" s="971" t="s">
        <v>1389</v>
      </c>
      <c r="F240" s="971" t="s">
        <v>176</v>
      </c>
      <c r="G240" s="971" t="s">
        <v>4735</v>
      </c>
      <c r="H240" s="971" t="s">
        <v>3495</v>
      </c>
      <c r="I240" s="1273" t="s">
        <v>6969</v>
      </c>
      <c r="J240" s="971" t="s">
        <v>2146</v>
      </c>
      <c r="K240" s="971" t="s">
        <v>2125</v>
      </c>
      <c r="L240" s="971" t="s">
        <v>2126</v>
      </c>
      <c r="M240" s="971" t="s">
        <v>2125</v>
      </c>
      <c r="N240" s="971" t="s">
        <v>176</v>
      </c>
      <c r="O240" s="971" t="s">
        <v>2126</v>
      </c>
      <c r="P240" s="971" t="s">
        <v>6970</v>
      </c>
      <c r="Q240" s="971" t="s">
        <v>6971</v>
      </c>
      <c r="R240" s="971" t="s">
        <v>4781</v>
      </c>
      <c r="S240" s="1274">
        <v>1</v>
      </c>
      <c r="T240" s="971" t="s">
        <v>242</v>
      </c>
      <c r="U240" s="1275">
        <v>13</v>
      </c>
      <c r="V240" s="1275">
        <v>120</v>
      </c>
      <c r="W240" s="1275">
        <v>1298.8739523809525</v>
      </c>
      <c r="X240" s="1275">
        <v>1200</v>
      </c>
      <c r="Y240" s="1275">
        <v>2618.8739523809527</v>
      </c>
      <c r="Z240" s="1129">
        <v>13</v>
      </c>
      <c r="AA240" s="1129">
        <v>120</v>
      </c>
      <c r="AB240" s="1129">
        <v>1298.8739523809525</v>
      </c>
      <c r="AC240" s="1129">
        <v>1200</v>
      </c>
      <c r="AD240" s="1098">
        <v>2618.8739523809527</v>
      </c>
      <c r="AE240" s="1237">
        <v>96</v>
      </c>
      <c r="AF240" s="1133">
        <v>96</v>
      </c>
      <c r="AG240" s="1127">
        <v>1</v>
      </c>
      <c r="AH240" s="1127">
        <v>0</v>
      </c>
      <c r="AI240" s="1127">
        <v>0</v>
      </c>
      <c r="AJ240" s="1127">
        <v>1</v>
      </c>
      <c r="AK240" s="1129">
        <v>2618.8739523809527</v>
      </c>
      <c r="AL240" s="1129">
        <v>0</v>
      </c>
      <c r="AM240" s="1129">
        <v>0</v>
      </c>
      <c r="AN240" s="1129">
        <v>2618.8739523809527</v>
      </c>
      <c r="AO240" s="1129" t="s">
        <v>85</v>
      </c>
      <c r="AP240" s="1129" t="s">
        <v>96</v>
      </c>
      <c r="AQ240" s="1157">
        <v>2014</v>
      </c>
      <c r="AR240" s="1129" t="s">
        <v>87</v>
      </c>
      <c r="AS240" s="1127">
        <v>0.33333333333333331</v>
      </c>
      <c r="AT240" s="1127"/>
      <c r="AU240" s="1127">
        <v>0.33333333333333331</v>
      </c>
      <c r="AV240" s="1127"/>
      <c r="AW240" s="1127"/>
      <c r="AX240" s="1127"/>
      <c r="AY240" s="1127"/>
      <c r="AZ240" s="1127">
        <v>0.33333333333333331</v>
      </c>
      <c r="BA240" s="1129">
        <v>872.95798412698423</v>
      </c>
      <c r="BB240" s="1129">
        <v>0</v>
      </c>
      <c r="BC240" s="1129">
        <v>872.95798412698423</v>
      </c>
      <c r="BD240" s="1129">
        <v>0</v>
      </c>
      <c r="BE240" s="1129">
        <v>0</v>
      </c>
      <c r="BF240" s="1129">
        <v>0</v>
      </c>
      <c r="BG240" s="1129">
        <v>0</v>
      </c>
      <c r="BH240" s="1129">
        <v>872.95798412698423</v>
      </c>
      <c r="BI240" s="971"/>
      <c r="BJ240" s="971"/>
      <c r="BK240" s="971"/>
      <c r="BL240" s="1246"/>
      <c r="BM240" s="1247" t="s">
        <v>2125</v>
      </c>
    </row>
    <row r="241" spans="1:65" s="1247" customFormat="1" ht="82.5" customHeight="1">
      <c r="A241" s="1272">
        <v>4000</v>
      </c>
      <c r="B241" s="971" t="s">
        <v>1316</v>
      </c>
      <c r="C241" s="1272">
        <v>4100</v>
      </c>
      <c r="D241" s="971" t="s">
        <v>120</v>
      </c>
      <c r="E241" s="971" t="s">
        <v>1389</v>
      </c>
      <c r="F241" s="971" t="s">
        <v>176</v>
      </c>
      <c r="G241" s="971" t="s">
        <v>4735</v>
      </c>
      <c r="H241" s="971" t="s">
        <v>3495</v>
      </c>
      <c r="I241" s="1273" t="s">
        <v>6972</v>
      </c>
      <c r="J241" s="971" t="s">
        <v>2146</v>
      </c>
      <c r="K241" s="971" t="s">
        <v>2127</v>
      </c>
      <c r="L241" s="971" t="s">
        <v>2177</v>
      </c>
      <c r="M241" s="971" t="s">
        <v>2127</v>
      </c>
      <c r="N241" s="971" t="s">
        <v>176</v>
      </c>
      <c r="O241" s="971" t="s">
        <v>2177</v>
      </c>
      <c r="P241" s="971" t="s">
        <v>6957</v>
      </c>
      <c r="Q241" s="971" t="s">
        <v>6973</v>
      </c>
      <c r="R241" s="971" t="s">
        <v>4787</v>
      </c>
      <c r="S241" s="1274">
        <v>1</v>
      </c>
      <c r="T241" s="971" t="s">
        <v>242</v>
      </c>
      <c r="U241" s="1275">
        <v>10</v>
      </c>
      <c r="V241" s="1275">
        <v>45</v>
      </c>
      <c r="W241" s="1275">
        <v>999.13380952380965</v>
      </c>
      <c r="X241" s="1275">
        <v>450</v>
      </c>
      <c r="Y241" s="1275">
        <v>1494.1338095238098</v>
      </c>
      <c r="Z241" s="1129">
        <v>10</v>
      </c>
      <c r="AA241" s="1129">
        <v>45</v>
      </c>
      <c r="AB241" s="1129">
        <v>999.13380952380965</v>
      </c>
      <c r="AC241" s="1129">
        <v>450</v>
      </c>
      <c r="AD241" s="1098">
        <v>1494.1338095238098</v>
      </c>
      <c r="AE241" s="1237">
        <v>24</v>
      </c>
      <c r="AF241" s="1133">
        <v>24</v>
      </c>
      <c r="AG241" s="1127">
        <v>1</v>
      </c>
      <c r="AH241" s="1127">
        <v>0</v>
      </c>
      <c r="AI241" s="1127">
        <v>0</v>
      </c>
      <c r="AJ241" s="1127">
        <v>1</v>
      </c>
      <c r="AK241" s="1129">
        <v>1494.1338095238098</v>
      </c>
      <c r="AL241" s="1129">
        <v>0</v>
      </c>
      <c r="AM241" s="1129">
        <v>0</v>
      </c>
      <c r="AN241" s="1129">
        <v>1494.1338095238098</v>
      </c>
      <c r="AO241" s="1129" t="s">
        <v>85</v>
      </c>
      <c r="AP241" s="1129" t="s">
        <v>96</v>
      </c>
      <c r="AQ241" s="1157">
        <v>2014</v>
      </c>
      <c r="AR241" s="1129" t="s">
        <v>87</v>
      </c>
      <c r="AS241" s="1127">
        <v>0.33333333333333331</v>
      </c>
      <c r="AT241" s="1127"/>
      <c r="AU241" s="1127">
        <v>0.33333333333333331</v>
      </c>
      <c r="AV241" s="1127"/>
      <c r="AW241" s="1127"/>
      <c r="AX241" s="1127"/>
      <c r="AY241" s="1127"/>
      <c r="AZ241" s="1127">
        <v>0.33333333333333331</v>
      </c>
      <c r="BA241" s="1129">
        <v>498.04460317460325</v>
      </c>
      <c r="BB241" s="1129">
        <v>0</v>
      </c>
      <c r="BC241" s="1129">
        <v>498.04460317460325</v>
      </c>
      <c r="BD241" s="1129">
        <v>0</v>
      </c>
      <c r="BE241" s="1129">
        <v>0</v>
      </c>
      <c r="BF241" s="1129">
        <v>0</v>
      </c>
      <c r="BG241" s="1129">
        <v>0</v>
      </c>
      <c r="BH241" s="1129">
        <v>498.04460317460325</v>
      </c>
      <c r="BI241" s="971"/>
      <c r="BJ241" s="971"/>
      <c r="BK241" s="971"/>
      <c r="BL241" s="1246"/>
      <c r="BM241" s="1247" t="s">
        <v>2127</v>
      </c>
    </row>
    <row r="242" spans="1:65" s="1247" customFormat="1" ht="49.5" customHeight="1">
      <c r="A242" s="1272">
        <v>4000</v>
      </c>
      <c r="B242" s="971" t="s">
        <v>1316</v>
      </c>
      <c r="C242" s="1272">
        <v>4100</v>
      </c>
      <c r="D242" s="971" t="s">
        <v>120</v>
      </c>
      <c r="E242" s="971" t="s">
        <v>1389</v>
      </c>
      <c r="F242" s="971" t="s">
        <v>176</v>
      </c>
      <c r="G242" s="971" t="s">
        <v>4735</v>
      </c>
      <c r="H242" s="971" t="s">
        <v>3495</v>
      </c>
      <c r="I242" s="1273" t="s">
        <v>6974</v>
      </c>
      <c r="J242" s="971" t="s">
        <v>2146</v>
      </c>
      <c r="K242" s="971" t="s">
        <v>2129</v>
      </c>
      <c r="L242" s="971" t="s">
        <v>2130</v>
      </c>
      <c r="M242" s="971" t="s">
        <v>2129</v>
      </c>
      <c r="N242" s="971" t="s">
        <v>176</v>
      </c>
      <c r="O242" s="971" t="s">
        <v>2130</v>
      </c>
      <c r="P242" s="971" t="s">
        <v>6725</v>
      </c>
      <c r="Q242" s="971" t="s">
        <v>6726</v>
      </c>
      <c r="R242" s="971" t="s">
        <v>4791</v>
      </c>
      <c r="S242" s="1274">
        <v>1</v>
      </c>
      <c r="T242" s="971" t="s">
        <v>242</v>
      </c>
      <c r="U242" s="1275">
        <v>6.666666666666667</v>
      </c>
      <c r="V242" s="1275">
        <v>25</v>
      </c>
      <c r="W242" s="1275">
        <v>666.08920634920639</v>
      </c>
      <c r="X242" s="1275">
        <v>250</v>
      </c>
      <c r="Y242" s="1275">
        <v>941.08920634920639</v>
      </c>
      <c r="Z242" s="1129">
        <v>6.666666666666667</v>
      </c>
      <c r="AA242" s="1129">
        <v>25</v>
      </c>
      <c r="AB242" s="1129">
        <v>666.08920634920639</v>
      </c>
      <c r="AC242" s="1129">
        <v>250</v>
      </c>
      <c r="AD242" s="1098">
        <v>941.08920634920639</v>
      </c>
      <c r="AE242" s="1237">
        <v>4</v>
      </c>
      <c r="AF242" s="1133">
        <v>4</v>
      </c>
      <c r="AG242" s="1127">
        <v>1</v>
      </c>
      <c r="AH242" s="1127">
        <v>0</v>
      </c>
      <c r="AI242" s="1127">
        <v>0</v>
      </c>
      <c r="AJ242" s="1127">
        <v>1</v>
      </c>
      <c r="AK242" s="1129">
        <v>941.08920634920639</v>
      </c>
      <c r="AL242" s="1129">
        <v>0</v>
      </c>
      <c r="AM242" s="1129">
        <v>0</v>
      </c>
      <c r="AN242" s="1129">
        <v>941.08920634920639</v>
      </c>
      <c r="AO242" s="1129" t="s">
        <v>85</v>
      </c>
      <c r="AP242" s="1129" t="s">
        <v>96</v>
      </c>
      <c r="AQ242" s="1157">
        <v>2014</v>
      </c>
      <c r="AR242" s="1129" t="s">
        <v>87</v>
      </c>
      <c r="AS242" s="1127">
        <v>0.5</v>
      </c>
      <c r="AT242" s="1127">
        <v>0.5</v>
      </c>
      <c r="AU242" s="1127"/>
      <c r="AV242" s="1127"/>
      <c r="AW242" s="1127"/>
      <c r="AX242" s="1127"/>
      <c r="AY242" s="1127"/>
      <c r="AZ242" s="1127"/>
      <c r="BA242" s="1129">
        <v>470.5446031746032</v>
      </c>
      <c r="BB242" s="1129">
        <v>470.5446031746032</v>
      </c>
      <c r="BC242" s="1129">
        <v>0</v>
      </c>
      <c r="BD242" s="1129">
        <v>0</v>
      </c>
      <c r="BE242" s="1129">
        <v>0</v>
      </c>
      <c r="BF242" s="1129">
        <v>0</v>
      </c>
      <c r="BG242" s="1129">
        <v>0</v>
      </c>
      <c r="BH242" s="1129">
        <v>0</v>
      </c>
      <c r="BI242" s="971"/>
      <c r="BJ242" s="971"/>
      <c r="BK242" s="971"/>
      <c r="BL242" s="1246"/>
      <c r="BM242" s="1247" t="s">
        <v>2129</v>
      </c>
    </row>
    <row r="243" spans="1:65" s="1247" customFormat="1" ht="49.5" customHeight="1">
      <c r="A243" s="1272">
        <v>4000</v>
      </c>
      <c r="B243" s="971" t="s">
        <v>1316</v>
      </c>
      <c r="C243" s="1272">
        <v>4100</v>
      </c>
      <c r="D243" s="971" t="s">
        <v>120</v>
      </c>
      <c r="E243" s="971" t="s">
        <v>1389</v>
      </c>
      <c r="F243" s="971" t="s">
        <v>176</v>
      </c>
      <c r="G243" s="971" t="s">
        <v>4735</v>
      </c>
      <c r="H243" s="971" t="s">
        <v>3495</v>
      </c>
      <c r="I243" s="1273" t="s">
        <v>6975</v>
      </c>
      <c r="J243" s="971" t="s">
        <v>2146</v>
      </c>
      <c r="K243" s="971" t="s">
        <v>2129</v>
      </c>
      <c r="L243" s="971" t="s">
        <v>2130</v>
      </c>
      <c r="M243" s="971" t="s">
        <v>2129</v>
      </c>
      <c r="N243" s="971" t="s">
        <v>176</v>
      </c>
      <c r="O243" s="971" t="s">
        <v>2130</v>
      </c>
      <c r="P243" s="971" t="s">
        <v>6744</v>
      </c>
      <c r="Q243" s="971" t="s">
        <v>6976</v>
      </c>
      <c r="R243" s="971" t="s">
        <v>4792</v>
      </c>
      <c r="S243" s="1274">
        <v>1</v>
      </c>
      <c r="T243" s="971" t="s">
        <v>242</v>
      </c>
      <c r="U243" s="1275">
        <v>6.666666666666667</v>
      </c>
      <c r="V243" s="1275">
        <v>25</v>
      </c>
      <c r="W243" s="1275">
        <v>666.08920634920639</v>
      </c>
      <c r="X243" s="1275">
        <v>250</v>
      </c>
      <c r="Y243" s="1275">
        <v>941.08920634920639</v>
      </c>
      <c r="Z243" s="1129">
        <v>6.666666666666667</v>
      </c>
      <c r="AA243" s="1129">
        <v>25</v>
      </c>
      <c r="AB243" s="1129">
        <v>666.08920634920639</v>
      </c>
      <c r="AC243" s="1129">
        <v>250</v>
      </c>
      <c r="AD243" s="1098">
        <v>941.08920634920639</v>
      </c>
      <c r="AE243" s="1237">
        <v>4</v>
      </c>
      <c r="AF243" s="1133">
        <v>4</v>
      </c>
      <c r="AG243" s="1127">
        <v>1</v>
      </c>
      <c r="AH243" s="1127">
        <v>0</v>
      </c>
      <c r="AI243" s="1127">
        <v>0</v>
      </c>
      <c r="AJ243" s="1127">
        <v>1</v>
      </c>
      <c r="AK243" s="1129">
        <v>941.08920634920639</v>
      </c>
      <c r="AL243" s="1129">
        <v>0</v>
      </c>
      <c r="AM243" s="1129">
        <v>0</v>
      </c>
      <c r="AN243" s="1129">
        <v>941.08920634920639</v>
      </c>
      <c r="AO243" s="1129" t="s">
        <v>85</v>
      </c>
      <c r="AP243" s="1129" t="s">
        <v>96</v>
      </c>
      <c r="AQ243" s="1157">
        <v>2014</v>
      </c>
      <c r="AR243" s="1129" t="s">
        <v>87</v>
      </c>
      <c r="AS243" s="1127">
        <v>0.33333333333333331</v>
      </c>
      <c r="AT243" s="1127"/>
      <c r="AU243" s="1127">
        <v>0.33333333333333331</v>
      </c>
      <c r="AV243" s="1127"/>
      <c r="AW243" s="1127"/>
      <c r="AX243" s="1127"/>
      <c r="AY243" s="1127"/>
      <c r="AZ243" s="1127">
        <v>0.33333333333333331</v>
      </c>
      <c r="BA243" s="1129">
        <v>313.69640211640211</v>
      </c>
      <c r="BB243" s="1129">
        <v>0</v>
      </c>
      <c r="BC243" s="1129">
        <v>313.69640211640211</v>
      </c>
      <c r="BD243" s="1129">
        <v>0</v>
      </c>
      <c r="BE243" s="1129">
        <v>0</v>
      </c>
      <c r="BF243" s="1129">
        <v>0</v>
      </c>
      <c r="BG243" s="1129">
        <v>0</v>
      </c>
      <c r="BH243" s="1129">
        <v>313.69640211640211</v>
      </c>
      <c r="BI243" s="971"/>
      <c r="BJ243" s="971"/>
      <c r="BK243" s="971"/>
      <c r="BL243" s="1246"/>
      <c r="BM243" s="1247" t="s">
        <v>2129</v>
      </c>
    </row>
    <row r="244" spans="1:65" s="1247" customFormat="1" ht="66" customHeight="1">
      <c r="A244" s="1272">
        <v>4000</v>
      </c>
      <c r="B244" s="971" t="s">
        <v>1316</v>
      </c>
      <c r="C244" s="1272">
        <v>4100</v>
      </c>
      <c r="D244" s="971" t="s">
        <v>120</v>
      </c>
      <c r="E244" s="971" t="s">
        <v>1389</v>
      </c>
      <c r="F244" s="971" t="s">
        <v>176</v>
      </c>
      <c r="G244" s="971" t="s">
        <v>4735</v>
      </c>
      <c r="H244" s="971" t="s">
        <v>3495</v>
      </c>
      <c r="I244" s="1273" t="s">
        <v>6977</v>
      </c>
      <c r="J244" s="971" t="s">
        <v>2146</v>
      </c>
      <c r="K244" s="971" t="s">
        <v>2129</v>
      </c>
      <c r="L244" s="971" t="s">
        <v>2130</v>
      </c>
      <c r="M244" s="971" t="s">
        <v>2129</v>
      </c>
      <c r="N244" s="971" t="s">
        <v>176</v>
      </c>
      <c r="O244" s="971" t="s">
        <v>2130</v>
      </c>
      <c r="P244" s="971" t="s">
        <v>6744</v>
      </c>
      <c r="Q244" s="971" t="s">
        <v>6976</v>
      </c>
      <c r="R244" s="971" t="s">
        <v>4793</v>
      </c>
      <c r="S244" s="1274">
        <v>1</v>
      </c>
      <c r="T244" s="971" t="s">
        <v>242</v>
      </c>
      <c r="U244" s="1275">
        <v>6.666666666666667</v>
      </c>
      <c r="V244" s="1275">
        <v>25</v>
      </c>
      <c r="W244" s="1275">
        <v>666.08920634920639</v>
      </c>
      <c r="X244" s="1275">
        <v>250</v>
      </c>
      <c r="Y244" s="1275">
        <v>941.08920634920639</v>
      </c>
      <c r="Z244" s="1129">
        <v>6.666666666666667</v>
      </c>
      <c r="AA244" s="1129">
        <v>25</v>
      </c>
      <c r="AB244" s="1129">
        <v>666.08920634920639</v>
      </c>
      <c r="AC244" s="1129">
        <v>250</v>
      </c>
      <c r="AD244" s="1098">
        <v>941.08920634920639</v>
      </c>
      <c r="AE244" s="1237">
        <v>4</v>
      </c>
      <c r="AF244" s="1133">
        <v>4</v>
      </c>
      <c r="AG244" s="1127">
        <v>1</v>
      </c>
      <c r="AH244" s="1127">
        <v>0</v>
      </c>
      <c r="AI244" s="1127">
        <v>0</v>
      </c>
      <c r="AJ244" s="1127">
        <v>1</v>
      </c>
      <c r="AK244" s="1129">
        <v>941.08920634920639</v>
      </c>
      <c r="AL244" s="1129">
        <v>0</v>
      </c>
      <c r="AM244" s="1129">
        <v>0</v>
      </c>
      <c r="AN244" s="1129">
        <v>941.08920634920639</v>
      </c>
      <c r="AO244" s="1129" t="s">
        <v>85</v>
      </c>
      <c r="AP244" s="1129" t="s">
        <v>96</v>
      </c>
      <c r="AQ244" s="1157">
        <v>2014</v>
      </c>
      <c r="AR244" s="1129" t="s">
        <v>87</v>
      </c>
      <c r="AS244" s="1127">
        <v>0.33333333333333331</v>
      </c>
      <c r="AT244" s="1127"/>
      <c r="AU244" s="1127">
        <v>0.33333333333333331</v>
      </c>
      <c r="AV244" s="1127"/>
      <c r="AW244" s="1127"/>
      <c r="AX244" s="1127"/>
      <c r="AY244" s="1127"/>
      <c r="AZ244" s="1127">
        <v>0.33333333333333331</v>
      </c>
      <c r="BA244" s="1129">
        <v>313.69640211640211</v>
      </c>
      <c r="BB244" s="1129">
        <v>0</v>
      </c>
      <c r="BC244" s="1129">
        <v>313.69640211640211</v>
      </c>
      <c r="BD244" s="1129">
        <v>0</v>
      </c>
      <c r="BE244" s="1129">
        <v>0</v>
      </c>
      <c r="BF244" s="1129">
        <v>0</v>
      </c>
      <c r="BG244" s="1129">
        <v>0</v>
      </c>
      <c r="BH244" s="1129">
        <v>313.69640211640211</v>
      </c>
      <c r="BI244" s="971"/>
      <c r="BJ244" s="971"/>
      <c r="BK244" s="971"/>
      <c r="BL244" s="1246"/>
      <c r="BM244" s="1247" t="s">
        <v>2129</v>
      </c>
    </row>
    <row r="245" spans="1:65" s="1247" customFormat="1" ht="49.5" customHeight="1">
      <c r="A245" s="1272">
        <v>4000</v>
      </c>
      <c r="B245" s="971" t="s">
        <v>1316</v>
      </c>
      <c r="C245" s="1272">
        <v>4100</v>
      </c>
      <c r="D245" s="971" t="s">
        <v>120</v>
      </c>
      <c r="E245" s="971" t="s">
        <v>1389</v>
      </c>
      <c r="F245" s="971" t="s">
        <v>176</v>
      </c>
      <c r="G245" s="971" t="s">
        <v>4735</v>
      </c>
      <c r="H245" s="971" t="s">
        <v>3495</v>
      </c>
      <c r="I245" s="1273" t="s">
        <v>6978</v>
      </c>
      <c r="J245" s="971" t="s">
        <v>2146</v>
      </c>
      <c r="K245" s="971" t="s">
        <v>2129</v>
      </c>
      <c r="L245" s="971" t="s">
        <v>2130</v>
      </c>
      <c r="M245" s="971" t="s">
        <v>2129</v>
      </c>
      <c r="N245" s="971" t="s">
        <v>176</v>
      </c>
      <c r="O245" s="971" t="s">
        <v>2130</v>
      </c>
      <c r="P245" s="971" t="s">
        <v>6744</v>
      </c>
      <c r="Q245" s="971" t="s">
        <v>6748</v>
      </c>
      <c r="R245" s="971" t="s">
        <v>4794</v>
      </c>
      <c r="S245" s="1274">
        <v>1</v>
      </c>
      <c r="T245" s="971" t="s">
        <v>242</v>
      </c>
      <c r="U245" s="1275">
        <v>6.666666666666667</v>
      </c>
      <c r="V245" s="1275">
        <v>25</v>
      </c>
      <c r="W245" s="1275">
        <v>666.08920634920639</v>
      </c>
      <c r="X245" s="1275">
        <v>250</v>
      </c>
      <c r="Y245" s="1275">
        <v>941.08920634920639</v>
      </c>
      <c r="Z245" s="1129">
        <v>6.666666666666667</v>
      </c>
      <c r="AA245" s="1129">
        <v>25</v>
      </c>
      <c r="AB245" s="1129">
        <v>666.08920634920639</v>
      </c>
      <c r="AC245" s="1129">
        <v>250</v>
      </c>
      <c r="AD245" s="1098">
        <v>941.08920634920639</v>
      </c>
      <c r="AE245" s="1237">
        <v>4</v>
      </c>
      <c r="AF245" s="1133">
        <v>4</v>
      </c>
      <c r="AG245" s="1127">
        <v>1</v>
      </c>
      <c r="AH245" s="1127">
        <v>0</v>
      </c>
      <c r="AI245" s="1127">
        <v>0</v>
      </c>
      <c r="AJ245" s="1127">
        <v>1</v>
      </c>
      <c r="AK245" s="1129">
        <v>941.08920634920639</v>
      </c>
      <c r="AL245" s="1129">
        <v>0</v>
      </c>
      <c r="AM245" s="1129">
        <v>0</v>
      </c>
      <c r="AN245" s="1129">
        <v>941.08920634920639</v>
      </c>
      <c r="AO245" s="1129" t="s">
        <v>85</v>
      </c>
      <c r="AP245" s="1129" t="s">
        <v>96</v>
      </c>
      <c r="AQ245" s="1157">
        <v>2014</v>
      </c>
      <c r="AR245" s="1129" t="s">
        <v>87</v>
      </c>
      <c r="AS245" s="1127">
        <v>0.33333333333333331</v>
      </c>
      <c r="AT245" s="1127"/>
      <c r="AU245" s="1127">
        <v>0.33333333333333331</v>
      </c>
      <c r="AV245" s="1127"/>
      <c r="AW245" s="1127"/>
      <c r="AX245" s="1127"/>
      <c r="AY245" s="1127"/>
      <c r="AZ245" s="1127">
        <v>0.33333333333333331</v>
      </c>
      <c r="BA245" s="1129">
        <v>313.69640211640211</v>
      </c>
      <c r="BB245" s="1129">
        <v>0</v>
      </c>
      <c r="BC245" s="1129">
        <v>313.69640211640211</v>
      </c>
      <c r="BD245" s="1129">
        <v>0</v>
      </c>
      <c r="BE245" s="1129">
        <v>0</v>
      </c>
      <c r="BF245" s="1129">
        <v>0</v>
      </c>
      <c r="BG245" s="1129">
        <v>0</v>
      </c>
      <c r="BH245" s="1129">
        <v>313.69640211640211</v>
      </c>
      <c r="BI245" s="971"/>
      <c r="BJ245" s="971"/>
      <c r="BK245" s="971"/>
      <c r="BL245" s="1246"/>
      <c r="BM245" s="1247" t="s">
        <v>2127</v>
      </c>
    </row>
    <row r="246" spans="1:65" s="1247" customFormat="1" ht="66" customHeight="1">
      <c r="A246" s="1272">
        <v>4000</v>
      </c>
      <c r="B246" s="971" t="s">
        <v>1316</v>
      </c>
      <c r="C246" s="1272">
        <v>4100</v>
      </c>
      <c r="D246" s="971" t="s">
        <v>120</v>
      </c>
      <c r="E246" s="971" t="s">
        <v>1389</v>
      </c>
      <c r="F246" s="971" t="s">
        <v>176</v>
      </c>
      <c r="G246" s="971" t="s">
        <v>4735</v>
      </c>
      <c r="H246" s="971" t="s">
        <v>3495</v>
      </c>
      <c r="I246" s="1273" t="s">
        <v>6979</v>
      </c>
      <c r="J246" s="971" t="s">
        <v>2146</v>
      </c>
      <c r="K246" s="971" t="s">
        <v>2129</v>
      </c>
      <c r="L246" s="971" t="s">
        <v>2130</v>
      </c>
      <c r="M246" s="971" t="s">
        <v>2129</v>
      </c>
      <c r="N246" s="971" t="s">
        <v>176</v>
      </c>
      <c r="O246" s="971" t="s">
        <v>2130</v>
      </c>
      <c r="P246" s="971" t="s">
        <v>6744</v>
      </c>
      <c r="Q246" s="971" t="s">
        <v>6748</v>
      </c>
      <c r="R246" s="971" t="s">
        <v>4795</v>
      </c>
      <c r="S246" s="1274">
        <v>1</v>
      </c>
      <c r="T246" s="971" t="s">
        <v>242</v>
      </c>
      <c r="U246" s="1275">
        <v>6.666666666666667</v>
      </c>
      <c r="V246" s="1275">
        <v>25</v>
      </c>
      <c r="W246" s="1275">
        <v>666.08920634920639</v>
      </c>
      <c r="X246" s="1275">
        <v>250</v>
      </c>
      <c r="Y246" s="1275">
        <v>941.08920634920639</v>
      </c>
      <c r="Z246" s="1129">
        <v>6.666666666666667</v>
      </c>
      <c r="AA246" s="1129">
        <v>25</v>
      </c>
      <c r="AB246" s="1129">
        <v>666.08920634920639</v>
      </c>
      <c r="AC246" s="1129">
        <v>250</v>
      </c>
      <c r="AD246" s="1098">
        <v>941.08920634920639</v>
      </c>
      <c r="AE246" s="1237">
        <v>4</v>
      </c>
      <c r="AF246" s="1133">
        <v>4</v>
      </c>
      <c r="AG246" s="1127">
        <v>1</v>
      </c>
      <c r="AH246" s="1127">
        <v>0</v>
      </c>
      <c r="AI246" s="1127">
        <v>0</v>
      </c>
      <c r="AJ246" s="1127">
        <v>1</v>
      </c>
      <c r="AK246" s="1129">
        <v>941.08920634920639</v>
      </c>
      <c r="AL246" s="1129">
        <v>0</v>
      </c>
      <c r="AM246" s="1129">
        <v>0</v>
      </c>
      <c r="AN246" s="1129">
        <v>941.08920634920639</v>
      </c>
      <c r="AO246" s="1129" t="s">
        <v>85</v>
      </c>
      <c r="AP246" s="1129" t="s">
        <v>96</v>
      </c>
      <c r="AQ246" s="1157">
        <v>2014</v>
      </c>
      <c r="AR246" s="1129" t="s">
        <v>87</v>
      </c>
      <c r="AS246" s="1127">
        <v>0.33333333333333331</v>
      </c>
      <c r="AT246" s="1127"/>
      <c r="AU246" s="1127">
        <v>0.33333333333333331</v>
      </c>
      <c r="AV246" s="1127"/>
      <c r="AW246" s="1127"/>
      <c r="AX246" s="1127"/>
      <c r="AY246" s="1127"/>
      <c r="AZ246" s="1127">
        <v>0.33333333333333331</v>
      </c>
      <c r="BA246" s="1129">
        <v>313.69640211640211</v>
      </c>
      <c r="BB246" s="1129">
        <v>0</v>
      </c>
      <c r="BC246" s="1129">
        <v>313.69640211640211</v>
      </c>
      <c r="BD246" s="1129">
        <v>0</v>
      </c>
      <c r="BE246" s="1129">
        <v>0</v>
      </c>
      <c r="BF246" s="1129">
        <v>0</v>
      </c>
      <c r="BG246" s="1129">
        <v>0</v>
      </c>
      <c r="BH246" s="1129">
        <v>313.69640211640211</v>
      </c>
      <c r="BI246" s="971"/>
      <c r="BJ246" s="971"/>
      <c r="BK246" s="971"/>
      <c r="BL246" s="1246"/>
      <c r="BM246" s="1247" t="s">
        <v>2127</v>
      </c>
    </row>
    <row r="247" spans="1:65" s="1247" customFormat="1" ht="49.5" customHeight="1">
      <c r="A247" s="1272">
        <v>4000</v>
      </c>
      <c r="B247" s="971" t="s">
        <v>1316</v>
      </c>
      <c r="C247" s="1272">
        <v>4100</v>
      </c>
      <c r="D247" s="971" t="s">
        <v>120</v>
      </c>
      <c r="E247" s="971" t="s">
        <v>1389</v>
      </c>
      <c r="F247" s="971" t="s">
        <v>176</v>
      </c>
      <c r="G247" s="971" t="s">
        <v>4735</v>
      </c>
      <c r="H247" s="971" t="s">
        <v>3495</v>
      </c>
      <c r="I247" s="1273" t="s">
        <v>6980</v>
      </c>
      <c r="J247" s="971" t="s">
        <v>2146</v>
      </c>
      <c r="K247" s="971" t="s">
        <v>2129</v>
      </c>
      <c r="L247" s="971" t="s">
        <v>2130</v>
      </c>
      <c r="M247" s="971" t="s">
        <v>2129</v>
      </c>
      <c r="N247" s="971" t="s">
        <v>176</v>
      </c>
      <c r="O247" s="971" t="s">
        <v>2130</v>
      </c>
      <c r="P247" s="971" t="s">
        <v>6744</v>
      </c>
      <c r="Q247" s="971" t="s">
        <v>6748</v>
      </c>
      <c r="R247" s="971" t="s">
        <v>4796</v>
      </c>
      <c r="S247" s="1274">
        <v>1</v>
      </c>
      <c r="T247" s="971" t="s">
        <v>242</v>
      </c>
      <c r="U247" s="1275">
        <v>6.666666666666667</v>
      </c>
      <c r="V247" s="1275">
        <v>25</v>
      </c>
      <c r="W247" s="1275">
        <v>666.08920634920639</v>
      </c>
      <c r="X247" s="1275">
        <v>250</v>
      </c>
      <c r="Y247" s="1275">
        <v>941.08920634920639</v>
      </c>
      <c r="Z247" s="1129">
        <v>6.666666666666667</v>
      </c>
      <c r="AA247" s="1129">
        <v>25</v>
      </c>
      <c r="AB247" s="1129">
        <v>666.08920634920639</v>
      </c>
      <c r="AC247" s="1129">
        <v>250</v>
      </c>
      <c r="AD247" s="1098">
        <v>941.08920634920639</v>
      </c>
      <c r="AE247" s="1237">
        <v>4</v>
      </c>
      <c r="AF247" s="1133">
        <v>4</v>
      </c>
      <c r="AG247" s="1127">
        <v>1</v>
      </c>
      <c r="AH247" s="1127">
        <v>0</v>
      </c>
      <c r="AI247" s="1127">
        <v>0</v>
      </c>
      <c r="AJ247" s="1127">
        <v>1</v>
      </c>
      <c r="AK247" s="1129">
        <v>941.08920634920639</v>
      </c>
      <c r="AL247" s="1129">
        <v>0</v>
      </c>
      <c r="AM247" s="1129">
        <v>0</v>
      </c>
      <c r="AN247" s="1129">
        <v>941.08920634920639</v>
      </c>
      <c r="AO247" s="1129" t="s">
        <v>85</v>
      </c>
      <c r="AP247" s="1129" t="s">
        <v>96</v>
      </c>
      <c r="AQ247" s="1157">
        <v>2014</v>
      </c>
      <c r="AR247" s="1129" t="s">
        <v>87</v>
      </c>
      <c r="AS247" s="1127">
        <v>0.33333333333333331</v>
      </c>
      <c r="AT247" s="1127"/>
      <c r="AU247" s="1127">
        <v>0.33333333333333331</v>
      </c>
      <c r="AV247" s="1127"/>
      <c r="AW247" s="1127"/>
      <c r="AX247" s="1127"/>
      <c r="AY247" s="1127"/>
      <c r="AZ247" s="1127">
        <v>0.33333333333333331</v>
      </c>
      <c r="BA247" s="1129">
        <v>313.69640211640211</v>
      </c>
      <c r="BB247" s="1129">
        <v>0</v>
      </c>
      <c r="BC247" s="1129">
        <v>313.69640211640211</v>
      </c>
      <c r="BD247" s="1129">
        <v>0</v>
      </c>
      <c r="BE247" s="1129">
        <v>0</v>
      </c>
      <c r="BF247" s="1129">
        <v>0</v>
      </c>
      <c r="BG247" s="1129">
        <v>0</v>
      </c>
      <c r="BH247" s="1129">
        <v>313.69640211640211</v>
      </c>
      <c r="BI247" s="971"/>
      <c r="BJ247" s="971"/>
      <c r="BK247" s="971"/>
      <c r="BL247" s="1246"/>
      <c r="BM247" s="1247" t="s">
        <v>2129</v>
      </c>
    </row>
    <row r="248" spans="1:65" s="1247" customFormat="1" ht="49.5" customHeight="1">
      <c r="A248" s="1272">
        <v>4000</v>
      </c>
      <c r="B248" s="971" t="s">
        <v>1316</v>
      </c>
      <c r="C248" s="1272">
        <v>4100</v>
      </c>
      <c r="D248" s="971" t="s">
        <v>120</v>
      </c>
      <c r="E248" s="971" t="s">
        <v>1389</v>
      </c>
      <c r="F248" s="971" t="s">
        <v>176</v>
      </c>
      <c r="G248" s="971" t="s">
        <v>4735</v>
      </c>
      <c r="H248" s="971" t="s">
        <v>3495</v>
      </c>
      <c r="I248" s="1273" t="s">
        <v>6981</v>
      </c>
      <c r="J248" s="971" t="s">
        <v>2146</v>
      </c>
      <c r="K248" s="971" t="s">
        <v>2129</v>
      </c>
      <c r="L248" s="971" t="s">
        <v>2130</v>
      </c>
      <c r="M248" s="971" t="s">
        <v>2129</v>
      </c>
      <c r="N248" s="971" t="s">
        <v>176</v>
      </c>
      <c r="O248" s="971" t="s">
        <v>2130</v>
      </c>
      <c r="P248" s="971" t="s">
        <v>6744</v>
      </c>
      <c r="Q248" s="971" t="s">
        <v>6748</v>
      </c>
      <c r="R248" s="971" t="s">
        <v>4797</v>
      </c>
      <c r="S248" s="1274">
        <v>1</v>
      </c>
      <c r="T248" s="971" t="s">
        <v>242</v>
      </c>
      <c r="U248" s="1275">
        <v>6.666666666666667</v>
      </c>
      <c r="V248" s="1275">
        <v>25</v>
      </c>
      <c r="W248" s="1275">
        <v>666.08920634920639</v>
      </c>
      <c r="X248" s="1275">
        <v>250</v>
      </c>
      <c r="Y248" s="1275">
        <v>941.08920634920639</v>
      </c>
      <c r="Z248" s="1129">
        <v>6.666666666666667</v>
      </c>
      <c r="AA248" s="1129">
        <v>25</v>
      </c>
      <c r="AB248" s="1129">
        <v>666.08920634920639</v>
      </c>
      <c r="AC248" s="1129">
        <v>250</v>
      </c>
      <c r="AD248" s="1098">
        <v>941.08920634920639</v>
      </c>
      <c r="AE248" s="1237">
        <v>4</v>
      </c>
      <c r="AF248" s="1133">
        <v>4</v>
      </c>
      <c r="AG248" s="1127">
        <v>1</v>
      </c>
      <c r="AH248" s="1127">
        <v>0</v>
      </c>
      <c r="AI248" s="1127">
        <v>0</v>
      </c>
      <c r="AJ248" s="1127">
        <v>1</v>
      </c>
      <c r="AK248" s="1129">
        <v>941.08920634920639</v>
      </c>
      <c r="AL248" s="1129">
        <v>0</v>
      </c>
      <c r="AM248" s="1129">
        <v>0</v>
      </c>
      <c r="AN248" s="1129">
        <v>941.08920634920639</v>
      </c>
      <c r="AO248" s="1129" t="s">
        <v>85</v>
      </c>
      <c r="AP248" s="1129" t="s">
        <v>96</v>
      </c>
      <c r="AQ248" s="1157">
        <v>2014</v>
      </c>
      <c r="AR248" s="1129" t="s">
        <v>87</v>
      </c>
      <c r="AS248" s="1127">
        <v>0.33333333333333331</v>
      </c>
      <c r="AT248" s="1127"/>
      <c r="AU248" s="1127">
        <v>0.33333333333333331</v>
      </c>
      <c r="AV248" s="1127"/>
      <c r="AW248" s="1127"/>
      <c r="AX248" s="1127"/>
      <c r="AY248" s="1127"/>
      <c r="AZ248" s="1127">
        <v>0.33333333333333331</v>
      </c>
      <c r="BA248" s="1129">
        <v>313.69640211640211</v>
      </c>
      <c r="BB248" s="1129">
        <v>0</v>
      </c>
      <c r="BC248" s="1129">
        <v>313.69640211640211</v>
      </c>
      <c r="BD248" s="1129">
        <v>0</v>
      </c>
      <c r="BE248" s="1129">
        <v>0</v>
      </c>
      <c r="BF248" s="1129">
        <v>0</v>
      </c>
      <c r="BG248" s="1129">
        <v>0</v>
      </c>
      <c r="BH248" s="1129">
        <v>313.69640211640211</v>
      </c>
      <c r="BI248" s="971"/>
      <c r="BJ248" s="971"/>
      <c r="BK248" s="971"/>
      <c r="BL248" s="1246"/>
      <c r="BM248" s="1247" t="s">
        <v>2129</v>
      </c>
    </row>
    <row r="249" spans="1:65" s="1247" customFormat="1" ht="49.5" customHeight="1">
      <c r="A249" s="1272">
        <v>4000</v>
      </c>
      <c r="B249" s="971" t="s">
        <v>1316</v>
      </c>
      <c r="C249" s="1272">
        <v>4100</v>
      </c>
      <c r="D249" s="971" t="s">
        <v>120</v>
      </c>
      <c r="E249" s="971" t="s">
        <v>1389</v>
      </c>
      <c r="F249" s="971" t="s">
        <v>176</v>
      </c>
      <c r="G249" s="971" t="s">
        <v>4735</v>
      </c>
      <c r="H249" s="971" t="s">
        <v>3495</v>
      </c>
      <c r="I249" s="1273" t="s">
        <v>6982</v>
      </c>
      <c r="J249" s="971" t="s">
        <v>2146</v>
      </c>
      <c r="K249" s="971" t="s">
        <v>2129</v>
      </c>
      <c r="L249" s="971" t="s">
        <v>2130</v>
      </c>
      <c r="M249" s="971" t="s">
        <v>2129</v>
      </c>
      <c r="N249" s="971" t="s">
        <v>176</v>
      </c>
      <c r="O249" s="971" t="s">
        <v>2130</v>
      </c>
      <c r="P249" s="971" t="s">
        <v>6744</v>
      </c>
      <c r="Q249" s="971" t="s">
        <v>6748</v>
      </c>
      <c r="R249" s="971" t="s">
        <v>4798</v>
      </c>
      <c r="S249" s="1274">
        <v>1</v>
      </c>
      <c r="T249" s="971" t="s">
        <v>242</v>
      </c>
      <c r="U249" s="1275">
        <v>6.666666666666667</v>
      </c>
      <c r="V249" s="1275">
        <v>25</v>
      </c>
      <c r="W249" s="1275">
        <v>666.08920634920639</v>
      </c>
      <c r="X249" s="1275">
        <v>250</v>
      </c>
      <c r="Y249" s="1275">
        <v>941.08920634920639</v>
      </c>
      <c r="Z249" s="1129">
        <v>6.666666666666667</v>
      </c>
      <c r="AA249" s="1129">
        <v>25</v>
      </c>
      <c r="AB249" s="1129">
        <v>666.08920634920639</v>
      </c>
      <c r="AC249" s="1129">
        <v>250</v>
      </c>
      <c r="AD249" s="1098">
        <v>941.08920634920639</v>
      </c>
      <c r="AE249" s="1237">
        <v>4</v>
      </c>
      <c r="AF249" s="1133">
        <v>4</v>
      </c>
      <c r="AG249" s="1127">
        <v>1</v>
      </c>
      <c r="AH249" s="1127">
        <v>0</v>
      </c>
      <c r="AI249" s="1127">
        <v>0</v>
      </c>
      <c r="AJ249" s="1127">
        <v>1</v>
      </c>
      <c r="AK249" s="1129">
        <v>941.08920634920639</v>
      </c>
      <c r="AL249" s="1129">
        <v>0</v>
      </c>
      <c r="AM249" s="1129">
        <v>0</v>
      </c>
      <c r="AN249" s="1129">
        <v>941.08920634920639</v>
      </c>
      <c r="AO249" s="1129" t="s">
        <v>85</v>
      </c>
      <c r="AP249" s="1129" t="s">
        <v>96</v>
      </c>
      <c r="AQ249" s="1157">
        <v>2014</v>
      </c>
      <c r="AR249" s="1129" t="s">
        <v>87</v>
      </c>
      <c r="AS249" s="1127">
        <v>0.33333333333333331</v>
      </c>
      <c r="AT249" s="1127"/>
      <c r="AU249" s="1127">
        <v>0.33333333333333331</v>
      </c>
      <c r="AV249" s="1127"/>
      <c r="AW249" s="1127"/>
      <c r="AX249" s="1127"/>
      <c r="AY249" s="1127"/>
      <c r="AZ249" s="1127">
        <v>0.33333333333333331</v>
      </c>
      <c r="BA249" s="1129">
        <v>313.69640211640211</v>
      </c>
      <c r="BB249" s="1129">
        <v>0</v>
      </c>
      <c r="BC249" s="1129">
        <v>313.69640211640211</v>
      </c>
      <c r="BD249" s="1129">
        <v>0</v>
      </c>
      <c r="BE249" s="1129">
        <v>0</v>
      </c>
      <c r="BF249" s="1129">
        <v>0</v>
      </c>
      <c r="BG249" s="1129">
        <v>0</v>
      </c>
      <c r="BH249" s="1129">
        <v>313.69640211640211</v>
      </c>
      <c r="BI249" s="971"/>
      <c r="BJ249" s="971"/>
      <c r="BK249" s="971"/>
      <c r="BL249" s="1246"/>
      <c r="BM249" s="1247" t="s">
        <v>2129</v>
      </c>
    </row>
    <row r="250" spans="1:65" s="1247" customFormat="1" ht="49.5" customHeight="1">
      <c r="A250" s="1272">
        <v>4000</v>
      </c>
      <c r="B250" s="971" t="s">
        <v>1316</v>
      </c>
      <c r="C250" s="1272">
        <v>4100</v>
      </c>
      <c r="D250" s="971" t="s">
        <v>120</v>
      </c>
      <c r="E250" s="971" t="s">
        <v>1389</v>
      </c>
      <c r="F250" s="971" t="s">
        <v>176</v>
      </c>
      <c r="G250" s="971" t="s">
        <v>4735</v>
      </c>
      <c r="H250" s="971" t="s">
        <v>3495</v>
      </c>
      <c r="I250" s="1273" t="s">
        <v>6983</v>
      </c>
      <c r="J250" s="971" t="s">
        <v>2146</v>
      </c>
      <c r="K250" s="971" t="s">
        <v>2129</v>
      </c>
      <c r="L250" s="971" t="s">
        <v>2130</v>
      </c>
      <c r="M250" s="971" t="s">
        <v>2129</v>
      </c>
      <c r="N250" s="971" t="s">
        <v>176</v>
      </c>
      <c r="O250" s="971" t="s">
        <v>2130</v>
      </c>
      <c r="P250" s="971" t="s">
        <v>6744</v>
      </c>
      <c r="Q250" s="971" t="s">
        <v>6748</v>
      </c>
      <c r="R250" s="971" t="s">
        <v>4799</v>
      </c>
      <c r="S250" s="1274">
        <v>1</v>
      </c>
      <c r="T250" s="971" t="s">
        <v>242</v>
      </c>
      <c r="U250" s="1275">
        <v>6.666666666666667</v>
      </c>
      <c r="V250" s="1275">
        <v>25</v>
      </c>
      <c r="W250" s="1275">
        <v>666.08920634920639</v>
      </c>
      <c r="X250" s="1275">
        <v>250</v>
      </c>
      <c r="Y250" s="1275">
        <v>941.08920634920639</v>
      </c>
      <c r="Z250" s="1129">
        <v>6.666666666666667</v>
      </c>
      <c r="AA250" s="1129">
        <v>25</v>
      </c>
      <c r="AB250" s="1129">
        <v>666.08920634920639</v>
      </c>
      <c r="AC250" s="1129">
        <v>250</v>
      </c>
      <c r="AD250" s="1098">
        <v>941.08920634920639</v>
      </c>
      <c r="AE250" s="1237">
        <v>4</v>
      </c>
      <c r="AF250" s="1133">
        <v>4</v>
      </c>
      <c r="AG250" s="1127">
        <v>1</v>
      </c>
      <c r="AH250" s="1127">
        <v>0</v>
      </c>
      <c r="AI250" s="1127">
        <v>0</v>
      </c>
      <c r="AJ250" s="1127">
        <v>1</v>
      </c>
      <c r="AK250" s="1129">
        <v>941.08920634920639</v>
      </c>
      <c r="AL250" s="1129">
        <v>0</v>
      </c>
      <c r="AM250" s="1129">
        <v>0</v>
      </c>
      <c r="AN250" s="1129">
        <v>941.08920634920639</v>
      </c>
      <c r="AO250" s="1129" t="s">
        <v>85</v>
      </c>
      <c r="AP250" s="1129" t="s">
        <v>96</v>
      </c>
      <c r="AQ250" s="1157">
        <v>2014</v>
      </c>
      <c r="AR250" s="1129" t="s">
        <v>87</v>
      </c>
      <c r="AS250" s="1127">
        <v>0.33333333333333331</v>
      </c>
      <c r="AT250" s="1127"/>
      <c r="AU250" s="1127">
        <v>0.33333333333333331</v>
      </c>
      <c r="AV250" s="1127"/>
      <c r="AW250" s="1127"/>
      <c r="AX250" s="1127"/>
      <c r="AY250" s="1127"/>
      <c r="AZ250" s="1127">
        <v>0.33333333333333331</v>
      </c>
      <c r="BA250" s="1129">
        <v>313.69640211640211</v>
      </c>
      <c r="BB250" s="1129">
        <v>0</v>
      </c>
      <c r="BC250" s="1129">
        <v>313.69640211640211</v>
      </c>
      <c r="BD250" s="1129">
        <v>0</v>
      </c>
      <c r="BE250" s="1129">
        <v>0</v>
      </c>
      <c r="BF250" s="1129">
        <v>0</v>
      </c>
      <c r="BG250" s="1129">
        <v>0</v>
      </c>
      <c r="BH250" s="1129">
        <v>313.69640211640211</v>
      </c>
      <c r="BI250" s="971"/>
      <c r="BJ250" s="971"/>
      <c r="BK250" s="971"/>
      <c r="BL250" s="1246"/>
      <c r="BM250" s="1247" t="s">
        <v>2129</v>
      </c>
    </row>
    <row r="251" spans="1:65" s="1247" customFormat="1" ht="49.5" customHeight="1">
      <c r="A251" s="1272">
        <v>4000</v>
      </c>
      <c r="B251" s="971" t="s">
        <v>1316</v>
      </c>
      <c r="C251" s="1272">
        <v>4100</v>
      </c>
      <c r="D251" s="971" t="s">
        <v>120</v>
      </c>
      <c r="E251" s="971" t="s">
        <v>1389</v>
      </c>
      <c r="F251" s="971" t="s">
        <v>176</v>
      </c>
      <c r="G251" s="971" t="s">
        <v>4735</v>
      </c>
      <c r="H251" s="971" t="s">
        <v>3495</v>
      </c>
      <c r="I251" s="1273" t="s">
        <v>6984</v>
      </c>
      <c r="J251" s="971" t="s">
        <v>2146</v>
      </c>
      <c r="K251" s="971" t="s">
        <v>2129</v>
      </c>
      <c r="L251" s="971" t="s">
        <v>2130</v>
      </c>
      <c r="M251" s="971" t="s">
        <v>2129</v>
      </c>
      <c r="N251" s="971" t="s">
        <v>176</v>
      </c>
      <c r="O251" s="971" t="s">
        <v>2130</v>
      </c>
      <c r="P251" s="971" t="s">
        <v>6736</v>
      </c>
      <c r="Q251" s="971" t="s">
        <v>6740</v>
      </c>
      <c r="R251" s="971" t="s">
        <v>4800</v>
      </c>
      <c r="S251" s="1274">
        <v>1</v>
      </c>
      <c r="T251" s="971" t="s">
        <v>242</v>
      </c>
      <c r="U251" s="1275">
        <v>6.666666666666667</v>
      </c>
      <c r="V251" s="1275">
        <v>25</v>
      </c>
      <c r="W251" s="1275">
        <v>666.08920634920639</v>
      </c>
      <c r="X251" s="1275">
        <v>250</v>
      </c>
      <c r="Y251" s="1275">
        <v>941.08920634920639</v>
      </c>
      <c r="Z251" s="1129">
        <v>6.666666666666667</v>
      </c>
      <c r="AA251" s="1129">
        <v>25</v>
      </c>
      <c r="AB251" s="1129">
        <v>666.08920634920639</v>
      </c>
      <c r="AC251" s="1129">
        <v>250</v>
      </c>
      <c r="AD251" s="1098">
        <v>941.08920634920639</v>
      </c>
      <c r="AE251" s="1237">
        <v>4</v>
      </c>
      <c r="AF251" s="1133">
        <v>4</v>
      </c>
      <c r="AG251" s="1127">
        <v>1</v>
      </c>
      <c r="AH251" s="1127">
        <v>0</v>
      </c>
      <c r="AI251" s="1127">
        <v>0</v>
      </c>
      <c r="AJ251" s="1127">
        <v>1</v>
      </c>
      <c r="AK251" s="1129">
        <v>941.08920634920639</v>
      </c>
      <c r="AL251" s="1129">
        <v>0</v>
      </c>
      <c r="AM251" s="1129">
        <v>0</v>
      </c>
      <c r="AN251" s="1129">
        <v>941.08920634920639</v>
      </c>
      <c r="AO251" s="1129" t="s">
        <v>85</v>
      </c>
      <c r="AP251" s="1129" t="s">
        <v>96</v>
      </c>
      <c r="AQ251" s="1157">
        <v>2014</v>
      </c>
      <c r="AR251" s="1129" t="s">
        <v>87</v>
      </c>
      <c r="AS251" s="1127">
        <v>0.33333333333333331</v>
      </c>
      <c r="AT251" s="1127"/>
      <c r="AU251" s="1127">
        <v>0.33333333333333331</v>
      </c>
      <c r="AV251" s="1127"/>
      <c r="AW251" s="1127"/>
      <c r="AX251" s="1127"/>
      <c r="AY251" s="1127"/>
      <c r="AZ251" s="1127">
        <v>0.33333333333333331</v>
      </c>
      <c r="BA251" s="1129">
        <v>313.69640211640211</v>
      </c>
      <c r="BB251" s="1129">
        <v>0</v>
      </c>
      <c r="BC251" s="1129">
        <v>313.69640211640211</v>
      </c>
      <c r="BD251" s="1129">
        <v>0</v>
      </c>
      <c r="BE251" s="1129">
        <v>0</v>
      </c>
      <c r="BF251" s="1129">
        <v>0</v>
      </c>
      <c r="BG251" s="1129">
        <v>0</v>
      </c>
      <c r="BH251" s="1129">
        <v>313.69640211640211</v>
      </c>
      <c r="BI251" s="971"/>
      <c r="BJ251" s="971"/>
      <c r="BK251" s="971"/>
      <c r="BL251" s="1246"/>
      <c r="BM251" s="1247" t="s">
        <v>2129</v>
      </c>
    </row>
    <row r="252" spans="1:65" s="1247" customFormat="1" ht="49.5" customHeight="1">
      <c r="A252" s="1272">
        <v>4000</v>
      </c>
      <c r="B252" s="971" t="s">
        <v>1316</v>
      </c>
      <c r="C252" s="1272">
        <v>4100</v>
      </c>
      <c r="D252" s="971" t="s">
        <v>120</v>
      </c>
      <c r="E252" s="971" t="s">
        <v>1389</v>
      </c>
      <c r="F252" s="971" t="s">
        <v>176</v>
      </c>
      <c r="G252" s="971" t="s">
        <v>4735</v>
      </c>
      <c r="H252" s="971" t="s">
        <v>3495</v>
      </c>
      <c r="I252" s="1273" t="s">
        <v>6985</v>
      </c>
      <c r="J252" s="971" t="s">
        <v>2146</v>
      </c>
      <c r="K252" s="971" t="s">
        <v>2129</v>
      </c>
      <c r="L252" s="971" t="s">
        <v>2130</v>
      </c>
      <c r="M252" s="971" t="s">
        <v>2129</v>
      </c>
      <c r="N252" s="971" t="s">
        <v>176</v>
      </c>
      <c r="O252" s="971" t="s">
        <v>2130</v>
      </c>
      <c r="P252" s="971" t="s">
        <v>6736</v>
      </c>
      <c r="Q252" s="971" t="s">
        <v>6740</v>
      </c>
      <c r="R252" s="971" t="s">
        <v>4801</v>
      </c>
      <c r="S252" s="1274">
        <v>1</v>
      </c>
      <c r="T252" s="971" t="s">
        <v>242</v>
      </c>
      <c r="U252" s="1275">
        <v>6.666666666666667</v>
      </c>
      <c r="V252" s="1275">
        <v>25</v>
      </c>
      <c r="W252" s="1275">
        <v>666.08920634920639</v>
      </c>
      <c r="X252" s="1275">
        <v>250</v>
      </c>
      <c r="Y252" s="1275">
        <v>941.08920634920639</v>
      </c>
      <c r="Z252" s="1129">
        <v>6.666666666666667</v>
      </c>
      <c r="AA252" s="1129">
        <v>25</v>
      </c>
      <c r="AB252" s="1129">
        <v>666.08920634920639</v>
      </c>
      <c r="AC252" s="1129">
        <v>250</v>
      </c>
      <c r="AD252" s="1098">
        <v>941.08920634920639</v>
      </c>
      <c r="AE252" s="1237">
        <v>4</v>
      </c>
      <c r="AF252" s="1133">
        <v>4</v>
      </c>
      <c r="AG252" s="1127">
        <v>1</v>
      </c>
      <c r="AH252" s="1127">
        <v>0</v>
      </c>
      <c r="AI252" s="1127">
        <v>0</v>
      </c>
      <c r="AJ252" s="1127">
        <v>1</v>
      </c>
      <c r="AK252" s="1129">
        <v>941.08920634920639</v>
      </c>
      <c r="AL252" s="1129">
        <v>0</v>
      </c>
      <c r="AM252" s="1129">
        <v>0</v>
      </c>
      <c r="AN252" s="1129">
        <v>941.08920634920639</v>
      </c>
      <c r="AO252" s="1129" t="s">
        <v>85</v>
      </c>
      <c r="AP252" s="1129" t="s">
        <v>96</v>
      </c>
      <c r="AQ252" s="1157">
        <v>2014</v>
      </c>
      <c r="AR252" s="1129" t="s">
        <v>87</v>
      </c>
      <c r="AS252" s="1127">
        <v>0.33333333333333331</v>
      </c>
      <c r="AT252" s="1127"/>
      <c r="AU252" s="1127">
        <v>0.33333333333333331</v>
      </c>
      <c r="AV252" s="1127"/>
      <c r="AW252" s="1127"/>
      <c r="AX252" s="1127"/>
      <c r="AY252" s="1127"/>
      <c r="AZ252" s="1127">
        <v>0.33333333333333331</v>
      </c>
      <c r="BA252" s="1129">
        <v>313.69640211640211</v>
      </c>
      <c r="BB252" s="1129">
        <v>0</v>
      </c>
      <c r="BC252" s="1129">
        <v>313.69640211640211</v>
      </c>
      <c r="BD252" s="1129">
        <v>0</v>
      </c>
      <c r="BE252" s="1129">
        <v>0</v>
      </c>
      <c r="BF252" s="1129">
        <v>0</v>
      </c>
      <c r="BG252" s="1129">
        <v>0</v>
      </c>
      <c r="BH252" s="1129">
        <v>313.69640211640211</v>
      </c>
      <c r="BI252" s="971"/>
      <c r="BJ252" s="971"/>
      <c r="BK252" s="971"/>
      <c r="BL252" s="1246"/>
      <c r="BM252" s="1247" t="s">
        <v>2129</v>
      </c>
    </row>
    <row r="253" spans="1:65" s="1247" customFormat="1" ht="49.5" customHeight="1">
      <c r="A253" s="1272">
        <v>4000</v>
      </c>
      <c r="B253" s="971" t="s">
        <v>1316</v>
      </c>
      <c r="C253" s="1272">
        <v>4100</v>
      </c>
      <c r="D253" s="971" t="s">
        <v>120</v>
      </c>
      <c r="E253" s="971" t="s">
        <v>1389</v>
      </c>
      <c r="F253" s="971" t="s">
        <v>176</v>
      </c>
      <c r="G253" s="971" t="s">
        <v>4735</v>
      </c>
      <c r="H253" s="971" t="s">
        <v>3495</v>
      </c>
      <c r="I253" s="1273" t="s">
        <v>6986</v>
      </c>
      <c r="J253" s="971" t="s">
        <v>2146</v>
      </c>
      <c r="K253" s="971" t="s">
        <v>2129</v>
      </c>
      <c r="L253" s="971" t="s">
        <v>2130</v>
      </c>
      <c r="M253" s="971" t="s">
        <v>2129</v>
      </c>
      <c r="N253" s="971" t="s">
        <v>176</v>
      </c>
      <c r="O253" s="971" t="s">
        <v>2130</v>
      </c>
      <c r="P253" s="971" t="s">
        <v>6736</v>
      </c>
      <c r="Q253" s="971" t="s">
        <v>6740</v>
      </c>
      <c r="R253" s="971" t="s">
        <v>4802</v>
      </c>
      <c r="S253" s="1274">
        <v>1</v>
      </c>
      <c r="T253" s="971" t="s">
        <v>242</v>
      </c>
      <c r="U253" s="1275">
        <v>6.666666666666667</v>
      </c>
      <c r="V253" s="1275">
        <v>25</v>
      </c>
      <c r="W253" s="1275">
        <v>666.08920634920639</v>
      </c>
      <c r="X253" s="1275">
        <v>250</v>
      </c>
      <c r="Y253" s="1275">
        <v>941.08920634920639</v>
      </c>
      <c r="Z253" s="1129">
        <v>6.666666666666667</v>
      </c>
      <c r="AA253" s="1129">
        <v>25</v>
      </c>
      <c r="AB253" s="1129">
        <v>666.08920634920639</v>
      </c>
      <c r="AC253" s="1129">
        <v>250</v>
      </c>
      <c r="AD253" s="1098">
        <v>941.08920634920639</v>
      </c>
      <c r="AE253" s="1237">
        <v>4</v>
      </c>
      <c r="AF253" s="1133">
        <v>4</v>
      </c>
      <c r="AG253" s="1127">
        <v>1</v>
      </c>
      <c r="AH253" s="1127">
        <v>0</v>
      </c>
      <c r="AI253" s="1127">
        <v>0</v>
      </c>
      <c r="AJ253" s="1127">
        <v>1</v>
      </c>
      <c r="AK253" s="1129">
        <v>941.08920634920639</v>
      </c>
      <c r="AL253" s="1129">
        <v>0</v>
      </c>
      <c r="AM253" s="1129">
        <v>0</v>
      </c>
      <c r="AN253" s="1129">
        <v>941.08920634920639</v>
      </c>
      <c r="AO253" s="1129" t="s">
        <v>85</v>
      </c>
      <c r="AP253" s="1129" t="s">
        <v>96</v>
      </c>
      <c r="AQ253" s="1157">
        <v>2014</v>
      </c>
      <c r="AR253" s="1129" t="s">
        <v>87</v>
      </c>
      <c r="AS253" s="1127">
        <v>0.33333333333333331</v>
      </c>
      <c r="AT253" s="1127"/>
      <c r="AU253" s="1127">
        <v>0.33333333333333331</v>
      </c>
      <c r="AV253" s="1127"/>
      <c r="AW253" s="1127"/>
      <c r="AX253" s="1127"/>
      <c r="AY253" s="1127"/>
      <c r="AZ253" s="1127">
        <v>0.33333333333333331</v>
      </c>
      <c r="BA253" s="1129">
        <v>313.69640211640211</v>
      </c>
      <c r="BB253" s="1129">
        <v>0</v>
      </c>
      <c r="BC253" s="1129">
        <v>313.69640211640211</v>
      </c>
      <c r="BD253" s="1129">
        <v>0</v>
      </c>
      <c r="BE253" s="1129">
        <v>0</v>
      </c>
      <c r="BF253" s="1129">
        <v>0</v>
      </c>
      <c r="BG253" s="1129">
        <v>0</v>
      </c>
      <c r="BH253" s="1129">
        <v>313.69640211640211</v>
      </c>
      <c r="BI253" s="971"/>
      <c r="BJ253" s="971"/>
      <c r="BK253" s="971"/>
      <c r="BL253" s="1246"/>
      <c r="BM253" s="1247" t="s">
        <v>2125</v>
      </c>
    </row>
    <row r="254" spans="1:65" s="1247" customFormat="1" ht="49.5" customHeight="1">
      <c r="A254" s="1272">
        <v>4000</v>
      </c>
      <c r="B254" s="971" t="s">
        <v>1316</v>
      </c>
      <c r="C254" s="1272">
        <v>4100</v>
      </c>
      <c r="D254" s="971" t="s">
        <v>120</v>
      </c>
      <c r="E254" s="971" t="s">
        <v>1389</v>
      </c>
      <c r="F254" s="971" t="s">
        <v>176</v>
      </c>
      <c r="G254" s="971" t="s">
        <v>4735</v>
      </c>
      <c r="H254" s="971" t="s">
        <v>3495</v>
      </c>
      <c r="I254" s="1273" t="s">
        <v>6987</v>
      </c>
      <c r="J254" s="971" t="s">
        <v>2146</v>
      </c>
      <c r="K254" s="971" t="s">
        <v>2129</v>
      </c>
      <c r="L254" s="971" t="s">
        <v>2130</v>
      </c>
      <c r="M254" s="971" t="s">
        <v>2129</v>
      </c>
      <c r="N254" s="971" t="s">
        <v>176</v>
      </c>
      <c r="O254" s="971" t="s">
        <v>2130</v>
      </c>
      <c r="P254" s="971" t="s">
        <v>6736</v>
      </c>
      <c r="Q254" s="971" t="s">
        <v>6740</v>
      </c>
      <c r="R254" s="971" t="s">
        <v>4803</v>
      </c>
      <c r="S254" s="1274">
        <v>1</v>
      </c>
      <c r="T254" s="971" t="s">
        <v>242</v>
      </c>
      <c r="U254" s="1275">
        <v>6.666666666666667</v>
      </c>
      <c r="V254" s="1275">
        <v>25</v>
      </c>
      <c r="W254" s="1275">
        <v>666.08920634920639</v>
      </c>
      <c r="X254" s="1275">
        <v>250</v>
      </c>
      <c r="Y254" s="1275">
        <v>941.08920634920639</v>
      </c>
      <c r="Z254" s="1129">
        <v>6.666666666666667</v>
      </c>
      <c r="AA254" s="1129">
        <v>25</v>
      </c>
      <c r="AB254" s="1129">
        <v>666.08920634920639</v>
      </c>
      <c r="AC254" s="1129">
        <v>250</v>
      </c>
      <c r="AD254" s="1098">
        <v>941.08920634920639</v>
      </c>
      <c r="AE254" s="1237">
        <v>4</v>
      </c>
      <c r="AF254" s="1133">
        <v>4</v>
      </c>
      <c r="AG254" s="1127">
        <v>1</v>
      </c>
      <c r="AH254" s="1127">
        <v>0</v>
      </c>
      <c r="AI254" s="1127">
        <v>0</v>
      </c>
      <c r="AJ254" s="1127">
        <v>1</v>
      </c>
      <c r="AK254" s="1129">
        <v>941.08920634920639</v>
      </c>
      <c r="AL254" s="1129">
        <v>0</v>
      </c>
      <c r="AM254" s="1129">
        <v>0</v>
      </c>
      <c r="AN254" s="1129">
        <v>941.08920634920639</v>
      </c>
      <c r="AO254" s="1129" t="s">
        <v>85</v>
      </c>
      <c r="AP254" s="1129" t="s">
        <v>96</v>
      </c>
      <c r="AQ254" s="1157">
        <v>2014</v>
      </c>
      <c r="AR254" s="1129" t="s">
        <v>87</v>
      </c>
      <c r="AS254" s="1127">
        <v>0.33333333333333331</v>
      </c>
      <c r="AT254" s="1127"/>
      <c r="AU254" s="1127">
        <v>0.33333333333333331</v>
      </c>
      <c r="AV254" s="1127"/>
      <c r="AW254" s="1127"/>
      <c r="AX254" s="1127"/>
      <c r="AY254" s="1127"/>
      <c r="AZ254" s="1127">
        <v>0.33333333333333331</v>
      </c>
      <c r="BA254" s="1129">
        <v>313.69640211640211</v>
      </c>
      <c r="BB254" s="1129">
        <v>0</v>
      </c>
      <c r="BC254" s="1129">
        <v>313.69640211640211</v>
      </c>
      <c r="BD254" s="1129">
        <v>0</v>
      </c>
      <c r="BE254" s="1129">
        <v>0</v>
      </c>
      <c r="BF254" s="1129">
        <v>0</v>
      </c>
      <c r="BG254" s="1129">
        <v>0</v>
      </c>
      <c r="BH254" s="1129">
        <v>313.69640211640211</v>
      </c>
      <c r="BI254" s="971"/>
      <c r="BJ254" s="971"/>
      <c r="BK254" s="971"/>
      <c r="BL254" s="1246"/>
      <c r="BM254" s="1247" t="s">
        <v>2127</v>
      </c>
    </row>
    <row r="255" spans="1:65" s="1247" customFormat="1" ht="49.5" customHeight="1">
      <c r="A255" s="1272">
        <v>4000</v>
      </c>
      <c r="B255" s="971" t="s">
        <v>1316</v>
      </c>
      <c r="C255" s="1272">
        <v>4100</v>
      </c>
      <c r="D255" s="971" t="s">
        <v>120</v>
      </c>
      <c r="E255" s="971" t="s">
        <v>1389</v>
      </c>
      <c r="F255" s="971" t="s">
        <v>176</v>
      </c>
      <c r="G255" s="971" t="s">
        <v>4735</v>
      </c>
      <c r="H255" s="971" t="s">
        <v>3495</v>
      </c>
      <c r="I255" s="1273" t="s">
        <v>6988</v>
      </c>
      <c r="J255" s="971" t="s">
        <v>2146</v>
      </c>
      <c r="K255" s="971" t="s">
        <v>2129</v>
      </c>
      <c r="L255" s="971" t="s">
        <v>2130</v>
      </c>
      <c r="M255" s="971" t="s">
        <v>2129</v>
      </c>
      <c r="N255" s="971" t="s">
        <v>176</v>
      </c>
      <c r="O255" s="971" t="s">
        <v>2130</v>
      </c>
      <c r="P255" s="971" t="s">
        <v>6736</v>
      </c>
      <c r="Q255" s="971" t="s">
        <v>6740</v>
      </c>
      <c r="R255" s="971" t="s">
        <v>4804</v>
      </c>
      <c r="S255" s="1274">
        <v>1</v>
      </c>
      <c r="T255" s="971" t="s">
        <v>242</v>
      </c>
      <c r="U255" s="1275">
        <v>6.666666666666667</v>
      </c>
      <c r="V255" s="1275">
        <v>25</v>
      </c>
      <c r="W255" s="1275">
        <v>666.08920634920639</v>
      </c>
      <c r="X255" s="1275">
        <v>250</v>
      </c>
      <c r="Y255" s="1275">
        <v>941.08920634920639</v>
      </c>
      <c r="Z255" s="1129">
        <v>6.666666666666667</v>
      </c>
      <c r="AA255" s="1129">
        <v>25</v>
      </c>
      <c r="AB255" s="1129">
        <v>666.08920634920639</v>
      </c>
      <c r="AC255" s="1129">
        <v>250</v>
      </c>
      <c r="AD255" s="1098">
        <v>941.08920634920639</v>
      </c>
      <c r="AE255" s="1237">
        <v>4</v>
      </c>
      <c r="AF255" s="1133">
        <v>4</v>
      </c>
      <c r="AG255" s="1127">
        <v>1</v>
      </c>
      <c r="AH255" s="1127">
        <v>0</v>
      </c>
      <c r="AI255" s="1127">
        <v>0</v>
      </c>
      <c r="AJ255" s="1127">
        <v>1</v>
      </c>
      <c r="AK255" s="1129">
        <v>941.08920634920639</v>
      </c>
      <c r="AL255" s="1129">
        <v>0</v>
      </c>
      <c r="AM255" s="1129">
        <v>0</v>
      </c>
      <c r="AN255" s="1129">
        <v>941.08920634920639</v>
      </c>
      <c r="AO255" s="1129" t="s">
        <v>85</v>
      </c>
      <c r="AP255" s="1129" t="s">
        <v>96</v>
      </c>
      <c r="AQ255" s="1157">
        <v>2014</v>
      </c>
      <c r="AR255" s="1129" t="s">
        <v>87</v>
      </c>
      <c r="AS255" s="1127">
        <v>0.33333333333333331</v>
      </c>
      <c r="AT255" s="1127"/>
      <c r="AU255" s="1127">
        <v>0.33333333333333331</v>
      </c>
      <c r="AV255" s="1127"/>
      <c r="AW255" s="1127"/>
      <c r="AX255" s="1127"/>
      <c r="AY255" s="1127"/>
      <c r="AZ255" s="1127">
        <v>0.33333333333333331</v>
      </c>
      <c r="BA255" s="1129">
        <v>313.69640211640211</v>
      </c>
      <c r="BB255" s="1129">
        <v>0</v>
      </c>
      <c r="BC255" s="1129">
        <v>313.69640211640211</v>
      </c>
      <c r="BD255" s="1129">
        <v>0</v>
      </c>
      <c r="BE255" s="1129">
        <v>0</v>
      </c>
      <c r="BF255" s="1129">
        <v>0</v>
      </c>
      <c r="BG255" s="1129">
        <v>0</v>
      </c>
      <c r="BH255" s="1129">
        <v>313.69640211640211</v>
      </c>
      <c r="BI255" s="971"/>
      <c r="BJ255" s="971"/>
      <c r="BK255" s="971"/>
      <c r="BL255" s="1246"/>
      <c r="BM255" s="1247" t="s">
        <v>2129</v>
      </c>
    </row>
    <row r="256" spans="1:65" s="1247" customFormat="1" ht="49.5" customHeight="1">
      <c r="A256" s="1272">
        <v>4000</v>
      </c>
      <c r="B256" s="971" t="s">
        <v>1316</v>
      </c>
      <c r="C256" s="1272">
        <v>4100</v>
      </c>
      <c r="D256" s="971" t="s">
        <v>120</v>
      </c>
      <c r="E256" s="971" t="s">
        <v>1389</v>
      </c>
      <c r="F256" s="971" t="s">
        <v>176</v>
      </c>
      <c r="G256" s="971" t="s">
        <v>4735</v>
      </c>
      <c r="H256" s="971" t="s">
        <v>3495</v>
      </c>
      <c r="I256" s="1273" t="s">
        <v>6989</v>
      </c>
      <c r="J256" s="971" t="s">
        <v>2146</v>
      </c>
      <c r="K256" s="971" t="s">
        <v>2129</v>
      </c>
      <c r="L256" s="971" t="s">
        <v>2130</v>
      </c>
      <c r="M256" s="971" t="s">
        <v>2129</v>
      </c>
      <c r="N256" s="971" t="s">
        <v>176</v>
      </c>
      <c r="O256" s="971" t="s">
        <v>2130</v>
      </c>
      <c r="P256" s="971" t="s">
        <v>6736</v>
      </c>
      <c r="Q256" s="971" t="s">
        <v>6740</v>
      </c>
      <c r="R256" s="971" t="s">
        <v>4805</v>
      </c>
      <c r="S256" s="1274">
        <v>1</v>
      </c>
      <c r="T256" s="971" t="s">
        <v>242</v>
      </c>
      <c r="U256" s="1275">
        <v>6.666666666666667</v>
      </c>
      <c r="V256" s="1275">
        <v>25</v>
      </c>
      <c r="W256" s="1275">
        <v>666.08920634920639</v>
      </c>
      <c r="X256" s="1275">
        <v>250</v>
      </c>
      <c r="Y256" s="1275">
        <v>941.08920634920639</v>
      </c>
      <c r="Z256" s="1129">
        <v>6.666666666666667</v>
      </c>
      <c r="AA256" s="1129">
        <v>25</v>
      </c>
      <c r="AB256" s="1129">
        <v>666.08920634920639</v>
      </c>
      <c r="AC256" s="1129">
        <v>250</v>
      </c>
      <c r="AD256" s="1098">
        <v>941.08920634920639</v>
      </c>
      <c r="AE256" s="1237">
        <v>4</v>
      </c>
      <c r="AF256" s="1133">
        <v>4</v>
      </c>
      <c r="AG256" s="1127">
        <v>1</v>
      </c>
      <c r="AH256" s="1127">
        <v>0</v>
      </c>
      <c r="AI256" s="1127">
        <v>0</v>
      </c>
      <c r="AJ256" s="1127">
        <v>1</v>
      </c>
      <c r="AK256" s="1129">
        <v>941.08920634920639</v>
      </c>
      <c r="AL256" s="1129">
        <v>0</v>
      </c>
      <c r="AM256" s="1129">
        <v>0</v>
      </c>
      <c r="AN256" s="1129">
        <v>941.08920634920639</v>
      </c>
      <c r="AO256" s="1129" t="s">
        <v>85</v>
      </c>
      <c r="AP256" s="1129" t="s">
        <v>96</v>
      </c>
      <c r="AQ256" s="1157">
        <v>2014</v>
      </c>
      <c r="AR256" s="1129" t="s">
        <v>87</v>
      </c>
      <c r="AS256" s="1127">
        <v>0.33333333333333331</v>
      </c>
      <c r="AT256" s="1127"/>
      <c r="AU256" s="1127">
        <v>0.33333333333333331</v>
      </c>
      <c r="AV256" s="1127"/>
      <c r="AW256" s="1127"/>
      <c r="AX256" s="1127"/>
      <c r="AY256" s="1127"/>
      <c r="AZ256" s="1127">
        <v>0.33333333333333331</v>
      </c>
      <c r="BA256" s="1129">
        <v>313.69640211640211</v>
      </c>
      <c r="BB256" s="1129">
        <v>0</v>
      </c>
      <c r="BC256" s="1129">
        <v>313.69640211640211</v>
      </c>
      <c r="BD256" s="1129">
        <v>0</v>
      </c>
      <c r="BE256" s="1129">
        <v>0</v>
      </c>
      <c r="BF256" s="1129">
        <v>0</v>
      </c>
      <c r="BG256" s="1129">
        <v>0</v>
      </c>
      <c r="BH256" s="1129">
        <v>313.69640211640211</v>
      </c>
      <c r="BI256" s="971"/>
      <c r="BJ256" s="971"/>
      <c r="BK256" s="971"/>
      <c r="BL256" s="1246"/>
      <c r="BM256" s="1247" t="s">
        <v>2127</v>
      </c>
    </row>
    <row r="257" spans="1:65" s="1247" customFormat="1" ht="49.5" customHeight="1">
      <c r="A257" s="1272">
        <v>4000</v>
      </c>
      <c r="B257" s="971" t="s">
        <v>1316</v>
      </c>
      <c r="C257" s="1272">
        <v>4300</v>
      </c>
      <c r="D257" s="971" t="s">
        <v>222</v>
      </c>
      <c r="E257" s="971" t="s">
        <v>1471</v>
      </c>
      <c r="F257" s="971" t="s">
        <v>1466</v>
      </c>
      <c r="G257" s="971" t="s">
        <v>4806</v>
      </c>
      <c r="H257" s="971" t="s">
        <v>1467</v>
      </c>
      <c r="I257" s="1273" t="s">
        <v>6990</v>
      </c>
      <c r="J257" s="971" t="s">
        <v>228</v>
      </c>
      <c r="K257" s="971" t="s">
        <v>2125</v>
      </c>
      <c r="L257" s="971" t="s">
        <v>2126</v>
      </c>
      <c r="M257" s="971" t="s">
        <v>2125</v>
      </c>
      <c r="N257" s="971" t="s">
        <v>176</v>
      </c>
      <c r="O257" s="971" t="s">
        <v>2126</v>
      </c>
      <c r="P257" s="971"/>
      <c r="Q257" s="971" t="s">
        <v>6991</v>
      </c>
      <c r="R257" s="971" t="s">
        <v>4831</v>
      </c>
      <c r="S257" s="1274">
        <v>1</v>
      </c>
      <c r="T257" s="971" t="s">
        <v>242</v>
      </c>
      <c r="U257" s="1275">
        <v>13</v>
      </c>
      <c r="V257" s="1275">
        <v>120</v>
      </c>
      <c r="W257" s="1275">
        <v>1298.8739523809525</v>
      </c>
      <c r="X257" s="1275">
        <v>1200</v>
      </c>
      <c r="Y257" s="1275">
        <v>2618.8739523809527</v>
      </c>
      <c r="Z257" s="1129">
        <v>13</v>
      </c>
      <c r="AA257" s="1129">
        <v>120</v>
      </c>
      <c r="AB257" s="1129">
        <v>1298.8739523809525</v>
      </c>
      <c r="AC257" s="1129">
        <v>1200</v>
      </c>
      <c r="AD257" s="1098">
        <v>2618.8739523809527</v>
      </c>
      <c r="AE257" s="1237">
        <v>96</v>
      </c>
      <c r="AF257" s="1133">
        <v>96</v>
      </c>
      <c r="AG257" s="1127">
        <v>1</v>
      </c>
      <c r="AH257" s="1127">
        <v>0</v>
      </c>
      <c r="AI257" s="1127">
        <v>0</v>
      </c>
      <c r="AJ257" s="1127">
        <v>1</v>
      </c>
      <c r="AK257" s="1129">
        <v>2618.8739523809527</v>
      </c>
      <c r="AL257" s="1129">
        <v>0</v>
      </c>
      <c r="AM257" s="1129">
        <v>0</v>
      </c>
      <c r="AN257" s="1129">
        <v>2618.8739523809527</v>
      </c>
      <c r="AO257" s="1129" t="s">
        <v>85</v>
      </c>
      <c r="AP257" s="1129" t="s">
        <v>96</v>
      </c>
      <c r="AQ257" s="1157">
        <v>2014</v>
      </c>
      <c r="AR257" s="1129" t="s">
        <v>87</v>
      </c>
      <c r="AS257" s="1127">
        <v>0.33333333333333331</v>
      </c>
      <c r="AT257" s="1127"/>
      <c r="AU257" s="1127">
        <v>0.33333333333333331</v>
      </c>
      <c r="AV257" s="1127"/>
      <c r="AW257" s="1127"/>
      <c r="AX257" s="1127"/>
      <c r="AY257" s="1127"/>
      <c r="AZ257" s="1127">
        <v>0.33333333333333331</v>
      </c>
      <c r="BA257" s="1129">
        <v>872.95798412698423</v>
      </c>
      <c r="BB257" s="1129">
        <v>0</v>
      </c>
      <c r="BC257" s="1129">
        <v>872.95798412698423</v>
      </c>
      <c r="BD257" s="1129">
        <v>0</v>
      </c>
      <c r="BE257" s="1129">
        <v>0</v>
      </c>
      <c r="BF257" s="1129">
        <v>0</v>
      </c>
      <c r="BG257" s="1129">
        <v>0</v>
      </c>
      <c r="BH257" s="1129">
        <v>872.95798412698423</v>
      </c>
      <c r="BI257" s="971"/>
      <c r="BJ257" s="971"/>
      <c r="BK257" s="971"/>
      <c r="BL257" s="1246"/>
      <c r="BM257" s="1247" t="s">
        <v>2129</v>
      </c>
    </row>
    <row r="258" spans="1:65" s="1247" customFormat="1" ht="49.5" customHeight="1">
      <c r="A258" s="1272">
        <v>4000</v>
      </c>
      <c r="B258" s="971" t="s">
        <v>1316</v>
      </c>
      <c r="C258" s="1272">
        <v>4300</v>
      </c>
      <c r="D258" s="971" t="s">
        <v>222</v>
      </c>
      <c r="E258" s="971" t="s">
        <v>1471</v>
      </c>
      <c r="F258" s="971" t="s">
        <v>1466</v>
      </c>
      <c r="G258" s="971" t="s">
        <v>4806</v>
      </c>
      <c r="H258" s="971" t="s">
        <v>1467</v>
      </c>
      <c r="I258" s="1273" t="s">
        <v>6992</v>
      </c>
      <c r="J258" s="971" t="s">
        <v>228</v>
      </c>
      <c r="K258" s="971" t="s">
        <v>2125</v>
      </c>
      <c r="L258" s="971" t="s">
        <v>2126</v>
      </c>
      <c r="M258" s="971" t="s">
        <v>2125</v>
      </c>
      <c r="N258" s="971" t="s">
        <v>176</v>
      </c>
      <c r="O258" s="971" t="s">
        <v>2126</v>
      </c>
      <c r="P258" s="971"/>
      <c r="Q258" s="971" t="s">
        <v>6991</v>
      </c>
      <c r="R258" s="971" t="s">
        <v>4834</v>
      </c>
      <c r="S258" s="1274">
        <v>1</v>
      </c>
      <c r="T258" s="971" t="s">
        <v>242</v>
      </c>
      <c r="U258" s="1275">
        <v>13</v>
      </c>
      <c r="V258" s="1275">
        <v>120</v>
      </c>
      <c r="W258" s="1275">
        <v>1298.8739523809525</v>
      </c>
      <c r="X258" s="1275">
        <v>1200</v>
      </c>
      <c r="Y258" s="1275">
        <v>2618.8739523809527</v>
      </c>
      <c r="Z258" s="1129">
        <v>13</v>
      </c>
      <c r="AA258" s="1129">
        <v>120</v>
      </c>
      <c r="AB258" s="1129">
        <v>1298.8739523809525</v>
      </c>
      <c r="AC258" s="1129">
        <v>1200</v>
      </c>
      <c r="AD258" s="1098">
        <v>2618.8739523809527</v>
      </c>
      <c r="AE258" s="1237">
        <v>96</v>
      </c>
      <c r="AF258" s="1133">
        <v>96</v>
      </c>
      <c r="AG258" s="1127">
        <v>1</v>
      </c>
      <c r="AH258" s="1127">
        <v>0</v>
      </c>
      <c r="AI258" s="1127">
        <v>0</v>
      </c>
      <c r="AJ258" s="1127">
        <v>1</v>
      </c>
      <c r="AK258" s="1129">
        <v>2618.8739523809527</v>
      </c>
      <c r="AL258" s="1129">
        <v>0</v>
      </c>
      <c r="AM258" s="1129">
        <v>0</v>
      </c>
      <c r="AN258" s="1129">
        <v>2618.8739523809527</v>
      </c>
      <c r="AO258" s="1129" t="s">
        <v>85</v>
      </c>
      <c r="AP258" s="1129" t="s">
        <v>96</v>
      </c>
      <c r="AQ258" s="1157">
        <v>2014</v>
      </c>
      <c r="AR258" s="1129" t="s">
        <v>87</v>
      </c>
      <c r="AS258" s="1127">
        <v>0.33333333333333331</v>
      </c>
      <c r="AT258" s="1127"/>
      <c r="AU258" s="1127">
        <v>0.33333333333333331</v>
      </c>
      <c r="AV258" s="1127"/>
      <c r="AW258" s="1127"/>
      <c r="AX258" s="1127"/>
      <c r="AY258" s="1127"/>
      <c r="AZ258" s="1127">
        <v>0.33333333333333331</v>
      </c>
      <c r="BA258" s="1129">
        <v>872.95798412698423</v>
      </c>
      <c r="BB258" s="1129">
        <v>0</v>
      </c>
      <c r="BC258" s="1129">
        <v>872.95798412698423</v>
      </c>
      <c r="BD258" s="1129">
        <v>0</v>
      </c>
      <c r="BE258" s="1129">
        <v>0</v>
      </c>
      <c r="BF258" s="1129">
        <v>0</v>
      </c>
      <c r="BG258" s="1129">
        <v>0</v>
      </c>
      <c r="BH258" s="1129">
        <v>872.95798412698423</v>
      </c>
      <c r="BI258" s="971"/>
      <c r="BJ258" s="971"/>
      <c r="BK258" s="971"/>
      <c r="BL258" s="1246"/>
      <c r="BM258" s="1247" t="s">
        <v>2127</v>
      </c>
    </row>
    <row r="259" spans="1:65" s="1247" customFormat="1" ht="49.5" customHeight="1">
      <c r="A259" s="1272">
        <v>4000</v>
      </c>
      <c r="B259" s="971" t="s">
        <v>1316</v>
      </c>
      <c r="C259" s="1272">
        <v>4300</v>
      </c>
      <c r="D259" s="971" t="s">
        <v>222</v>
      </c>
      <c r="E259" s="971" t="s">
        <v>1471</v>
      </c>
      <c r="F259" s="971" t="s">
        <v>1466</v>
      </c>
      <c r="G259" s="971" t="s">
        <v>4806</v>
      </c>
      <c r="H259" s="971" t="s">
        <v>1467</v>
      </c>
      <c r="I259" s="1273" t="s">
        <v>6993</v>
      </c>
      <c r="J259" s="971" t="s">
        <v>228</v>
      </c>
      <c r="K259" s="971" t="s">
        <v>2125</v>
      </c>
      <c r="L259" s="971" t="s">
        <v>2126</v>
      </c>
      <c r="M259" s="971" t="s">
        <v>2125</v>
      </c>
      <c r="N259" s="971" t="s">
        <v>176</v>
      </c>
      <c r="O259" s="971" t="s">
        <v>2126</v>
      </c>
      <c r="P259" s="971"/>
      <c r="Q259" s="971" t="s">
        <v>6991</v>
      </c>
      <c r="R259" s="971" t="s">
        <v>4835</v>
      </c>
      <c r="S259" s="1274">
        <v>1</v>
      </c>
      <c r="T259" s="971" t="s">
        <v>242</v>
      </c>
      <c r="U259" s="1275">
        <v>13</v>
      </c>
      <c r="V259" s="1275">
        <v>120</v>
      </c>
      <c r="W259" s="1275">
        <v>1298.8739523809525</v>
      </c>
      <c r="X259" s="1275">
        <v>1200</v>
      </c>
      <c r="Y259" s="1275">
        <v>2618.8739523809527</v>
      </c>
      <c r="Z259" s="1129">
        <v>13</v>
      </c>
      <c r="AA259" s="1129">
        <v>120</v>
      </c>
      <c r="AB259" s="1129">
        <v>1298.8739523809525</v>
      </c>
      <c r="AC259" s="1129">
        <v>1200</v>
      </c>
      <c r="AD259" s="1098">
        <v>2618.8739523809527</v>
      </c>
      <c r="AE259" s="1237">
        <v>96</v>
      </c>
      <c r="AF259" s="1133">
        <v>96</v>
      </c>
      <c r="AG259" s="1127">
        <v>1</v>
      </c>
      <c r="AH259" s="1127">
        <v>0</v>
      </c>
      <c r="AI259" s="1127">
        <v>0</v>
      </c>
      <c r="AJ259" s="1127">
        <v>1</v>
      </c>
      <c r="AK259" s="1129">
        <v>2618.8739523809527</v>
      </c>
      <c r="AL259" s="1129">
        <v>0</v>
      </c>
      <c r="AM259" s="1129">
        <v>0</v>
      </c>
      <c r="AN259" s="1129">
        <v>2618.8739523809527</v>
      </c>
      <c r="AO259" s="1129" t="s">
        <v>85</v>
      </c>
      <c r="AP259" s="1129" t="s">
        <v>96</v>
      </c>
      <c r="AQ259" s="1157">
        <v>2014</v>
      </c>
      <c r="AR259" s="1129" t="s">
        <v>87</v>
      </c>
      <c r="AS259" s="1127">
        <v>0.33333333333333331</v>
      </c>
      <c r="AT259" s="1127"/>
      <c r="AU259" s="1127">
        <v>0.33333333333333331</v>
      </c>
      <c r="AV259" s="1127"/>
      <c r="AW259" s="1127"/>
      <c r="AX259" s="1127"/>
      <c r="AY259" s="1127"/>
      <c r="AZ259" s="1127">
        <v>0.33333333333333331</v>
      </c>
      <c r="BA259" s="1129">
        <v>872.95798412698423</v>
      </c>
      <c r="BB259" s="1129">
        <v>0</v>
      </c>
      <c r="BC259" s="1129">
        <v>872.95798412698423</v>
      </c>
      <c r="BD259" s="1129">
        <v>0</v>
      </c>
      <c r="BE259" s="1129">
        <v>0</v>
      </c>
      <c r="BF259" s="1129">
        <v>0</v>
      </c>
      <c r="BG259" s="1129">
        <v>0</v>
      </c>
      <c r="BH259" s="1129">
        <v>872.95798412698423</v>
      </c>
      <c r="BI259" s="971"/>
      <c r="BJ259" s="971"/>
      <c r="BK259" s="971"/>
      <c r="BL259" s="1246"/>
      <c r="BM259" s="1247" t="s">
        <v>2127</v>
      </c>
    </row>
    <row r="260" spans="1:65" s="1247" customFormat="1" ht="82.5" customHeight="1">
      <c r="A260" s="1272">
        <v>4000</v>
      </c>
      <c r="B260" s="971" t="s">
        <v>1316</v>
      </c>
      <c r="C260" s="1272">
        <v>4300</v>
      </c>
      <c r="D260" s="971" t="s">
        <v>222</v>
      </c>
      <c r="E260" s="971" t="s">
        <v>1471</v>
      </c>
      <c r="F260" s="971" t="s">
        <v>1466</v>
      </c>
      <c r="G260" s="971" t="s">
        <v>4806</v>
      </c>
      <c r="H260" s="971" t="s">
        <v>1467</v>
      </c>
      <c r="I260" s="1273" t="s">
        <v>6994</v>
      </c>
      <c r="J260" s="971" t="s">
        <v>228</v>
      </c>
      <c r="K260" s="971" t="s">
        <v>2125</v>
      </c>
      <c r="L260" s="971" t="s">
        <v>2126</v>
      </c>
      <c r="M260" s="971" t="s">
        <v>2125</v>
      </c>
      <c r="N260" s="971" t="s">
        <v>176</v>
      </c>
      <c r="O260" s="971" t="s">
        <v>2126</v>
      </c>
      <c r="P260" s="971"/>
      <c r="Q260" s="971" t="s">
        <v>6991</v>
      </c>
      <c r="R260" s="971" t="s">
        <v>4837</v>
      </c>
      <c r="S260" s="1274">
        <v>1</v>
      </c>
      <c r="T260" s="971" t="s">
        <v>242</v>
      </c>
      <c r="U260" s="1275">
        <v>13</v>
      </c>
      <c r="V260" s="1275">
        <v>120</v>
      </c>
      <c r="W260" s="1275">
        <v>1298.8739523809525</v>
      </c>
      <c r="X260" s="1275">
        <v>1200</v>
      </c>
      <c r="Y260" s="1275">
        <v>2618.8739523809527</v>
      </c>
      <c r="Z260" s="1129">
        <v>13</v>
      </c>
      <c r="AA260" s="1129">
        <v>120</v>
      </c>
      <c r="AB260" s="1129">
        <v>1298.8739523809525</v>
      </c>
      <c r="AC260" s="1129">
        <v>1200</v>
      </c>
      <c r="AD260" s="1098">
        <v>2618.8739523809527</v>
      </c>
      <c r="AE260" s="1237">
        <v>96</v>
      </c>
      <c r="AF260" s="1133">
        <v>96</v>
      </c>
      <c r="AG260" s="1127">
        <v>1</v>
      </c>
      <c r="AH260" s="1127">
        <v>0</v>
      </c>
      <c r="AI260" s="1127">
        <v>0</v>
      </c>
      <c r="AJ260" s="1127">
        <v>1</v>
      </c>
      <c r="AK260" s="1129">
        <v>2618.8739523809527</v>
      </c>
      <c r="AL260" s="1129">
        <v>0</v>
      </c>
      <c r="AM260" s="1129">
        <v>0</v>
      </c>
      <c r="AN260" s="1129">
        <v>2618.8739523809527</v>
      </c>
      <c r="AO260" s="1129" t="s">
        <v>85</v>
      </c>
      <c r="AP260" s="1129" t="s">
        <v>96</v>
      </c>
      <c r="AQ260" s="1157">
        <v>2014</v>
      </c>
      <c r="AR260" s="1129" t="s">
        <v>87</v>
      </c>
      <c r="AS260" s="1127">
        <v>0.33333333333333331</v>
      </c>
      <c r="AT260" s="1127"/>
      <c r="AU260" s="1127">
        <v>0.33333333333333331</v>
      </c>
      <c r="AV260" s="1127"/>
      <c r="AW260" s="1127"/>
      <c r="AX260" s="1127"/>
      <c r="AY260" s="1127"/>
      <c r="AZ260" s="1127">
        <v>0.33333333333333331</v>
      </c>
      <c r="BA260" s="1129">
        <v>872.95798412698423</v>
      </c>
      <c r="BB260" s="1129">
        <v>0</v>
      </c>
      <c r="BC260" s="1129">
        <v>872.95798412698423</v>
      </c>
      <c r="BD260" s="1129">
        <v>0</v>
      </c>
      <c r="BE260" s="1129">
        <v>0</v>
      </c>
      <c r="BF260" s="1129">
        <v>0</v>
      </c>
      <c r="BG260" s="1129">
        <v>0</v>
      </c>
      <c r="BH260" s="1129">
        <v>872.95798412698423</v>
      </c>
      <c r="BI260" s="971"/>
      <c r="BJ260" s="971"/>
      <c r="BK260" s="971"/>
      <c r="BL260" s="1246"/>
      <c r="BM260" s="1247" t="s">
        <v>2125</v>
      </c>
    </row>
    <row r="261" spans="1:65" s="1247" customFormat="1" ht="82.5" customHeight="1">
      <c r="A261" s="1272">
        <v>4000</v>
      </c>
      <c r="B261" s="971" t="s">
        <v>1316</v>
      </c>
      <c r="C261" s="1272">
        <v>4300</v>
      </c>
      <c r="D261" s="971" t="s">
        <v>222</v>
      </c>
      <c r="E261" s="971" t="s">
        <v>1471</v>
      </c>
      <c r="F261" s="971" t="s">
        <v>1466</v>
      </c>
      <c r="G261" s="971" t="s">
        <v>4806</v>
      </c>
      <c r="H261" s="971" t="s">
        <v>1467</v>
      </c>
      <c r="I261" s="1273" t="s">
        <v>6995</v>
      </c>
      <c r="J261" s="971" t="s">
        <v>228</v>
      </c>
      <c r="K261" s="971" t="s">
        <v>2125</v>
      </c>
      <c r="L261" s="971" t="s">
        <v>2126</v>
      </c>
      <c r="M261" s="971" t="s">
        <v>2125</v>
      </c>
      <c r="N261" s="971" t="s">
        <v>176</v>
      </c>
      <c r="O261" s="971" t="s">
        <v>2126</v>
      </c>
      <c r="P261" s="971"/>
      <c r="Q261" s="971" t="s">
        <v>6991</v>
      </c>
      <c r="R261" s="971" t="s">
        <v>4839</v>
      </c>
      <c r="S261" s="1274">
        <v>1</v>
      </c>
      <c r="T261" s="971" t="s">
        <v>242</v>
      </c>
      <c r="U261" s="1275">
        <v>13</v>
      </c>
      <c r="V261" s="1275">
        <v>120</v>
      </c>
      <c r="W261" s="1275">
        <v>1298.8739523809525</v>
      </c>
      <c r="X261" s="1275">
        <v>1200</v>
      </c>
      <c r="Y261" s="1275">
        <v>2618.8739523809527</v>
      </c>
      <c r="Z261" s="1129">
        <v>13</v>
      </c>
      <c r="AA261" s="1129">
        <v>120</v>
      </c>
      <c r="AB261" s="1129">
        <v>1298.8739523809525</v>
      </c>
      <c r="AC261" s="1129">
        <v>1200</v>
      </c>
      <c r="AD261" s="1098">
        <v>2618.8739523809527</v>
      </c>
      <c r="AE261" s="1237">
        <v>96</v>
      </c>
      <c r="AF261" s="1133">
        <v>96</v>
      </c>
      <c r="AG261" s="1127">
        <v>1</v>
      </c>
      <c r="AH261" s="1127">
        <v>0</v>
      </c>
      <c r="AI261" s="1127">
        <v>0</v>
      </c>
      <c r="AJ261" s="1127">
        <v>1</v>
      </c>
      <c r="AK261" s="1129">
        <v>2618.8739523809527</v>
      </c>
      <c r="AL261" s="1129">
        <v>0</v>
      </c>
      <c r="AM261" s="1129">
        <v>0</v>
      </c>
      <c r="AN261" s="1129">
        <v>2618.8739523809527</v>
      </c>
      <c r="AO261" s="1129" t="s">
        <v>85</v>
      </c>
      <c r="AP261" s="1129" t="s">
        <v>96</v>
      </c>
      <c r="AQ261" s="1157">
        <v>2014</v>
      </c>
      <c r="AR261" s="1129" t="s">
        <v>87</v>
      </c>
      <c r="AS261" s="1127">
        <v>0.33333333333333331</v>
      </c>
      <c r="AT261" s="1127"/>
      <c r="AU261" s="1127">
        <v>0.33333333333333331</v>
      </c>
      <c r="AV261" s="1127"/>
      <c r="AW261" s="1127"/>
      <c r="AX261" s="1127"/>
      <c r="AY261" s="1127"/>
      <c r="AZ261" s="1127">
        <v>0.33333333333333331</v>
      </c>
      <c r="BA261" s="1129">
        <v>872.95798412698423</v>
      </c>
      <c r="BB261" s="1129">
        <v>0</v>
      </c>
      <c r="BC261" s="1129">
        <v>872.95798412698423</v>
      </c>
      <c r="BD261" s="1129">
        <v>0</v>
      </c>
      <c r="BE261" s="1129">
        <v>0</v>
      </c>
      <c r="BF261" s="1129">
        <v>0</v>
      </c>
      <c r="BG261" s="1129">
        <v>0</v>
      </c>
      <c r="BH261" s="1129">
        <v>872.95798412698423</v>
      </c>
      <c r="BI261" s="971"/>
      <c r="BJ261" s="971"/>
      <c r="BK261" s="971"/>
      <c r="BL261" s="1246"/>
      <c r="BM261" s="1247" t="s">
        <v>2127</v>
      </c>
    </row>
    <row r="262" spans="1:65" s="1247" customFormat="1" ht="82.5" customHeight="1">
      <c r="A262" s="1272">
        <v>4000</v>
      </c>
      <c r="B262" s="971" t="s">
        <v>1316</v>
      </c>
      <c r="C262" s="1272">
        <v>4300</v>
      </c>
      <c r="D262" s="971" t="s">
        <v>222</v>
      </c>
      <c r="E262" s="971" t="s">
        <v>1471</v>
      </c>
      <c r="F262" s="971" t="s">
        <v>1466</v>
      </c>
      <c r="G262" s="971" t="s">
        <v>4806</v>
      </c>
      <c r="H262" s="971" t="s">
        <v>1467</v>
      </c>
      <c r="I262" s="1273" t="s">
        <v>6996</v>
      </c>
      <c r="J262" s="971" t="s">
        <v>228</v>
      </c>
      <c r="K262" s="971" t="s">
        <v>2125</v>
      </c>
      <c r="L262" s="971" t="s">
        <v>2126</v>
      </c>
      <c r="M262" s="971" t="s">
        <v>2125</v>
      </c>
      <c r="N262" s="971" t="s">
        <v>176</v>
      </c>
      <c r="O262" s="971" t="s">
        <v>2126</v>
      </c>
      <c r="P262" s="971"/>
      <c r="Q262" s="971" t="s">
        <v>6991</v>
      </c>
      <c r="R262" s="971" t="s">
        <v>4841</v>
      </c>
      <c r="S262" s="1274">
        <v>1</v>
      </c>
      <c r="T262" s="971" t="s">
        <v>242</v>
      </c>
      <c r="U262" s="1275">
        <v>13</v>
      </c>
      <c r="V262" s="1275">
        <v>120</v>
      </c>
      <c r="W262" s="1275">
        <v>1298.8739523809525</v>
      </c>
      <c r="X262" s="1275">
        <v>1200</v>
      </c>
      <c r="Y262" s="1275">
        <v>2618.8739523809527</v>
      </c>
      <c r="Z262" s="1129">
        <v>13</v>
      </c>
      <c r="AA262" s="1129">
        <v>120</v>
      </c>
      <c r="AB262" s="1129">
        <v>1298.8739523809525</v>
      </c>
      <c r="AC262" s="1129">
        <v>1200</v>
      </c>
      <c r="AD262" s="1098">
        <v>2618.8739523809527</v>
      </c>
      <c r="AE262" s="1237">
        <v>96</v>
      </c>
      <c r="AF262" s="1133">
        <v>96</v>
      </c>
      <c r="AG262" s="1127">
        <v>1</v>
      </c>
      <c r="AH262" s="1127">
        <v>0</v>
      </c>
      <c r="AI262" s="1127">
        <v>0</v>
      </c>
      <c r="AJ262" s="1127">
        <v>1</v>
      </c>
      <c r="AK262" s="1129">
        <v>2618.8739523809527</v>
      </c>
      <c r="AL262" s="1129">
        <v>0</v>
      </c>
      <c r="AM262" s="1129">
        <v>0</v>
      </c>
      <c r="AN262" s="1129">
        <v>2618.8739523809527</v>
      </c>
      <c r="AO262" s="1129" t="s">
        <v>85</v>
      </c>
      <c r="AP262" s="1129" t="s">
        <v>96</v>
      </c>
      <c r="AQ262" s="1157">
        <v>2014</v>
      </c>
      <c r="AR262" s="1129" t="s">
        <v>87</v>
      </c>
      <c r="AS262" s="1127">
        <v>0.33333333333333331</v>
      </c>
      <c r="AT262" s="1127"/>
      <c r="AU262" s="1127">
        <v>0.33333333333333331</v>
      </c>
      <c r="AV262" s="1127"/>
      <c r="AW262" s="1127"/>
      <c r="AX262" s="1127"/>
      <c r="AY262" s="1127"/>
      <c r="AZ262" s="1127">
        <v>0.33333333333333331</v>
      </c>
      <c r="BA262" s="1129">
        <v>872.95798412698423</v>
      </c>
      <c r="BB262" s="1129">
        <v>0</v>
      </c>
      <c r="BC262" s="1129">
        <v>872.95798412698423</v>
      </c>
      <c r="BD262" s="1129">
        <v>0</v>
      </c>
      <c r="BE262" s="1129">
        <v>0</v>
      </c>
      <c r="BF262" s="1129">
        <v>0</v>
      </c>
      <c r="BG262" s="1129">
        <v>0</v>
      </c>
      <c r="BH262" s="1129">
        <v>872.95798412698423</v>
      </c>
      <c r="BI262" s="971"/>
      <c r="BJ262" s="971"/>
      <c r="BK262" s="971"/>
      <c r="BL262" s="1246"/>
      <c r="BM262" s="1247" t="s">
        <v>2127</v>
      </c>
    </row>
    <row r="263" spans="1:65" s="1247" customFormat="1" ht="66" customHeight="1">
      <c r="A263" s="1272">
        <v>4000</v>
      </c>
      <c r="B263" s="971" t="s">
        <v>1316</v>
      </c>
      <c r="C263" s="1272">
        <v>4300</v>
      </c>
      <c r="D263" s="971" t="s">
        <v>222</v>
      </c>
      <c r="E263" s="971" t="s">
        <v>1471</v>
      </c>
      <c r="F263" s="971" t="s">
        <v>1466</v>
      </c>
      <c r="G263" s="971" t="s">
        <v>4806</v>
      </c>
      <c r="H263" s="971" t="s">
        <v>1467</v>
      </c>
      <c r="I263" s="1273" t="s">
        <v>6997</v>
      </c>
      <c r="J263" s="971" t="s">
        <v>228</v>
      </c>
      <c r="K263" s="971" t="s">
        <v>2125</v>
      </c>
      <c r="L263" s="971" t="s">
        <v>2126</v>
      </c>
      <c r="M263" s="971" t="s">
        <v>2125</v>
      </c>
      <c r="N263" s="971" t="s">
        <v>176</v>
      </c>
      <c r="O263" s="971" t="s">
        <v>2126</v>
      </c>
      <c r="P263" s="971"/>
      <c r="Q263" s="971" t="s">
        <v>6991</v>
      </c>
      <c r="R263" s="971" t="s">
        <v>4842</v>
      </c>
      <c r="S263" s="1274">
        <v>1</v>
      </c>
      <c r="T263" s="971" t="s">
        <v>242</v>
      </c>
      <c r="U263" s="1275">
        <v>13</v>
      </c>
      <c r="V263" s="1275">
        <v>120</v>
      </c>
      <c r="W263" s="1275">
        <v>1298.8739523809525</v>
      </c>
      <c r="X263" s="1275">
        <v>1200</v>
      </c>
      <c r="Y263" s="1275">
        <v>2618.8739523809527</v>
      </c>
      <c r="Z263" s="1129">
        <v>13</v>
      </c>
      <c r="AA263" s="1129">
        <v>120</v>
      </c>
      <c r="AB263" s="1129">
        <v>1298.8739523809525</v>
      </c>
      <c r="AC263" s="1129">
        <v>1200</v>
      </c>
      <c r="AD263" s="1098">
        <v>2618.8739523809527</v>
      </c>
      <c r="AE263" s="1237">
        <v>96</v>
      </c>
      <c r="AF263" s="1133">
        <v>96</v>
      </c>
      <c r="AG263" s="1127">
        <v>1</v>
      </c>
      <c r="AH263" s="1127">
        <v>0</v>
      </c>
      <c r="AI263" s="1127">
        <v>0</v>
      </c>
      <c r="AJ263" s="1127">
        <v>1</v>
      </c>
      <c r="AK263" s="1129">
        <v>2618.8739523809527</v>
      </c>
      <c r="AL263" s="1129">
        <v>0</v>
      </c>
      <c r="AM263" s="1129">
        <v>0</v>
      </c>
      <c r="AN263" s="1129">
        <v>2618.8739523809527</v>
      </c>
      <c r="AO263" s="1129" t="s">
        <v>85</v>
      </c>
      <c r="AP263" s="1129" t="s">
        <v>96</v>
      </c>
      <c r="AQ263" s="1157">
        <v>2014</v>
      </c>
      <c r="AR263" s="1129" t="s">
        <v>87</v>
      </c>
      <c r="AS263" s="1127">
        <v>0.33333333333333331</v>
      </c>
      <c r="AT263" s="1127"/>
      <c r="AU263" s="1127">
        <v>0.33333333333333331</v>
      </c>
      <c r="AV263" s="1127"/>
      <c r="AW263" s="1127"/>
      <c r="AX263" s="1127"/>
      <c r="AY263" s="1127"/>
      <c r="AZ263" s="1127">
        <v>0.33333333333333331</v>
      </c>
      <c r="BA263" s="1129">
        <v>872.95798412698423</v>
      </c>
      <c r="BB263" s="1129">
        <v>0</v>
      </c>
      <c r="BC263" s="1129">
        <v>872.95798412698423</v>
      </c>
      <c r="BD263" s="1129">
        <v>0</v>
      </c>
      <c r="BE263" s="1129">
        <v>0</v>
      </c>
      <c r="BF263" s="1129">
        <v>0</v>
      </c>
      <c r="BG263" s="1129">
        <v>0</v>
      </c>
      <c r="BH263" s="1129">
        <v>872.95798412698423</v>
      </c>
      <c r="BI263" s="971"/>
      <c r="BJ263" s="971"/>
      <c r="BK263" s="971"/>
      <c r="BL263" s="1246"/>
      <c r="BM263" s="1247" t="s">
        <v>2127</v>
      </c>
    </row>
    <row r="264" spans="1:65" s="1247" customFormat="1" ht="49.5" customHeight="1">
      <c r="A264" s="1272">
        <v>4000</v>
      </c>
      <c r="B264" s="971" t="s">
        <v>1316</v>
      </c>
      <c r="C264" s="1272">
        <v>4300</v>
      </c>
      <c r="D264" s="971" t="s">
        <v>222</v>
      </c>
      <c r="E264" s="971" t="s">
        <v>1471</v>
      </c>
      <c r="F264" s="971" t="s">
        <v>1466</v>
      </c>
      <c r="G264" s="971" t="s">
        <v>4806</v>
      </c>
      <c r="H264" s="971" t="s">
        <v>1467</v>
      </c>
      <c r="I264" s="1273" t="s">
        <v>6998</v>
      </c>
      <c r="J264" s="971" t="s">
        <v>228</v>
      </c>
      <c r="K264" s="971" t="s">
        <v>2125</v>
      </c>
      <c r="L264" s="971" t="s">
        <v>2126</v>
      </c>
      <c r="M264" s="971" t="s">
        <v>2125</v>
      </c>
      <c r="N264" s="971" t="s">
        <v>176</v>
      </c>
      <c r="O264" s="971" t="s">
        <v>2126</v>
      </c>
      <c r="P264" s="971"/>
      <c r="Q264" s="971" t="s">
        <v>6991</v>
      </c>
      <c r="R264" s="971" t="s">
        <v>4844</v>
      </c>
      <c r="S264" s="1274">
        <v>1</v>
      </c>
      <c r="T264" s="971" t="s">
        <v>242</v>
      </c>
      <c r="U264" s="1275">
        <v>13</v>
      </c>
      <c r="V264" s="1275">
        <v>120</v>
      </c>
      <c r="W264" s="1275">
        <v>1298.8739523809525</v>
      </c>
      <c r="X264" s="1275">
        <v>1200</v>
      </c>
      <c r="Y264" s="1275">
        <v>2618.8739523809527</v>
      </c>
      <c r="Z264" s="1129">
        <v>13</v>
      </c>
      <c r="AA264" s="1129">
        <v>120</v>
      </c>
      <c r="AB264" s="1129">
        <v>1298.8739523809525</v>
      </c>
      <c r="AC264" s="1129">
        <v>1200</v>
      </c>
      <c r="AD264" s="1098">
        <v>2618.8739523809527</v>
      </c>
      <c r="AE264" s="1237">
        <v>96</v>
      </c>
      <c r="AF264" s="1133">
        <v>96</v>
      </c>
      <c r="AG264" s="1127">
        <v>1</v>
      </c>
      <c r="AH264" s="1127">
        <v>0</v>
      </c>
      <c r="AI264" s="1127">
        <v>0</v>
      </c>
      <c r="AJ264" s="1127">
        <v>1</v>
      </c>
      <c r="AK264" s="1129">
        <v>2618.8739523809527</v>
      </c>
      <c r="AL264" s="1129">
        <v>0</v>
      </c>
      <c r="AM264" s="1129">
        <v>0</v>
      </c>
      <c r="AN264" s="1129">
        <v>2618.8739523809527</v>
      </c>
      <c r="AO264" s="1129" t="s">
        <v>85</v>
      </c>
      <c r="AP264" s="1129" t="s">
        <v>96</v>
      </c>
      <c r="AQ264" s="1157">
        <v>2014</v>
      </c>
      <c r="AR264" s="1129" t="s">
        <v>87</v>
      </c>
      <c r="AS264" s="1127">
        <v>0.33333333333333331</v>
      </c>
      <c r="AT264" s="1127"/>
      <c r="AU264" s="1127">
        <v>0.33333333333333331</v>
      </c>
      <c r="AV264" s="1127"/>
      <c r="AW264" s="1127"/>
      <c r="AX264" s="1127"/>
      <c r="AY264" s="1127"/>
      <c r="AZ264" s="1127">
        <v>0.33333333333333331</v>
      </c>
      <c r="BA264" s="1129">
        <v>872.95798412698423</v>
      </c>
      <c r="BB264" s="1129">
        <v>0</v>
      </c>
      <c r="BC264" s="1129">
        <v>872.95798412698423</v>
      </c>
      <c r="BD264" s="1129">
        <v>0</v>
      </c>
      <c r="BE264" s="1129">
        <v>0</v>
      </c>
      <c r="BF264" s="1129">
        <v>0</v>
      </c>
      <c r="BG264" s="1129">
        <v>0</v>
      </c>
      <c r="BH264" s="1129">
        <v>872.95798412698423</v>
      </c>
      <c r="BI264" s="971"/>
      <c r="BJ264" s="971"/>
      <c r="BK264" s="971"/>
      <c r="BL264" s="1246"/>
      <c r="BM264" s="1247" t="s">
        <v>2129</v>
      </c>
    </row>
    <row r="265" spans="1:65" s="1247" customFormat="1" ht="66" customHeight="1">
      <c r="A265" s="1272">
        <v>4000</v>
      </c>
      <c r="B265" s="971" t="s">
        <v>1316</v>
      </c>
      <c r="C265" s="1272">
        <v>4400</v>
      </c>
      <c r="D265" s="971" t="s">
        <v>451</v>
      </c>
      <c r="E265" s="971" t="s">
        <v>1513</v>
      </c>
      <c r="F265" s="971" t="s">
        <v>1511</v>
      </c>
      <c r="G265" s="971">
        <v>4434</v>
      </c>
      <c r="H265" s="971" t="s">
        <v>3574</v>
      </c>
      <c r="I265" s="1273" t="s">
        <v>6999</v>
      </c>
      <c r="J265" s="971" t="s">
        <v>2146</v>
      </c>
      <c r="K265" s="971" t="s">
        <v>2127</v>
      </c>
      <c r="L265" s="971" t="s">
        <v>2177</v>
      </c>
      <c r="M265" s="971" t="s">
        <v>2127</v>
      </c>
      <c r="N265" s="971" t="s">
        <v>176</v>
      </c>
      <c r="O265" s="971" t="s">
        <v>2177</v>
      </c>
      <c r="P265" s="971" t="s">
        <v>7000</v>
      </c>
      <c r="Q265" s="971" t="s">
        <v>7001</v>
      </c>
      <c r="R265" s="971" t="s">
        <v>4896</v>
      </c>
      <c r="S265" s="1274">
        <v>1</v>
      </c>
      <c r="T265" s="971" t="s">
        <v>242</v>
      </c>
      <c r="U265" s="1275">
        <v>10</v>
      </c>
      <c r="V265" s="1275">
        <v>45</v>
      </c>
      <c r="W265" s="1275">
        <v>999.13380952380965</v>
      </c>
      <c r="X265" s="1275">
        <v>450</v>
      </c>
      <c r="Y265" s="1275">
        <v>1494.1338095238098</v>
      </c>
      <c r="Z265" s="1129">
        <v>10</v>
      </c>
      <c r="AA265" s="1129">
        <v>45</v>
      </c>
      <c r="AB265" s="1129">
        <v>999.13380952380965</v>
      </c>
      <c r="AC265" s="1129">
        <v>450</v>
      </c>
      <c r="AD265" s="1098">
        <v>1494.1338095238098</v>
      </c>
      <c r="AE265" s="1237">
        <v>24</v>
      </c>
      <c r="AF265" s="1133">
        <v>24</v>
      </c>
      <c r="AG265" s="1127">
        <v>1</v>
      </c>
      <c r="AH265" s="1127">
        <v>0</v>
      </c>
      <c r="AI265" s="1127">
        <v>0</v>
      </c>
      <c r="AJ265" s="1127">
        <v>1</v>
      </c>
      <c r="AK265" s="1129">
        <v>1494.1338095238098</v>
      </c>
      <c r="AL265" s="1129">
        <v>0</v>
      </c>
      <c r="AM265" s="1129">
        <v>0</v>
      </c>
      <c r="AN265" s="1129">
        <v>1494.1338095238098</v>
      </c>
      <c r="AO265" s="1129" t="s">
        <v>85</v>
      </c>
      <c r="AP265" s="1129" t="s">
        <v>96</v>
      </c>
      <c r="AQ265" s="1157">
        <v>2014</v>
      </c>
      <c r="AR265" s="1129" t="s">
        <v>87</v>
      </c>
      <c r="AS265" s="1127">
        <v>0.33333333333333331</v>
      </c>
      <c r="AT265" s="1127"/>
      <c r="AU265" s="1127">
        <v>0.33333333333333331</v>
      </c>
      <c r="AV265" s="1127"/>
      <c r="AW265" s="1127"/>
      <c r="AX265" s="1127"/>
      <c r="AY265" s="1127"/>
      <c r="AZ265" s="1127">
        <v>0.33333333333333331</v>
      </c>
      <c r="BA265" s="1129">
        <v>498.04460317460325</v>
      </c>
      <c r="BB265" s="1129">
        <v>0</v>
      </c>
      <c r="BC265" s="1129">
        <v>498.04460317460325</v>
      </c>
      <c r="BD265" s="1129">
        <v>0</v>
      </c>
      <c r="BE265" s="1129">
        <v>0</v>
      </c>
      <c r="BF265" s="1129">
        <v>0</v>
      </c>
      <c r="BG265" s="1129">
        <v>0</v>
      </c>
      <c r="BH265" s="1129">
        <v>498.04460317460325</v>
      </c>
      <c r="BI265" s="971"/>
      <c r="BJ265" s="971"/>
      <c r="BK265" s="971"/>
      <c r="BL265" s="1246"/>
      <c r="BM265" s="1247" t="s">
        <v>2129</v>
      </c>
    </row>
    <row r="266" spans="1:65" s="1247" customFormat="1" ht="49.5" customHeight="1">
      <c r="A266" s="1272">
        <v>4000</v>
      </c>
      <c r="B266" s="971" t="s">
        <v>1316</v>
      </c>
      <c r="C266" s="1272">
        <v>4500</v>
      </c>
      <c r="D266" s="971" t="s">
        <v>452</v>
      </c>
      <c r="E266" s="971" t="s">
        <v>1546</v>
      </c>
      <c r="F266" s="971" t="s">
        <v>454</v>
      </c>
      <c r="G266" s="971" t="s">
        <v>4982</v>
      </c>
      <c r="H266" s="971" t="s">
        <v>514</v>
      </c>
      <c r="I266" s="1273" t="s">
        <v>7002</v>
      </c>
      <c r="J266" s="971" t="s">
        <v>2146</v>
      </c>
      <c r="K266" s="971" t="s">
        <v>2129</v>
      </c>
      <c r="L266" s="971" t="s">
        <v>2130</v>
      </c>
      <c r="M266" s="971" t="s">
        <v>2129</v>
      </c>
      <c r="N266" s="971" t="s">
        <v>176</v>
      </c>
      <c r="O266" s="971" t="s">
        <v>2130</v>
      </c>
      <c r="P266" s="971" t="s">
        <v>6619</v>
      </c>
      <c r="Q266" s="971" t="s">
        <v>7003</v>
      </c>
      <c r="R266" s="971" t="s">
        <v>4983</v>
      </c>
      <c r="S266" s="1274">
        <v>1</v>
      </c>
      <c r="T266" s="971" t="s">
        <v>242</v>
      </c>
      <c r="U266" s="1275">
        <v>6.666666666666667</v>
      </c>
      <c r="V266" s="1275">
        <v>25</v>
      </c>
      <c r="W266" s="1275">
        <v>666.08920634920639</v>
      </c>
      <c r="X266" s="1275">
        <v>250</v>
      </c>
      <c r="Y266" s="1275">
        <v>941.08920634920639</v>
      </c>
      <c r="Z266" s="1129">
        <v>6.666666666666667</v>
      </c>
      <c r="AA266" s="1129">
        <v>25</v>
      </c>
      <c r="AB266" s="1129">
        <v>666.08920634920639</v>
      </c>
      <c r="AC266" s="1129">
        <v>250</v>
      </c>
      <c r="AD266" s="1098">
        <v>941.08920634920639</v>
      </c>
      <c r="AE266" s="1237">
        <v>4</v>
      </c>
      <c r="AF266" s="1133">
        <v>4</v>
      </c>
      <c r="AG266" s="1127">
        <v>1</v>
      </c>
      <c r="AH266" s="1127">
        <v>0</v>
      </c>
      <c r="AI266" s="1127">
        <v>0</v>
      </c>
      <c r="AJ266" s="1127">
        <v>1</v>
      </c>
      <c r="AK266" s="1129">
        <v>941.08920634920639</v>
      </c>
      <c r="AL266" s="1129">
        <v>0</v>
      </c>
      <c r="AM266" s="1129">
        <v>0</v>
      </c>
      <c r="AN266" s="1129">
        <v>941.08920634920639</v>
      </c>
      <c r="AO266" s="1129" t="s">
        <v>85</v>
      </c>
      <c r="AP266" s="1129" t="s">
        <v>96</v>
      </c>
      <c r="AQ266" s="1157">
        <v>2014</v>
      </c>
      <c r="AR266" s="1129" t="s">
        <v>87</v>
      </c>
      <c r="AS266" s="1127">
        <v>0.33333333333333331</v>
      </c>
      <c r="AT266" s="1127"/>
      <c r="AU266" s="1127">
        <v>0.33333333333333331</v>
      </c>
      <c r="AV266" s="1127"/>
      <c r="AW266" s="1127"/>
      <c r="AX266" s="1127"/>
      <c r="AY266" s="1127"/>
      <c r="AZ266" s="1127">
        <v>0.33333333333333331</v>
      </c>
      <c r="BA266" s="1129">
        <v>313.69640211640211</v>
      </c>
      <c r="BB266" s="1129">
        <v>0</v>
      </c>
      <c r="BC266" s="1129">
        <v>313.69640211640211</v>
      </c>
      <c r="BD266" s="1129">
        <v>0</v>
      </c>
      <c r="BE266" s="1129">
        <v>0</v>
      </c>
      <c r="BF266" s="1129">
        <v>0</v>
      </c>
      <c r="BG266" s="1129">
        <v>0</v>
      </c>
      <c r="BH266" s="1129">
        <v>313.69640211640211</v>
      </c>
      <c r="BI266" s="971"/>
      <c r="BJ266" s="971"/>
      <c r="BK266" s="971"/>
      <c r="BL266" s="1246"/>
      <c r="BM266" s="1247" t="s">
        <v>2125</v>
      </c>
    </row>
    <row r="267" spans="1:65" s="1247" customFormat="1" ht="66" customHeight="1">
      <c r="A267" s="1272">
        <v>4000</v>
      </c>
      <c r="B267" s="971" t="s">
        <v>1316</v>
      </c>
      <c r="C267" s="1272">
        <v>4500</v>
      </c>
      <c r="D267" s="971" t="s">
        <v>452</v>
      </c>
      <c r="E267" s="971" t="s">
        <v>1546</v>
      </c>
      <c r="F267" s="971" t="s">
        <v>454</v>
      </c>
      <c r="G267" s="971" t="s">
        <v>4982</v>
      </c>
      <c r="H267" s="971" t="s">
        <v>514</v>
      </c>
      <c r="I267" s="1273" t="s">
        <v>7004</v>
      </c>
      <c r="J267" s="971" t="s">
        <v>2146</v>
      </c>
      <c r="K267" s="971" t="s">
        <v>2125</v>
      </c>
      <c r="L267" s="971" t="s">
        <v>2126</v>
      </c>
      <c r="M267" s="971" t="s">
        <v>2125</v>
      </c>
      <c r="N267" s="971" t="s">
        <v>176</v>
      </c>
      <c r="O267" s="971" t="s">
        <v>2126</v>
      </c>
      <c r="P267" s="971" t="s">
        <v>7005</v>
      </c>
      <c r="Q267" s="971" t="s">
        <v>7006</v>
      </c>
      <c r="R267" s="971" t="s">
        <v>4987</v>
      </c>
      <c r="S267" s="1274">
        <v>1</v>
      </c>
      <c r="T267" s="971" t="s">
        <v>242</v>
      </c>
      <c r="U267" s="1275">
        <v>13</v>
      </c>
      <c r="V267" s="1275">
        <v>120</v>
      </c>
      <c r="W267" s="1275">
        <v>1298.8739523809525</v>
      </c>
      <c r="X267" s="1275">
        <v>1200</v>
      </c>
      <c r="Y267" s="1275">
        <v>2618.8739523809527</v>
      </c>
      <c r="Z267" s="1129">
        <v>13</v>
      </c>
      <c r="AA267" s="1129">
        <v>120</v>
      </c>
      <c r="AB267" s="1129">
        <v>1298.8739523809525</v>
      </c>
      <c r="AC267" s="1129">
        <v>1200</v>
      </c>
      <c r="AD267" s="1098">
        <v>2618.8739523809527</v>
      </c>
      <c r="AE267" s="1237">
        <v>96</v>
      </c>
      <c r="AF267" s="1133">
        <v>96</v>
      </c>
      <c r="AG267" s="1127">
        <v>1</v>
      </c>
      <c r="AH267" s="1127">
        <v>0</v>
      </c>
      <c r="AI267" s="1127">
        <v>0</v>
      </c>
      <c r="AJ267" s="1127">
        <v>1</v>
      </c>
      <c r="AK267" s="1129">
        <v>2618.8739523809527</v>
      </c>
      <c r="AL267" s="1129">
        <v>0</v>
      </c>
      <c r="AM267" s="1129">
        <v>0</v>
      </c>
      <c r="AN267" s="1129">
        <v>2618.8739523809527</v>
      </c>
      <c r="AO267" s="1129" t="s">
        <v>85</v>
      </c>
      <c r="AP267" s="1129" t="s">
        <v>96</v>
      </c>
      <c r="AQ267" s="1157">
        <v>2014</v>
      </c>
      <c r="AR267" s="1129" t="s">
        <v>87</v>
      </c>
      <c r="AS267" s="1127">
        <v>0.33333333333333331</v>
      </c>
      <c r="AT267" s="1127"/>
      <c r="AU267" s="1127">
        <v>0.33333333333333331</v>
      </c>
      <c r="AV267" s="1127"/>
      <c r="AW267" s="1127"/>
      <c r="AX267" s="1127"/>
      <c r="AY267" s="1127"/>
      <c r="AZ267" s="1127">
        <v>0.33333333333333331</v>
      </c>
      <c r="BA267" s="1129">
        <v>872.95798412698423</v>
      </c>
      <c r="BB267" s="1129">
        <v>0</v>
      </c>
      <c r="BC267" s="1129">
        <v>872.95798412698423</v>
      </c>
      <c r="BD267" s="1129">
        <v>0</v>
      </c>
      <c r="BE267" s="1129">
        <v>0</v>
      </c>
      <c r="BF267" s="1129">
        <v>0</v>
      </c>
      <c r="BG267" s="1129">
        <v>0</v>
      </c>
      <c r="BH267" s="1129">
        <v>872.95798412698423</v>
      </c>
      <c r="BI267" s="971"/>
      <c r="BJ267" s="971"/>
      <c r="BK267" s="971"/>
      <c r="BL267" s="1246"/>
      <c r="BM267" s="1247" t="s">
        <v>2127</v>
      </c>
    </row>
    <row r="268" spans="1:65" s="1247" customFormat="1" ht="82.5" customHeight="1">
      <c r="A268" s="1272">
        <v>4000</v>
      </c>
      <c r="B268" s="971" t="s">
        <v>1316</v>
      </c>
      <c r="C268" s="1272">
        <v>4500</v>
      </c>
      <c r="D268" s="971" t="s">
        <v>452</v>
      </c>
      <c r="E268" s="971" t="s">
        <v>1546</v>
      </c>
      <c r="F268" s="971" t="s">
        <v>454</v>
      </c>
      <c r="G268" s="971" t="s">
        <v>4982</v>
      </c>
      <c r="H268" s="971" t="s">
        <v>514</v>
      </c>
      <c r="I268" s="1273" t="s">
        <v>7007</v>
      </c>
      <c r="J268" s="971" t="s">
        <v>2146</v>
      </c>
      <c r="K268" s="971" t="s">
        <v>2129</v>
      </c>
      <c r="L268" s="971" t="s">
        <v>2130</v>
      </c>
      <c r="M268" s="971" t="s">
        <v>2129</v>
      </c>
      <c r="N268" s="971" t="s">
        <v>176</v>
      </c>
      <c r="O268" s="971" t="s">
        <v>2130</v>
      </c>
      <c r="P268" s="971" t="s">
        <v>7008</v>
      </c>
      <c r="Q268" s="971" t="s">
        <v>7009</v>
      </c>
      <c r="R268" s="971" t="s">
        <v>4993</v>
      </c>
      <c r="S268" s="1274">
        <v>1</v>
      </c>
      <c r="T268" s="971" t="s">
        <v>242</v>
      </c>
      <c r="U268" s="1275">
        <v>6.666666666666667</v>
      </c>
      <c r="V268" s="1275">
        <v>25</v>
      </c>
      <c r="W268" s="1275">
        <v>666.08920634920639</v>
      </c>
      <c r="X268" s="1275">
        <v>250</v>
      </c>
      <c r="Y268" s="1275">
        <v>941.08920634920639</v>
      </c>
      <c r="Z268" s="1129">
        <v>6.666666666666667</v>
      </c>
      <c r="AA268" s="1129">
        <v>25</v>
      </c>
      <c r="AB268" s="1129">
        <v>666.08920634920639</v>
      </c>
      <c r="AC268" s="1129">
        <v>250</v>
      </c>
      <c r="AD268" s="1098">
        <v>941.08920634920639</v>
      </c>
      <c r="AE268" s="1237">
        <v>4</v>
      </c>
      <c r="AF268" s="1133">
        <v>4</v>
      </c>
      <c r="AG268" s="1127">
        <v>1</v>
      </c>
      <c r="AH268" s="1127">
        <v>0</v>
      </c>
      <c r="AI268" s="1127">
        <v>0</v>
      </c>
      <c r="AJ268" s="1127">
        <v>1</v>
      </c>
      <c r="AK268" s="1129">
        <v>941.08920634920639</v>
      </c>
      <c r="AL268" s="1129">
        <v>0</v>
      </c>
      <c r="AM268" s="1129">
        <v>0</v>
      </c>
      <c r="AN268" s="1129">
        <v>941.08920634920639</v>
      </c>
      <c r="AO268" s="1129" t="s">
        <v>85</v>
      </c>
      <c r="AP268" s="1129" t="s">
        <v>96</v>
      </c>
      <c r="AQ268" s="1157">
        <v>2014</v>
      </c>
      <c r="AR268" s="1129" t="s">
        <v>87</v>
      </c>
      <c r="AS268" s="1127">
        <v>0.33333333333333331</v>
      </c>
      <c r="AT268" s="1127"/>
      <c r="AU268" s="1127">
        <v>0.33333333333333331</v>
      </c>
      <c r="AV268" s="1127"/>
      <c r="AW268" s="1127"/>
      <c r="AX268" s="1127"/>
      <c r="AY268" s="1127"/>
      <c r="AZ268" s="1127">
        <v>0.33333333333333331</v>
      </c>
      <c r="BA268" s="1129">
        <v>313.69640211640211</v>
      </c>
      <c r="BB268" s="1129">
        <v>0</v>
      </c>
      <c r="BC268" s="1129">
        <v>313.69640211640211</v>
      </c>
      <c r="BD268" s="1129">
        <v>0</v>
      </c>
      <c r="BE268" s="1129">
        <v>0</v>
      </c>
      <c r="BF268" s="1129">
        <v>0</v>
      </c>
      <c r="BG268" s="1129">
        <v>0</v>
      </c>
      <c r="BH268" s="1129">
        <v>313.69640211640211</v>
      </c>
      <c r="BI268" s="971"/>
      <c r="BJ268" s="971"/>
      <c r="BK268" s="971"/>
      <c r="BL268" s="1246"/>
      <c r="BM268" s="1247" t="s">
        <v>2125</v>
      </c>
    </row>
    <row r="269" spans="1:65" s="1247" customFormat="1" ht="82.5" customHeight="1">
      <c r="A269" s="1272">
        <v>7000</v>
      </c>
      <c r="B269" s="971" t="s">
        <v>2420</v>
      </c>
      <c r="C269" s="1272">
        <v>7200</v>
      </c>
      <c r="D269" s="971" t="s">
        <v>119</v>
      </c>
      <c r="E269" s="971" t="s">
        <v>7010</v>
      </c>
      <c r="F269" s="971" t="s">
        <v>3600</v>
      </c>
      <c r="G269" s="971" t="s">
        <v>5293</v>
      </c>
      <c r="H269" s="971" t="s">
        <v>3601</v>
      </c>
      <c r="I269" s="1273" t="s">
        <v>7011</v>
      </c>
      <c r="J269" s="971" t="s">
        <v>2146</v>
      </c>
      <c r="K269" s="971" t="s">
        <v>2129</v>
      </c>
      <c r="L269" s="971" t="s">
        <v>2130</v>
      </c>
      <c r="M269" s="971" t="s">
        <v>2129</v>
      </c>
      <c r="N269" s="971" t="s">
        <v>176</v>
      </c>
      <c r="O269" s="971" t="s">
        <v>2130</v>
      </c>
      <c r="P269" s="971" t="s">
        <v>6619</v>
      </c>
      <c r="Q269" s="971" t="s">
        <v>6622</v>
      </c>
      <c r="R269" s="971" t="s">
        <v>5294</v>
      </c>
      <c r="S269" s="1274">
        <v>1</v>
      </c>
      <c r="T269" s="971" t="s">
        <v>242</v>
      </c>
      <c r="U269" s="1275">
        <v>6.666666666666667</v>
      </c>
      <c r="V269" s="1275">
        <v>25</v>
      </c>
      <c r="W269" s="1275">
        <v>666.08920634920639</v>
      </c>
      <c r="X269" s="1275">
        <v>250</v>
      </c>
      <c r="Y269" s="1275">
        <v>941.08920634920639</v>
      </c>
      <c r="Z269" s="1129">
        <v>6.666666666666667</v>
      </c>
      <c r="AA269" s="1129">
        <v>25</v>
      </c>
      <c r="AB269" s="1129">
        <v>666.08920634920639</v>
      </c>
      <c r="AC269" s="1129">
        <v>250</v>
      </c>
      <c r="AD269" s="1098">
        <v>941.08920634920639</v>
      </c>
      <c r="AE269" s="1135">
        <v>4</v>
      </c>
      <c r="AF269" s="1129">
        <v>4</v>
      </c>
      <c r="AG269" s="1127">
        <v>1</v>
      </c>
      <c r="AH269" s="1127">
        <v>0</v>
      </c>
      <c r="AI269" s="1127">
        <v>0</v>
      </c>
      <c r="AJ269" s="1127">
        <v>1</v>
      </c>
      <c r="AK269" s="1129">
        <v>941.08920634920639</v>
      </c>
      <c r="AL269" s="1129">
        <v>0</v>
      </c>
      <c r="AM269" s="1129">
        <v>0</v>
      </c>
      <c r="AN269" s="1129">
        <v>941.08920634920639</v>
      </c>
      <c r="AO269" s="1129" t="s">
        <v>131</v>
      </c>
      <c r="AP269" s="1129" t="s">
        <v>96</v>
      </c>
      <c r="AQ269" s="1157">
        <v>2014</v>
      </c>
      <c r="AR269" s="1129" t="s">
        <v>87</v>
      </c>
      <c r="AS269" s="1127">
        <v>0.33333333333333331</v>
      </c>
      <c r="AT269" s="1127"/>
      <c r="AU269" s="1127">
        <v>0.33333333333333331</v>
      </c>
      <c r="AV269" s="1127"/>
      <c r="AW269" s="1127"/>
      <c r="AX269" s="1127"/>
      <c r="AY269" s="1127"/>
      <c r="AZ269" s="1127">
        <v>0.33333333333333331</v>
      </c>
      <c r="BA269" s="1129">
        <v>313.69640211640211</v>
      </c>
      <c r="BB269" s="1129">
        <v>0</v>
      </c>
      <c r="BC269" s="1129">
        <v>313.69640211640211</v>
      </c>
      <c r="BD269" s="1129">
        <v>0</v>
      </c>
      <c r="BE269" s="1129">
        <v>0</v>
      </c>
      <c r="BF269" s="1129">
        <v>0</v>
      </c>
      <c r="BG269" s="1129">
        <v>0</v>
      </c>
      <c r="BH269" s="1129">
        <v>313.69640211640211</v>
      </c>
      <c r="BI269" s="971"/>
      <c r="BJ269" s="971"/>
      <c r="BK269" s="971"/>
      <c r="BL269" s="1246"/>
      <c r="BM269" s="1247" t="s">
        <v>2127</v>
      </c>
    </row>
    <row r="270" spans="1:65" s="1247" customFormat="1" ht="49.5" customHeight="1">
      <c r="A270" s="1272">
        <v>7000</v>
      </c>
      <c r="B270" s="971" t="s">
        <v>2420</v>
      </c>
      <c r="C270" s="1272">
        <v>7200</v>
      </c>
      <c r="D270" s="971" t="s">
        <v>119</v>
      </c>
      <c r="E270" s="971" t="s">
        <v>7010</v>
      </c>
      <c r="F270" s="971" t="s">
        <v>3600</v>
      </c>
      <c r="G270" s="971" t="s">
        <v>5293</v>
      </c>
      <c r="H270" s="971" t="s">
        <v>3601</v>
      </c>
      <c r="I270" s="1273" t="s">
        <v>7012</v>
      </c>
      <c r="J270" s="971" t="s">
        <v>2146</v>
      </c>
      <c r="K270" s="971" t="s">
        <v>2129</v>
      </c>
      <c r="L270" s="971" t="s">
        <v>2130</v>
      </c>
      <c r="M270" s="971" t="s">
        <v>2129</v>
      </c>
      <c r="N270" s="971" t="s">
        <v>176</v>
      </c>
      <c r="O270" s="971" t="s">
        <v>2130</v>
      </c>
      <c r="P270" s="971" t="s">
        <v>6619</v>
      </c>
      <c r="Q270" s="971" t="s">
        <v>6622</v>
      </c>
      <c r="R270" s="971" t="s">
        <v>5295</v>
      </c>
      <c r="S270" s="1274">
        <v>1</v>
      </c>
      <c r="T270" s="971" t="s">
        <v>242</v>
      </c>
      <c r="U270" s="1275">
        <v>6.666666666666667</v>
      </c>
      <c r="V270" s="1275">
        <v>25</v>
      </c>
      <c r="W270" s="1275">
        <v>666.08920634920639</v>
      </c>
      <c r="X270" s="1275">
        <v>250</v>
      </c>
      <c r="Y270" s="1275">
        <v>941.08920634920639</v>
      </c>
      <c r="Z270" s="1129">
        <v>6.666666666666667</v>
      </c>
      <c r="AA270" s="1129">
        <v>25</v>
      </c>
      <c r="AB270" s="1129">
        <v>666.08920634920639</v>
      </c>
      <c r="AC270" s="1129">
        <v>250</v>
      </c>
      <c r="AD270" s="1098">
        <v>941.08920634920639</v>
      </c>
      <c r="AE270" s="1135">
        <v>4</v>
      </c>
      <c r="AF270" s="1129">
        <v>4</v>
      </c>
      <c r="AG270" s="1127">
        <v>1</v>
      </c>
      <c r="AH270" s="1127">
        <v>0</v>
      </c>
      <c r="AI270" s="1127">
        <v>0</v>
      </c>
      <c r="AJ270" s="1127">
        <v>1</v>
      </c>
      <c r="AK270" s="1129">
        <v>941.08920634920639</v>
      </c>
      <c r="AL270" s="1129">
        <v>0</v>
      </c>
      <c r="AM270" s="1129">
        <v>0</v>
      </c>
      <c r="AN270" s="1129">
        <v>941.08920634920639</v>
      </c>
      <c r="AO270" s="1129" t="s">
        <v>131</v>
      </c>
      <c r="AP270" s="1129" t="s">
        <v>96</v>
      </c>
      <c r="AQ270" s="1157">
        <v>2014</v>
      </c>
      <c r="AR270" s="1129" t="s">
        <v>87</v>
      </c>
      <c r="AS270" s="1127">
        <v>0.33333333333333331</v>
      </c>
      <c r="AT270" s="1127"/>
      <c r="AU270" s="1127">
        <v>0.33333333333333331</v>
      </c>
      <c r="AV270" s="1127"/>
      <c r="AW270" s="1127"/>
      <c r="AX270" s="1127"/>
      <c r="AY270" s="1127"/>
      <c r="AZ270" s="1127">
        <v>0.33333333333333331</v>
      </c>
      <c r="BA270" s="1129">
        <v>313.69640211640211</v>
      </c>
      <c r="BB270" s="1129">
        <v>0</v>
      </c>
      <c r="BC270" s="1129">
        <v>313.69640211640211</v>
      </c>
      <c r="BD270" s="1129">
        <v>0</v>
      </c>
      <c r="BE270" s="1129">
        <v>0</v>
      </c>
      <c r="BF270" s="1129">
        <v>0</v>
      </c>
      <c r="BG270" s="1129">
        <v>0</v>
      </c>
      <c r="BH270" s="1129">
        <v>313.69640211640211</v>
      </c>
      <c r="BI270" s="971"/>
      <c r="BJ270" s="971"/>
      <c r="BK270" s="971"/>
      <c r="BL270" s="1246"/>
      <c r="BM270" s="1247" t="s">
        <v>2127</v>
      </c>
    </row>
    <row r="271" spans="1:65" s="1247" customFormat="1" ht="49.5" customHeight="1">
      <c r="A271" s="1272">
        <v>7000</v>
      </c>
      <c r="B271" s="971" t="s">
        <v>2420</v>
      </c>
      <c r="C271" s="1272">
        <v>7200</v>
      </c>
      <c r="D271" s="971" t="s">
        <v>119</v>
      </c>
      <c r="E271" s="971" t="s">
        <v>7010</v>
      </c>
      <c r="F271" s="971" t="s">
        <v>3600</v>
      </c>
      <c r="G271" s="971" t="s">
        <v>5293</v>
      </c>
      <c r="H271" s="971" t="s">
        <v>3601</v>
      </c>
      <c r="I271" s="1273" t="s">
        <v>7013</v>
      </c>
      <c r="J271" s="971" t="s">
        <v>2146</v>
      </c>
      <c r="K271" s="971" t="s">
        <v>2129</v>
      </c>
      <c r="L271" s="971" t="s">
        <v>2130</v>
      </c>
      <c r="M271" s="971" t="s">
        <v>2129</v>
      </c>
      <c r="N271" s="971" t="s">
        <v>176</v>
      </c>
      <c r="O271" s="971" t="s">
        <v>2130</v>
      </c>
      <c r="P271" s="971" t="s">
        <v>6619</v>
      </c>
      <c r="Q271" s="971" t="s">
        <v>6622</v>
      </c>
      <c r="R271" s="971" t="s">
        <v>5296</v>
      </c>
      <c r="S271" s="1274">
        <v>1</v>
      </c>
      <c r="T271" s="971" t="s">
        <v>242</v>
      </c>
      <c r="U271" s="1275">
        <v>6.666666666666667</v>
      </c>
      <c r="V271" s="1275">
        <v>25</v>
      </c>
      <c r="W271" s="1275">
        <v>666.08920634920639</v>
      </c>
      <c r="X271" s="1275">
        <v>250</v>
      </c>
      <c r="Y271" s="1275">
        <v>941.08920634920639</v>
      </c>
      <c r="Z271" s="1129">
        <v>6.666666666666667</v>
      </c>
      <c r="AA271" s="1129">
        <v>25</v>
      </c>
      <c r="AB271" s="1129">
        <v>666.08920634920639</v>
      </c>
      <c r="AC271" s="1129">
        <v>250</v>
      </c>
      <c r="AD271" s="1098">
        <v>941.08920634920639</v>
      </c>
      <c r="AE271" s="1135">
        <v>4</v>
      </c>
      <c r="AF271" s="1129">
        <v>4</v>
      </c>
      <c r="AG271" s="1127">
        <v>1</v>
      </c>
      <c r="AH271" s="1127">
        <v>0</v>
      </c>
      <c r="AI271" s="1127">
        <v>0</v>
      </c>
      <c r="AJ271" s="1127">
        <v>1</v>
      </c>
      <c r="AK271" s="1129">
        <v>941.08920634920639</v>
      </c>
      <c r="AL271" s="1129">
        <v>0</v>
      </c>
      <c r="AM271" s="1129">
        <v>0</v>
      </c>
      <c r="AN271" s="1129">
        <v>941.08920634920639</v>
      </c>
      <c r="AO271" s="1129" t="s">
        <v>131</v>
      </c>
      <c r="AP271" s="1129" t="s">
        <v>96</v>
      </c>
      <c r="AQ271" s="1157">
        <v>2014</v>
      </c>
      <c r="AR271" s="1129" t="s">
        <v>87</v>
      </c>
      <c r="AS271" s="1127">
        <v>0.33333333333333331</v>
      </c>
      <c r="AT271" s="1127"/>
      <c r="AU271" s="1127">
        <v>0.33333333333333331</v>
      </c>
      <c r="AV271" s="1127"/>
      <c r="AW271" s="1127"/>
      <c r="AX271" s="1127"/>
      <c r="AY271" s="1127"/>
      <c r="AZ271" s="1127">
        <v>0.33333333333333331</v>
      </c>
      <c r="BA271" s="1129">
        <v>313.69640211640211</v>
      </c>
      <c r="BB271" s="1129">
        <v>0</v>
      </c>
      <c r="BC271" s="1129">
        <v>313.69640211640211</v>
      </c>
      <c r="BD271" s="1129">
        <v>0</v>
      </c>
      <c r="BE271" s="1129">
        <v>0</v>
      </c>
      <c r="BF271" s="1129">
        <v>0</v>
      </c>
      <c r="BG271" s="1129">
        <v>0</v>
      </c>
      <c r="BH271" s="1129">
        <v>313.69640211640211</v>
      </c>
      <c r="BI271" s="971"/>
      <c r="BJ271" s="971"/>
      <c r="BK271" s="971"/>
      <c r="BL271" s="1246"/>
      <c r="BM271" s="1247" t="s">
        <v>2127</v>
      </c>
    </row>
    <row r="272" spans="1:65" s="1247" customFormat="1" ht="49.5" customHeight="1">
      <c r="A272" s="1272">
        <v>7000</v>
      </c>
      <c r="B272" s="971" t="s">
        <v>2420</v>
      </c>
      <c r="C272" s="1272">
        <v>7200</v>
      </c>
      <c r="D272" s="971" t="s">
        <v>119</v>
      </c>
      <c r="E272" s="971" t="s">
        <v>7010</v>
      </c>
      <c r="F272" s="971" t="s">
        <v>3600</v>
      </c>
      <c r="G272" s="971" t="s">
        <v>5293</v>
      </c>
      <c r="H272" s="971" t="s">
        <v>3601</v>
      </c>
      <c r="I272" s="1273" t="s">
        <v>7014</v>
      </c>
      <c r="J272" s="971" t="s">
        <v>2146</v>
      </c>
      <c r="K272" s="971" t="s">
        <v>2129</v>
      </c>
      <c r="L272" s="971" t="s">
        <v>2130</v>
      </c>
      <c r="M272" s="971" t="s">
        <v>2129</v>
      </c>
      <c r="N272" s="971" t="s">
        <v>176</v>
      </c>
      <c r="O272" s="971" t="s">
        <v>2130</v>
      </c>
      <c r="P272" s="971" t="s">
        <v>6619</v>
      </c>
      <c r="Q272" s="971" t="s">
        <v>6622</v>
      </c>
      <c r="R272" s="971" t="s">
        <v>5297</v>
      </c>
      <c r="S272" s="1274">
        <v>1</v>
      </c>
      <c r="T272" s="971" t="s">
        <v>242</v>
      </c>
      <c r="U272" s="1275">
        <v>6.666666666666667</v>
      </c>
      <c r="V272" s="1275">
        <v>25</v>
      </c>
      <c r="W272" s="1275">
        <v>666.08920634920639</v>
      </c>
      <c r="X272" s="1275">
        <v>250</v>
      </c>
      <c r="Y272" s="1275">
        <v>941.08920634920639</v>
      </c>
      <c r="Z272" s="1129">
        <v>6.666666666666667</v>
      </c>
      <c r="AA272" s="1129">
        <v>25</v>
      </c>
      <c r="AB272" s="1129">
        <v>666.08920634920639</v>
      </c>
      <c r="AC272" s="1129">
        <v>250</v>
      </c>
      <c r="AD272" s="1098">
        <v>941.08920634920639</v>
      </c>
      <c r="AE272" s="1135">
        <v>4</v>
      </c>
      <c r="AF272" s="1129">
        <v>4</v>
      </c>
      <c r="AG272" s="1127">
        <v>1</v>
      </c>
      <c r="AH272" s="1127">
        <v>0</v>
      </c>
      <c r="AI272" s="1127">
        <v>0</v>
      </c>
      <c r="AJ272" s="1127">
        <v>1</v>
      </c>
      <c r="AK272" s="1129">
        <v>941.08920634920639</v>
      </c>
      <c r="AL272" s="1129">
        <v>0</v>
      </c>
      <c r="AM272" s="1129">
        <v>0</v>
      </c>
      <c r="AN272" s="1129">
        <v>941.08920634920639</v>
      </c>
      <c r="AO272" s="1129" t="s">
        <v>131</v>
      </c>
      <c r="AP272" s="1129" t="s">
        <v>96</v>
      </c>
      <c r="AQ272" s="1157">
        <v>2014</v>
      </c>
      <c r="AR272" s="1129" t="s">
        <v>87</v>
      </c>
      <c r="AS272" s="1127">
        <v>0.33333333333333331</v>
      </c>
      <c r="AT272" s="1127"/>
      <c r="AU272" s="1127">
        <v>0.33333333333333331</v>
      </c>
      <c r="AV272" s="1127"/>
      <c r="AW272" s="1127"/>
      <c r="AX272" s="1127"/>
      <c r="AY272" s="1127"/>
      <c r="AZ272" s="1127">
        <v>0.33333333333333331</v>
      </c>
      <c r="BA272" s="1129">
        <v>313.69640211640211</v>
      </c>
      <c r="BB272" s="1129">
        <v>0</v>
      </c>
      <c r="BC272" s="1129">
        <v>313.69640211640211</v>
      </c>
      <c r="BD272" s="1129">
        <v>0</v>
      </c>
      <c r="BE272" s="1129">
        <v>0</v>
      </c>
      <c r="BF272" s="1129">
        <v>0</v>
      </c>
      <c r="BG272" s="1129">
        <v>0</v>
      </c>
      <c r="BH272" s="1129">
        <v>313.69640211640211</v>
      </c>
      <c r="BI272" s="971"/>
      <c r="BJ272" s="971"/>
      <c r="BK272" s="971"/>
      <c r="BL272" s="1246"/>
      <c r="BM272" s="1247" t="s">
        <v>2127</v>
      </c>
    </row>
    <row r="273" spans="1:65" s="1247" customFormat="1" ht="49.5" customHeight="1">
      <c r="A273" s="1272">
        <v>7000</v>
      </c>
      <c r="B273" s="971" t="s">
        <v>2420</v>
      </c>
      <c r="C273" s="1272">
        <v>7200</v>
      </c>
      <c r="D273" s="971" t="s">
        <v>119</v>
      </c>
      <c r="E273" s="971" t="s">
        <v>7010</v>
      </c>
      <c r="F273" s="971" t="s">
        <v>3600</v>
      </c>
      <c r="G273" s="971" t="s">
        <v>5293</v>
      </c>
      <c r="H273" s="971" t="s">
        <v>3601</v>
      </c>
      <c r="I273" s="1273" t="s">
        <v>7015</v>
      </c>
      <c r="J273" s="971" t="s">
        <v>2146</v>
      </c>
      <c r="K273" s="971" t="s">
        <v>2129</v>
      </c>
      <c r="L273" s="971" t="s">
        <v>2130</v>
      </c>
      <c r="M273" s="971" t="s">
        <v>2129</v>
      </c>
      <c r="N273" s="971" t="s">
        <v>176</v>
      </c>
      <c r="O273" s="971" t="s">
        <v>2130</v>
      </c>
      <c r="P273" s="971" t="s">
        <v>6619</v>
      </c>
      <c r="Q273" s="971" t="s">
        <v>6622</v>
      </c>
      <c r="R273" s="971" t="s">
        <v>5298</v>
      </c>
      <c r="S273" s="1274">
        <v>1</v>
      </c>
      <c r="T273" s="971" t="s">
        <v>242</v>
      </c>
      <c r="U273" s="1275">
        <v>6.666666666666667</v>
      </c>
      <c r="V273" s="1275">
        <v>25</v>
      </c>
      <c r="W273" s="1275">
        <v>666.08920634920639</v>
      </c>
      <c r="X273" s="1275">
        <v>250</v>
      </c>
      <c r="Y273" s="1275">
        <v>941.08920634920639</v>
      </c>
      <c r="Z273" s="1129">
        <v>6.666666666666667</v>
      </c>
      <c r="AA273" s="1129">
        <v>25</v>
      </c>
      <c r="AB273" s="1129">
        <v>666.08920634920639</v>
      </c>
      <c r="AC273" s="1129">
        <v>250</v>
      </c>
      <c r="AD273" s="1098">
        <v>941.08920634920639</v>
      </c>
      <c r="AE273" s="1135">
        <v>4</v>
      </c>
      <c r="AF273" s="1129">
        <v>4</v>
      </c>
      <c r="AG273" s="1127">
        <v>1</v>
      </c>
      <c r="AH273" s="1127">
        <v>0</v>
      </c>
      <c r="AI273" s="1127">
        <v>0</v>
      </c>
      <c r="AJ273" s="1127">
        <v>1</v>
      </c>
      <c r="AK273" s="1129">
        <v>941.08920634920639</v>
      </c>
      <c r="AL273" s="1129">
        <v>0</v>
      </c>
      <c r="AM273" s="1129">
        <v>0</v>
      </c>
      <c r="AN273" s="1129">
        <v>941.08920634920639</v>
      </c>
      <c r="AO273" s="1129" t="s">
        <v>131</v>
      </c>
      <c r="AP273" s="1129" t="s">
        <v>96</v>
      </c>
      <c r="AQ273" s="1157">
        <v>2014</v>
      </c>
      <c r="AR273" s="1129" t="s">
        <v>87</v>
      </c>
      <c r="AS273" s="1127">
        <v>0.33333333333333331</v>
      </c>
      <c r="AT273" s="1127"/>
      <c r="AU273" s="1127">
        <v>0.33333333333333331</v>
      </c>
      <c r="AV273" s="1127"/>
      <c r="AW273" s="1127"/>
      <c r="AX273" s="1127"/>
      <c r="AY273" s="1127"/>
      <c r="AZ273" s="1127">
        <v>0.33333333333333331</v>
      </c>
      <c r="BA273" s="1129">
        <v>313.69640211640211</v>
      </c>
      <c r="BB273" s="1129">
        <v>0</v>
      </c>
      <c r="BC273" s="1129">
        <v>313.69640211640211</v>
      </c>
      <c r="BD273" s="1129">
        <v>0</v>
      </c>
      <c r="BE273" s="1129">
        <v>0</v>
      </c>
      <c r="BF273" s="1129">
        <v>0</v>
      </c>
      <c r="BG273" s="1129">
        <v>0</v>
      </c>
      <c r="BH273" s="1129">
        <v>313.69640211640211</v>
      </c>
      <c r="BI273" s="971"/>
      <c r="BJ273" s="971"/>
      <c r="BK273" s="971"/>
      <c r="BL273" s="1246"/>
      <c r="BM273" s="1247" t="s">
        <v>2127</v>
      </c>
    </row>
    <row r="274" spans="1:65" s="1247" customFormat="1" ht="49.5" customHeight="1">
      <c r="A274" s="1272">
        <v>7000</v>
      </c>
      <c r="B274" s="971" t="s">
        <v>2420</v>
      </c>
      <c r="C274" s="1272">
        <v>7200</v>
      </c>
      <c r="D274" s="971" t="s">
        <v>119</v>
      </c>
      <c r="E274" s="971" t="s">
        <v>7010</v>
      </c>
      <c r="F274" s="971" t="s">
        <v>3600</v>
      </c>
      <c r="G274" s="971" t="s">
        <v>5293</v>
      </c>
      <c r="H274" s="971" t="s">
        <v>3601</v>
      </c>
      <c r="I274" s="1273" t="s">
        <v>7016</v>
      </c>
      <c r="J274" s="971" t="s">
        <v>2146</v>
      </c>
      <c r="K274" s="971" t="s">
        <v>2129</v>
      </c>
      <c r="L274" s="971" t="s">
        <v>2130</v>
      </c>
      <c r="M274" s="971" t="s">
        <v>2129</v>
      </c>
      <c r="N274" s="971" t="s">
        <v>176</v>
      </c>
      <c r="O274" s="971" t="s">
        <v>2130</v>
      </c>
      <c r="P274" s="971" t="s">
        <v>6619</v>
      </c>
      <c r="Q274" s="971" t="s">
        <v>6622</v>
      </c>
      <c r="R274" s="971" t="s">
        <v>5299</v>
      </c>
      <c r="S274" s="1274">
        <v>1</v>
      </c>
      <c r="T274" s="971" t="s">
        <v>242</v>
      </c>
      <c r="U274" s="1275">
        <v>6.666666666666667</v>
      </c>
      <c r="V274" s="1275">
        <v>25</v>
      </c>
      <c r="W274" s="1275">
        <v>666.08920634920639</v>
      </c>
      <c r="X274" s="1275">
        <v>250</v>
      </c>
      <c r="Y274" s="1275">
        <v>941.08920634920639</v>
      </c>
      <c r="Z274" s="1129">
        <v>6.666666666666667</v>
      </c>
      <c r="AA274" s="1129">
        <v>25</v>
      </c>
      <c r="AB274" s="1129">
        <v>666.08920634920639</v>
      </c>
      <c r="AC274" s="1129">
        <v>250</v>
      </c>
      <c r="AD274" s="1098">
        <v>941.08920634920639</v>
      </c>
      <c r="AE274" s="1135">
        <v>4</v>
      </c>
      <c r="AF274" s="1129">
        <v>4</v>
      </c>
      <c r="AG274" s="1127">
        <v>1</v>
      </c>
      <c r="AH274" s="1127">
        <v>0</v>
      </c>
      <c r="AI274" s="1127">
        <v>0</v>
      </c>
      <c r="AJ274" s="1127">
        <v>1</v>
      </c>
      <c r="AK274" s="1129">
        <v>941.08920634920639</v>
      </c>
      <c r="AL274" s="1129">
        <v>0</v>
      </c>
      <c r="AM274" s="1129">
        <v>0</v>
      </c>
      <c r="AN274" s="1129">
        <v>941.08920634920639</v>
      </c>
      <c r="AO274" s="1129" t="s">
        <v>131</v>
      </c>
      <c r="AP274" s="1129" t="s">
        <v>96</v>
      </c>
      <c r="AQ274" s="1157">
        <v>2014</v>
      </c>
      <c r="AR274" s="1129" t="s">
        <v>87</v>
      </c>
      <c r="AS274" s="1127">
        <v>0.33333333333333331</v>
      </c>
      <c r="AT274" s="1127"/>
      <c r="AU274" s="1127">
        <v>0.33333333333333331</v>
      </c>
      <c r="AV274" s="1127"/>
      <c r="AW274" s="1127"/>
      <c r="AX274" s="1127"/>
      <c r="AY274" s="1127"/>
      <c r="AZ274" s="1127">
        <v>0.33333333333333331</v>
      </c>
      <c r="BA274" s="1129">
        <v>313.69640211640211</v>
      </c>
      <c r="BB274" s="1129">
        <v>0</v>
      </c>
      <c r="BC274" s="1129">
        <v>313.69640211640211</v>
      </c>
      <c r="BD274" s="1129">
        <v>0</v>
      </c>
      <c r="BE274" s="1129">
        <v>0</v>
      </c>
      <c r="BF274" s="1129">
        <v>0</v>
      </c>
      <c r="BG274" s="1129">
        <v>0</v>
      </c>
      <c r="BH274" s="1129">
        <v>313.69640211640211</v>
      </c>
      <c r="BI274" s="971"/>
      <c r="BJ274" s="971"/>
      <c r="BK274" s="971"/>
      <c r="BL274" s="1246"/>
      <c r="BM274" s="1247" t="s">
        <v>2127</v>
      </c>
    </row>
    <row r="275" spans="1:65" s="1247" customFormat="1" ht="49.5" customHeight="1">
      <c r="A275" s="1272">
        <v>7000</v>
      </c>
      <c r="B275" s="971" t="s">
        <v>2420</v>
      </c>
      <c r="C275" s="1272">
        <v>7200</v>
      </c>
      <c r="D275" s="971" t="s">
        <v>119</v>
      </c>
      <c r="E275" s="971" t="s">
        <v>7010</v>
      </c>
      <c r="F275" s="971" t="s">
        <v>3600</v>
      </c>
      <c r="G275" s="971" t="s">
        <v>5293</v>
      </c>
      <c r="H275" s="971" t="s">
        <v>3601</v>
      </c>
      <c r="I275" s="1273" t="s">
        <v>7017</v>
      </c>
      <c r="J275" s="971" t="s">
        <v>2146</v>
      </c>
      <c r="K275" s="971" t="s">
        <v>2129</v>
      </c>
      <c r="L275" s="971" t="s">
        <v>2130</v>
      </c>
      <c r="M275" s="971" t="s">
        <v>2129</v>
      </c>
      <c r="N275" s="971" t="s">
        <v>176</v>
      </c>
      <c r="O275" s="971" t="s">
        <v>2130</v>
      </c>
      <c r="P275" s="971" t="s">
        <v>6619</v>
      </c>
      <c r="Q275" s="971" t="s">
        <v>6622</v>
      </c>
      <c r="R275" s="971" t="s">
        <v>5300</v>
      </c>
      <c r="S275" s="1274">
        <v>1</v>
      </c>
      <c r="T275" s="971" t="s">
        <v>242</v>
      </c>
      <c r="U275" s="1275">
        <v>6.666666666666667</v>
      </c>
      <c r="V275" s="1275">
        <v>25</v>
      </c>
      <c r="W275" s="1275">
        <v>666.08920634920639</v>
      </c>
      <c r="X275" s="1275">
        <v>250</v>
      </c>
      <c r="Y275" s="1275">
        <v>941.08920634920639</v>
      </c>
      <c r="Z275" s="1129">
        <v>6.666666666666667</v>
      </c>
      <c r="AA275" s="1129">
        <v>25</v>
      </c>
      <c r="AB275" s="1129">
        <v>666.08920634920639</v>
      </c>
      <c r="AC275" s="1129">
        <v>250</v>
      </c>
      <c r="AD275" s="1098">
        <v>941.08920634920639</v>
      </c>
      <c r="AE275" s="1135">
        <v>4</v>
      </c>
      <c r="AF275" s="1129">
        <v>4</v>
      </c>
      <c r="AG275" s="1127">
        <v>1</v>
      </c>
      <c r="AH275" s="1127">
        <v>0</v>
      </c>
      <c r="AI275" s="1127">
        <v>0</v>
      </c>
      <c r="AJ275" s="1127">
        <v>1</v>
      </c>
      <c r="AK275" s="1129">
        <v>941.08920634920639</v>
      </c>
      <c r="AL275" s="1129">
        <v>0</v>
      </c>
      <c r="AM275" s="1129">
        <v>0</v>
      </c>
      <c r="AN275" s="1129">
        <v>941.08920634920639</v>
      </c>
      <c r="AO275" s="1129" t="s">
        <v>131</v>
      </c>
      <c r="AP275" s="1129" t="s">
        <v>96</v>
      </c>
      <c r="AQ275" s="1157">
        <v>2014</v>
      </c>
      <c r="AR275" s="1129" t="s">
        <v>87</v>
      </c>
      <c r="AS275" s="1127">
        <v>0.33333333333333331</v>
      </c>
      <c r="AT275" s="1127"/>
      <c r="AU275" s="1127">
        <v>0.33333333333333331</v>
      </c>
      <c r="AV275" s="1127"/>
      <c r="AW275" s="1127"/>
      <c r="AX275" s="1127"/>
      <c r="AY275" s="1127"/>
      <c r="AZ275" s="1127">
        <v>0.33333333333333331</v>
      </c>
      <c r="BA275" s="1129">
        <v>313.69640211640211</v>
      </c>
      <c r="BB275" s="1129">
        <v>0</v>
      </c>
      <c r="BC275" s="1129">
        <v>313.69640211640211</v>
      </c>
      <c r="BD275" s="1129">
        <v>0</v>
      </c>
      <c r="BE275" s="1129">
        <v>0</v>
      </c>
      <c r="BF275" s="1129">
        <v>0</v>
      </c>
      <c r="BG275" s="1129">
        <v>0</v>
      </c>
      <c r="BH275" s="1129">
        <v>313.69640211640211</v>
      </c>
      <c r="BI275" s="971"/>
      <c r="BJ275" s="971"/>
      <c r="BK275" s="971"/>
      <c r="BL275" s="1246"/>
      <c r="BM275" s="1247" t="s">
        <v>2129</v>
      </c>
    </row>
    <row r="276" spans="1:65" s="1247" customFormat="1" ht="49.5" customHeight="1">
      <c r="A276" s="1272">
        <v>7000</v>
      </c>
      <c r="B276" s="971" t="s">
        <v>2420</v>
      </c>
      <c r="C276" s="1272">
        <v>7200</v>
      </c>
      <c r="D276" s="971" t="s">
        <v>119</v>
      </c>
      <c r="E276" s="971" t="s">
        <v>7010</v>
      </c>
      <c r="F276" s="971" t="s">
        <v>3600</v>
      </c>
      <c r="G276" s="971" t="s">
        <v>5293</v>
      </c>
      <c r="H276" s="971" t="s">
        <v>3601</v>
      </c>
      <c r="I276" s="1273" t="s">
        <v>7018</v>
      </c>
      <c r="J276" s="971" t="s">
        <v>2146</v>
      </c>
      <c r="K276" s="971" t="s">
        <v>2129</v>
      </c>
      <c r="L276" s="971" t="s">
        <v>2130</v>
      </c>
      <c r="M276" s="971" t="s">
        <v>2129</v>
      </c>
      <c r="N276" s="971" t="s">
        <v>176</v>
      </c>
      <c r="O276" s="971" t="s">
        <v>2130</v>
      </c>
      <c r="P276" s="971" t="s">
        <v>6619</v>
      </c>
      <c r="Q276" s="971" t="s">
        <v>6622</v>
      </c>
      <c r="R276" s="971" t="s">
        <v>5301</v>
      </c>
      <c r="S276" s="1274">
        <v>1</v>
      </c>
      <c r="T276" s="971" t="s">
        <v>242</v>
      </c>
      <c r="U276" s="1275">
        <v>6.666666666666667</v>
      </c>
      <c r="V276" s="1275">
        <v>25</v>
      </c>
      <c r="W276" s="1275">
        <v>666.08920634920639</v>
      </c>
      <c r="X276" s="1275">
        <v>250</v>
      </c>
      <c r="Y276" s="1275">
        <v>941.08920634920639</v>
      </c>
      <c r="Z276" s="1129">
        <v>6.666666666666667</v>
      </c>
      <c r="AA276" s="1129">
        <v>25</v>
      </c>
      <c r="AB276" s="1129">
        <v>666.08920634920639</v>
      </c>
      <c r="AC276" s="1129">
        <v>250</v>
      </c>
      <c r="AD276" s="1098">
        <v>941.08920634920639</v>
      </c>
      <c r="AE276" s="1135">
        <v>4</v>
      </c>
      <c r="AF276" s="1129">
        <v>4</v>
      </c>
      <c r="AG276" s="1127">
        <v>1</v>
      </c>
      <c r="AH276" s="1127">
        <v>0</v>
      </c>
      <c r="AI276" s="1127">
        <v>0</v>
      </c>
      <c r="AJ276" s="1127">
        <v>1</v>
      </c>
      <c r="AK276" s="1129">
        <v>941.08920634920639</v>
      </c>
      <c r="AL276" s="1129">
        <v>0</v>
      </c>
      <c r="AM276" s="1129">
        <v>0</v>
      </c>
      <c r="AN276" s="1129">
        <v>941.08920634920639</v>
      </c>
      <c r="AO276" s="1129" t="s">
        <v>131</v>
      </c>
      <c r="AP276" s="1129" t="s">
        <v>96</v>
      </c>
      <c r="AQ276" s="1157">
        <v>2014</v>
      </c>
      <c r="AR276" s="1129" t="s">
        <v>87</v>
      </c>
      <c r="AS276" s="1127">
        <v>0.33333333333333331</v>
      </c>
      <c r="AT276" s="1127"/>
      <c r="AU276" s="1127">
        <v>0.33333333333333331</v>
      </c>
      <c r="AV276" s="1127"/>
      <c r="AW276" s="1127"/>
      <c r="AX276" s="1127"/>
      <c r="AY276" s="1127"/>
      <c r="AZ276" s="1127">
        <v>0.33333333333333331</v>
      </c>
      <c r="BA276" s="1129">
        <v>313.69640211640211</v>
      </c>
      <c r="BB276" s="1129">
        <v>0</v>
      </c>
      <c r="BC276" s="1129">
        <v>313.69640211640211</v>
      </c>
      <c r="BD276" s="1129">
        <v>0</v>
      </c>
      <c r="BE276" s="1129">
        <v>0</v>
      </c>
      <c r="BF276" s="1129">
        <v>0</v>
      </c>
      <c r="BG276" s="1129">
        <v>0</v>
      </c>
      <c r="BH276" s="1129">
        <v>313.69640211640211</v>
      </c>
      <c r="BI276" s="971"/>
      <c r="BJ276" s="971"/>
      <c r="BK276" s="971"/>
      <c r="BL276" s="1246"/>
      <c r="BM276" s="1247" t="s">
        <v>2129</v>
      </c>
    </row>
    <row r="277" spans="1:65" s="1247" customFormat="1" ht="49.5" customHeight="1">
      <c r="A277" s="1272">
        <v>7000</v>
      </c>
      <c r="B277" s="971" t="s">
        <v>2420</v>
      </c>
      <c r="C277" s="1272">
        <v>7200</v>
      </c>
      <c r="D277" s="971" t="s">
        <v>119</v>
      </c>
      <c r="E277" s="971" t="s">
        <v>7010</v>
      </c>
      <c r="F277" s="971" t="s">
        <v>3600</v>
      </c>
      <c r="G277" s="971" t="s">
        <v>5293</v>
      </c>
      <c r="H277" s="971" t="s">
        <v>3601</v>
      </c>
      <c r="I277" s="1273" t="s">
        <v>7019</v>
      </c>
      <c r="J277" s="971" t="s">
        <v>2146</v>
      </c>
      <c r="K277" s="971" t="s">
        <v>2129</v>
      </c>
      <c r="L277" s="971" t="s">
        <v>2130</v>
      </c>
      <c r="M277" s="971" t="s">
        <v>2129</v>
      </c>
      <c r="N277" s="971" t="s">
        <v>176</v>
      </c>
      <c r="O277" s="971" t="s">
        <v>2130</v>
      </c>
      <c r="P277" s="971" t="s">
        <v>6619</v>
      </c>
      <c r="Q277" s="971" t="s">
        <v>6622</v>
      </c>
      <c r="R277" s="971" t="s">
        <v>5302</v>
      </c>
      <c r="S277" s="1274">
        <v>1</v>
      </c>
      <c r="T277" s="971" t="s">
        <v>242</v>
      </c>
      <c r="U277" s="1275">
        <v>6.666666666666667</v>
      </c>
      <c r="V277" s="1275">
        <v>25</v>
      </c>
      <c r="W277" s="1275">
        <v>666.08920634920639</v>
      </c>
      <c r="X277" s="1275">
        <v>250</v>
      </c>
      <c r="Y277" s="1275">
        <v>941.08920634920639</v>
      </c>
      <c r="Z277" s="1129">
        <v>6.666666666666667</v>
      </c>
      <c r="AA277" s="1129">
        <v>25</v>
      </c>
      <c r="AB277" s="1129">
        <v>666.08920634920639</v>
      </c>
      <c r="AC277" s="1129">
        <v>250</v>
      </c>
      <c r="AD277" s="1098">
        <v>941.08920634920639</v>
      </c>
      <c r="AE277" s="1135">
        <v>4</v>
      </c>
      <c r="AF277" s="1129">
        <v>4</v>
      </c>
      <c r="AG277" s="1127">
        <v>1</v>
      </c>
      <c r="AH277" s="1127">
        <v>0</v>
      </c>
      <c r="AI277" s="1127">
        <v>0</v>
      </c>
      <c r="AJ277" s="1127">
        <v>1</v>
      </c>
      <c r="AK277" s="1129">
        <v>941.08920634920639</v>
      </c>
      <c r="AL277" s="1129">
        <v>0</v>
      </c>
      <c r="AM277" s="1129">
        <v>0</v>
      </c>
      <c r="AN277" s="1129">
        <v>941.08920634920639</v>
      </c>
      <c r="AO277" s="1129" t="s">
        <v>131</v>
      </c>
      <c r="AP277" s="1129" t="s">
        <v>96</v>
      </c>
      <c r="AQ277" s="1157">
        <v>2014</v>
      </c>
      <c r="AR277" s="1129" t="s">
        <v>87</v>
      </c>
      <c r="AS277" s="1127">
        <v>0.33333333333333331</v>
      </c>
      <c r="AT277" s="1127"/>
      <c r="AU277" s="1127">
        <v>0.33333333333333331</v>
      </c>
      <c r="AV277" s="1127"/>
      <c r="AW277" s="1127"/>
      <c r="AX277" s="1127"/>
      <c r="AY277" s="1127"/>
      <c r="AZ277" s="1127">
        <v>0.33333333333333331</v>
      </c>
      <c r="BA277" s="1129">
        <v>313.69640211640211</v>
      </c>
      <c r="BB277" s="1129">
        <v>0</v>
      </c>
      <c r="BC277" s="1129">
        <v>313.69640211640211</v>
      </c>
      <c r="BD277" s="1129">
        <v>0</v>
      </c>
      <c r="BE277" s="1129">
        <v>0</v>
      </c>
      <c r="BF277" s="1129">
        <v>0</v>
      </c>
      <c r="BG277" s="1129">
        <v>0</v>
      </c>
      <c r="BH277" s="1129">
        <v>313.69640211640211</v>
      </c>
      <c r="BI277" s="971"/>
      <c r="BJ277" s="971"/>
      <c r="BK277" s="971"/>
      <c r="BL277" s="1246"/>
      <c r="BM277" s="1247" t="s">
        <v>2125</v>
      </c>
    </row>
    <row r="278" spans="1:65" s="1247" customFormat="1" ht="49.5" customHeight="1">
      <c r="A278" s="1272">
        <v>7000</v>
      </c>
      <c r="B278" s="971" t="s">
        <v>2420</v>
      </c>
      <c r="C278" s="1272">
        <v>7200</v>
      </c>
      <c r="D278" s="971" t="s">
        <v>119</v>
      </c>
      <c r="E278" s="971" t="s">
        <v>7010</v>
      </c>
      <c r="F278" s="971" t="s">
        <v>3600</v>
      </c>
      <c r="G278" s="971" t="s">
        <v>5293</v>
      </c>
      <c r="H278" s="971" t="s">
        <v>3601</v>
      </c>
      <c r="I278" s="1273" t="s">
        <v>7020</v>
      </c>
      <c r="J278" s="971" t="s">
        <v>2146</v>
      </c>
      <c r="K278" s="971" t="s">
        <v>2129</v>
      </c>
      <c r="L278" s="971" t="s">
        <v>2130</v>
      </c>
      <c r="M278" s="971" t="s">
        <v>2129</v>
      </c>
      <c r="N278" s="971" t="s">
        <v>176</v>
      </c>
      <c r="O278" s="971" t="s">
        <v>2130</v>
      </c>
      <c r="P278" s="971" t="s">
        <v>6619</v>
      </c>
      <c r="Q278" s="971" t="s">
        <v>6622</v>
      </c>
      <c r="R278" s="971" t="s">
        <v>5303</v>
      </c>
      <c r="S278" s="1274">
        <v>1</v>
      </c>
      <c r="T278" s="971" t="s">
        <v>242</v>
      </c>
      <c r="U278" s="1275">
        <v>6.666666666666667</v>
      </c>
      <c r="V278" s="1275">
        <v>25</v>
      </c>
      <c r="W278" s="1275">
        <v>666.08920634920639</v>
      </c>
      <c r="X278" s="1275">
        <v>250</v>
      </c>
      <c r="Y278" s="1275">
        <v>941.08920634920639</v>
      </c>
      <c r="Z278" s="1129">
        <v>6.666666666666667</v>
      </c>
      <c r="AA278" s="1129">
        <v>25</v>
      </c>
      <c r="AB278" s="1129">
        <v>666.08920634920639</v>
      </c>
      <c r="AC278" s="1129">
        <v>250</v>
      </c>
      <c r="AD278" s="1098">
        <v>941.08920634920639</v>
      </c>
      <c r="AE278" s="1135">
        <v>4</v>
      </c>
      <c r="AF278" s="1129">
        <v>4</v>
      </c>
      <c r="AG278" s="1127">
        <v>1</v>
      </c>
      <c r="AH278" s="1127">
        <v>0</v>
      </c>
      <c r="AI278" s="1127">
        <v>0</v>
      </c>
      <c r="AJ278" s="1127">
        <v>1</v>
      </c>
      <c r="AK278" s="1129">
        <v>941.08920634920639</v>
      </c>
      <c r="AL278" s="1129">
        <v>0</v>
      </c>
      <c r="AM278" s="1129">
        <v>0</v>
      </c>
      <c r="AN278" s="1129">
        <v>941.08920634920639</v>
      </c>
      <c r="AO278" s="1129" t="s">
        <v>131</v>
      </c>
      <c r="AP278" s="1129" t="s">
        <v>96</v>
      </c>
      <c r="AQ278" s="1157">
        <v>2014</v>
      </c>
      <c r="AR278" s="1129" t="s">
        <v>87</v>
      </c>
      <c r="AS278" s="1127">
        <v>0.33333333333333331</v>
      </c>
      <c r="AT278" s="1127"/>
      <c r="AU278" s="1127">
        <v>0.33333333333333331</v>
      </c>
      <c r="AV278" s="1127"/>
      <c r="AW278" s="1127"/>
      <c r="AX278" s="1127"/>
      <c r="AY278" s="1127"/>
      <c r="AZ278" s="1127">
        <v>0.33333333333333331</v>
      </c>
      <c r="BA278" s="1129">
        <v>313.69640211640211</v>
      </c>
      <c r="BB278" s="1129">
        <v>0</v>
      </c>
      <c r="BC278" s="1129">
        <v>313.69640211640211</v>
      </c>
      <c r="BD278" s="1129">
        <v>0</v>
      </c>
      <c r="BE278" s="1129">
        <v>0</v>
      </c>
      <c r="BF278" s="1129">
        <v>0</v>
      </c>
      <c r="BG278" s="1129">
        <v>0</v>
      </c>
      <c r="BH278" s="1129">
        <v>313.69640211640211</v>
      </c>
      <c r="BI278" s="971"/>
      <c r="BJ278" s="971"/>
      <c r="BK278" s="971"/>
      <c r="BL278" s="1246"/>
      <c r="BM278" s="1247" t="s">
        <v>2127</v>
      </c>
    </row>
    <row r="279" spans="1:65" s="1247" customFormat="1" ht="49.5" customHeight="1">
      <c r="A279" s="1272">
        <v>7000</v>
      </c>
      <c r="B279" s="971" t="s">
        <v>2420</v>
      </c>
      <c r="C279" s="1272">
        <v>7200</v>
      </c>
      <c r="D279" s="971" t="s">
        <v>119</v>
      </c>
      <c r="E279" s="971" t="s">
        <v>7010</v>
      </c>
      <c r="F279" s="971" t="s">
        <v>3600</v>
      </c>
      <c r="G279" s="971" t="s">
        <v>5293</v>
      </c>
      <c r="H279" s="971" t="s">
        <v>3601</v>
      </c>
      <c r="I279" s="1273" t="s">
        <v>7021</v>
      </c>
      <c r="J279" s="971" t="s">
        <v>2146</v>
      </c>
      <c r="K279" s="971" t="s">
        <v>2129</v>
      </c>
      <c r="L279" s="971" t="s">
        <v>2130</v>
      </c>
      <c r="M279" s="971" t="s">
        <v>2129</v>
      </c>
      <c r="N279" s="971" t="s">
        <v>176</v>
      </c>
      <c r="O279" s="971" t="s">
        <v>2130</v>
      </c>
      <c r="P279" s="971" t="s">
        <v>6619</v>
      </c>
      <c r="Q279" s="971" t="s">
        <v>6622</v>
      </c>
      <c r="R279" s="971" t="s">
        <v>5304</v>
      </c>
      <c r="S279" s="1274">
        <v>1</v>
      </c>
      <c r="T279" s="971" t="s">
        <v>242</v>
      </c>
      <c r="U279" s="1275">
        <v>6.666666666666667</v>
      </c>
      <c r="V279" s="1275">
        <v>25</v>
      </c>
      <c r="W279" s="1275">
        <v>666.08920634920639</v>
      </c>
      <c r="X279" s="1275">
        <v>250</v>
      </c>
      <c r="Y279" s="1275">
        <v>941.08920634920639</v>
      </c>
      <c r="Z279" s="1129">
        <v>6.666666666666667</v>
      </c>
      <c r="AA279" s="1129">
        <v>25</v>
      </c>
      <c r="AB279" s="1129">
        <v>666.08920634920639</v>
      </c>
      <c r="AC279" s="1129">
        <v>250</v>
      </c>
      <c r="AD279" s="1098">
        <v>941.08920634920639</v>
      </c>
      <c r="AE279" s="1135">
        <v>4</v>
      </c>
      <c r="AF279" s="1129">
        <v>4</v>
      </c>
      <c r="AG279" s="1127">
        <v>1</v>
      </c>
      <c r="AH279" s="1127">
        <v>0</v>
      </c>
      <c r="AI279" s="1127">
        <v>0</v>
      </c>
      <c r="AJ279" s="1127">
        <v>1</v>
      </c>
      <c r="AK279" s="1129">
        <v>941.08920634920639</v>
      </c>
      <c r="AL279" s="1129">
        <v>0</v>
      </c>
      <c r="AM279" s="1129">
        <v>0</v>
      </c>
      <c r="AN279" s="1129">
        <v>941.08920634920639</v>
      </c>
      <c r="AO279" s="1129" t="s">
        <v>131</v>
      </c>
      <c r="AP279" s="1129" t="s">
        <v>96</v>
      </c>
      <c r="AQ279" s="1157">
        <v>2014</v>
      </c>
      <c r="AR279" s="1129" t="s">
        <v>87</v>
      </c>
      <c r="AS279" s="1127">
        <v>0.33333333333333331</v>
      </c>
      <c r="AT279" s="1127"/>
      <c r="AU279" s="1127">
        <v>0.33333333333333331</v>
      </c>
      <c r="AV279" s="1127"/>
      <c r="AW279" s="1127"/>
      <c r="AX279" s="1127"/>
      <c r="AY279" s="1127"/>
      <c r="AZ279" s="1127">
        <v>0.33333333333333331</v>
      </c>
      <c r="BA279" s="1129">
        <v>313.69640211640211</v>
      </c>
      <c r="BB279" s="1129">
        <v>0</v>
      </c>
      <c r="BC279" s="1129">
        <v>313.69640211640211</v>
      </c>
      <c r="BD279" s="1129">
        <v>0</v>
      </c>
      <c r="BE279" s="1129">
        <v>0</v>
      </c>
      <c r="BF279" s="1129">
        <v>0</v>
      </c>
      <c r="BG279" s="1129">
        <v>0</v>
      </c>
      <c r="BH279" s="1129">
        <v>313.69640211640211</v>
      </c>
      <c r="BI279" s="971"/>
      <c r="BJ279" s="971"/>
      <c r="BK279" s="971"/>
      <c r="BL279" s="1246"/>
      <c r="BM279" s="1247" t="s">
        <v>2129</v>
      </c>
    </row>
    <row r="280" spans="1:65" s="1247" customFormat="1" ht="66" customHeight="1">
      <c r="A280" s="1272">
        <v>7000</v>
      </c>
      <c r="B280" s="971" t="s">
        <v>2420</v>
      </c>
      <c r="C280" s="1272">
        <v>7200</v>
      </c>
      <c r="D280" s="971" t="s">
        <v>119</v>
      </c>
      <c r="E280" s="971" t="s">
        <v>7010</v>
      </c>
      <c r="F280" s="971" t="s">
        <v>3600</v>
      </c>
      <c r="G280" s="971" t="s">
        <v>5293</v>
      </c>
      <c r="H280" s="971" t="s">
        <v>3601</v>
      </c>
      <c r="I280" s="1273" t="s">
        <v>7022</v>
      </c>
      <c r="J280" s="971" t="s">
        <v>2146</v>
      </c>
      <c r="K280" s="971" t="s">
        <v>2129</v>
      </c>
      <c r="L280" s="971" t="s">
        <v>2130</v>
      </c>
      <c r="M280" s="971" t="s">
        <v>2129</v>
      </c>
      <c r="N280" s="971" t="s">
        <v>176</v>
      </c>
      <c r="O280" s="971" t="s">
        <v>2130</v>
      </c>
      <c r="P280" s="971" t="s">
        <v>6619</v>
      </c>
      <c r="Q280" s="971" t="s">
        <v>6622</v>
      </c>
      <c r="R280" s="971" t="s">
        <v>5305</v>
      </c>
      <c r="S280" s="1274">
        <v>1</v>
      </c>
      <c r="T280" s="971" t="s">
        <v>242</v>
      </c>
      <c r="U280" s="1275">
        <v>6.666666666666667</v>
      </c>
      <c r="V280" s="1275">
        <v>25</v>
      </c>
      <c r="W280" s="1275">
        <v>666.08920634920639</v>
      </c>
      <c r="X280" s="1275">
        <v>250</v>
      </c>
      <c r="Y280" s="1275">
        <v>941.08920634920639</v>
      </c>
      <c r="Z280" s="1129">
        <v>6.666666666666667</v>
      </c>
      <c r="AA280" s="1129">
        <v>25</v>
      </c>
      <c r="AB280" s="1129">
        <v>666.08920634920639</v>
      </c>
      <c r="AC280" s="1129">
        <v>250</v>
      </c>
      <c r="AD280" s="1098">
        <v>941.08920634920639</v>
      </c>
      <c r="AE280" s="1135">
        <v>4</v>
      </c>
      <c r="AF280" s="1129">
        <v>4</v>
      </c>
      <c r="AG280" s="1127">
        <v>1</v>
      </c>
      <c r="AH280" s="1127">
        <v>0</v>
      </c>
      <c r="AI280" s="1127">
        <v>0</v>
      </c>
      <c r="AJ280" s="1127">
        <v>1</v>
      </c>
      <c r="AK280" s="1129">
        <v>941.08920634920639</v>
      </c>
      <c r="AL280" s="1129">
        <v>0</v>
      </c>
      <c r="AM280" s="1129">
        <v>0</v>
      </c>
      <c r="AN280" s="1129">
        <v>941.08920634920639</v>
      </c>
      <c r="AO280" s="1129" t="s">
        <v>131</v>
      </c>
      <c r="AP280" s="1129" t="s">
        <v>96</v>
      </c>
      <c r="AQ280" s="1157">
        <v>2014</v>
      </c>
      <c r="AR280" s="1129" t="s">
        <v>87</v>
      </c>
      <c r="AS280" s="1127">
        <v>0.33333333333333331</v>
      </c>
      <c r="AT280" s="1127"/>
      <c r="AU280" s="1127">
        <v>0.33333333333333331</v>
      </c>
      <c r="AV280" s="1127"/>
      <c r="AW280" s="1127"/>
      <c r="AX280" s="1127"/>
      <c r="AY280" s="1127"/>
      <c r="AZ280" s="1127">
        <v>0.33333333333333331</v>
      </c>
      <c r="BA280" s="1129">
        <v>313.69640211640211</v>
      </c>
      <c r="BB280" s="1129">
        <v>0</v>
      </c>
      <c r="BC280" s="1129">
        <v>313.69640211640211</v>
      </c>
      <c r="BD280" s="1129">
        <v>0</v>
      </c>
      <c r="BE280" s="1129">
        <v>0</v>
      </c>
      <c r="BF280" s="1129">
        <v>0</v>
      </c>
      <c r="BG280" s="1129">
        <v>0</v>
      </c>
      <c r="BH280" s="1129">
        <v>313.69640211640211</v>
      </c>
      <c r="BI280" s="971"/>
      <c r="BJ280" s="971"/>
      <c r="BK280" s="971"/>
      <c r="BL280" s="1246"/>
      <c r="BM280" s="1247" t="s">
        <v>2129</v>
      </c>
    </row>
    <row r="281" spans="1:65" s="1247" customFormat="1" ht="66" customHeight="1">
      <c r="A281" s="1272">
        <v>7000</v>
      </c>
      <c r="B281" s="971" t="s">
        <v>2420</v>
      </c>
      <c r="C281" s="1272">
        <v>7200</v>
      </c>
      <c r="D281" s="971" t="s">
        <v>119</v>
      </c>
      <c r="E281" s="971" t="s">
        <v>7010</v>
      </c>
      <c r="F281" s="971" t="s">
        <v>3600</v>
      </c>
      <c r="G281" s="971" t="s">
        <v>5293</v>
      </c>
      <c r="H281" s="971" t="s">
        <v>3601</v>
      </c>
      <c r="I281" s="1273" t="s">
        <v>7023</v>
      </c>
      <c r="J281" s="971" t="s">
        <v>2146</v>
      </c>
      <c r="K281" s="971" t="s">
        <v>2129</v>
      </c>
      <c r="L281" s="971" t="s">
        <v>2130</v>
      </c>
      <c r="M281" s="971" t="s">
        <v>2129</v>
      </c>
      <c r="N281" s="971" t="s">
        <v>176</v>
      </c>
      <c r="O281" s="971" t="s">
        <v>2130</v>
      </c>
      <c r="P281" s="971" t="s">
        <v>6619</v>
      </c>
      <c r="Q281" s="971" t="s">
        <v>6622</v>
      </c>
      <c r="R281" s="971" t="s">
        <v>5306</v>
      </c>
      <c r="S281" s="1274">
        <v>1</v>
      </c>
      <c r="T281" s="971" t="s">
        <v>242</v>
      </c>
      <c r="U281" s="1275">
        <v>6.666666666666667</v>
      </c>
      <c r="V281" s="1275">
        <v>25</v>
      </c>
      <c r="W281" s="1275">
        <v>666.08920634920639</v>
      </c>
      <c r="X281" s="1275">
        <v>250</v>
      </c>
      <c r="Y281" s="1275">
        <v>941.08920634920639</v>
      </c>
      <c r="Z281" s="1129">
        <v>6.666666666666667</v>
      </c>
      <c r="AA281" s="1129">
        <v>25</v>
      </c>
      <c r="AB281" s="1129">
        <v>666.08920634920639</v>
      </c>
      <c r="AC281" s="1129">
        <v>250</v>
      </c>
      <c r="AD281" s="1098">
        <v>941.08920634920639</v>
      </c>
      <c r="AE281" s="1135">
        <v>4</v>
      </c>
      <c r="AF281" s="1129">
        <v>4</v>
      </c>
      <c r="AG281" s="1127">
        <v>1</v>
      </c>
      <c r="AH281" s="1127">
        <v>0</v>
      </c>
      <c r="AI281" s="1127">
        <v>0</v>
      </c>
      <c r="AJ281" s="1127">
        <v>1</v>
      </c>
      <c r="AK281" s="1129">
        <v>941.08920634920639</v>
      </c>
      <c r="AL281" s="1129">
        <v>0</v>
      </c>
      <c r="AM281" s="1129">
        <v>0</v>
      </c>
      <c r="AN281" s="1129">
        <v>941.08920634920639</v>
      </c>
      <c r="AO281" s="1129" t="s">
        <v>131</v>
      </c>
      <c r="AP281" s="1129" t="s">
        <v>96</v>
      </c>
      <c r="AQ281" s="1157">
        <v>2014</v>
      </c>
      <c r="AR281" s="1129" t="s">
        <v>87</v>
      </c>
      <c r="AS281" s="1127">
        <v>0.33333333333333331</v>
      </c>
      <c r="AT281" s="1127"/>
      <c r="AU281" s="1127">
        <v>0.33333333333333331</v>
      </c>
      <c r="AV281" s="1127"/>
      <c r="AW281" s="1127"/>
      <c r="AX281" s="1127"/>
      <c r="AY281" s="1127"/>
      <c r="AZ281" s="1127">
        <v>0.33333333333333331</v>
      </c>
      <c r="BA281" s="1129">
        <v>313.69640211640211</v>
      </c>
      <c r="BB281" s="1129">
        <v>0</v>
      </c>
      <c r="BC281" s="1129">
        <v>313.69640211640211</v>
      </c>
      <c r="BD281" s="1129">
        <v>0</v>
      </c>
      <c r="BE281" s="1129">
        <v>0</v>
      </c>
      <c r="BF281" s="1129">
        <v>0</v>
      </c>
      <c r="BG281" s="1129">
        <v>0</v>
      </c>
      <c r="BH281" s="1129">
        <v>313.69640211640211</v>
      </c>
      <c r="BI281" s="971"/>
      <c r="BJ281" s="971"/>
      <c r="BK281" s="971"/>
      <c r="BL281" s="1246"/>
      <c r="BM281" s="1247" t="s">
        <v>2129</v>
      </c>
    </row>
    <row r="282" spans="1:65" s="1247" customFormat="1" ht="49.5" customHeight="1">
      <c r="A282" s="1272">
        <v>7000</v>
      </c>
      <c r="B282" s="971" t="s">
        <v>2420</v>
      </c>
      <c r="C282" s="1272">
        <v>7200</v>
      </c>
      <c r="D282" s="971" t="s">
        <v>119</v>
      </c>
      <c r="E282" s="971" t="s">
        <v>7010</v>
      </c>
      <c r="F282" s="971" t="s">
        <v>3600</v>
      </c>
      <c r="G282" s="971" t="s">
        <v>5293</v>
      </c>
      <c r="H282" s="971" t="s">
        <v>3601</v>
      </c>
      <c r="I282" s="1273" t="s">
        <v>7024</v>
      </c>
      <c r="J282" s="971" t="s">
        <v>2146</v>
      </c>
      <c r="K282" s="971" t="s">
        <v>2129</v>
      </c>
      <c r="L282" s="971" t="s">
        <v>2130</v>
      </c>
      <c r="M282" s="971" t="s">
        <v>2129</v>
      </c>
      <c r="N282" s="971" t="s">
        <v>176</v>
      </c>
      <c r="O282" s="971" t="s">
        <v>2130</v>
      </c>
      <c r="P282" s="971" t="s">
        <v>6619</v>
      </c>
      <c r="Q282" s="971" t="s">
        <v>6622</v>
      </c>
      <c r="R282" s="971" t="s">
        <v>5307</v>
      </c>
      <c r="S282" s="1274">
        <v>1</v>
      </c>
      <c r="T282" s="971" t="s">
        <v>242</v>
      </c>
      <c r="U282" s="1275">
        <v>6.666666666666667</v>
      </c>
      <c r="V282" s="1275">
        <v>25</v>
      </c>
      <c r="W282" s="1275">
        <v>666.08920634920639</v>
      </c>
      <c r="X282" s="1275">
        <v>250</v>
      </c>
      <c r="Y282" s="1275">
        <v>941.08920634920639</v>
      </c>
      <c r="Z282" s="1129">
        <v>6.666666666666667</v>
      </c>
      <c r="AA282" s="1129">
        <v>25</v>
      </c>
      <c r="AB282" s="1129">
        <v>666.08920634920639</v>
      </c>
      <c r="AC282" s="1129">
        <v>250</v>
      </c>
      <c r="AD282" s="1098">
        <v>941.08920634920639</v>
      </c>
      <c r="AE282" s="1135">
        <v>4</v>
      </c>
      <c r="AF282" s="1129">
        <v>4</v>
      </c>
      <c r="AG282" s="1127">
        <v>1</v>
      </c>
      <c r="AH282" s="1127">
        <v>0</v>
      </c>
      <c r="AI282" s="1127">
        <v>0</v>
      </c>
      <c r="AJ282" s="1127">
        <v>1</v>
      </c>
      <c r="AK282" s="1129">
        <v>941.08920634920639</v>
      </c>
      <c r="AL282" s="1129">
        <v>0</v>
      </c>
      <c r="AM282" s="1129">
        <v>0</v>
      </c>
      <c r="AN282" s="1129">
        <v>941.08920634920639</v>
      </c>
      <c r="AO282" s="1129" t="s">
        <v>131</v>
      </c>
      <c r="AP282" s="1129" t="s">
        <v>96</v>
      </c>
      <c r="AQ282" s="1157">
        <v>2014</v>
      </c>
      <c r="AR282" s="1129" t="s">
        <v>87</v>
      </c>
      <c r="AS282" s="1127">
        <v>0.33333333333333331</v>
      </c>
      <c r="AT282" s="1127"/>
      <c r="AU282" s="1127">
        <v>0.33333333333333331</v>
      </c>
      <c r="AV282" s="1127"/>
      <c r="AW282" s="1127"/>
      <c r="AX282" s="1127"/>
      <c r="AY282" s="1127"/>
      <c r="AZ282" s="1127">
        <v>0.33333333333333331</v>
      </c>
      <c r="BA282" s="1129">
        <v>313.69640211640211</v>
      </c>
      <c r="BB282" s="1129">
        <v>0</v>
      </c>
      <c r="BC282" s="1129">
        <v>313.69640211640211</v>
      </c>
      <c r="BD282" s="1129">
        <v>0</v>
      </c>
      <c r="BE282" s="1129">
        <v>0</v>
      </c>
      <c r="BF282" s="1129">
        <v>0</v>
      </c>
      <c r="BG282" s="1129">
        <v>0</v>
      </c>
      <c r="BH282" s="1129">
        <v>313.69640211640211</v>
      </c>
      <c r="BI282" s="971"/>
      <c r="BJ282" s="971"/>
      <c r="BK282" s="971"/>
      <c r="BL282" s="1246"/>
      <c r="BM282" s="1247" t="s">
        <v>2129</v>
      </c>
    </row>
    <row r="283" spans="1:65" s="1247" customFormat="1" ht="49.5" customHeight="1">
      <c r="A283" s="1272">
        <v>7000</v>
      </c>
      <c r="B283" s="971" t="s">
        <v>2420</v>
      </c>
      <c r="C283" s="1272">
        <v>7200</v>
      </c>
      <c r="D283" s="971" t="s">
        <v>119</v>
      </c>
      <c r="E283" s="971" t="s">
        <v>7010</v>
      </c>
      <c r="F283" s="971" t="s">
        <v>3600</v>
      </c>
      <c r="G283" s="971" t="s">
        <v>5293</v>
      </c>
      <c r="H283" s="971" t="s">
        <v>3601</v>
      </c>
      <c r="I283" s="1273" t="s">
        <v>7025</v>
      </c>
      <c r="J283" s="971" t="s">
        <v>2146</v>
      </c>
      <c r="K283" s="971" t="s">
        <v>2129</v>
      </c>
      <c r="L283" s="971" t="s">
        <v>2130</v>
      </c>
      <c r="M283" s="971" t="s">
        <v>2129</v>
      </c>
      <c r="N283" s="971" t="s">
        <v>176</v>
      </c>
      <c r="O283" s="971" t="s">
        <v>2130</v>
      </c>
      <c r="P283" s="971" t="s">
        <v>7026</v>
      </c>
      <c r="Q283" s="971" t="s">
        <v>7027</v>
      </c>
      <c r="R283" s="971" t="s">
        <v>5308</v>
      </c>
      <c r="S283" s="1274">
        <v>1</v>
      </c>
      <c r="T283" s="971" t="s">
        <v>242</v>
      </c>
      <c r="U283" s="1275">
        <v>6.666666666666667</v>
      </c>
      <c r="V283" s="1275">
        <v>25</v>
      </c>
      <c r="W283" s="1275">
        <v>666.08920634920639</v>
      </c>
      <c r="X283" s="1275">
        <v>250</v>
      </c>
      <c r="Y283" s="1275">
        <v>941.08920634920639</v>
      </c>
      <c r="Z283" s="1129">
        <v>6.666666666666667</v>
      </c>
      <c r="AA283" s="1129">
        <v>25</v>
      </c>
      <c r="AB283" s="1129">
        <v>666.08920634920639</v>
      </c>
      <c r="AC283" s="1129">
        <v>250</v>
      </c>
      <c r="AD283" s="1098">
        <v>941.08920634920639</v>
      </c>
      <c r="AE283" s="1135">
        <v>4</v>
      </c>
      <c r="AF283" s="1129">
        <v>4</v>
      </c>
      <c r="AG283" s="1127">
        <v>1</v>
      </c>
      <c r="AH283" s="1127">
        <v>0</v>
      </c>
      <c r="AI283" s="1127">
        <v>0</v>
      </c>
      <c r="AJ283" s="1127">
        <v>1</v>
      </c>
      <c r="AK283" s="1129">
        <v>941.08920634920639</v>
      </c>
      <c r="AL283" s="1129">
        <v>0</v>
      </c>
      <c r="AM283" s="1129">
        <v>0</v>
      </c>
      <c r="AN283" s="1129">
        <v>941.08920634920639</v>
      </c>
      <c r="AO283" s="1129" t="s">
        <v>131</v>
      </c>
      <c r="AP283" s="1129" t="s">
        <v>96</v>
      </c>
      <c r="AQ283" s="1157">
        <v>2014</v>
      </c>
      <c r="AR283" s="1129" t="s">
        <v>87</v>
      </c>
      <c r="AS283" s="1127">
        <v>0.33333333333333331</v>
      </c>
      <c r="AT283" s="1127"/>
      <c r="AU283" s="1127">
        <v>0.33333333333333331</v>
      </c>
      <c r="AV283" s="1127"/>
      <c r="AW283" s="1127"/>
      <c r="AX283" s="1127"/>
      <c r="AY283" s="1127"/>
      <c r="AZ283" s="1127">
        <v>0.33333333333333331</v>
      </c>
      <c r="BA283" s="1129">
        <v>313.69640211640211</v>
      </c>
      <c r="BB283" s="1129">
        <v>0</v>
      </c>
      <c r="BC283" s="1129">
        <v>313.69640211640211</v>
      </c>
      <c r="BD283" s="1129">
        <v>0</v>
      </c>
      <c r="BE283" s="1129">
        <v>0</v>
      </c>
      <c r="BF283" s="1129">
        <v>0</v>
      </c>
      <c r="BG283" s="1129">
        <v>0</v>
      </c>
      <c r="BH283" s="1129">
        <v>313.69640211640211</v>
      </c>
      <c r="BI283" s="971"/>
      <c r="BJ283" s="971"/>
      <c r="BK283" s="971"/>
      <c r="BL283" s="1246"/>
      <c r="BM283" s="1247" t="s">
        <v>2129</v>
      </c>
    </row>
    <row r="284" spans="1:65" s="1247" customFormat="1" ht="49.5" customHeight="1">
      <c r="A284" s="1272">
        <v>7000</v>
      </c>
      <c r="B284" s="971" t="s">
        <v>2420</v>
      </c>
      <c r="C284" s="1272">
        <v>7200</v>
      </c>
      <c r="D284" s="971" t="s">
        <v>119</v>
      </c>
      <c r="E284" s="971" t="s">
        <v>7010</v>
      </c>
      <c r="F284" s="971" t="s">
        <v>3600</v>
      </c>
      <c r="G284" s="971" t="s">
        <v>5293</v>
      </c>
      <c r="H284" s="971" t="s">
        <v>3601</v>
      </c>
      <c r="I284" s="1273" t="s">
        <v>7028</v>
      </c>
      <c r="J284" s="971" t="s">
        <v>2146</v>
      </c>
      <c r="K284" s="971" t="s">
        <v>2129</v>
      </c>
      <c r="L284" s="971" t="s">
        <v>2130</v>
      </c>
      <c r="M284" s="971" t="s">
        <v>2129</v>
      </c>
      <c r="N284" s="971" t="s">
        <v>176</v>
      </c>
      <c r="O284" s="971" t="s">
        <v>2130</v>
      </c>
      <c r="P284" s="971" t="s">
        <v>6619</v>
      </c>
      <c r="Q284" s="971" t="s">
        <v>6622</v>
      </c>
      <c r="R284" s="971" t="s">
        <v>5311</v>
      </c>
      <c r="S284" s="1274">
        <v>1</v>
      </c>
      <c r="T284" s="971" t="s">
        <v>242</v>
      </c>
      <c r="U284" s="1275">
        <v>6.666666666666667</v>
      </c>
      <c r="V284" s="1275">
        <v>25</v>
      </c>
      <c r="W284" s="1275">
        <v>666.08920634920639</v>
      </c>
      <c r="X284" s="1275">
        <v>250</v>
      </c>
      <c r="Y284" s="1275">
        <v>941.08920634920639</v>
      </c>
      <c r="Z284" s="1129">
        <v>6.666666666666667</v>
      </c>
      <c r="AA284" s="1129">
        <v>25</v>
      </c>
      <c r="AB284" s="1129">
        <v>666.08920634920639</v>
      </c>
      <c r="AC284" s="1129">
        <v>250</v>
      </c>
      <c r="AD284" s="1098">
        <v>941.08920634920639</v>
      </c>
      <c r="AE284" s="1135">
        <v>4</v>
      </c>
      <c r="AF284" s="1129">
        <v>4</v>
      </c>
      <c r="AG284" s="1127">
        <v>1</v>
      </c>
      <c r="AH284" s="1127">
        <v>0</v>
      </c>
      <c r="AI284" s="1127">
        <v>0</v>
      </c>
      <c r="AJ284" s="1127">
        <v>1</v>
      </c>
      <c r="AK284" s="1129">
        <v>941.08920634920639</v>
      </c>
      <c r="AL284" s="1129">
        <v>0</v>
      </c>
      <c r="AM284" s="1129">
        <v>0</v>
      </c>
      <c r="AN284" s="1129">
        <v>941.08920634920639</v>
      </c>
      <c r="AO284" s="1129" t="s">
        <v>131</v>
      </c>
      <c r="AP284" s="1129" t="s">
        <v>96</v>
      </c>
      <c r="AQ284" s="1157">
        <v>2014</v>
      </c>
      <c r="AR284" s="1129" t="s">
        <v>87</v>
      </c>
      <c r="AS284" s="1127">
        <v>0.33333333333333331</v>
      </c>
      <c r="AT284" s="1127"/>
      <c r="AU284" s="1127">
        <v>0.33333333333333331</v>
      </c>
      <c r="AV284" s="1127"/>
      <c r="AW284" s="1127"/>
      <c r="AX284" s="1127"/>
      <c r="AY284" s="1127"/>
      <c r="AZ284" s="1127">
        <v>0.33333333333333331</v>
      </c>
      <c r="BA284" s="1129">
        <v>313.69640211640211</v>
      </c>
      <c r="BB284" s="1129">
        <v>0</v>
      </c>
      <c r="BC284" s="1129">
        <v>313.69640211640211</v>
      </c>
      <c r="BD284" s="1129">
        <v>0</v>
      </c>
      <c r="BE284" s="1129">
        <v>0</v>
      </c>
      <c r="BF284" s="1129">
        <v>0</v>
      </c>
      <c r="BG284" s="1129">
        <v>0</v>
      </c>
      <c r="BH284" s="1129">
        <v>313.69640211640211</v>
      </c>
      <c r="BI284" s="971"/>
      <c r="BJ284" s="971"/>
      <c r="BK284" s="971"/>
      <c r="BL284" s="1246"/>
      <c r="BM284" s="1247" t="s">
        <v>2129</v>
      </c>
    </row>
    <row r="285" spans="1:65" s="1247" customFormat="1" ht="49.5" customHeight="1">
      <c r="A285" s="1272">
        <v>7000</v>
      </c>
      <c r="B285" s="971" t="s">
        <v>2420</v>
      </c>
      <c r="C285" s="1272">
        <v>7200</v>
      </c>
      <c r="D285" s="971" t="s">
        <v>119</v>
      </c>
      <c r="E285" s="971" t="s">
        <v>7010</v>
      </c>
      <c r="F285" s="971" t="s">
        <v>3600</v>
      </c>
      <c r="G285" s="971">
        <v>7243</v>
      </c>
      <c r="H285" s="971" t="s">
        <v>6601</v>
      </c>
      <c r="I285" s="1273" t="s">
        <v>7029</v>
      </c>
      <c r="J285" s="971" t="s">
        <v>2146</v>
      </c>
      <c r="K285" s="971" t="s">
        <v>2125</v>
      </c>
      <c r="L285" s="971" t="s">
        <v>2126</v>
      </c>
      <c r="M285" s="971" t="s">
        <v>2125</v>
      </c>
      <c r="N285" s="971" t="s">
        <v>176</v>
      </c>
      <c r="O285" s="971" t="s">
        <v>2126</v>
      </c>
      <c r="P285" s="971" t="s">
        <v>6772</v>
      </c>
      <c r="Q285" s="971" t="s">
        <v>7030</v>
      </c>
      <c r="R285" s="971" t="s">
        <v>5313</v>
      </c>
      <c r="S285" s="1274">
        <v>1</v>
      </c>
      <c r="T285" s="971" t="s">
        <v>242</v>
      </c>
      <c r="U285" s="1275">
        <v>13</v>
      </c>
      <c r="V285" s="1275">
        <v>120</v>
      </c>
      <c r="W285" s="1275">
        <v>1298.8739523809525</v>
      </c>
      <c r="X285" s="1275">
        <v>1200</v>
      </c>
      <c r="Y285" s="1275">
        <v>2618.8739523809527</v>
      </c>
      <c r="Z285" s="1129">
        <v>13</v>
      </c>
      <c r="AA285" s="1129">
        <v>120</v>
      </c>
      <c r="AB285" s="1129">
        <v>1298.8739523809525</v>
      </c>
      <c r="AC285" s="1129">
        <v>1200</v>
      </c>
      <c r="AD285" s="1098">
        <v>2618.8739523809527</v>
      </c>
      <c r="AE285" s="1135">
        <v>96</v>
      </c>
      <c r="AF285" s="1129">
        <v>96</v>
      </c>
      <c r="AG285" s="1127">
        <v>1</v>
      </c>
      <c r="AH285" s="1127">
        <v>0</v>
      </c>
      <c r="AI285" s="1127">
        <v>0</v>
      </c>
      <c r="AJ285" s="1127">
        <v>1</v>
      </c>
      <c r="AK285" s="1129">
        <v>2618.8739523809527</v>
      </c>
      <c r="AL285" s="1129">
        <v>0</v>
      </c>
      <c r="AM285" s="1129">
        <v>0</v>
      </c>
      <c r="AN285" s="1129">
        <v>2618.8739523809527</v>
      </c>
      <c r="AO285" s="1129" t="s">
        <v>131</v>
      </c>
      <c r="AP285" s="1129" t="s">
        <v>96</v>
      </c>
      <c r="AQ285" s="1157">
        <v>2014</v>
      </c>
      <c r="AR285" s="1129" t="s">
        <v>87</v>
      </c>
      <c r="AS285" s="1127">
        <v>0.33333333333333331</v>
      </c>
      <c r="AT285" s="1127"/>
      <c r="AU285" s="1127">
        <v>0.33333333333333331</v>
      </c>
      <c r="AV285" s="1127"/>
      <c r="AW285" s="1127"/>
      <c r="AX285" s="1127"/>
      <c r="AY285" s="1127"/>
      <c r="AZ285" s="1127">
        <v>0.33333333333333331</v>
      </c>
      <c r="BA285" s="1129">
        <v>872.95798412698423</v>
      </c>
      <c r="BB285" s="1129">
        <v>0</v>
      </c>
      <c r="BC285" s="1129">
        <v>872.95798412698423</v>
      </c>
      <c r="BD285" s="1129">
        <v>0</v>
      </c>
      <c r="BE285" s="1129">
        <v>0</v>
      </c>
      <c r="BF285" s="1129">
        <v>0</v>
      </c>
      <c r="BG285" s="1129">
        <v>0</v>
      </c>
      <c r="BH285" s="1129">
        <v>872.95798412698423</v>
      </c>
      <c r="BI285" s="971"/>
      <c r="BJ285" s="971"/>
      <c r="BK285" s="971"/>
      <c r="BL285" s="1246"/>
      <c r="BM285" s="1247" t="s">
        <v>2129</v>
      </c>
    </row>
    <row r="286" spans="1:65" s="1247" customFormat="1" ht="49.5" customHeight="1">
      <c r="A286" s="1272">
        <v>7000</v>
      </c>
      <c r="B286" s="971" t="s">
        <v>2420</v>
      </c>
      <c r="C286" s="1272">
        <v>7200</v>
      </c>
      <c r="D286" s="971" t="s">
        <v>119</v>
      </c>
      <c r="E286" s="971" t="s">
        <v>7010</v>
      </c>
      <c r="F286" s="971" t="s">
        <v>3600</v>
      </c>
      <c r="G286" s="971">
        <v>7243</v>
      </c>
      <c r="H286" s="971" t="s">
        <v>6601</v>
      </c>
      <c r="I286" s="1273" t="s">
        <v>7031</v>
      </c>
      <c r="J286" s="971" t="s">
        <v>2146</v>
      </c>
      <c r="K286" s="971" t="s">
        <v>2125</v>
      </c>
      <c r="L286" s="971" t="s">
        <v>2126</v>
      </c>
      <c r="M286" s="971" t="s">
        <v>2125</v>
      </c>
      <c r="N286" s="971" t="s">
        <v>176</v>
      </c>
      <c r="O286" s="971" t="s">
        <v>2126</v>
      </c>
      <c r="P286" s="971" t="s">
        <v>6772</v>
      </c>
      <c r="Q286" s="971" t="s">
        <v>7030</v>
      </c>
      <c r="R286" s="971" t="s">
        <v>5320</v>
      </c>
      <c r="S286" s="1274">
        <v>1</v>
      </c>
      <c r="T286" s="971" t="s">
        <v>242</v>
      </c>
      <c r="U286" s="1275">
        <v>13</v>
      </c>
      <c r="V286" s="1275">
        <v>120</v>
      </c>
      <c r="W286" s="1275">
        <v>1298.8739523809525</v>
      </c>
      <c r="X286" s="1275">
        <v>1200</v>
      </c>
      <c r="Y286" s="1275">
        <v>2618.8739523809527</v>
      </c>
      <c r="Z286" s="1129">
        <v>13</v>
      </c>
      <c r="AA286" s="1129">
        <v>120</v>
      </c>
      <c r="AB286" s="1129">
        <v>1298.8739523809525</v>
      </c>
      <c r="AC286" s="1129">
        <v>1200</v>
      </c>
      <c r="AD286" s="1098">
        <v>2618.8739523809527</v>
      </c>
      <c r="AE286" s="1135">
        <v>96</v>
      </c>
      <c r="AF286" s="1129">
        <v>96</v>
      </c>
      <c r="AG286" s="1127">
        <v>1</v>
      </c>
      <c r="AH286" s="1127">
        <v>0</v>
      </c>
      <c r="AI286" s="1127">
        <v>0</v>
      </c>
      <c r="AJ286" s="1127">
        <v>1</v>
      </c>
      <c r="AK286" s="1129">
        <v>2618.8739523809527</v>
      </c>
      <c r="AL286" s="1129">
        <v>0</v>
      </c>
      <c r="AM286" s="1129">
        <v>0</v>
      </c>
      <c r="AN286" s="1129">
        <v>2618.8739523809527</v>
      </c>
      <c r="AO286" s="1129" t="s">
        <v>131</v>
      </c>
      <c r="AP286" s="1129" t="s">
        <v>96</v>
      </c>
      <c r="AQ286" s="1157">
        <v>2014</v>
      </c>
      <c r="AR286" s="1129" t="s">
        <v>87</v>
      </c>
      <c r="AS286" s="1127">
        <v>0.33333333333333331</v>
      </c>
      <c r="AT286" s="1127"/>
      <c r="AU286" s="1127">
        <v>0.33333333333333331</v>
      </c>
      <c r="AV286" s="1127"/>
      <c r="AW286" s="1127"/>
      <c r="AX286" s="1127"/>
      <c r="AY286" s="1127"/>
      <c r="AZ286" s="1127">
        <v>0.33333333333333331</v>
      </c>
      <c r="BA286" s="1129">
        <v>872.95798412698423</v>
      </c>
      <c r="BB286" s="1129">
        <v>0</v>
      </c>
      <c r="BC286" s="1129">
        <v>872.95798412698423</v>
      </c>
      <c r="BD286" s="1129">
        <v>0</v>
      </c>
      <c r="BE286" s="1129">
        <v>0</v>
      </c>
      <c r="BF286" s="1129">
        <v>0</v>
      </c>
      <c r="BG286" s="1129">
        <v>0</v>
      </c>
      <c r="BH286" s="1129">
        <v>872.95798412698423</v>
      </c>
      <c r="BI286" s="971"/>
      <c r="BJ286" s="971"/>
      <c r="BK286" s="971"/>
      <c r="BL286" s="1246"/>
      <c r="BM286" s="1247" t="s">
        <v>2129</v>
      </c>
    </row>
    <row r="287" spans="1:65" s="1247" customFormat="1" ht="49.5" customHeight="1">
      <c r="A287" s="1272">
        <v>7000</v>
      </c>
      <c r="B287" s="971" t="s">
        <v>2420</v>
      </c>
      <c r="C287" s="1272">
        <v>7200</v>
      </c>
      <c r="D287" s="971" t="s">
        <v>119</v>
      </c>
      <c r="E287" s="971" t="s">
        <v>7010</v>
      </c>
      <c r="F287" s="971" t="s">
        <v>3600</v>
      </c>
      <c r="G287" s="971">
        <v>7243</v>
      </c>
      <c r="H287" s="971" t="s">
        <v>6601</v>
      </c>
      <c r="I287" s="1273" t="s">
        <v>7032</v>
      </c>
      <c r="J287" s="971" t="s">
        <v>2146</v>
      </c>
      <c r="K287" s="971" t="s">
        <v>2125</v>
      </c>
      <c r="L287" s="971" t="s">
        <v>2126</v>
      </c>
      <c r="M287" s="971" t="s">
        <v>2125</v>
      </c>
      <c r="N287" s="971" t="s">
        <v>176</v>
      </c>
      <c r="O287" s="971" t="s">
        <v>2126</v>
      </c>
      <c r="P287" s="971" t="s">
        <v>6772</v>
      </c>
      <c r="Q287" s="971" t="s">
        <v>7030</v>
      </c>
      <c r="R287" s="971" t="s">
        <v>5321</v>
      </c>
      <c r="S287" s="1274">
        <v>1</v>
      </c>
      <c r="T287" s="971" t="s">
        <v>242</v>
      </c>
      <c r="U287" s="1275">
        <v>13</v>
      </c>
      <c r="V287" s="1275">
        <v>120</v>
      </c>
      <c r="W287" s="1275">
        <v>1298.8739523809525</v>
      </c>
      <c r="X287" s="1275">
        <v>1200</v>
      </c>
      <c r="Y287" s="1275">
        <v>2618.8739523809527</v>
      </c>
      <c r="Z287" s="1129">
        <v>13</v>
      </c>
      <c r="AA287" s="1129">
        <v>120</v>
      </c>
      <c r="AB287" s="1129">
        <v>1298.8739523809525</v>
      </c>
      <c r="AC287" s="1129">
        <v>1200</v>
      </c>
      <c r="AD287" s="1098">
        <v>2618.8739523809527</v>
      </c>
      <c r="AE287" s="1135">
        <v>96</v>
      </c>
      <c r="AF287" s="1129">
        <v>96</v>
      </c>
      <c r="AG287" s="1127">
        <v>1</v>
      </c>
      <c r="AH287" s="1127">
        <v>0</v>
      </c>
      <c r="AI287" s="1127">
        <v>0</v>
      </c>
      <c r="AJ287" s="1127">
        <v>1</v>
      </c>
      <c r="AK287" s="1129">
        <v>2618.8739523809527</v>
      </c>
      <c r="AL287" s="1129">
        <v>0</v>
      </c>
      <c r="AM287" s="1129">
        <v>0</v>
      </c>
      <c r="AN287" s="1129">
        <v>2618.8739523809527</v>
      </c>
      <c r="AO287" s="1129" t="s">
        <v>131</v>
      </c>
      <c r="AP287" s="1129" t="s">
        <v>96</v>
      </c>
      <c r="AQ287" s="1157">
        <v>2014</v>
      </c>
      <c r="AR287" s="1129" t="s">
        <v>87</v>
      </c>
      <c r="AS287" s="1127">
        <v>0.33333333333333331</v>
      </c>
      <c r="AT287" s="1127"/>
      <c r="AU287" s="1127">
        <v>0.33333333333333331</v>
      </c>
      <c r="AV287" s="1127"/>
      <c r="AW287" s="1127"/>
      <c r="AX287" s="1127"/>
      <c r="AY287" s="1127"/>
      <c r="AZ287" s="1127">
        <v>0.33333333333333331</v>
      </c>
      <c r="BA287" s="1129">
        <v>872.95798412698423</v>
      </c>
      <c r="BB287" s="1129">
        <v>0</v>
      </c>
      <c r="BC287" s="1129">
        <v>872.95798412698423</v>
      </c>
      <c r="BD287" s="1129">
        <v>0</v>
      </c>
      <c r="BE287" s="1129">
        <v>0</v>
      </c>
      <c r="BF287" s="1129">
        <v>0</v>
      </c>
      <c r="BG287" s="1129">
        <v>0</v>
      </c>
      <c r="BH287" s="1129">
        <v>872.95798412698423</v>
      </c>
      <c r="BI287" s="971"/>
      <c r="BJ287" s="971"/>
      <c r="BK287" s="971"/>
      <c r="BL287" s="1246"/>
      <c r="BM287" s="1247" t="s">
        <v>2129</v>
      </c>
    </row>
    <row r="288" spans="1:65" s="1247" customFormat="1" ht="49.5" customHeight="1">
      <c r="A288" s="1272">
        <v>7000</v>
      </c>
      <c r="B288" s="971" t="s">
        <v>2420</v>
      </c>
      <c r="C288" s="1272">
        <v>7200</v>
      </c>
      <c r="D288" s="971" t="s">
        <v>119</v>
      </c>
      <c r="E288" s="971" t="s">
        <v>7010</v>
      </c>
      <c r="F288" s="971" t="s">
        <v>3600</v>
      </c>
      <c r="G288" s="971">
        <v>7243</v>
      </c>
      <c r="H288" s="971" t="s">
        <v>6601</v>
      </c>
      <c r="I288" s="1273" t="s">
        <v>7033</v>
      </c>
      <c r="J288" s="971" t="s">
        <v>2146</v>
      </c>
      <c r="K288" s="971" t="s">
        <v>2125</v>
      </c>
      <c r="L288" s="971" t="s">
        <v>2126</v>
      </c>
      <c r="M288" s="971" t="s">
        <v>2125</v>
      </c>
      <c r="N288" s="971" t="s">
        <v>176</v>
      </c>
      <c r="O288" s="971" t="s">
        <v>2126</v>
      </c>
      <c r="P288" s="971" t="s">
        <v>6772</v>
      </c>
      <c r="Q288" s="971" t="s">
        <v>7030</v>
      </c>
      <c r="R288" s="971" t="s">
        <v>5322</v>
      </c>
      <c r="S288" s="1274">
        <v>1</v>
      </c>
      <c r="T288" s="971" t="s">
        <v>242</v>
      </c>
      <c r="U288" s="1275">
        <v>13</v>
      </c>
      <c r="V288" s="1275">
        <v>120</v>
      </c>
      <c r="W288" s="1275">
        <v>1298.8739523809525</v>
      </c>
      <c r="X288" s="1275">
        <v>1200</v>
      </c>
      <c r="Y288" s="1275">
        <v>2618.8739523809527</v>
      </c>
      <c r="Z288" s="1129">
        <v>13</v>
      </c>
      <c r="AA288" s="1129">
        <v>120</v>
      </c>
      <c r="AB288" s="1129">
        <v>1298.8739523809525</v>
      </c>
      <c r="AC288" s="1129">
        <v>1200</v>
      </c>
      <c r="AD288" s="1098">
        <v>2618.8739523809527</v>
      </c>
      <c r="AE288" s="1135">
        <v>96</v>
      </c>
      <c r="AF288" s="1129">
        <v>96</v>
      </c>
      <c r="AG288" s="1127">
        <v>1</v>
      </c>
      <c r="AH288" s="1127">
        <v>0</v>
      </c>
      <c r="AI288" s="1127">
        <v>0</v>
      </c>
      <c r="AJ288" s="1127">
        <v>1</v>
      </c>
      <c r="AK288" s="1129">
        <v>2618.8739523809527</v>
      </c>
      <c r="AL288" s="1129">
        <v>0</v>
      </c>
      <c r="AM288" s="1129">
        <v>0</v>
      </c>
      <c r="AN288" s="1129">
        <v>2618.8739523809527</v>
      </c>
      <c r="AO288" s="1129" t="s">
        <v>131</v>
      </c>
      <c r="AP288" s="1129" t="s">
        <v>96</v>
      </c>
      <c r="AQ288" s="1157">
        <v>2014</v>
      </c>
      <c r="AR288" s="1129" t="s">
        <v>87</v>
      </c>
      <c r="AS288" s="1127">
        <v>0.33333333333333331</v>
      </c>
      <c r="AT288" s="1127"/>
      <c r="AU288" s="1127">
        <v>0.33333333333333331</v>
      </c>
      <c r="AV288" s="1127"/>
      <c r="AW288" s="1127"/>
      <c r="AX288" s="1127"/>
      <c r="AY288" s="1127"/>
      <c r="AZ288" s="1127">
        <v>0.33333333333333331</v>
      </c>
      <c r="BA288" s="1129">
        <v>872.95798412698423</v>
      </c>
      <c r="BB288" s="1129">
        <v>0</v>
      </c>
      <c r="BC288" s="1129">
        <v>872.95798412698423</v>
      </c>
      <c r="BD288" s="1129">
        <v>0</v>
      </c>
      <c r="BE288" s="1129">
        <v>0</v>
      </c>
      <c r="BF288" s="1129">
        <v>0</v>
      </c>
      <c r="BG288" s="1129">
        <v>0</v>
      </c>
      <c r="BH288" s="1129">
        <v>872.95798412698423</v>
      </c>
      <c r="BI288" s="971"/>
      <c r="BJ288" s="971"/>
      <c r="BK288" s="971"/>
      <c r="BL288" s="1246"/>
      <c r="BM288" s="1247" t="s">
        <v>2129</v>
      </c>
    </row>
    <row r="289" spans="1:65" s="1247" customFormat="1" ht="49.5" customHeight="1">
      <c r="A289" s="1272">
        <v>7000</v>
      </c>
      <c r="B289" s="971" t="s">
        <v>2420</v>
      </c>
      <c r="C289" s="1272">
        <v>7200</v>
      </c>
      <c r="D289" s="971" t="s">
        <v>119</v>
      </c>
      <c r="E289" s="971" t="s">
        <v>7010</v>
      </c>
      <c r="F289" s="971" t="s">
        <v>3600</v>
      </c>
      <c r="G289" s="971">
        <v>7243</v>
      </c>
      <c r="H289" s="971" t="s">
        <v>6601</v>
      </c>
      <c r="I289" s="1273" t="s">
        <v>7034</v>
      </c>
      <c r="J289" s="971" t="s">
        <v>2146</v>
      </c>
      <c r="K289" s="971" t="s">
        <v>2125</v>
      </c>
      <c r="L289" s="971" t="s">
        <v>2126</v>
      </c>
      <c r="M289" s="971" t="s">
        <v>2125</v>
      </c>
      <c r="N289" s="971" t="s">
        <v>176</v>
      </c>
      <c r="O289" s="971" t="s">
        <v>2126</v>
      </c>
      <c r="P289" s="971" t="s">
        <v>6772</v>
      </c>
      <c r="Q289" s="971" t="s">
        <v>7030</v>
      </c>
      <c r="R289" s="971" t="s">
        <v>5323</v>
      </c>
      <c r="S289" s="1274">
        <v>1</v>
      </c>
      <c r="T289" s="971" t="s">
        <v>242</v>
      </c>
      <c r="U289" s="1275">
        <v>13</v>
      </c>
      <c r="V289" s="1275">
        <v>120</v>
      </c>
      <c r="W289" s="1275">
        <v>1298.8739523809525</v>
      </c>
      <c r="X289" s="1275">
        <v>1200</v>
      </c>
      <c r="Y289" s="1275">
        <v>2618.8739523809527</v>
      </c>
      <c r="Z289" s="1129">
        <v>13</v>
      </c>
      <c r="AA289" s="1129">
        <v>120</v>
      </c>
      <c r="AB289" s="1129">
        <v>1298.8739523809525</v>
      </c>
      <c r="AC289" s="1129">
        <v>1200</v>
      </c>
      <c r="AD289" s="1098">
        <v>2618.8739523809527</v>
      </c>
      <c r="AE289" s="1135">
        <v>96</v>
      </c>
      <c r="AF289" s="1129">
        <v>96</v>
      </c>
      <c r="AG289" s="1127">
        <v>1</v>
      </c>
      <c r="AH289" s="1127">
        <v>0</v>
      </c>
      <c r="AI289" s="1127">
        <v>0</v>
      </c>
      <c r="AJ289" s="1127">
        <v>1</v>
      </c>
      <c r="AK289" s="1129">
        <v>2618.8739523809527</v>
      </c>
      <c r="AL289" s="1129">
        <v>0</v>
      </c>
      <c r="AM289" s="1129">
        <v>0</v>
      </c>
      <c r="AN289" s="1129">
        <v>2618.8739523809527</v>
      </c>
      <c r="AO289" s="1129" t="s">
        <v>131</v>
      </c>
      <c r="AP289" s="1129" t="s">
        <v>96</v>
      </c>
      <c r="AQ289" s="1157">
        <v>2014</v>
      </c>
      <c r="AR289" s="1129" t="s">
        <v>87</v>
      </c>
      <c r="AS289" s="1127">
        <v>0.33333333333333331</v>
      </c>
      <c r="AT289" s="1127"/>
      <c r="AU289" s="1127">
        <v>0.33333333333333331</v>
      </c>
      <c r="AV289" s="1127"/>
      <c r="AW289" s="1127"/>
      <c r="AX289" s="1127"/>
      <c r="AY289" s="1127"/>
      <c r="AZ289" s="1127">
        <v>0.33333333333333331</v>
      </c>
      <c r="BA289" s="1129">
        <v>872.95798412698423</v>
      </c>
      <c r="BB289" s="1129">
        <v>0</v>
      </c>
      <c r="BC289" s="1129">
        <v>872.95798412698423</v>
      </c>
      <c r="BD289" s="1129">
        <v>0</v>
      </c>
      <c r="BE289" s="1129">
        <v>0</v>
      </c>
      <c r="BF289" s="1129">
        <v>0</v>
      </c>
      <c r="BG289" s="1129">
        <v>0</v>
      </c>
      <c r="BH289" s="1129">
        <v>872.95798412698423</v>
      </c>
      <c r="BI289" s="971"/>
      <c r="BJ289" s="971"/>
      <c r="BK289" s="971"/>
      <c r="BL289" s="1246"/>
      <c r="BM289" s="1247" t="s">
        <v>2129</v>
      </c>
    </row>
    <row r="290" spans="1:65" s="1247" customFormat="1" ht="49.5" customHeight="1">
      <c r="A290" s="1272">
        <v>7000</v>
      </c>
      <c r="B290" s="971" t="s">
        <v>2420</v>
      </c>
      <c r="C290" s="1272">
        <v>7200</v>
      </c>
      <c r="D290" s="971" t="s">
        <v>119</v>
      </c>
      <c r="E290" s="971" t="s">
        <v>7010</v>
      </c>
      <c r="F290" s="971" t="s">
        <v>3600</v>
      </c>
      <c r="G290" s="971">
        <v>7243</v>
      </c>
      <c r="H290" s="971" t="s">
        <v>6601</v>
      </c>
      <c r="I290" s="1273" t="s">
        <v>7035</v>
      </c>
      <c r="J290" s="971" t="s">
        <v>2146</v>
      </c>
      <c r="K290" s="971" t="s">
        <v>2125</v>
      </c>
      <c r="L290" s="971" t="s">
        <v>2126</v>
      </c>
      <c r="M290" s="971" t="s">
        <v>2125</v>
      </c>
      <c r="N290" s="971" t="s">
        <v>176</v>
      </c>
      <c r="O290" s="971" t="s">
        <v>2126</v>
      </c>
      <c r="P290" s="971" t="s">
        <v>6772</v>
      </c>
      <c r="Q290" s="971" t="s">
        <v>7030</v>
      </c>
      <c r="R290" s="971" t="s">
        <v>5324</v>
      </c>
      <c r="S290" s="1274">
        <v>1</v>
      </c>
      <c r="T290" s="971" t="s">
        <v>242</v>
      </c>
      <c r="U290" s="1275">
        <v>13</v>
      </c>
      <c r="V290" s="1275">
        <v>120</v>
      </c>
      <c r="W290" s="1275">
        <v>1298.8739523809525</v>
      </c>
      <c r="X290" s="1275">
        <v>1200</v>
      </c>
      <c r="Y290" s="1275">
        <v>2618.8739523809527</v>
      </c>
      <c r="Z290" s="1129">
        <v>13</v>
      </c>
      <c r="AA290" s="1129">
        <v>120</v>
      </c>
      <c r="AB290" s="1129">
        <v>1298.8739523809525</v>
      </c>
      <c r="AC290" s="1129">
        <v>1200</v>
      </c>
      <c r="AD290" s="1098">
        <v>2618.8739523809527</v>
      </c>
      <c r="AE290" s="1135">
        <v>96</v>
      </c>
      <c r="AF290" s="1129">
        <v>96</v>
      </c>
      <c r="AG290" s="1127">
        <v>1</v>
      </c>
      <c r="AH290" s="1127">
        <v>0</v>
      </c>
      <c r="AI290" s="1127">
        <v>0</v>
      </c>
      <c r="AJ290" s="1127">
        <v>1</v>
      </c>
      <c r="AK290" s="1129">
        <v>2618.8739523809527</v>
      </c>
      <c r="AL290" s="1129">
        <v>0</v>
      </c>
      <c r="AM290" s="1129">
        <v>0</v>
      </c>
      <c r="AN290" s="1129">
        <v>2618.8739523809527</v>
      </c>
      <c r="AO290" s="1129" t="s">
        <v>131</v>
      </c>
      <c r="AP290" s="1129" t="s">
        <v>96</v>
      </c>
      <c r="AQ290" s="1157">
        <v>2014</v>
      </c>
      <c r="AR290" s="1129" t="s">
        <v>87</v>
      </c>
      <c r="AS290" s="1127">
        <v>0.33333333333333331</v>
      </c>
      <c r="AT290" s="1127"/>
      <c r="AU290" s="1127">
        <v>0.33333333333333331</v>
      </c>
      <c r="AV290" s="1127"/>
      <c r="AW290" s="1127"/>
      <c r="AX290" s="1127"/>
      <c r="AY290" s="1127"/>
      <c r="AZ290" s="1127">
        <v>0.33333333333333331</v>
      </c>
      <c r="BA290" s="1129">
        <v>872.95798412698423</v>
      </c>
      <c r="BB290" s="1129">
        <v>0</v>
      </c>
      <c r="BC290" s="1129">
        <v>872.95798412698423</v>
      </c>
      <c r="BD290" s="1129">
        <v>0</v>
      </c>
      <c r="BE290" s="1129">
        <v>0</v>
      </c>
      <c r="BF290" s="1129">
        <v>0</v>
      </c>
      <c r="BG290" s="1129">
        <v>0</v>
      </c>
      <c r="BH290" s="1129">
        <v>872.95798412698423</v>
      </c>
      <c r="BI290" s="971"/>
      <c r="BJ290" s="971"/>
      <c r="BK290" s="971"/>
      <c r="BL290" s="1246"/>
      <c r="BM290" s="1247" t="s">
        <v>2129</v>
      </c>
    </row>
    <row r="291" spans="1:65" s="1247" customFormat="1" ht="49.5" customHeight="1">
      <c r="A291" s="1272">
        <v>7000</v>
      </c>
      <c r="B291" s="971" t="s">
        <v>2420</v>
      </c>
      <c r="C291" s="1272">
        <v>7200</v>
      </c>
      <c r="D291" s="971" t="s">
        <v>119</v>
      </c>
      <c r="E291" s="971" t="s">
        <v>7010</v>
      </c>
      <c r="F291" s="971" t="s">
        <v>3600</v>
      </c>
      <c r="G291" s="971">
        <v>7243</v>
      </c>
      <c r="H291" s="971" t="s">
        <v>6601</v>
      </c>
      <c r="I291" s="1273" t="s">
        <v>7036</v>
      </c>
      <c r="J291" s="971" t="s">
        <v>2146</v>
      </c>
      <c r="K291" s="971" t="s">
        <v>2125</v>
      </c>
      <c r="L291" s="971" t="s">
        <v>2126</v>
      </c>
      <c r="M291" s="971" t="s">
        <v>2125</v>
      </c>
      <c r="N291" s="971" t="s">
        <v>176</v>
      </c>
      <c r="O291" s="971" t="s">
        <v>2126</v>
      </c>
      <c r="P291" s="971" t="s">
        <v>6772</v>
      </c>
      <c r="Q291" s="971" t="s">
        <v>7030</v>
      </c>
      <c r="R291" s="971" t="s">
        <v>5325</v>
      </c>
      <c r="S291" s="1274">
        <v>1</v>
      </c>
      <c r="T291" s="971" t="s">
        <v>242</v>
      </c>
      <c r="U291" s="1275">
        <v>13</v>
      </c>
      <c r="V291" s="1275">
        <v>120</v>
      </c>
      <c r="W291" s="1275">
        <v>1298.8739523809525</v>
      </c>
      <c r="X291" s="1275">
        <v>1200</v>
      </c>
      <c r="Y291" s="1275">
        <v>2618.8739523809527</v>
      </c>
      <c r="Z291" s="1129">
        <v>13</v>
      </c>
      <c r="AA291" s="1129">
        <v>120</v>
      </c>
      <c r="AB291" s="1129">
        <v>1298.8739523809525</v>
      </c>
      <c r="AC291" s="1129">
        <v>1200</v>
      </c>
      <c r="AD291" s="1098">
        <v>2618.8739523809527</v>
      </c>
      <c r="AE291" s="1135">
        <v>96</v>
      </c>
      <c r="AF291" s="1129">
        <v>96</v>
      </c>
      <c r="AG291" s="1127">
        <v>1</v>
      </c>
      <c r="AH291" s="1127">
        <v>0</v>
      </c>
      <c r="AI291" s="1127">
        <v>0</v>
      </c>
      <c r="AJ291" s="1127">
        <v>1</v>
      </c>
      <c r="AK291" s="1129">
        <v>2618.8739523809527</v>
      </c>
      <c r="AL291" s="1129">
        <v>0</v>
      </c>
      <c r="AM291" s="1129">
        <v>0</v>
      </c>
      <c r="AN291" s="1129">
        <v>2618.8739523809527</v>
      </c>
      <c r="AO291" s="1129" t="s">
        <v>131</v>
      </c>
      <c r="AP291" s="1129" t="s">
        <v>96</v>
      </c>
      <c r="AQ291" s="1157">
        <v>2014</v>
      </c>
      <c r="AR291" s="1129" t="s">
        <v>87</v>
      </c>
      <c r="AS291" s="1127">
        <v>0.33333333333333331</v>
      </c>
      <c r="AT291" s="1127"/>
      <c r="AU291" s="1127">
        <v>0.33333333333333331</v>
      </c>
      <c r="AV291" s="1127"/>
      <c r="AW291" s="1127"/>
      <c r="AX291" s="1127"/>
      <c r="AY291" s="1127"/>
      <c r="AZ291" s="1127">
        <v>0.33333333333333331</v>
      </c>
      <c r="BA291" s="1129">
        <v>872.95798412698423</v>
      </c>
      <c r="BB291" s="1129">
        <v>0</v>
      </c>
      <c r="BC291" s="1129">
        <v>872.95798412698423</v>
      </c>
      <c r="BD291" s="1129">
        <v>0</v>
      </c>
      <c r="BE291" s="1129">
        <v>0</v>
      </c>
      <c r="BF291" s="1129">
        <v>0</v>
      </c>
      <c r="BG291" s="1129">
        <v>0</v>
      </c>
      <c r="BH291" s="1129">
        <v>872.95798412698423</v>
      </c>
      <c r="BI291" s="971"/>
      <c r="BJ291" s="971"/>
      <c r="BK291" s="971"/>
      <c r="BL291" s="1246"/>
      <c r="BM291" s="1247" t="s">
        <v>2129</v>
      </c>
    </row>
    <row r="292" spans="1:65" s="1247" customFormat="1" ht="49.5" customHeight="1">
      <c r="A292" s="1272">
        <v>7000</v>
      </c>
      <c r="B292" s="971" t="s">
        <v>2420</v>
      </c>
      <c r="C292" s="1272">
        <v>7200</v>
      </c>
      <c r="D292" s="971" t="s">
        <v>119</v>
      </c>
      <c r="E292" s="971" t="s">
        <v>7010</v>
      </c>
      <c r="F292" s="971" t="s">
        <v>3600</v>
      </c>
      <c r="G292" s="971">
        <v>7243</v>
      </c>
      <c r="H292" s="971" t="s">
        <v>6601</v>
      </c>
      <c r="I292" s="1273" t="s">
        <v>7037</v>
      </c>
      <c r="J292" s="971" t="s">
        <v>2146</v>
      </c>
      <c r="K292" s="971" t="s">
        <v>2125</v>
      </c>
      <c r="L292" s="971" t="s">
        <v>2126</v>
      </c>
      <c r="M292" s="971" t="s">
        <v>2125</v>
      </c>
      <c r="N292" s="971" t="s">
        <v>176</v>
      </c>
      <c r="O292" s="971" t="s">
        <v>2126</v>
      </c>
      <c r="P292" s="971" t="s">
        <v>6772</v>
      </c>
      <c r="Q292" s="971" t="s">
        <v>7030</v>
      </c>
      <c r="R292" s="971" t="s">
        <v>5326</v>
      </c>
      <c r="S292" s="1274">
        <v>1</v>
      </c>
      <c r="T292" s="971" t="s">
        <v>242</v>
      </c>
      <c r="U292" s="1275">
        <v>13</v>
      </c>
      <c r="V292" s="1275">
        <v>120</v>
      </c>
      <c r="W292" s="1275">
        <v>1298.8739523809525</v>
      </c>
      <c r="X292" s="1275">
        <v>1200</v>
      </c>
      <c r="Y292" s="1275">
        <v>2618.8739523809527</v>
      </c>
      <c r="Z292" s="1129">
        <v>13</v>
      </c>
      <c r="AA292" s="1129">
        <v>120</v>
      </c>
      <c r="AB292" s="1129">
        <v>1298.8739523809525</v>
      </c>
      <c r="AC292" s="1129">
        <v>1200</v>
      </c>
      <c r="AD292" s="1098">
        <v>2618.8739523809527</v>
      </c>
      <c r="AE292" s="1135">
        <v>96</v>
      </c>
      <c r="AF292" s="1129">
        <v>96</v>
      </c>
      <c r="AG292" s="1127">
        <v>1</v>
      </c>
      <c r="AH292" s="1127">
        <v>0</v>
      </c>
      <c r="AI292" s="1127">
        <v>0</v>
      </c>
      <c r="AJ292" s="1127">
        <v>1</v>
      </c>
      <c r="AK292" s="1129">
        <v>2618.8739523809527</v>
      </c>
      <c r="AL292" s="1129">
        <v>0</v>
      </c>
      <c r="AM292" s="1129">
        <v>0</v>
      </c>
      <c r="AN292" s="1129">
        <v>2618.8739523809527</v>
      </c>
      <c r="AO292" s="1129" t="s">
        <v>131</v>
      </c>
      <c r="AP292" s="1129" t="s">
        <v>96</v>
      </c>
      <c r="AQ292" s="1157">
        <v>2014</v>
      </c>
      <c r="AR292" s="1129" t="s">
        <v>87</v>
      </c>
      <c r="AS292" s="1127">
        <v>0.33333333333333331</v>
      </c>
      <c r="AT292" s="1127"/>
      <c r="AU292" s="1127">
        <v>0.33333333333333331</v>
      </c>
      <c r="AV292" s="1127"/>
      <c r="AW292" s="1127"/>
      <c r="AX292" s="1127"/>
      <c r="AY292" s="1127"/>
      <c r="AZ292" s="1127">
        <v>0.33333333333333331</v>
      </c>
      <c r="BA292" s="1129">
        <v>872.95798412698423</v>
      </c>
      <c r="BB292" s="1129">
        <v>0</v>
      </c>
      <c r="BC292" s="1129">
        <v>872.95798412698423</v>
      </c>
      <c r="BD292" s="1129">
        <v>0</v>
      </c>
      <c r="BE292" s="1129">
        <v>0</v>
      </c>
      <c r="BF292" s="1129">
        <v>0</v>
      </c>
      <c r="BG292" s="1129">
        <v>0</v>
      </c>
      <c r="BH292" s="1129">
        <v>872.95798412698423</v>
      </c>
      <c r="BI292" s="971"/>
      <c r="BJ292" s="971"/>
      <c r="BK292" s="971"/>
      <c r="BL292" s="1246"/>
      <c r="BM292" s="1247" t="s">
        <v>2129</v>
      </c>
    </row>
    <row r="293" spans="1:65" s="1247" customFormat="1" ht="49.5" customHeight="1">
      <c r="A293" s="1272">
        <v>7000</v>
      </c>
      <c r="B293" s="971" t="s">
        <v>2420</v>
      </c>
      <c r="C293" s="1272">
        <v>7200</v>
      </c>
      <c r="D293" s="971" t="s">
        <v>119</v>
      </c>
      <c r="E293" s="971" t="s">
        <v>7010</v>
      </c>
      <c r="F293" s="971" t="s">
        <v>3600</v>
      </c>
      <c r="G293" s="971">
        <v>7243</v>
      </c>
      <c r="H293" s="971" t="s">
        <v>6601</v>
      </c>
      <c r="I293" s="1273" t="s">
        <v>7038</v>
      </c>
      <c r="J293" s="971" t="s">
        <v>2146</v>
      </c>
      <c r="K293" s="971" t="s">
        <v>2125</v>
      </c>
      <c r="L293" s="971" t="s">
        <v>2126</v>
      </c>
      <c r="M293" s="971" t="s">
        <v>2125</v>
      </c>
      <c r="N293" s="971" t="s">
        <v>176</v>
      </c>
      <c r="O293" s="971" t="s">
        <v>2126</v>
      </c>
      <c r="P293" s="971" t="s">
        <v>6772</v>
      </c>
      <c r="Q293" s="971" t="s">
        <v>7030</v>
      </c>
      <c r="R293" s="971" t="s">
        <v>5327</v>
      </c>
      <c r="S293" s="1274">
        <v>1</v>
      </c>
      <c r="T293" s="971" t="s">
        <v>242</v>
      </c>
      <c r="U293" s="1275">
        <v>13</v>
      </c>
      <c r="V293" s="1275">
        <v>120</v>
      </c>
      <c r="W293" s="1275">
        <v>1298.8739523809525</v>
      </c>
      <c r="X293" s="1275">
        <v>1200</v>
      </c>
      <c r="Y293" s="1275">
        <v>2618.8739523809527</v>
      </c>
      <c r="Z293" s="1129">
        <v>13</v>
      </c>
      <c r="AA293" s="1129">
        <v>120</v>
      </c>
      <c r="AB293" s="1129">
        <v>1298.8739523809525</v>
      </c>
      <c r="AC293" s="1129">
        <v>1200</v>
      </c>
      <c r="AD293" s="1098">
        <v>2618.8739523809527</v>
      </c>
      <c r="AE293" s="1135">
        <v>96</v>
      </c>
      <c r="AF293" s="1129">
        <v>96</v>
      </c>
      <c r="AG293" s="1127">
        <v>1</v>
      </c>
      <c r="AH293" s="1127">
        <v>0</v>
      </c>
      <c r="AI293" s="1127">
        <v>0</v>
      </c>
      <c r="AJ293" s="1127">
        <v>1</v>
      </c>
      <c r="AK293" s="1129">
        <v>2618.8739523809527</v>
      </c>
      <c r="AL293" s="1129">
        <v>0</v>
      </c>
      <c r="AM293" s="1129">
        <v>0</v>
      </c>
      <c r="AN293" s="1129">
        <v>2618.8739523809527</v>
      </c>
      <c r="AO293" s="1129" t="s">
        <v>131</v>
      </c>
      <c r="AP293" s="1129" t="s">
        <v>96</v>
      </c>
      <c r="AQ293" s="1157">
        <v>2014</v>
      </c>
      <c r="AR293" s="1129" t="s">
        <v>87</v>
      </c>
      <c r="AS293" s="1127">
        <v>0.33333333333333331</v>
      </c>
      <c r="AT293" s="1127"/>
      <c r="AU293" s="1127">
        <v>0.33333333333333331</v>
      </c>
      <c r="AV293" s="1127"/>
      <c r="AW293" s="1127"/>
      <c r="AX293" s="1127"/>
      <c r="AY293" s="1127"/>
      <c r="AZ293" s="1127">
        <v>0.33333333333333331</v>
      </c>
      <c r="BA293" s="1129">
        <v>872.95798412698423</v>
      </c>
      <c r="BB293" s="1129">
        <v>0</v>
      </c>
      <c r="BC293" s="1129">
        <v>872.95798412698423</v>
      </c>
      <c r="BD293" s="1129">
        <v>0</v>
      </c>
      <c r="BE293" s="1129">
        <v>0</v>
      </c>
      <c r="BF293" s="1129">
        <v>0</v>
      </c>
      <c r="BG293" s="1129">
        <v>0</v>
      </c>
      <c r="BH293" s="1129">
        <v>872.95798412698423</v>
      </c>
      <c r="BI293" s="971"/>
      <c r="BJ293" s="971"/>
      <c r="BK293" s="971"/>
      <c r="BL293" s="1246"/>
      <c r="BM293" s="1247" t="s">
        <v>2129</v>
      </c>
    </row>
    <row r="294" spans="1:65" s="1247" customFormat="1" ht="49.5" customHeight="1">
      <c r="A294" s="1272">
        <v>7000</v>
      </c>
      <c r="B294" s="971" t="s">
        <v>2420</v>
      </c>
      <c r="C294" s="1272">
        <v>7200</v>
      </c>
      <c r="D294" s="971" t="s">
        <v>119</v>
      </c>
      <c r="E294" s="971" t="s">
        <v>7010</v>
      </c>
      <c r="F294" s="971" t="s">
        <v>3600</v>
      </c>
      <c r="G294" s="971">
        <v>7243</v>
      </c>
      <c r="H294" s="971" t="s">
        <v>6601</v>
      </c>
      <c r="I294" s="1273" t="s">
        <v>7039</v>
      </c>
      <c r="J294" s="971" t="s">
        <v>2146</v>
      </c>
      <c r="K294" s="971" t="s">
        <v>2125</v>
      </c>
      <c r="L294" s="971" t="s">
        <v>2126</v>
      </c>
      <c r="M294" s="971" t="s">
        <v>2125</v>
      </c>
      <c r="N294" s="971" t="s">
        <v>176</v>
      </c>
      <c r="O294" s="971" t="s">
        <v>2126</v>
      </c>
      <c r="P294" s="971" t="s">
        <v>6772</v>
      </c>
      <c r="Q294" s="971" t="s">
        <v>7030</v>
      </c>
      <c r="R294" s="971" t="s">
        <v>5328</v>
      </c>
      <c r="S294" s="1274">
        <v>1</v>
      </c>
      <c r="T294" s="971" t="s">
        <v>242</v>
      </c>
      <c r="U294" s="1275">
        <v>13</v>
      </c>
      <c r="V294" s="1275">
        <v>120</v>
      </c>
      <c r="W294" s="1275">
        <v>1298.8739523809525</v>
      </c>
      <c r="X294" s="1275">
        <v>1200</v>
      </c>
      <c r="Y294" s="1275">
        <v>2618.8739523809527</v>
      </c>
      <c r="Z294" s="1129">
        <v>13</v>
      </c>
      <c r="AA294" s="1129">
        <v>120</v>
      </c>
      <c r="AB294" s="1129">
        <v>1298.8739523809525</v>
      </c>
      <c r="AC294" s="1129">
        <v>1200</v>
      </c>
      <c r="AD294" s="1098">
        <v>2618.8739523809527</v>
      </c>
      <c r="AE294" s="1135">
        <v>96</v>
      </c>
      <c r="AF294" s="1129">
        <v>96</v>
      </c>
      <c r="AG294" s="1127">
        <v>1</v>
      </c>
      <c r="AH294" s="1127">
        <v>0</v>
      </c>
      <c r="AI294" s="1127">
        <v>0</v>
      </c>
      <c r="AJ294" s="1127">
        <v>1</v>
      </c>
      <c r="AK294" s="1129">
        <v>2618.8739523809527</v>
      </c>
      <c r="AL294" s="1129">
        <v>0</v>
      </c>
      <c r="AM294" s="1129">
        <v>0</v>
      </c>
      <c r="AN294" s="1129">
        <v>2618.8739523809527</v>
      </c>
      <c r="AO294" s="1129" t="s">
        <v>131</v>
      </c>
      <c r="AP294" s="1129" t="s">
        <v>96</v>
      </c>
      <c r="AQ294" s="1157">
        <v>2014</v>
      </c>
      <c r="AR294" s="1129" t="s">
        <v>87</v>
      </c>
      <c r="AS294" s="1127">
        <v>0.33333333333333331</v>
      </c>
      <c r="AT294" s="1127"/>
      <c r="AU294" s="1127">
        <v>0.33333333333333331</v>
      </c>
      <c r="AV294" s="1127"/>
      <c r="AW294" s="1127"/>
      <c r="AX294" s="1127"/>
      <c r="AY294" s="1127"/>
      <c r="AZ294" s="1127">
        <v>0.33333333333333331</v>
      </c>
      <c r="BA294" s="1129">
        <v>872.95798412698423</v>
      </c>
      <c r="BB294" s="1129">
        <v>0</v>
      </c>
      <c r="BC294" s="1129">
        <v>872.95798412698423</v>
      </c>
      <c r="BD294" s="1129">
        <v>0</v>
      </c>
      <c r="BE294" s="1129">
        <v>0</v>
      </c>
      <c r="BF294" s="1129">
        <v>0</v>
      </c>
      <c r="BG294" s="1129">
        <v>0</v>
      </c>
      <c r="BH294" s="1129">
        <v>872.95798412698423</v>
      </c>
      <c r="BI294" s="971"/>
      <c r="BJ294" s="971"/>
      <c r="BK294" s="971"/>
      <c r="BL294" s="1246"/>
      <c r="BM294" s="1247" t="s">
        <v>2127</v>
      </c>
    </row>
    <row r="295" spans="1:65" s="1247" customFormat="1" ht="82.5" customHeight="1">
      <c r="A295" s="1272">
        <v>7000</v>
      </c>
      <c r="B295" s="971" t="s">
        <v>2420</v>
      </c>
      <c r="C295" s="1272">
        <v>7200</v>
      </c>
      <c r="D295" s="971" t="s">
        <v>119</v>
      </c>
      <c r="E295" s="971" t="s">
        <v>7010</v>
      </c>
      <c r="F295" s="971" t="s">
        <v>3600</v>
      </c>
      <c r="G295" s="971">
        <v>7243</v>
      </c>
      <c r="H295" s="971" t="s">
        <v>6601</v>
      </c>
      <c r="I295" s="1273" t="s">
        <v>7040</v>
      </c>
      <c r="J295" s="971" t="s">
        <v>2146</v>
      </c>
      <c r="K295" s="971" t="s">
        <v>2125</v>
      </c>
      <c r="L295" s="971" t="s">
        <v>2126</v>
      </c>
      <c r="M295" s="971" t="s">
        <v>2125</v>
      </c>
      <c r="N295" s="971" t="s">
        <v>176</v>
      </c>
      <c r="O295" s="971" t="s">
        <v>2126</v>
      </c>
      <c r="P295" s="971" t="s">
        <v>6626</v>
      </c>
      <c r="Q295" s="971" t="s">
        <v>7041</v>
      </c>
      <c r="R295" s="971" t="s">
        <v>5329</v>
      </c>
      <c r="S295" s="1274">
        <v>1</v>
      </c>
      <c r="T295" s="971" t="s">
        <v>242</v>
      </c>
      <c r="U295" s="1275">
        <v>13</v>
      </c>
      <c r="V295" s="1275">
        <v>120</v>
      </c>
      <c r="W295" s="1275">
        <v>1298.8739523809525</v>
      </c>
      <c r="X295" s="1275">
        <v>1200</v>
      </c>
      <c r="Y295" s="1275">
        <v>2618.8739523809527</v>
      </c>
      <c r="Z295" s="1129">
        <v>13</v>
      </c>
      <c r="AA295" s="1129">
        <v>120</v>
      </c>
      <c r="AB295" s="1129">
        <v>1298.8739523809525</v>
      </c>
      <c r="AC295" s="1129">
        <v>1200</v>
      </c>
      <c r="AD295" s="1098">
        <v>2618.8739523809527</v>
      </c>
      <c r="AE295" s="1135">
        <v>96</v>
      </c>
      <c r="AF295" s="1129">
        <v>96</v>
      </c>
      <c r="AG295" s="1127">
        <v>1</v>
      </c>
      <c r="AH295" s="1127">
        <v>0</v>
      </c>
      <c r="AI295" s="1127">
        <v>0</v>
      </c>
      <c r="AJ295" s="1127">
        <v>1</v>
      </c>
      <c r="AK295" s="1129">
        <v>2618.8739523809527</v>
      </c>
      <c r="AL295" s="1129">
        <v>0</v>
      </c>
      <c r="AM295" s="1129">
        <v>0</v>
      </c>
      <c r="AN295" s="1129">
        <v>2618.8739523809527</v>
      </c>
      <c r="AO295" s="1129" t="s">
        <v>131</v>
      </c>
      <c r="AP295" s="1129" t="s">
        <v>96</v>
      </c>
      <c r="AQ295" s="1157">
        <v>2014</v>
      </c>
      <c r="AR295" s="1129" t="s">
        <v>87</v>
      </c>
      <c r="AS295" s="1127">
        <v>0.33333333333333331</v>
      </c>
      <c r="AT295" s="1127"/>
      <c r="AU295" s="1127">
        <v>0.33333333333333331</v>
      </c>
      <c r="AV295" s="1127"/>
      <c r="AW295" s="1127"/>
      <c r="AX295" s="1127"/>
      <c r="AY295" s="1127"/>
      <c r="AZ295" s="1127">
        <v>0.33333333333333331</v>
      </c>
      <c r="BA295" s="1129">
        <v>872.95798412698423</v>
      </c>
      <c r="BB295" s="1129">
        <v>0</v>
      </c>
      <c r="BC295" s="1129">
        <v>872.95798412698423</v>
      </c>
      <c r="BD295" s="1129">
        <v>0</v>
      </c>
      <c r="BE295" s="1129">
        <v>0</v>
      </c>
      <c r="BF295" s="1129">
        <v>0</v>
      </c>
      <c r="BG295" s="1129">
        <v>0</v>
      </c>
      <c r="BH295" s="1129">
        <v>872.95798412698423</v>
      </c>
      <c r="BI295" s="971"/>
      <c r="BJ295" s="971"/>
      <c r="BK295" s="971"/>
      <c r="BL295" s="1246"/>
      <c r="BM295" s="1247" t="s">
        <v>2125</v>
      </c>
    </row>
    <row r="296" spans="1:65" s="1247" customFormat="1" ht="49.5" customHeight="1">
      <c r="A296" s="1272">
        <v>7000</v>
      </c>
      <c r="B296" s="971" t="s">
        <v>2420</v>
      </c>
      <c r="C296" s="1272">
        <v>7200</v>
      </c>
      <c r="D296" s="971" t="s">
        <v>119</v>
      </c>
      <c r="E296" s="971" t="s">
        <v>7010</v>
      </c>
      <c r="F296" s="971" t="s">
        <v>3600</v>
      </c>
      <c r="G296" s="971">
        <v>7243</v>
      </c>
      <c r="H296" s="971" t="s">
        <v>6601</v>
      </c>
      <c r="I296" s="1273" t="s">
        <v>7042</v>
      </c>
      <c r="J296" s="971" t="s">
        <v>2146</v>
      </c>
      <c r="K296" s="971" t="s">
        <v>2125</v>
      </c>
      <c r="L296" s="971" t="s">
        <v>2126</v>
      </c>
      <c r="M296" s="971" t="s">
        <v>2125</v>
      </c>
      <c r="N296" s="971" t="s">
        <v>176</v>
      </c>
      <c r="O296" s="971" t="s">
        <v>2126</v>
      </c>
      <c r="P296" s="971" t="s">
        <v>6626</v>
      </c>
      <c r="Q296" s="971" t="s">
        <v>7043</v>
      </c>
      <c r="R296" s="971" t="s">
        <v>5332</v>
      </c>
      <c r="S296" s="1274">
        <v>1</v>
      </c>
      <c r="T296" s="971" t="s">
        <v>242</v>
      </c>
      <c r="U296" s="1275">
        <v>13</v>
      </c>
      <c r="V296" s="1275">
        <v>120</v>
      </c>
      <c r="W296" s="1275">
        <v>1298.8739523809525</v>
      </c>
      <c r="X296" s="1275">
        <v>1200</v>
      </c>
      <c r="Y296" s="1275">
        <v>2618.8739523809527</v>
      </c>
      <c r="Z296" s="1129">
        <v>13</v>
      </c>
      <c r="AA296" s="1129">
        <v>120</v>
      </c>
      <c r="AB296" s="1129">
        <v>1298.8739523809525</v>
      </c>
      <c r="AC296" s="1129">
        <v>1200</v>
      </c>
      <c r="AD296" s="1098">
        <v>2618.8739523809527</v>
      </c>
      <c r="AE296" s="1135">
        <v>96</v>
      </c>
      <c r="AF296" s="1129">
        <v>96</v>
      </c>
      <c r="AG296" s="1127">
        <v>1</v>
      </c>
      <c r="AH296" s="1127">
        <v>0</v>
      </c>
      <c r="AI296" s="1127">
        <v>0</v>
      </c>
      <c r="AJ296" s="1127">
        <v>1</v>
      </c>
      <c r="AK296" s="1129">
        <v>2618.8739523809527</v>
      </c>
      <c r="AL296" s="1129">
        <v>0</v>
      </c>
      <c r="AM296" s="1129">
        <v>0</v>
      </c>
      <c r="AN296" s="1129">
        <v>2618.8739523809527</v>
      </c>
      <c r="AO296" s="1129" t="s">
        <v>131</v>
      </c>
      <c r="AP296" s="1129" t="s">
        <v>96</v>
      </c>
      <c r="AQ296" s="1157">
        <v>2014</v>
      </c>
      <c r="AR296" s="1129" t="s">
        <v>87</v>
      </c>
      <c r="AS296" s="1127">
        <v>0.33333333333333331</v>
      </c>
      <c r="AT296" s="1127"/>
      <c r="AU296" s="1127">
        <v>0.33333333333333331</v>
      </c>
      <c r="AV296" s="1127"/>
      <c r="AW296" s="1127"/>
      <c r="AX296" s="1127"/>
      <c r="AY296" s="1127"/>
      <c r="AZ296" s="1127">
        <v>0.33333333333333331</v>
      </c>
      <c r="BA296" s="1129">
        <v>872.95798412698423</v>
      </c>
      <c r="BB296" s="1129">
        <v>0</v>
      </c>
      <c r="BC296" s="1129">
        <v>872.95798412698423</v>
      </c>
      <c r="BD296" s="1129">
        <v>0</v>
      </c>
      <c r="BE296" s="1129">
        <v>0</v>
      </c>
      <c r="BF296" s="1129">
        <v>0</v>
      </c>
      <c r="BG296" s="1129">
        <v>0</v>
      </c>
      <c r="BH296" s="1129">
        <v>872.95798412698423</v>
      </c>
      <c r="BI296" s="971"/>
      <c r="BJ296" s="971"/>
      <c r="BK296" s="971"/>
      <c r="BL296" s="1246"/>
      <c r="BM296" s="1247" t="s">
        <v>2127</v>
      </c>
    </row>
    <row r="297" spans="1:65" s="1247" customFormat="1" ht="49.5" customHeight="1">
      <c r="A297" s="1272">
        <v>7000</v>
      </c>
      <c r="B297" s="971" t="s">
        <v>2420</v>
      </c>
      <c r="C297" s="1272">
        <v>7200</v>
      </c>
      <c r="D297" s="971" t="s">
        <v>119</v>
      </c>
      <c r="E297" s="971" t="s">
        <v>7010</v>
      </c>
      <c r="F297" s="971" t="s">
        <v>3600</v>
      </c>
      <c r="G297" s="971">
        <v>7243</v>
      </c>
      <c r="H297" s="971" t="s">
        <v>6601</v>
      </c>
      <c r="I297" s="1273" t="s">
        <v>7044</v>
      </c>
      <c r="J297" s="971" t="s">
        <v>2146</v>
      </c>
      <c r="K297" s="971" t="s">
        <v>2129</v>
      </c>
      <c r="L297" s="971" t="s">
        <v>2130</v>
      </c>
      <c r="M297" s="971" t="s">
        <v>2129</v>
      </c>
      <c r="N297" s="971" t="s">
        <v>176</v>
      </c>
      <c r="O297" s="971" t="s">
        <v>2130</v>
      </c>
      <c r="P297" s="971" t="s">
        <v>7045</v>
      </c>
      <c r="Q297" s="971" t="s">
        <v>7046</v>
      </c>
      <c r="R297" s="971" t="s">
        <v>5333</v>
      </c>
      <c r="S297" s="1274">
        <v>1</v>
      </c>
      <c r="T297" s="971" t="s">
        <v>242</v>
      </c>
      <c r="U297" s="1275">
        <v>6.666666666666667</v>
      </c>
      <c r="V297" s="1275">
        <v>25</v>
      </c>
      <c r="W297" s="1275">
        <v>666.08920634920639</v>
      </c>
      <c r="X297" s="1275">
        <v>250</v>
      </c>
      <c r="Y297" s="1275">
        <v>941.08920634920639</v>
      </c>
      <c r="Z297" s="1129">
        <v>6.666666666666667</v>
      </c>
      <c r="AA297" s="1129">
        <v>25</v>
      </c>
      <c r="AB297" s="1129">
        <v>666.08920634920639</v>
      </c>
      <c r="AC297" s="1129">
        <v>250</v>
      </c>
      <c r="AD297" s="1098">
        <v>941.08920634920639</v>
      </c>
      <c r="AE297" s="1135">
        <v>4</v>
      </c>
      <c r="AF297" s="1129">
        <v>4</v>
      </c>
      <c r="AG297" s="1127">
        <v>1</v>
      </c>
      <c r="AH297" s="1127">
        <v>0</v>
      </c>
      <c r="AI297" s="1127">
        <v>0</v>
      </c>
      <c r="AJ297" s="1127">
        <v>1</v>
      </c>
      <c r="AK297" s="1129">
        <v>941.08920634920639</v>
      </c>
      <c r="AL297" s="1129">
        <v>0</v>
      </c>
      <c r="AM297" s="1129">
        <v>0</v>
      </c>
      <c r="AN297" s="1129">
        <v>941.08920634920639</v>
      </c>
      <c r="AO297" s="1129" t="s">
        <v>131</v>
      </c>
      <c r="AP297" s="1129" t="s">
        <v>96</v>
      </c>
      <c r="AQ297" s="1157">
        <v>2014</v>
      </c>
      <c r="AR297" s="1129" t="s">
        <v>87</v>
      </c>
      <c r="AS297" s="1127">
        <v>0.33333333333333331</v>
      </c>
      <c r="AT297" s="1127"/>
      <c r="AU297" s="1127">
        <v>0.33333333333333331</v>
      </c>
      <c r="AV297" s="1127"/>
      <c r="AW297" s="1127"/>
      <c r="AX297" s="1127"/>
      <c r="AY297" s="1127"/>
      <c r="AZ297" s="1127">
        <v>0.33333333333333331</v>
      </c>
      <c r="BA297" s="1129">
        <v>313.69640211640211</v>
      </c>
      <c r="BB297" s="1129">
        <v>0</v>
      </c>
      <c r="BC297" s="1129">
        <v>313.69640211640211</v>
      </c>
      <c r="BD297" s="1129">
        <v>0</v>
      </c>
      <c r="BE297" s="1129">
        <v>0</v>
      </c>
      <c r="BF297" s="1129">
        <v>0</v>
      </c>
      <c r="BG297" s="1129">
        <v>0</v>
      </c>
      <c r="BH297" s="1129">
        <v>313.69640211640211</v>
      </c>
      <c r="BI297" s="971"/>
      <c r="BJ297" s="971"/>
      <c r="BK297" s="971"/>
      <c r="BL297" s="1246"/>
      <c r="BM297" s="1247" t="s">
        <v>2127</v>
      </c>
    </row>
    <row r="298" spans="1:65" s="1247" customFormat="1" ht="49.5" customHeight="1">
      <c r="A298" s="1272">
        <v>7000</v>
      </c>
      <c r="B298" s="971" t="s">
        <v>2420</v>
      </c>
      <c r="C298" s="1272">
        <v>7200</v>
      </c>
      <c r="D298" s="971" t="s">
        <v>119</v>
      </c>
      <c r="E298" s="971" t="s">
        <v>7010</v>
      </c>
      <c r="F298" s="971" t="s">
        <v>3600</v>
      </c>
      <c r="G298" s="971">
        <v>7243</v>
      </c>
      <c r="H298" s="971" t="s">
        <v>6601</v>
      </c>
      <c r="I298" s="1273" t="s">
        <v>7047</v>
      </c>
      <c r="J298" s="971" t="s">
        <v>2146</v>
      </c>
      <c r="K298" s="971" t="s">
        <v>2129</v>
      </c>
      <c r="L298" s="971" t="s">
        <v>2130</v>
      </c>
      <c r="M298" s="971" t="s">
        <v>2129</v>
      </c>
      <c r="N298" s="971" t="s">
        <v>176</v>
      </c>
      <c r="O298" s="971" t="s">
        <v>2130</v>
      </c>
      <c r="P298" s="971" t="s">
        <v>6663</v>
      </c>
      <c r="Q298" s="971" t="s">
        <v>7048</v>
      </c>
      <c r="R298" s="971" t="s">
        <v>5337</v>
      </c>
      <c r="S298" s="1274">
        <v>1</v>
      </c>
      <c r="T298" s="971" t="s">
        <v>242</v>
      </c>
      <c r="U298" s="1275">
        <v>6.666666666666667</v>
      </c>
      <c r="V298" s="1275">
        <v>25</v>
      </c>
      <c r="W298" s="1275">
        <v>666.08920634920639</v>
      </c>
      <c r="X298" s="1275">
        <v>250</v>
      </c>
      <c r="Y298" s="1275">
        <v>941.08920634920639</v>
      </c>
      <c r="Z298" s="1129">
        <v>6.666666666666667</v>
      </c>
      <c r="AA298" s="1129">
        <v>25</v>
      </c>
      <c r="AB298" s="1129">
        <v>666.08920634920639</v>
      </c>
      <c r="AC298" s="1129">
        <v>250</v>
      </c>
      <c r="AD298" s="1098">
        <v>941.08920634920639</v>
      </c>
      <c r="AE298" s="1135">
        <v>4</v>
      </c>
      <c r="AF298" s="1129">
        <v>4</v>
      </c>
      <c r="AG298" s="1127">
        <v>1</v>
      </c>
      <c r="AH298" s="1127">
        <v>0</v>
      </c>
      <c r="AI298" s="1127">
        <v>0</v>
      </c>
      <c r="AJ298" s="1127">
        <v>1</v>
      </c>
      <c r="AK298" s="1129">
        <v>941.08920634920639</v>
      </c>
      <c r="AL298" s="1129">
        <v>0</v>
      </c>
      <c r="AM298" s="1129">
        <v>0</v>
      </c>
      <c r="AN298" s="1129">
        <v>941.08920634920639</v>
      </c>
      <c r="AO298" s="1129" t="s">
        <v>131</v>
      </c>
      <c r="AP298" s="1129" t="s">
        <v>96</v>
      </c>
      <c r="AQ298" s="1157">
        <v>2014</v>
      </c>
      <c r="AR298" s="1129" t="s">
        <v>87</v>
      </c>
      <c r="AS298" s="1127">
        <v>0.33333333333333331</v>
      </c>
      <c r="AT298" s="1127"/>
      <c r="AU298" s="1127">
        <v>0.33333333333333331</v>
      </c>
      <c r="AV298" s="1127"/>
      <c r="AW298" s="1127"/>
      <c r="AX298" s="1127"/>
      <c r="AY298" s="1127"/>
      <c r="AZ298" s="1127">
        <v>0.33333333333333331</v>
      </c>
      <c r="BA298" s="1129">
        <v>313.69640211640211</v>
      </c>
      <c r="BB298" s="1129">
        <v>0</v>
      </c>
      <c r="BC298" s="1129">
        <v>313.69640211640211</v>
      </c>
      <c r="BD298" s="1129">
        <v>0</v>
      </c>
      <c r="BE298" s="1129">
        <v>0</v>
      </c>
      <c r="BF298" s="1129">
        <v>0</v>
      </c>
      <c r="BG298" s="1129">
        <v>0</v>
      </c>
      <c r="BH298" s="1129">
        <v>313.69640211640211</v>
      </c>
      <c r="BI298" s="971"/>
      <c r="BJ298" s="971"/>
      <c r="BK298" s="971"/>
      <c r="BL298" s="1246"/>
      <c r="BM298" s="1247" t="s">
        <v>2127</v>
      </c>
    </row>
    <row r="299" spans="1:65" s="1247" customFormat="1" ht="49.5" customHeight="1">
      <c r="A299" s="1272">
        <v>7000</v>
      </c>
      <c r="B299" s="971" t="s">
        <v>2420</v>
      </c>
      <c r="C299" s="1272">
        <v>7200</v>
      </c>
      <c r="D299" s="971" t="s">
        <v>119</v>
      </c>
      <c r="E299" s="971" t="s">
        <v>7010</v>
      </c>
      <c r="F299" s="971" t="s">
        <v>3600</v>
      </c>
      <c r="G299" s="971">
        <v>7243</v>
      </c>
      <c r="H299" s="971" t="s">
        <v>6601</v>
      </c>
      <c r="I299" s="1273" t="s">
        <v>7049</v>
      </c>
      <c r="J299" s="971" t="s">
        <v>2146</v>
      </c>
      <c r="K299" s="971" t="s">
        <v>2129</v>
      </c>
      <c r="L299" s="971" t="s">
        <v>2130</v>
      </c>
      <c r="M299" s="971" t="s">
        <v>2129</v>
      </c>
      <c r="N299" s="971" t="s">
        <v>176</v>
      </c>
      <c r="O299" s="971" t="s">
        <v>2130</v>
      </c>
      <c r="P299" s="971" t="s">
        <v>6632</v>
      </c>
      <c r="Q299" s="971" t="s">
        <v>7050</v>
      </c>
      <c r="R299" s="971" t="s">
        <v>5344</v>
      </c>
      <c r="S299" s="1274">
        <v>1</v>
      </c>
      <c r="T299" s="971" t="s">
        <v>242</v>
      </c>
      <c r="U299" s="1275">
        <v>6.666666666666667</v>
      </c>
      <c r="V299" s="1275">
        <v>25</v>
      </c>
      <c r="W299" s="1275">
        <v>666.08920634920639</v>
      </c>
      <c r="X299" s="1275">
        <v>250</v>
      </c>
      <c r="Y299" s="1275">
        <v>941.08920634920639</v>
      </c>
      <c r="Z299" s="1129">
        <v>6.666666666666667</v>
      </c>
      <c r="AA299" s="1129">
        <v>25</v>
      </c>
      <c r="AB299" s="1129">
        <v>666.08920634920639</v>
      </c>
      <c r="AC299" s="1129">
        <v>250</v>
      </c>
      <c r="AD299" s="1098">
        <v>941.08920634920639</v>
      </c>
      <c r="AE299" s="1135">
        <v>4</v>
      </c>
      <c r="AF299" s="1129">
        <v>4</v>
      </c>
      <c r="AG299" s="1127">
        <v>1</v>
      </c>
      <c r="AH299" s="1127">
        <v>0</v>
      </c>
      <c r="AI299" s="1127">
        <v>0</v>
      </c>
      <c r="AJ299" s="1127">
        <v>1</v>
      </c>
      <c r="AK299" s="1129">
        <v>941.08920634920639</v>
      </c>
      <c r="AL299" s="1129">
        <v>0</v>
      </c>
      <c r="AM299" s="1129">
        <v>0</v>
      </c>
      <c r="AN299" s="1129">
        <v>941.08920634920639</v>
      </c>
      <c r="AO299" s="1129" t="s">
        <v>131</v>
      </c>
      <c r="AP299" s="1129" t="s">
        <v>96</v>
      </c>
      <c r="AQ299" s="1157">
        <v>2014</v>
      </c>
      <c r="AR299" s="1129" t="s">
        <v>87</v>
      </c>
      <c r="AS299" s="1127">
        <v>0.33333333333333331</v>
      </c>
      <c r="AT299" s="1127"/>
      <c r="AU299" s="1127">
        <v>0.33333333333333331</v>
      </c>
      <c r="AV299" s="1127"/>
      <c r="AW299" s="1127"/>
      <c r="AX299" s="1127"/>
      <c r="AY299" s="1127"/>
      <c r="AZ299" s="1127">
        <v>0.33333333333333331</v>
      </c>
      <c r="BA299" s="1129">
        <v>313.69640211640211</v>
      </c>
      <c r="BB299" s="1129">
        <v>0</v>
      </c>
      <c r="BC299" s="1129">
        <v>313.69640211640211</v>
      </c>
      <c r="BD299" s="1129">
        <v>0</v>
      </c>
      <c r="BE299" s="1129">
        <v>0</v>
      </c>
      <c r="BF299" s="1129">
        <v>0</v>
      </c>
      <c r="BG299" s="1129">
        <v>0</v>
      </c>
      <c r="BH299" s="1129">
        <v>313.69640211640211</v>
      </c>
      <c r="BI299" s="971"/>
      <c r="BJ299" s="971"/>
      <c r="BK299" s="971"/>
      <c r="BL299" s="1246"/>
      <c r="BM299" s="1247" t="s">
        <v>2127</v>
      </c>
    </row>
    <row r="300" spans="1:65" s="1247" customFormat="1" ht="49.5" customHeight="1">
      <c r="A300" s="1272">
        <v>7000</v>
      </c>
      <c r="B300" s="971" t="s">
        <v>2420</v>
      </c>
      <c r="C300" s="1272">
        <v>7200</v>
      </c>
      <c r="D300" s="971" t="s">
        <v>119</v>
      </c>
      <c r="E300" s="971" t="s">
        <v>7010</v>
      </c>
      <c r="F300" s="971" t="s">
        <v>3600</v>
      </c>
      <c r="G300" s="971">
        <v>7243</v>
      </c>
      <c r="H300" s="971" t="s">
        <v>6601</v>
      </c>
      <c r="I300" s="1273" t="s">
        <v>7051</v>
      </c>
      <c r="J300" s="971" t="s">
        <v>2146</v>
      </c>
      <c r="K300" s="971" t="s">
        <v>2129</v>
      </c>
      <c r="L300" s="971" t="s">
        <v>2130</v>
      </c>
      <c r="M300" s="971" t="s">
        <v>2129</v>
      </c>
      <c r="N300" s="971" t="s">
        <v>176</v>
      </c>
      <c r="O300" s="971" t="s">
        <v>2130</v>
      </c>
      <c r="P300" s="971" t="s">
        <v>6632</v>
      </c>
      <c r="Q300" s="971" t="s">
        <v>7052</v>
      </c>
      <c r="R300" s="971" t="s">
        <v>5346</v>
      </c>
      <c r="S300" s="1274">
        <v>1</v>
      </c>
      <c r="T300" s="971" t="s">
        <v>242</v>
      </c>
      <c r="U300" s="1275">
        <v>6.666666666666667</v>
      </c>
      <c r="V300" s="1275">
        <v>25</v>
      </c>
      <c r="W300" s="1275">
        <v>666.08920634920639</v>
      </c>
      <c r="X300" s="1275">
        <v>250</v>
      </c>
      <c r="Y300" s="1275">
        <v>941.08920634920639</v>
      </c>
      <c r="Z300" s="1129">
        <v>6.666666666666667</v>
      </c>
      <c r="AA300" s="1129">
        <v>25</v>
      </c>
      <c r="AB300" s="1129">
        <v>666.08920634920639</v>
      </c>
      <c r="AC300" s="1129">
        <v>250</v>
      </c>
      <c r="AD300" s="1098">
        <v>941.08920634920639</v>
      </c>
      <c r="AE300" s="1135">
        <v>4</v>
      </c>
      <c r="AF300" s="1129">
        <v>4</v>
      </c>
      <c r="AG300" s="1127">
        <v>1</v>
      </c>
      <c r="AH300" s="1127">
        <v>0</v>
      </c>
      <c r="AI300" s="1127">
        <v>0</v>
      </c>
      <c r="AJ300" s="1127">
        <v>1</v>
      </c>
      <c r="AK300" s="1129">
        <v>941.08920634920639</v>
      </c>
      <c r="AL300" s="1129">
        <v>0</v>
      </c>
      <c r="AM300" s="1129">
        <v>0</v>
      </c>
      <c r="AN300" s="1129">
        <v>941.08920634920639</v>
      </c>
      <c r="AO300" s="1129" t="s">
        <v>131</v>
      </c>
      <c r="AP300" s="1129" t="s">
        <v>96</v>
      </c>
      <c r="AQ300" s="1157">
        <v>2014</v>
      </c>
      <c r="AR300" s="1129" t="s">
        <v>87</v>
      </c>
      <c r="AS300" s="1127">
        <v>0.33333333333333331</v>
      </c>
      <c r="AT300" s="1127"/>
      <c r="AU300" s="1127">
        <v>0.33333333333333331</v>
      </c>
      <c r="AV300" s="1127"/>
      <c r="AW300" s="1127"/>
      <c r="AX300" s="1127"/>
      <c r="AY300" s="1127"/>
      <c r="AZ300" s="1127">
        <v>0.33333333333333331</v>
      </c>
      <c r="BA300" s="1129">
        <v>313.69640211640211</v>
      </c>
      <c r="BB300" s="1129">
        <v>0</v>
      </c>
      <c r="BC300" s="1129">
        <v>313.69640211640211</v>
      </c>
      <c r="BD300" s="1129">
        <v>0</v>
      </c>
      <c r="BE300" s="1129">
        <v>0</v>
      </c>
      <c r="BF300" s="1129">
        <v>0</v>
      </c>
      <c r="BG300" s="1129">
        <v>0</v>
      </c>
      <c r="BH300" s="1129">
        <v>313.69640211640211</v>
      </c>
      <c r="BI300" s="971"/>
      <c r="BJ300" s="971"/>
      <c r="BK300" s="971"/>
      <c r="BL300" s="1246"/>
      <c r="BM300" s="1247" t="s">
        <v>2127</v>
      </c>
    </row>
    <row r="301" spans="1:65" s="1247" customFormat="1" ht="49.5" customHeight="1">
      <c r="A301" s="1272">
        <v>7000</v>
      </c>
      <c r="B301" s="971" t="s">
        <v>2420</v>
      </c>
      <c r="C301" s="1272">
        <v>7200</v>
      </c>
      <c r="D301" s="971" t="s">
        <v>119</v>
      </c>
      <c r="E301" s="971" t="s">
        <v>7010</v>
      </c>
      <c r="F301" s="971" t="s">
        <v>3600</v>
      </c>
      <c r="G301" s="971">
        <v>7243</v>
      </c>
      <c r="H301" s="971" t="s">
        <v>6601</v>
      </c>
      <c r="I301" s="1273" t="s">
        <v>7053</v>
      </c>
      <c r="J301" s="971" t="s">
        <v>2146</v>
      </c>
      <c r="K301" s="971" t="s">
        <v>2129</v>
      </c>
      <c r="L301" s="971" t="s">
        <v>2130</v>
      </c>
      <c r="M301" s="971" t="s">
        <v>2129</v>
      </c>
      <c r="N301" s="971" t="s">
        <v>176</v>
      </c>
      <c r="O301" s="971" t="s">
        <v>2130</v>
      </c>
      <c r="P301" s="971" t="s">
        <v>6632</v>
      </c>
      <c r="Q301" s="971" t="s">
        <v>7052</v>
      </c>
      <c r="R301" s="971" t="s">
        <v>5347</v>
      </c>
      <c r="S301" s="1274">
        <v>1</v>
      </c>
      <c r="T301" s="971" t="s">
        <v>242</v>
      </c>
      <c r="U301" s="1275">
        <v>6.666666666666667</v>
      </c>
      <c r="V301" s="1275">
        <v>25</v>
      </c>
      <c r="W301" s="1275">
        <v>666.08920634920639</v>
      </c>
      <c r="X301" s="1275">
        <v>250</v>
      </c>
      <c r="Y301" s="1275">
        <v>941.08920634920639</v>
      </c>
      <c r="Z301" s="1129">
        <v>6.666666666666667</v>
      </c>
      <c r="AA301" s="1129">
        <v>25</v>
      </c>
      <c r="AB301" s="1129">
        <v>666.08920634920639</v>
      </c>
      <c r="AC301" s="1129">
        <v>250</v>
      </c>
      <c r="AD301" s="1098">
        <v>941.08920634920639</v>
      </c>
      <c r="AE301" s="1135">
        <v>4</v>
      </c>
      <c r="AF301" s="1129">
        <v>4</v>
      </c>
      <c r="AG301" s="1127">
        <v>1</v>
      </c>
      <c r="AH301" s="1127">
        <v>0</v>
      </c>
      <c r="AI301" s="1127">
        <v>0</v>
      </c>
      <c r="AJ301" s="1127">
        <v>1</v>
      </c>
      <c r="AK301" s="1129">
        <v>941.08920634920639</v>
      </c>
      <c r="AL301" s="1129">
        <v>0</v>
      </c>
      <c r="AM301" s="1129">
        <v>0</v>
      </c>
      <c r="AN301" s="1129">
        <v>941.08920634920639</v>
      </c>
      <c r="AO301" s="1129" t="s">
        <v>131</v>
      </c>
      <c r="AP301" s="1129" t="s">
        <v>96</v>
      </c>
      <c r="AQ301" s="1157">
        <v>2014</v>
      </c>
      <c r="AR301" s="1129" t="s">
        <v>87</v>
      </c>
      <c r="AS301" s="1127">
        <v>0.33333333333333331</v>
      </c>
      <c r="AT301" s="1127"/>
      <c r="AU301" s="1127">
        <v>0.33333333333333331</v>
      </c>
      <c r="AV301" s="1127"/>
      <c r="AW301" s="1127"/>
      <c r="AX301" s="1127"/>
      <c r="AY301" s="1127"/>
      <c r="AZ301" s="1127">
        <v>0.33333333333333331</v>
      </c>
      <c r="BA301" s="1129">
        <v>313.69640211640211</v>
      </c>
      <c r="BB301" s="1129">
        <v>0</v>
      </c>
      <c r="BC301" s="1129">
        <v>313.69640211640211</v>
      </c>
      <c r="BD301" s="1129">
        <v>0</v>
      </c>
      <c r="BE301" s="1129">
        <v>0</v>
      </c>
      <c r="BF301" s="1129">
        <v>0</v>
      </c>
      <c r="BG301" s="1129">
        <v>0</v>
      </c>
      <c r="BH301" s="1129">
        <v>313.69640211640211</v>
      </c>
      <c r="BI301" s="971"/>
      <c r="BJ301" s="971"/>
      <c r="BK301" s="971"/>
      <c r="BL301" s="1246"/>
      <c r="BM301" s="1247" t="s">
        <v>2129</v>
      </c>
    </row>
    <row r="302" spans="1:65" s="1247" customFormat="1" ht="49.5" customHeight="1">
      <c r="A302" s="1272">
        <v>7000</v>
      </c>
      <c r="B302" s="971" t="s">
        <v>2420</v>
      </c>
      <c r="C302" s="1272">
        <v>7200</v>
      </c>
      <c r="D302" s="971" t="s">
        <v>119</v>
      </c>
      <c r="E302" s="971" t="s">
        <v>7010</v>
      </c>
      <c r="F302" s="971" t="s">
        <v>3600</v>
      </c>
      <c r="G302" s="971">
        <v>7243</v>
      </c>
      <c r="H302" s="971" t="s">
        <v>6601</v>
      </c>
      <c r="I302" s="1273" t="s">
        <v>7054</v>
      </c>
      <c r="J302" s="971" t="s">
        <v>2146</v>
      </c>
      <c r="K302" s="971" t="s">
        <v>2129</v>
      </c>
      <c r="L302" s="971" t="s">
        <v>2130</v>
      </c>
      <c r="M302" s="971" t="s">
        <v>2129</v>
      </c>
      <c r="N302" s="971" t="s">
        <v>176</v>
      </c>
      <c r="O302" s="971" t="s">
        <v>2130</v>
      </c>
      <c r="P302" s="971" t="s">
        <v>6632</v>
      </c>
      <c r="Q302" s="971" t="s">
        <v>7052</v>
      </c>
      <c r="R302" s="971" t="s">
        <v>5348</v>
      </c>
      <c r="S302" s="1274">
        <v>1</v>
      </c>
      <c r="T302" s="971" t="s">
        <v>242</v>
      </c>
      <c r="U302" s="1275">
        <v>6.666666666666667</v>
      </c>
      <c r="V302" s="1275">
        <v>25</v>
      </c>
      <c r="W302" s="1275">
        <v>666.08920634920639</v>
      </c>
      <c r="X302" s="1275">
        <v>250</v>
      </c>
      <c r="Y302" s="1275">
        <v>941.08920634920639</v>
      </c>
      <c r="Z302" s="1129">
        <v>6.666666666666667</v>
      </c>
      <c r="AA302" s="1129">
        <v>25</v>
      </c>
      <c r="AB302" s="1129">
        <v>666.08920634920639</v>
      </c>
      <c r="AC302" s="1129">
        <v>250</v>
      </c>
      <c r="AD302" s="1098">
        <v>941.08920634920639</v>
      </c>
      <c r="AE302" s="1135">
        <v>4</v>
      </c>
      <c r="AF302" s="1129">
        <v>4</v>
      </c>
      <c r="AG302" s="1127">
        <v>1</v>
      </c>
      <c r="AH302" s="1127">
        <v>0</v>
      </c>
      <c r="AI302" s="1127">
        <v>0</v>
      </c>
      <c r="AJ302" s="1127">
        <v>1</v>
      </c>
      <c r="AK302" s="1129">
        <v>941.08920634920639</v>
      </c>
      <c r="AL302" s="1129">
        <v>0</v>
      </c>
      <c r="AM302" s="1129">
        <v>0</v>
      </c>
      <c r="AN302" s="1129">
        <v>941.08920634920639</v>
      </c>
      <c r="AO302" s="1129" t="s">
        <v>131</v>
      </c>
      <c r="AP302" s="1129" t="s">
        <v>96</v>
      </c>
      <c r="AQ302" s="1157">
        <v>2014</v>
      </c>
      <c r="AR302" s="1129" t="s">
        <v>87</v>
      </c>
      <c r="AS302" s="1127">
        <v>0.33333333333333331</v>
      </c>
      <c r="AT302" s="1127"/>
      <c r="AU302" s="1127">
        <v>0.33333333333333331</v>
      </c>
      <c r="AV302" s="1127"/>
      <c r="AW302" s="1127"/>
      <c r="AX302" s="1127"/>
      <c r="AY302" s="1127"/>
      <c r="AZ302" s="1127">
        <v>0.33333333333333331</v>
      </c>
      <c r="BA302" s="1129">
        <v>313.69640211640211</v>
      </c>
      <c r="BB302" s="1129">
        <v>0</v>
      </c>
      <c r="BC302" s="1129">
        <v>313.69640211640211</v>
      </c>
      <c r="BD302" s="1129">
        <v>0</v>
      </c>
      <c r="BE302" s="1129">
        <v>0</v>
      </c>
      <c r="BF302" s="1129">
        <v>0</v>
      </c>
      <c r="BG302" s="1129">
        <v>0</v>
      </c>
      <c r="BH302" s="1129">
        <v>313.69640211640211</v>
      </c>
      <c r="BI302" s="971"/>
      <c r="BJ302" s="971"/>
      <c r="BK302" s="971"/>
      <c r="BL302" s="1246"/>
      <c r="BM302" s="1247" t="s">
        <v>2127</v>
      </c>
    </row>
    <row r="303" spans="1:65" s="1247" customFormat="1" ht="49.5" customHeight="1">
      <c r="A303" s="1272">
        <v>7000</v>
      </c>
      <c r="B303" s="971" t="s">
        <v>2420</v>
      </c>
      <c r="C303" s="1272">
        <v>7200</v>
      </c>
      <c r="D303" s="971" t="s">
        <v>119</v>
      </c>
      <c r="E303" s="971" t="s">
        <v>7010</v>
      </c>
      <c r="F303" s="971" t="s">
        <v>3600</v>
      </c>
      <c r="G303" s="971">
        <v>7243</v>
      </c>
      <c r="H303" s="971" t="s">
        <v>6601</v>
      </c>
      <c r="I303" s="1273" t="s">
        <v>7055</v>
      </c>
      <c r="J303" s="971" t="s">
        <v>2146</v>
      </c>
      <c r="K303" s="971" t="s">
        <v>2129</v>
      </c>
      <c r="L303" s="971" t="s">
        <v>2130</v>
      </c>
      <c r="M303" s="971" t="s">
        <v>2129</v>
      </c>
      <c r="N303" s="971" t="s">
        <v>176</v>
      </c>
      <c r="O303" s="971" t="s">
        <v>2130</v>
      </c>
      <c r="P303" s="971" t="s">
        <v>6632</v>
      </c>
      <c r="Q303" s="971" t="s">
        <v>7052</v>
      </c>
      <c r="R303" s="971" t="s">
        <v>5349</v>
      </c>
      <c r="S303" s="1274">
        <v>1</v>
      </c>
      <c r="T303" s="971" t="s">
        <v>242</v>
      </c>
      <c r="U303" s="1275">
        <v>6.666666666666667</v>
      </c>
      <c r="V303" s="1275">
        <v>25</v>
      </c>
      <c r="W303" s="1275">
        <v>666.08920634920639</v>
      </c>
      <c r="X303" s="1275">
        <v>250</v>
      </c>
      <c r="Y303" s="1275">
        <v>941.08920634920639</v>
      </c>
      <c r="Z303" s="1129">
        <v>6.666666666666667</v>
      </c>
      <c r="AA303" s="1129">
        <v>25</v>
      </c>
      <c r="AB303" s="1129">
        <v>666.08920634920639</v>
      </c>
      <c r="AC303" s="1129">
        <v>250</v>
      </c>
      <c r="AD303" s="1098">
        <v>941.08920634920639</v>
      </c>
      <c r="AE303" s="1135">
        <v>4</v>
      </c>
      <c r="AF303" s="1129">
        <v>4</v>
      </c>
      <c r="AG303" s="1127">
        <v>1</v>
      </c>
      <c r="AH303" s="1127">
        <v>0</v>
      </c>
      <c r="AI303" s="1127">
        <v>0</v>
      </c>
      <c r="AJ303" s="1127">
        <v>1</v>
      </c>
      <c r="AK303" s="1129">
        <v>941.08920634920639</v>
      </c>
      <c r="AL303" s="1129">
        <v>0</v>
      </c>
      <c r="AM303" s="1129">
        <v>0</v>
      </c>
      <c r="AN303" s="1129">
        <v>941.08920634920639</v>
      </c>
      <c r="AO303" s="1129" t="s">
        <v>131</v>
      </c>
      <c r="AP303" s="1129" t="s">
        <v>96</v>
      </c>
      <c r="AQ303" s="1157">
        <v>2014</v>
      </c>
      <c r="AR303" s="1129" t="s">
        <v>87</v>
      </c>
      <c r="AS303" s="1127">
        <v>0.33333333333333331</v>
      </c>
      <c r="AT303" s="1127"/>
      <c r="AU303" s="1127">
        <v>0.33333333333333331</v>
      </c>
      <c r="AV303" s="1127"/>
      <c r="AW303" s="1127"/>
      <c r="AX303" s="1127"/>
      <c r="AY303" s="1127"/>
      <c r="AZ303" s="1127">
        <v>0.33333333333333331</v>
      </c>
      <c r="BA303" s="1129">
        <v>313.69640211640211</v>
      </c>
      <c r="BB303" s="1129">
        <v>0</v>
      </c>
      <c r="BC303" s="1129">
        <v>313.69640211640211</v>
      </c>
      <c r="BD303" s="1129">
        <v>0</v>
      </c>
      <c r="BE303" s="1129">
        <v>0</v>
      </c>
      <c r="BF303" s="1129">
        <v>0</v>
      </c>
      <c r="BG303" s="1129">
        <v>0</v>
      </c>
      <c r="BH303" s="1129">
        <v>313.69640211640211</v>
      </c>
      <c r="BI303" s="971"/>
      <c r="BJ303" s="971"/>
      <c r="BK303" s="971"/>
      <c r="BL303" s="1246"/>
      <c r="BM303" s="1247" t="s">
        <v>2125</v>
      </c>
    </row>
    <row r="304" spans="1:65" s="1247" customFormat="1" ht="49.5" customHeight="1">
      <c r="A304" s="1272">
        <v>7000</v>
      </c>
      <c r="B304" s="971" t="s">
        <v>2420</v>
      </c>
      <c r="C304" s="1272">
        <v>7200</v>
      </c>
      <c r="D304" s="971" t="s">
        <v>119</v>
      </c>
      <c r="E304" s="971" t="s">
        <v>7010</v>
      </c>
      <c r="F304" s="971" t="s">
        <v>3600</v>
      </c>
      <c r="G304" s="971">
        <v>7243</v>
      </c>
      <c r="H304" s="971" t="s">
        <v>6601</v>
      </c>
      <c r="I304" s="1273" t="s">
        <v>7056</v>
      </c>
      <c r="J304" s="971" t="s">
        <v>2146</v>
      </c>
      <c r="K304" s="971" t="s">
        <v>2127</v>
      </c>
      <c r="L304" s="971" t="s">
        <v>2177</v>
      </c>
      <c r="M304" s="971" t="s">
        <v>2127</v>
      </c>
      <c r="N304" s="971" t="s">
        <v>176</v>
      </c>
      <c r="O304" s="971" t="s">
        <v>2177</v>
      </c>
      <c r="P304" s="971" t="s">
        <v>3065</v>
      </c>
      <c r="Q304" s="971" t="s">
        <v>7057</v>
      </c>
      <c r="R304" s="971" t="s">
        <v>5350</v>
      </c>
      <c r="S304" s="1274">
        <v>1</v>
      </c>
      <c r="T304" s="971" t="s">
        <v>242</v>
      </c>
      <c r="U304" s="1275">
        <v>10</v>
      </c>
      <c r="V304" s="1275">
        <v>45</v>
      </c>
      <c r="W304" s="1275">
        <v>999.13380952380965</v>
      </c>
      <c r="X304" s="1275">
        <v>450</v>
      </c>
      <c r="Y304" s="1275">
        <v>1494.1338095238098</v>
      </c>
      <c r="Z304" s="1129">
        <v>10</v>
      </c>
      <c r="AA304" s="1129">
        <v>45</v>
      </c>
      <c r="AB304" s="1129">
        <v>999.13380952380965</v>
      </c>
      <c r="AC304" s="1129">
        <v>450</v>
      </c>
      <c r="AD304" s="1098">
        <v>1494.1338095238098</v>
      </c>
      <c r="AE304" s="1135">
        <v>24</v>
      </c>
      <c r="AF304" s="1129">
        <v>24</v>
      </c>
      <c r="AG304" s="1127">
        <v>1</v>
      </c>
      <c r="AH304" s="1127">
        <v>0</v>
      </c>
      <c r="AI304" s="1127">
        <v>0</v>
      </c>
      <c r="AJ304" s="1127">
        <v>1</v>
      </c>
      <c r="AK304" s="1129">
        <v>1494.1338095238098</v>
      </c>
      <c r="AL304" s="1129">
        <v>0</v>
      </c>
      <c r="AM304" s="1129">
        <v>0</v>
      </c>
      <c r="AN304" s="1129">
        <v>1494.1338095238098</v>
      </c>
      <c r="AO304" s="1129" t="s">
        <v>131</v>
      </c>
      <c r="AP304" s="1129" t="s">
        <v>96</v>
      </c>
      <c r="AQ304" s="1157">
        <v>2014</v>
      </c>
      <c r="AR304" s="1129" t="s">
        <v>87</v>
      </c>
      <c r="AS304" s="1127">
        <v>0.33333333333333331</v>
      </c>
      <c r="AT304" s="1127"/>
      <c r="AU304" s="1127">
        <v>0.33333333333333331</v>
      </c>
      <c r="AV304" s="1127"/>
      <c r="AW304" s="1127"/>
      <c r="AX304" s="1127"/>
      <c r="AY304" s="1127"/>
      <c r="AZ304" s="1127">
        <v>0.33333333333333331</v>
      </c>
      <c r="BA304" s="1129">
        <v>498.04460317460325</v>
      </c>
      <c r="BB304" s="1129">
        <v>0</v>
      </c>
      <c r="BC304" s="1129">
        <v>498.04460317460325</v>
      </c>
      <c r="BD304" s="1129">
        <v>0</v>
      </c>
      <c r="BE304" s="1129">
        <v>0</v>
      </c>
      <c r="BF304" s="1129">
        <v>0</v>
      </c>
      <c r="BG304" s="1129">
        <v>0</v>
      </c>
      <c r="BH304" s="1129">
        <v>498.04460317460325</v>
      </c>
      <c r="BI304" s="971"/>
      <c r="BJ304" s="971"/>
      <c r="BK304" s="971"/>
      <c r="BL304" s="1246"/>
      <c r="BM304" s="1247" t="s">
        <v>2125</v>
      </c>
    </row>
    <row r="305" spans="1:65" s="1247" customFormat="1" ht="49.5" customHeight="1">
      <c r="A305" s="1272">
        <v>7000</v>
      </c>
      <c r="B305" s="971" t="s">
        <v>2420</v>
      </c>
      <c r="C305" s="1272">
        <v>7200</v>
      </c>
      <c r="D305" s="971" t="s">
        <v>119</v>
      </c>
      <c r="E305" s="971" t="s">
        <v>7010</v>
      </c>
      <c r="F305" s="971" t="s">
        <v>3600</v>
      </c>
      <c r="G305" s="971">
        <v>7243</v>
      </c>
      <c r="H305" s="971" t="s">
        <v>6601</v>
      </c>
      <c r="I305" s="1273" t="s">
        <v>7058</v>
      </c>
      <c r="J305" s="971" t="s">
        <v>2146</v>
      </c>
      <c r="K305" s="971" t="s">
        <v>2127</v>
      </c>
      <c r="L305" s="971" t="s">
        <v>2177</v>
      </c>
      <c r="M305" s="971" t="s">
        <v>2127</v>
      </c>
      <c r="N305" s="971" t="s">
        <v>176</v>
      </c>
      <c r="O305" s="971" t="s">
        <v>2177</v>
      </c>
      <c r="P305" s="971" t="s">
        <v>6911</v>
      </c>
      <c r="Q305" s="971" t="s">
        <v>7059</v>
      </c>
      <c r="R305" s="971" t="s">
        <v>5351</v>
      </c>
      <c r="S305" s="1274">
        <v>1</v>
      </c>
      <c r="T305" s="971" t="s">
        <v>242</v>
      </c>
      <c r="U305" s="1275">
        <v>10</v>
      </c>
      <c r="V305" s="1275">
        <v>45</v>
      </c>
      <c r="W305" s="1275">
        <v>999.13380952380965</v>
      </c>
      <c r="X305" s="1275">
        <v>450</v>
      </c>
      <c r="Y305" s="1275">
        <v>1494.1338095238098</v>
      </c>
      <c r="Z305" s="1129">
        <v>10</v>
      </c>
      <c r="AA305" s="1129">
        <v>45</v>
      </c>
      <c r="AB305" s="1129">
        <v>999.13380952380965</v>
      </c>
      <c r="AC305" s="1129">
        <v>450</v>
      </c>
      <c r="AD305" s="1098">
        <v>1494.1338095238098</v>
      </c>
      <c r="AE305" s="1135">
        <v>24</v>
      </c>
      <c r="AF305" s="1129">
        <v>24</v>
      </c>
      <c r="AG305" s="1127">
        <v>1</v>
      </c>
      <c r="AH305" s="1127">
        <v>0</v>
      </c>
      <c r="AI305" s="1127">
        <v>0</v>
      </c>
      <c r="AJ305" s="1127">
        <v>1</v>
      </c>
      <c r="AK305" s="1129">
        <v>1494.1338095238098</v>
      </c>
      <c r="AL305" s="1129">
        <v>0</v>
      </c>
      <c r="AM305" s="1129">
        <v>0</v>
      </c>
      <c r="AN305" s="1129">
        <v>1494.1338095238098</v>
      </c>
      <c r="AO305" s="1129" t="s">
        <v>131</v>
      </c>
      <c r="AP305" s="1129" t="s">
        <v>96</v>
      </c>
      <c r="AQ305" s="1157">
        <v>2014</v>
      </c>
      <c r="AR305" s="1129" t="s">
        <v>87</v>
      </c>
      <c r="AS305" s="1127">
        <v>0.33333333333333331</v>
      </c>
      <c r="AT305" s="1127"/>
      <c r="AU305" s="1127">
        <v>0.33333333333333331</v>
      </c>
      <c r="AV305" s="1127"/>
      <c r="AW305" s="1127"/>
      <c r="AX305" s="1127"/>
      <c r="AY305" s="1127"/>
      <c r="AZ305" s="1127">
        <v>0.33333333333333331</v>
      </c>
      <c r="BA305" s="1129">
        <v>498.04460317460325</v>
      </c>
      <c r="BB305" s="1129">
        <v>0</v>
      </c>
      <c r="BC305" s="1129">
        <v>498.04460317460325</v>
      </c>
      <c r="BD305" s="1129">
        <v>0</v>
      </c>
      <c r="BE305" s="1129">
        <v>0</v>
      </c>
      <c r="BF305" s="1129">
        <v>0</v>
      </c>
      <c r="BG305" s="1129">
        <v>0</v>
      </c>
      <c r="BH305" s="1129">
        <v>498.04460317460325</v>
      </c>
      <c r="BI305" s="971"/>
      <c r="BJ305" s="971"/>
      <c r="BK305" s="971"/>
      <c r="BL305" s="1246"/>
      <c r="BM305" s="1247" t="s">
        <v>2125</v>
      </c>
    </row>
    <row r="306" spans="1:65" s="1247" customFormat="1" ht="49.5" customHeight="1">
      <c r="A306" s="1272">
        <v>7000</v>
      </c>
      <c r="B306" s="971" t="s">
        <v>2420</v>
      </c>
      <c r="C306" s="1272">
        <v>7200</v>
      </c>
      <c r="D306" s="971" t="s">
        <v>119</v>
      </c>
      <c r="E306" s="971" t="s">
        <v>7010</v>
      </c>
      <c r="F306" s="971" t="s">
        <v>3600</v>
      </c>
      <c r="G306" s="971">
        <v>7243</v>
      </c>
      <c r="H306" s="971" t="s">
        <v>6601</v>
      </c>
      <c r="I306" s="1273" t="s">
        <v>2306</v>
      </c>
      <c r="J306" s="971" t="s">
        <v>2146</v>
      </c>
      <c r="K306" s="971" t="s">
        <v>2129</v>
      </c>
      <c r="L306" s="971" t="s">
        <v>2130</v>
      </c>
      <c r="M306" s="971" t="s">
        <v>2129</v>
      </c>
      <c r="N306" s="971" t="s">
        <v>176</v>
      </c>
      <c r="O306" s="971" t="s">
        <v>2130</v>
      </c>
      <c r="P306" s="971" t="s">
        <v>7060</v>
      </c>
      <c r="Q306" s="971" t="s">
        <v>7061</v>
      </c>
      <c r="R306" s="971" t="s">
        <v>5353</v>
      </c>
      <c r="S306" s="1274">
        <v>1</v>
      </c>
      <c r="T306" s="971" t="s">
        <v>242</v>
      </c>
      <c r="U306" s="1275">
        <v>6.666666666666667</v>
      </c>
      <c r="V306" s="1275">
        <v>25</v>
      </c>
      <c r="W306" s="1275">
        <v>666.08920634920639</v>
      </c>
      <c r="X306" s="1275">
        <v>250</v>
      </c>
      <c r="Y306" s="1275">
        <v>941.08920634920639</v>
      </c>
      <c r="Z306" s="1129">
        <v>6.666666666666667</v>
      </c>
      <c r="AA306" s="1129">
        <v>25</v>
      </c>
      <c r="AB306" s="1129">
        <v>666.08920634920639</v>
      </c>
      <c r="AC306" s="1129">
        <v>250</v>
      </c>
      <c r="AD306" s="1098">
        <v>941.08920634920639</v>
      </c>
      <c r="AE306" s="1135">
        <v>4</v>
      </c>
      <c r="AF306" s="1129">
        <v>4</v>
      </c>
      <c r="AG306" s="1127">
        <v>1</v>
      </c>
      <c r="AH306" s="1127">
        <v>0</v>
      </c>
      <c r="AI306" s="1127">
        <v>0</v>
      </c>
      <c r="AJ306" s="1127">
        <v>1</v>
      </c>
      <c r="AK306" s="1129">
        <v>941.08920634920639</v>
      </c>
      <c r="AL306" s="1129">
        <v>0</v>
      </c>
      <c r="AM306" s="1129">
        <v>0</v>
      </c>
      <c r="AN306" s="1129">
        <v>941.08920634920639</v>
      </c>
      <c r="AO306" s="1129" t="s">
        <v>131</v>
      </c>
      <c r="AP306" s="1129" t="s">
        <v>96</v>
      </c>
      <c r="AQ306" s="1157">
        <v>2014</v>
      </c>
      <c r="AR306" s="1129" t="s">
        <v>87</v>
      </c>
      <c r="AS306" s="1127">
        <v>0.33333333333333331</v>
      </c>
      <c r="AT306" s="1127"/>
      <c r="AU306" s="1127">
        <v>0.33333333333333331</v>
      </c>
      <c r="AV306" s="1127"/>
      <c r="AW306" s="1127"/>
      <c r="AX306" s="1127"/>
      <c r="AY306" s="1127"/>
      <c r="AZ306" s="1127">
        <v>0.33333333333333331</v>
      </c>
      <c r="BA306" s="1129">
        <v>313.69640211640211</v>
      </c>
      <c r="BB306" s="1129">
        <v>0</v>
      </c>
      <c r="BC306" s="1129">
        <v>313.69640211640211</v>
      </c>
      <c r="BD306" s="1129">
        <v>0</v>
      </c>
      <c r="BE306" s="1129">
        <v>0</v>
      </c>
      <c r="BF306" s="1129">
        <v>0</v>
      </c>
      <c r="BG306" s="1129">
        <v>0</v>
      </c>
      <c r="BH306" s="1129">
        <v>313.69640211640211</v>
      </c>
      <c r="BI306" s="971"/>
      <c r="BJ306" s="971"/>
      <c r="BK306" s="971"/>
      <c r="BL306" s="1246"/>
      <c r="BM306" s="1247" t="s">
        <v>2125</v>
      </c>
    </row>
    <row r="307" spans="1:65" s="1247" customFormat="1" ht="49.5" customHeight="1">
      <c r="A307" s="1272">
        <v>7000</v>
      </c>
      <c r="B307" s="971" t="s">
        <v>2420</v>
      </c>
      <c r="C307" s="1272">
        <v>7200</v>
      </c>
      <c r="D307" s="971" t="s">
        <v>119</v>
      </c>
      <c r="E307" s="971" t="s">
        <v>7010</v>
      </c>
      <c r="F307" s="971" t="s">
        <v>3600</v>
      </c>
      <c r="G307" s="971">
        <v>7243</v>
      </c>
      <c r="H307" s="971" t="s">
        <v>6601</v>
      </c>
      <c r="I307" s="1273" t="s">
        <v>7062</v>
      </c>
      <c r="J307" s="971" t="s">
        <v>2146</v>
      </c>
      <c r="K307" s="971" t="s">
        <v>2129</v>
      </c>
      <c r="L307" s="971" t="s">
        <v>2130</v>
      </c>
      <c r="M307" s="971" t="s">
        <v>2129</v>
      </c>
      <c r="N307" s="971" t="s">
        <v>176</v>
      </c>
      <c r="O307" s="971" t="s">
        <v>2130</v>
      </c>
      <c r="P307" s="971" t="s">
        <v>7060</v>
      </c>
      <c r="Q307" s="971" t="s">
        <v>7061</v>
      </c>
      <c r="R307" s="971" t="s">
        <v>5359</v>
      </c>
      <c r="S307" s="1274">
        <v>1</v>
      </c>
      <c r="T307" s="971" t="s">
        <v>242</v>
      </c>
      <c r="U307" s="1275">
        <v>6.666666666666667</v>
      </c>
      <c r="V307" s="1275">
        <v>25</v>
      </c>
      <c r="W307" s="1275">
        <v>666.08920634920639</v>
      </c>
      <c r="X307" s="1275">
        <v>250</v>
      </c>
      <c r="Y307" s="1275">
        <v>941.08920634920639</v>
      </c>
      <c r="Z307" s="1129">
        <v>6.666666666666667</v>
      </c>
      <c r="AA307" s="1129">
        <v>25</v>
      </c>
      <c r="AB307" s="1129">
        <v>666.08920634920639</v>
      </c>
      <c r="AC307" s="1129">
        <v>250</v>
      </c>
      <c r="AD307" s="1098">
        <v>941.08920634920639</v>
      </c>
      <c r="AE307" s="1135">
        <v>4</v>
      </c>
      <c r="AF307" s="1129">
        <v>4</v>
      </c>
      <c r="AG307" s="1127">
        <v>1</v>
      </c>
      <c r="AH307" s="1127">
        <v>0</v>
      </c>
      <c r="AI307" s="1127">
        <v>0</v>
      </c>
      <c r="AJ307" s="1127">
        <v>1</v>
      </c>
      <c r="AK307" s="1129">
        <v>941.08920634920639</v>
      </c>
      <c r="AL307" s="1129">
        <v>0</v>
      </c>
      <c r="AM307" s="1129">
        <v>0</v>
      </c>
      <c r="AN307" s="1129">
        <v>941.08920634920639</v>
      </c>
      <c r="AO307" s="1129" t="s">
        <v>131</v>
      </c>
      <c r="AP307" s="1129" t="s">
        <v>96</v>
      </c>
      <c r="AQ307" s="1157">
        <v>2014</v>
      </c>
      <c r="AR307" s="1129" t="s">
        <v>87</v>
      </c>
      <c r="AS307" s="1127">
        <v>0.33333333333333331</v>
      </c>
      <c r="AT307" s="1127"/>
      <c r="AU307" s="1127">
        <v>0.33333333333333331</v>
      </c>
      <c r="AV307" s="1127"/>
      <c r="AW307" s="1127"/>
      <c r="AX307" s="1127"/>
      <c r="AY307" s="1127"/>
      <c r="AZ307" s="1127">
        <v>0.33333333333333331</v>
      </c>
      <c r="BA307" s="1129">
        <v>313.69640211640211</v>
      </c>
      <c r="BB307" s="1129">
        <v>0</v>
      </c>
      <c r="BC307" s="1129">
        <v>313.69640211640211</v>
      </c>
      <c r="BD307" s="1129">
        <v>0</v>
      </c>
      <c r="BE307" s="1129">
        <v>0</v>
      </c>
      <c r="BF307" s="1129">
        <v>0</v>
      </c>
      <c r="BG307" s="1129">
        <v>0</v>
      </c>
      <c r="BH307" s="1129">
        <v>313.69640211640211</v>
      </c>
      <c r="BI307" s="971"/>
      <c r="BJ307" s="971"/>
      <c r="BK307" s="971"/>
      <c r="BL307" s="1246"/>
      <c r="BM307" s="1247" t="s">
        <v>2125</v>
      </c>
    </row>
    <row r="308" spans="1:65" s="1247" customFormat="1" ht="49.5" customHeight="1">
      <c r="A308" s="1272">
        <v>7000</v>
      </c>
      <c r="B308" s="971" t="s">
        <v>2420</v>
      </c>
      <c r="C308" s="1272">
        <v>7200</v>
      </c>
      <c r="D308" s="971" t="s">
        <v>119</v>
      </c>
      <c r="E308" s="971" t="s">
        <v>7010</v>
      </c>
      <c r="F308" s="971" t="s">
        <v>3600</v>
      </c>
      <c r="G308" s="971">
        <v>7243</v>
      </c>
      <c r="H308" s="971" t="s">
        <v>6601</v>
      </c>
      <c r="I308" s="1273" t="s">
        <v>7063</v>
      </c>
      <c r="J308" s="971" t="s">
        <v>2146</v>
      </c>
      <c r="K308" s="971" t="s">
        <v>2129</v>
      </c>
      <c r="L308" s="971" t="s">
        <v>2130</v>
      </c>
      <c r="M308" s="971" t="s">
        <v>2129</v>
      </c>
      <c r="N308" s="971" t="s">
        <v>176</v>
      </c>
      <c r="O308" s="971" t="s">
        <v>2130</v>
      </c>
      <c r="P308" s="971" t="s">
        <v>7060</v>
      </c>
      <c r="Q308" s="971" t="s">
        <v>7061</v>
      </c>
      <c r="R308" s="971" t="s">
        <v>5360</v>
      </c>
      <c r="S308" s="1274">
        <v>1</v>
      </c>
      <c r="T308" s="971" t="s">
        <v>242</v>
      </c>
      <c r="U308" s="1275">
        <v>6.666666666666667</v>
      </c>
      <c r="V308" s="1275">
        <v>25</v>
      </c>
      <c r="W308" s="1275">
        <v>666.08920634920639</v>
      </c>
      <c r="X308" s="1275">
        <v>250</v>
      </c>
      <c r="Y308" s="1275">
        <v>941.08920634920639</v>
      </c>
      <c r="Z308" s="1129">
        <v>6.666666666666667</v>
      </c>
      <c r="AA308" s="1129">
        <v>25</v>
      </c>
      <c r="AB308" s="1129">
        <v>666.08920634920639</v>
      </c>
      <c r="AC308" s="1129">
        <v>250</v>
      </c>
      <c r="AD308" s="1098">
        <v>941.08920634920639</v>
      </c>
      <c r="AE308" s="1135">
        <v>4</v>
      </c>
      <c r="AF308" s="1129">
        <v>4</v>
      </c>
      <c r="AG308" s="1127">
        <v>1</v>
      </c>
      <c r="AH308" s="1127">
        <v>0</v>
      </c>
      <c r="AI308" s="1127">
        <v>0</v>
      </c>
      <c r="AJ308" s="1127">
        <v>1</v>
      </c>
      <c r="AK308" s="1129">
        <v>941.08920634920639</v>
      </c>
      <c r="AL308" s="1129">
        <v>0</v>
      </c>
      <c r="AM308" s="1129">
        <v>0</v>
      </c>
      <c r="AN308" s="1129">
        <v>941.08920634920639</v>
      </c>
      <c r="AO308" s="1129" t="s">
        <v>131</v>
      </c>
      <c r="AP308" s="1129" t="s">
        <v>96</v>
      </c>
      <c r="AQ308" s="1157">
        <v>2014</v>
      </c>
      <c r="AR308" s="1129" t="s">
        <v>87</v>
      </c>
      <c r="AS308" s="1127">
        <v>0.33333333333333331</v>
      </c>
      <c r="AT308" s="1127"/>
      <c r="AU308" s="1127">
        <v>0.33333333333333331</v>
      </c>
      <c r="AV308" s="1127"/>
      <c r="AW308" s="1127"/>
      <c r="AX308" s="1127"/>
      <c r="AY308" s="1127"/>
      <c r="AZ308" s="1127">
        <v>0.33333333333333331</v>
      </c>
      <c r="BA308" s="1129">
        <v>313.69640211640211</v>
      </c>
      <c r="BB308" s="1129">
        <v>0</v>
      </c>
      <c r="BC308" s="1129">
        <v>313.69640211640211</v>
      </c>
      <c r="BD308" s="1129">
        <v>0</v>
      </c>
      <c r="BE308" s="1129">
        <v>0</v>
      </c>
      <c r="BF308" s="1129">
        <v>0</v>
      </c>
      <c r="BG308" s="1129">
        <v>0</v>
      </c>
      <c r="BH308" s="1129">
        <v>313.69640211640211</v>
      </c>
      <c r="BI308" s="971"/>
      <c r="BJ308" s="971"/>
      <c r="BK308" s="971"/>
      <c r="BL308" s="1246"/>
      <c r="BM308" s="1247" t="s">
        <v>2125</v>
      </c>
    </row>
    <row r="309" spans="1:65" s="1247" customFormat="1" ht="49.5" customHeight="1">
      <c r="A309" s="1272">
        <v>7000</v>
      </c>
      <c r="B309" s="971" t="s">
        <v>2420</v>
      </c>
      <c r="C309" s="1272">
        <v>7200</v>
      </c>
      <c r="D309" s="971" t="s">
        <v>119</v>
      </c>
      <c r="E309" s="971" t="s">
        <v>7010</v>
      </c>
      <c r="F309" s="971" t="s">
        <v>3600</v>
      </c>
      <c r="G309" s="971">
        <v>7243</v>
      </c>
      <c r="H309" s="971" t="s">
        <v>6601</v>
      </c>
      <c r="I309" s="1273" t="s">
        <v>7064</v>
      </c>
      <c r="J309" s="971" t="s">
        <v>2146</v>
      </c>
      <c r="K309" s="971" t="s">
        <v>2129</v>
      </c>
      <c r="L309" s="971" t="s">
        <v>2130</v>
      </c>
      <c r="M309" s="971" t="s">
        <v>2129</v>
      </c>
      <c r="N309" s="971" t="s">
        <v>176</v>
      </c>
      <c r="O309" s="971" t="s">
        <v>2130</v>
      </c>
      <c r="P309" s="971" t="s">
        <v>7060</v>
      </c>
      <c r="Q309" s="971" t="s">
        <v>7061</v>
      </c>
      <c r="R309" s="971" t="s">
        <v>5361</v>
      </c>
      <c r="S309" s="1274">
        <v>1</v>
      </c>
      <c r="T309" s="971" t="s">
        <v>242</v>
      </c>
      <c r="U309" s="1275">
        <v>6.666666666666667</v>
      </c>
      <c r="V309" s="1275">
        <v>25</v>
      </c>
      <c r="W309" s="1275">
        <v>666.08920634920639</v>
      </c>
      <c r="X309" s="1275">
        <v>250</v>
      </c>
      <c r="Y309" s="1275">
        <v>941.08920634920639</v>
      </c>
      <c r="Z309" s="1129">
        <v>6.666666666666667</v>
      </c>
      <c r="AA309" s="1129">
        <v>25</v>
      </c>
      <c r="AB309" s="1129">
        <v>666.08920634920639</v>
      </c>
      <c r="AC309" s="1129">
        <v>250</v>
      </c>
      <c r="AD309" s="1098">
        <v>941.08920634920639</v>
      </c>
      <c r="AE309" s="1135">
        <v>4</v>
      </c>
      <c r="AF309" s="1129">
        <v>4</v>
      </c>
      <c r="AG309" s="1127">
        <v>1</v>
      </c>
      <c r="AH309" s="1127">
        <v>0</v>
      </c>
      <c r="AI309" s="1127">
        <v>0</v>
      </c>
      <c r="AJ309" s="1127">
        <v>1</v>
      </c>
      <c r="AK309" s="1129">
        <v>941.08920634920639</v>
      </c>
      <c r="AL309" s="1129">
        <v>0</v>
      </c>
      <c r="AM309" s="1129">
        <v>0</v>
      </c>
      <c r="AN309" s="1129">
        <v>941.08920634920639</v>
      </c>
      <c r="AO309" s="1129" t="s">
        <v>131</v>
      </c>
      <c r="AP309" s="1129" t="s">
        <v>96</v>
      </c>
      <c r="AQ309" s="1157">
        <v>2014</v>
      </c>
      <c r="AR309" s="1129" t="s">
        <v>87</v>
      </c>
      <c r="AS309" s="1127">
        <v>0.33333333333333331</v>
      </c>
      <c r="AT309" s="1127"/>
      <c r="AU309" s="1127">
        <v>0.33333333333333331</v>
      </c>
      <c r="AV309" s="1127"/>
      <c r="AW309" s="1127"/>
      <c r="AX309" s="1127"/>
      <c r="AY309" s="1127"/>
      <c r="AZ309" s="1127">
        <v>0.33333333333333331</v>
      </c>
      <c r="BA309" s="1129">
        <v>313.69640211640211</v>
      </c>
      <c r="BB309" s="1129">
        <v>0</v>
      </c>
      <c r="BC309" s="1129">
        <v>313.69640211640211</v>
      </c>
      <c r="BD309" s="1129">
        <v>0</v>
      </c>
      <c r="BE309" s="1129">
        <v>0</v>
      </c>
      <c r="BF309" s="1129">
        <v>0</v>
      </c>
      <c r="BG309" s="1129">
        <v>0</v>
      </c>
      <c r="BH309" s="1129">
        <v>313.69640211640211</v>
      </c>
      <c r="BI309" s="971"/>
      <c r="BJ309" s="971"/>
      <c r="BK309" s="971"/>
      <c r="BL309" s="1246"/>
      <c r="BM309" s="1247" t="s">
        <v>2125</v>
      </c>
    </row>
    <row r="310" spans="1:65" s="1247" customFormat="1" ht="49.5" customHeight="1">
      <c r="A310" s="1272">
        <v>7000</v>
      </c>
      <c r="B310" s="971" t="s">
        <v>2420</v>
      </c>
      <c r="C310" s="1272">
        <v>7200</v>
      </c>
      <c r="D310" s="971" t="s">
        <v>119</v>
      </c>
      <c r="E310" s="971" t="s">
        <v>7010</v>
      </c>
      <c r="F310" s="971" t="s">
        <v>3600</v>
      </c>
      <c r="G310" s="971">
        <v>7243</v>
      </c>
      <c r="H310" s="971" t="s">
        <v>6601</v>
      </c>
      <c r="I310" s="1273" t="s">
        <v>7065</v>
      </c>
      <c r="J310" s="971" t="s">
        <v>2146</v>
      </c>
      <c r="K310" s="971" t="s">
        <v>2129</v>
      </c>
      <c r="L310" s="971" t="s">
        <v>2130</v>
      </c>
      <c r="M310" s="971" t="s">
        <v>2129</v>
      </c>
      <c r="N310" s="971" t="s">
        <v>176</v>
      </c>
      <c r="O310" s="971" t="s">
        <v>2130</v>
      </c>
      <c r="P310" s="971" t="s">
        <v>7060</v>
      </c>
      <c r="Q310" s="971" t="s">
        <v>7061</v>
      </c>
      <c r="R310" s="971" t="s">
        <v>5362</v>
      </c>
      <c r="S310" s="1274">
        <v>1</v>
      </c>
      <c r="T310" s="971" t="s">
        <v>242</v>
      </c>
      <c r="U310" s="1275">
        <v>6.666666666666667</v>
      </c>
      <c r="V310" s="1275">
        <v>25</v>
      </c>
      <c r="W310" s="1275">
        <v>666.08920634920639</v>
      </c>
      <c r="X310" s="1275">
        <v>250</v>
      </c>
      <c r="Y310" s="1275">
        <v>941.08920634920639</v>
      </c>
      <c r="Z310" s="1129">
        <v>6.666666666666667</v>
      </c>
      <c r="AA310" s="1129">
        <v>25</v>
      </c>
      <c r="AB310" s="1129">
        <v>666.08920634920639</v>
      </c>
      <c r="AC310" s="1129">
        <v>250</v>
      </c>
      <c r="AD310" s="1098">
        <v>941.08920634920639</v>
      </c>
      <c r="AE310" s="1135">
        <v>4</v>
      </c>
      <c r="AF310" s="1129">
        <v>4</v>
      </c>
      <c r="AG310" s="1127">
        <v>1</v>
      </c>
      <c r="AH310" s="1127">
        <v>0</v>
      </c>
      <c r="AI310" s="1127">
        <v>0</v>
      </c>
      <c r="AJ310" s="1127">
        <v>1</v>
      </c>
      <c r="AK310" s="1129">
        <v>941.08920634920639</v>
      </c>
      <c r="AL310" s="1129">
        <v>0</v>
      </c>
      <c r="AM310" s="1129">
        <v>0</v>
      </c>
      <c r="AN310" s="1129">
        <v>941.08920634920639</v>
      </c>
      <c r="AO310" s="1129" t="s">
        <v>131</v>
      </c>
      <c r="AP310" s="1129" t="s">
        <v>96</v>
      </c>
      <c r="AQ310" s="1157">
        <v>2014</v>
      </c>
      <c r="AR310" s="1129" t="s">
        <v>87</v>
      </c>
      <c r="AS310" s="1127">
        <v>0.33333333333333331</v>
      </c>
      <c r="AT310" s="1127"/>
      <c r="AU310" s="1127">
        <v>0.33333333333333331</v>
      </c>
      <c r="AV310" s="1127"/>
      <c r="AW310" s="1127"/>
      <c r="AX310" s="1127"/>
      <c r="AY310" s="1127"/>
      <c r="AZ310" s="1127">
        <v>0.33333333333333331</v>
      </c>
      <c r="BA310" s="1129">
        <v>313.69640211640211</v>
      </c>
      <c r="BB310" s="1129">
        <v>0</v>
      </c>
      <c r="BC310" s="1129">
        <v>313.69640211640211</v>
      </c>
      <c r="BD310" s="1129">
        <v>0</v>
      </c>
      <c r="BE310" s="1129">
        <v>0</v>
      </c>
      <c r="BF310" s="1129">
        <v>0</v>
      </c>
      <c r="BG310" s="1129">
        <v>0</v>
      </c>
      <c r="BH310" s="1129">
        <v>313.69640211640211</v>
      </c>
      <c r="BI310" s="971"/>
      <c r="BJ310" s="971"/>
      <c r="BK310" s="971"/>
      <c r="BL310" s="1246"/>
      <c r="BM310" s="1247" t="s">
        <v>2125</v>
      </c>
    </row>
    <row r="311" spans="1:65" s="1247" customFormat="1" ht="49.5" customHeight="1">
      <c r="A311" s="1272">
        <v>7000</v>
      </c>
      <c r="B311" s="971" t="s">
        <v>2420</v>
      </c>
      <c r="C311" s="1272">
        <v>7200</v>
      </c>
      <c r="D311" s="971" t="s">
        <v>119</v>
      </c>
      <c r="E311" s="971" t="s">
        <v>7010</v>
      </c>
      <c r="F311" s="971" t="s">
        <v>3600</v>
      </c>
      <c r="G311" s="971">
        <v>7243</v>
      </c>
      <c r="H311" s="971" t="s">
        <v>6601</v>
      </c>
      <c r="I311" s="1273" t="s">
        <v>7066</v>
      </c>
      <c r="J311" s="971" t="s">
        <v>2146</v>
      </c>
      <c r="K311" s="971" t="s">
        <v>2129</v>
      </c>
      <c r="L311" s="971" t="s">
        <v>2130</v>
      </c>
      <c r="M311" s="971" t="s">
        <v>2129</v>
      </c>
      <c r="N311" s="971" t="s">
        <v>176</v>
      </c>
      <c r="O311" s="971" t="s">
        <v>2130</v>
      </c>
      <c r="P311" s="971" t="s">
        <v>7060</v>
      </c>
      <c r="Q311" s="971" t="s">
        <v>7061</v>
      </c>
      <c r="R311" s="971" t="s">
        <v>5363</v>
      </c>
      <c r="S311" s="1274">
        <v>1</v>
      </c>
      <c r="T311" s="971" t="s">
        <v>242</v>
      </c>
      <c r="U311" s="1275">
        <v>6.666666666666667</v>
      </c>
      <c r="V311" s="1275">
        <v>25</v>
      </c>
      <c r="W311" s="1275">
        <v>666.08920634920639</v>
      </c>
      <c r="X311" s="1275">
        <v>250</v>
      </c>
      <c r="Y311" s="1275">
        <v>941.08920634920639</v>
      </c>
      <c r="Z311" s="1129">
        <v>6.666666666666667</v>
      </c>
      <c r="AA311" s="1129">
        <v>25</v>
      </c>
      <c r="AB311" s="1129">
        <v>666.08920634920639</v>
      </c>
      <c r="AC311" s="1129">
        <v>250</v>
      </c>
      <c r="AD311" s="1098">
        <v>941.08920634920639</v>
      </c>
      <c r="AE311" s="1135">
        <v>4</v>
      </c>
      <c r="AF311" s="1129">
        <v>4</v>
      </c>
      <c r="AG311" s="1127">
        <v>1</v>
      </c>
      <c r="AH311" s="1127">
        <v>0</v>
      </c>
      <c r="AI311" s="1127">
        <v>0</v>
      </c>
      <c r="AJ311" s="1127">
        <v>1</v>
      </c>
      <c r="AK311" s="1129">
        <v>941.08920634920639</v>
      </c>
      <c r="AL311" s="1129">
        <v>0</v>
      </c>
      <c r="AM311" s="1129">
        <v>0</v>
      </c>
      <c r="AN311" s="1129">
        <v>941.08920634920639</v>
      </c>
      <c r="AO311" s="1129" t="s">
        <v>131</v>
      </c>
      <c r="AP311" s="1129" t="s">
        <v>96</v>
      </c>
      <c r="AQ311" s="1157">
        <v>2014</v>
      </c>
      <c r="AR311" s="1129" t="s">
        <v>87</v>
      </c>
      <c r="AS311" s="1127">
        <v>0.33333333333333331</v>
      </c>
      <c r="AT311" s="1127"/>
      <c r="AU311" s="1127">
        <v>0.33333333333333331</v>
      </c>
      <c r="AV311" s="1127"/>
      <c r="AW311" s="1127"/>
      <c r="AX311" s="1127"/>
      <c r="AY311" s="1127"/>
      <c r="AZ311" s="1127">
        <v>0.33333333333333331</v>
      </c>
      <c r="BA311" s="1129">
        <v>313.69640211640211</v>
      </c>
      <c r="BB311" s="1129">
        <v>0</v>
      </c>
      <c r="BC311" s="1129">
        <v>313.69640211640211</v>
      </c>
      <c r="BD311" s="1129">
        <v>0</v>
      </c>
      <c r="BE311" s="1129">
        <v>0</v>
      </c>
      <c r="BF311" s="1129">
        <v>0</v>
      </c>
      <c r="BG311" s="1129">
        <v>0</v>
      </c>
      <c r="BH311" s="1129">
        <v>313.69640211640211</v>
      </c>
      <c r="BI311" s="971"/>
      <c r="BJ311" s="971"/>
      <c r="BK311" s="971"/>
      <c r="BL311" s="1246"/>
      <c r="BM311" s="1247" t="s">
        <v>2127</v>
      </c>
    </row>
    <row r="312" spans="1:65" s="1247" customFormat="1" ht="49.5" customHeight="1">
      <c r="A312" s="1272">
        <v>7000</v>
      </c>
      <c r="B312" s="971" t="s">
        <v>2420</v>
      </c>
      <c r="C312" s="1272">
        <v>7200</v>
      </c>
      <c r="D312" s="971" t="s">
        <v>119</v>
      </c>
      <c r="E312" s="971" t="s">
        <v>7010</v>
      </c>
      <c r="F312" s="971" t="s">
        <v>3600</v>
      </c>
      <c r="G312" s="971">
        <v>7243</v>
      </c>
      <c r="H312" s="971" t="s">
        <v>6601</v>
      </c>
      <c r="I312" s="1273" t="s">
        <v>7067</v>
      </c>
      <c r="J312" s="971" t="s">
        <v>2146</v>
      </c>
      <c r="K312" s="971" t="s">
        <v>2129</v>
      </c>
      <c r="L312" s="971" t="s">
        <v>2130</v>
      </c>
      <c r="M312" s="971" t="s">
        <v>2129</v>
      </c>
      <c r="N312" s="971" t="s">
        <v>176</v>
      </c>
      <c r="O312" s="971" t="s">
        <v>2130</v>
      </c>
      <c r="P312" s="971" t="s">
        <v>7060</v>
      </c>
      <c r="Q312" s="971" t="s">
        <v>7061</v>
      </c>
      <c r="R312" s="971" t="s">
        <v>5364</v>
      </c>
      <c r="S312" s="1274">
        <v>1</v>
      </c>
      <c r="T312" s="971" t="s">
        <v>242</v>
      </c>
      <c r="U312" s="1275">
        <v>6.666666666666667</v>
      </c>
      <c r="V312" s="1275">
        <v>25</v>
      </c>
      <c r="W312" s="1275">
        <v>666.08920634920639</v>
      </c>
      <c r="X312" s="1275">
        <v>250</v>
      </c>
      <c r="Y312" s="1275">
        <v>941.08920634920639</v>
      </c>
      <c r="Z312" s="1129">
        <v>6.666666666666667</v>
      </c>
      <c r="AA312" s="1129">
        <v>25</v>
      </c>
      <c r="AB312" s="1129">
        <v>666.08920634920639</v>
      </c>
      <c r="AC312" s="1129">
        <v>250</v>
      </c>
      <c r="AD312" s="1098">
        <v>941.08920634920639</v>
      </c>
      <c r="AE312" s="1135">
        <v>4</v>
      </c>
      <c r="AF312" s="1129">
        <v>4</v>
      </c>
      <c r="AG312" s="1127">
        <v>1</v>
      </c>
      <c r="AH312" s="1127">
        <v>0</v>
      </c>
      <c r="AI312" s="1127">
        <v>0</v>
      </c>
      <c r="AJ312" s="1127">
        <v>1</v>
      </c>
      <c r="AK312" s="1129">
        <v>941.08920634920639</v>
      </c>
      <c r="AL312" s="1129">
        <v>0</v>
      </c>
      <c r="AM312" s="1129">
        <v>0</v>
      </c>
      <c r="AN312" s="1129">
        <v>941.08920634920639</v>
      </c>
      <c r="AO312" s="1129" t="s">
        <v>131</v>
      </c>
      <c r="AP312" s="1129" t="s">
        <v>96</v>
      </c>
      <c r="AQ312" s="1157">
        <v>2014</v>
      </c>
      <c r="AR312" s="1129" t="s">
        <v>87</v>
      </c>
      <c r="AS312" s="1127">
        <v>0.33333333333333331</v>
      </c>
      <c r="AT312" s="1127"/>
      <c r="AU312" s="1127">
        <v>0.33333333333333331</v>
      </c>
      <c r="AV312" s="1127"/>
      <c r="AW312" s="1127"/>
      <c r="AX312" s="1127"/>
      <c r="AY312" s="1127"/>
      <c r="AZ312" s="1127">
        <v>0.33333333333333331</v>
      </c>
      <c r="BA312" s="1129">
        <v>313.69640211640211</v>
      </c>
      <c r="BB312" s="1129">
        <v>0</v>
      </c>
      <c r="BC312" s="1129">
        <v>313.69640211640211</v>
      </c>
      <c r="BD312" s="1129">
        <v>0</v>
      </c>
      <c r="BE312" s="1129">
        <v>0</v>
      </c>
      <c r="BF312" s="1129">
        <v>0</v>
      </c>
      <c r="BG312" s="1129">
        <v>0</v>
      </c>
      <c r="BH312" s="1129">
        <v>313.69640211640211</v>
      </c>
      <c r="BI312" s="971"/>
      <c r="BJ312" s="971"/>
      <c r="BK312" s="971"/>
      <c r="BL312" s="1246"/>
      <c r="BM312" s="1247" t="s">
        <v>2129</v>
      </c>
    </row>
    <row r="313" spans="1:65" s="1247" customFormat="1" ht="66" customHeight="1">
      <c r="A313" s="1272">
        <v>7000</v>
      </c>
      <c r="B313" s="971" t="s">
        <v>2420</v>
      </c>
      <c r="C313" s="1272">
        <v>7200</v>
      </c>
      <c r="D313" s="971" t="s">
        <v>119</v>
      </c>
      <c r="E313" s="971" t="s">
        <v>7010</v>
      </c>
      <c r="F313" s="971" t="s">
        <v>3600</v>
      </c>
      <c r="G313" s="971">
        <v>7243</v>
      </c>
      <c r="H313" s="971" t="s">
        <v>6601</v>
      </c>
      <c r="I313" s="1273" t="s">
        <v>7068</v>
      </c>
      <c r="J313" s="971" t="s">
        <v>2146</v>
      </c>
      <c r="K313" s="971" t="s">
        <v>2129</v>
      </c>
      <c r="L313" s="971" t="s">
        <v>2130</v>
      </c>
      <c r="M313" s="971" t="s">
        <v>2129</v>
      </c>
      <c r="N313" s="971" t="s">
        <v>176</v>
      </c>
      <c r="O313" s="971" t="s">
        <v>2130</v>
      </c>
      <c r="P313" s="971" t="s">
        <v>7060</v>
      </c>
      <c r="Q313" s="971" t="s">
        <v>7061</v>
      </c>
      <c r="R313" s="971" t="s">
        <v>5365</v>
      </c>
      <c r="S313" s="1274">
        <v>1</v>
      </c>
      <c r="T313" s="971" t="s">
        <v>242</v>
      </c>
      <c r="U313" s="1275">
        <v>6.666666666666667</v>
      </c>
      <c r="V313" s="1275">
        <v>25</v>
      </c>
      <c r="W313" s="1275">
        <v>666.08920634920639</v>
      </c>
      <c r="X313" s="1275">
        <v>250</v>
      </c>
      <c r="Y313" s="1275">
        <v>941.08920634920639</v>
      </c>
      <c r="Z313" s="1129">
        <v>6.666666666666667</v>
      </c>
      <c r="AA313" s="1129">
        <v>25</v>
      </c>
      <c r="AB313" s="1129">
        <v>666.08920634920639</v>
      </c>
      <c r="AC313" s="1129">
        <v>250</v>
      </c>
      <c r="AD313" s="1098">
        <v>941.08920634920639</v>
      </c>
      <c r="AE313" s="1135">
        <v>4</v>
      </c>
      <c r="AF313" s="1129">
        <v>4</v>
      </c>
      <c r="AG313" s="1127">
        <v>1</v>
      </c>
      <c r="AH313" s="1127">
        <v>0</v>
      </c>
      <c r="AI313" s="1127">
        <v>0</v>
      </c>
      <c r="AJ313" s="1127">
        <v>1</v>
      </c>
      <c r="AK313" s="1129">
        <v>941.08920634920639</v>
      </c>
      <c r="AL313" s="1129">
        <v>0</v>
      </c>
      <c r="AM313" s="1129">
        <v>0</v>
      </c>
      <c r="AN313" s="1129">
        <v>941.08920634920639</v>
      </c>
      <c r="AO313" s="1129" t="s">
        <v>131</v>
      </c>
      <c r="AP313" s="1129" t="s">
        <v>96</v>
      </c>
      <c r="AQ313" s="1157">
        <v>2014</v>
      </c>
      <c r="AR313" s="1129" t="s">
        <v>87</v>
      </c>
      <c r="AS313" s="1127">
        <v>0.33333333333333331</v>
      </c>
      <c r="AT313" s="1127"/>
      <c r="AU313" s="1127">
        <v>0.33333333333333331</v>
      </c>
      <c r="AV313" s="1127"/>
      <c r="AW313" s="1127"/>
      <c r="AX313" s="1127"/>
      <c r="AY313" s="1127"/>
      <c r="AZ313" s="1127">
        <v>0.33333333333333331</v>
      </c>
      <c r="BA313" s="1129">
        <v>313.69640211640211</v>
      </c>
      <c r="BB313" s="1129">
        <v>0</v>
      </c>
      <c r="BC313" s="1129">
        <v>313.69640211640211</v>
      </c>
      <c r="BD313" s="1129">
        <v>0</v>
      </c>
      <c r="BE313" s="1129">
        <v>0</v>
      </c>
      <c r="BF313" s="1129">
        <v>0</v>
      </c>
      <c r="BG313" s="1129">
        <v>0</v>
      </c>
      <c r="BH313" s="1129">
        <v>313.69640211640211</v>
      </c>
      <c r="BI313" s="971"/>
      <c r="BJ313" s="971"/>
      <c r="BK313" s="971"/>
      <c r="BL313" s="1246"/>
      <c r="BM313" s="1247" t="s">
        <v>2125</v>
      </c>
    </row>
    <row r="314" spans="1:65" s="1247" customFormat="1" ht="66" customHeight="1">
      <c r="A314" s="1272">
        <v>7000</v>
      </c>
      <c r="B314" s="971" t="s">
        <v>2420</v>
      </c>
      <c r="C314" s="1272">
        <v>7200</v>
      </c>
      <c r="D314" s="971" t="s">
        <v>119</v>
      </c>
      <c r="E314" s="971" t="s">
        <v>7010</v>
      </c>
      <c r="F314" s="971" t="s">
        <v>3600</v>
      </c>
      <c r="G314" s="971">
        <v>7243</v>
      </c>
      <c r="H314" s="971" t="s">
        <v>6601</v>
      </c>
      <c r="I314" s="1273" t="s">
        <v>7069</v>
      </c>
      <c r="J314" s="971" t="s">
        <v>2146</v>
      </c>
      <c r="K314" s="971" t="s">
        <v>2129</v>
      </c>
      <c r="L314" s="971" t="s">
        <v>2130</v>
      </c>
      <c r="M314" s="971" t="s">
        <v>2129</v>
      </c>
      <c r="N314" s="971" t="s">
        <v>176</v>
      </c>
      <c r="O314" s="971" t="s">
        <v>2130</v>
      </c>
      <c r="P314" s="971" t="s">
        <v>7060</v>
      </c>
      <c r="Q314" s="971" t="s">
        <v>7061</v>
      </c>
      <c r="R314" s="971" t="s">
        <v>5366</v>
      </c>
      <c r="S314" s="1274">
        <v>1</v>
      </c>
      <c r="T314" s="971" t="s">
        <v>242</v>
      </c>
      <c r="U314" s="1275">
        <v>6.666666666666667</v>
      </c>
      <c r="V314" s="1275">
        <v>25</v>
      </c>
      <c r="W314" s="1275">
        <v>666.08920634920639</v>
      </c>
      <c r="X314" s="1275">
        <v>250</v>
      </c>
      <c r="Y314" s="1275">
        <v>941.08920634920639</v>
      </c>
      <c r="Z314" s="1129">
        <v>6.666666666666667</v>
      </c>
      <c r="AA314" s="1129">
        <v>25</v>
      </c>
      <c r="AB314" s="1129">
        <v>666.08920634920639</v>
      </c>
      <c r="AC314" s="1129">
        <v>250</v>
      </c>
      <c r="AD314" s="1098">
        <v>941.08920634920639</v>
      </c>
      <c r="AE314" s="1135">
        <v>4</v>
      </c>
      <c r="AF314" s="1129">
        <v>4</v>
      </c>
      <c r="AG314" s="1127">
        <v>1</v>
      </c>
      <c r="AH314" s="1127">
        <v>0</v>
      </c>
      <c r="AI314" s="1127">
        <v>0</v>
      </c>
      <c r="AJ314" s="1127">
        <v>1</v>
      </c>
      <c r="AK314" s="1129">
        <v>941.08920634920639</v>
      </c>
      <c r="AL314" s="1129">
        <v>0</v>
      </c>
      <c r="AM314" s="1129">
        <v>0</v>
      </c>
      <c r="AN314" s="1129">
        <v>941.08920634920639</v>
      </c>
      <c r="AO314" s="1129" t="s">
        <v>131</v>
      </c>
      <c r="AP314" s="1129" t="s">
        <v>96</v>
      </c>
      <c r="AQ314" s="1157">
        <v>2014</v>
      </c>
      <c r="AR314" s="1129" t="s">
        <v>87</v>
      </c>
      <c r="AS314" s="1127">
        <v>0.33333333333333331</v>
      </c>
      <c r="AT314" s="1127"/>
      <c r="AU314" s="1127">
        <v>0.33333333333333331</v>
      </c>
      <c r="AV314" s="1127"/>
      <c r="AW314" s="1127"/>
      <c r="AX314" s="1127"/>
      <c r="AY314" s="1127"/>
      <c r="AZ314" s="1127">
        <v>0.33333333333333331</v>
      </c>
      <c r="BA314" s="1129">
        <v>313.69640211640211</v>
      </c>
      <c r="BB314" s="1129">
        <v>0</v>
      </c>
      <c r="BC314" s="1129">
        <v>313.69640211640211</v>
      </c>
      <c r="BD314" s="1129">
        <v>0</v>
      </c>
      <c r="BE314" s="1129">
        <v>0</v>
      </c>
      <c r="BF314" s="1129">
        <v>0</v>
      </c>
      <c r="BG314" s="1129">
        <v>0</v>
      </c>
      <c r="BH314" s="1129">
        <v>313.69640211640211</v>
      </c>
      <c r="BI314" s="971"/>
      <c r="BJ314" s="971"/>
      <c r="BK314" s="971"/>
      <c r="BL314" s="1246"/>
      <c r="BM314" s="1247" t="s">
        <v>2129</v>
      </c>
    </row>
    <row r="315" spans="1:65" s="1247" customFormat="1" ht="66" customHeight="1">
      <c r="A315" s="1272">
        <v>7000</v>
      </c>
      <c r="B315" s="971" t="s">
        <v>2420</v>
      </c>
      <c r="C315" s="1272">
        <v>7200</v>
      </c>
      <c r="D315" s="971" t="s">
        <v>119</v>
      </c>
      <c r="E315" s="971" t="s">
        <v>7010</v>
      </c>
      <c r="F315" s="971" t="s">
        <v>3600</v>
      </c>
      <c r="G315" s="971">
        <v>7243</v>
      </c>
      <c r="H315" s="971" t="s">
        <v>6601</v>
      </c>
      <c r="I315" s="1273" t="s">
        <v>7070</v>
      </c>
      <c r="J315" s="971" t="s">
        <v>2146</v>
      </c>
      <c r="K315" s="971" t="s">
        <v>2129</v>
      </c>
      <c r="L315" s="971" t="s">
        <v>2130</v>
      </c>
      <c r="M315" s="971" t="s">
        <v>2129</v>
      </c>
      <c r="N315" s="971" t="s">
        <v>176</v>
      </c>
      <c r="O315" s="971" t="s">
        <v>2130</v>
      </c>
      <c r="P315" s="971" t="s">
        <v>7060</v>
      </c>
      <c r="Q315" s="971" t="s">
        <v>7061</v>
      </c>
      <c r="R315" s="971" t="s">
        <v>5367</v>
      </c>
      <c r="S315" s="1274">
        <v>1</v>
      </c>
      <c r="T315" s="971" t="s">
        <v>242</v>
      </c>
      <c r="U315" s="1275">
        <v>6.666666666666667</v>
      </c>
      <c r="V315" s="1275">
        <v>25</v>
      </c>
      <c r="W315" s="1275">
        <v>666.08920634920639</v>
      </c>
      <c r="X315" s="1275">
        <v>250</v>
      </c>
      <c r="Y315" s="1275">
        <v>941.08920634920639</v>
      </c>
      <c r="Z315" s="1129">
        <v>6.666666666666667</v>
      </c>
      <c r="AA315" s="1129">
        <v>25</v>
      </c>
      <c r="AB315" s="1129">
        <v>666.08920634920639</v>
      </c>
      <c r="AC315" s="1129">
        <v>250</v>
      </c>
      <c r="AD315" s="1098">
        <v>941.08920634920639</v>
      </c>
      <c r="AE315" s="1135">
        <v>4</v>
      </c>
      <c r="AF315" s="1129">
        <v>4</v>
      </c>
      <c r="AG315" s="1127">
        <v>1</v>
      </c>
      <c r="AH315" s="1127">
        <v>0</v>
      </c>
      <c r="AI315" s="1127">
        <v>0</v>
      </c>
      <c r="AJ315" s="1127">
        <v>1</v>
      </c>
      <c r="AK315" s="1129">
        <v>941.08920634920639</v>
      </c>
      <c r="AL315" s="1129">
        <v>0</v>
      </c>
      <c r="AM315" s="1129">
        <v>0</v>
      </c>
      <c r="AN315" s="1129">
        <v>941.08920634920639</v>
      </c>
      <c r="AO315" s="1129" t="s">
        <v>131</v>
      </c>
      <c r="AP315" s="1129" t="s">
        <v>96</v>
      </c>
      <c r="AQ315" s="1157">
        <v>2014</v>
      </c>
      <c r="AR315" s="1129" t="s">
        <v>87</v>
      </c>
      <c r="AS315" s="1127">
        <v>0.33333333333333331</v>
      </c>
      <c r="AT315" s="1127"/>
      <c r="AU315" s="1127">
        <v>0.33333333333333331</v>
      </c>
      <c r="AV315" s="1127"/>
      <c r="AW315" s="1127"/>
      <c r="AX315" s="1127"/>
      <c r="AY315" s="1127"/>
      <c r="AZ315" s="1127">
        <v>0.33333333333333331</v>
      </c>
      <c r="BA315" s="1129">
        <v>313.69640211640211</v>
      </c>
      <c r="BB315" s="1129">
        <v>0</v>
      </c>
      <c r="BC315" s="1129">
        <v>313.69640211640211</v>
      </c>
      <c r="BD315" s="1129">
        <v>0</v>
      </c>
      <c r="BE315" s="1129">
        <v>0</v>
      </c>
      <c r="BF315" s="1129">
        <v>0</v>
      </c>
      <c r="BG315" s="1129">
        <v>0</v>
      </c>
      <c r="BH315" s="1129">
        <v>313.69640211640211</v>
      </c>
      <c r="BI315" s="971"/>
      <c r="BJ315" s="971"/>
      <c r="BK315" s="971"/>
      <c r="BL315" s="1246"/>
      <c r="BM315" s="1247" t="s">
        <v>2129</v>
      </c>
    </row>
    <row r="316" spans="1:65" s="1247" customFormat="1" ht="66" customHeight="1">
      <c r="A316" s="1272">
        <v>7000</v>
      </c>
      <c r="B316" s="971" t="s">
        <v>2420</v>
      </c>
      <c r="C316" s="1272">
        <v>7200</v>
      </c>
      <c r="D316" s="971" t="s">
        <v>119</v>
      </c>
      <c r="E316" s="971" t="s">
        <v>7010</v>
      </c>
      <c r="F316" s="971" t="s">
        <v>3600</v>
      </c>
      <c r="G316" s="971">
        <v>7243</v>
      </c>
      <c r="H316" s="971" t="s">
        <v>6601</v>
      </c>
      <c r="I316" s="1273" t="s">
        <v>7071</v>
      </c>
      <c r="J316" s="971" t="s">
        <v>2146</v>
      </c>
      <c r="K316" s="971" t="s">
        <v>2129</v>
      </c>
      <c r="L316" s="971" t="s">
        <v>2130</v>
      </c>
      <c r="M316" s="971" t="s">
        <v>2129</v>
      </c>
      <c r="N316" s="971" t="s">
        <v>176</v>
      </c>
      <c r="O316" s="971" t="s">
        <v>2130</v>
      </c>
      <c r="P316" s="971" t="s">
        <v>7060</v>
      </c>
      <c r="Q316" s="971" t="s">
        <v>7061</v>
      </c>
      <c r="R316" s="971" t="s">
        <v>5368</v>
      </c>
      <c r="S316" s="1274">
        <v>1</v>
      </c>
      <c r="T316" s="971" t="s">
        <v>242</v>
      </c>
      <c r="U316" s="1275">
        <v>6.666666666666667</v>
      </c>
      <c r="V316" s="1275">
        <v>25</v>
      </c>
      <c r="W316" s="1275">
        <v>666.08920634920639</v>
      </c>
      <c r="X316" s="1275">
        <v>250</v>
      </c>
      <c r="Y316" s="1275">
        <v>941.08920634920639</v>
      </c>
      <c r="Z316" s="1129">
        <v>6.666666666666667</v>
      </c>
      <c r="AA316" s="1129">
        <v>25</v>
      </c>
      <c r="AB316" s="1129">
        <v>666.08920634920639</v>
      </c>
      <c r="AC316" s="1129">
        <v>250</v>
      </c>
      <c r="AD316" s="1098">
        <v>941.08920634920639</v>
      </c>
      <c r="AE316" s="1135">
        <v>4</v>
      </c>
      <c r="AF316" s="1129">
        <v>4</v>
      </c>
      <c r="AG316" s="1127">
        <v>1</v>
      </c>
      <c r="AH316" s="1127">
        <v>0</v>
      </c>
      <c r="AI316" s="1127">
        <v>0</v>
      </c>
      <c r="AJ316" s="1127">
        <v>1</v>
      </c>
      <c r="AK316" s="1129">
        <v>941.08920634920639</v>
      </c>
      <c r="AL316" s="1129">
        <v>0</v>
      </c>
      <c r="AM316" s="1129">
        <v>0</v>
      </c>
      <c r="AN316" s="1129">
        <v>941.08920634920639</v>
      </c>
      <c r="AO316" s="1129" t="s">
        <v>131</v>
      </c>
      <c r="AP316" s="1129" t="s">
        <v>96</v>
      </c>
      <c r="AQ316" s="1157">
        <v>2014</v>
      </c>
      <c r="AR316" s="1129" t="s">
        <v>87</v>
      </c>
      <c r="AS316" s="1127">
        <v>0.33333333333333331</v>
      </c>
      <c r="AT316" s="1127"/>
      <c r="AU316" s="1127">
        <v>0.33333333333333331</v>
      </c>
      <c r="AV316" s="1127"/>
      <c r="AW316" s="1127"/>
      <c r="AX316" s="1127"/>
      <c r="AY316" s="1127"/>
      <c r="AZ316" s="1127">
        <v>0.33333333333333331</v>
      </c>
      <c r="BA316" s="1129">
        <v>313.69640211640211</v>
      </c>
      <c r="BB316" s="1129">
        <v>0</v>
      </c>
      <c r="BC316" s="1129">
        <v>313.69640211640211</v>
      </c>
      <c r="BD316" s="1129">
        <v>0</v>
      </c>
      <c r="BE316" s="1129">
        <v>0</v>
      </c>
      <c r="BF316" s="1129">
        <v>0</v>
      </c>
      <c r="BG316" s="1129">
        <v>0</v>
      </c>
      <c r="BH316" s="1129">
        <v>313.69640211640211</v>
      </c>
      <c r="BI316" s="971"/>
      <c r="BJ316" s="971"/>
      <c r="BK316" s="971"/>
      <c r="BL316" s="1246"/>
      <c r="BM316" s="1247" t="s">
        <v>2129</v>
      </c>
    </row>
    <row r="317" spans="1:65" s="1247" customFormat="1" ht="66" customHeight="1">
      <c r="A317" s="1272">
        <v>7000</v>
      </c>
      <c r="B317" s="971" t="s">
        <v>2420</v>
      </c>
      <c r="C317" s="1272">
        <v>7200</v>
      </c>
      <c r="D317" s="971" t="s">
        <v>119</v>
      </c>
      <c r="E317" s="971" t="s">
        <v>7010</v>
      </c>
      <c r="F317" s="971" t="s">
        <v>3600</v>
      </c>
      <c r="G317" s="971">
        <v>7243</v>
      </c>
      <c r="H317" s="971" t="s">
        <v>6601</v>
      </c>
      <c r="I317" s="1273" t="s">
        <v>7072</v>
      </c>
      <c r="J317" s="971" t="s">
        <v>2146</v>
      </c>
      <c r="K317" s="971" t="s">
        <v>2129</v>
      </c>
      <c r="L317" s="971" t="s">
        <v>2130</v>
      </c>
      <c r="M317" s="971" t="s">
        <v>2129</v>
      </c>
      <c r="N317" s="971" t="s">
        <v>176</v>
      </c>
      <c r="O317" s="971" t="s">
        <v>2130</v>
      </c>
      <c r="P317" s="971" t="s">
        <v>7060</v>
      </c>
      <c r="Q317" s="971" t="s">
        <v>7061</v>
      </c>
      <c r="R317" s="971" t="s">
        <v>5369</v>
      </c>
      <c r="S317" s="1274">
        <v>1</v>
      </c>
      <c r="T317" s="971" t="s">
        <v>242</v>
      </c>
      <c r="U317" s="1275">
        <v>6.666666666666667</v>
      </c>
      <c r="V317" s="1275">
        <v>25</v>
      </c>
      <c r="W317" s="1275">
        <v>666.08920634920639</v>
      </c>
      <c r="X317" s="1275">
        <v>250</v>
      </c>
      <c r="Y317" s="1275">
        <v>941.08920634920639</v>
      </c>
      <c r="Z317" s="1129">
        <v>6.666666666666667</v>
      </c>
      <c r="AA317" s="1129">
        <v>25</v>
      </c>
      <c r="AB317" s="1129">
        <v>666.08920634920639</v>
      </c>
      <c r="AC317" s="1129">
        <v>250</v>
      </c>
      <c r="AD317" s="1098">
        <v>941.08920634920639</v>
      </c>
      <c r="AE317" s="1135">
        <v>4</v>
      </c>
      <c r="AF317" s="1129">
        <v>4</v>
      </c>
      <c r="AG317" s="1127">
        <v>1</v>
      </c>
      <c r="AH317" s="1127">
        <v>0</v>
      </c>
      <c r="AI317" s="1127">
        <v>0</v>
      </c>
      <c r="AJ317" s="1127">
        <v>1</v>
      </c>
      <c r="AK317" s="1129">
        <v>941.08920634920639</v>
      </c>
      <c r="AL317" s="1129">
        <v>0</v>
      </c>
      <c r="AM317" s="1129">
        <v>0</v>
      </c>
      <c r="AN317" s="1129">
        <v>941.08920634920639</v>
      </c>
      <c r="AO317" s="1129" t="s">
        <v>131</v>
      </c>
      <c r="AP317" s="1129" t="s">
        <v>96</v>
      </c>
      <c r="AQ317" s="1157">
        <v>2014</v>
      </c>
      <c r="AR317" s="1129" t="s">
        <v>87</v>
      </c>
      <c r="AS317" s="1127">
        <v>0.33333333333333331</v>
      </c>
      <c r="AT317" s="1127"/>
      <c r="AU317" s="1127">
        <v>0.33333333333333331</v>
      </c>
      <c r="AV317" s="1127"/>
      <c r="AW317" s="1127"/>
      <c r="AX317" s="1127"/>
      <c r="AY317" s="1127"/>
      <c r="AZ317" s="1127">
        <v>0.33333333333333331</v>
      </c>
      <c r="BA317" s="1129">
        <v>313.69640211640211</v>
      </c>
      <c r="BB317" s="1129">
        <v>0</v>
      </c>
      <c r="BC317" s="1129">
        <v>313.69640211640211</v>
      </c>
      <c r="BD317" s="1129">
        <v>0</v>
      </c>
      <c r="BE317" s="1129">
        <v>0</v>
      </c>
      <c r="BF317" s="1129">
        <v>0</v>
      </c>
      <c r="BG317" s="1129">
        <v>0</v>
      </c>
      <c r="BH317" s="1129">
        <v>313.69640211640211</v>
      </c>
      <c r="BI317" s="971"/>
      <c r="BJ317" s="971"/>
      <c r="BK317" s="971"/>
      <c r="BL317" s="1246"/>
      <c r="BM317" s="1247" t="s">
        <v>2129</v>
      </c>
    </row>
    <row r="318" spans="1:65" s="1247" customFormat="1" ht="66" customHeight="1">
      <c r="A318" s="1272">
        <v>7000</v>
      </c>
      <c r="B318" s="971" t="s">
        <v>2420</v>
      </c>
      <c r="C318" s="1272">
        <v>7200</v>
      </c>
      <c r="D318" s="971" t="s">
        <v>119</v>
      </c>
      <c r="E318" s="971" t="s">
        <v>7010</v>
      </c>
      <c r="F318" s="971" t="s">
        <v>3600</v>
      </c>
      <c r="G318" s="971">
        <v>7243</v>
      </c>
      <c r="H318" s="971" t="s">
        <v>6601</v>
      </c>
      <c r="I318" s="1273" t="s">
        <v>7073</v>
      </c>
      <c r="J318" s="971" t="s">
        <v>2146</v>
      </c>
      <c r="K318" s="971" t="s">
        <v>2129</v>
      </c>
      <c r="L318" s="971" t="s">
        <v>2130</v>
      </c>
      <c r="M318" s="971" t="s">
        <v>2129</v>
      </c>
      <c r="N318" s="971" t="s">
        <v>176</v>
      </c>
      <c r="O318" s="971" t="s">
        <v>2130</v>
      </c>
      <c r="P318" s="971" t="s">
        <v>7060</v>
      </c>
      <c r="Q318" s="971" t="s">
        <v>7061</v>
      </c>
      <c r="R318" s="971" t="s">
        <v>5370</v>
      </c>
      <c r="S318" s="1274">
        <v>1</v>
      </c>
      <c r="T318" s="971" t="s">
        <v>242</v>
      </c>
      <c r="U318" s="1275">
        <v>6.666666666666667</v>
      </c>
      <c r="V318" s="1275">
        <v>25</v>
      </c>
      <c r="W318" s="1275">
        <v>666.08920634920639</v>
      </c>
      <c r="X318" s="1275">
        <v>250</v>
      </c>
      <c r="Y318" s="1275">
        <v>941.08920634920639</v>
      </c>
      <c r="Z318" s="1129">
        <v>6.666666666666667</v>
      </c>
      <c r="AA318" s="1129">
        <v>25</v>
      </c>
      <c r="AB318" s="1129">
        <v>666.08920634920639</v>
      </c>
      <c r="AC318" s="1129">
        <v>250</v>
      </c>
      <c r="AD318" s="1098">
        <v>941.08920634920639</v>
      </c>
      <c r="AE318" s="1135">
        <v>4</v>
      </c>
      <c r="AF318" s="1129">
        <v>4</v>
      </c>
      <c r="AG318" s="1127">
        <v>1</v>
      </c>
      <c r="AH318" s="1127">
        <v>0</v>
      </c>
      <c r="AI318" s="1127">
        <v>0</v>
      </c>
      <c r="AJ318" s="1127">
        <v>1</v>
      </c>
      <c r="AK318" s="1129">
        <v>941.08920634920639</v>
      </c>
      <c r="AL318" s="1129">
        <v>0</v>
      </c>
      <c r="AM318" s="1129">
        <v>0</v>
      </c>
      <c r="AN318" s="1129">
        <v>941.08920634920639</v>
      </c>
      <c r="AO318" s="1129" t="s">
        <v>131</v>
      </c>
      <c r="AP318" s="1129" t="s">
        <v>96</v>
      </c>
      <c r="AQ318" s="1157">
        <v>2014</v>
      </c>
      <c r="AR318" s="1129" t="s">
        <v>87</v>
      </c>
      <c r="AS318" s="1127">
        <v>0.33333333333333331</v>
      </c>
      <c r="AT318" s="1127"/>
      <c r="AU318" s="1127">
        <v>0.33333333333333331</v>
      </c>
      <c r="AV318" s="1127"/>
      <c r="AW318" s="1127"/>
      <c r="AX318" s="1127"/>
      <c r="AY318" s="1127"/>
      <c r="AZ318" s="1127">
        <v>0.33333333333333331</v>
      </c>
      <c r="BA318" s="1129">
        <v>313.69640211640211</v>
      </c>
      <c r="BB318" s="1129">
        <v>0</v>
      </c>
      <c r="BC318" s="1129">
        <v>313.69640211640211</v>
      </c>
      <c r="BD318" s="1129">
        <v>0</v>
      </c>
      <c r="BE318" s="1129">
        <v>0</v>
      </c>
      <c r="BF318" s="1129">
        <v>0</v>
      </c>
      <c r="BG318" s="1129">
        <v>0</v>
      </c>
      <c r="BH318" s="1129">
        <v>313.69640211640211</v>
      </c>
      <c r="BI318" s="971"/>
      <c r="BJ318" s="971"/>
      <c r="BK318" s="971"/>
      <c r="BL318" s="1246"/>
      <c r="BM318" s="1247" t="s">
        <v>2129</v>
      </c>
    </row>
    <row r="319" spans="1:65" s="1247" customFormat="1" ht="66" customHeight="1">
      <c r="A319" s="1272">
        <v>7000</v>
      </c>
      <c r="B319" s="971" t="s">
        <v>2420</v>
      </c>
      <c r="C319" s="1272">
        <v>7200</v>
      </c>
      <c r="D319" s="971" t="s">
        <v>119</v>
      </c>
      <c r="E319" s="971" t="s">
        <v>7010</v>
      </c>
      <c r="F319" s="971" t="s">
        <v>3600</v>
      </c>
      <c r="G319" s="971">
        <v>7243</v>
      </c>
      <c r="H319" s="971" t="s">
        <v>6601</v>
      </c>
      <c r="I319" s="1273" t="s">
        <v>7074</v>
      </c>
      <c r="J319" s="971" t="s">
        <v>2146</v>
      </c>
      <c r="K319" s="971" t="s">
        <v>2129</v>
      </c>
      <c r="L319" s="971" t="s">
        <v>2130</v>
      </c>
      <c r="M319" s="971" t="s">
        <v>2129</v>
      </c>
      <c r="N319" s="971" t="s">
        <v>176</v>
      </c>
      <c r="O319" s="971" t="s">
        <v>2130</v>
      </c>
      <c r="P319" s="971" t="s">
        <v>7060</v>
      </c>
      <c r="Q319" s="971" t="s">
        <v>7061</v>
      </c>
      <c r="R319" s="971" t="s">
        <v>5371</v>
      </c>
      <c r="S319" s="1274">
        <v>1</v>
      </c>
      <c r="T319" s="971" t="s">
        <v>242</v>
      </c>
      <c r="U319" s="1275">
        <v>6.666666666666667</v>
      </c>
      <c r="V319" s="1275">
        <v>25</v>
      </c>
      <c r="W319" s="1275">
        <v>666.08920634920639</v>
      </c>
      <c r="X319" s="1275">
        <v>250</v>
      </c>
      <c r="Y319" s="1275">
        <v>941.08920634920639</v>
      </c>
      <c r="Z319" s="1129">
        <v>6.666666666666667</v>
      </c>
      <c r="AA319" s="1129">
        <v>25</v>
      </c>
      <c r="AB319" s="1129">
        <v>666.08920634920639</v>
      </c>
      <c r="AC319" s="1129">
        <v>250</v>
      </c>
      <c r="AD319" s="1098">
        <v>941.08920634920639</v>
      </c>
      <c r="AE319" s="1135">
        <v>4</v>
      </c>
      <c r="AF319" s="1129">
        <v>4</v>
      </c>
      <c r="AG319" s="1127">
        <v>1</v>
      </c>
      <c r="AH319" s="1127">
        <v>0</v>
      </c>
      <c r="AI319" s="1127">
        <v>0</v>
      </c>
      <c r="AJ319" s="1127">
        <v>1</v>
      </c>
      <c r="AK319" s="1129">
        <v>941.08920634920639</v>
      </c>
      <c r="AL319" s="1129">
        <v>0</v>
      </c>
      <c r="AM319" s="1129">
        <v>0</v>
      </c>
      <c r="AN319" s="1129">
        <v>941.08920634920639</v>
      </c>
      <c r="AO319" s="1129" t="s">
        <v>131</v>
      </c>
      <c r="AP319" s="1129" t="s">
        <v>96</v>
      </c>
      <c r="AQ319" s="1157">
        <v>2014</v>
      </c>
      <c r="AR319" s="1129" t="s">
        <v>87</v>
      </c>
      <c r="AS319" s="1127">
        <v>0.33333333333333331</v>
      </c>
      <c r="AT319" s="1127"/>
      <c r="AU319" s="1127">
        <v>0.33333333333333331</v>
      </c>
      <c r="AV319" s="1127"/>
      <c r="AW319" s="1127"/>
      <c r="AX319" s="1127"/>
      <c r="AY319" s="1127"/>
      <c r="AZ319" s="1127">
        <v>0.33333333333333331</v>
      </c>
      <c r="BA319" s="1129">
        <v>313.69640211640211</v>
      </c>
      <c r="BB319" s="1129">
        <v>0</v>
      </c>
      <c r="BC319" s="1129">
        <v>313.69640211640211</v>
      </c>
      <c r="BD319" s="1129">
        <v>0</v>
      </c>
      <c r="BE319" s="1129">
        <v>0</v>
      </c>
      <c r="BF319" s="1129">
        <v>0</v>
      </c>
      <c r="BG319" s="1129">
        <v>0</v>
      </c>
      <c r="BH319" s="1129">
        <v>313.69640211640211</v>
      </c>
      <c r="BI319" s="971"/>
      <c r="BJ319" s="971"/>
      <c r="BK319" s="971"/>
      <c r="BL319" s="1246"/>
      <c r="BM319" s="1247" t="s">
        <v>2129</v>
      </c>
    </row>
    <row r="320" spans="1:65" s="1247" customFormat="1" ht="66" customHeight="1">
      <c r="A320" s="1272">
        <v>7000</v>
      </c>
      <c r="B320" s="971" t="s">
        <v>2420</v>
      </c>
      <c r="C320" s="1272">
        <v>7200</v>
      </c>
      <c r="D320" s="971" t="s">
        <v>119</v>
      </c>
      <c r="E320" s="971" t="s">
        <v>7010</v>
      </c>
      <c r="F320" s="971" t="s">
        <v>3600</v>
      </c>
      <c r="G320" s="971">
        <v>7243</v>
      </c>
      <c r="H320" s="971" t="s">
        <v>6601</v>
      </c>
      <c r="I320" s="1273" t="s">
        <v>7075</v>
      </c>
      <c r="J320" s="971" t="s">
        <v>2146</v>
      </c>
      <c r="K320" s="971" t="s">
        <v>2129</v>
      </c>
      <c r="L320" s="971" t="s">
        <v>2130</v>
      </c>
      <c r="M320" s="971" t="s">
        <v>2129</v>
      </c>
      <c r="N320" s="971" t="s">
        <v>176</v>
      </c>
      <c r="O320" s="971" t="s">
        <v>2130</v>
      </c>
      <c r="P320" s="971" t="s">
        <v>7060</v>
      </c>
      <c r="Q320" s="971" t="s">
        <v>7061</v>
      </c>
      <c r="R320" s="971" t="s">
        <v>5372</v>
      </c>
      <c r="S320" s="1274">
        <v>1</v>
      </c>
      <c r="T320" s="971" t="s">
        <v>242</v>
      </c>
      <c r="U320" s="1275">
        <v>6.666666666666667</v>
      </c>
      <c r="V320" s="1275">
        <v>25</v>
      </c>
      <c r="W320" s="1275">
        <v>666.08920634920639</v>
      </c>
      <c r="X320" s="1275">
        <v>250</v>
      </c>
      <c r="Y320" s="1275">
        <v>941.08920634920639</v>
      </c>
      <c r="Z320" s="1129">
        <v>6.666666666666667</v>
      </c>
      <c r="AA320" s="1129">
        <v>25</v>
      </c>
      <c r="AB320" s="1129">
        <v>666.08920634920639</v>
      </c>
      <c r="AC320" s="1129">
        <v>250</v>
      </c>
      <c r="AD320" s="1098">
        <v>941.08920634920639</v>
      </c>
      <c r="AE320" s="1135">
        <v>4</v>
      </c>
      <c r="AF320" s="1129">
        <v>4</v>
      </c>
      <c r="AG320" s="1127">
        <v>1</v>
      </c>
      <c r="AH320" s="1127">
        <v>0</v>
      </c>
      <c r="AI320" s="1127">
        <v>0</v>
      </c>
      <c r="AJ320" s="1127">
        <v>1</v>
      </c>
      <c r="AK320" s="1129">
        <v>941.08920634920639</v>
      </c>
      <c r="AL320" s="1129">
        <v>0</v>
      </c>
      <c r="AM320" s="1129">
        <v>0</v>
      </c>
      <c r="AN320" s="1129">
        <v>941.08920634920639</v>
      </c>
      <c r="AO320" s="1129" t="s">
        <v>131</v>
      </c>
      <c r="AP320" s="1129" t="s">
        <v>96</v>
      </c>
      <c r="AQ320" s="1157">
        <v>2014</v>
      </c>
      <c r="AR320" s="1129" t="s">
        <v>87</v>
      </c>
      <c r="AS320" s="1127">
        <v>0.33333333333333331</v>
      </c>
      <c r="AT320" s="1127"/>
      <c r="AU320" s="1127">
        <v>0.33333333333333331</v>
      </c>
      <c r="AV320" s="1127"/>
      <c r="AW320" s="1127"/>
      <c r="AX320" s="1127"/>
      <c r="AY320" s="1127"/>
      <c r="AZ320" s="1127">
        <v>0.33333333333333331</v>
      </c>
      <c r="BA320" s="1129">
        <v>313.69640211640211</v>
      </c>
      <c r="BB320" s="1129">
        <v>0</v>
      </c>
      <c r="BC320" s="1129">
        <v>313.69640211640211</v>
      </c>
      <c r="BD320" s="1129">
        <v>0</v>
      </c>
      <c r="BE320" s="1129">
        <v>0</v>
      </c>
      <c r="BF320" s="1129">
        <v>0</v>
      </c>
      <c r="BG320" s="1129">
        <v>0</v>
      </c>
      <c r="BH320" s="1129">
        <v>313.69640211640211</v>
      </c>
      <c r="BI320" s="971"/>
      <c r="BJ320" s="971"/>
      <c r="BK320" s="971"/>
      <c r="BL320" s="1246"/>
      <c r="BM320" s="1247" t="s">
        <v>2129</v>
      </c>
    </row>
    <row r="321" spans="1:65" s="1247" customFormat="1" ht="66" customHeight="1">
      <c r="A321" s="1272">
        <v>7000</v>
      </c>
      <c r="B321" s="971" t="s">
        <v>2420</v>
      </c>
      <c r="C321" s="1272">
        <v>7200</v>
      </c>
      <c r="D321" s="971" t="s">
        <v>119</v>
      </c>
      <c r="E321" s="971" t="s">
        <v>7010</v>
      </c>
      <c r="F321" s="971" t="s">
        <v>3600</v>
      </c>
      <c r="G321" s="971">
        <v>7243</v>
      </c>
      <c r="H321" s="971" t="s">
        <v>6601</v>
      </c>
      <c r="I321" s="1273" t="s">
        <v>7076</v>
      </c>
      <c r="J321" s="971" t="s">
        <v>2146</v>
      </c>
      <c r="K321" s="971" t="s">
        <v>2129</v>
      </c>
      <c r="L321" s="971" t="s">
        <v>2130</v>
      </c>
      <c r="M321" s="971" t="s">
        <v>2129</v>
      </c>
      <c r="N321" s="971" t="s">
        <v>176</v>
      </c>
      <c r="O321" s="971" t="s">
        <v>2130</v>
      </c>
      <c r="P321" s="971" t="s">
        <v>2376</v>
      </c>
      <c r="Q321" s="971" t="s">
        <v>7077</v>
      </c>
      <c r="R321" s="971" t="s">
        <v>5373</v>
      </c>
      <c r="S321" s="1274">
        <v>1</v>
      </c>
      <c r="T321" s="971" t="s">
        <v>242</v>
      </c>
      <c r="U321" s="1275">
        <v>6.666666666666667</v>
      </c>
      <c r="V321" s="1275">
        <v>25</v>
      </c>
      <c r="W321" s="1275">
        <v>666.08920634920639</v>
      </c>
      <c r="X321" s="1275">
        <v>250</v>
      </c>
      <c r="Y321" s="1275">
        <v>941.08920634920639</v>
      </c>
      <c r="Z321" s="1129">
        <v>6.666666666666667</v>
      </c>
      <c r="AA321" s="1129">
        <v>25</v>
      </c>
      <c r="AB321" s="1129">
        <v>666.08920634920639</v>
      </c>
      <c r="AC321" s="1129">
        <v>250</v>
      </c>
      <c r="AD321" s="1098">
        <v>941.08920634920639</v>
      </c>
      <c r="AE321" s="1135">
        <v>4</v>
      </c>
      <c r="AF321" s="1129">
        <v>4</v>
      </c>
      <c r="AG321" s="1127">
        <v>1</v>
      </c>
      <c r="AH321" s="1127">
        <v>0</v>
      </c>
      <c r="AI321" s="1127">
        <v>0</v>
      </c>
      <c r="AJ321" s="1127">
        <v>1</v>
      </c>
      <c r="AK321" s="1129">
        <v>941.08920634920639</v>
      </c>
      <c r="AL321" s="1129">
        <v>0</v>
      </c>
      <c r="AM321" s="1129">
        <v>0</v>
      </c>
      <c r="AN321" s="1129">
        <v>941.08920634920639</v>
      </c>
      <c r="AO321" s="1129" t="s">
        <v>131</v>
      </c>
      <c r="AP321" s="1129" t="s">
        <v>96</v>
      </c>
      <c r="AQ321" s="1157">
        <v>2014</v>
      </c>
      <c r="AR321" s="1129" t="s">
        <v>87</v>
      </c>
      <c r="AS321" s="1127">
        <v>0.33333333333333331</v>
      </c>
      <c r="AT321" s="1127"/>
      <c r="AU321" s="1127">
        <v>0.33333333333333331</v>
      </c>
      <c r="AV321" s="1127"/>
      <c r="AW321" s="1127"/>
      <c r="AX321" s="1127"/>
      <c r="AY321" s="1127"/>
      <c r="AZ321" s="1127">
        <v>0.33333333333333331</v>
      </c>
      <c r="BA321" s="1129">
        <v>313.69640211640211</v>
      </c>
      <c r="BB321" s="1129">
        <v>0</v>
      </c>
      <c r="BC321" s="1129">
        <v>313.69640211640211</v>
      </c>
      <c r="BD321" s="1129">
        <v>0</v>
      </c>
      <c r="BE321" s="1129">
        <v>0</v>
      </c>
      <c r="BF321" s="1129">
        <v>0</v>
      </c>
      <c r="BG321" s="1129">
        <v>0</v>
      </c>
      <c r="BH321" s="1129">
        <v>313.69640211640211</v>
      </c>
      <c r="BI321" s="971"/>
      <c r="BJ321" s="971"/>
      <c r="BK321" s="971"/>
      <c r="BL321" s="1246"/>
      <c r="BM321" s="1247" t="s">
        <v>2129</v>
      </c>
    </row>
    <row r="322" spans="1:65" s="1247" customFormat="1" ht="66" customHeight="1">
      <c r="A322" s="1272">
        <v>7000</v>
      </c>
      <c r="B322" s="971" t="s">
        <v>2420</v>
      </c>
      <c r="C322" s="1272">
        <v>7200</v>
      </c>
      <c r="D322" s="971" t="s">
        <v>119</v>
      </c>
      <c r="E322" s="971" t="s">
        <v>7010</v>
      </c>
      <c r="F322" s="971" t="s">
        <v>3600</v>
      </c>
      <c r="G322" s="971">
        <v>7245</v>
      </c>
      <c r="H322" s="971" t="s">
        <v>6602</v>
      </c>
      <c r="I322" s="1273" t="s">
        <v>7078</v>
      </c>
      <c r="J322" s="971" t="s">
        <v>2146</v>
      </c>
      <c r="K322" s="971" t="s">
        <v>2129</v>
      </c>
      <c r="L322" s="971" t="s">
        <v>2130</v>
      </c>
      <c r="M322" s="971" t="s">
        <v>2129</v>
      </c>
      <c r="N322" s="971" t="s">
        <v>176</v>
      </c>
      <c r="O322" s="971" t="s">
        <v>2130</v>
      </c>
      <c r="P322" s="971" t="s">
        <v>6927</v>
      </c>
      <c r="Q322" s="971" t="s">
        <v>7079</v>
      </c>
      <c r="R322" s="971" t="s">
        <v>5427</v>
      </c>
      <c r="S322" s="1274">
        <v>1</v>
      </c>
      <c r="T322" s="971" t="s">
        <v>242</v>
      </c>
      <c r="U322" s="1275">
        <v>6.666666666666667</v>
      </c>
      <c r="V322" s="1275">
        <v>25</v>
      </c>
      <c r="W322" s="1275">
        <v>666.08920634920639</v>
      </c>
      <c r="X322" s="1275">
        <v>250</v>
      </c>
      <c r="Y322" s="1275">
        <v>941.08920634920639</v>
      </c>
      <c r="Z322" s="1129">
        <v>6.666666666666667</v>
      </c>
      <c r="AA322" s="1129">
        <v>25</v>
      </c>
      <c r="AB322" s="1129">
        <v>666.08920634920639</v>
      </c>
      <c r="AC322" s="1129">
        <v>250</v>
      </c>
      <c r="AD322" s="1098">
        <v>941.08920634920639</v>
      </c>
      <c r="AE322" s="1135">
        <v>4</v>
      </c>
      <c r="AF322" s="1129">
        <v>4</v>
      </c>
      <c r="AG322" s="1127">
        <v>1</v>
      </c>
      <c r="AH322" s="1127">
        <v>0</v>
      </c>
      <c r="AI322" s="1127">
        <v>0</v>
      </c>
      <c r="AJ322" s="1127">
        <v>1</v>
      </c>
      <c r="AK322" s="1129">
        <v>941.08920634920639</v>
      </c>
      <c r="AL322" s="1129">
        <v>0</v>
      </c>
      <c r="AM322" s="1129">
        <v>0</v>
      </c>
      <c r="AN322" s="1129">
        <v>941.08920634920639</v>
      </c>
      <c r="AO322" s="1129" t="s">
        <v>131</v>
      </c>
      <c r="AP322" s="1129" t="s">
        <v>96</v>
      </c>
      <c r="AQ322" s="1157">
        <v>2014</v>
      </c>
      <c r="AR322" s="1129" t="s">
        <v>87</v>
      </c>
      <c r="AS322" s="1127">
        <v>0.33333333333333331</v>
      </c>
      <c r="AT322" s="1127"/>
      <c r="AU322" s="1127">
        <v>0.33333333333333331</v>
      </c>
      <c r="AV322" s="1127"/>
      <c r="AW322" s="1127"/>
      <c r="AX322" s="1127"/>
      <c r="AY322" s="1127"/>
      <c r="AZ322" s="1127">
        <v>0.33333333333333331</v>
      </c>
      <c r="BA322" s="1129">
        <v>313.69640211640211</v>
      </c>
      <c r="BB322" s="1129">
        <v>0</v>
      </c>
      <c r="BC322" s="1129">
        <v>313.69640211640211</v>
      </c>
      <c r="BD322" s="1129">
        <v>0</v>
      </c>
      <c r="BE322" s="1129">
        <v>0</v>
      </c>
      <c r="BF322" s="1129">
        <v>0</v>
      </c>
      <c r="BG322" s="1129">
        <v>0</v>
      </c>
      <c r="BH322" s="1129">
        <v>313.69640211640211</v>
      </c>
      <c r="BI322" s="971"/>
      <c r="BJ322" s="971"/>
      <c r="BK322" s="971"/>
      <c r="BL322" s="1246"/>
      <c r="BM322" s="1247" t="s">
        <v>2129</v>
      </c>
    </row>
    <row r="323" spans="1:65" s="1247" customFormat="1" ht="66" customHeight="1">
      <c r="A323" s="1272">
        <v>7000</v>
      </c>
      <c r="B323" s="971" t="s">
        <v>2420</v>
      </c>
      <c r="C323" s="1272">
        <v>7200</v>
      </c>
      <c r="D323" s="971" t="s">
        <v>119</v>
      </c>
      <c r="E323" s="971" t="s">
        <v>7010</v>
      </c>
      <c r="F323" s="971" t="s">
        <v>3600</v>
      </c>
      <c r="G323" s="971">
        <v>7245</v>
      </c>
      <c r="H323" s="971" t="s">
        <v>6602</v>
      </c>
      <c r="I323" s="1273" t="s">
        <v>7080</v>
      </c>
      <c r="J323" s="971" t="s">
        <v>2146</v>
      </c>
      <c r="K323" s="971" t="s">
        <v>2129</v>
      </c>
      <c r="L323" s="971" t="s">
        <v>2130</v>
      </c>
      <c r="M323" s="971" t="s">
        <v>2129</v>
      </c>
      <c r="N323" s="971" t="s">
        <v>176</v>
      </c>
      <c r="O323" s="971" t="s">
        <v>2130</v>
      </c>
      <c r="P323" s="971" t="s">
        <v>6927</v>
      </c>
      <c r="Q323" s="971" t="s">
        <v>7079</v>
      </c>
      <c r="R323" s="971" t="s">
        <v>5429</v>
      </c>
      <c r="S323" s="1274">
        <v>1</v>
      </c>
      <c r="T323" s="971" t="s">
        <v>242</v>
      </c>
      <c r="U323" s="1275">
        <v>6.666666666666667</v>
      </c>
      <c r="V323" s="1275">
        <v>25</v>
      </c>
      <c r="W323" s="1275">
        <v>666.08920634920639</v>
      </c>
      <c r="X323" s="1275">
        <v>250</v>
      </c>
      <c r="Y323" s="1275">
        <v>941.08920634920639</v>
      </c>
      <c r="Z323" s="1129">
        <v>6.666666666666667</v>
      </c>
      <c r="AA323" s="1129">
        <v>25</v>
      </c>
      <c r="AB323" s="1129">
        <v>666.08920634920639</v>
      </c>
      <c r="AC323" s="1129">
        <v>250</v>
      </c>
      <c r="AD323" s="1098">
        <v>941.08920634920639</v>
      </c>
      <c r="AE323" s="1135">
        <v>4</v>
      </c>
      <c r="AF323" s="1129">
        <v>4</v>
      </c>
      <c r="AG323" s="1127">
        <v>1</v>
      </c>
      <c r="AH323" s="1127">
        <v>0</v>
      </c>
      <c r="AI323" s="1127">
        <v>0</v>
      </c>
      <c r="AJ323" s="1127">
        <v>1</v>
      </c>
      <c r="AK323" s="1129">
        <v>941.08920634920639</v>
      </c>
      <c r="AL323" s="1129">
        <v>0</v>
      </c>
      <c r="AM323" s="1129">
        <v>0</v>
      </c>
      <c r="AN323" s="1129">
        <v>941.08920634920639</v>
      </c>
      <c r="AO323" s="1129" t="s">
        <v>131</v>
      </c>
      <c r="AP323" s="1129" t="s">
        <v>96</v>
      </c>
      <c r="AQ323" s="1157">
        <v>2014</v>
      </c>
      <c r="AR323" s="1129" t="s">
        <v>87</v>
      </c>
      <c r="AS323" s="1127">
        <v>0.33333333333333331</v>
      </c>
      <c r="AT323" s="1127"/>
      <c r="AU323" s="1127">
        <v>0.33333333333333331</v>
      </c>
      <c r="AV323" s="1127"/>
      <c r="AW323" s="1127"/>
      <c r="AX323" s="1127"/>
      <c r="AY323" s="1127"/>
      <c r="AZ323" s="1127">
        <v>0.33333333333333331</v>
      </c>
      <c r="BA323" s="1129">
        <v>313.69640211640211</v>
      </c>
      <c r="BB323" s="1129">
        <v>0</v>
      </c>
      <c r="BC323" s="1129">
        <v>313.69640211640211</v>
      </c>
      <c r="BD323" s="1129">
        <v>0</v>
      </c>
      <c r="BE323" s="1129">
        <v>0</v>
      </c>
      <c r="BF323" s="1129">
        <v>0</v>
      </c>
      <c r="BG323" s="1129">
        <v>0</v>
      </c>
      <c r="BH323" s="1129">
        <v>313.69640211640211</v>
      </c>
      <c r="BI323" s="971"/>
      <c r="BJ323" s="971"/>
      <c r="BK323" s="971"/>
      <c r="BL323" s="1246"/>
      <c r="BM323" s="1247" t="s">
        <v>2129</v>
      </c>
    </row>
    <row r="324" spans="1:65" s="1247" customFormat="1" ht="66" customHeight="1">
      <c r="A324" s="1272">
        <v>7000</v>
      </c>
      <c r="B324" s="971" t="s">
        <v>2420</v>
      </c>
      <c r="C324" s="1272">
        <v>7200</v>
      </c>
      <c r="D324" s="971" t="s">
        <v>119</v>
      </c>
      <c r="E324" s="971" t="s">
        <v>7010</v>
      </c>
      <c r="F324" s="971" t="s">
        <v>3600</v>
      </c>
      <c r="G324" s="971">
        <v>7245</v>
      </c>
      <c r="H324" s="971" t="s">
        <v>6602</v>
      </c>
      <c r="I324" s="1273" t="s">
        <v>7081</v>
      </c>
      <c r="J324" s="971" t="s">
        <v>2146</v>
      </c>
      <c r="K324" s="971" t="s">
        <v>2129</v>
      </c>
      <c r="L324" s="971" t="s">
        <v>2130</v>
      </c>
      <c r="M324" s="971" t="s">
        <v>2129</v>
      </c>
      <c r="N324" s="971" t="s">
        <v>176</v>
      </c>
      <c r="O324" s="971" t="s">
        <v>2130</v>
      </c>
      <c r="P324" s="971" t="s">
        <v>6927</v>
      </c>
      <c r="Q324" s="971" t="s">
        <v>7082</v>
      </c>
      <c r="R324" s="971" t="s">
        <v>5430</v>
      </c>
      <c r="S324" s="1274">
        <v>1</v>
      </c>
      <c r="T324" s="971" t="s">
        <v>242</v>
      </c>
      <c r="U324" s="1275">
        <v>6.666666666666667</v>
      </c>
      <c r="V324" s="1275">
        <v>25</v>
      </c>
      <c r="W324" s="1275">
        <v>666.08920634920639</v>
      </c>
      <c r="X324" s="1275">
        <v>250</v>
      </c>
      <c r="Y324" s="1275">
        <v>941.08920634920639</v>
      </c>
      <c r="Z324" s="1129">
        <v>6.666666666666667</v>
      </c>
      <c r="AA324" s="1129">
        <v>25</v>
      </c>
      <c r="AB324" s="1129">
        <v>666.08920634920639</v>
      </c>
      <c r="AC324" s="1129">
        <v>250</v>
      </c>
      <c r="AD324" s="1098">
        <v>941.08920634920639</v>
      </c>
      <c r="AE324" s="1135">
        <v>4</v>
      </c>
      <c r="AF324" s="1129">
        <v>4</v>
      </c>
      <c r="AG324" s="1127">
        <v>1</v>
      </c>
      <c r="AH324" s="1127">
        <v>0</v>
      </c>
      <c r="AI324" s="1127">
        <v>0</v>
      </c>
      <c r="AJ324" s="1127">
        <v>1</v>
      </c>
      <c r="AK324" s="1129">
        <v>941.08920634920639</v>
      </c>
      <c r="AL324" s="1129">
        <v>0</v>
      </c>
      <c r="AM324" s="1129">
        <v>0</v>
      </c>
      <c r="AN324" s="1129">
        <v>941.08920634920639</v>
      </c>
      <c r="AO324" s="1129" t="s">
        <v>131</v>
      </c>
      <c r="AP324" s="1129" t="s">
        <v>96</v>
      </c>
      <c r="AQ324" s="1157">
        <v>2014</v>
      </c>
      <c r="AR324" s="1129" t="s">
        <v>87</v>
      </c>
      <c r="AS324" s="1127">
        <v>0.33333333333333331</v>
      </c>
      <c r="AT324" s="1127"/>
      <c r="AU324" s="1127">
        <v>0.33333333333333331</v>
      </c>
      <c r="AV324" s="1127"/>
      <c r="AW324" s="1127"/>
      <c r="AX324" s="1127"/>
      <c r="AY324" s="1127"/>
      <c r="AZ324" s="1127">
        <v>0.33333333333333331</v>
      </c>
      <c r="BA324" s="1129">
        <v>313.69640211640211</v>
      </c>
      <c r="BB324" s="1129">
        <v>0</v>
      </c>
      <c r="BC324" s="1129">
        <v>313.69640211640211</v>
      </c>
      <c r="BD324" s="1129">
        <v>0</v>
      </c>
      <c r="BE324" s="1129">
        <v>0</v>
      </c>
      <c r="BF324" s="1129">
        <v>0</v>
      </c>
      <c r="BG324" s="1129">
        <v>0</v>
      </c>
      <c r="BH324" s="1129">
        <v>313.69640211640211</v>
      </c>
      <c r="BI324" s="971"/>
      <c r="BJ324" s="971"/>
      <c r="BK324" s="971"/>
      <c r="BL324" s="1246"/>
      <c r="BM324" s="1247" t="s">
        <v>2129</v>
      </c>
    </row>
    <row r="325" spans="1:65" s="1247" customFormat="1" ht="66" customHeight="1">
      <c r="A325" s="1272">
        <v>7000</v>
      </c>
      <c r="B325" s="971" t="s">
        <v>2420</v>
      </c>
      <c r="C325" s="1272">
        <v>7200</v>
      </c>
      <c r="D325" s="971" t="s">
        <v>119</v>
      </c>
      <c r="E325" s="971" t="s">
        <v>7010</v>
      </c>
      <c r="F325" s="971" t="s">
        <v>3600</v>
      </c>
      <c r="G325" s="971">
        <v>7245</v>
      </c>
      <c r="H325" s="971" t="s">
        <v>6602</v>
      </c>
      <c r="I325" s="1273" t="s">
        <v>7083</v>
      </c>
      <c r="J325" s="971" t="s">
        <v>2146</v>
      </c>
      <c r="K325" s="971" t="s">
        <v>2129</v>
      </c>
      <c r="L325" s="971" t="s">
        <v>2130</v>
      </c>
      <c r="M325" s="971" t="s">
        <v>2129</v>
      </c>
      <c r="N325" s="971" t="s">
        <v>176</v>
      </c>
      <c r="O325" s="971" t="s">
        <v>2130</v>
      </c>
      <c r="P325" s="971" t="s">
        <v>6927</v>
      </c>
      <c r="Q325" s="971" t="s">
        <v>7084</v>
      </c>
      <c r="R325" s="971" t="s">
        <v>5432</v>
      </c>
      <c r="S325" s="1274">
        <v>1</v>
      </c>
      <c r="T325" s="971" t="s">
        <v>242</v>
      </c>
      <c r="U325" s="1275">
        <v>6.666666666666667</v>
      </c>
      <c r="V325" s="1275">
        <v>25</v>
      </c>
      <c r="W325" s="1275">
        <v>666.08920634920639</v>
      </c>
      <c r="X325" s="1275">
        <v>250</v>
      </c>
      <c r="Y325" s="1275">
        <v>941.08920634920639</v>
      </c>
      <c r="Z325" s="1129">
        <v>6.666666666666667</v>
      </c>
      <c r="AA325" s="1129">
        <v>25</v>
      </c>
      <c r="AB325" s="1129">
        <v>666.08920634920639</v>
      </c>
      <c r="AC325" s="1129">
        <v>250</v>
      </c>
      <c r="AD325" s="1098">
        <v>941.08920634920639</v>
      </c>
      <c r="AE325" s="1135">
        <v>4</v>
      </c>
      <c r="AF325" s="1129">
        <v>4</v>
      </c>
      <c r="AG325" s="1127">
        <v>1</v>
      </c>
      <c r="AH325" s="1127">
        <v>0</v>
      </c>
      <c r="AI325" s="1127">
        <v>0</v>
      </c>
      <c r="AJ325" s="1127">
        <v>1</v>
      </c>
      <c r="AK325" s="1129">
        <v>941.08920634920639</v>
      </c>
      <c r="AL325" s="1129">
        <v>0</v>
      </c>
      <c r="AM325" s="1129">
        <v>0</v>
      </c>
      <c r="AN325" s="1129">
        <v>941.08920634920639</v>
      </c>
      <c r="AO325" s="1129" t="s">
        <v>131</v>
      </c>
      <c r="AP325" s="1129" t="s">
        <v>96</v>
      </c>
      <c r="AQ325" s="1157">
        <v>2014</v>
      </c>
      <c r="AR325" s="1129" t="s">
        <v>87</v>
      </c>
      <c r="AS325" s="1127">
        <v>0.33333333333333331</v>
      </c>
      <c r="AT325" s="1127"/>
      <c r="AU325" s="1127">
        <v>0.33333333333333331</v>
      </c>
      <c r="AV325" s="1127"/>
      <c r="AW325" s="1127"/>
      <c r="AX325" s="1127"/>
      <c r="AY325" s="1127"/>
      <c r="AZ325" s="1127">
        <v>0.33333333333333331</v>
      </c>
      <c r="BA325" s="1129">
        <v>313.69640211640211</v>
      </c>
      <c r="BB325" s="1129">
        <v>0</v>
      </c>
      <c r="BC325" s="1129">
        <v>313.69640211640211</v>
      </c>
      <c r="BD325" s="1129">
        <v>0</v>
      </c>
      <c r="BE325" s="1129">
        <v>0</v>
      </c>
      <c r="BF325" s="1129">
        <v>0</v>
      </c>
      <c r="BG325" s="1129">
        <v>0</v>
      </c>
      <c r="BH325" s="1129">
        <v>313.69640211640211</v>
      </c>
      <c r="BI325" s="971"/>
      <c r="BJ325" s="971"/>
      <c r="BK325" s="971"/>
      <c r="BL325" s="1246"/>
      <c r="BM325" s="1247" t="s">
        <v>2129</v>
      </c>
    </row>
    <row r="326" spans="1:65" s="1247" customFormat="1" ht="66" customHeight="1">
      <c r="A326" s="1272">
        <v>7000</v>
      </c>
      <c r="B326" s="971" t="s">
        <v>2420</v>
      </c>
      <c r="C326" s="1272">
        <v>7200</v>
      </c>
      <c r="D326" s="971" t="s">
        <v>119</v>
      </c>
      <c r="E326" s="971" t="s">
        <v>7010</v>
      </c>
      <c r="F326" s="971" t="s">
        <v>3600</v>
      </c>
      <c r="G326" s="971">
        <v>7245</v>
      </c>
      <c r="H326" s="971" t="s">
        <v>6602</v>
      </c>
      <c r="I326" s="1273" t="s">
        <v>7085</v>
      </c>
      <c r="J326" s="971" t="s">
        <v>2146</v>
      </c>
      <c r="K326" s="971" t="s">
        <v>2129</v>
      </c>
      <c r="L326" s="971" t="s">
        <v>2130</v>
      </c>
      <c r="M326" s="971" t="s">
        <v>2129</v>
      </c>
      <c r="N326" s="971" t="s">
        <v>176</v>
      </c>
      <c r="O326" s="971" t="s">
        <v>2130</v>
      </c>
      <c r="P326" s="971" t="s">
        <v>6927</v>
      </c>
      <c r="Q326" s="971" t="s">
        <v>7084</v>
      </c>
      <c r="R326" s="971" t="s">
        <v>5433</v>
      </c>
      <c r="S326" s="1274">
        <v>1</v>
      </c>
      <c r="T326" s="971" t="s">
        <v>242</v>
      </c>
      <c r="U326" s="1275">
        <v>6.666666666666667</v>
      </c>
      <c r="V326" s="1275">
        <v>25</v>
      </c>
      <c r="W326" s="1275">
        <v>666.08920634920639</v>
      </c>
      <c r="X326" s="1275">
        <v>250</v>
      </c>
      <c r="Y326" s="1275">
        <v>941.08920634920639</v>
      </c>
      <c r="Z326" s="1129">
        <v>6.666666666666667</v>
      </c>
      <c r="AA326" s="1129">
        <v>25</v>
      </c>
      <c r="AB326" s="1129">
        <v>666.08920634920639</v>
      </c>
      <c r="AC326" s="1129">
        <v>250</v>
      </c>
      <c r="AD326" s="1098">
        <v>941.08920634920639</v>
      </c>
      <c r="AE326" s="1135">
        <v>4</v>
      </c>
      <c r="AF326" s="1129">
        <v>4</v>
      </c>
      <c r="AG326" s="1127">
        <v>1</v>
      </c>
      <c r="AH326" s="1127">
        <v>0</v>
      </c>
      <c r="AI326" s="1127">
        <v>0</v>
      </c>
      <c r="AJ326" s="1127">
        <v>1</v>
      </c>
      <c r="AK326" s="1129">
        <v>941.08920634920639</v>
      </c>
      <c r="AL326" s="1129">
        <v>0</v>
      </c>
      <c r="AM326" s="1129">
        <v>0</v>
      </c>
      <c r="AN326" s="1129">
        <v>941.08920634920639</v>
      </c>
      <c r="AO326" s="1129" t="s">
        <v>131</v>
      </c>
      <c r="AP326" s="1129" t="s">
        <v>96</v>
      </c>
      <c r="AQ326" s="1157">
        <v>2014</v>
      </c>
      <c r="AR326" s="1129" t="s">
        <v>87</v>
      </c>
      <c r="AS326" s="1127">
        <v>0.33333333333333331</v>
      </c>
      <c r="AT326" s="1127"/>
      <c r="AU326" s="1127">
        <v>0.33333333333333331</v>
      </c>
      <c r="AV326" s="1127"/>
      <c r="AW326" s="1127"/>
      <c r="AX326" s="1127"/>
      <c r="AY326" s="1127"/>
      <c r="AZ326" s="1127">
        <v>0.33333333333333331</v>
      </c>
      <c r="BA326" s="1129">
        <v>313.69640211640211</v>
      </c>
      <c r="BB326" s="1129">
        <v>0</v>
      </c>
      <c r="BC326" s="1129">
        <v>313.69640211640211</v>
      </c>
      <c r="BD326" s="1129">
        <v>0</v>
      </c>
      <c r="BE326" s="1129">
        <v>0</v>
      </c>
      <c r="BF326" s="1129">
        <v>0</v>
      </c>
      <c r="BG326" s="1129">
        <v>0</v>
      </c>
      <c r="BH326" s="1129">
        <v>313.69640211640211</v>
      </c>
      <c r="BI326" s="971"/>
      <c r="BJ326" s="971"/>
      <c r="BK326" s="971"/>
      <c r="BL326" s="1246"/>
      <c r="BM326" s="1247" t="s">
        <v>2129</v>
      </c>
    </row>
    <row r="327" spans="1:65" s="1247" customFormat="1" ht="66" customHeight="1">
      <c r="A327" s="1272">
        <v>7000</v>
      </c>
      <c r="B327" s="971" t="s">
        <v>2420</v>
      </c>
      <c r="C327" s="1272">
        <v>7200</v>
      </c>
      <c r="D327" s="971" t="s">
        <v>119</v>
      </c>
      <c r="E327" s="971" t="s">
        <v>7010</v>
      </c>
      <c r="F327" s="971" t="s">
        <v>3600</v>
      </c>
      <c r="G327" s="971">
        <v>7245</v>
      </c>
      <c r="H327" s="971" t="s">
        <v>6602</v>
      </c>
      <c r="I327" s="1273" t="s">
        <v>7086</v>
      </c>
      <c r="J327" s="971" t="s">
        <v>2146</v>
      </c>
      <c r="K327" s="971" t="s">
        <v>2127</v>
      </c>
      <c r="L327" s="971" t="s">
        <v>2177</v>
      </c>
      <c r="M327" s="971" t="s">
        <v>2127</v>
      </c>
      <c r="N327" s="971" t="s">
        <v>176</v>
      </c>
      <c r="O327" s="971" t="s">
        <v>2177</v>
      </c>
      <c r="P327" s="971" t="s">
        <v>7087</v>
      </c>
      <c r="Q327" s="971" t="s">
        <v>7088</v>
      </c>
      <c r="R327" s="971" t="s">
        <v>5434</v>
      </c>
      <c r="S327" s="1274">
        <v>1</v>
      </c>
      <c r="T327" s="971" t="s">
        <v>242</v>
      </c>
      <c r="U327" s="1275">
        <v>10</v>
      </c>
      <c r="V327" s="1275">
        <v>45</v>
      </c>
      <c r="W327" s="1275">
        <v>999.13380952380965</v>
      </c>
      <c r="X327" s="1275">
        <v>450</v>
      </c>
      <c r="Y327" s="1275">
        <v>1494.1338095238098</v>
      </c>
      <c r="Z327" s="1129">
        <v>10</v>
      </c>
      <c r="AA327" s="1129">
        <v>45</v>
      </c>
      <c r="AB327" s="1129">
        <v>999.13380952380965</v>
      </c>
      <c r="AC327" s="1129">
        <v>450</v>
      </c>
      <c r="AD327" s="1098">
        <v>1494.1338095238098</v>
      </c>
      <c r="AE327" s="1135">
        <v>24</v>
      </c>
      <c r="AF327" s="1129">
        <v>24</v>
      </c>
      <c r="AG327" s="1127">
        <v>1</v>
      </c>
      <c r="AH327" s="1127">
        <v>0</v>
      </c>
      <c r="AI327" s="1127">
        <v>0</v>
      </c>
      <c r="AJ327" s="1127">
        <v>1</v>
      </c>
      <c r="AK327" s="1129">
        <v>1494.1338095238098</v>
      </c>
      <c r="AL327" s="1129">
        <v>0</v>
      </c>
      <c r="AM327" s="1129">
        <v>0</v>
      </c>
      <c r="AN327" s="1129">
        <v>1494.1338095238098</v>
      </c>
      <c r="AO327" s="1129" t="s">
        <v>131</v>
      </c>
      <c r="AP327" s="1129" t="s">
        <v>96</v>
      </c>
      <c r="AQ327" s="1157">
        <v>2014</v>
      </c>
      <c r="AR327" s="1129" t="s">
        <v>87</v>
      </c>
      <c r="AS327" s="1127">
        <v>0.33333333333333331</v>
      </c>
      <c r="AT327" s="1127"/>
      <c r="AU327" s="1127">
        <v>0.33333333333333331</v>
      </c>
      <c r="AV327" s="1127"/>
      <c r="AW327" s="1127"/>
      <c r="AX327" s="1127"/>
      <c r="AY327" s="1127"/>
      <c r="AZ327" s="1127">
        <v>0.33333333333333331</v>
      </c>
      <c r="BA327" s="1129">
        <v>498.04460317460325</v>
      </c>
      <c r="BB327" s="1129">
        <v>0</v>
      </c>
      <c r="BC327" s="1129">
        <v>498.04460317460325</v>
      </c>
      <c r="BD327" s="1129">
        <v>0</v>
      </c>
      <c r="BE327" s="1129">
        <v>0</v>
      </c>
      <c r="BF327" s="1129">
        <v>0</v>
      </c>
      <c r="BG327" s="1129">
        <v>0</v>
      </c>
      <c r="BH327" s="1129">
        <v>498.04460317460325</v>
      </c>
      <c r="BI327" s="971"/>
      <c r="BJ327" s="971"/>
      <c r="BK327" s="971"/>
      <c r="BL327" s="1246"/>
      <c r="BM327" s="1247" t="s">
        <v>2129</v>
      </c>
    </row>
    <row r="328" spans="1:65" s="1247" customFormat="1" ht="66" customHeight="1">
      <c r="A328" s="1272">
        <v>7000</v>
      </c>
      <c r="B328" s="971" t="s">
        <v>2420</v>
      </c>
      <c r="C328" s="1272">
        <v>7200</v>
      </c>
      <c r="D328" s="971" t="s">
        <v>119</v>
      </c>
      <c r="E328" s="971" t="s">
        <v>7010</v>
      </c>
      <c r="F328" s="971" t="s">
        <v>3600</v>
      </c>
      <c r="G328" s="971">
        <v>7245</v>
      </c>
      <c r="H328" s="971" t="s">
        <v>6602</v>
      </c>
      <c r="I328" s="1273" t="s">
        <v>7089</v>
      </c>
      <c r="J328" s="971" t="s">
        <v>2146</v>
      </c>
      <c r="K328" s="971" t="s">
        <v>2125</v>
      </c>
      <c r="L328" s="971" t="s">
        <v>2126</v>
      </c>
      <c r="M328" s="971" t="s">
        <v>2125</v>
      </c>
      <c r="N328" s="971" t="s">
        <v>176</v>
      </c>
      <c r="O328" s="971" t="s">
        <v>2126</v>
      </c>
      <c r="P328" s="971" t="s">
        <v>2289</v>
      </c>
      <c r="Q328" s="971" t="s">
        <v>7090</v>
      </c>
      <c r="R328" s="971" t="s">
        <v>5439</v>
      </c>
      <c r="S328" s="1274">
        <v>1</v>
      </c>
      <c r="T328" s="971" t="s">
        <v>242</v>
      </c>
      <c r="U328" s="1275">
        <v>13</v>
      </c>
      <c r="V328" s="1275">
        <v>120</v>
      </c>
      <c r="W328" s="1275">
        <v>1298.8739523809525</v>
      </c>
      <c r="X328" s="1275">
        <v>1200</v>
      </c>
      <c r="Y328" s="1275">
        <v>2618.8739523809527</v>
      </c>
      <c r="Z328" s="1129">
        <v>13</v>
      </c>
      <c r="AA328" s="1129">
        <v>120</v>
      </c>
      <c r="AB328" s="1129">
        <v>1298.8739523809525</v>
      </c>
      <c r="AC328" s="1129">
        <v>1200</v>
      </c>
      <c r="AD328" s="1098">
        <v>2618.8739523809527</v>
      </c>
      <c r="AE328" s="1135">
        <v>96</v>
      </c>
      <c r="AF328" s="1129">
        <v>96</v>
      </c>
      <c r="AG328" s="1127">
        <v>1</v>
      </c>
      <c r="AH328" s="1127">
        <v>0</v>
      </c>
      <c r="AI328" s="1127">
        <v>0</v>
      </c>
      <c r="AJ328" s="1127">
        <v>1</v>
      </c>
      <c r="AK328" s="1129">
        <v>2618.8739523809527</v>
      </c>
      <c r="AL328" s="1129">
        <v>0</v>
      </c>
      <c r="AM328" s="1129">
        <v>0</v>
      </c>
      <c r="AN328" s="1129">
        <v>2618.8739523809527</v>
      </c>
      <c r="AO328" s="1129" t="s">
        <v>131</v>
      </c>
      <c r="AP328" s="1129" t="s">
        <v>96</v>
      </c>
      <c r="AQ328" s="1157">
        <v>2014</v>
      </c>
      <c r="AR328" s="1129" t="s">
        <v>87</v>
      </c>
      <c r="AS328" s="1127">
        <v>0.33333333333333331</v>
      </c>
      <c r="AT328" s="1127"/>
      <c r="AU328" s="1127">
        <v>0.33333333333333331</v>
      </c>
      <c r="AV328" s="1127"/>
      <c r="AW328" s="1127"/>
      <c r="AX328" s="1127"/>
      <c r="AY328" s="1127"/>
      <c r="AZ328" s="1127">
        <v>0.33333333333333331</v>
      </c>
      <c r="BA328" s="1129">
        <v>872.95798412698423</v>
      </c>
      <c r="BB328" s="1129">
        <v>0</v>
      </c>
      <c r="BC328" s="1129">
        <v>872.95798412698423</v>
      </c>
      <c r="BD328" s="1129">
        <v>0</v>
      </c>
      <c r="BE328" s="1129">
        <v>0</v>
      </c>
      <c r="BF328" s="1129">
        <v>0</v>
      </c>
      <c r="BG328" s="1129">
        <v>0</v>
      </c>
      <c r="BH328" s="1129">
        <v>872.95798412698423</v>
      </c>
      <c r="BI328" s="971"/>
      <c r="BJ328" s="971"/>
      <c r="BK328" s="971"/>
      <c r="BL328" s="1246"/>
      <c r="BM328" s="1247" t="s">
        <v>2129</v>
      </c>
    </row>
    <row r="329" spans="1:65" s="1247" customFormat="1" ht="66" customHeight="1">
      <c r="A329" s="1272">
        <v>7000</v>
      </c>
      <c r="B329" s="971" t="s">
        <v>2420</v>
      </c>
      <c r="C329" s="1272">
        <v>7200</v>
      </c>
      <c r="D329" s="971" t="s">
        <v>119</v>
      </c>
      <c r="E329" s="971" t="s">
        <v>7010</v>
      </c>
      <c r="F329" s="971" t="s">
        <v>3600</v>
      </c>
      <c r="G329" s="971">
        <v>7245</v>
      </c>
      <c r="H329" s="971" t="s">
        <v>6602</v>
      </c>
      <c r="I329" s="1273" t="s">
        <v>7091</v>
      </c>
      <c r="J329" s="971" t="s">
        <v>2146</v>
      </c>
      <c r="K329" s="971" t="s">
        <v>2129</v>
      </c>
      <c r="L329" s="971" t="s">
        <v>2130</v>
      </c>
      <c r="M329" s="971" t="s">
        <v>2129</v>
      </c>
      <c r="N329" s="971" t="s">
        <v>176</v>
      </c>
      <c r="O329" s="971" t="s">
        <v>2130</v>
      </c>
      <c r="P329" s="971" t="s">
        <v>6619</v>
      </c>
      <c r="Q329" s="971" t="s">
        <v>7092</v>
      </c>
      <c r="R329" s="971" t="s">
        <v>5444</v>
      </c>
      <c r="S329" s="1274">
        <v>1</v>
      </c>
      <c r="T329" s="971" t="s">
        <v>242</v>
      </c>
      <c r="U329" s="1275">
        <v>6.666666666666667</v>
      </c>
      <c r="V329" s="1275">
        <v>25</v>
      </c>
      <c r="W329" s="1275">
        <v>666.08920634920639</v>
      </c>
      <c r="X329" s="1275">
        <v>250</v>
      </c>
      <c r="Y329" s="1275">
        <v>941.08920634920639</v>
      </c>
      <c r="Z329" s="1129">
        <v>6.666666666666667</v>
      </c>
      <c r="AA329" s="1129">
        <v>25</v>
      </c>
      <c r="AB329" s="1129">
        <v>666.08920634920639</v>
      </c>
      <c r="AC329" s="1129">
        <v>250</v>
      </c>
      <c r="AD329" s="1098">
        <v>941.08920634920639</v>
      </c>
      <c r="AE329" s="1135">
        <v>4</v>
      </c>
      <c r="AF329" s="1129">
        <v>4</v>
      </c>
      <c r="AG329" s="1127">
        <v>1</v>
      </c>
      <c r="AH329" s="1127">
        <v>0</v>
      </c>
      <c r="AI329" s="1127">
        <v>0</v>
      </c>
      <c r="AJ329" s="1127">
        <v>1</v>
      </c>
      <c r="AK329" s="1129">
        <v>941.08920634920639</v>
      </c>
      <c r="AL329" s="1129">
        <v>0</v>
      </c>
      <c r="AM329" s="1129">
        <v>0</v>
      </c>
      <c r="AN329" s="1129">
        <v>941.08920634920639</v>
      </c>
      <c r="AO329" s="1129" t="s">
        <v>131</v>
      </c>
      <c r="AP329" s="1129" t="s">
        <v>96</v>
      </c>
      <c r="AQ329" s="1157">
        <v>2014</v>
      </c>
      <c r="AR329" s="1129" t="s">
        <v>87</v>
      </c>
      <c r="AS329" s="1127">
        <v>0.33333333333333331</v>
      </c>
      <c r="AT329" s="1127"/>
      <c r="AU329" s="1127">
        <v>0.33333333333333331</v>
      </c>
      <c r="AV329" s="1127"/>
      <c r="AW329" s="1127"/>
      <c r="AX329" s="1127"/>
      <c r="AY329" s="1127"/>
      <c r="AZ329" s="1127">
        <v>0.33333333333333331</v>
      </c>
      <c r="BA329" s="1129">
        <v>313.69640211640211</v>
      </c>
      <c r="BB329" s="1129">
        <v>0</v>
      </c>
      <c r="BC329" s="1129">
        <v>313.69640211640211</v>
      </c>
      <c r="BD329" s="1129">
        <v>0</v>
      </c>
      <c r="BE329" s="1129">
        <v>0</v>
      </c>
      <c r="BF329" s="1129">
        <v>0</v>
      </c>
      <c r="BG329" s="1129">
        <v>0</v>
      </c>
      <c r="BH329" s="1129">
        <v>313.69640211640211</v>
      </c>
      <c r="BI329" s="971"/>
      <c r="BJ329" s="971"/>
      <c r="BK329" s="971"/>
      <c r="BL329" s="1246"/>
      <c r="BM329" s="1247" t="s">
        <v>2129</v>
      </c>
    </row>
    <row r="330" spans="1:65" s="1247" customFormat="1" ht="66" customHeight="1">
      <c r="A330" s="1272">
        <v>7000</v>
      </c>
      <c r="B330" s="971" t="s">
        <v>2420</v>
      </c>
      <c r="C330" s="1272">
        <v>7200</v>
      </c>
      <c r="D330" s="971" t="s">
        <v>119</v>
      </c>
      <c r="E330" s="971" t="s">
        <v>7010</v>
      </c>
      <c r="F330" s="971" t="s">
        <v>3600</v>
      </c>
      <c r="G330" s="971">
        <v>7245</v>
      </c>
      <c r="H330" s="971" t="s">
        <v>6602</v>
      </c>
      <c r="I330" s="1273" t="s">
        <v>7093</v>
      </c>
      <c r="J330" s="971" t="s">
        <v>2146</v>
      </c>
      <c r="K330" s="971" t="s">
        <v>2129</v>
      </c>
      <c r="L330" s="971" t="s">
        <v>2130</v>
      </c>
      <c r="M330" s="971" t="s">
        <v>2129</v>
      </c>
      <c r="N330" s="971" t="s">
        <v>176</v>
      </c>
      <c r="O330" s="971" t="s">
        <v>2130</v>
      </c>
      <c r="P330" s="971" t="s">
        <v>6619</v>
      </c>
      <c r="Q330" s="971" t="s">
        <v>7092</v>
      </c>
      <c r="R330" s="971" t="s">
        <v>5449</v>
      </c>
      <c r="S330" s="1274">
        <v>1</v>
      </c>
      <c r="T330" s="971" t="s">
        <v>242</v>
      </c>
      <c r="U330" s="1275">
        <v>6.666666666666667</v>
      </c>
      <c r="V330" s="1275">
        <v>25</v>
      </c>
      <c r="W330" s="1275">
        <v>666.08920634920639</v>
      </c>
      <c r="X330" s="1275">
        <v>250</v>
      </c>
      <c r="Y330" s="1275">
        <v>941.08920634920639</v>
      </c>
      <c r="Z330" s="1129">
        <v>6.666666666666667</v>
      </c>
      <c r="AA330" s="1129">
        <v>25</v>
      </c>
      <c r="AB330" s="1129">
        <v>666.08920634920639</v>
      </c>
      <c r="AC330" s="1129">
        <v>250</v>
      </c>
      <c r="AD330" s="1098">
        <v>941.08920634920639</v>
      </c>
      <c r="AE330" s="1135">
        <v>4</v>
      </c>
      <c r="AF330" s="1129">
        <v>4</v>
      </c>
      <c r="AG330" s="1127">
        <v>1</v>
      </c>
      <c r="AH330" s="1127">
        <v>0</v>
      </c>
      <c r="AI330" s="1127">
        <v>0</v>
      </c>
      <c r="AJ330" s="1127">
        <v>1</v>
      </c>
      <c r="AK330" s="1129">
        <v>941.08920634920639</v>
      </c>
      <c r="AL330" s="1129">
        <v>0</v>
      </c>
      <c r="AM330" s="1129">
        <v>0</v>
      </c>
      <c r="AN330" s="1129">
        <v>941.08920634920639</v>
      </c>
      <c r="AO330" s="1129" t="s">
        <v>131</v>
      </c>
      <c r="AP330" s="1129" t="s">
        <v>96</v>
      </c>
      <c r="AQ330" s="1157">
        <v>2014</v>
      </c>
      <c r="AR330" s="1129" t="s">
        <v>87</v>
      </c>
      <c r="AS330" s="1127">
        <v>0.33333333333333331</v>
      </c>
      <c r="AT330" s="1127"/>
      <c r="AU330" s="1127">
        <v>0.33333333333333331</v>
      </c>
      <c r="AV330" s="1127"/>
      <c r="AW330" s="1127"/>
      <c r="AX330" s="1127"/>
      <c r="AY330" s="1127"/>
      <c r="AZ330" s="1127">
        <v>0.33333333333333331</v>
      </c>
      <c r="BA330" s="1129">
        <v>313.69640211640211</v>
      </c>
      <c r="BB330" s="1129">
        <v>0</v>
      </c>
      <c r="BC330" s="1129">
        <v>313.69640211640211</v>
      </c>
      <c r="BD330" s="1129">
        <v>0</v>
      </c>
      <c r="BE330" s="1129">
        <v>0</v>
      </c>
      <c r="BF330" s="1129">
        <v>0</v>
      </c>
      <c r="BG330" s="1129">
        <v>0</v>
      </c>
      <c r="BH330" s="1129">
        <v>313.69640211640211</v>
      </c>
      <c r="BI330" s="971"/>
      <c r="BJ330" s="971"/>
      <c r="BK330" s="971"/>
      <c r="BL330" s="1246"/>
      <c r="BM330" s="1247" t="s">
        <v>2129</v>
      </c>
    </row>
    <row r="331" spans="1:65" s="1247" customFormat="1" ht="82.5" customHeight="1">
      <c r="A331" s="1272">
        <v>7000</v>
      </c>
      <c r="B331" s="971" t="s">
        <v>2420</v>
      </c>
      <c r="C331" s="1272">
        <v>7200</v>
      </c>
      <c r="D331" s="971" t="s">
        <v>119</v>
      </c>
      <c r="E331" s="971" t="s">
        <v>7010</v>
      </c>
      <c r="F331" s="971" t="s">
        <v>3600</v>
      </c>
      <c r="G331" s="971">
        <v>7245</v>
      </c>
      <c r="H331" s="971" t="s">
        <v>6602</v>
      </c>
      <c r="I331" s="1273" t="s">
        <v>7094</v>
      </c>
      <c r="J331" s="971" t="s">
        <v>2146</v>
      </c>
      <c r="K331" s="971" t="s">
        <v>2129</v>
      </c>
      <c r="L331" s="971" t="s">
        <v>2130</v>
      </c>
      <c r="M331" s="971" t="s">
        <v>2129</v>
      </c>
      <c r="N331" s="971" t="s">
        <v>176</v>
      </c>
      <c r="O331" s="971" t="s">
        <v>2130</v>
      </c>
      <c r="P331" s="971" t="s">
        <v>6619</v>
      </c>
      <c r="Q331" s="971" t="s">
        <v>7092</v>
      </c>
      <c r="R331" s="971" t="s">
        <v>5450</v>
      </c>
      <c r="S331" s="1274">
        <v>1</v>
      </c>
      <c r="T331" s="971" t="s">
        <v>242</v>
      </c>
      <c r="U331" s="1275">
        <v>6.666666666666667</v>
      </c>
      <c r="V331" s="1275">
        <v>25</v>
      </c>
      <c r="W331" s="1275">
        <v>666.08920634920639</v>
      </c>
      <c r="X331" s="1275">
        <v>250</v>
      </c>
      <c r="Y331" s="1275">
        <v>941.08920634920639</v>
      </c>
      <c r="Z331" s="1129">
        <v>6.666666666666667</v>
      </c>
      <c r="AA331" s="1129">
        <v>25</v>
      </c>
      <c r="AB331" s="1129">
        <v>666.08920634920639</v>
      </c>
      <c r="AC331" s="1129">
        <v>250</v>
      </c>
      <c r="AD331" s="1098">
        <v>941.08920634920639</v>
      </c>
      <c r="AE331" s="1135">
        <v>4</v>
      </c>
      <c r="AF331" s="1129">
        <v>4</v>
      </c>
      <c r="AG331" s="1127">
        <v>1</v>
      </c>
      <c r="AH331" s="1127">
        <v>0</v>
      </c>
      <c r="AI331" s="1127">
        <v>0</v>
      </c>
      <c r="AJ331" s="1127">
        <v>1</v>
      </c>
      <c r="AK331" s="1129">
        <v>941.08920634920639</v>
      </c>
      <c r="AL331" s="1129">
        <v>0</v>
      </c>
      <c r="AM331" s="1129">
        <v>0</v>
      </c>
      <c r="AN331" s="1129">
        <v>941.08920634920639</v>
      </c>
      <c r="AO331" s="1129" t="s">
        <v>131</v>
      </c>
      <c r="AP331" s="1129" t="s">
        <v>96</v>
      </c>
      <c r="AQ331" s="1157">
        <v>2014</v>
      </c>
      <c r="AR331" s="1129" t="s">
        <v>87</v>
      </c>
      <c r="AS331" s="1127">
        <v>0.33333333333333331</v>
      </c>
      <c r="AT331" s="1127"/>
      <c r="AU331" s="1127">
        <v>0.33333333333333331</v>
      </c>
      <c r="AV331" s="1127"/>
      <c r="AW331" s="1127"/>
      <c r="AX331" s="1127"/>
      <c r="AY331" s="1127"/>
      <c r="AZ331" s="1127">
        <v>0.33333333333333331</v>
      </c>
      <c r="BA331" s="1129">
        <v>313.69640211640211</v>
      </c>
      <c r="BB331" s="1129">
        <v>0</v>
      </c>
      <c r="BC331" s="1129">
        <v>313.69640211640211</v>
      </c>
      <c r="BD331" s="1129">
        <v>0</v>
      </c>
      <c r="BE331" s="1129">
        <v>0</v>
      </c>
      <c r="BF331" s="1129">
        <v>0</v>
      </c>
      <c r="BG331" s="1129">
        <v>0</v>
      </c>
      <c r="BH331" s="1129">
        <v>313.69640211640211</v>
      </c>
      <c r="BI331" s="971"/>
      <c r="BJ331" s="971"/>
      <c r="BK331" s="971"/>
      <c r="BL331" s="1246"/>
      <c r="BM331" s="1247" t="s">
        <v>2125</v>
      </c>
    </row>
    <row r="332" spans="1:65" s="1247" customFormat="1" ht="82.5" customHeight="1">
      <c r="A332" s="1272">
        <v>7000</v>
      </c>
      <c r="B332" s="971" t="s">
        <v>2420</v>
      </c>
      <c r="C332" s="1272">
        <v>7300</v>
      </c>
      <c r="D332" s="971" t="s">
        <v>1072</v>
      </c>
      <c r="E332" s="1272">
        <v>7340</v>
      </c>
      <c r="F332" s="971" t="s">
        <v>3600</v>
      </c>
      <c r="G332" s="971">
        <v>7340</v>
      </c>
      <c r="H332" s="971" t="s">
        <v>3600</v>
      </c>
      <c r="I332" s="965" t="s">
        <v>7095</v>
      </c>
      <c r="J332" s="1128" t="s">
        <v>2146</v>
      </c>
      <c r="K332" s="1128" t="s">
        <v>2127</v>
      </c>
      <c r="L332" s="971" t="s">
        <v>2177</v>
      </c>
      <c r="M332" s="1128" t="s">
        <v>2127</v>
      </c>
      <c r="N332" s="971" t="s">
        <v>176</v>
      </c>
      <c r="O332" s="971" t="s">
        <v>2177</v>
      </c>
      <c r="P332" s="971" t="s">
        <v>6646</v>
      </c>
      <c r="Q332" s="971" t="s">
        <v>7096</v>
      </c>
      <c r="R332" s="971" t="s">
        <v>5452</v>
      </c>
      <c r="S332" s="1274">
        <v>1</v>
      </c>
      <c r="T332" s="971" t="s">
        <v>242</v>
      </c>
      <c r="U332" s="1275">
        <v>10</v>
      </c>
      <c r="V332" s="1275">
        <v>45</v>
      </c>
      <c r="W332" s="1275">
        <v>999.13380952380965</v>
      </c>
      <c r="X332" s="1275">
        <v>450</v>
      </c>
      <c r="Y332" s="1275">
        <v>1494.1338095238098</v>
      </c>
      <c r="Z332" s="1129">
        <v>10</v>
      </c>
      <c r="AA332" s="1129">
        <v>45</v>
      </c>
      <c r="AB332" s="1129">
        <v>999.13380952380965</v>
      </c>
      <c r="AC332" s="1129">
        <v>450</v>
      </c>
      <c r="AD332" s="1098">
        <v>1494.1338095238098</v>
      </c>
      <c r="AE332" s="1236">
        <v>24</v>
      </c>
      <c r="AF332" s="992">
        <v>24</v>
      </c>
      <c r="AG332" s="1127">
        <v>1</v>
      </c>
      <c r="AH332" s="1127">
        <v>0</v>
      </c>
      <c r="AI332" s="1127">
        <v>0</v>
      </c>
      <c r="AJ332" s="1127">
        <v>1</v>
      </c>
      <c r="AK332" s="1129">
        <v>1494.1338095238098</v>
      </c>
      <c r="AL332" s="1129">
        <v>0</v>
      </c>
      <c r="AM332" s="1129">
        <v>0</v>
      </c>
      <c r="AN332" s="1129">
        <v>1494.1338095238098</v>
      </c>
      <c r="AO332" s="1129" t="s">
        <v>85</v>
      </c>
      <c r="AP332" s="1129" t="s">
        <v>96</v>
      </c>
      <c r="AQ332" s="1261">
        <v>2014</v>
      </c>
      <c r="AR332" s="1129" t="s">
        <v>87</v>
      </c>
      <c r="AS332" s="1127">
        <v>0.33333333333333331</v>
      </c>
      <c r="AT332" s="1127"/>
      <c r="AU332" s="1127">
        <v>0.33333333333333331</v>
      </c>
      <c r="AV332" s="1127"/>
      <c r="AW332" s="1127"/>
      <c r="AX332" s="1127"/>
      <c r="AY332" s="1127"/>
      <c r="AZ332" s="1127">
        <v>0.33333333333333331</v>
      </c>
      <c r="BA332" s="1129">
        <v>498.04460317460325</v>
      </c>
      <c r="BB332" s="1129">
        <v>0</v>
      </c>
      <c r="BC332" s="1129">
        <v>498.04460317460325</v>
      </c>
      <c r="BD332" s="1129">
        <v>0</v>
      </c>
      <c r="BE332" s="1129">
        <v>0</v>
      </c>
      <c r="BF332" s="1129">
        <v>0</v>
      </c>
      <c r="BG332" s="1129">
        <v>0</v>
      </c>
      <c r="BH332" s="1129">
        <v>498.04460317460325</v>
      </c>
      <c r="BI332" s="1128"/>
      <c r="BJ332" s="1128"/>
      <c r="BK332" s="1128"/>
      <c r="BL332" s="1246"/>
      <c r="BM332" s="1247" t="s">
        <v>2125</v>
      </c>
    </row>
    <row r="333" spans="1:65" s="1247" customFormat="1" ht="82.5" customHeight="1">
      <c r="A333" s="1272">
        <v>7000</v>
      </c>
      <c r="B333" s="971" t="s">
        <v>2420</v>
      </c>
      <c r="C333" s="1272">
        <v>7300</v>
      </c>
      <c r="D333" s="971" t="s">
        <v>1072</v>
      </c>
      <c r="E333" s="1272">
        <v>7340</v>
      </c>
      <c r="F333" s="971" t="s">
        <v>3600</v>
      </c>
      <c r="G333" s="971">
        <v>7340</v>
      </c>
      <c r="H333" s="971" t="s">
        <v>3600</v>
      </c>
      <c r="I333" s="1273" t="s">
        <v>7097</v>
      </c>
      <c r="J333" s="971" t="s">
        <v>2146</v>
      </c>
      <c r="K333" s="971" t="s">
        <v>2127</v>
      </c>
      <c r="L333" s="971" t="s">
        <v>2177</v>
      </c>
      <c r="M333" s="971" t="s">
        <v>2127</v>
      </c>
      <c r="N333" s="971" t="s">
        <v>176</v>
      </c>
      <c r="O333" s="971" t="s">
        <v>2177</v>
      </c>
      <c r="P333" s="971" t="s">
        <v>6646</v>
      </c>
      <c r="Q333" s="971" t="s">
        <v>7096</v>
      </c>
      <c r="R333" s="971" t="s">
        <v>5457</v>
      </c>
      <c r="S333" s="1274">
        <v>1</v>
      </c>
      <c r="T333" s="971" t="s">
        <v>242</v>
      </c>
      <c r="U333" s="1275">
        <v>10</v>
      </c>
      <c r="V333" s="1275">
        <v>45</v>
      </c>
      <c r="W333" s="1275">
        <v>999.13380952380965</v>
      </c>
      <c r="X333" s="1275">
        <v>450</v>
      </c>
      <c r="Y333" s="1275">
        <v>1494.1338095238098</v>
      </c>
      <c r="Z333" s="1129">
        <v>10</v>
      </c>
      <c r="AA333" s="1129">
        <v>45</v>
      </c>
      <c r="AB333" s="1129">
        <v>999.13380952380965</v>
      </c>
      <c r="AC333" s="1129">
        <v>450</v>
      </c>
      <c r="AD333" s="1098">
        <v>1494.1338095238098</v>
      </c>
      <c r="AE333" s="1135">
        <v>24</v>
      </c>
      <c r="AF333" s="1129">
        <v>24</v>
      </c>
      <c r="AG333" s="1127">
        <v>1</v>
      </c>
      <c r="AH333" s="1127">
        <v>0</v>
      </c>
      <c r="AI333" s="1127">
        <v>0</v>
      </c>
      <c r="AJ333" s="1127">
        <v>1</v>
      </c>
      <c r="AK333" s="1129">
        <v>1494.1338095238098</v>
      </c>
      <c r="AL333" s="1129">
        <v>0</v>
      </c>
      <c r="AM333" s="1129">
        <v>0</v>
      </c>
      <c r="AN333" s="1129">
        <v>1494.1338095238098</v>
      </c>
      <c r="AO333" s="1129" t="s">
        <v>85</v>
      </c>
      <c r="AP333" s="1129" t="s">
        <v>96</v>
      </c>
      <c r="AQ333" s="1261">
        <v>2014</v>
      </c>
      <c r="AR333" s="1129" t="s">
        <v>87</v>
      </c>
      <c r="AS333" s="1127">
        <v>0.33333333333333331</v>
      </c>
      <c r="AT333" s="1127"/>
      <c r="AU333" s="1127">
        <v>0.33333333333333331</v>
      </c>
      <c r="AV333" s="1127"/>
      <c r="AW333" s="1127"/>
      <c r="AX333" s="1127"/>
      <c r="AY333" s="1127"/>
      <c r="AZ333" s="1127">
        <v>0.33333333333333331</v>
      </c>
      <c r="BA333" s="1129">
        <v>498.04460317460325</v>
      </c>
      <c r="BB333" s="1129">
        <v>0</v>
      </c>
      <c r="BC333" s="1129">
        <v>498.04460317460325</v>
      </c>
      <c r="BD333" s="1129">
        <v>0</v>
      </c>
      <c r="BE333" s="1129">
        <v>0</v>
      </c>
      <c r="BF333" s="1129">
        <v>0</v>
      </c>
      <c r="BG333" s="1129">
        <v>0</v>
      </c>
      <c r="BH333" s="1129">
        <v>498.04460317460325</v>
      </c>
      <c r="BI333" s="971"/>
      <c r="BJ333" s="971"/>
      <c r="BK333" s="971"/>
      <c r="BL333" s="1246"/>
      <c r="BM333" s="1247" t="s">
        <v>2125</v>
      </c>
    </row>
    <row r="334" spans="1:65" s="1247" customFormat="1" ht="82.5" customHeight="1">
      <c r="A334" s="1272">
        <v>7000</v>
      </c>
      <c r="B334" s="971" t="s">
        <v>2420</v>
      </c>
      <c r="C334" s="1272">
        <v>7300</v>
      </c>
      <c r="D334" s="971" t="s">
        <v>1072</v>
      </c>
      <c r="E334" s="1272">
        <v>7340</v>
      </c>
      <c r="F334" s="971" t="s">
        <v>3600</v>
      </c>
      <c r="G334" s="971">
        <v>7340</v>
      </c>
      <c r="H334" s="971" t="s">
        <v>3600</v>
      </c>
      <c r="I334" s="1273" t="s">
        <v>7098</v>
      </c>
      <c r="J334" s="971" t="s">
        <v>2146</v>
      </c>
      <c r="K334" s="971" t="s">
        <v>2127</v>
      </c>
      <c r="L334" s="971" t="s">
        <v>2177</v>
      </c>
      <c r="M334" s="971" t="s">
        <v>2127</v>
      </c>
      <c r="N334" s="971" t="s">
        <v>176</v>
      </c>
      <c r="O334" s="971" t="s">
        <v>2177</v>
      </c>
      <c r="P334" s="971" t="s">
        <v>6646</v>
      </c>
      <c r="Q334" s="971" t="s">
        <v>7096</v>
      </c>
      <c r="R334" s="971" t="s">
        <v>5458</v>
      </c>
      <c r="S334" s="1274">
        <v>1</v>
      </c>
      <c r="T334" s="971" t="s">
        <v>242</v>
      </c>
      <c r="U334" s="1275">
        <v>10</v>
      </c>
      <c r="V334" s="1275">
        <v>45</v>
      </c>
      <c r="W334" s="1275">
        <v>999.13380952380965</v>
      </c>
      <c r="X334" s="1275">
        <v>450</v>
      </c>
      <c r="Y334" s="1275">
        <v>1494.1338095238098</v>
      </c>
      <c r="Z334" s="1129">
        <v>10</v>
      </c>
      <c r="AA334" s="1129">
        <v>45</v>
      </c>
      <c r="AB334" s="1129">
        <v>999.13380952380965</v>
      </c>
      <c r="AC334" s="1129">
        <v>450</v>
      </c>
      <c r="AD334" s="1098">
        <v>1494.1338095238098</v>
      </c>
      <c r="AE334" s="1135">
        <v>24</v>
      </c>
      <c r="AF334" s="1129">
        <v>24</v>
      </c>
      <c r="AG334" s="1127">
        <v>1</v>
      </c>
      <c r="AH334" s="1127">
        <v>0</v>
      </c>
      <c r="AI334" s="1127">
        <v>0</v>
      </c>
      <c r="AJ334" s="1127">
        <v>1</v>
      </c>
      <c r="AK334" s="1129">
        <v>1494.1338095238098</v>
      </c>
      <c r="AL334" s="1129">
        <v>0</v>
      </c>
      <c r="AM334" s="1129">
        <v>0</v>
      </c>
      <c r="AN334" s="1129">
        <v>1494.1338095238098</v>
      </c>
      <c r="AO334" s="1129" t="s">
        <v>85</v>
      </c>
      <c r="AP334" s="1129" t="s">
        <v>96</v>
      </c>
      <c r="AQ334" s="1261">
        <v>2014</v>
      </c>
      <c r="AR334" s="1129" t="s">
        <v>87</v>
      </c>
      <c r="AS334" s="1127">
        <v>0.33333333333333331</v>
      </c>
      <c r="AT334" s="1127"/>
      <c r="AU334" s="1127">
        <v>0.33333333333333331</v>
      </c>
      <c r="AV334" s="1127"/>
      <c r="AW334" s="1127"/>
      <c r="AX334" s="1127"/>
      <c r="AY334" s="1127"/>
      <c r="AZ334" s="1127">
        <v>0.33333333333333331</v>
      </c>
      <c r="BA334" s="1129">
        <v>498.04460317460325</v>
      </c>
      <c r="BB334" s="1129">
        <v>0</v>
      </c>
      <c r="BC334" s="1129">
        <v>498.04460317460325</v>
      </c>
      <c r="BD334" s="1129">
        <v>0</v>
      </c>
      <c r="BE334" s="1129">
        <v>0</v>
      </c>
      <c r="BF334" s="1129">
        <v>0</v>
      </c>
      <c r="BG334" s="1129">
        <v>0</v>
      </c>
      <c r="BH334" s="1129">
        <v>498.04460317460325</v>
      </c>
      <c r="BI334" s="971"/>
      <c r="BJ334" s="971"/>
      <c r="BK334" s="971"/>
      <c r="BL334" s="1246"/>
      <c r="BM334" s="1247" t="s">
        <v>2125</v>
      </c>
    </row>
    <row r="335" spans="1:65" s="1247" customFormat="1" ht="82.5" customHeight="1">
      <c r="A335" s="1272">
        <v>7000</v>
      </c>
      <c r="B335" s="971" t="s">
        <v>2420</v>
      </c>
      <c r="C335" s="1272">
        <v>7300</v>
      </c>
      <c r="D335" s="971" t="s">
        <v>1072</v>
      </c>
      <c r="E335" s="1272">
        <v>7340</v>
      </c>
      <c r="F335" s="971" t="s">
        <v>3600</v>
      </c>
      <c r="G335" s="971">
        <v>7340</v>
      </c>
      <c r="H335" s="971" t="s">
        <v>3600</v>
      </c>
      <c r="I335" s="1273" t="s">
        <v>7099</v>
      </c>
      <c r="J335" s="971" t="s">
        <v>2146</v>
      </c>
      <c r="K335" s="971" t="s">
        <v>2125</v>
      </c>
      <c r="L335" s="971" t="s">
        <v>2126</v>
      </c>
      <c r="M335" s="971" t="s">
        <v>2125</v>
      </c>
      <c r="N335" s="971" t="s">
        <v>176</v>
      </c>
      <c r="O335" s="971" t="s">
        <v>2126</v>
      </c>
      <c r="P335" s="971" t="s">
        <v>6655</v>
      </c>
      <c r="Q335" s="971" t="s">
        <v>7100</v>
      </c>
      <c r="R335" s="971" t="s">
        <v>5461</v>
      </c>
      <c r="S335" s="1274">
        <v>1</v>
      </c>
      <c r="T335" s="971" t="s">
        <v>242</v>
      </c>
      <c r="U335" s="1275">
        <v>13</v>
      </c>
      <c r="V335" s="1275">
        <v>120</v>
      </c>
      <c r="W335" s="1275">
        <v>1298.8739523809525</v>
      </c>
      <c r="X335" s="1275">
        <v>1200</v>
      </c>
      <c r="Y335" s="1275">
        <v>2618.8739523809527</v>
      </c>
      <c r="Z335" s="1129">
        <v>13</v>
      </c>
      <c r="AA335" s="1129">
        <v>120</v>
      </c>
      <c r="AB335" s="1129">
        <v>1298.8739523809525</v>
      </c>
      <c r="AC335" s="1129">
        <v>1200</v>
      </c>
      <c r="AD335" s="1098">
        <v>2618.8739523809527</v>
      </c>
      <c r="AE335" s="1135">
        <v>96</v>
      </c>
      <c r="AF335" s="1129">
        <v>96</v>
      </c>
      <c r="AG335" s="1127">
        <v>1</v>
      </c>
      <c r="AH335" s="1127">
        <v>0</v>
      </c>
      <c r="AI335" s="1127">
        <v>0</v>
      </c>
      <c r="AJ335" s="1127">
        <v>1</v>
      </c>
      <c r="AK335" s="1129">
        <v>2618.8739523809527</v>
      </c>
      <c r="AL335" s="1129">
        <v>0</v>
      </c>
      <c r="AM335" s="1129">
        <v>0</v>
      </c>
      <c r="AN335" s="1129">
        <v>2618.8739523809527</v>
      </c>
      <c r="AO335" s="1129" t="s">
        <v>85</v>
      </c>
      <c r="AP335" s="1129" t="s">
        <v>96</v>
      </c>
      <c r="AQ335" s="1261">
        <v>2014</v>
      </c>
      <c r="AR335" s="1129" t="s">
        <v>87</v>
      </c>
      <c r="AS335" s="1127">
        <v>0.33333333333333331</v>
      </c>
      <c r="AT335" s="1127"/>
      <c r="AU335" s="1127">
        <v>0.33333333333333331</v>
      </c>
      <c r="AV335" s="1127"/>
      <c r="AW335" s="1127"/>
      <c r="AX335" s="1127"/>
      <c r="AY335" s="1127"/>
      <c r="AZ335" s="1127">
        <v>0.33333333333333331</v>
      </c>
      <c r="BA335" s="1129">
        <v>872.95798412698423</v>
      </c>
      <c r="BB335" s="1129">
        <v>0</v>
      </c>
      <c r="BC335" s="1129">
        <v>872.95798412698423</v>
      </c>
      <c r="BD335" s="1129">
        <v>0</v>
      </c>
      <c r="BE335" s="1129">
        <v>0</v>
      </c>
      <c r="BF335" s="1129">
        <v>0</v>
      </c>
      <c r="BG335" s="1129">
        <v>0</v>
      </c>
      <c r="BH335" s="1129">
        <v>872.95798412698423</v>
      </c>
      <c r="BI335" s="971"/>
      <c r="BJ335" s="971"/>
      <c r="BK335" s="971"/>
      <c r="BL335" s="1246"/>
      <c r="BM335" s="1247" t="s">
        <v>2125</v>
      </c>
    </row>
    <row r="336" spans="1:65" s="1247" customFormat="1" ht="82.5" customHeight="1">
      <c r="A336" s="1272">
        <v>7000</v>
      </c>
      <c r="B336" s="971" t="s">
        <v>2420</v>
      </c>
      <c r="C336" s="1272">
        <v>7300</v>
      </c>
      <c r="D336" s="971" t="s">
        <v>1072</v>
      </c>
      <c r="E336" s="1272">
        <v>7340</v>
      </c>
      <c r="F336" s="971" t="s">
        <v>3600</v>
      </c>
      <c r="G336" s="971">
        <v>7340</v>
      </c>
      <c r="H336" s="971" t="s">
        <v>3600</v>
      </c>
      <c r="I336" s="1273" t="s">
        <v>7101</v>
      </c>
      <c r="J336" s="971" t="s">
        <v>2146</v>
      </c>
      <c r="K336" s="971" t="s">
        <v>2127</v>
      </c>
      <c r="L336" s="971" t="s">
        <v>2177</v>
      </c>
      <c r="M336" s="971" t="s">
        <v>2127</v>
      </c>
      <c r="N336" s="971" t="s">
        <v>176</v>
      </c>
      <c r="O336" s="971" t="s">
        <v>2177</v>
      </c>
      <c r="P336" s="971" t="s">
        <v>7102</v>
      </c>
      <c r="Q336" s="971" t="s">
        <v>7103</v>
      </c>
      <c r="R336" s="971" t="s">
        <v>5463</v>
      </c>
      <c r="S336" s="1274">
        <v>1</v>
      </c>
      <c r="T336" s="971" t="s">
        <v>242</v>
      </c>
      <c r="U336" s="1275">
        <v>10</v>
      </c>
      <c r="V336" s="1275">
        <v>45</v>
      </c>
      <c r="W336" s="1275">
        <v>999.13380952380965</v>
      </c>
      <c r="X336" s="1275">
        <v>450</v>
      </c>
      <c r="Y336" s="1275">
        <v>1494.1338095238098</v>
      </c>
      <c r="Z336" s="1129">
        <v>10</v>
      </c>
      <c r="AA336" s="1129">
        <v>45</v>
      </c>
      <c r="AB336" s="1129">
        <v>999.13380952380965</v>
      </c>
      <c r="AC336" s="1129">
        <v>450</v>
      </c>
      <c r="AD336" s="1098">
        <v>1494.1338095238098</v>
      </c>
      <c r="AE336" s="1135">
        <v>24</v>
      </c>
      <c r="AF336" s="1129">
        <v>24</v>
      </c>
      <c r="AG336" s="1127">
        <v>1</v>
      </c>
      <c r="AH336" s="1127">
        <v>0</v>
      </c>
      <c r="AI336" s="1127">
        <v>0</v>
      </c>
      <c r="AJ336" s="1127">
        <v>1</v>
      </c>
      <c r="AK336" s="1129">
        <v>1494.1338095238098</v>
      </c>
      <c r="AL336" s="1129">
        <v>0</v>
      </c>
      <c r="AM336" s="1129">
        <v>0</v>
      </c>
      <c r="AN336" s="1129">
        <v>1494.1338095238098</v>
      </c>
      <c r="AO336" s="1129" t="s">
        <v>85</v>
      </c>
      <c r="AP336" s="1129" t="s">
        <v>96</v>
      </c>
      <c r="AQ336" s="1261">
        <v>2014</v>
      </c>
      <c r="AR336" s="1129" t="s">
        <v>87</v>
      </c>
      <c r="AS336" s="1127">
        <v>0.33333333333333331</v>
      </c>
      <c r="AT336" s="1127"/>
      <c r="AU336" s="1127">
        <v>0.33333333333333331</v>
      </c>
      <c r="AV336" s="1127"/>
      <c r="AW336" s="1127"/>
      <c r="AX336" s="1127"/>
      <c r="AY336" s="1127"/>
      <c r="AZ336" s="1127">
        <v>0.33333333333333331</v>
      </c>
      <c r="BA336" s="1129">
        <v>498.04460317460325</v>
      </c>
      <c r="BB336" s="1129">
        <v>0</v>
      </c>
      <c r="BC336" s="1129">
        <v>498.04460317460325</v>
      </c>
      <c r="BD336" s="1129">
        <v>0</v>
      </c>
      <c r="BE336" s="1129">
        <v>0</v>
      </c>
      <c r="BF336" s="1129">
        <v>0</v>
      </c>
      <c r="BG336" s="1129">
        <v>0</v>
      </c>
      <c r="BH336" s="1129">
        <v>498.04460317460325</v>
      </c>
      <c r="BI336" s="971"/>
      <c r="BJ336" s="971"/>
      <c r="BK336" s="971"/>
      <c r="BL336" s="1246"/>
      <c r="BM336" s="1247" t="s">
        <v>2125</v>
      </c>
    </row>
    <row r="337" spans="1:65" s="1247" customFormat="1" ht="82.5" customHeight="1">
      <c r="A337" s="1272">
        <v>7000</v>
      </c>
      <c r="B337" s="971" t="s">
        <v>2420</v>
      </c>
      <c r="C337" s="1272">
        <v>7300</v>
      </c>
      <c r="D337" s="971" t="s">
        <v>1072</v>
      </c>
      <c r="E337" s="1272">
        <v>7340</v>
      </c>
      <c r="F337" s="971" t="s">
        <v>3600</v>
      </c>
      <c r="G337" s="971">
        <v>7340</v>
      </c>
      <c r="H337" s="971" t="s">
        <v>3600</v>
      </c>
      <c r="I337" s="1273" t="s">
        <v>7104</v>
      </c>
      <c r="J337" s="971" t="s">
        <v>2146</v>
      </c>
      <c r="K337" s="971" t="s">
        <v>2127</v>
      </c>
      <c r="L337" s="971" t="s">
        <v>2177</v>
      </c>
      <c r="M337" s="971" t="s">
        <v>2127</v>
      </c>
      <c r="N337" s="971" t="s">
        <v>176</v>
      </c>
      <c r="O337" s="971" t="s">
        <v>2177</v>
      </c>
      <c r="P337" s="971" t="s">
        <v>7102</v>
      </c>
      <c r="Q337" s="971" t="s">
        <v>7105</v>
      </c>
      <c r="R337" s="971" t="s">
        <v>5469</v>
      </c>
      <c r="S337" s="1274">
        <v>1</v>
      </c>
      <c r="T337" s="971" t="s">
        <v>242</v>
      </c>
      <c r="U337" s="1275">
        <v>10</v>
      </c>
      <c r="V337" s="1275">
        <v>45</v>
      </c>
      <c r="W337" s="1275">
        <v>999.13380952380965</v>
      </c>
      <c r="X337" s="1275">
        <v>450</v>
      </c>
      <c r="Y337" s="1275">
        <v>1494.1338095238098</v>
      </c>
      <c r="Z337" s="1129">
        <v>10</v>
      </c>
      <c r="AA337" s="1129">
        <v>45</v>
      </c>
      <c r="AB337" s="1129">
        <v>999.13380952380965</v>
      </c>
      <c r="AC337" s="1129">
        <v>450</v>
      </c>
      <c r="AD337" s="1098">
        <v>1494.1338095238098</v>
      </c>
      <c r="AE337" s="1135">
        <v>24</v>
      </c>
      <c r="AF337" s="1129">
        <v>24</v>
      </c>
      <c r="AG337" s="1127">
        <v>1</v>
      </c>
      <c r="AH337" s="1127">
        <v>0</v>
      </c>
      <c r="AI337" s="1127">
        <v>0</v>
      </c>
      <c r="AJ337" s="1127">
        <v>1</v>
      </c>
      <c r="AK337" s="1129">
        <v>1494.1338095238098</v>
      </c>
      <c r="AL337" s="1129">
        <v>0</v>
      </c>
      <c r="AM337" s="1129">
        <v>0</v>
      </c>
      <c r="AN337" s="1129">
        <v>1494.1338095238098</v>
      </c>
      <c r="AO337" s="1129" t="s">
        <v>85</v>
      </c>
      <c r="AP337" s="1129" t="s">
        <v>96</v>
      </c>
      <c r="AQ337" s="1261">
        <v>2014</v>
      </c>
      <c r="AR337" s="1129" t="s">
        <v>87</v>
      </c>
      <c r="AS337" s="1127">
        <v>0.33333333333333331</v>
      </c>
      <c r="AT337" s="1127"/>
      <c r="AU337" s="1127">
        <v>0.33333333333333331</v>
      </c>
      <c r="AV337" s="1127"/>
      <c r="AW337" s="1127"/>
      <c r="AX337" s="1127"/>
      <c r="AY337" s="1127"/>
      <c r="AZ337" s="1127">
        <v>0.33333333333333331</v>
      </c>
      <c r="BA337" s="1129">
        <v>498.04460317460325</v>
      </c>
      <c r="BB337" s="1129">
        <v>0</v>
      </c>
      <c r="BC337" s="1129">
        <v>498.04460317460325</v>
      </c>
      <c r="BD337" s="1129">
        <v>0</v>
      </c>
      <c r="BE337" s="1129">
        <v>0</v>
      </c>
      <c r="BF337" s="1129">
        <v>0</v>
      </c>
      <c r="BG337" s="1129">
        <v>0</v>
      </c>
      <c r="BH337" s="1129">
        <v>498.04460317460325</v>
      </c>
      <c r="BI337" s="971"/>
      <c r="BJ337" s="971"/>
      <c r="BK337" s="971"/>
      <c r="BL337" s="1246"/>
      <c r="BM337" s="1247" t="s">
        <v>2125</v>
      </c>
    </row>
    <row r="338" spans="1:65" s="1247" customFormat="1" ht="82.5" customHeight="1">
      <c r="A338" s="1272">
        <v>7000</v>
      </c>
      <c r="B338" s="971" t="s">
        <v>2420</v>
      </c>
      <c r="C338" s="1272">
        <v>7300</v>
      </c>
      <c r="D338" s="971" t="s">
        <v>1072</v>
      </c>
      <c r="E338" s="1272">
        <v>7340</v>
      </c>
      <c r="F338" s="971" t="s">
        <v>3600</v>
      </c>
      <c r="G338" s="971">
        <v>7340</v>
      </c>
      <c r="H338" s="971" t="s">
        <v>3600</v>
      </c>
      <c r="I338" s="1273" t="s">
        <v>7106</v>
      </c>
      <c r="J338" s="971" t="s">
        <v>2146</v>
      </c>
      <c r="K338" s="971" t="s">
        <v>2125</v>
      </c>
      <c r="L338" s="971" t="s">
        <v>2126</v>
      </c>
      <c r="M338" s="971" t="s">
        <v>2125</v>
      </c>
      <c r="N338" s="971" t="s">
        <v>176</v>
      </c>
      <c r="O338" s="971" t="s">
        <v>2126</v>
      </c>
      <c r="P338" s="971" t="s">
        <v>3065</v>
      </c>
      <c r="Q338" s="971" t="s">
        <v>7107</v>
      </c>
      <c r="R338" s="971" t="s">
        <v>5472</v>
      </c>
      <c r="S338" s="1274">
        <v>1</v>
      </c>
      <c r="T338" s="971" t="s">
        <v>242</v>
      </c>
      <c r="U338" s="1275">
        <v>13</v>
      </c>
      <c r="V338" s="1275">
        <v>120</v>
      </c>
      <c r="W338" s="1275">
        <v>1298.8739523809525</v>
      </c>
      <c r="X338" s="1275">
        <v>1200</v>
      </c>
      <c r="Y338" s="1275">
        <v>2618.8739523809527</v>
      </c>
      <c r="Z338" s="1129">
        <v>13</v>
      </c>
      <c r="AA338" s="1129">
        <v>120</v>
      </c>
      <c r="AB338" s="1129">
        <v>1298.8739523809525</v>
      </c>
      <c r="AC338" s="1129">
        <v>1200</v>
      </c>
      <c r="AD338" s="1098">
        <v>2618.8739523809527</v>
      </c>
      <c r="AE338" s="1135">
        <v>96</v>
      </c>
      <c r="AF338" s="1129">
        <v>96</v>
      </c>
      <c r="AG338" s="1127">
        <v>1</v>
      </c>
      <c r="AH338" s="1127">
        <v>0</v>
      </c>
      <c r="AI338" s="1127">
        <v>0</v>
      </c>
      <c r="AJ338" s="1127">
        <v>1</v>
      </c>
      <c r="AK338" s="1129">
        <v>2618.8739523809527</v>
      </c>
      <c r="AL338" s="1129">
        <v>0</v>
      </c>
      <c r="AM338" s="1129">
        <v>0</v>
      </c>
      <c r="AN338" s="1129">
        <v>2618.8739523809527</v>
      </c>
      <c r="AO338" s="1129" t="s">
        <v>85</v>
      </c>
      <c r="AP338" s="1129" t="s">
        <v>96</v>
      </c>
      <c r="AQ338" s="1261">
        <v>2014</v>
      </c>
      <c r="AR338" s="1129" t="s">
        <v>87</v>
      </c>
      <c r="AS338" s="1127">
        <v>0.33333333333333331</v>
      </c>
      <c r="AT338" s="1127"/>
      <c r="AU338" s="1127">
        <v>0.33333333333333331</v>
      </c>
      <c r="AV338" s="1127"/>
      <c r="AW338" s="1127"/>
      <c r="AX338" s="1127"/>
      <c r="AY338" s="1127"/>
      <c r="AZ338" s="1127">
        <v>0.33333333333333331</v>
      </c>
      <c r="BA338" s="1129">
        <v>872.95798412698423</v>
      </c>
      <c r="BB338" s="1129">
        <v>0</v>
      </c>
      <c r="BC338" s="1129">
        <v>872.95798412698423</v>
      </c>
      <c r="BD338" s="1129">
        <v>0</v>
      </c>
      <c r="BE338" s="1129">
        <v>0</v>
      </c>
      <c r="BF338" s="1129">
        <v>0</v>
      </c>
      <c r="BG338" s="1129">
        <v>0</v>
      </c>
      <c r="BH338" s="1129">
        <v>872.95798412698423</v>
      </c>
      <c r="BI338" s="971"/>
      <c r="BJ338" s="971"/>
      <c r="BK338" s="971"/>
      <c r="BL338" s="1246"/>
      <c r="BM338" s="1247" t="s">
        <v>2125</v>
      </c>
    </row>
    <row r="339" spans="1:65" s="1247" customFormat="1" ht="82.5" customHeight="1">
      <c r="A339" s="1272">
        <v>7000</v>
      </c>
      <c r="B339" s="971" t="s">
        <v>2420</v>
      </c>
      <c r="C339" s="1272">
        <v>7300</v>
      </c>
      <c r="D339" s="971" t="s">
        <v>1072</v>
      </c>
      <c r="E339" s="1272">
        <v>7340</v>
      </c>
      <c r="F339" s="971" t="s">
        <v>3600</v>
      </c>
      <c r="G339" s="971">
        <v>7340</v>
      </c>
      <c r="H339" s="971" t="s">
        <v>3600</v>
      </c>
      <c r="I339" s="1273" t="s">
        <v>7108</v>
      </c>
      <c r="J339" s="971" t="s">
        <v>2146</v>
      </c>
      <c r="K339" s="971" t="s">
        <v>2125</v>
      </c>
      <c r="L339" s="971" t="s">
        <v>2126</v>
      </c>
      <c r="M339" s="971" t="s">
        <v>2125</v>
      </c>
      <c r="N339" s="971" t="s">
        <v>176</v>
      </c>
      <c r="O339" s="971" t="s">
        <v>2126</v>
      </c>
      <c r="P339" s="971" t="s">
        <v>3065</v>
      </c>
      <c r="Q339" s="971" t="s">
        <v>7107</v>
      </c>
      <c r="R339" s="971" t="s">
        <v>5473</v>
      </c>
      <c r="S339" s="1274">
        <v>1</v>
      </c>
      <c r="T339" s="971" t="s">
        <v>242</v>
      </c>
      <c r="U339" s="1275">
        <v>13</v>
      </c>
      <c r="V339" s="1275">
        <v>120</v>
      </c>
      <c r="W339" s="1275">
        <v>1298.8739523809525</v>
      </c>
      <c r="X339" s="1275">
        <v>1200</v>
      </c>
      <c r="Y339" s="1275">
        <v>2618.8739523809527</v>
      </c>
      <c r="Z339" s="1129">
        <v>13</v>
      </c>
      <c r="AA339" s="1129">
        <v>120</v>
      </c>
      <c r="AB339" s="1129">
        <v>1298.8739523809525</v>
      </c>
      <c r="AC339" s="1129">
        <v>1200</v>
      </c>
      <c r="AD339" s="1098">
        <v>2618.8739523809527</v>
      </c>
      <c r="AE339" s="1135">
        <v>96</v>
      </c>
      <c r="AF339" s="1129">
        <v>96</v>
      </c>
      <c r="AG339" s="1127">
        <v>1</v>
      </c>
      <c r="AH339" s="1127">
        <v>0</v>
      </c>
      <c r="AI339" s="1127">
        <v>0</v>
      </c>
      <c r="AJ339" s="1127">
        <v>1</v>
      </c>
      <c r="AK339" s="1129">
        <v>2618.8739523809527</v>
      </c>
      <c r="AL339" s="1129">
        <v>0</v>
      </c>
      <c r="AM339" s="1129">
        <v>0</v>
      </c>
      <c r="AN339" s="1129">
        <v>2618.8739523809527</v>
      </c>
      <c r="AO339" s="1129" t="s">
        <v>85</v>
      </c>
      <c r="AP339" s="1129" t="s">
        <v>96</v>
      </c>
      <c r="AQ339" s="1261">
        <v>2014</v>
      </c>
      <c r="AR339" s="1129" t="s">
        <v>87</v>
      </c>
      <c r="AS339" s="1127">
        <v>0.33333333333333331</v>
      </c>
      <c r="AT339" s="1127"/>
      <c r="AU339" s="1127">
        <v>0.33333333333333331</v>
      </c>
      <c r="AV339" s="1127"/>
      <c r="AW339" s="1127"/>
      <c r="AX339" s="1127"/>
      <c r="AY339" s="1127"/>
      <c r="AZ339" s="1127">
        <v>0.33333333333333331</v>
      </c>
      <c r="BA339" s="1129">
        <v>872.95798412698423</v>
      </c>
      <c r="BB339" s="1129">
        <v>0</v>
      </c>
      <c r="BC339" s="1129">
        <v>872.95798412698423</v>
      </c>
      <c r="BD339" s="1129">
        <v>0</v>
      </c>
      <c r="BE339" s="1129">
        <v>0</v>
      </c>
      <c r="BF339" s="1129">
        <v>0</v>
      </c>
      <c r="BG339" s="1129">
        <v>0</v>
      </c>
      <c r="BH339" s="1129">
        <v>872.95798412698423</v>
      </c>
      <c r="BI339" s="971"/>
      <c r="BJ339" s="971"/>
      <c r="BK339" s="971"/>
      <c r="BL339" s="1246"/>
      <c r="BM339" s="1247" t="s">
        <v>2125</v>
      </c>
    </row>
    <row r="340" spans="1:65" s="1247" customFormat="1" ht="82.5" customHeight="1">
      <c r="A340" s="1272">
        <v>7000</v>
      </c>
      <c r="B340" s="971" t="s">
        <v>2420</v>
      </c>
      <c r="C340" s="1272">
        <v>7400</v>
      </c>
      <c r="D340" s="971" t="s">
        <v>1316</v>
      </c>
      <c r="E340" s="1272">
        <v>7440</v>
      </c>
      <c r="F340" s="971" t="s">
        <v>3600</v>
      </c>
      <c r="G340" s="971">
        <v>7441</v>
      </c>
      <c r="H340" s="971" t="s">
        <v>3601</v>
      </c>
      <c r="I340" s="1273" t="s">
        <v>7109</v>
      </c>
      <c r="J340" s="971" t="s">
        <v>2146</v>
      </c>
      <c r="K340" s="971" t="s">
        <v>2125</v>
      </c>
      <c r="L340" s="971" t="s">
        <v>2126</v>
      </c>
      <c r="M340" s="971" t="s">
        <v>2125</v>
      </c>
      <c r="N340" s="971" t="s">
        <v>176</v>
      </c>
      <c r="O340" s="971" t="s">
        <v>2126</v>
      </c>
      <c r="P340" s="971" t="s">
        <v>7110</v>
      </c>
      <c r="Q340" s="971" t="s">
        <v>7111</v>
      </c>
      <c r="R340" s="971" t="s">
        <v>5491</v>
      </c>
      <c r="S340" s="1274">
        <v>1</v>
      </c>
      <c r="T340" s="971" t="s">
        <v>242</v>
      </c>
      <c r="U340" s="1275">
        <v>13</v>
      </c>
      <c r="V340" s="1275">
        <v>120</v>
      </c>
      <c r="W340" s="1275">
        <v>1298.8739523809525</v>
      </c>
      <c r="X340" s="1275">
        <v>1200</v>
      </c>
      <c r="Y340" s="1275">
        <v>2618.8739523809527</v>
      </c>
      <c r="Z340" s="1129">
        <v>13</v>
      </c>
      <c r="AA340" s="1129">
        <v>120</v>
      </c>
      <c r="AB340" s="1129">
        <v>1298.8739523809525</v>
      </c>
      <c r="AC340" s="1129">
        <v>1200</v>
      </c>
      <c r="AD340" s="1098">
        <v>2618.8739523809527</v>
      </c>
      <c r="AE340" s="1135">
        <v>96</v>
      </c>
      <c r="AF340" s="1129">
        <v>96</v>
      </c>
      <c r="AG340" s="1127">
        <v>1</v>
      </c>
      <c r="AH340" s="1127">
        <v>0</v>
      </c>
      <c r="AI340" s="1127">
        <v>0</v>
      </c>
      <c r="AJ340" s="1127">
        <v>1</v>
      </c>
      <c r="AK340" s="1129">
        <v>2618.8739523809527</v>
      </c>
      <c r="AL340" s="1129">
        <v>0</v>
      </c>
      <c r="AM340" s="1129">
        <v>0</v>
      </c>
      <c r="AN340" s="1129">
        <v>2618.8739523809527</v>
      </c>
      <c r="AO340" s="1129" t="s">
        <v>85</v>
      </c>
      <c r="AP340" s="1129" t="s">
        <v>96</v>
      </c>
      <c r="AQ340" s="1157">
        <v>2014</v>
      </c>
      <c r="AR340" s="1129" t="s">
        <v>87</v>
      </c>
      <c r="AS340" s="1127">
        <v>0.33333333333333331</v>
      </c>
      <c r="AT340" s="1127"/>
      <c r="AU340" s="1127">
        <v>0.33333333333333331</v>
      </c>
      <c r="AV340" s="1127"/>
      <c r="AW340" s="1127"/>
      <c r="AX340" s="1127"/>
      <c r="AY340" s="1127"/>
      <c r="AZ340" s="1127">
        <v>0.33333333333333331</v>
      </c>
      <c r="BA340" s="1129">
        <v>872.95798412698423</v>
      </c>
      <c r="BB340" s="1129">
        <v>0</v>
      </c>
      <c r="BC340" s="1129">
        <v>872.95798412698423</v>
      </c>
      <c r="BD340" s="1129">
        <v>0</v>
      </c>
      <c r="BE340" s="1129">
        <v>0</v>
      </c>
      <c r="BF340" s="1129">
        <v>0</v>
      </c>
      <c r="BG340" s="1129">
        <v>0</v>
      </c>
      <c r="BH340" s="1129">
        <v>872.95798412698423</v>
      </c>
      <c r="BI340" s="971"/>
      <c r="BJ340" s="971"/>
      <c r="BK340" s="971"/>
      <c r="BL340" s="1246"/>
      <c r="BM340" s="1247" t="s">
        <v>2125</v>
      </c>
    </row>
    <row r="341" spans="1:65" s="1247" customFormat="1" ht="66" customHeight="1">
      <c r="A341" s="1272">
        <v>7000</v>
      </c>
      <c r="B341" s="971" t="s">
        <v>2420</v>
      </c>
      <c r="C341" s="1272">
        <v>7400</v>
      </c>
      <c r="D341" s="971" t="s">
        <v>1316</v>
      </c>
      <c r="E341" s="1272">
        <v>7440</v>
      </c>
      <c r="F341" s="971" t="s">
        <v>3600</v>
      </c>
      <c r="G341" s="971">
        <v>7441</v>
      </c>
      <c r="H341" s="971" t="s">
        <v>3601</v>
      </c>
      <c r="I341" s="1273" t="s">
        <v>7112</v>
      </c>
      <c r="J341" s="971" t="s">
        <v>2146</v>
      </c>
      <c r="K341" s="971" t="s">
        <v>2129</v>
      </c>
      <c r="L341" s="971" t="s">
        <v>2130</v>
      </c>
      <c r="M341" s="971" t="s">
        <v>2129</v>
      </c>
      <c r="N341" s="971" t="s">
        <v>176</v>
      </c>
      <c r="O341" s="971" t="s">
        <v>2130</v>
      </c>
      <c r="P341" s="971" t="s">
        <v>7026</v>
      </c>
      <c r="Q341" s="971" t="s">
        <v>7027</v>
      </c>
      <c r="R341" s="971" t="s">
        <v>5496</v>
      </c>
      <c r="S341" s="1274">
        <v>1</v>
      </c>
      <c r="T341" s="971" t="s">
        <v>242</v>
      </c>
      <c r="U341" s="1275">
        <v>6.666666666666667</v>
      </c>
      <c r="V341" s="1275">
        <v>25</v>
      </c>
      <c r="W341" s="1275">
        <v>666.08920634920639</v>
      </c>
      <c r="X341" s="1275">
        <v>250</v>
      </c>
      <c r="Y341" s="1275">
        <v>941.08920634920639</v>
      </c>
      <c r="Z341" s="1129">
        <v>6.666666666666667</v>
      </c>
      <c r="AA341" s="1129">
        <v>25</v>
      </c>
      <c r="AB341" s="1129">
        <v>666.08920634920639</v>
      </c>
      <c r="AC341" s="1129">
        <v>250</v>
      </c>
      <c r="AD341" s="1098">
        <v>941.08920634920639</v>
      </c>
      <c r="AE341" s="1135">
        <v>4</v>
      </c>
      <c r="AF341" s="1129">
        <v>4</v>
      </c>
      <c r="AG341" s="1127">
        <v>1</v>
      </c>
      <c r="AH341" s="1127">
        <v>0</v>
      </c>
      <c r="AI341" s="1127">
        <v>0</v>
      </c>
      <c r="AJ341" s="1127">
        <v>1</v>
      </c>
      <c r="AK341" s="1129">
        <v>941.08920634920639</v>
      </c>
      <c r="AL341" s="1129">
        <v>0</v>
      </c>
      <c r="AM341" s="1129">
        <v>0</v>
      </c>
      <c r="AN341" s="1129">
        <v>941.08920634920639</v>
      </c>
      <c r="AO341" s="1129" t="s">
        <v>85</v>
      </c>
      <c r="AP341" s="1129" t="s">
        <v>96</v>
      </c>
      <c r="AQ341" s="1157">
        <v>2014</v>
      </c>
      <c r="AR341" s="1129" t="s">
        <v>87</v>
      </c>
      <c r="AS341" s="1127">
        <v>0.33333333333333331</v>
      </c>
      <c r="AT341" s="1127"/>
      <c r="AU341" s="1127">
        <v>0.33333333333333331</v>
      </c>
      <c r="AV341" s="1127"/>
      <c r="AW341" s="1127"/>
      <c r="AX341" s="1127"/>
      <c r="AY341" s="1127"/>
      <c r="AZ341" s="1127">
        <v>0.33333333333333331</v>
      </c>
      <c r="BA341" s="1129">
        <v>313.69640211640211</v>
      </c>
      <c r="BB341" s="1129">
        <v>0</v>
      </c>
      <c r="BC341" s="1129">
        <v>313.69640211640211</v>
      </c>
      <c r="BD341" s="1129">
        <v>0</v>
      </c>
      <c r="BE341" s="1129">
        <v>0</v>
      </c>
      <c r="BF341" s="1129">
        <v>0</v>
      </c>
      <c r="BG341" s="1129">
        <v>0</v>
      </c>
      <c r="BH341" s="1129">
        <v>313.69640211640211</v>
      </c>
      <c r="BI341" s="971"/>
      <c r="BJ341" s="971"/>
      <c r="BK341" s="971"/>
      <c r="BL341" s="1246"/>
      <c r="BM341" s="1247" t="s">
        <v>2125</v>
      </c>
    </row>
    <row r="342" spans="1:65" s="1247" customFormat="1" ht="66" customHeight="1">
      <c r="A342" s="1272">
        <v>7000</v>
      </c>
      <c r="B342" s="971" t="s">
        <v>2420</v>
      </c>
      <c r="C342" s="1272">
        <v>7400</v>
      </c>
      <c r="D342" s="971" t="s">
        <v>1316</v>
      </c>
      <c r="E342" s="1272">
        <v>7440</v>
      </c>
      <c r="F342" s="971" t="s">
        <v>3600</v>
      </c>
      <c r="G342" s="971">
        <v>7443</v>
      </c>
      <c r="H342" s="971" t="s">
        <v>6601</v>
      </c>
      <c r="I342" s="1273" t="s">
        <v>7113</v>
      </c>
      <c r="J342" s="971" t="s">
        <v>2146</v>
      </c>
      <c r="K342" s="971" t="s">
        <v>2125</v>
      </c>
      <c r="L342" s="971" t="s">
        <v>2126</v>
      </c>
      <c r="M342" s="971" t="s">
        <v>2125</v>
      </c>
      <c r="N342" s="971" t="s">
        <v>176</v>
      </c>
      <c r="O342" s="971" t="s">
        <v>2126</v>
      </c>
      <c r="P342" s="971" t="s">
        <v>6772</v>
      </c>
      <c r="Q342" s="971" t="s">
        <v>7030</v>
      </c>
      <c r="R342" s="971" t="s">
        <v>5498</v>
      </c>
      <c r="S342" s="1274">
        <v>1</v>
      </c>
      <c r="T342" s="971" t="s">
        <v>242</v>
      </c>
      <c r="U342" s="1275">
        <v>13</v>
      </c>
      <c r="V342" s="1275">
        <v>120</v>
      </c>
      <c r="W342" s="1275">
        <v>1298.8739523809525</v>
      </c>
      <c r="X342" s="1275">
        <v>1200</v>
      </c>
      <c r="Y342" s="1275">
        <v>2618.8739523809527</v>
      </c>
      <c r="Z342" s="1129">
        <v>13</v>
      </c>
      <c r="AA342" s="1129">
        <v>120</v>
      </c>
      <c r="AB342" s="1129">
        <v>1298.8739523809525</v>
      </c>
      <c r="AC342" s="1129">
        <v>1200</v>
      </c>
      <c r="AD342" s="1098">
        <v>2618.8739523809527</v>
      </c>
      <c r="AE342" s="1135">
        <v>96</v>
      </c>
      <c r="AF342" s="1129">
        <v>96</v>
      </c>
      <c r="AG342" s="1127">
        <v>1</v>
      </c>
      <c r="AH342" s="1127">
        <v>0</v>
      </c>
      <c r="AI342" s="1127">
        <v>0</v>
      </c>
      <c r="AJ342" s="1127">
        <v>1</v>
      </c>
      <c r="AK342" s="1129">
        <v>2618.8739523809527</v>
      </c>
      <c r="AL342" s="1129">
        <v>0</v>
      </c>
      <c r="AM342" s="1129">
        <v>0</v>
      </c>
      <c r="AN342" s="1129">
        <v>2618.8739523809527</v>
      </c>
      <c r="AO342" s="1129" t="s">
        <v>85</v>
      </c>
      <c r="AP342" s="1129" t="s">
        <v>96</v>
      </c>
      <c r="AQ342" s="1157">
        <v>2014</v>
      </c>
      <c r="AR342" s="1129" t="s">
        <v>87</v>
      </c>
      <c r="AS342" s="1127">
        <v>0.33333333333333331</v>
      </c>
      <c r="AT342" s="1127"/>
      <c r="AU342" s="1127">
        <v>0.33333333333333331</v>
      </c>
      <c r="AV342" s="1127"/>
      <c r="AW342" s="1127"/>
      <c r="AX342" s="1127"/>
      <c r="AY342" s="1127"/>
      <c r="AZ342" s="1127">
        <v>0.33333333333333331</v>
      </c>
      <c r="BA342" s="1129">
        <v>872.95798412698423</v>
      </c>
      <c r="BB342" s="1129">
        <v>0</v>
      </c>
      <c r="BC342" s="1129">
        <v>872.95798412698423</v>
      </c>
      <c r="BD342" s="1129">
        <v>0</v>
      </c>
      <c r="BE342" s="1129">
        <v>0</v>
      </c>
      <c r="BF342" s="1129">
        <v>0</v>
      </c>
      <c r="BG342" s="1129">
        <v>0</v>
      </c>
      <c r="BH342" s="1129">
        <v>872.95798412698423</v>
      </c>
      <c r="BI342" s="971"/>
      <c r="BJ342" s="971"/>
      <c r="BK342" s="971"/>
      <c r="BL342" s="1246"/>
      <c r="BM342" s="1247" t="s">
        <v>2125</v>
      </c>
    </row>
    <row r="343" spans="1:65" s="1247" customFormat="1" ht="66" customHeight="1">
      <c r="A343" s="1272">
        <v>7000</v>
      </c>
      <c r="B343" s="971" t="s">
        <v>2420</v>
      </c>
      <c r="C343" s="1272">
        <v>7400</v>
      </c>
      <c r="D343" s="971" t="s">
        <v>1316</v>
      </c>
      <c r="E343" s="1272">
        <v>7440</v>
      </c>
      <c r="F343" s="971" t="s">
        <v>3600</v>
      </c>
      <c r="G343" s="971">
        <v>7443</v>
      </c>
      <c r="H343" s="971" t="s">
        <v>6601</v>
      </c>
      <c r="I343" s="1273" t="s">
        <v>7114</v>
      </c>
      <c r="J343" s="971" t="s">
        <v>2146</v>
      </c>
      <c r="K343" s="971" t="s">
        <v>2125</v>
      </c>
      <c r="L343" s="971" t="s">
        <v>2126</v>
      </c>
      <c r="M343" s="971" t="s">
        <v>2125</v>
      </c>
      <c r="N343" s="971" t="s">
        <v>176</v>
      </c>
      <c r="O343" s="971" t="s">
        <v>2126</v>
      </c>
      <c r="P343" s="971" t="s">
        <v>6772</v>
      </c>
      <c r="Q343" s="971" t="s">
        <v>7030</v>
      </c>
      <c r="R343" s="971" t="s">
        <v>5499</v>
      </c>
      <c r="S343" s="1274">
        <v>1</v>
      </c>
      <c r="T343" s="971" t="s">
        <v>242</v>
      </c>
      <c r="U343" s="1275">
        <v>13</v>
      </c>
      <c r="V343" s="1275">
        <v>120</v>
      </c>
      <c r="W343" s="1275">
        <v>1298.8739523809525</v>
      </c>
      <c r="X343" s="1275">
        <v>1200</v>
      </c>
      <c r="Y343" s="1275">
        <v>2618.8739523809527</v>
      </c>
      <c r="Z343" s="1129">
        <v>13</v>
      </c>
      <c r="AA343" s="1129">
        <v>120</v>
      </c>
      <c r="AB343" s="1129">
        <v>1298.8739523809525</v>
      </c>
      <c r="AC343" s="1129">
        <v>1200</v>
      </c>
      <c r="AD343" s="1098">
        <v>2618.8739523809527</v>
      </c>
      <c r="AE343" s="1135">
        <v>96</v>
      </c>
      <c r="AF343" s="1129">
        <v>96</v>
      </c>
      <c r="AG343" s="1127">
        <v>1</v>
      </c>
      <c r="AH343" s="1127">
        <v>0</v>
      </c>
      <c r="AI343" s="1127">
        <v>0</v>
      </c>
      <c r="AJ343" s="1127">
        <v>1</v>
      </c>
      <c r="AK343" s="1129">
        <v>2618.8739523809527</v>
      </c>
      <c r="AL343" s="1129">
        <v>0</v>
      </c>
      <c r="AM343" s="1129">
        <v>0</v>
      </c>
      <c r="AN343" s="1129">
        <v>2618.8739523809527</v>
      </c>
      <c r="AO343" s="1129" t="s">
        <v>85</v>
      </c>
      <c r="AP343" s="1129" t="s">
        <v>96</v>
      </c>
      <c r="AQ343" s="1157">
        <v>2014</v>
      </c>
      <c r="AR343" s="1129" t="s">
        <v>87</v>
      </c>
      <c r="AS343" s="1127">
        <v>0.33333333333333331</v>
      </c>
      <c r="AT343" s="1127"/>
      <c r="AU343" s="1127">
        <v>0.33333333333333331</v>
      </c>
      <c r="AV343" s="1127"/>
      <c r="AW343" s="1127"/>
      <c r="AX343" s="1127"/>
      <c r="AY343" s="1127"/>
      <c r="AZ343" s="1127">
        <v>0.33333333333333331</v>
      </c>
      <c r="BA343" s="1129">
        <v>872.95798412698423</v>
      </c>
      <c r="BB343" s="1129">
        <v>0</v>
      </c>
      <c r="BC343" s="1129">
        <v>872.95798412698423</v>
      </c>
      <c r="BD343" s="1129">
        <v>0</v>
      </c>
      <c r="BE343" s="1129">
        <v>0</v>
      </c>
      <c r="BF343" s="1129">
        <v>0</v>
      </c>
      <c r="BG343" s="1129">
        <v>0</v>
      </c>
      <c r="BH343" s="1129">
        <v>872.95798412698423</v>
      </c>
      <c r="BI343" s="971"/>
      <c r="BJ343" s="971"/>
      <c r="BK343" s="971"/>
      <c r="BL343" s="1246"/>
      <c r="BM343" s="1247" t="s">
        <v>2129</v>
      </c>
    </row>
    <row r="344" spans="1:65" s="1247" customFormat="1" ht="66" customHeight="1">
      <c r="A344" s="1272">
        <v>7000</v>
      </c>
      <c r="B344" s="971" t="s">
        <v>2420</v>
      </c>
      <c r="C344" s="1272">
        <v>7400</v>
      </c>
      <c r="D344" s="971" t="s">
        <v>1316</v>
      </c>
      <c r="E344" s="1272">
        <v>7440</v>
      </c>
      <c r="F344" s="971" t="s">
        <v>3600</v>
      </c>
      <c r="G344" s="971">
        <v>7443</v>
      </c>
      <c r="H344" s="971" t="s">
        <v>6601</v>
      </c>
      <c r="I344" s="1273" t="s">
        <v>7115</v>
      </c>
      <c r="J344" s="971" t="s">
        <v>2146</v>
      </c>
      <c r="K344" s="971" t="s">
        <v>2125</v>
      </c>
      <c r="L344" s="971" t="s">
        <v>2126</v>
      </c>
      <c r="M344" s="971" t="s">
        <v>2125</v>
      </c>
      <c r="N344" s="971" t="s">
        <v>176</v>
      </c>
      <c r="O344" s="971" t="s">
        <v>2126</v>
      </c>
      <c r="P344" s="971" t="s">
        <v>6772</v>
      </c>
      <c r="Q344" s="971" t="s">
        <v>7030</v>
      </c>
      <c r="R344" s="971" t="s">
        <v>5500</v>
      </c>
      <c r="S344" s="1274">
        <v>1</v>
      </c>
      <c r="T344" s="971" t="s">
        <v>242</v>
      </c>
      <c r="U344" s="1275">
        <v>13</v>
      </c>
      <c r="V344" s="1275">
        <v>120</v>
      </c>
      <c r="W344" s="1275">
        <v>1298.8739523809525</v>
      </c>
      <c r="X344" s="1275">
        <v>1200</v>
      </c>
      <c r="Y344" s="1275">
        <v>2618.8739523809527</v>
      </c>
      <c r="Z344" s="1129">
        <v>13</v>
      </c>
      <c r="AA344" s="1129">
        <v>120</v>
      </c>
      <c r="AB344" s="1129">
        <v>1298.8739523809525</v>
      </c>
      <c r="AC344" s="1129">
        <v>1200</v>
      </c>
      <c r="AD344" s="1098">
        <v>2618.8739523809527</v>
      </c>
      <c r="AE344" s="1135">
        <v>96</v>
      </c>
      <c r="AF344" s="1129">
        <v>96</v>
      </c>
      <c r="AG344" s="1127">
        <v>1</v>
      </c>
      <c r="AH344" s="1127">
        <v>0</v>
      </c>
      <c r="AI344" s="1127">
        <v>0</v>
      </c>
      <c r="AJ344" s="1127">
        <v>1</v>
      </c>
      <c r="AK344" s="1129">
        <v>2618.8739523809527</v>
      </c>
      <c r="AL344" s="1129">
        <v>0</v>
      </c>
      <c r="AM344" s="1129">
        <v>0</v>
      </c>
      <c r="AN344" s="1129">
        <v>2618.8739523809527</v>
      </c>
      <c r="AO344" s="1129" t="s">
        <v>85</v>
      </c>
      <c r="AP344" s="1129" t="s">
        <v>96</v>
      </c>
      <c r="AQ344" s="1157">
        <v>2014</v>
      </c>
      <c r="AR344" s="1129" t="s">
        <v>87</v>
      </c>
      <c r="AS344" s="1127">
        <v>0.33333333333333331</v>
      </c>
      <c r="AT344" s="1127"/>
      <c r="AU344" s="1127">
        <v>0.33333333333333331</v>
      </c>
      <c r="AV344" s="1127"/>
      <c r="AW344" s="1127"/>
      <c r="AX344" s="1127"/>
      <c r="AY344" s="1127"/>
      <c r="AZ344" s="1127">
        <v>0.33333333333333331</v>
      </c>
      <c r="BA344" s="1129">
        <v>872.95798412698423</v>
      </c>
      <c r="BB344" s="1129">
        <v>0</v>
      </c>
      <c r="BC344" s="1129">
        <v>872.95798412698423</v>
      </c>
      <c r="BD344" s="1129">
        <v>0</v>
      </c>
      <c r="BE344" s="1129">
        <v>0</v>
      </c>
      <c r="BF344" s="1129">
        <v>0</v>
      </c>
      <c r="BG344" s="1129">
        <v>0</v>
      </c>
      <c r="BH344" s="1129">
        <v>872.95798412698423</v>
      </c>
      <c r="BI344" s="971"/>
      <c r="BJ344" s="971"/>
      <c r="BK344" s="971"/>
      <c r="BL344" s="1246"/>
      <c r="BM344" s="1247" t="s">
        <v>2129</v>
      </c>
    </row>
    <row r="345" spans="1:65" s="1247" customFormat="1" ht="66" customHeight="1">
      <c r="A345" s="1272">
        <v>7000</v>
      </c>
      <c r="B345" s="971" t="s">
        <v>2420</v>
      </c>
      <c r="C345" s="1272">
        <v>7400</v>
      </c>
      <c r="D345" s="971" t="s">
        <v>1316</v>
      </c>
      <c r="E345" s="1272">
        <v>7440</v>
      </c>
      <c r="F345" s="971" t="s">
        <v>3600</v>
      </c>
      <c r="G345" s="971">
        <v>7443</v>
      </c>
      <c r="H345" s="971" t="s">
        <v>6601</v>
      </c>
      <c r="I345" s="1273" t="s">
        <v>7116</v>
      </c>
      <c r="J345" s="971" t="s">
        <v>2146</v>
      </c>
      <c r="K345" s="971" t="s">
        <v>2125</v>
      </c>
      <c r="L345" s="971" t="s">
        <v>2126</v>
      </c>
      <c r="M345" s="971" t="s">
        <v>2125</v>
      </c>
      <c r="N345" s="971" t="s">
        <v>176</v>
      </c>
      <c r="O345" s="971" t="s">
        <v>2126</v>
      </c>
      <c r="P345" s="971" t="s">
        <v>6772</v>
      </c>
      <c r="Q345" s="971" t="s">
        <v>7030</v>
      </c>
      <c r="R345" s="971" t="s">
        <v>5502</v>
      </c>
      <c r="S345" s="1274">
        <v>1</v>
      </c>
      <c r="T345" s="971" t="s">
        <v>242</v>
      </c>
      <c r="U345" s="1275">
        <v>13</v>
      </c>
      <c r="V345" s="1275">
        <v>120</v>
      </c>
      <c r="W345" s="1275">
        <v>1298.8739523809525</v>
      </c>
      <c r="X345" s="1275">
        <v>1200</v>
      </c>
      <c r="Y345" s="1275">
        <v>2618.8739523809527</v>
      </c>
      <c r="Z345" s="1129">
        <v>13</v>
      </c>
      <c r="AA345" s="1129">
        <v>120</v>
      </c>
      <c r="AB345" s="1129">
        <v>1298.8739523809525</v>
      </c>
      <c r="AC345" s="1129">
        <v>1200</v>
      </c>
      <c r="AD345" s="1098">
        <v>2618.8739523809527</v>
      </c>
      <c r="AE345" s="1135">
        <v>96</v>
      </c>
      <c r="AF345" s="1129">
        <v>96</v>
      </c>
      <c r="AG345" s="1127">
        <v>1</v>
      </c>
      <c r="AH345" s="1127">
        <v>0</v>
      </c>
      <c r="AI345" s="1127">
        <v>0</v>
      </c>
      <c r="AJ345" s="1127">
        <v>1</v>
      </c>
      <c r="AK345" s="1129">
        <v>2618.8739523809527</v>
      </c>
      <c r="AL345" s="1129">
        <v>0</v>
      </c>
      <c r="AM345" s="1129">
        <v>0</v>
      </c>
      <c r="AN345" s="1129">
        <v>2618.8739523809527</v>
      </c>
      <c r="AO345" s="1129" t="s">
        <v>85</v>
      </c>
      <c r="AP345" s="1129" t="s">
        <v>96</v>
      </c>
      <c r="AQ345" s="1157">
        <v>2014</v>
      </c>
      <c r="AR345" s="1129" t="s">
        <v>87</v>
      </c>
      <c r="AS345" s="1127">
        <v>0.33333333333333331</v>
      </c>
      <c r="AT345" s="1127"/>
      <c r="AU345" s="1127">
        <v>0.33333333333333331</v>
      </c>
      <c r="AV345" s="1127"/>
      <c r="AW345" s="1127"/>
      <c r="AX345" s="1127"/>
      <c r="AY345" s="1127"/>
      <c r="AZ345" s="1127">
        <v>0.33333333333333331</v>
      </c>
      <c r="BA345" s="1129">
        <v>872.95798412698423</v>
      </c>
      <c r="BB345" s="1129">
        <v>0</v>
      </c>
      <c r="BC345" s="1129">
        <v>872.95798412698423</v>
      </c>
      <c r="BD345" s="1129">
        <v>0</v>
      </c>
      <c r="BE345" s="1129">
        <v>0</v>
      </c>
      <c r="BF345" s="1129">
        <v>0</v>
      </c>
      <c r="BG345" s="1129">
        <v>0</v>
      </c>
      <c r="BH345" s="1129">
        <v>872.95798412698423</v>
      </c>
      <c r="BI345" s="971"/>
      <c r="BJ345" s="971"/>
      <c r="BK345" s="971"/>
      <c r="BL345" s="1246"/>
      <c r="BM345" s="1247" t="s">
        <v>2129</v>
      </c>
    </row>
    <row r="346" spans="1:65" s="1247" customFormat="1" ht="66" customHeight="1">
      <c r="A346" s="1272">
        <v>7000</v>
      </c>
      <c r="B346" s="971" t="s">
        <v>2420</v>
      </c>
      <c r="C346" s="1272">
        <v>7400</v>
      </c>
      <c r="D346" s="971" t="s">
        <v>1316</v>
      </c>
      <c r="E346" s="1272">
        <v>7440</v>
      </c>
      <c r="F346" s="971" t="s">
        <v>3600</v>
      </c>
      <c r="G346" s="971">
        <v>7443</v>
      </c>
      <c r="H346" s="971" t="s">
        <v>6601</v>
      </c>
      <c r="I346" s="1273" t="s">
        <v>7117</v>
      </c>
      <c r="J346" s="971" t="s">
        <v>2146</v>
      </c>
      <c r="K346" s="971" t="s">
        <v>2125</v>
      </c>
      <c r="L346" s="971" t="s">
        <v>2126</v>
      </c>
      <c r="M346" s="971" t="s">
        <v>2125</v>
      </c>
      <c r="N346" s="971" t="s">
        <v>176</v>
      </c>
      <c r="O346" s="971" t="s">
        <v>2126</v>
      </c>
      <c r="P346" s="971" t="s">
        <v>6772</v>
      </c>
      <c r="Q346" s="971" t="s">
        <v>7030</v>
      </c>
      <c r="R346" s="971" t="s">
        <v>5503</v>
      </c>
      <c r="S346" s="1274">
        <v>1</v>
      </c>
      <c r="T346" s="971" t="s">
        <v>242</v>
      </c>
      <c r="U346" s="1275">
        <v>13</v>
      </c>
      <c r="V346" s="1275">
        <v>120</v>
      </c>
      <c r="W346" s="1275">
        <v>1298.8739523809525</v>
      </c>
      <c r="X346" s="1275">
        <v>1200</v>
      </c>
      <c r="Y346" s="1275">
        <v>2618.8739523809527</v>
      </c>
      <c r="Z346" s="1129">
        <v>13</v>
      </c>
      <c r="AA346" s="1129">
        <v>120</v>
      </c>
      <c r="AB346" s="1129">
        <v>1298.8739523809525</v>
      </c>
      <c r="AC346" s="1129">
        <v>1200</v>
      </c>
      <c r="AD346" s="1098">
        <v>2618.8739523809527</v>
      </c>
      <c r="AE346" s="1135">
        <v>96</v>
      </c>
      <c r="AF346" s="1129">
        <v>96</v>
      </c>
      <c r="AG346" s="1127">
        <v>1</v>
      </c>
      <c r="AH346" s="1127">
        <v>0</v>
      </c>
      <c r="AI346" s="1127">
        <v>0</v>
      </c>
      <c r="AJ346" s="1127">
        <v>1</v>
      </c>
      <c r="AK346" s="1129">
        <v>2618.8739523809527</v>
      </c>
      <c r="AL346" s="1129">
        <v>0</v>
      </c>
      <c r="AM346" s="1129">
        <v>0</v>
      </c>
      <c r="AN346" s="1129">
        <v>2618.8739523809527</v>
      </c>
      <c r="AO346" s="1129" t="s">
        <v>85</v>
      </c>
      <c r="AP346" s="1129" t="s">
        <v>96</v>
      </c>
      <c r="AQ346" s="1157">
        <v>2014</v>
      </c>
      <c r="AR346" s="1129" t="s">
        <v>87</v>
      </c>
      <c r="AS346" s="1127">
        <v>0.33333333333333331</v>
      </c>
      <c r="AT346" s="1127"/>
      <c r="AU346" s="1127">
        <v>0.33333333333333331</v>
      </c>
      <c r="AV346" s="1127"/>
      <c r="AW346" s="1127"/>
      <c r="AX346" s="1127"/>
      <c r="AY346" s="1127"/>
      <c r="AZ346" s="1127">
        <v>0.33333333333333331</v>
      </c>
      <c r="BA346" s="1129">
        <v>872.95798412698423</v>
      </c>
      <c r="BB346" s="1129">
        <v>0</v>
      </c>
      <c r="BC346" s="1129">
        <v>872.95798412698423</v>
      </c>
      <c r="BD346" s="1129">
        <v>0</v>
      </c>
      <c r="BE346" s="1129">
        <v>0</v>
      </c>
      <c r="BF346" s="1129">
        <v>0</v>
      </c>
      <c r="BG346" s="1129">
        <v>0</v>
      </c>
      <c r="BH346" s="1129">
        <v>872.95798412698423</v>
      </c>
      <c r="BI346" s="971"/>
      <c r="BJ346" s="971"/>
      <c r="BK346" s="971"/>
      <c r="BL346" s="1246"/>
      <c r="BM346" s="1247" t="s">
        <v>2129</v>
      </c>
    </row>
    <row r="347" spans="1:65" s="1247" customFormat="1" ht="66" customHeight="1">
      <c r="A347" s="1272">
        <v>7000</v>
      </c>
      <c r="B347" s="971" t="s">
        <v>2420</v>
      </c>
      <c r="C347" s="1272">
        <v>7400</v>
      </c>
      <c r="D347" s="971" t="s">
        <v>1316</v>
      </c>
      <c r="E347" s="1272">
        <v>7440</v>
      </c>
      <c r="F347" s="971" t="s">
        <v>3600</v>
      </c>
      <c r="G347" s="971">
        <v>7443</v>
      </c>
      <c r="H347" s="971" t="s">
        <v>6601</v>
      </c>
      <c r="I347" s="1273" t="s">
        <v>7118</v>
      </c>
      <c r="J347" s="971" t="s">
        <v>2146</v>
      </c>
      <c r="K347" s="971" t="s">
        <v>2125</v>
      </c>
      <c r="L347" s="971" t="s">
        <v>2126</v>
      </c>
      <c r="M347" s="971" t="s">
        <v>2125</v>
      </c>
      <c r="N347" s="971" t="s">
        <v>176</v>
      </c>
      <c r="O347" s="971" t="s">
        <v>2126</v>
      </c>
      <c r="P347" s="971" t="s">
        <v>6772</v>
      </c>
      <c r="Q347" s="971" t="s">
        <v>7030</v>
      </c>
      <c r="R347" s="971" t="s">
        <v>5504</v>
      </c>
      <c r="S347" s="1274">
        <v>1</v>
      </c>
      <c r="T347" s="971" t="s">
        <v>242</v>
      </c>
      <c r="U347" s="1275">
        <v>13</v>
      </c>
      <c r="V347" s="1275">
        <v>120</v>
      </c>
      <c r="W347" s="1275">
        <v>1298.8739523809525</v>
      </c>
      <c r="X347" s="1275">
        <v>1200</v>
      </c>
      <c r="Y347" s="1275">
        <v>2618.8739523809527</v>
      </c>
      <c r="Z347" s="1129">
        <v>13</v>
      </c>
      <c r="AA347" s="1129">
        <v>120</v>
      </c>
      <c r="AB347" s="1129">
        <v>1298.8739523809525</v>
      </c>
      <c r="AC347" s="1129">
        <v>1200</v>
      </c>
      <c r="AD347" s="1098">
        <v>2618.8739523809527</v>
      </c>
      <c r="AE347" s="1135">
        <v>96</v>
      </c>
      <c r="AF347" s="1129">
        <v>96</v>
      </c>
      <c r="AG347" s="1127">
        <v>1</v>
      </c>
      <c r="AH347" s="1127">
        <v>0</v>
      </c>
      <c r="AI347" s="1127">
        <v>0</v>
      </c>
      <c r="AJ347" s="1127">
        <v>1</v>
      </c>
      <c r="AK347" s="1129">
        <v>2618.8739523809527</v>
      </c>
      <c r="AL347" s="1129">
        <v>0</v>
      </c>
      <c r="AM347" s="1129">
        <v>0</v>
      </c>
      <c r="AN347" s="1129">
        <v>2618.8739523809527</v>
      </c>
      <c r="AO347" s="1129" t="s">
        <v>85</v>
      </c>
      <c r="AP347" s="1129" t="s">
        <v>96</v>
      </c>
      <c r="AQ347" s="1157">
        <v>2014</v>
      </c>
      <c r="AR347" s="1129" t="s">
        <v>87</v>
      </c>
      <c r="AS347" s="1127">
        <v>0.33333333333333331</v>
      </c>
      <c r="AT347" s="1127"/>
      <c r="AU347" s="1127">
        <v>0.33333333333333331</v>
      </c>
      <c r="AV347" s="1127"/>
      <c r="AW347" s="1127"/>
      <c r="AX347" s="1127"/>
      <c r="AY347" s="1127"/>
      <c r="AZ347" s="1127">
        <v>0.33333333333333331</v>
      </c>
      <c r="BA347" s="1129">
        <v>872.95798412698423</v>
      </c>
      <c r="BB347" s="1129">
        <v>0</v>
      </c>
      <c r="BC347" s="1129">
        <v>872.95798412698423</v>
      </c>
      <c r="BD347" s="1129">
        <v>0</v>
      </c>
      <c r="BE347" s="1129">
        <v>0</v>
      </c>
      <c r="BF347" s="1129">
        <v>0</v>
      </c>
      <c r="BG347" s="1129">
        <v>0</v>
      </c>
      <c r="BH347" s="1129">
        <v>872.95798412698423</v>
      </c>
      <c r="BI347" s="971"/>
      <c r="BJ347" s="971"/>
      <c r="BK347" s="971"/>
      <c r="BL347" s="1246"/>
      <c r="BM347" s="1247" t="s">
        <v>2129</v>
      </c>
    </row>
    <row r="348" spans="1:65" s="1247" customFormat="1" ht="66" customHeight="1">
      <c r="A348" s="1272">
        <v>7000</v>
      </c>
      <c r="B348" s="971" t="s">
        <v>2420</v>
      </c>
      <c r="C348" s="1272">
        <v>7400</v>
      </c>
      <c r="D348" s="971" t="s">
        <v>1316</v>
      </c>
      <c r="E348" s="1272">
        <v>7440</v>
      </c>
      <c r="F348" s="971" t="s">
        <v>3600</v>
      </c>
      <c r="G348" s="971">
        <v>7443</v>
      </c>
      <c r="H348" s="971" t="s">
        <v>6601</v>
      </c>
      <c r="I348" s="1273" t="s">
        <v>7119</v>
      </c>
      <c r="J348" s="971" t="s">
        <v>2146</v>
      </c>
      <c r="K348" s="971" t="s">
        <v>2125</v>
      </c>
      <c r="L348" s="971" t="s">
        <v>2126</v>
      </c>
      <c r="M348" s="971" t="s">
        <v>2125</v>
      </c>
      <c r="N348" s="971" t="s">
        <v>176</v>
      </c>
      <c r="O348" s="971" t="s">
        <v>2126</v>
      </c>
      <c r="P348" s="971" t="s">
        <v>6772</v>
      </c>
      <c r="Q348" s="971" t="s">
        <v>7030</v>
      </c>
      <c r="R348" s="971" t="s">
        <v>5505</v>
      </c>
      <c r="S348" s="1274">
        <v>1</v>
      </c>
      <c r="T348" s="971" t="s">
        <v>242</v>
      </c>
      <c r="U348" s="1275">
        <v>13</v>
      </c>
      <c r="V348" s="1275">
        <v>120</v>
      </c>
      <c r="W348" s="1275">
        <v>1298.8739523809525</v>
      </c>
      <c r="X348" s="1275">
        <v>1200</v>
      </c>
      <c r="Y348" s="1275">
        <v>2618.8739523809527</v>
      </c>
      <c r="Z348" s="1129">
        <v>13</v>
      </c>
      <c r="AA348" s="1129">
        <v>120</v>
      </c>
      <c r="AB348" s="1129">
        <v>1298.8739523809525</v>
      </c>
      <c r="AC348" s="1129">
        <v>1200</v>
      </c>
      <c r="AD348" s="1098">
        <v>2618.8739523809527</v>
      </c>
      <c r="AE348" s="1135">
        <v>96</v>
      </c>
      <c r="AF348" s="1129">
        <v>96</v>
      </c>
      <c r="AG348" s="1127">
        <v>1</v>
      </c>
      <c r="AH348" s="1127">
        <v>0</v>
      </c>
      <c r="AI348" s="1127">
        <v>0</v>
      </c>
      <c r="AJ348" s="1127">
        <v>1</v>
      </c>
      <c r="AK348" s="1129">
        <v>2618.8739523809527</v>
      </c>
      <c r="AL348" s="1129">
        <v>0</v>
      </c>
      <c r="AM348" s="1129">
        <v>0</v>
      </c>
      <c r="AN348" s="1129">
        <v>2618.8739523809527</v>
      </c>
      <c r="AO348" s="1129" t="s">
        <v>85</v>
      </c>
      <c r="AP348" s="1129" t="s">
        <v>96</v>
      </c>
      <c r="AQ348" s="1157">
        <v>2014</v>
      </c>
      <c r="AR348" s="1129" t="s">
        <v>87</v>
      </c>
      <c r="AS348" s="1127">
        <v>0.33333333333333331</v>
      </c>
      <c r="AT348" s="1127"/>
      <c r="AU348" s="1127">
        <v>0.33333333333333331</v>
      </c>
      <c r="AV348" s="1127"/>
      <c r="AW348" s="1127"/>
      <c r="AX348" s="1127"/>
      <c r="AY348" s="1127"/>
      <c r="AZ348" s="1127">
        <v>0.33333333333333331</v>
      </c>
      <c r="BA348" s="1129">
        <v>872.95798412698423</v>
      </c>
      <c r="BB348" s="1129">
        <v>0</v>
      </c>
      <c r="BC348" s="1129">
        <v>872.95798412698423</v>
      </c>
      <c r="BD348" s="1129">
        <v>0</v>
      </c>
      <c r="BE348" s="1129">
        <v>0</v>
      </c>
      <c r="BF348" s="1129">
        <v>0</v>
      </c>
      <c r="BG348" s="1129">
        <v>0</v>
      </c>
      <c r="BH348" s="1129">
        <v>872.95798412698423</v>
      </c>
      <c r="BI348" s="971"/>
      <c r="BJ348" s="971"/>
      <c r="BK348" s="971"/>
      <c r="BL348" s="1246"/>
      <c r="BM348" s="1247" t="s">
        <v>2129</v>
      </c>
    </row>
    <row r="349" spans="1:65" s="1247" customFormat="1" ht="66" customHeight="1">
      <c r="A349" s="1272">
        <v>7000</v>
      </c>
      <c r="B349" s="971" t="s">
        <v>2420</v>
      </c>
      <c r="C349" s="1272">
        <v>7400</v>
      </c>
      <c r="D349" s="971" t="s">
        <v>1316</v>
      </c>
      <c r="E349" s="1272">
        <v>7440</v>
      </c>
      <c r="F349" s="971" t="s">
        <v>3600</v>
      </c>
      <c r="G349" s="971">
        <v>7443</v>
      </c>
      <c r="H349" s="971" t="s">
        <v>6601</v>
      </c>
      <c r="I349" s="1273" t="s">
        <v>7120</v>
      </c>
      <c r="J349" s="971" t="s">
        <v>2146</v>
      </c>
      <c r="K349" s="971" t="s">
        <v>2125</v>
      </c>
      <c r="L349" s="971" t="s">
        <v>2126</v>
      </c>
      <c r="M349" s="971" t="s">
        <v>2125</v>
      </c>
      <c r="N349" s="971" t="s">
        <v>176</v>
      </c>
      <c r="O349" s="971" t="s">
        <v>2126</v>
      </c>
      <c r="P349" s="971" t="s">
        <v>6772</v>
      </c>
      <c r="Q349" s="971" t="s">
        <v>7030</v>
      </c>
      <c r="R349" s="971" t="s">
        <v>5506</v>
      </c>
      <c r="S349" s="1274">
        <v>1</v>
      </c>
      <c r="T349" s="971" t="s">
        <v>242</v>
      </c>
      <c r="U349" s="1275">
        <v>13</v>
      </c>
      <c r="V349" s="1275">
        <v>120</v>
      </c>
      <c r="W349" s="1275">
        <v>1298.8739523809525</v>
      </c>
      <c r="X349" s="1275">
        <v>1200</v>
      </c>
      <c r="Y349" s="1275">
        <v>2618.8739523809527</v>
      </c>
      <c r="Z349" s="1129">
        <v>13</v>
      </c>
      <c r="AA349" s="1129">
        <v>120</v>
      </c>
      <c r="AB349" s="1129">
        <v>1298.8739523809525</v>
      </c>
      <c r="AC349" s="1129">
        <v>1200</v>
      </c>
      <c r="AD349" s="1098">
        <v>2618.8739523809527</v>
      </c>
      <c r="AE349" s="1135">
        <v>96</v>
      </c>
      <c r="AF349" s="1129">
        <v>96</v>
      </c>
      <c r="AG349" s="1127">
        <v>1</v>
      </c>
      <c r="AH349" s="1127">
        <v>0</v>
      </c>
      <c r="AI349" s="1127">
        <v>0</v>
      </c>
      <c r="AJ349" s="1127">
        <v>1</v>
      </c>
      <c r="AK349" s="1129">
        <v>2618.8739523809527</v>
      </c>
      <c r="AL349" s="1129">
        <v>0</v>
      </c>
      <c r="AM349" s="1129">
        <v>0</v>
      </c>
      <c r="AN349" s="1129">
        <v>2618.8739523809527</v>
      </c>
      <c r="AO349" s="1129" t="s">
        <v>85</v>
      </c>
      <c r="AP349" s="1129" t="s">
        <v>96</v>
      </c>
      <c r="AQ349" s="1157">
        <v>2014</v>
      </c>
      <c r="AR349" s="1129" t="s">
        <v>87</v>
      </c>
      <c r="AS349" s="1127">
        <v>0.33333333333333331</v>
      </c>
      <c r="AT349" s="1127"/>
      <c r="AU349" s="1127">
        <v>0.33333333333333331</v>
      </c>
      <c r="AV349" s="1127"/>
      <c r="AW349" s="1127"/>
      <c r="AX349" s="1127"/>
      <c r="AY349" s="1127"/>
      <c r="AZ349" s="1127">
        <v>0.33333333333333331</v>
      </c>
      <c r="BA349" s="1129">
        <v>872.95798412698423</v>
      </c>
      <c r="BB349" s="1129">
        <v>0</v>
      </c>
      <c r="BC349" s="1129">
        <v>872.95798412698423</v>
      </c>
      <c r="BD349" s="1129">
        <v>0</v>
      </c>
      <c r="BE349" s="1129">
        <v>0</v>
      </c>
      <c r="BF349" s="1129">
        <v>0</v>
      </c>
      <c r="BG349" s="1129">
        <v>0</v>
      </c>
      <c r="BH349" s="1129">
        <v>872.95798412698423</v>
      </c>
      <c r="BI349" s="971"/>
      <c r="BJ349" s="971"/>
      <c r="BK349" s="971"/>
      <c r="BL349" s="1246"/>
      <c r="BM349" s="1247" t="s">
        <v>2129</v>
      </c>
    </row>
    <row r="350" spans="1:65" s="1247" customFormat="1" ht="66" customHeight="1">
      <c r="A350" s="1272">
        <v>7000</v>
      </c>
      <c r="B350" s="971" t="s">
        <v>2420</v>
      </c>
      <c r="C350" s="1272">
        <v>7400</v>
      </c>
      <c r="D350" s="971" t="s">
        <v>1316</v>
      </c>
      <c r="E350" s="1272">
        <v>7440</v>
      </c>
      <c r="F350" s="971" t="s">
        <v>3600</v>
      </c>
      <c r="G350" s="971">
        <v>7443</v>
      </c>
      <c r="H350" s="971" t="s">
        <v>6601</v>
      </c>
      <c r="I350" s="1273" t="s">
        <v>7121</v>
      </c>
      <c r="J350" s="971" t="s">
        <v>2146</v>
      </c>
      <c r="K350" s="971" t="s">
        <v>2125</v>
      </c>
      <c r="L350" s="971" t="s">
        <v>2126</v>
      </c>
      <c r="M350" s="971" t="s">
        <v>2125</v>
      </c>
      <c r="N350" s="971" t="s">
        <v>176</v>
      </c>
      <c r="O350" s="971" t="s">
        <v>2126</v>
      </c>
      <c r="P350" s="971" t="s">
        <v>6772</v>
      </c>
      <c r="Q350" s="971" t="s">
        <v>7030</v>
      </c>
      <c r="R350" s="971" t="s">
        <v>5507</v>
      </c>
      <c r="S350" s="1274">
        <v>1</v>
      </c>
      <c r="T350" s="971" t="s">
        <v>242</v>
      </c>
      <c r="U350" s="1275">
        <v>13</v>
      </c>
      <c r="V350" s="1275">
        <v>120</v>
      </c>
      <c r="W350" s="1275">
        <v>1298.8739523809525</v>
      </c>
      <c r="X350" s="1275">
        <v>1200</v>
      </c>
      <c r="Y350" s="1275">
        <v>2618.8739523809527</v>
      </c>
      <c r="Z350" s="1129">
        <v>13</v>
      </c>
      <c r="AA350" s="1129">
        <v>120</v>
      </c>
      <c r="AB350" s="1129">
        <v>1298.8739523809525</v>
      </c>
      <c r="AC350" s="1129">
        <v>1200</v>
      </c>
      <c r="AD350" s="1098">
        <v>2618.8739523809527</v>
      </c>
      <c r="AE350" s="1135">
        <v>96</v>
      </c>
      <c r="AF350" s="1129">
        <v>96</v>
      </c>
      <c r="AG350" s="1127">
        <v>1</v>
      </c>
      <c r="AH350" s="1127">
        <v>0</v>
      </c>
      <c r="AI350" s="1127">
        <v>0</v>
      </c>
      <c r="AJ350" s="1127">
        <v>1</v>
      </c>
      <c r="AK350" s="1129">
        <v>2618.8739523809527</v>
      </c>
      <c r="AL350" s="1129">
        <v>0</v>
      </c>
      <c r="AM350" s="1129">
        <v>0</v>
      </c>
      <c r="AN350" s="1129">
        <v>2618.8739523809527</v>
      </c>
      <c r="AO350" s="1129" t="s">
        <v>85</v>
      </c>
      <c r="AP350" s="1129" t="s">
        <v>96</v>
      </c>
      <c r="AQ350" s="1157">
        <v>2014</v>
      </c>
      <c r="AR350" s="1129" t="s">
        <v>87</v>
      </c>
      <c r="AS350" s="1127">
        <v>0.33333333333333331</v>
      </c>
      <c r="AT350" s="1127"/>
      <c r="AU350" s="1127">
        <v>0.33333333333333331</v>
      </c>
      <c r="AV350" s="1127"/>
      <c r="AW350" s="1127"/>
      <c r="AX350" s="1127"/>
      <c r="AY350" s="1127"/>
      <c r="AZ350" s="1127">
        <v>0.33333333333333331</v>
      </c>
      <c r="BA350" s="1129">
        <v>872.95798412698423</v>
      </c>
      <c r="BB350" s="1129">
        <v>0</v>
      </c>
      <c r="BC350" s="1129">
        <v>872.95798412698423</v>
      </c>
      <c r="BD350" s="1129">
        <v>0</v>
      </c>
      <c r="BE350" s="1129">
        <v>0</v>
      </c>
      <c r="BF350" s="1129">
        <v>0</v>
      </c>
      <c r="BG350" s="1129">
        <v>0</v>
      </c>
      <c r="BH350" s="1129">
        <v>872.95798412698423</v>
      </c>
      <c r="BI350" s="971"/>
      <c r="BJ350" s="971"/>
      <c r="BK350" s="971"/>
      <c r="BL350" s="1246"/>
      <c r="BM350" s="1247" t="s">
        <v>2127</v>
      </c>
    </row>
    <row r="351" spans="1:65" s="1247" customFormat="1" ht="66" customHeight="1">
      <c r="A351" s="1272">
        <v>7000</v>
      </c>
      <c r="B351" s="971" t="s">
        <v>2420</v>
      </c>
      <c r="C351" s="1272">
        <v>7400</v>
      </c>
      <c r="D351" s="971" t="s">
        <v>1316</v>
      </c>
      <c r="E351" s="1272">
        <v>7440</v>
      </c>
      <c r="F351" s="971" t="s">
        <v>3600</v>
      </c>
      <c r="G351" s="971">
        <v>7443</v>
      </c>
      <c r="H351" s="971" t="s">
        <v>6601</v>
      </c>
      <c r="I351" s="1273" t="s">
        <v>7122</v>
      </c>
      <c r="J351" s="971" t="s">
        <v>2146</v>
      </c>
      <c r="K351" s="971" t="s">
        <v>2125</v>
      </c>
      <c r="L351" s="971" t="s">
        <v>2126</v>
      </c>
      <c r="M351" s="971" t="s">
        <v>2125</v>
      </c>
      <c r="N351" s="971" t="s">
        <v>176</v>
      </c>
      <c r="O351" s="971" t="s">
        <v>2126</v>
      </c>
      <c r="P351" s="971" t="s">
        <v>6772</v>
      </c>
      <c r="Q351" s="971" t="s">
        <v>7030</v>
      </c>
      <c r="R351" s="971" t="s">
        <v>5508</v>
      </c>
      <c r="S351" s="1274">
        <v>1</v>
      </c>
      <c r="T351" s="971" t="s">
        <v>242</v>
      </c>
      <c r="U351" s="1275">
        <v>13</v>
      </c>
      <c r="V351" s="1275">
        <v>120</v>
      </c>
      <c r="W351" s="1275">
        <v>1298.8739523809525</v>
      </c>
      <c r="X351" s="1275">
        <v>1200</v>
      </c>
      <c r="Y351" s="1275">
        <v>2618.8739523809527</v>
      </c>
      <c r="Z351" s="1129">
        <v>13</v>
      </c>
      <c r="AA351" s="1129">
        <v>120</v>
      </c>
      <c r="AB351" s="1129">
        <v>1298.8739523809525</v>
      </c>
      <c r="AC351" s="1129">
        <v>1200</v>
      </c>
      <c r="AD351" s="1098">
        <v>2618.8739523809527</v>
      </c>
      <c r="AE351" s="1135">
        <v>96</v>
      </c>
      <c r="AF351" s="1129">
        <v>96</v>
      </c>
      <c r="AG351" s="1127">
        <v>1</v>
      </c>
      <c r="AH351" s="1127">
        <v>0</v>
      </c>
      <c r="AI351" s="1127">
        <v>0</v>
      </c>
      <c r="AJ351" s="1127">
        <v>1</v>
      </c>
      <c r="AK351" s="1129">
        <v>2618.8739523809527</v>
      </c>
      <c r="AL351" s="1129">
        <v>0</v>
      </c>
      <c r="AM351" s="1129">
        <v>0</v>
      </c>
      <c r="AN351" s="1129">
        <v>2618.8739523809527</v>
      </c>
      <c r="AO351" s="1129" t="s">
        <v>85</v>
      </c>
      <c r="AP351" s="1129" t="s">
        <v>96</v>
      </c>
      <c r="AQ351" s="1157">
        <v>2014</v>
      </c>
      <c r="AR351" s="1129" t="s">
        <v>87</v>
      </c>
      <c r="AS351" s="1127">
        <v>0.33333333333333331</v>
      </c>
      <c r="AT351" s="1127"/>
      <c r="AU351" s="1127">
        <v>0.33333333333333331</v>
      </c>
      <c r="AV351" s="1127"/>
      <c r="AW351" s="1127"/>
      <c r="AX351" s="1127"/>
      <c r="AY351" s="1127"/>
      <c r="AZ351" s="1127">
        <v>0.33333333333333331</v>
      </c>
      <c r="BA351" s="1129">
        <v>872.95798412698423</v>
      </c>
      <c r="BB351" s="1129">
        <v>0</v>
      </c>
      <c r="BC351" s="1129">
        <v>872.95798412698423</v>
      </c>
      <c r="BD351" s="1129">
        <v>0</v>
      </c>
      <c r="BE351" s="1129">
        <v>0</v>
      </c>
      <c r="BF351" s="1129">
        <v>0</v>
      </c>
      <c r="BG351" s="1129">
        <v>0</v>
      </c>
      <c r="BH351" s="1129">
        <v>872.95798412698423</v>
      </c>
      <c r="BI351" s="971"/>
      <c r="BJ351" s="971"/>
      <c r="BK351" s="971"/>
      <c r="BL351" s="1246"/>
      <c r="BM351" s="1247" t="s">
        <v>2127</v>
      </c>
    </row>
    <row r="352" spans="1:65" s="1247" customFormat="1" ht="66" customHeight="1">
      <c r="A352" s="1272">
        <v>7000</v>
      </c>
      <c r="B352" s="971" t="s">
        <v>2420</v>
      </c>
      <c r="C352" s="1272">
        <v>7400</v>
      </c>
      <c r="D352" s="971" t="s">
        <v>1316</v>
      </c>
      <c r="E352" s="1272">
        <v>7440</v>
      </c>
      <c r="F352" s="971" t="s">
        <v>3600</v>
      </c>
      <c r="G352" s="971">
        <v>7443</v>
      </c>
      <c r="H352" s="971" t="s">
        <v>6601</v>
      </c>
      <c r="I352" s="1273" t="s">
        <v>7123</v>
      </c>
      <c r="J352" s="971" t="s">
        <v>2146</v>
      </c>
      <c r="K352" s="971" t="s">
        <v>2125</v>
      </c>
      <c r="L352" s="971" t="s">
        <v>2126</v>
      </c>
      <c r="M352" s="971" t="s">
        <v>2125</v>
      </c>
      <c r="N352" s="971" t="s">
        <v>176</v>
      </c>
      <c r="O352" s="971" t="s">
        <v>2126</v>
      </c>
      <c r="P352" s="971" t="s">
        <v>6626</v>
      </c>
      <c r="Q352" s="971" t="s">
        <v>7043</v>
      </c>
      <c r="R352" s="971" t="s">
        <v>5509</v>
      </c>
      <c r="S352" s="1274">
        <v>1</v>
      </c>
      <c r="T352" s="971" t="s">
        <v>242</v>
      </c>
      <c r="U352" s="1275">
        <v>13</v>
      </c>
      <c r="V352" s="1275">
        <v>120</v>
      </c>
      <c r="W352" s="1275">
        <v>1298.8739523809525</v>
      </c>
      <c r="X352" s="1275">
        <v>1200</v>
      </c>
      <c r="Y352" s="1275">
        <v>2618.8739523809527</v>
      </c>
      <c r="Z352" s="1129">
        <v>13</v>
      </c>
      <c r="AA352" s="1129">
        <v>120</v>
      </c>
      <c r="AB352" s="1129">
        <v>1298.8739523809525</v>
      </c>
      <c r="AC352" s="1129">
        <v>1200</v>
      </c>
      <c r="AD352" s="1098">
        <v>2618.8739523809527</v>
      </c>
      <c r="AE352" s="1135">
        <v>96</v>
      </c>
      <c r="AF352" s="1129">
        <v>96</v>
      </c>
      <c r="AG352" s="1127">
        <v>1</v>
      </c>
      <c r="AH352" s="1127">
        <v>0</v>
      </c>
      <c r="AI352" s="1127">
        <v>0</v>
      </c>
      <c r="AJ352" s="1127">
        <v>1</v>
      </c>
      <c r="AK352" s="1129">
        <v>2618.8739523809527</v>
      </c>
      <c r="AL352" s="1129">
        <v>0</v>
      </c>
      <c r="AM352" s="1129">
        <v>0</v>
      </c>
      <c r="AN352" s="1129">
        <v>2618.8739523809527</v>
      </c>
      <c r="AO352" s="1129" t="s">
        <v>85</v>
      </c>
      <c r="AP352" s="1129" t="s">
        <v>96</v>
      </c>
      <c r="AQ352" s="1157">
        <v>2014</v>
      </c>
      <c r="AR352" s="1129" t="s">
        <v>87</v>
      </c>
      <c r="AS352" s="1127">
        <v>0.33333333333333331</v>
      </c>
      <c r="AT352" s="1127"/>
      <c r="AU352" s="1127">
        <v>0.33333333333333331</v>
      </c>
      <c r="AV352" s="1127"/>
      <c r="AW352" s="1127"/>
      <c r="AX352" s="1127"/>
      <c r="AY352" s="1127"/>
      <c r="AZ352" s="1127">
        <v>0.33333333333333331</v>
      </c>
      <c r="BA352" s="1129">
        <v>872.95798412698423</v>
      </c>
      <c r="BB352" s="1129">
        <v>0</v>
      </c>
      <c r="BC352" s="1129">
        <v>872.95798412698423</v>
      </c>
      <c r="BD352" s="1129">
        <v>0</v>
      </c>
      <c r="BE352" s="1129">
        <v>0</v>
      </c>
      <c r="BF352" s="1129">
        <v>0</v>
      </c>
      <c r="BG352" s="1129">
        <v>0</v>
      </c>
      <c r="BH352" s="1129">
        <v>872.95798412698423</v>
      </c>
      <c r="BI352" s="971"/>
      <c r="BJ352" s="971"/>
      <c r="BK352" s="971"/>
      <c r="BL352" s="1246"/>
      <c r="BM352" s="1247" t="s">
        <v>2129</v>
      </c>
    </row>
    <row r="353" spans="1:65" s="1247" customFormat="1" ht="66" customHeight="1">
      <c r="A353" s="1272">
        <v>7000</v>
      </c>
      <c r="B353" s="971" t="s">
        <v>2420</v>
      </c>
      <c r="C353" s="1272">
        <v>7400</v>
      </c>
      <c r="D353" s="971" t="s">
        <v>1316</v>
      </c>
      <c r="E353" s="1272">
        <v>7440</v>
      </c>
      <c r="F353" s="971" t="s">
        <v>3600</v>
      </c>
      <c r="G353" s="971">
        <v>7443</v>
      </c>
      <c r="H353" s="971" t="s">
        <v>6601</v>
      </c>
      <c r="I353" s="1273" t="s">
        <v>7124</v>
      </c>
      <c r="J353" s="971" t="s">
        <v>2146</v>
      </c>
      <c r="K353" s="971" t="s">
        <v>2125</v>
      </c>
      <c r="L353" s="971" t="s">
        <v>2126</v>
      </c>
      <c r="M353" s="971" t="s">
        <v>2125</v>
      </c>
      <c r="N353" s="971" t="s">
        <v>176</v>
      </c>
      <c r="O353" s="971" t="s">
        <v>2126</v>
      </c>
      <c r="P353" s="971" t="s">
        <v>6626</v>
      </c>
      <c r="Q353" s="971" t="s">
        <v>7043</v>
      </c>
      <c r="R353" s="971" t="s">
        <v>5510</v>
      </c>
      <c r="S353" s="1274">
        <v>1</v>
      </c>
      <c r="T353" s="971" t="s">
        <v>242</v>
      </c>
      <c r="U353" s="1275">
        <v>13</v>
      </c>
      <c r="V353" s="1275">
        <v>120</v>
      </c>
      <c r="W353" s="1275">
        <v>1298.8739523809525</v>
      </c>
      <c r="X353" s="1275">
        <v>1200</v>
      </c>
      <c r="Y353" s="1275">
        <v>2618.8739523809527</v>
      </c>
      <c r="Z353" s="1129">
        <v>13</v>
      </c>
      <c r="AA353" s="1129">
        <v>120</v>
      </c>
      <c r="AB353" s="1129">
        <v>1298.8739523809525</v>
      </c>
      <c r="AC353" s="1129">
        <v>1200</v>
      </c>
      <c r="AD353" s="1098">
        <v>2618.8739523809527</v>
      </c>
      <c r="AE353" s="1135">
        <v>96</v>
      </c>
      <c r="AF353" s="1129">
        <v>96</v>
      </c>
      <c r="AG353" s="1127">
        <v>1</v>
      </c>
      <c r="AH353" s="1127">
        <v>0</v>
      </c>
      <c r="AI353" s="1127">
        <v>0</v>
      </c>
      <c r="AJ353" s="1127">
        <v>1</v>
      </c>
      <c r="AK353" s="1129">
        <v>2618.8739523809527</v>
      </c>
      <c r="AL353" s="1129">
        <v>0</v>
      </c>
      <c r="AM353" s="1129">
        <v>0</v>
      </c>
      <c r="AN353" s="1129">
        <v>2618.8739523809527</v>
      </c>
      <c r="AO353" s="1129" t="s">
        <v>85</v>
      </c>
      <c r="AP353" s="1129" t="s">
        <v>96</v>
      </c>
      <c r="AQ353" s="1157">
        <v>2014</v>
      </c>
      <c r="AR353" s="1129" t="s">
        <v>87</v>
      </c>
      <c r="AS353" s="1127">
        <v>0.33333333333333331</v>
      </c>
      <c r="AT353" s="1127"/>
      <c r="AU353" s="1127">
        <v>0.33333333333333331</v>
      </c>
      <c r="AV353" s="1127"/>
      <c r="AW353" s="1127"/>
      <c r="AX353" s="1127"/>
      <c r="AY353" s="1127"/>
      <c r="AZ353" s="1127">
        <v>0.33333333333333331</v>
      </c>
      <c r="BA353" s="1129">
        <v>872.95798412698423</v>
      </c>
      <c r="BB353" s="1129">
        <v>0</v>
      </c>
      <c r="BC353" s="1129">
        <v>872.95798412698423</v>
      </c>
      <c r="BD353" s="1129">
        <v>0</v>
      </c>
      <c r="BE353" s="1129">
        <v>0</v>
      </c>
      <c r="BF353" s="1129">
        <v>0</v>
      </c>
      <c r="BG353" s="1129">
        <v>0</v>
      </c>
      <c r="BH353" s="1129">
        <v>872.95798412698423</v>
      </c>
      <c r="BI353" s="971"/>
      <c r="BJ353" s="971"/>
      <c r="BK353" s="971"/>
      <c r="BL353" s="1246"/>
      <c r="BM353" s="1247" t="s">
        <v>2129</v>
      </c>
    </row>
    <row r="354" spans="1:65" s="1247" customFormat="1" ht="66" customHeight="1">
      <c r="A354" s="1272">
        <v>7000</v>
      </c>
      <c r="B354" s="971" t="s">
        <v>2420</v>
      </c>
      <c r="C354" s="1272">
        <v>7400</v>
      </c>
      <c r="D354" s="971" t="s">
        <v>1316</v>
      </c>
      <c r="E354" s="1272">
        <v>7440</v>
      </c>
      <c r="F354" s="971" t="s">
        <v>3600</v>
      </c>
      <c r="G354" s="971">
        <v>7443</v>
      </c>
      <c r="H354" s="971" t="s">
        <v>6601</v>
      </c>
      <c r="I354" s="1273" t="s">
        <v>7125</v>
      </c>
      <c r="J354" s="971" t="s">
        <v>2146</v>
      </c>
      <c r="K354" s="971" t="s">
        <v>2129</v>
      </c>
      <c r="L354" s="971" t="s">
        <v>2130</v>
      </c>
      <c r="M354" s="971" t="s">
        <v>2129</v>
      </c>
      <c r="N354" s="971" t="s">
        <v>176</v>
      </c>
      <c r="O354" s="971" t="s">
        <v>2130</v>
      </c>
      <c r="P354" s="971" t="s">
        <v>7045</v>
      </c>
      <c r="Q354" s="971" t="s">
        <v>7046</v>
      </c>
      <c r="R354" s="971" t="s">
        <v>5511</v>
      </c>
      <c r="S354" s="1274">
        <v>1</v>
      </c>
      <c r="T354" s="971" t="s">
        <v>242</v>
      </c>
      <c r="U354" s="1275">
        <v>6.666666666666667</v>
      </c>
      <c r="V354" s="1275">
        <v>25</v>
      </c>
      <c r="W354" s="1275">
        <v>666.08920634920639</v>
      </c>
      <c r="X354" s="1275">
        <v>250</v>
      </c>
      <c r="Y354" s="1275">
        <v>941.08920634920639</v>
      </c>
      <c r="Z354" s="1129">
        <v>6.666666666666667</v>
      </c>
      <c r="AA354" s="1129">
        <v>25</v>
      </c>
      <c r="AB354" s="1129">
        <v>666.08920634920639</v>
      </c>
      <c r="AC354" s="1129">
        <v>250</v>
      </c>
      <c r="AD354" s="1098">
        <v>941.08920634920639</v>
      </c>
      <c r="AE354" s="1135">
        <v>4</v>
      </c>
      <c r="AF354" s="1129">
        <v>4</v>
      </c>
      <c r="AG354" s="1127">
        <v>1</v>
      </c>
      <c r="AH354" s="1127">
        <v>0</v>
      </c>
      <c r="AI354" s="1127">
        <v>0</v>
      </c>
      <c r="AJ354" s="1127">
        <v>1</v>
      </c>
      <c r="AK354" s="1129">
        <v>941.08920634920639</v>
      </c>
      <c r="AL354" s="1129">
        <v>0</v>
      </c>
      <c r="AM354" s="1129">
        <v>0</v>
      </c>
      <c r="AN354" s="1129">
        <v>941.08920634920639</v>
      </c>
      <c r="AO354" s="1129" t="s">
        <v>85</v>
      </c>
      <c r="AP354" s="1129" t="s">
        <v>96</v>
      </c>
      <c r="AQ354" s="1157">
        <v>2014</v>
      </c>
      <c r="AR354" s="1129" t="s">
        <v>87</v>
      </c>
      <c r="AS354" s="1127">
        <v>0.33333333333333331</v>
      </c>
      <c r="AT354" s="1127"/>
      <c r="AU354" s="1127">
        <v>0.33333333333333331</v>
      </c>
      <c r="AV354" s="1127"/>
      <c r="AW354" s="1127"/>
      <c r="AX354" s="1127"/>
      <c r="AY354" s="1127"/>
      <c r="AZ354" s="1127">
        <v>0.33333333333333331</v>
      </c>
      <c r="BA354" s="1129">
        <v>313.69640211640211</v>
      </c>
      <c r="BB354" s="1129">
        <v>0</v>
      </c>
      <c r="BC354" s="1129">
        <v>313.69640211640211</v>
      </c>
      <c r="BD354" s="1129">
        <v>0</v>
      </c>
      <c r="BE354" s="1129">
        <v>0</v>
      </c>
      <c r="BF354" s="1129">
        <v>0</v>
      </c>
      <c r="BG354" s="1129">
        <v>0</v>
      </c>
      <c r="BH354" s="1129">
        <v>313.69640211640211</v>
      </c>
      <c r="BI354" s="971"/>
      <c r="BJ354" s="971"/>
      <c r="BK354" s="971"/>
      <c r="BL354" s="1246"/>
      <c r="BM354" s="1247" t="s">
        <v>2129</v>
      </c>
    </row>
    <row r="355" spans="1:65" s="1247" customFormat="1" ht="66" customHeight="1">
      <c r="A355" s="1272">
        <v>7000</v>
      </c>
      <c r="B355" s="971" t="s">
        <v>2420</v>
      </c>
      <c r="C355" s="1272">
        <v>7400</v>
      </c>
      <c r="D355" s="971" t="s">
        <v>1316</v>
      </c>
      <c r="E355" s="1272">
        <v>7440</v>
      </c>
      <c r="F355" s="971" t="s">
        <v>3600</v>
      </c>
      <c r="G355" s="971">
        <v>7443</v>
      </c>
      <c r="H355" s="971" t="s">
        <v>6601</v>
      </c>
      <c r="I355" s="1273" t="s">
        <v>7126</v>
      </c>
      <c r="J355" s="971" t="s">
        <v>2146</v>
      </c>
      <c r="K355" s="971" t="s">
        <v>2127</v>
      </c>
      <c r="L355" s="971" t="s">
        <v>2177</v>
      </c>
      <c r="M355" s="971" t="s">
        <v>2127</v>
      </c>
      <c r="N355" s="971" t="s">
        <v>176</v>
      </c>
      <c r="O355" s="971" t="s">
        <v>2177</v>
      </c>
      <c r="P355" s="971" t="s">
        <v>7127</v>
      </c>
      <c r="Q355" s="971" t="s">
        <v>7128</v>
      </c>
      <c r="R355" s="971" t="s">
        <v>5512</v>
      </c>
      <c r="S355" s="1274">
        <v>1</v>
      </c>
      <c r="T355" s="971" t="s">
        <v>242</v>
      </c>
      <c r="U355" s="1275">
        <v>10</v>
      </c>
      <c r="V355" s="1275">
        <v>45</v>
      </c>
      <c r="W355" s="1275">
        <v>999.13380952380965</v>
      </c>
      <c r="X355" s="1275">
        <v>450</v>
      </c>
      <c r="Y355" s="1275">
        <v>1494.1338095238098</v>
      </c>
      <c r="Z355" s="1129">
        <v>10</v>
      </c>
      <c r="AA355" s="1129">
        <v>45</v>
      </c>
      <c r="AB355" s="1129">
        <v>999.13380952380965</v>
      </c>
      <c r="AC355" s="1129">
        <v>450</v>
      </c>
      <c r="AD355" s="1098">
        <v>1494.1338095238098</v>
      </c>
      <c r="AE355" s="1135">
        <v>24</v>
      </c>
      <c r="AF355" s="1129">
        <v>24</v>
      </c>
      <c r="AG355" s="1127">
        <v>1</v>
      </c>
      <c r="AH355" s="1127">
        <v>0</v>
      </c>
      <c r="AI355" s="1127">
        <v>0</v>
      </c>
      <c r="AJ355" s="1127">
        <v>1</v>
      </c>
      <c r="AK355" s="1129">
        <v>1494.1338095238098</v>
      </c>
      <c r="AL355" s="1129">
        <v>0</v>
      </c>
      <c r="AM355" s="1129">
        <v>0</v>
      </c>
      <c r="AN355" s="1129">
        <v>1494.1338095238098</v>
      </c>
      <c r="AO355" s="1129" t="s">
        <v>85</v>
      </c>
      <c r="AP355" s="1129" t="s">
        <v>96</v>
      </c>
      <c r="AQ355" s="1157">
        <v>2014</v>
      </c>
      <c r="AR355" s="1129" t="s">
        <v>87</v>
      </c>
      <c r="AS355" s="1127">
        <v>0.33333333333333331</v>
      </c>
      <c r="AT355" s="1127"/>
      <c r="AU355" s="1127">
        <v>0.33333333333333331</v>
      </c>
      <c r="AV355" s="1127"/>
      <c r="AW355" s="1127"/>
      <c r="AX355" s="1127"/>
      <c r="AY355" s="1127"/>
      <c r="AZ355" s="1127">
        <v>0.33333333333333331</v>
      </c>
      <c r="BA355" s="1129">
        <v>498.04460317460325</v>
      </c>
      <c r="BB355" s="1129">
        <v>0</v>
      </c>
      <c r="BC355" s="1129">
        <v>498.04460317460325</v>
      </c>
      <c r="BD355" s="1129">
        <v>0</v>
      </c>
      <c r="BE355" s="1129">
        <v>0</v>
      </c>
      <c r="BF355" s="1129">
        <v>0</v>
      </c>
      <c r="BG355" s="1129">
        <v>0</v>
      </c>
      <c r="BH355" s="1129">
        <v>498.04460317460325</v>
      </c>
      <c r="BI355" s="971"/>
      <c r="BJ355" s="971"/>
      <c r="BK355" s="971"/>
      <c r="BL355" s="1246"/>
      <c r="BM355" s="1247" t="s">
        <v>2129</v>
      </c>
    </row>
    <row r="356" spans="1:65" s="1247" customFormat="1" ht="66" customHeight="1">
      <c r="A356" s="1272">
        <v>7000</v>
      </c>
      <c r="B356" s="971" t="s">
        <v>2420</v>
      </c>
      <c r="C356" s="1272">
        <v>7400</v>
      </c>
      <c r="D356" s="971" t="s">
        <v>1316</v>
      </c>
      <c r="E356" s="1272">
        <v>7440</v>
      </c>
      <c r="F356" s="971" t="s">
        <v>3600</v>
      </c>
      <c r="G356" s="971">
        <v>7443</v>
      </c>
      <c r="H356" s="971" t="s">
        <v>6601</v>
      </c>
      <c r="I356" s="1273" t="s">
        <v>7129</v>
      </c>
      <c r="J356" s="971" t="s">
        <v>2146</v>
      </c>
      <c r="K356" s="971" t="s">
        <v>2129</v>
      </c>
      <c r="L356" s="971" t="s">
        <v>2130</v>
      </c>
      <c r="M356" s="971" t="s">
        <v>2129</v>
      </c>
      <c r="N356" s="971" t="s">
        <v>176</v>
      </c>
      <c r="O356" s="971" t="s">
        <v>2130</v>
      </c>
      <c r="P356" s="971" t="s">
        <v>6663</v>
      </c>
      <c r="Q356" s="971" t="s">
        <v>7048</v>
      </c>
      <c r="R356" s="971" t="s">
        <v>5515</v>
      </c>
      <c r="S356" s="1274">
        <v>1</v>
      </c>
      <c r="T356" s="971" t="s">
        <v>242</v>
      </c>
      <c r="U356" s="1275">
        <v>6.666666666666667</v>
      </c>
      <c r="V356" s="1275">
        <v>25</v>
      </c>
      <c r="W356" s="1275">
        <v>666.08920634920639</v>
      </c>
      <c r="X356" s="1275">
        <v>250</v>
      </c>
      <c r="Y356" s="1275">
        <v>941.08920634920639</v>
      </c>
      <c r="Z356" s="1129">
        <v>6.666666666666667</v>
      </c>
      <c r="AA356" s="1129">
        <v>25</v>
      </c>
      <c r="AB356" s="1129">
        <v>666.08920634920639</v>
      </c>
      <c r="AC356" s="1129">
        <v>250</v>
      </c>
      <c r="AD356" s="1098">
        <v>941.08920634920639</v>
      </c>
      <c r="AE356" s="1135">
        <v>4</v>
      </c>
      <c r="AF356" s="1129">
        <v>4</v>
      </c>
      <c r="AG356" s="1127">
        <v>1</v>
      </c>
      <c r="AH356" s="1127">
        <v>0</v>
      </c>
      <c r="AI356" s="1127">
        <v>0</v>
      </c>
      <c r="AJ356" s="1127">
        <v>1</v>
      </c>
      <c r="AK356" s="1129">
        <v>941.08920634920639</v>
      </c>
      <c r="AL356" s="1129">
        <v>0</v>
      </c>
      <c r="AM356" s="1129">
        <v>0</v>
      </c>
      <c r="AN356" s="1129">
        <v>941.08920634920639</v>
      </c>
      <c r="AO356" s="1129" t="s">
        <v>85</v>
      </c>
      <c r="AP356" s="1129" t="s">
        <v>96</v>
      </c>
      <c r="AQ356" s="1157">
        <v>2014</v>
      </c>
      <c r="AR356" s="1129" t="s">
        <v>87</v>
      </c>
      <c r="AS356" s="1127">
        <v>0.33333333333333331</v>
      </c>
      <c r="AT356" s="1127"/>
      <c r="AU356" s="1127">
        <v>0.33333333333333331</v>
      </c>
      <c r="AV356" s="1127"/>
      <c r="AW356" s="1127"/>
      <c r="AX356" s="1127"/>
      <c r="AY356" s="1127"/>
      <c r="AZ356" s="1127">
        <v>0.33333333333333331</v>
      </c>
      <c r="BA356" s="1129">
        <v>313.69640211640211</v>
      </c>
      <c r="BB356" s="1129">
        <v>0</v>
      </c>
      <c r="BC356" s="1129">
        <v>313.69640211640211</v>
      </c>
      <c r="BD356" s="1129">
        <v>0</v>
      </c>
      <c r="BE356" s="1129">
        <v>0</v>
      </c>
      <c r="BF356" s="1129">
        <v>0</v>
      </c>
      <c r="BG356" s="1129">
        <v>0</v>
      </c>
      <c r="BH356" s="1129">
        <v>313.69640211640211</v>
      </c>
      <c r="BI356" s="971"/>
      <c r="BJ356" s="971"/>
      <c r="BK356" s="971"/>
      <c r="BL356" s="1246"/>
      <c r="BM356" s="1247" t="s">
        <v>2129</v>
      </c>
    </row>
    <row r="357" spans="1:65" s="1247" customFormat="1" ht="66" customHeight="1">
      <c r="A357" s="1272">
        <v>7000</v>
      </c>
      <c r="B357" s="971" t="s">
        <v>2420</v>
      </c>
      <c r="C357" s="1272">
        <v>7400</v>
      </c>
      <c r="D357" s="971" t="s">
        <v>1316</v>
      </c>
      <c r="E357" s="1272">
        <v>7440</v>
      </c>
      <c r="F357" s="971" t="s">
        <v>3600</v>
      </c>
      <c r="G357" s="971">
        <v>7443</v>
      </c>
      <c r="H357" s="971" t="s">
        <v>6601</v>
      </c>
      <c r="I357" s="1273" t="s">
        <v>7130</v>
      </c>
      <c r="J357" s="971" t="s">
        <v>2146</v>
      </c>
      <c r="K357" s="971" t="s">
        <v>2129</v>
      </c>
      <c r="L357" s="971" t="s">
        <v>2130</v>
      </c>
      <c r="M357" s="971" t="s">
        <v>2129</v>
      </c>
      <c r="N357" s="971" t="s">
        <v>176</v>
      </c>
      <c r="O357" s="971" t="s">
        <v>2130</v>
      </c>
      <c r="P357" s="971" t="s">
        <v>6632</v>
      </c>
      <c r="Q357" s="971" t="s">
        <v>7052</v>
      </c>
      <c r="R357" s="971" t="s">
        <v>5516</v>
      </c>
      <c r="S357" s="1274">
        <v>1</v>
      </c>
      <c r="T357" s="971" t="s">
        <v>242</v>
      </c>
      <c r="U357" s="1275">
        <v>6.666666666666667</v>
      </c>
      <c r="V357" s="1275">
        <v>25</v>
      </c>
      <c r="W357" s="1275">
        <v>666.08920634920639</v>
      </c>
      <c r="X357" s="1275">
        <v>250</v>
      </c>
      <c r="Y357" s="1275">
        <v>941.08920634920639</v>
      </c>
      <c r="Z357" s="1129">
        <v>6.666666666666667</v>
      </c>
      <c r="AA357" s="1129">
        <v>25</v>
      </c>
      <c r="AB357" s="1129">
        <v>666.08920634920639</v>
      </c>
      <c r="AC357" s="1129">
        <v>250</v>
      </c>
      <c r="AD357" s="1098">
        <v>941.08920634920639</v>
      </c>
      <c r="AE357" s="1135">
        <v>4</v>
      </c>
      <c r="AF357" s="1129">
        <v>4</v>
      </c>
      <c r="AG357" s="1127">
        <v>1</v>
      </c>
      <c r="AH357" s="1127">
        <v>0</v>
      </c>
      <c r="AI357" s="1127">
        <v>0</v>
      </c>
      <c r="AJ357" s="1127">
        <v>1</v>
      </c>
      <c r="AK357" s="1129">
        <v>941.08920634920639</v>
      </c>
      <c r="AL357" s="1129">
        <v>0</v>
      </c>
      <c r="AM357" s="1129">
        <v>0</v>
      </c>
      <c r="AN357" s="1129">
        <v>941.08920634920639</v>
      </c>
      <c r="AO357" s="1129" t="s">
        <v>85</v>
      </c>
      <c r="AP357" s="1129" t="s">
        <v>96</v>
      </c>
      <c r="AQ357" s="1157">
        <v>2014</v>
      </c>
      <c r="AR357" s="1129" t="s">
        <v>87</v>
      </c>
      <c r="AS357" s="1127">
        <v>0.33333333333333331</v>
      </c>
      <c r="AT357" s="1127"/>
      <c r="AU357" s="1127">
        <v>0.33333333333333331</v>
      </c>
      <c r="AV357" s="1127"/>
      <c r="AW357" s="1127"/>
      <c r="AX357" s="1127"/>
      <c r="AY357" s="1127"/>
      <c r="AZ357" s="1127">
        <v>0.33333333333333331</v>
      </c>
      <c r="BA357" s="1129">
        <v>313.69640211640211</v>
      </c>
      <c r="BB357" s="1129">
        <v>0</v>
      </c>
      <c r="BC357" s="1129">
        <v>313.69640211640211</v>
      </c>
      <c r="BD357" s="1129">
        <v>0</v>
      </c>
      <c r="BE357" s="1129">
        <v>0</v>
      </c>
      <c r="BF357" s="1129">
        <v>0</v>
      </c>
      <c r="BG357" s="1129">
        <v>0</v>
      </c>
      <c r="BH357" s="1129">
        <v>313.69640211640211</v>
      </c>
      <c r="BI357" s="971"/>
      <c r="BJ357" s="971"/>
      <c r="BK357" s="971"/>
      <c r="BL357" s="1246"/>
      <c r="BM357" s="1247" t="s">
        <v>2129</v>
      </c>
    </row>
    <row r="358" spans="1:65" s="1247" customFormat="1" ht="66" customHeight="1">
      <c r="A358" s="1272">
        <v>7000</v>
      </c>
      <c r="B358" s="971" t="s">
        <v>2420</v>
      </c>
      <c r="C358" s="1272">
        <v>7400</v>
      </c>
      <c r="D358" s="971" t="s">
        <v>1316</v>
      </c>
      <c r="E358" s="1272">
        <v>7440</v>
      </c>
      <c r="F358" s="971" t="s">
        <v>3600</v>
      </c>
      <c r="G358" s="971">
        <v>7443</v>
      </c>
      <c r="H358" s="971" t="s">
        <v>6601</v>
      </c>
      <c r="I358" s="1273" t="s">
        <v>7131</v>
      </c>
      <c r="J358" s="971" t="s">
        <v>2146</v>
      </c>
      <c r="K358" s="971" t="s">
        <v>2129</v>
      </c>
      <c r="L358" s="971" t="s">
        <v>2130</v>
      </c>
      <c r="M358" s="971" t="s">
        <v>2129</v>
      </c>
      <c r="N358" s="971" t="s">
        <v>176</v>
      </c>
      <c r="O358" s="971" t="s">
        <v>2130</v>
      </c>
      <c r="P358" s="971" t="s">
        <v>6632</v>
      </c>
      <c r="Q358" s="971" t="s">
        <v>7052</v>
      </c>
      <c r="R358" s="971" t="s">
        <v>5517</v>
      </c>
      <c r="S358" s="1274">
        <v>1</v>
      </c>
      <c r="T358" s="971" t="s">
        <v>242</v>
      </c>
      <c r="U358" s="1275">
        <v>6.666666666666667</v>
      </c>
      <c r="V358" s="1275">
        <v>25</v>
      </c>
      <c r="W358" s="1275">
        <v>666.08920634920639</v>
      </c>
      <c r="X358" s="1275">
        <v>250</v>
      </c>
      <c r="Y358" s="1275">
        <v>941.08920634920639</v>
      </c>
      <c r="Z358" s="1129">
        <v>6.666666666666667</v>
      </c>
      <c r="AA358" s="1129">
        <v>25</v>
      </c>
      <c r="AB358" s="1129">
        <v>666.08920634920639</v>
      </c>
      <c r="AC358" s="1129">
        <v>250</v>
      </c>
      <c r="AD358" s="1098">
        <v>941.08920634920639</v>
      </c>
      <c r="AE358" s="1135">
        <v>4</v>
      </c>
      <c r="AF358" s="1129">
        <v>4</v>
      </c>
      <c r="AG358" s="1127">
        <v>1</v>
      </c>
      <c r="AH358" s="1127">
        <v>0</v>
      </c>
      <c r="AI358" s="1127">
        <v>0</v>
      </c>
      <c r="AJ358" s="1127">
        <v>1</v>
      </c>
      <c r="AK358" s="1129">
        <v>941.08920634920639</v>
      </c>
      <c r="AL358" s="1129">
        <v>0</v>
      </c>
      <c r="AM358" s="1129">
        <v>0</v>
      </c>
      <c r="AN358" s="1129">
        <v>941.08920634920639</v>
      </c>
      <c r="AO358" s="1129" t="s">
        <v>85</v>
      </c>
      <c r="AP358" s="1129" t="s">
        <v>96</v>
      </c>
      <c r="AQ358" s="1157">
        <v>2014</v>
      </c>
      <c r="AR358" s="1129" t="s">
        <v>87</v>
      </c>
      <c r="AS358" s="1127">
        <v>0.33333333333333331</v>
      </c>
      <c r="AT358" s="1127"/>
      <c r="AU358" s="1127">
        <v>0.33333333333333331</v>
      </c>
      <c r="AV358" s="1127"/>
      <c r="AW358" s="1127"/>
      <c r="AX358" s="1127"/>
      <c r="AY358" s="1127"/>
      <c r="AZ358" s="1127">
        <v>0.33333333333333331</v>
      </c>
      <c r="BA358" s="1129">
        <v>313.69640211640211</v>
      </c>
      <c r="BB358" s="1129">
        <v>0</v>
      </c>
      <c r="BC358" s="1129">
        <v>313.69640211640211</v>
      </c>
      <c r="BD358" s="1129">
        <v>0</v>
      </c>
      <c r="BE358" s="1129">
        <v>0</v>
      </c>
      <c r="BF358" s="1129">
        <v>0</v>
      </c>
      <c r="BG358" s="1129">
        <v>0</v>
      </c>
      <c r="BH358" s="1129">
        <v>313.69640211640211</v>
      </c>
      <c r="BI358" s="971"/>
      <c r="BJ358" s="971"/>
      <c r="BK358" s="971"/>
      <c r="BL358" s="1246"/>
      <c r="BM358" s="1247" t="s">
        <v>2129</v>
      </c>
    </row>
    <row r="359" spans="1:65" s="1247" customFormat="1" ht="66" customHeight="1">
      <c r="A359" s="1272">
        <v>7000</v>
      </c>
      <c r="B359" s="971" t="s">
        <v>2420</v>
      </c>
      <c r="C359" s="1272">
        <v>7400</v>
      </c>
      <c r="D359" s="971" t="s">
        <v>1316</v>
      </c>
      <c r="E359" s="1272">
        <v>7440</v>
      </c>
      <c r="F359" s="971" t="s">
        <v>3600</v>
      </c>
      <c r="G359" s="971">
        <v>7443</v>
      </c>
      <c r="H359" s="971" t="s">
        <v>6601</v>
      </c>
      <c r="I359" s="1273" t="s">
        <v>7132</v>
      </c>
      <c r="J359" s="971" t="s">
        <v>2146</v>
      </c>
      <c r="K359" s="971" t="s">
        <v>2129</v>
      </c>
      <c r="L359" s="971" t="s">
        <v>2130</v>
      </c>
      <c r="M359" s="971" t="s">
        <v>2129</v>
      </c>
      <c r="N359" s="971" t="s">
        <v>176</v>
      </c>
      <c r="O359" s="971" t="s">
        <v>2130</v>
      </c>
      <c r="P359" s="971" t="s">
        <v>6632</v>
      </c>
      <c r="Q359" s="971" t="s">
        <v>7052</v>
      </c>
      <c r="R359" s="971" t="s">
        <v>5518</v>
      </c>
      <c r="S359" s="1274">
        <v>1</v>
      </c>
      <c r="T359" s="971" t="s">
        <v>242</v>
      </c>
      <c r="U359" s="1275">
        <v>6.666666666666667</v>
      </c>
      <c r="V359" s="1275">
        <v>25</v>
      </c>
      <c r="W359" s="1275">
        <v>666.08920634920639</v>
      </c>
      <c r="X359" s="1275">
        <v>250</v>
      </c>
      <c r="Y359" s="1275">
        <v>941.08920634920639</v>
      </c>
      <c r="Z359" s="1129">
        <v>6.666666666666667</v>
      </c>
      <c r="AA359" s="1129">
        <v>25</v>
      </c>
      <c r="AB359" s="1129">
        <v>666.08920634920639</v>
      </c>
      <c r="AC359" s="1129">
        <v>250</v>
      </c>
      <c r="AD359" s="1098">
        <v>941.08920634920639</v>
      </c>
      <c r="AE359" s="1135">
        <v>4</v>
      </c>
      <c r="AF359" s="1129">
        <v>4</v>
      </c>
      <c r="AG359" s="1127">
        <v>1</v>
      </c>
      <c r="AH359" s="1127">
        <v>0</v>
      </c>
      <c r="AI359" s="1127">
        <v>0</v>
      </c>
      <c r="AJ359" s="1127">
        <v>1</v>
      </c>
      <c r="AK359" s="1129">
        <v>941.08920634920639</v>
      </c>
      <c r="AL359" s="1129">
        <v>0</v>
      </c>
      <c r="AM359" s="1129">
        <v>0</v>
      </c>
      <c r="AN359" s="1129">
        <v>941.08920634920639</v>
      </c>
      <c r="AO359" s="1129" t="s">
        <v>85</v>
      </c>
      <c r="AP359" s="1129" t="s">
        <v>96</v>
      </c>
      <c r="AQ359" s="1157">
        <v>2014</v>
      </c>
      <c r="AR359" s="1129" t="s">
        <v>87</v>
      </c>
      <c r="AS359" s="1127">
        <v>0.33333333333333331</v>
      </c>
      <c r="AT359" s="1127"/>
      <c r="AU359" s="1127">
        <v>0.33333333333333331</v>
      </c>
      <c r="AV359" s="1127"/>
      <c r="AW359" s="1127"/>
      <c r="AX359" s="1127"/>
      <c r="AY359" s="1127"/>
      <c r="AZ359" s="1127">
        <v>0.33333333333333331</v>
      </c>
      <c r="BA359" s="1129">
        <v>313.69640211640211</v>
      </c>
      <c r="BB359" s="1129">
        <v>0</v>
      </c>
      <c r="BC359" s="1129">
        <v>313.69640211640211</v>
      </c>
      <c r="BD359" s="1129">
        <v>0</v>
      </c>
      <c r="BE359" s="1129">
        <v>0</v>
      </c>
      <c r="BF359" s="1129">
        <v>0</v>
      </c>
      <c r="BG359" s="1129">
        <v>0</v>
      </c>
      <c r="BH359" s="1129">
        <v>313.69640211640211</v>
      </c>
      <c r="BI359" s="971"/>
      <c r="BJ359" s="971"/>
      <c r="BK359" s="971"/>
      <c r="BL359" s="1246"/>
      <c r="BM359" s="1247" t="s">
        <v>2129</v>
      </c>
    </row>
    <row r="360" spans="1:65" s="1247" customFormat="1" ht="66" customHeight="1">
      <c r="A360" s="1272">
        <v>7000</v>
      </c>
      <c r="B360" s="971" t="s">
        <v>2420</v>
      </c>
      <c r="C360" s="1272">
        <v>7400</v>
      </c>
      <c r="D360" s="971" t="s">
        <v>1316</v>
      </c>
      <c r="E360" s="1272">
        <v>7440</v>
      </c>
      <c r="F360" s="971" t="s">
        <v>3600</v>
      </c>
      <c r="G360" s="971">
        <v>7443</v>
      </c>
      <c r="H360" s="971" t="s">
        <v>6601</v>
      </c>
      <c r="I360" s="1273" t="s">
        <v>7133</v>
      </c>
      <c r="J360" s="971" t="s">
        <v>2146</v>
      </c>
      <c r="K360" s="971" t="s">
        <v>2129</v>
      </c>
      <c r="L360" s="971" t="s">
        <v>2130</v>
      </c>
      <c r="M360" s="971" t="s">
        <v>2129</v>
      </c>
      <c r="N360" s="971" t="s">
        <v>176</v>
      </c>
      <c r="O360" s="971" t="s">
        <v>2130</v>
      </c>
      <c r="P360" s="971" t="s">
        <v>6632</v>
      </c>
      <c r="Q360" s="971" t="s">
        <v>7052</v>
      </c>
      <c r="R360" s="971" t="s">
        <v>5519</v>
      </c>
      <c r="S360" s="1274">
        <v>1</v>
      </c>
      <c r="T360" s="971" t="s">
        <v>242</v>
      </c>
      <c r="U360" s="1275">
        <v>6.666666666666667</v>
      </c>
      <c r="V360" s="1275">
        <v>25</v>
      </c>
      <c r="W360" s="1275">
        <v>666.08920634920639</v>
      </c>
      <c r="X360" s="1275">
        <v>250</v>
      </c>
      <c r="Y360" s="1275">
        <v>941.08920634920639</v>
      </c>
      <c r="Z360" s="1129">
        <v>6.666666666666667</v>
      </c>
      <c r="AA360" s="1129">
        <v>25</v>
      </c>
      <c r="AB360" s="1129">
        <v>666.08920634920639</v>
      </c>
      <c r="AC360" s="1129">
        <v>250</v>
      </c>
      <c r="AD360" s="1098">
        <v>941.08920634920639</v>
      </c>
      <c r="AE360" s="1135">
        <v>4</v>
      </c>
      <c r="AF360" s="1129">
        <v>4</v>
      </c>
      <c r="AG360" s="1127">
        <v>1</v>
      </c>
      <c r="AH360" s="1127">
        <v>0</v>
      </c>
      <c r="AI360" s="1127">
        <v>0</v>
      </c>
      <c r="AJ360" s="1127">
        <v>1</v>
      </c>
      <c r="AK360" s="1129">
        <v>941.08920634920639</v>
      </c>
      <c r="AL360" s="1129">
        <v>0</v>
      </c>
      <c r="AM360" s="1129">
        <v>0</v>
      </c>
      <c r="AN360" s="1129">
        <v>941.08920634920639</v>
      </c>
      <c r="AO360" s="1129" t="s">
        <v>85</v>
      </c>
      <c r="AP360" s="1129" t="s">
        <v>96</v>
      </c>
      <c r="AQ360" s="1157">
        <v>2014</v>
      </c>
      <c r="AR360" s="1129" t="s">
        <v>87</v>
      </c>
      <c r="AS360" s="1127">
        <v>0.33333333333333331</v>
      </c>
      <c r="AT360" s="1127"/>
      <c r="AU360" s="1127">
        <v>0.33333333333333331</v>
      </c>
      <c r="AV360" s="1127"/>
      <c r="AW360" s="1127"/>
      <c r="AX360" s="1127"/>
      <c r="AY360" s="1127"/>
      <c r="AZ360" s="1127">
        <v>0.33333333333333331</v>
      </c>
      <c r="BA360" s="1129">
        <v>313.69640211640211</v>
      </c>
      <c r="BB360" s="1129">
        <v>0</v>
      </c>
      <c r="BC360" s="1129">
        <v>313.69640211640211</v>
      </c>
      <c r="BD360" s="1129">
        <v>0</v>
      </c>
      <c r="BE360" s="1129">
        <v>0</v>
      </c>
      <c r="BF360" s="1129">
        <v>0</v>
      </c>
      <c r="BG360" s="1129">
        <v>0</v>
      </c>
      <c r="BH360" s="1129">
        <v>313.69640211640211</v>
      </c>
      <c r="BI360" s="971"/>
      <c r="BJ360" s="971"/>
      <c r="BK360" s="971"/>
      <c r="BL360" s="1246"/>
      <c r="BM360" s="1247" t="s">
        <v>2129</v>
      </c>
    </row>
    <row r="361" spans="1:65" s="1247" customFormat="1" ht="66" customHeight="1">
      <c r="A361" s="1272">
        <v>7000</v>
      </c>
      <c r="B361" s="971" t="s">
        <v>2420</v>
      </c>
      <c r="C361" s="1272">
        <v>7400</v>
      </c>
      <c r="D361" s="971" t="s">
        <v>1316</v>
      </c>
      <c r="E361" s="1272">
        <v>7440</v>
      </c>
      <c r="F361" s="971" t="s">
        <v>3600</v>
      </c>
      <c r="G361" s="971">
        <v>7443</v>
      </c>
      <c r="H361" s="971" t="s">
        <v>6601</v>
      </c>
      <c r="I361" s="1273" t="s">
        <v>7134</v>
      </c>
      <c r="J361" s="971" t="s">
        <v>2146</v>
      </c>
      <c r="K361" s="971" t="s">
        <v>2129</v>
      </c>
      <c r="L361" s="971" t="s">
        <v>2130</v>
      </c>
      <c r="M361" s="971" t="s">
        <v>2129</v>
      </c>
      <c r="N361" s="971" t="s">
        <v>176</v>
      </c>
      <c r="O361" s="971" t="s">
        <v>2130</v>
      </c>
      <c r="P361" s="971" t="s">
        <v>6632</v>
      </c>
      <c r="Q361" s="971" t="s">
        <v>7052</v>
      </c>
      <c r="R361" s="971" t="s">
        <v>5520</v>
      </c>
      <c r="S361" s="1274">
        <v>1</v>
      </c>
      <c r="T361" s="971" t="s">
        <v>242</v>
      </c>
      <c r="U361" s="1275">
        <v>6.666666666666667</v>
      </c>
      <c r="V361" s="1275">
        <v>25</v>
      </c>
      <c r="W361" s="1275">
        <v>666.08920634920639</v>
      </c>
      <c r="X361" s="1275">
        <v>250</v>
      </c>
      <c r="Y361" s="1275">
        <v>941.08920634920639</v>
      </c>
      <c r="Z361" s="1129">
        <v>6.666666666666667</v>
      </c>
      <c r="AA361" s="1129">
        <v>25</v>
      </c>
      <c r="AB361" s="1129">
        <v>666.08920634920639</v>
      </c>
      <c r="AC361" s="1129">
        <v>250</v>
      </c>
      <c r="AD361" s="1098">
        <v>941.08920634920639</v>
      </c>
      <c r="AE361" s="1135">
        <v>4</v>
      </c>
      <c r="AF361" s="1129">
        <v>4</v>
      </c>
      <c r="AG361" s="1127">
        <v>1</v>
      </c>
      <c r="AH361" s="1127">
        <v>0</v>
      </c>
      <c r="AI361" s="1127">
        <v>0</v>
      </c>
      <c r="AJ361" s="1127">
        <v>1</v>
      </c>
      <c r="AK361" s="1129">
        <v>941.08920634920639</v>
      </c>
      <c r="AL361" s="1129">
        <v>0</v>
      </c>
      <c r="AM361" s="1129">
        <v>0</v>
      </c>
      <c r="AN361" s="1129">
        <v>941.08920634920639</v>
      </c>
      <c r="AO361" s="1129" t="s">
        <v>85</v>
      </c>
      <c r="AP361" s="1129" t="s">
        <v>96</v>
      </c>
      <c r="AQ361" s="1157">
        <v>2014</v>
      </c>
      <c r="AR361" s="1129" t="s">
        <v>87</v>
      </c>
      <c r="AS361" s="1127">
        <v>0.33333333333333331</v>
      </c>
      <c r="AT361" s="1127"/>
      <c r="AU361" s="1127">
        <v>0.33333333333333331</v>
      </c>
      <c r="AV361" s="1127"/>
      <c r="AW361" s="1127"/>
      <c r="AX361" s="1127"/>
      <c r="AY361" s="1127"/>
      <c r="AZ361" s="1127">
        <v>0.33333333333333331</v>
      </c>
      <c r="BA361" s="1129">
        <v>313.69640211640211</v>
      </c>
      <c r="BB361" s="1129">
        <v>0</v>
      </c>
      <c r="BC361" s="1129">
        <v>313.69640211640211</v>
      </c>
      <c r="BD361" s="1129">
        <v>0</v>
      </c>
      <c r="BE361" s="1129">
        <v>0</v>
      </c>
      <c r="BF361" s="1129">
        <v>0</v>
      </c>
      <c r="BG361" s="1129">
        <v>0</v>
      </c>
      <c r="BH361" s="1129">
        <v>313.69640211640211</v>
      </c>
      <c r="BI361" s="971"/>
      <c r="BJ361" s="971"/>
      <c r="BK361" s="971"/>
      <c r="BL361" s="1246"/>
      <c r="BM361" s="1247" t="s">
        <v>2129</v>
      </c>
    </row>
    <row r="362" spans="1:65" s="1247" customFormat="1" ht="66" customHeight="1">
      <c r="A362" s="1272">
        <v>7000</v>
      </c>
      <c r="B362" s="971" t="s">
        <v>2420</v>
      </c>
      <c r="C362" s="1272">
        <v>7400</v>
      </c>
      <c r="D362" s="971" t="s">
        <v>1316</v>
      </c>
      <c r="E362" s="1272">
        <v>7440</v>
      </c>
      <c r="F362" s="971" t="s">
        <v>3600</v>
      </c>
      <c r="G362" s="971">
        <v>7443</v>
      </c>
      <c r="H362" s="971" t="s">
        <v>6601</v>
      </c>
      <c r="I362" s="1273" t="s">
        <v>7135</v>
      </c>
      <c r="J362" s="971" t="s">
        <v>2146</v>
      </c>
      <c r="K362" s="971" t="s">
        <v>2127</v>
      </c>
      <c r="L362" s="971" t="s">
        <v>2177</v>
      </c>
      <c r="M362" s="971" t="s">
        <v>2127</v>
      </c>
      <c r="N362" s="971" t="s">
        <v>176</v>
      </c>
      <c r="O362" s="971" t="s">
        <v>2177</v>
      </c>
      <c r="P362" s="971" t="s">
        <v>3065</v>
      </c>
      <c r="Q362" s="971" t="s">
        <v>7136</v>
      </c>
      <c r="R362" s="971" t="s">
        <v>5521</v>
      </c>
      <c r="S362" s="1274">
        <v>1</v>
      </c>
      <c r="T362" s="971" t="s">
        <v>242</v>
      </c>
      <c r="U362" s="1275">
        <v>10</v>
      </c>
      <c r="V362" s="1275">
        <v>45</v>
      </c>
      <c r="W362" s="1275">
        <v>999.13380952380965</v>
      </c>
      <c r="X362" s="1275">
        <v>450</v>
      </c>
      <c r="Y362" s="1275">
        <v>1494.1338095238098</v>
      </c>
      <c r="Z362" s="1129">
        <v>10</v>
      </c>
      <c r="AA362" s="1129">
        <v>45</v>
      </c>
      <c r="AB362" s="1129">
        <v>999.13380952380965</v>
      </c>
      <c r="AC362" s="1129">
        <v>450</v>
      </c>
      <c r="AD362" s="1098">
        <v>1494.1338095238098</v>
      </c>
      <c r="AE362" s="1135">
        <v>24</v>
      </c>
      <c r="AF362" s="1129">
        <v>24</v>
      </c>
      <c r="AG362" s="1127">
        <v>1</v>
      </c>
      <c r="AH362" s="1127">
        <v>0</v>
      </c>
      <c r="AI362" s="1127">
        <v>0</v>
      </c>
      <c r="AJ362" s="1127">
        <v>1</v>
      </c>
      <c r="AK362" s="1129">
        <v>1494.1338095238098</v>
      </c>
      <c r="AL362" s="1129">
        <v>0</v>
      </c>
      <c r="AM362" s="1129">
        <v>0</v>
      </c>
      <c r="AN362" s="1129">
        <v>1494.1338095238098</v>
      </c>
      <c r="AO362" s="1129" t="s">
        <v>85</v>
      </c>
      <c r="AP362" s="1129" t="s">
        <v>96</v>
      </c>
      <c r="AQ362" s="1157">
        <v>2014</v>
      </c>
      <c r="AR362" s="1129" t="s">
        <v>87</v>
      </c>
      <c r="AS362" s="1127">
        <v>0.33333333333333331</v>
      </c>
      <c r="AT362" s="1127"/>
      <c r="AU362" s="1127">
        <v>0.33333333333333331</v>
      </c>
      <c r="AV362" s="1127"/>
      <c r="AW362" s="1127"/>
      <c r="AX362" s="1127"/>
      <c r="AY362" s="1127"/>
      <c r="AZ362" s="1127">
        <v>0.33333333333333331</v>
      </c>
      <c r="BA362" s="1129">
        <v>498.04460317460325</v>
      </c>
      <c r="BB362" s="1129">
        <v>0</v>
      </c>
      <c r="BC362" s="1129">
        <v>498.04460317460325</v>
      </c>
      <c r="BD362" s="1129">
        <v>0</v>
      </c>
      <c r="BE362" s="1129">
        <v>0</v>
      </c>
      <c r="BF362" s="1129">
        <v>0</v>
      </c>
      <c r="BG362" s="1129">
        <v>0</v>
      </c>
      <c r="BH362" s="1129">
        <v>498.04460317460325</v>
      </c>
      <c r="BI362" s="971"/>
      <c r="BJ362" s="971"/>
      <c r="BK362" s="971"/>
      <c r="BL362" s="1246"/>
      <c r="BM362" s="1247" t="s">
        <v>2129</v>
      </c>
    </row>
    <row r="363" spans="1:65" s="1247" customFormat="1" ht="66" customHeight="1">
      <c r="A363" s="1272">
        <v>7000</v>
      </c>
      <c r="B363" s="971" t="s">
        <v>2420</v>
      </c>
      <c r="C363" s="1272">
        <v>7400</v>
      </c>
      <c r="D363" s="971" t="s">
        <v>1316</v>
      </c>
      <c r="E363" s="1272">
        <v>7440</v>
      </c>
      <c r="F363" s="971" t="s">
        <v>3600</v>
      </c>
      <c r="G363" s="971">
        <v>7443</v>
      </c>
      <c r="H363" s="971" t="s">
        <v>6601</v>
      </c>
      <c r="I363" s="1273" t="s">
        <v>7137</v>
      </c>
      <c r="J363" s="971" t="s">
        <v>2146</v>
      </c>
      <c r="K363" s="971" t="s">
        <v>2127</v>
      </c>
      <c r="L363" s="971" t="s">
        <v>2177</v>
      </c>
      <c r="M363" s="971" t="s">
        <v>2127</v>
      </c>
      <c r="N363" s="971" t="s">
        <v>176</v>
      </c>
      <c r="O363" s="971" t="s">
        <v>2177</v>
      </c>
      <c r="P363" s="971" t="s">
        <v>6911</v>
      </c>
      <c r="Q363" s="971" t="s">
        <v>7059</v>
      </c>
      <c r="R363" s="971" t="s">
        <v>5522</v>
      </c>
      <c r="S363" s="1274">
        <v>1</v>
      </c>
      <c r="T363" s="971" t="s">
        <v>242</v>
      </c>
      <c r="U363" s="1275">
        <v>10</v>
      </c>
      <c r="V363" s="1275">
        <v>45</v>
      </c>
      <c r="W363" s="1275">
        <v>999.13380952380965</v>
      </c>
      <c r="X363" s="1275">
        <v>450</v>
      </c>
      <c r="Y363" s="1275">
        <v>1494.1338095238098</v>
      </c>
      <c r="Z363" s="1129">
        <v>10</v>
      </c>
      <c r="AA363" s="1129">
        <v>45</v>
      </c>
      <c r="AB363" s="1129">
        <v>999.13380952380965</v>
      </c>
      <c r="AC363" s="1129">
        <v>450</v>
      </c>
      <c r="AD363" s="1098">
        <v>1494.1338095238098</v>
      </c>
      <c r="AE363" s="1135">
        <v>24</v>
      </c>
      <c r="AF363" s="1129">
        <v>24</v>
      </c>
      <c r="AG363" s="1127">
        <v>1</v>
      </c>
      <c r="AH363" s="1127">
        <v>0</v>
      </c>
      <c r="AI363" s="1127">
        <v>0</v>
      </c>
      <c r="AJ363" s="1127">
        <v>1</v>
      </c>
      <c r="AK363" s="1129">
        <v>1494.1338095238098</v>
      </c>
      <c r="AL363" s="1129">
        <v>0</v>
      </c>
      <c r="AM363" s="1129">
        <v>0</v>
      </c>
      <c r="AN363" s="1129">
        <v>1494.1338095238098</v>
      </c>
      <c r="AO363" s="1129" t="s">
        <v>85</v>
      </c>
      <c r="AP363" s="1129" t="s">
        <v>96</v>
      </c>
      <c r="AQ363" s="1157">
        <v>2014</v>
      </c>
      <c r="AR363" s="1129" t="s">
        <v>87</v>
      </c>
      <c r="AS363" s="1127">
        <v>0.33333333333333331</v>
      </c>
      <c r="AT363" s="1127"/>
      <c r="AU363" s="1127">
        <v>0.33333333333333331</v>
      </c>
      <c r="AV363" s="1127"/>
      <c r="AW363" s="1127"/>
      <c r="AX363" s="1127"/>
      <c r="AY363" s="1127"/>
      <c r="AZ363" s="1127">
        <v>0.33333333333333331</v>
      </c>
      <c r="BA363" s="1129">
        <v>498.04460317460325</v>
      </c>
      <c r="BB363" s="1129">
        <v>0</v>
      </c>
      <c r="BC363" s="1129">
        <v>498.04460317460325</v>
      </c>
      <c r="BD363" s="1129">
        <v>0</v>
      </c>
      <c r="BE363" s="1129">
        <v>0</v>
      </c>
      <c r="BF363" s="1129">
        <v>0</v>
      </c>
      <c r="BG363" s="1129">
        <v>0</v>
      </c>
      <c r="BH363" s="1129">
        <v>498.04460317460325</v>
      </c>
      <c r="BI363" s="971"/>
      <c r="BJ363" s="971"/>
      <c r="BK363" s="971"/>
      <c r="BL363" s="1246"/>
      <c r="BM363" s="1247" t="s">
        <v>2129</v>
      </c>
    </row>
    <row r="364" spans="1:65" s="1247" customFormat="1" ht="66" customHeight="1">
      <c r="A364" s="1272">
        <v>7000</v>
      </c>
      <c r="B364" s="971" t="s">
        <v>2420</v>
      </c>
      <c r="C364" s="1272">
        <v>7400</v>
      </c>
      <c r="D364" s="971" t="s">
        <v>1316</v>
      </c>
      <c r="E364" s="1272">
        <v>7440</v>
      </c>
      <c r="F364" s="971" t="s">
        <v>3600</v>
      </c>
      <c r="G364" s="971">
        <v>7443</v>
      </c>
      <c r="H364" s="971" t="s">
        <v>6601</v>
      </c>
      <c r="I364" s="1273" t="s">
        <v>7138</v>
      </c>
      <c r="J364" s="971" t="s">
        <v>2146</v>
      </c>
      <c r="K364" s="971" t="s">
        <v>2129</v>
      </c>
      <c r="L364" s="971" t="s">
        <v>2130</v>
      </c>
      <c r="M364" s="971" t="s">
        <v>2129</v>
      </c>
      <c r="N364" s="971" t="s">
        <v>176</v>
      </c>
      <c r="O364" s="971" t="s">
        <v>2130</v>
      </c>
      <c r="P364" s="971" t="s">
        <v>7060</v>
      </c>
      <c r="Q364" s="971" t="s">
        <v>7061</v>
      </c>
      <c r="R364" s="971" t="s">
        <v>5523</v>
      </c>
      <c r="S364" s="1274">
        <v>1</v>
      </c>
      <c r="T364" s="971" t="s">
        <v>242</v>
      </c>
      <c r="U364" s="1275">
        <v>6.666666666666667</v>
      </c>
      <c r="V364" s="1275">
        <v>25</v>
      </c>
      <c r="W364" s="1275">
        <v>666.08920634920639</v>
      </c>
      <c r="X364" s="1275">
        <v>250</v>
      </c>
      <c r="Y364" s="1275">
        <v>941.08920634920639</v>
      </c>
      <c r="Z364" s="1129">
        <v>6.666666666666667</v>
      </c>
      <c r="AA364" s="1129">
        <v>25</v>
      </c>
      <c r="AB364" s="1129">
        <v>666.08920634920639</v>
      </c>
      <c r="AC364" s="1129">
        <v>250</v>
      </c>
      <c r="AD364" s="1098">
        <v>941.08920634920639</v>
      </c>
      <c r="AE364" s="1135">
        <v>4</v>
      </c>
      <c r="AF364" s="1129">
        <v>4</v>
      </c>
      <c r="AG364" s="1127">
        <v>1</v>
      </c>
      <c r="AH364" s="1127">
        <v>0</v>
      </c>
      <c r="AI364" s="1127">
        <v>0</v>
      </c>
      <c r="AJ364" s="1127">
        <v>1</v>
      </c>
      <c r="AK364" s="1129">
        <v>941.08920634920639</v>
      </c>
      <c r="AL364" s="1129">
        <v>0</v>
      </c>
      <c r="AM364" s="1129">
        <v>0</v>
      </c>
      <c r="AN364" s="1129">
        <v>941.08920634920639</v>
      </c>
      <c r="AO364" s="1129" t="s">
        <v>85</v>
      </c>
      <c r="AP364" s="1129" t="s">
        <v>96</v>
      </c>
      <c r="AQ364" s="1157">
        <v>2014</v>
      </c>
      <c r="AR364" s="1129" t="s">
        <v>87</v>
      </c>
      <c r="AS364" s="1127">
        <v>0.33333333333333331</v>
      </c>
      <c r="AT364" s="1127"/>
      <c r="AU364" s="1127">
        <v>0.33333333333333331</v>
      </c>
      <c r="AV364" s="1127"/>
      <c r="AW364" s="1127"/>
      <c r="AX364" s="1127"/>
      <c r="AY364" s="1127"/>
      <c r="AZ364" s="1127">
        <v>0.33333333333333331</v>
      </c>
      <c r="BA364" s="1129">
        <v>313.69640211640211</v>
      </c>
      <c r="BB364" s="1129">
        <v>0</v>
      </c>
      <c r="BC364" s="1129">
        <v>313.69640211640211</v>
      </c>
      <c r="BD364" s="1129">
        <v>0</v>
      </c>
      <c r="BE364" s="1129">
        <v>0</v>
      </c>
      <c r="BF364" s="1129">
        <v>0</v>
      </c>
      <c r="BG364" s="1129">
        <v>0</v>
      </c>
      <c r="BH364" s="1129">
        <v>313.69640211640211</v>
      </c>
      <c r="BI364" s="971"/>
      <c r="BJ364" s="971"/>
      <c r="BK364" s="971"/>
      <c r="BL364" s="1246"/>
      <c r="BM364" s="1247" t="s">
        <v>2129</v>
      </c>
    </row>
    <row r="365" spans="1:65" s="1247" customFormat="1" ht="66" customHeight="1">
      <c r="A365" s="1272">
        <v>7000</v>
      </c>
      <c r="B365" s="971" t="s">
        <v>2420</v>
      </c>
      <c r="C365" s="1272">
        <v>7400</v>
      </c>
      <c r="D365" s="971" t="s">
        <v>1316</v>
      </c>
      <c r="E365" s="1272">
        <v>7440</v>
      </c>
      <c r="F365" s="971" t="s">
        <v>3600</v>
      </c>
      <c r="G365" s="971">
        <v>7443</v>
      </c>
      <c r="H365" s="971" t="s">
        <v>6601</v>
      </c>
      <c r="I365" s="1273" t="s">
        <v>7139</v>
      </c>
      <c r="J365" s="971" t="s">
        <v>2146</v>
      </c>
      <c r="K365" s="971" t="s">
        <v>2129</v>
      </c>
      <c r="L365" s="971" t="s">
        <v>2130</v>
      </c>
      <c r="M365" s="971" t="s">
        <v>2129</v>
      </c>
      <c r="N365" s="971" t="s">
        <v>176</v>
      </c>
      <c r="O365" s="971" t="s">
        <v>2130</v>
      </c>
      <c r="P365" s="971" t="s">
        <v>7060</v>
      </c>
      <c r="Q365" s="971" t="s">
        <v>7061</v>
      </c>
      <c r="R365" s="971" t="s">
        <v>5524</v>
      </c>
      <c r="S365" s="1274">
        <v>1</v>
      </c>
      <c r="T365" s="971" t="s">
        <v>242</v>
      </c>
      <c r="U365" s="1275">
        <v>6.666666666666667</v>
      </c>
      <c r="V365" s="1275">
        <v>25</v>
      </c>
      <c r="W365" s="1275">
        <v>666.08920634920639</v>
      </c>
      <c r="X365" s="1275">
        <v>250</v>
      </c>
      <c r="Y365" s="1275">
        <v>941.08920634920639</v>
      </c>
      <c r="Z365" s="1129">
        <v>6.666666666666667</v>
      </c>
      <c r="AA365" s="1129">
        <v>25</v>
      </c>
      <c r="AB365" s="1129">
        <v>666.08920634920639</v>
      </c>
      <c r="AC365" s="1129">
        <v>250</v>
      </c>
      <c r="AD365" s="1098">
        <v>941.08920634920639</v>
      </c>
      <c r="AE365" s="1135">
        <v>4</v>
      </c>
      <c r="AF365" s="1129">
        <v>4</v>
      </c>
      <c r="AG365" s="1127">
        <v>1</v>
      </c>
      <c r="AH365" s="1127">
        <v>0</v>
      </c>
      <c r="AI365" s="1127">
        <v>0</v>
      </c>
      <c r="AJ365" s="1127">
        <v>1</v>
      </c>
      <c r="AK365" s="1129">
        <v>941.08920634920639</v>
      </c>
      <c r="AL365" s="1129">
        <v>0</v>
      </c>
      <c r="AM365" s="1129">
        <v>0</v>
      </c>
      <c r="AN365" s="1129">
        <v>941.08920634920639</v>
      </c>
      <c r="AO365" s="1129" t="s">
        <v>85</v>
      </c>
      <c r="AP365" s="1129" t="s">
        <v>96</v>
      </c>
      <c r="AQ365" s="1157">
        <v>2014</v>
      </c>
      <c r="AR365" s="1129" t="s">
        <v>87</v>
      </c>
      <c r="AS365" s="1127">
        <v>0.33333333333333331</v>
      </c>
      <c r="AT365" s="1127"/>
      <c r="AU365" s="1127">
        <v>0.33333333333333331</v>
      </c>
      <c r="AV365" s="1127"/>
      <c r="AW365" s="1127"/>
      <c r="AX365" s="1127"/>
      <c r="AY365" s="1127"/>
      <c r="AZ365" s="1127">
        <v>0.33333333333333331</v>
      </c>
      <c r="BA365" s="1129">
        <v>313.69640211640211</v>
      </c>
      <c r="BB365" s="1129">
        <v>0</v>
      </c>
      <c r="BC365" s="1129">
        <v>313.69640211640211</v>
      </c>
      <c r="BD365" s="1129">
        <v>0</v>
      </c>
      <c r="BE365" s="1129">
        <v>0</v>
      </c>
      <c r="BF365" s="1129">
        <v>0</v>
      </c>
      <c r="BG365" s="1129">
        <v>0</v>
      </c>
      <c r="BH365" s="1129">
        <v>313.69640211640211</v>
      </c>
      <c r="BI365" s="971"/>
      <c r="BJ365" s="971"/>
      <c r="BK365" s="971"/>
      <c r="BL365" s="1246"/>
      <c r="BM365" s="1247" t="s">
        <v>2129</v>
      </c>
    </row>
    <row r="366" spans="1:65" s="1247" customFormat="1" ht="66" customHeight="1">
      <c r="A366" s="1272">
        <v>7000</v>
      </c>
      <c r="B366" s="971" t="s">
        <v>2420</v>
      </c>
      <c r="C366" s="1272">
        <v>7400</v>
      </c>
      <c r="D366" s="971" t="s">
        <v>1316</v>
      </c>
      <c r="E366" s="1272">
        <v>7440</v>
      </c>
      <c r="F366" s="971" t="s">
        <v>3600</v>
      </c>
      <c r="G366" s="971">
        <v>7443</v>
      </c>
      <c r="H366" s="971" t="s">
        <v>6601</v>
      </c>
      <c r="I366" s="1273" t="s">
        <v>7140</v>
      </c>
      <c r="J366" s="971" t="s">
        <v>2146</v>
      </c>
      <c r="K366" s="971" t="s">
        <v>2129</v>
      </c>
      <c r="L366" s="971" t="s">
        <v>2130</v>
      </c>
      <c r="M366" s="971" t="s">
        <v>2129</v>
      </c>
      <c r="N366" s="971" t="s">
        <v>176</v>
      </c>
      <c r="O366" s="971" t="s">
        <v>2130</v>
      </c>
      <c r="P366" s="971" t="s">
        <v>7060</v>
      </c>
      <c r="Q366" s="971" t="s">
        <v>7061</v>
      </c>
      <c r="R366" s="971" t="s">
        <v>5525</v>
      </c>
      <c r="S366" s="1274">
        <v>1</v>
      </c>
      <c r="T366" s="971" t="s">
        <v>242</v>
      </c>
      <c r="U366" s="1275">
        <v>6.666666666666667</v>
      </c>
      <c r="V366" s="1275">
        <v>25</v>
      </c>
      <c r="W366" s="1275">
        <v>666.08920634920639</v>
      </c>
      <c r="X366" s="1275">
        <v>250</v>
      </c>
      <c r="Y366" s="1275">
        <v>941.08920634920639</v>
      </c>
      <c r="Z366" s="1129">
        <v>6.666666666666667</v>
      </c>
      <c r="AA366" s="1129">
        <v>25</v>
      </c>
      <c r="AB366" s="1129">
        <v>666.08920634920639</v>
      </c>
      <c r="AC366" s="1129">
        <v>250</v>
      </c>
      <c r="AD366" s="1098">
        <v>941.08920634920639</v>
      </c>
      <c r="AE366" s="1135">
        <v>4</v>
      </c>
      <c r="AF366" s="1129">
        <v>4</v>
      </c>
      <c r="AG366" s="1127">
        <v>1</v>
      </c>
      <c r="AH366" s="1127">
        <v>0</v>
      </c>
      <c r="AI366" s="1127">
        <v>0</v>
      </c>
      <c r="AJ366" s="1127">
        <v>1</v>
      </c>
      <c r="AK366" s="1129">
        <v>941.08920634920639</v>
      </c>
      <c r="AL366" s="1129">
        <v>0</v>
      </c>
      <c r="AM366" s="1129">
        <v>0</v>
      </c>
      <c r="AN366" s="1129">
        <v>941.08920634920639</v>
      </c>
      <c r="AO366" s="1129" t="s">
        <v>85</v>
      </c>
      <c r="AP366" s="1129" t="s">
        <v>96</v>
      </c>
      <c r="AQ366" s="1157">
        <v>2014</v>
      </c>
      <c r="AR366" s="1129" t="s">
        <v>87</v>
      </c>
      <c r="AS366" s="1127">
        <v>0.33333333333333331</v>
      </c>
      <c r="AT366" s="1127"/>
      <c r="AU366" s="1127">
        <v>0.33333333333333331</v>
      </c>
      <c r="AV366" s="1127"/>
      <c r="AW366" s="1127"/>
      <c r="AX366" s="1127"/>
      <c r="AY366" s="1127"/>
      <c r="AZ366" s="1127">
        <v>0.33333333333333331</v>
      </c>
      <c r="BA366" s="1129">
        <v>313.69640211640211</v>
      </c>
      <c r="BB366" s="1129">
        <v>0</v>
      </c>
      <c r="BC366" s="1129">
        <v>313.69640211640211</v>
      </c>
      <c r="BD366" s="1129">
        <v>0</v>
      </c>
      <c r="BE366" s="1129">
        <v>0</v>
      </c>
      <c r="BF366" s="1129">
        <v>0</v>
      </c>
      <c r="BG366" s="1129">
        <v>0</v>
      </c>
      <c r="BH366" s="1129">
        <v>313.69640211640211</v>
      </c>
      <c r="BI366" s="971"/>
      <c r="BJ366" s="971"/>
      <c r="BK366" s="971"/>
      <c r="BL366" s="1246"/>
      <c r="BM366" s="1247" t="s">
        <v>2129</v>
      </c>
    </row>
    <row r="367" spans="1:65" s="1247" customFormat="1" ht="66" customHeight="1">
      <c r="A367" s="1272">
        <v>7000</v>
      </c>
      <c r="B367" s="971" t="s">
        <v>2420</v>
      </c>
      <c r="C367" s="1272">
        <v>7400</v>
      </c>
      <c r="D367" s="971" t="s">
        <v>1316</v>
      </c>
      <c r="E367" s="1272">
        <v>7440</v>
      </c>
      <c r="F367" s="971" t="s">
        <v>3600</v>
      </c>
      <c r="G367" s="971">
        <v>7443</v>
      </c>
      <c r="H367" s="971" t="s">
        <v>6601</v>
      </c>
      <c r="I367" s="1273" t="s">
        <v>7141</v>
      </c>
      <c r="J367" s="971" t="s">
        <v>2146</v>
      </c>
      <c r="K367" s="971" t="s">
        <v>2129</v>
      </c>
      <c r="L367" s="971" t="s">
        <v>2130</v>
      </c>
      <c r="M367" s="971" t="s">
        <v>2129</v>
      </c>
      <c r="N367" s="971" t="s">
        <v>176</v>
      </c>
      <c r="O367" s="971" t="s">
        <v>2130</v>
      </c>
      <c r="P367" s="971" t="s">
        <v>7060</v>
      </c>
      <c r="Q367" s="971" t="s">
        <v>7061</v>
      </c>
      <c r="R367" s="971" t="s">
        <v>5526</v>
      </c>
      <c r="S367" s="1274">
        <v>1</v>
      </c>
      <c r="T367" s="971" t="s">
        <v>242</v>
      </c>
      <c r="U367" s="1275">
        <v>6.666666666666667</v>
      </c>
      <c r="V367" s="1275">
        <v>25</v>
      </c>
      <c r="W367" s="1275">
        <v>666.08920634920639</v>
      </c>
      <c r="X367" s="1275">
        <v>250</v>
      </c>
      <c r="Y367" s="1275">
        <v>941.08920634920639</v>
      </c>
      <c r="Z367" s="1129">
        <v>6.666666666666667</v>
      </c>
      <c r="AA367" s="1129">
        <v>25</v>
      </c>
      <c r="AB367" s="1129">
        <v>666.08920634920639</v>
      </c>
      <c r="AC367" s="1129">
        <v>250</v>
      </c>
      <c r="AD367" s="1098">
        <v>941.08920634920639</v>
      </c>
      <c r="AE367" s="1135">
        <v>4</v>
      </c>
      <c r="AF367" s="1129">
        <v>4</v>
      </c>
      <c r="AG367" s="1127">
        <v>1</v>
      </c>
      <c r="AH367" s="1127">
        <v>0</v>
      </c>
      <c r="AI367" s="1127">
        <v>0</v>
      </c>
      <c r="AJ367" s="1127">
        <v>1</v>
      </c>
      <c r="AK367" s="1129">
        <v>941.08920634920639</v>
      </c>
      <c r="AL367" s="1129">
        <v>0</v>
      </c>
      <c r="AM367" s="1129">
        <v>0</v>
      </c>
      <c r="AN367" s="1129">
        <v>941.08920634920639</v>
      </c>
      <c r="AO367" s="1129" t="s">
        <v>85</v>
      </c>
      <c r="AP367" s="1129" t="s">
        <v>96</v>
      </c>
      <c r="AQ367" s="1157">
        <v>2014</v>
      </c>
      <c r="AR367" s="1129" t="s">
        <v>87</v>
      </c>
      <c r="AS367" s="1127">
        <v>0.33333333333333331</v>
      </c>
      <c r="AT367" s="1127"/>
      <c r="AU367" s="1127">
        <v>0.33333333333333331</v>
      </c>
      <c r="AV367" s="1127"/>
      <c r="AW367" s="1127"/>
      <c r="AX367" s="1127"/>
      <c r="AY367" s="1127"/>
      <c r="AZ367" s="1127">
        <v>0.33333333333333331</v>
      </c>
      <c r="BA367" s="1129">
        <v>313.69640211640211</v>
      </c>
      <c r="BB367" s="1129">
        <v>0</v>
      </c>
      <c r="BC367" s="1129">
        <v>313.69640211640211</v>
      </c>
      <c r="BD367" s="1129">
        <v>0</v>
      </c>
      <c r="BE367" s="1129">
        <v>0</v>
      </c>
      <c r="BF367" s="1129">
        <v>0</v>
      </c>
      <c r="BG367" s="1129">
        <v>0</v>
      </c>
      <c r="BH367" s="1129">
        <v>313.69640211640211</v>
      </c>
      <c r="BI367" s="971"/>
      <c r="BJ367" s="971"/>
      <c r="BK367" s="971"/>
      <c r="BL367" s="1246"/>
      <c r="BM367" s="1247" t="s">
        <v>2129</v>
      </c>
    </row>
    <row r="368" spans="1:65" s="1247" customFormat="1" ht="66" customHeight="1">
      <c r="A368" s="1272">
        <v>7000</v>
      </c>
      <c r="B368" s="971" t="s">
        <v>2420</v>
      </c>
      <c r="C368" s="1272">
        <v>7400</v>
      </c>
      <c r="D368" s="971" t="s">
        <v>1316</v>
      </c>
      <c r="E368" s="1272">
        <v>7440</v>
      </c>
      <c r="F368" s="971" t="s">
        <v>3600</v>
      </c>
      <c r="G368" s="971">
        <v>7443</v>
      </c>
      <c r="H368" s="971" t="s">
        <v>6601</v>
      </c>
      <c r="I368" s="1273" t="s">
        <v>7142</v>
      </c>
      <c r="J368" s="971" t="s">
        <v>2146</v>
      </c>
      <c r="K368" s="971" t="s">
        <v>2129</v>
      </c>
      <c r="L368" s="971" t="s">
        <v>2130</v>
      </c>
      <c r="M368" s="971" t="s">
        <v>2129</v>
      </c>
      <c r="N368" s="971" t="s">
        <v>176</v>
      </c>
      <c r="O368" s="971" t="s">
        <v>2130</v>
      </c>
      <c r="P368" s="971" t="s">
        <v>7060</v>
      </c>
      <c r="Q368" s="971" t="s">
        <v>7061</v>
      </c>
      <c r="R368" s="971" t="s">
        <v>5527</v>
      </c>
      <c r="S368" s="1274">
        <v>1</v>
      </c>
      <c r="T368" s="971" t="s">
        <v>242</v>
      </c>
      <c r="U368" s="1275">
        <v>6.666666666666667</v>
      </c>
      <c r="V368" s="1275">
        <v>25</v>
      </c>
      <c r="W368" s="1275">
        <v>666.08920634920639</v>
      </c>
      <c r="X368" s="1275">
        <v>250</v>
      </c>
      <c r="Y368" s="1275">
        <v>941.08920634920639</v>
      </c>
      <c r="Z368" s="1129">
        <v>6.666666666666667</v>
      </c>
      <c r="AA368" s="1129">
        <v>25</v>
      </c>
      <c r="AB368" s="1129">
        <v>666.08920634920639</v>
      </c>
      <c r="AC368" s="1129">
        <v>250</v>
      </c>
      <c r="AD368" s="1098">
        <v>941.08920634920639</v>
      </c>
      <c r="AE368" s="1135">
        <v>4</v>
      </c>
      <c r="AF368" s="1129">
        <v>4</v>
      </c>
      <c r="AG368" s="1127">
        <v>1</v>
      </c>
      <c r="AH368" s="1127">
        <v>0</v>
      </c>
      <c r="AI368" s="1127">
        <v>0</v>
      </c>
      <c r="AJ368" s="1127">
        <v>1</v>
      </c>
      <c r="AK368" s="1129">
        <v>941.08920634920639</v>
      </c>
      <c r="AL368" s="1129">
        <v>0</v>
      </c>
      <c r="AM368" s="1129">
        <v>0</v>
      </c>
      <c r="AN368" s="1129">
        <v>941.08920634920639</v>
      </c>
      <c r="AO368" s="1129" t="s">
        <v>85</v>
      </c>
      <c r="AP368" s="1129" t="s">
        <v>96</v>
      </c>
      <c r="AQ368" s="1157">
        <v>2014</v>
      </c>
      <c r="AR368" s="1129" t="s">
        <v>87</v>
      </c>
      <c r="AS368" s="1127">
        <v>0.33333333333333331</v>
      </c>
      <c r="AT368" s="1127"/>
      <c r="AU368" s="1127">
        <v>0.33333333333333331</v>
      </c>
      <c r="AV368" s="1127"/>
      <c r="AW368" s="1127"/>
      <c r="AX368" s="1127"/>
      <c r="AY368" s="1127"/>
      <c r="AZ368" s="1127">
        <v>0.33333333333333331</v>
      </c>
      <c r="BA368" s="1129">
        <v>313.69640211640211</v>
      </c>
      <c r="BB368" s="1129">
        <v>0</v>
      </c>
      <c r="BC368" s="1129">
        <v>313.69640211640211</v>
      </c>
      <c r="BD368" s="1129">
        <v>0</v>
      </c>
      <c r="BE368" s="1129">
        <v>0</v>
      </c>
      <c r="BF368" s="1129">
        <v>0</v>
      </c>
      <c r="BG368" s="1129">
        <v>0</v>
      </c>
      <c r="BH368" s="1129">
        <v>313.69640211640211</v>
      </c>
      <c r="BI368" s="971"/>
      <c r="BJ368" s="971"/>
      <c r="BK368" s="971"/>
      <c r="BL368" s="1246"/>
      <c r="BM368" s="1247" t="s">
        <v>2129</v>
      </c>
    </row>
    <row r="369" spans="1:65" s="1247" customFormat="1" ht="66" customHeight="1">
      <c r="A369" s="1272">
        <v>7000</v>
      </c>
      <c r="B369" s="971" t="s">
        <v>2420</v>
      </c>
      <c r="C369" s="1272">
        <v>7400</v>
      </c>
      <c r="D369" s="971" t="s">
        <v>1316</v>
      </c>
      <c r="E369" s="1272">
        <v>7440</v>
      </c>
      <c r="F369" s="971" t="s">
        <v>3600</v>
      </c>
      <c r="G369" s="971">
        <v>7443</v>
      </c>
      <c r="H369" s="971" t="s">
        <v>6601</v>
      </c>
      <c r="I369" s="1273" t="s">
        <v>7143</v>
      </c>
      <c r="J369" s="971" t="s">
        <v>2146</v>
      </c>
      <c r="K369" s="971" t="s">
        <v>2129</v>
      </c>
      <c r="L369" s="971" t="s">
        <v>2130</v>
      </c>
      <c r="M369" s="971" t="s">
        <v>2129</v>
      </c>
      <c r="N369" s="971" t="s">
        <v>176</v>
      </c>
      <c r="O369" s="971" t="s">
        <v>2130</v>
      </c>
      <c r="P369" s="971" t="s">
        <v>7060</v>
      </c>
      <c r="Q369" s="971" t="s">
        <v>7061</v>
      </c>
      <c r="R369" s="971" t="s">
        <v>5528</v>
      </c>
      <c r="S369" s="1274">
        <v>1</v>
      </c>
      <c r="T369" s="971" t="s">
        <v>242</v>
      </c>
      <c r="U369" s="1275">
        <v>6.666666666666667</v>
      </c>
      <c r="V369" s="1275">
        <v>25</v>
      </c>
      <c r="W369" s="1275">
        <v>666.08920634920639</v>
      </c>
      <c r="X369" s="1275">
        <v>250</v>
      </c>
      <c r="Y369" s="1275">
        <v>941.08920634920639</v>
      </c>
      <c r="Z369" s="1129">
        <v>6.666666666666667</v>
      </c>
      <c r="AA369" s="1129">
        <v>25</v>
      </c>
      <c r="AB369" s="1129">
        <v>666.08920634920639</v>
      </c>
      <c r="AC369" s="1129">
        <v>250</v>
      </c>
      <c r="AD369" s="1098">
        <v>941.08920634920639</v>
      </c>
      <c r="AE369" s="1135">
        <v>4</v>
      </c>
      <c r="AF369" s="1129">
        <v>4</v>
      </c>
      <c r="AG369" s="1127">
        <v>1</v>
      </c>
      <c r="AH369" s="1127">
        <v>0</v>
      </c>
      <c r="AI369" s="1127">
        <v>0</v>
      </c>
      <c r="AJ369" s="1127">
        <v>1</v>
      </c>
      <c r="AK369" s="1129">
        <v>941.08920634920639</v>
      </c>
      <c r="AL369" s="1129">
        <v>0</v>
      </c>
      <c r="AM369" s="1129">
        <v>0</v>
      </c>
      <c r="AN369" s="1129">
        <v>941.08920634920639</v>
      </c>
      <c r="AO369" s="1129" t="s">
        <v>85</v>
      </c>
      <c r="AP369" s="1129" t="s">
        <v>96</v>
      </c>
      <c r="AQ369" s="1157">
        <v>2014</v>
      </c>
      <c r="AR369" s="1129" t="s">
        <v>87</v>
      </c>
      <c r="AS369" s="1127">
        <v>0.33333333333333331</v>
      </c>
      <c r="AT369" s="1127"/>
      <c r="AU369" s="1127">
        <v>0.33333333333333331</v>
      </c>
      <c r="AV369" s="1127"/>
      <c r="AW369" s="1127"/>
      <c r="AX369" s="1127"/>
      <c r="AY369" s="1127"/>
      <c r="AZ369" s="1127">
        <v>0.33333333333333331</v>
      </c>
      <c r="BA369" s="1129">
        <v>313.69640211640211</v>
      </c>
      <c r="BB369" s="1129">
        <v>0</v>
      </c>
      <c r="BC369" s="1129">
        <v>313.69640211640211</v>
      </c>
      <c r="BD369" s="1129">
        <v>0</v>
      </c>
      <c r="BE369" s="1129">
        <v>0</v>
      </c>
      <c r="BF369" s="1129">
        <v>0</v>
      </c>
      <c r="BG369" s="1129">
        <v>0</v>
      </c>
      <c r="BH369" s="1129">
        <v>313.69640211640211</v>
      </c>
      <c r="BI369" s="971"/>
      <c r="BJ369" s="971"/>
      <c r="BK369" s="971"/>
      <c r="BL369" s="1246"/>
      <c r="BM369" s="1247" t="s">
        <v>2129</v>
      </c>
    </row>
    <row r="370" spans="1:65" s="1247" customFormat="1" ht="66" customHeight="1">
      <c r="A370" s="1272">
        <v>7000</v>
      </c>
      <c r="B370" s="971" t="s">
        <v>2420</v>
      </c>
      <c r="C370" s="1272">
        <v>7400</v>
      </c>
      <c r="D370" s="971" t="s">
        <v>1316</v>
      </c>
      <c r="E370" s="1272">
        <v>7440</v>
      </c>
      <c r="F370" s="971" t="s">
        <v>3600</v>
      </c>
      <c r="G370" s="971">
        <v>7443</v>
      </c>
      <c r="H370" s="971" t="s">
        <v>6601</v>
      </c>
      <c r="I370" s="1273" t="s">
        <v>7144</v>
      </c>
      <c r="J370" s="971" t="s">
        <v>2146</v>
      </c>
      <c r="K370" s="971" t="s">
        <v>2129</v>
      </c>
      <c r="L370" s="971" t="s">
        <v>2130</v>
      </c>
      <c r="M370" s="971" t="s">
        <v>2129</v>
      </c>
      <c r="N370" s="971" t="s">
        <v>176</v>
      </c>
      <c r="O370" s="971" t="s">
        <v>2130</v>
      </c>
      <c r="P370" s="971" t="s">
        <v>7060</v>
      </c>
      <c r="Q370" s="971" t="s">
        <v>7061</v>
      </c>
      <c r="R370" s="971" t="s">
        <v>5529</v>
      </c>
      <c r="S370" s="1274">
        <v>1</v>
      </c>
      <c r="T370" s="971" t="s">
        <v>242</v>
      </c>
      <c r="U370" s="1275">
        <v>6.666666666666667</v>
      </c>
      <c r="V370" s="1275">
        <v>25</v>
      </c>
      <c r="W370" s="1275">
        <v>666.08920634920639</v>
      </c>
      <c r="X370" s="1275">
        <v>250</v>
      </c>
      <c r="Y370" s="1275">
        <v>941.08920634920639</v>
      </c>
      <c r="Z370" s="1129">
        <v>6.666666666666667</v>
      </c>
      <c r="AA370" s="1129">
        <v>25</v>
      </c>
      <c r="AB370" s="1129">
        <v>666.08920634920639</v>
      </c>
      <c r="AC370" s="1129">
        <v>250</v>
      </c>
      <c r="AD370" s="1098">
        <v>941.08920634920639</v>
      </c>
      <c r="AE370" s="1135">
        <v>4</v>
      </c>
      <c r="AF370" s="1129">
        <v>4</v>
      </c>
      <c r="AG370" s="1127">
        <v>1</v>
      </c>
      <c r="AH370" s="1127">
        <v>0</v>
      </c>
      <c r="AI370" s="1127">
        <v>0</v>
      </c>
      <c r="AJ370" s="1127">
        <v>1</v>
      </c>
      <c r="AK370" s="1129">
        <v>941.08920634920639</v>
      </c>
      <c r="AL370" s="1129">
        <v>0</v>
      </c>
      <c r="AM370" s="1129">
        <v>0</v>
      </c>
      <c r="AN370" s="1129">
        <v>941.08920634920639</v>
      </c>
      <c r="AO370" s="1129" t="s">
        <v>85</v>
      </c>
      <c r="AP370" s="1129" t="s">
        <v>96</v>
      </c>
      <c r="AQ370" s="1157">
        <v>2014</v>
      </c>
      <c r="AR370" s="1129" t="s">
        <v>87</v>
      </c>
      <c r="AS370" s="1127">
        <v>0.33333333333333331</v>
      </c>
      <c r="AT370" s="1127"/>
      <c r="AU370" s="1127">
        <v>0.33333333333333331</v>
      </c>
      <c r="AV370" s="1127"/>
      <c r="AW370" s="1127"/>
      <c r="AX370" s="1127"/>
      <c r="AY370" s="1127"/>
      <c r="AZ370" s="1127">
        <v>0.33333333333333331</v>
      </c>
      <c r="BA370" s="1129">
        <v>313.69640211640211</v>
      </c>
      <c r="BB370" s="1129">
        <v>0</v>
      </c>
      <c r="BC370" s="1129">
        <v>313.69640211640211</v>
      </c>
      <c r="BD370" s="1129">
        <v>0</v>
      </c>
      <c r="BE370" s="1129">
        <v>0</v>
      </c>
      <c r="BF370" s="1129">
        <v>0</v>
      </c>
      <c r="BG370" s="1129">
        <v>0</v>
      </c>
      <c r="BH370" s="1129">
        <v>313.69640211640211</v>
      </c>
      <c r="BI370" s="971"/>
      <c r="BJ370" s="971"/>
      <c r="BK370" s="971"/>
      <c r="BL370" s="1246"/>
      <c r="BM370" s="1247" t="s">
        <v>2129</v>
      </c>
    </row>
    <row r="371" spans="1:65" s="1247" customFormat="1" ht="66" customHeight="1">
      <c r="A371" s="1272">
        <v>7000</v>
      </c>
      <c r="B371" s="971" t="s">
        <v>2420</v>
      </c>
      <c r="C371" s="1272">
        <v>7400</v>
      </c>
      <c r="D371" s="971" t="s">
        <v>1316</v>
      </c>
      <c r="E371" s="1272">
        <v>7440</v>
      </c>
      <c r="F371" s="971" t="s">
        <v>3600</v>
      </c>
      <c r="G371" s="971">
        <v>7443</v>
      </c>
      <c r="H371" s="971" t="s">
        <v>6601</v>
      </c>
      <c r="I371" s="1273" t="s">
        <v>7145</v>
      </c>
      <c r="J371" s="971" t="s">
        <v>2146</v>
      </c>
      <c r="K371" s="971" t="s">
        <v>2129</v>
      </c>
      <c r="L371" s="971" t="s">
        <v>2130</v>
      </c>
      <c r="M371" s="971" t="s">
        <v>2129</v>
      </c>
      <c r="N371" s="971" t="s">
        <v>176</v>
      </c>
      <c r="O371" s="971" t="s">
        <v>2130</v>
      </c>
      <c r="P371" s="971" t="s">
        <v>7060</v>
      </c>
      <c r="Q371" s="971" t="s">
        <v>7061</v>
      </c>
      <c r="R371" s="971" t="s">
        <v>5530</v>
      </c>
      <c r="S371" s="1274">
        <v>1</v>
      </c>
      <c r="T371" s="971" t="s">
        <v>242</v>
      </c>
      <c r="U371" s="1275">
        <v>6.666666666666667</v>
      </c>
      <c r="V371" s="1275">
        <v>25</v>
      </c>
      <c r="W371" s="1275">
        <v>666.08920634920639</v>
      </c>
      <c r="X371" s="1275">
        <v>250</v>
      </c>
      <c r="Y371" s="1275">
        <v>941.08920634920639</v>
      </c>
      <c r="Z371" s="1129">
        <v>6.666666666666667</v>
      </c>
      <c r="AA371" s="1129">
        <v>25</v>
      </c>
      <c r="AB371" s="1129">
        <v>666.08920634920639</v>
      </c>
      <c r="AC371" s="1129">
        <v>250</v>
      </c>
      <c r="AD371" s="1098">
        <v>941.08920634920639</v>
      </c>
      <c r="AE371" s="1135">
        <v>4</v>
      </c>
      <c r="AF371" s="1129">
        <v>4</v>
      </c>
      <c r="AG371" s="1127">
        <v>1</v>
      </c>
      <c r="AH371" s="1127">
        <v>0</v>
      </c>
      <c r="AI371" s="1127">
        <v>0</v>
      </c>
      <c r="AJ371" s="1127">
        <v>1</v>
      </c>
      <c r="AK371" s="1129">
        <v>941.08920634920639</v>
      </c>
      <c r="AL371" s="1129">
        <v>0</v>
      </c>
      <c r="AM371" s="1129">
        <v>0</v>
      </c>
      <c r="AN371" s="1129">
        <v>941.08920634920639</v>
      </c>
      <c r="AO371" s="1129" t="s">
        <v>85</v>
      </c>
      <c r="AP371" s="1129" t="s">
        <v>96</v>
      </c>
      <c r="AQ371" s="1157">
        <v>2014</v>
      </c>
      <c r="AR371" s="1129" t="s">
        <v>87</v>
      </c>
      <c r="AS371" s="1127">
        <v>0.33333333333333331</v>
      </c>
      <c r="AT371" s="1127"/>
      <c r="AU371" s="1127">
        <v>0.33333333333333331</v>
      </c>
      <c r="AV371" s="1127"/>
      <c r="AW371" s="1127"/>
      <c r="AX371" s="1127"/>
      <c r="AY371" s="1127"/>
      <c r="AZ371" s="1127">
        <v>0.33333333333333331</v>
      </c>
      <c r="BA371" s="1129">
        <v>313.69640211640211</v>
      </c>
      <c r="BB371" s="1129">
        <v>0</v>
      </c>
      <c r="BC371" s="1129">
        <v>313.69640211640211</v>
      </c>
      <c r="BD371" s="1129">
        <v>0</v>
      </c>
      <c r="BE371" s="1129">
        <v>0</v>
      </c>
      <c r="BF371" s="1129">
        <v>0</v>
      </c>
      <c r="BG371" s="1129">
        <v>0</v>
      </c>
      <c r="BH371" s="1129">
        <v>313.69640211640211</v>
      </c>
      <c r="BI371" s="971"/>
      <c r="BJ371" s="971"/>
      <c r="BK371" s="971"/>
      <c r="BL371" s="1246"/>
      <c r="BM371" s="1247" t="s">
        <v>2129</v>
      </c>
    </row>
    <row r="372" spans="1:65" s="1247" customFormat="1" ht="66" customHeight="1">
      <c r="A372" s="1272">
        <v>7000</v>
      </c>
      <c r="B372" s="971" t="s">
        <v>2420</v>
      </c>
      <c r="C372" s="1272">
        <v>7400</v>
      </c>
      <c r="D372" s="971" t="s">
        <v>1316</v>
      </c>
      <c r="E372" s="1272">
        <v>7440</v>
      </c>
      <c r="F372" s="971" t="s">
        <v>3600</v>
      </c>
      <c r="G372" s="971">
        <v>7443</v>
      </c>
      <c r="H372" s="971" t="s">
        <v>6601</v>
      </c>
      <c r="I372" s="1273" t="s">
        <v>7146</v>
      </c>
      <c r="J372" s="971" t="s">
        <v>2146</v>
      </c>
      <c r="K372" s="971" t="s">
        <v>2129</v>
      </c>
      <c r="L372" s="971" t="s">
        <v>2130</v>
      </c>
      <c r="M372" s="971" t="s">
        <v>2129</v>
      </c>
      <c r="N372" s="971" t="s">
        <v>176</v>
      </c>
      <c r="O372" s="971" t="s">
        <v>2130</v>
      </c>
      <c r="P372" s="971" t="s">
        <v>7060</v>
      </c>
      <c r="Q372" s="971" t="s">
        <v>7061</v>
      </c>
      <c r="R372" s="971" t="s">
        <v>5531</v>
      </c>
      <c r="S372" s="1274">
        <v>1</v>
      </c>
      <c r="T372" s="971" t="s">
        <v>242</v>
      </c>
      <c r="U372" s="1275">
        <v>6.666666666666667</v>
      </c>
      <c r="V372" s="1275">
        <v>25</v>
      </c>
      <c r="W372" s="1275">
        <v>666.08920634920639</v>
      </c>
      <c r="X372" s="1275">
        <v>250</v>
      </c>
      <c r="Y372" s="1275">
        <v>941.08920634920639</v>
      </c>
      <c r="Z372" s="1129">
        <v>6.666666666666667</v>
      </c>
      <c r="AA372" s="1129">
        <v>25</v>
      </c>
      <c r="AB372" s="1129">
        <v>666.08920634920639</v>
      </c>
      <c r="AC372" s="1129">
        <v>250</v>
      </c>
      <c r="AD372" s="1098">
        <v>941.08920634920639</v>
      </c>
      <c r="AE372" s="1135">
        <v>4</v>
      </c>
      <c r="AF372" s="1129">
        <v>4</v>
      </c>
      <c r="AG372" s="1127">
        <v>1</v>
      </c>
      <c r="AH372" s="1127">
        <v>0</v>
      </c>
      <c r="AI372" s="1127">
        <v>0</v>
      </c>
      <c r="AJ372" s="1127">
        <v>1</v>
      </c>
      <c r="AK372" s="1129">
        <v>941.08920634920639</v>
      </c>
      <c r="AL372" s="1129">
        <v>0</v>
      </c>
      <c r="AM372" s="1129">
        <v>0</v>
      </c>
      <c r="AN372" s="1129">
        <v>941.08920634920639</v>
      </c>
      <c r="AO372" s="1129" t="s">
        <v>85</v>
      </c>
      <c r="AP372" s="1129" t="s">
        <v>96</v>
      </c>
      <c r="AQ372" s="1157">
        <v>2014</v>
      </c>
      <c r="AR372" s="1129" t="s">
        <v>87</v>
      </c>
      <c r="AS372" s="1127">
        <v>0.33333333333333331</v>
      </c>
      <c r="AT372" s="1127"/>
      <c r="AU372" s="1127">
        <v>0.33333333333333331</v>
      </c>
      <c r="AV372" s="1127"/>
      <c r="AW372" s="1127"/>
      <c r="AX372" s="1127"/>
      <c r="AY372" s="1127"/>
      <c r="AZ372" s="1127">
        <v>0.33333333333333331</v>
      </c>
      <c r="BA372" s="1129">
        <v>313.69640211640211</v>
      </c>
      <c r="BB372" s="1129">
        <v>0</v>
      </c>
      <c r="BC372" s="1129">
        <v>313.69640211640211</v>
      </c>
      <c r="BD372" s="1129">
        <v>0</v>
      </c>
      <c r="BE372" s="1129">
        <v>0</v>
      </c>
      <c r="BF372" s="1129">
        <v>0</v>
      </c>
      <c r="BG372" s="1129">
        <v>0</v>
      </c>
      <c r="BH372" s="1129">
        <v>313.69640211640211</v>
      </c>
      <c r="BI372" s="971"/>
      <c r="BJ372" s="971"/>
      <c r="BK372" s="971"/>
      <c r="BL372" s="1246"/>
      <c r="BM372" s="1247" t="s">
        <v>2129</v>
      </c>
    </row>
    <row r="373" spans="1:65" s="1247" customFormat="1" ht="66" customHeight="1">
      <c r="A373" s="1272">
        <v>7000</v>
      </c>
      <c r="B373" s="971" t="s">
        <v>2420</v>
      </c>
      <c r="C373" s="1272">
        <v>7400</v>
      </c>
      <c r="D373" s="971" t="s">
        <v>1316</v>
      </c>
      <c r="E373" s="1272">
        <v>7440</v>
      </c>
      <c r="F373" s="971" t="s">
        <v>3600</v>
      </c>
      <c r="G373" s="971">
        <v>7443</v>
      </c>
      <c r="H373" s="971" t="s">
        <v>6601</v>
      </c>
      <c r="I373" s="1273" t="s">
        <v>7147</v>
      </c>
      <c r="J373" s="971" t="s">
        <v>2146</v>
      </c>
      <c r="K373" s="971" t="s">
        <v>2129</v>
      </c>
      <c r="L373" s="971" t="s">
        <v>2130</v>
      </c>
      <c r="M373" s="971" t="s">
        <v>2129</v>
      </c>
      <c r="N373" s="971" t="s">
        <v>176</v>
      </c>
      <c r="O373" s="971" t="s">
        <v>2130</v>
      </c>
      <c r="P373" s="971" t="s">
        <v>7060</v>
      </c>
      <c r="Q373" s="971" t="s">
        <v>7061</v>
      </c>
      <c r="R373" s="971" t="s">
        <v>5532</v>
      </c>
      <c r="S373" s="1274">
        <v>1</v>
      </c>
      <c r="T373" s="971" t="s">
        <v>242</v>
      </c>
      <c r="U373" s="1275">
        <v>6.666666666666667</v>
      </c>
      <c r="V373" s="1275">
        <v>25</v>
      </c>
      <c r="W373" s="1275">
        <v>666.08920634920639</v>
      </c>
      <c r="X373" s="1275">
        <v>250</v>
      </c>
      <c r="Y373" s="1275">
        <v>941.08920634920639</v>
      </c>
      <c r="Z373" s="1129">
        <v>6.666666666666667</v>
      </c>
      <c r="AA373" s="1129">
        <v>25</v>
      </c>
      <c r="AB373" s="1129">
        <v>666.08920634920639</v>
      </c>
      <c r="AC373" s="1129">
        <v>250</v>
      </c>
      <c r="AD373" s="1098">
        <v>941.08920634920639</v>
      </c>
      <c r="AE373" s="1135">
        <v>4</v>
      </c>
      <c r="AF373" s="1129">
        <v>4</v>
      </c>
      <c r="AG373" s="1127">
        <v>1</v>
      </c>
      <c r="AH373" s="1127">
        <v>0</v>
      </c>
      <c r="AI373" s="1127">
        <v>0</v>
      </c>
      <c r="AJ373" s="1127">
        <v>1</v>
      </c>
      <c r="AK373" s="1129">
        <v>941.08920634920639</v>
      </c>
      <c r="AL373" s="1129">
        <v>0</v>
      </c>
      <c r="AM373" s="1129">
        <v>0</v>
      </c>
      <c r="AN373" s="1129">
        <v>941.08920634920639</v>
      </c>
      <c r="AO373" s="1129" t="s">
        <v>85</v>
      </c>
      <c r="AP373" s="1129" t="s">
        <v>96</v>
      </c>
      <c r="AQ373" s="1157">
        <v>2014</v>
      </c>
      <c r="AR373" s="1129" t="s">
        <v>87</v>
      </c>
      <c r="AS373" s="1127">
        <v>0.33333333333333331</v>
      </c>
      <c r="AT373" s="1127"/>
      <c r="AU373" s="1127">
        <v>0.33333333333333331</v>
      </c>
      <c r="AV373" s="1127"/>
      <c r="AW373" s="1127"/>
      <c r="AX373" s="1127"/>
      <c r="AY373" s="1127"/>
      <c r="AZ373" s="1127">
        <v>0.33333333333333331</v>
      </c>
      <c r="BA373" s="1129">
        <v>313.69640211640211</v>
      </c>
      <c r="BB373" s="1129">
        <v>0</v>
      </c>
      <c r="BC373" s="1129">
        <v>313.69640211640211</v>
      </c>
      <c r="BD373" s="1129">
        <v>0</v>
      </c>
      <c r="BE373" s="1129">
        <v>0</v>
      </c>
      <c r="BF373" s="1129">
        <v>0</v>
      </c>
      <c r="BG373" s="1129">
        <v>0</v>
      </c>
      <c r="BH373" s="1129">
        <v>313.69640211640211</v>
      </c>
      <c r="BI373" s="971"/>
      <c r="BJ373" s="971"/>
      <c r="BK373" s="971"/>
      <c r="BL373" s="1246"/>
      <c r="BM373" s="1247" t="s">
        <v>2127</v>
      </c>
    </row>
    <row r="374" spans="1:65" s="1247" customFormat="1" ht="66" customHeight="1">
      <c r="A374" s="1272">
        <v>7000</v>
      </c>
      <c r="B374" s="971" t="s">
        <v>2420</v>
      </c>
      <c r="C374" s="1272">
        <v>7400</v>
      </c>
      <c r="D374" s="971" t="s">
        <v>1316</v>
      </c>
      <c r="E374" s="1272">
        <v>7440</v>
      </c>
      <c r="F374" s="971" t="s">
        <v>3600</v>
      </c>
      <c r="G374" s="971">
        <v>7443</v>
      </c>
      <c r="H374" s="971" t="s">
        <v>6601</v>
      </c>
      <c r="I374" s="1273" t="s">
        <v>7148</v>
      </c>
      <c r="J374" s="971" t="s">
        <v>2146</v>
      </c>
      <c r="K374" s="971" t="s">
        <v>2129</v>
      </c>
      <c r="L374" s="971" t="s">
        <v>2130</v>
      </c>
      <c r="M374" s="971" t="s">
        <v>2129</v>
      </c>
      <c r="N374" s="971" t="s">
        <v>176</v>
      </c>
      <c r="O374" s="971" t="s">
        <v>2130</v>
      </c>
      <c r="P374" s="971" t="s">
        <v>7060</v>
      </c>
      <c r="Q374" s="971" t="s">
        <v>7061</v>
      </c>
      <c r="R374" s="971" t="s">
        <v>5533</v>
      </c>
      <c r="S374" s="1274">
        <v>1</v>
      </c>
      <c r="T374" s="971" t="s">
        <v>242</v>
      </c>
      <c r="U374" s="1275">
        <v>6.666666666666667</v>
      </c>
      <c r="V374" s="1275">
        <v>25</v>
      </c>
      <c r="W374" s="1275">
        <v>666.08920634920639</v>
      </c>
      <c r="X374" s="1275">
        <v>250</v>
      </c>
      <c r="Y374" s="1275">
        <v>941.08920634920639</v>
      </c>
      <c r="Z374" s="1129">
        <v>6.666666666666667</v>
      </c>
      <c r="AA374" s="1129">
        <v>25</v>
      </c>
      <c r="AB374" s="1129">
        <v>666.08920634920639</v>
      </c>
      <c r="AC374" s="1129">
        <v>250</v>
      </c>
      <c r="AD374" s="1098">
        <v>941.08920634920639</v>
      </c>
      <c r="AE374" s="1135">
        <v>4</v>
      </c>
      <c r="AF374" s="1129">
        <v>4</v>
      </c>
      <c r="AG374" s="1127">
        <v>1</v>
      </c>
      <c r="AH374" s="1127">
        <v>0</v>
      </c>
      <c r="AI374" s="1127">
        <v>0</v>
      </c>
      <c r="AJ374" s="1127">
        <v>1</v>
      </c>
      <c r="AK374" s="1129">
        <v>941.08920634920639</v>
      </c>
      <c r="AL374" s="1129">
        <v>0</v>
      </c>
      <c r="AM374" s="1129">
        <v>0</v>
      </c>
      <c r="AN374" s="1129">
        <v>941.08920634920639</v>
      </c>
      <c r="AO374" s="1129" t="s">
        <v>85</v>
      </c>
      <c r="AP374" s="1129" t="s">
        <v>96</v>
      </c>
      <c r="AQ374" s="1157">
        <v>2014</v>
      </c>
      <c r="AR374" s="1129" t="s">
        <v>87</v>
      </c>
      <c r="AS374" s="1127">
        <v>0.33333333333333331</v>
      </c>
      <c r="AT374" s="1127"/>
      <c r="AU374" s="1127">
        <v>0.33333333333333331</v>
      </c>
      <c r="AV374" s="1127"/>
      <c r="AW374" s="1127"/>
      <c r="AX374" s="1127"/>
      <c r="AY374" s="1127"/>
      <c r="AZ374" s="1127">
        <v>0.33333333333333331</v>
      </c>
      <c r="BA374" s="1129">
        <v>313.69640211640211</v>
      </c>
      <c r="BB374" s="1129">
        <v>0</v>
      </c>
      <c r="BC374" s="1129">
        <v>313.69640211640211</v>
      </c>
      <c r="BD374" s="1129">
        <v>0</v>
      </c>
      <c r="BE374" s="1129">
        <v>0</v>
      </c>
      <c r="BF374" s="1129">
        <v>0</v>
      </c>
      <c r="BG374" s="1129">
        <v>0</v>
      </c>
      <c r="BH374" s="1129">
        <v>313.69640211640211</v>
      </c>
      <c r="BI374" s="971"/>
      <c r="BJ374" s="971"/>
      <c r="BK374" s="971"/>
      <c r="BL374" s="1246"/>
      <c r="BM374" s="1247" t="s">
        <v>2125</v>
      </c>
    </row>
    <row r="375" spans="1:65" s="1247" customFormat="1" ht="82.5" customHeight="1">
      <c r="A375" s="1272">
        <v>7000</v>
      </c>
      <c r="B375" s="971" t="s">
        <v>2420</v>
      </c>
      <c r="C375" s="1272">
        <v>7400</v>
      </c>
      <c r="D375" s="971" t="s">
        <v>1316</v>
      </c>
      <c r="E375" s="1272">
        <v>7440</v>
      </c>
      <c r="F375" s="971" t="s">
        <v>3600</v>
      </c>
      <c r="G375" s="971">
        <v>7443</v>
      </c>
      <c r="H375" s="971" t="s">
        <v>6601</v>
      </c>
      <c r="I375" s="1273" t="s">
        <v>7149</v>
      </c>
      <c r="J375" s="971" t="s">
        <v>2146</v>
      </c>
      <c r="K375" s="971" t="s">
        <v>2129</v>
      </c>
      <c r="L375" s="971" t="s">
        <v>2130</v>
      </c>
      <c r="M375" s="971" t="s">
        <v>2129</v>
      </c>
      <c r="N375" s="971" t="s">
        <v>176</v>
      </c>
      <c r="O375" s="971" t="s">
        <v>2130</v>
      </c>
      <c r="P375" s="971" t="s">
        <v>7060</v>
      </c>
      <c r="Q375" s="971" t="s">
        <v>7061</v>
      </c>
      <c r="R375" s="971" t="s">
        <v>5534</v>
      </c>
      <c r="S375" s="1274">
        <v>1</v>
      </c>
      <c r="T375" s="971" t="s">
        <v>242</v>
      </c>
      <c r="U375" s="1275">
        <v>6.666666666666667</v>
      </c>
      <c r="V375" s="1275">
        <v>25</v>
      </c>
      <c r="W375" s="1275">
        <v>666.08920634920639</v>
      </c>
      <c r="X375" s="1275">
        <v>250</v>
      </c>
      <c r="Y375" s="1275">
        <v>941.08920634920639</v>
      </c>
      <c r="Z375" s="1129">
        <v>6.666666666666667</v>
      </c>
      <c r="AA375" s="1129">
        <v>25</v>
      </c>
      <c r="AB375" s="1129">
        <v>666.08920634920639</v>
      </c>
      <c r="AC375" s="1129">
        <v>250</v>
      </c>
      <c r="AD375" s="1098">
        <v>941.08920634920639</v>
      </c>
      <c r="AE375" s="1135">
        <v>4</v>
      </c>
      <c r="AF375" s="1129">
        <v>4</v>
      </c>
      <c r="AG375" s="1127">
        <v>1</v>
      </c>
      <c r="AH375" s="1127">
        <v>0</v>
      </c>
      <c r="AI375" s="1127">
        <v>0</v>
      </c>
      <c r="AJ375" s="1127">
        <v>1</v>
      </c>
      <c r="AK375" s="1129">
        <v>941.08920634920639</v>
      </c>
      <c r="AL375" s="1129">
        <v>0</v>
      </c>
      <c r="AM375" s="1129">
        <v>0</v>
      </c>
      <c r="AN375" s="1129">
        <v>941.08920634920639</v>
      </c>
      <c r="AO375" s="1129" t="s">
        <v>85</v>
      </c>
      <c r="AP375" s="1129" t="s">
        <v>96</v>
      </c>
      <c r="AQ375" s="1157">
        <v>2014</v>
      </c>
      <c r="AR375" s="1129" t="s">
        <v>87</v>
      </c>
      <c r="AS375" s="1127">
        <v>0.33333333333333331</v>
      </c>
      <c r="AT375" s="1127"/>
      <c r="AU375" s="1127">
        <v>0.33333333333333331</v>
      </c>
      <c r="AV375" s="1127"/>
      <c r="AW375" s="1127"/>
      <c r="AX375" s="1127"/>
      <c r="AY375" s="1127"/>
      <c r="AZ375" s="1127">
        <v>0.33333333333333331</v>
      </c>
      <c r="BA375" s="1129">
        <v>313.69640211640211</v>
      </c>
      <c r="BB375" s="1129">
        <v>0</v>
      </c>
      <c r="BC375" s="1129">
        <v>313.69640211640211</v>
      </c>
      <c r="BD375" s="1129">
        <v>0</v>
      </c>
      <c r="BE375" s="1129">
        <v>0</v>
      </c>
      <c r="BF375" s="1129">
        <v>0</v>
      </c>
      <c r="BG375" s="1129">
        <v>0</v>
      </c>
      <c r="BH375" s="1129">
        <v>313.69640211640211</v>
      </c>
      <c r="BI375" s="971"/>
      <c r="BJ375" s="971"/>
      <c r="BK375" s="971"/>
      <c r="BL375" s="1246"/>
      <c r="BM375" s="1247" t="s">
        <v>2129</v>
      </c>
    </row>
    <row r="376" spans="1:65" s="1247" customFormat="1" ht="82.5" customHeight="1">
      <c r="A376" s="1272">
        <v>7000</v>
      </c>
      <c r="B376" s="971" t="s">
        <v>2420</v>
      </c>
      <c r="C376" s="1272">
        <v>7400</v>
      </c>
      <c r="D376" s="971" t="s">
        <v>1316</v>
      </c>
      <c r="E376" s="1272">
        <v>7440</v>
      </c>
      <c r="F376" s="971" t="s">
        <v>3600</v>
      </c>
      <c r="G376" s="971">
        <v>7443</v>
      </c>
      <c r="H376" s="971" t="s">
        <v>6601</v>
      </c>
      <c r="I376" s="1273" t="s">
        <v>7150</v>
      </c>
      <c r="J376" s="971" t="s">
        <v>2146</v>
      </c>
      <c r="K376" s="971" t="s">
        <v>2129</v>
      </c>
      <c r="L376" s="971" t="s">
        <v>2130</v>
      </c>
      <c r="M376" s="971" t="s">
        <v>2129</v>
      </c>
      <c r="N376" s="971" t="s">
        <v>176</v>
      </c>
      <c r="O376" s="971" t="s">
        <v>2130</v>
      </c>
      <c r="P376" s="971" t="s">
        <v>7060</v>
      </c>
      <c r="Q376" s="971" t="s">
        <v>7061</v>
      </c>
      <c r="R376" s="971" t="s">
        <v>5535</v>
      </c>
      <c r="S376" s="1274">
        <v>1</v>
      </c>
      <c r="T376" s="971" t="s">
        <v>242</v>
      </c>
      <c r="U376" s="1275">
        <v>6.666666666666667</v>
      </c>
      <c r="V376" s="1275">
        <v>25</v>
      </c>
      <c r="W376" s="1275">
        <v>666.08920634920639</v>
      </c>
      <c r="X376" s="1275">
        <v>250</v>
      </c>
      <c r="Y376" s="1275">
        <v>941.08920634920639</v>
      </c>
      <c r="Z376" s="1129">
        <v>6.666666666666667</v>
      </c>
      <c r="AA376" s="1129">
        <v>25</v>
      </c>
      <c r="AB376" s="1129">
        <v>666.08920634920639</v>
      </c>
      <c r="AC376" s="1129">
        <v>250</v>
      </c>
      <c r="AD376" s="1098">
        <v>941.08920634920639</v>
      </c>
      <c r="AE376" s="1135">
        <v>4</v>
      </c>
      <c r="AF376" s="1129">
        <v>4</v>
      </c>
      <c r="AG376" s="1127">
        <v>1</v>
      </c>
      <c r="AH376" s="1127">
        <v>0</v>
      </c>
      <c r="AI376" s="1127">
        <v>0</v>
      </c>
      <c r="AJ376" s="1127">
        <v>1</v>
      </c>
      <c r="AK376" s="1129">
        <v>941.08920634920639</v>
      </c>
      <c r="AL376" s="1129">
        <v>0</v>
      </c>
      <c r="AM376" s="1129">
        <v>0</v>
      </c>
      <c r="AN376" s="1129">
        <v>941.08920634920639</v>
      </c>
      <c r="AO376" s="1129" t="s">
        <v>85</v>
      </c>
      <c r="AP376" s="1129" t="s">
        <v>96</v>
      </c>
      <c r="AQ376" s="1157">
        <v>2014</v>
      </c>
      <c r="AR376" s="1129" t="s">
        <v>87</v>
      </c>
      <c r="AS376" s="1127">
        <v>0.33333333333333331</v>
      </c>
      <c r="AT376" s="1127"/>
      <c r="AU376" s="1127">
        <v>0.33333333333333331</v>
      </c>
      <c r="AV376" s="1127"/>
      <c r="AW376" s="1127"/>
      <c r="AX376" s="1127"/>
      <c r="AY376" s="1127"/>
      <c r="AZ376" s="1127">
        <v>0.33333333333333331</v>
      </c>
      <c r="BA376" s="1129">
        <v>313.69640211640211</v>
      </c>
      <c r="BB376" s="1129">
        <v>0</v>
      </c>
      <c r="BC376" s="1129">
        <v>313.69640211640211</v>
      </c>
      <c r="BD376" s="1129">
        <v>0</v>
      </c>
      <c r="BE376" s="1129">
        <v>0</v>
      </c>
      <c r="BF376" s="1129">
        <v>0</v>
      </c>
      <c r="BG376" s="1129">
        <v>0</v>
      </c>
      <c r="BH376" s="1129">
        <v>313.69640211640211</v>
      </c>
      <c r="BI376" s="971"/>
      <c r="BJ376" s="971"/>
      <c r="BK376" s="971"/>
      <c r="BL376" s="1246"/>
      <c r="BM376" s="1247" t="s">
        <v>2129</v>
      </c>
    </row>
    <row r="377" spans="1:65" s="1247" customFormat="1" ht="82.5" customHeight="1">
      <c r="A377" s="1272">
        <v>7000</v>
      </c>
      <c r="B377" s="971" t="s">
        <v>2420</v>
      </c>
      <c r="C377" s="1272">
        <v>7400</v>
      </c>
      <c r="D377" s="971" t="s">
        <v>1316</v>
      </c>
      <c r="E377" s="1272">
        <v>7440</v>
      </c>
      <c r="F377" s="971" t="s">
        <v>3600</v>
      </c>
      <c r="G377" s="971">
        <v>7443</v>
      </c>
      <c r="H377" s="971" t="s">
        <v>6601</v>
      </c>
      <c r="I377" s="1273" t="s">
        <v>7151</v>
      </c>
      <c r="J377" s="971" t="s">
        <v>2146</v>
      </c>
      <c r="K377" s="971" t="s">
        <v>2129</v>
      </c>
      <c r="L377" s="971" t="s">
        <v>2130</v>
      </c>
      <c r="M377" s="971" t="s">
        <v>2129</v>
      </c>
      <c r="N377" s="971" t="s">
        <v>176</v>
      </c>
      <c r="O377" s="971" t="s">
        <v>2130</v>
      </c>
      <c r="P377" s="971" t="s">
        <v>7060</v>
      </c>
      <c r="Q377" s="971" t="s">
        <v>7061</v>
      </c>
      <c r="R377" s="971" t="s">
        <v>5536</v>
      </c>
      <c r="S377" s="1274">
        <v>1</v>
      </c>
      <c r="T377" s="971" t="s">
        <v>242</v>
      </c>
      <c r="U377" s="1275">
        <v>6.666666666666667</v>
      </c>
      <c r="V377" s="1275">
        <v>25</v>
      </c>
      <c r="W377" s="1275">
        <v>666.08920634920639</v>
      </c>
      <c r="X377" s="1275">
        <v>250</v>
      </c>
      <c r="Y377" s="1275">
        <v>941.08920634920639</v>
      </c>
      <c r="Z377" s="1129">
        <v>6.666666666666667</v>
      </c>
      <c r="AA377" s="1129">
        <v>25</v>
      </c>
      <c r="AB377" s="1129">
        <v>666.08920634920639</v>
      </c>
      <c r="AC377" s="1129">
        <v>250</v>
      </c>
      <c r="AD377" s="1098">
        <v>941.08920634920639</v>
      </c>
      <c r="AE377" s="1135">
        <v>4</v>
      </c>
      <c r="AF377" s="1129">
        <v>4</v>
      </c>
      <c r="AG377" s="1127">
        <v>1</v>
      </c>
      <c r="AH377" s="1127">
        <v>0</v>
      </c>
      <c r="AI377" s="1127">
        <v>0</v>
      </c>
      <c r="AJ377" s="1127">
        <v>1</v>
      </c>
      <c r="AK377" s="1129">
        <v>941.08920634920639</v>
      </c>
      <c r="AL377" s="1129">
        <v>0</v>
      </c>
      <c r="AM377" s="1129">
        <v>0</v>
      </c>
      <c r="AN377" s="1129">
        <v>941.08920634920639</v>
      </c>
      <c r="AO377" s="1129" t="s">
        <v>85</v>
      </c>
      <c r="AP377" s="1129" t="s">
        <v>96</v>
      </c>
      <c r="AQ377" s="1157">
        <v>2014</v>
      </c>
      <c r="AR377" s="1129" t="s">
        <v>87</v>
      </c>
      <c r="AS377" s="1127">
        <v>0.33333333333333331</v>
      </c>
      <c r="AT377" s="1127"/>
      <c r="AU377" s="1127">
        <v>0.33333333333333331</v>
      </c>
      <c r="AV377" s="1127"/>
      <c r="AW377" s="1127"/>
      <c r="AX377" s="1127"/>
      <c r="AY377" s="1127"/>
      <c r="AZ377" s="1127">
        <v>0.33333333333333331</v>
      </c>
      <c r="BA377" s="1129">
        <v>313.69640211640211</v>
      </c>
      <c r="BB377" s="1129">
        <v>0</v>
      </c>
      <c r="BC377" s="1129">
        <v>313.69640211640211</v>
      </c>
      <c r="BD377" s="1129">
        <v>0</v>
      </c>
      <c r="BE377" s="1129">
        <v>0</v>
      </c>
      <c r="BF377" s="1129">
        <v>0</v>
      </c>
      <c r="BG377" s="1129">
        <v>0</v>
      </c>
      <c r="BH377" s="1129">
        <v>313.69640211640211</v>
      </c>
      <c r="BI377" s="971"/>
      <c r="BJ377" s="971"/>
      <c r="BK377" s="971"/>
      <c r="BL377" s="1246"/>
      <c r="BM377" s="1247" t="s">
        <v>2129</v>
      </c>
    </row>
    <row r="378" spans="1:65" s="1260" customFormat="1" ht="49.5" customHeight="1">
      <c r="A378" s="1272">
        <v>7000</v>
      </c>
      <c r="B378" s="971" t="s">
        <v>2420</v>
      </c>
      <c r="C378" s="1272">
        <v>7400</v>
      </c>
      <c r="D378" s="971" t="s">
        <v>1316</v>
      </c>
      <c r="E378" s="1272">
        <v>7440</v>
      </c>
      <c r="F378" s="971" t="s">
        <v>3600</v>
      </c>
      <c r="G378" s="971">
        <v>7443</v>
      </c>
      <c r="H378" s="971" t="s">
        <v>6601</v>
      </c>
      <c r="I378" s="1273" t="s">
        <v>7152</v>
      </c>
      <c r="J378" s="971" t="s">
        <v>2146</v>
      </c>
      <c r="K378" s="971" t="s">
        <v>2129</v>
      </c>
      <c r="L378" s="971" t="s">
        <v>2130</v>
      </c>
      <c r="M378" s="971" t="s">
        <v>2129</v>
      </c>
      <c r="N378" s="971" t="s">
        <v>176</v>
      </c>
      <c r="O378" s="971" t="s">
        <v>2130</v>
      </c>
      <c r="P378" s="971" t="s">
        <v>7060</v>
      </c>
      <c r="Q378" s="971" t="s">
        <v>7061</v>
      </c>
      <c r="R378" s="971" t="s">
        <v>5537</v>
      </c>
      <c r="S378" s="1274">
        <v>1</v>
      </c>
      <c r="T378" s="971" t="s">
        <v>242</v>
      </c>
      <c r="U378" s="1275">
        <v>6.666666666666667</v>
      </c>
      <c r="V378" s="1275">
        <v>25</v>
      </c>
      <c r="W378" s="1275">
        <v>666.08920634920639</v>
      </c>
      <c r="X378" s="1275">
        <v>250</v>
      </c>
      <c r="Y378" s="1275">
        <v>941.08920634920639</v>
      </c>
      <c r="Z378" s="1129">
        <v>6.666666666666667</v>
      </c>
      <c r="AA378" s="1129">
        <v>25</v>
      </c>
      <c r="AB378" s="1129">
        <v>666.08920634920639</v>
      </c>
      <c r="AC378" s="1129">
        <v>250</v>
      </c>
      <c r="AD378" s="1098">
        <v>941.08920634920639</v>
      </c>
      <c r="AE378" s="1135">
        <v>4</v>
      </c>
      <c r="AF378" s="1129">
        <v>4</v>
      </c>
      <c r="AG378" s="1127">
        <v>1</v>
      </c>
      <c r="AH378" s="1127">
        <v>0</v>
      </c>
      <c r="AI378" s="1127">
        <v>0</v>
      </c>
      <c r="AJ378" s="1127">
        <v>1</v>
      </c>
      <c r="AK378" s="1129">
        <v>941.08920634920639</v>
      </c>
      <c r="AL378" s="1129">
        <v>0</v>
      </c>
      <c r="AM378" s="1129">
        <v>0</v>
      </c>
      <c r="AN378" s="1129">
        <v>941.08920634920639</v>
      </c>
      <c r="AO378" s="1129" t="s">
        <v>85</v>
      </c>
      <c r="AP378" s="1129" t="s">
        <v>96</v>
      </c>
      <c r="AQ378" s="1157">
        <v>2014</v>
      </c>
      <c r="AR378" s="1129" t="s">
        <v>87</v>
      </c>
      <c r="AS378" s="1127">
        <v>0.33333333333333331</v>
      </c>
      <c r="AT378" s="1127"/>
      <c r="AU378" s="1127">
        <v>0.33333333333333331</v>
      </c>
      <c r="AV378" s="1127"/>
      <c r="AW378" s="1127"/>
      <c r="AX378" s="1127"/>
      <c r="AY378" s="1127"/>
      <c r="AZ378" s="1127">
        <v>0.33333333333333331</v>
      </c>
      <c r="BA378" s="1129">
        <v>313.69640211640211</v>
      </c>
      <c r="BB378" s="1129">
        <v>0</v>
      </c>
      <c r="BC378" s="1129">
        <v>313.69640211640211</v>
      </c>
      <c r="BD378" s="1129">
        <v>0</v>
      </c>
      <c r="BE378" s="1129">
        <v>0</v>
      </c>
      <c r="BF378" s="1129">
        <v>0</v>
      </c>
      <c r="BG378" s="1129">
        <v>0</v>
      </c>
      <c r="BH378" s="1129">
        <v>313.69640211640211</v>
      </c>
      <c r="BI378" s="971"/>
      <c r="BJ378" s="971"/>
      <c r="BK378" s="971"/>
      <c r="BL378" s="1259"/>
      <c r="BM378" s="1260" t="s">
        <v>2127</v>
      </c>
    </row>
    <row r="379" spans="1:65" s="1247" customFormat="1" ht="49.5" customHeight="1">
      <c r="A379" s="1272">
        <v>7000</v>
      </c>
      <c r="B379" s="971" t="s">
        <v>2420</v>
      </c>
      <c r="C379" s="1272">
        <v>7400</v>
      </c>
      <c r="D379" s="971" t="s">
        <v>1316</v>
      </c>
      <c r="E379" s="1272">
        <v>7440</v>
      </c>
      <c r="F379" s="971" t="s">
        <v>3600</v>
      </c>
      <c r="G379" s="971">
        <v>7443</v>
      </c>
      <c r="H379" s="971" t="s">
        <v>6601</v>
      </c>
      <c r="I379" s="1273" t="s">
        <v>7153</v>
      </c>
      <c r="J379" s="971" t="s">
        <v>2146</v>
      </c>
      <c r="K379" s="971" t="s">
        <v>2129</v>
      </c>
      <c r="L379" s="971" t="s">
        <v>2130</v>
      </c>
      <c r="M379" s="971" t="s">
        <v>2129</v>
      </c>
      <c r="N379" s="971" t="s">
        <v>176</v>
      </c>
      <c r="O379" s="971" t="s">
        <v>2130</v>
      </c>
      <c r="P379" s="971" t="s">
        <v>2376</v>
      </c>
      <c r="Q379" s="971" t="s">
        <v>7154</v>
      </c>
      <c r="R379" s="971" t="s">
        <v>5538</v>
      </c>
      <c r="S379" s="1274">
        <v>1</v>
      </c>
      <c r="T379" s="971" t="s">
        <v>242</v>
      </c>
      <c r="U379" s="1275">
        <v>6.666666666666667</v>
      </c>
      <c r="V379" s="1275">
        <v>25</v>
      </c>
      <c r="W379" s="1275">
        <v>666.08920634920639</v>
      </c>
      <c r="X379" s="1275">
        <v>250</v>
      </c>
      <c r="Y379" s="1275">
        <v>941.08920634920639</v>
      </c>
      <c r="Z379" s="1129">
        <v>6.666666666666667</v>
      </c>
      <c r="AA379" s="1129">
        <v>25</v>
      </c>
      <c r="AB379" s="1129">
        <v>666.08920634920639</v>
      </c>
      <c r="AC379" s="1129">
        <v>250</v>
      </c>
      <c r="AD379" s="1098">
        <v>941.08920634920639</v>
      </c>
      <c r="AE379" s="1135">
        <v>4</v>
      </c>
      <c r="AF379" s="1129">
        <v>4</v>
      </c>
      <c r="AG379" s="1127">
        <v>1</v>
      </c>
      <c r="AH379" s="1127">
        <v>0</v>
      </c>
      <c r="AI379" s="1127">
        <v>0</v>
      </c>
      <c r="AJ379" s="1127">
        <v>1</v>
      </c>
      <c r="AK379" s="1129">
        <v>941.08920634920639</v>
      </c>
      <c r="AL379" s="1129">
        <v>0</v>
      </c>
      <c r="AM379" s="1129">
        <v>0</v>
      </c>
      <c r="AN379" s="1129">
        <v>941.08920634920639</v>
      </c>
      <c r="AO379" s="1129" t="s">
        <v>85</v>
      </c>
      <c r="AP379" s="1129" t="s">
        <v>96</v>
      </c>
      <c r="AQ379" s="1157">
        <v>2014</v>
      </c>
      <c r="AR379" s="1129" t="s">
        <v>87</v>
      </c>
      <c r="AS379" s="1127">
        <v>0.33333333333333331</v>
      </c>
      <c r="AT379" s="1127"/>
      <c r="AU379" s="1127">
        <v>0.33333333333333331</v>
      </c>
      <c r="AV379" s="1127"/>
      <c r="AW379" s="1127"/>
      <c r="AX379" s="1127"/>
      <c r="AY379" s="1127"/>
      <c r="AZ379" s="1127">
        <v>0.33333333333333331</v>
      </c>
      <c r="BA379" s="1129">
        <v>313.69640211640211</v>
      </c>
      <c r="BB379" s="1129">
        <v>0</v>
      </c>
      <c r="BC379" s="1129">
        <v>313.69640211640211</v>
      </c>
      <c r="BD379" s="1129">
        <v>0</v>
      </c>
      <c r="BE379" s="1129">
        <v>0</v>
      </c>
      <c r="BF379" s="1129">
        <v>0</v>
      </c>
      <c r="BG379" s="1129">
        <v>0</v>
      </c>
      <c r="BH379" s="1129">
        <v>313.69640211640211</v>
      </c>
      <c r="BI379" s="971"/>
      <c r="BJ379" s="971"/>
      <c r="BK379" s="971"/>
      <c r="BL379" s="1246"/>
      <c r="BM379" s="1247" t="s">
        <v>2127</v>
      </c>
    </row>
    <row r="380" spans="1:65" s="1247" customFormat="1" ht="49.5" customHeight="1">
      <c r="A380" s="1272">
        <v>7000</v>
      </c>
      <c r="B380" s="971" t="s">
        <v>2420</v>
      </c>
      <c r="C380" s="1272">
        <v>7400</v>
      </c>
      <c r="D380" s="971" t="s">
        <v>1316</v>
      </c>
      <c r="E380" s="1272">
        <v>7440</v>
      </c>
      <c r="F380" s="971" t="s">
        <v>3600</v>
      </c>
      <c r="G380" s="971">
        <v>7443</v>
      </c>
      <c r="H380" s="971" t="s">
        <v>6601</v>
      </c>
      <c r="I380" s="1273" t="s">
        <v>7155</v>
      </c>
      <c r="J380" s="971" t="s">
        <v>2146</v>
      </c>
      <c r="K380" s="971" t="s">
        <v>2129</v>
      </c>
      <c r="L380" s="971" t="s">
        <v>2130</v>
      </c>
      <c r="M380" s="971" t="s">
        <v>2129</v>
      </c>
      <c r="N380" s="971" t="s">
        <v>176</v>
      </c>
      <c r="O380" s="971" t="s">
        <v>2130</v>
      </c>
      <c r="P380" s="971" t="s">
        <v>2376</v>
      </c>
      <c r="Q380" s="971" t="s">
        <v>7156</v>
      </c>
      <c r="R380" s="971" t="s">
        <v>5541</v>
      </c>
      <c r="S380" s="1274">
        <v>1</v>
      </c>
      <c r="T380" s="971" t="s">
        <v>242</v>
      </c>
      <c r="U380" s="1275">
        <v>6.666666666666667</v>
      </c>
      <c r="V380" s="1275">
        <v>25</v>
      </c>
      <c r="W380" s="1275">
        <v>666.08920634920639</v>
      </c>
      <c r="X380" s="1275">
        <v>250</v>
      </c>
      <c r="Y380" s="1275">
        <v>941.08920634920639</v>
      </c>
      <c r="Z380" s="1129">
        <v>6.666666666666667</v>
      </c>
      <c r="AA380" s="1129">
        <v>25</v>
      </c>
      <c r="AB380" s="1129">
        <v>666.08920634920639</v>
      </c>
      <c r="AC380" s="1129">
        <v>250</v>
      </c>
      <c r="AD380" s="1098">
        <v>941.08920634920639</v>
      </c>
      <c r="AE380" s="1135">
        <v>4</v>
      </c>
      <c r="AF380" s="1129">
        <v>4</v>
      </c>
      <c r="AG380" s="1127">
        <v>1</v>
      </c>
      <c r="AH380" s="1127">
        <v>0</v>
      </c>
      <c r="AI380" s="1127">
        <v>0</v>
      </c>
      <c r="AJ380" s="1127">
        <v>1</v>
      </c>
      <c r="AK380" s="1129">
        <v>941.08920634920639</v>
      </c>
      <c r="AL380" s="1129">
        <v>0</v>
      </c>
      <c r="AM380" s="1129">
        <v>0</v>
      </c>
      <c r="AN380" s="1129">
        <v>941.08920634920639</v>
      </c>
      <c r="AO380" s="1129" t="s">
        <v>85</v>
      </c>
      <c r="AP380" s="1129" t="s">
        <v>96</v>
      </c>
      <c r="AQ380" s="1157">
        <v>2014</v>
      </c>
      <c r="AR380" s="1129" t="s">
        <v>87</v>
      </c>
      <c r="AS380" s="1127">
        <v>0.33333333333333331</v>
      </c>
      <c r="AT380" s="1127"/>
      <c r="AU380" s="1127">
        <v>0.33333333333333331</v>
      </c>
      <c r="AV380" s="1127"/>
      <c r="AW380" s="1127"/>
      <c r="AX380" s="1127"/>
      <c r="AY380" s="1127"/>
      <c r="AZ380" s="1127">
        <v>0.33333333333333331</v>
      </c>
      <c r="BA380" s="1129">
        <v>313.69640211640211</v>
      </c>
      <c r="BB380" s="1129">
        <v>0</v>
      </c>
      <c r="BC380" s="1129">
        <v>313.69640211640211</v>
      </c>
      <c r="BD380" s="1129">
        <v>0</v>
      </c>
      <c r="BE380" s="1129">
        <v>0</v>
      </c>
      <c r="BF380" s="1129">
        <v>0</v>
      </c>
      <c r="BG380" s="1129">
        <v>0</v>
      </c>
      <c r="BH380" s="1129">
        <v>313.69640211640211</v>
      </c>
      <c r="BI380" s="971"/>
      <c r="BJ380" s="971"/>
      <c r="BK380" s="971"/>
      <c r="BL380" s="1246"/>
      <c r="BM380" s="1247" t="s">
        <v>2127</v>
      </c>
    </row>
    <row r="381" spans="1:65" s="1247" customFormat="1" ht="66" customHeight="1">
      <c r="A381" s="1272">
        <v>7000</v>
      </c>
      <c r="B381" s="971" t="s">
        <v>2420</v>
      </c>
      <c r="C381" s="1272">
        <v>7400</v>
      </c>
      <c r="D381" s="971" t="s">
        <v>1316</v>
      </c>
      <c r="E381" s="1272">
        <v>7440</v>
      </c>
      <c r="F381" s="971" t="s">
        <v>3600</v>
      </c>
      <c r="G381" s="971">
        <v>7443</v>
      </c>
      <c r="H381" s="971" t="s">
        <v>6601</v>
      </c>
      <c r="I381" s="1273" t="s">
        <v>7157</v>
      </c>
      <c r="J381" s="971" t="s">
        <v>2146</v>
      </c>
      <c r="K381" s="971" t="s">
        <v>2127</v>
      </c>
      <c r="L381" s="971" t="s">
        <v>2177</v>
      </c>
      <c r="M381" s="971" t="s">
        <v>2127</v>
      </c>
      <c r="N381" s="971" t="s">
        <v>176</v>
      </c>
      <c r="O381" s="971" t="s">
        <v>2177</v>
      </c>
      <c r="P381" s="971" t="s">
        <v>7158</v>
      </c>
      <c r="Q381" s="971" t="s">
        <v>7159</v>
      </c>
      <c r="R381" s="971" t="s">
        <v>5543</v>
      </c>
      <c r="S381" s="1274">
        <v>1</v>
      </c>
      <c r="T381" s="971" t="s">
        <v>242</v>
      </c>
      <c r="U381" s="1275">
        <v>10</v>
      </c>
      <c r="V381" s="1275">
        <v>45</v>
      </c>
      <c r="W381" s="1275">
        <v>999.13380952380965</v>
      </c>
      <c r="X381" s="1275">
        <v>450</v>
      </c>
      <c r="Y381" s="1275">
        <v>1494.1338095238098</v>
      </c>
      <c r="Z381" s="1129">
        <v>10</v>
      </c>
      <c r="AA381" s="1129">
        <v>45</v>
      </c>
      <c r="AB381" s="1129">
        <v>999.13380952380965</v>
      </c>
      <c r="AC381" s="1129">
        <v>450</v>
      </c>
      <c r="AD381" s="1098">
        <v>1494.1338095238098</v>
      </c>
      <c r="AE381" s="1135">
        <v>24</v>
      </c>
      <c r="AF381" s="1129">
        <v>24</v>
      </c>
      <c r="AG381" s="1127">
        <v>1</v>
      </c>
      <c r="AH381" s="1127">
        <v>0</v>
      </c>
      <c r="AI381" s="1127">
        <v>0</v>
      </c>
      <c r="AJ381" s="1127">
        <v>1</v>
      </c>
      <c r="AK381" s="1129">
        <v>1494.1338095238098</v>
      </c>
      <c r="AL381" s="1129">
        <v>0</v>
      </c>
      <c r="AM381" s="1129">
        <v>0</v>
      </c>
      <c r="AN381" s="1129">
        <v>1494.1338095238098</v>
      </c>
      <c r="AO381" s="1129" t="s">
        <v>85</v>
      </c>
      <c r="AP381" s="1129" t="s">
        <v>96</v>
      </c>
      <c r="AQ381" s="1157">
        <v>2014</v>
      </c>
      <c r="AR381" s="1129" t="s">
        <v>87</v>
      </c>
      <c r="AS381" s="1127">
        <v>0.33333333333333331</v>
      </c>
      <c r="AT381" s="1127"/>
      <c r="AU381" s="1127">
        <v>0.33333333333333331</v>
      </c>
      <c r="AV381" s="1127"/>
      <c r="AW381" s="1127"/>
      <c r="AX381" s="1127"/>
      <c r="AY381" s="1127"/>
      <c r="AZ381" s="1127">
        <v>0.33333333333333331</v>
      </c>
      <c r="BA381" s="1129">
        <v>498.04460317460325</v>
      </c>
      <c r="BB381" s="1129">
        <v>0</v>
      </c>
      <c r="BC381" s="1129">
        <v>498.04460317460325</v>
      </c>
      <c r="BD381" s="1129">
        <v>0</v>
      </c>
      <c r="BE381" s="1129">
        <v>0</v>
      </c>
      <c r="BF381" s="1129">
        <v>0</v>
      </c>
      <c r="BG381" s="1129">
        <v>0</v>
      </c>
      <c r="BH381" s="1129">
        <v>498.04460317460325</v>
      </c>
      <c r="BI381" s="971"/>
      <c r="BJ381" s="971"/>
      <c r="BK381" s="971"/>
      <c r="BL381" s="1246"/>
      <c r="BM381" s="1247" t="s">
        <v>2125</v>
      </c>
    </row>
    <row r="382" spans="1:65" s="1247" customFormat="1" ht="66" customHeight="1">
      <c r="A382" s="1272">
        <v>7000</v>
      </c>
      <c r="B382" s="971" t="s">
        <v>2420</v>
      </c>
      <c r="C382" s="1272">
        <v>7400</v>
      </c>
      <c r="D382" s="971" t="s">
        <v>1316</v>
      </c>
      <c r="E382" s="1272">
        <v>7440</v>
      </c>
      <c r="F382" s="971" t="s">
        <v>3600</v>
      </c>
      <c r="G382" s="971">
        <v>7443</v>
      </c>
      <c r="H382" s="971" t="s">
        <v>6601</v>
      </c>
      <c r="I382" s="1273" t="s">
        <v>7160</v>
      </c>
      <c r="J382" s="971" t="s">
        <v>2146</v>
      </c>
      <c r="K382" s="971" t="s">
        <v>2127</v>
      </c>
      <c r="L382" s="971" t="s">
        <v>2177</v>
      </c>
      <c r="M382" s="971" t="s">
        <v>2127</v>
      </c>
      <c r="N382" s="971" t="s">
        <v>176</v>
      </c>
      <c r="O382" s="971" t="s">
        <v>2177</v>
      </c>
      <c r="P382" s="971" t="s">
        <v>7158</v>
      </c>
      <c r="Q382" s="971" t="s">
        <v>7159</v>
      </c>
      <c r="R382" s="971" t="s">
        <v>5545</v>
      </c>
      <c r="S382" s="1274">
        <v>1</v>
      </c>
      <c r="T382" s="971" t="s">
        <v>242</v>
      </c>
      <c r="U382" s="1275">
        <v>10</v>
      </c>
      <c r="V382" s="1275">
        <v>45</v>
      </c>
      <c r="W382" s="1275">
        <v>999.13380952380965</v>
      </c>
      <c r="X382" s="1275">
        <v>450</v>
      </c>
      <c r="Y382" s="1275">
        <v>1494.1338095238098</v>
      </c>
      <c r="Z382" s="1129">
        <v>10</v>
      </c>
      <c r="AA382" s="1129">
        <v>45</v>
      </c>
      <c r="AB382" s="1129">
        <v>999.13380952380965</v>
      </c>
      <c r="AC382" s="1129">
        <v>450</v>
      </c>
      <c r="AD382" s="1098">
        <v>1494.1338095238098</v>
      </c>
      <c r="AE382" s="1135">
        <v>24</v>
      </c>
      <c r="AF382" s="1129">
        <v>24</v>
      </c>
      <c r="AG382" s="1127">
        <v>1</v>
      </c>
      <c r="AH382" s="1127">
        <v>0</v>
      </c>
      <c r="AI382" s="1127">
        <v>0</v>
      </c>
      <c r="AJ382" s="1127">
        <v>1</v>
      </c>
      <c r="AK382" s="1129">
        <v>1494.1338095238098</v>
      </c>
      <c r="AL382" s="1129">
        <v>0</v>
      </c>
      <c r="AM382" s="1129">
        <v>0</v>
      </c>
      <c r="AN382" s="1129">
        <v>1494.1338095238098</v>
      </c>
      <c r="AO382" s="1129" t="s">
        <v>85</v>
      </c>
      <c r="AP382" s="1129" t="s">
        <v>96</v>
      </c>
      <c r="AQ382" s="1157">
        <v>2014</v>
      </c>
      <c r="AR382" s="1129" t="s">
        <v>87</v>
      </c>
      <c r="AS382" s="1127">
        <v>0.33333333333333331</v>
      </c>
      <c r="AT382" s="1127"/>
      <c r="AU382" s="1127">
        <v>0.33333333333333331</v>
      </c>
      <c r="AV382" s="1127"/>
      <c r="AW382" s="1127"/>
      <c r="AX382" s="1127"/>
      <c r="AY382" s="1127"/>
      <c r="AZ382" s="1127">
        <v>0.33333333333333331</v>
      </c>
      <c r="BA382" s="1129">
        <v>498.04460317460325</v>
      </c>
      <c r="BB382" s="1129">
        <v>0</v>
      </c>
      <c r="BC382" s="1129">
        <v>498.04460317460325</v>
      </c>
      <c r="BD382" s="1129">
        <v>0</v>
      </c>
      <c r="BE382" s="1129">
        <v>0</v>
      </c>
      <c r="BF382" s="1129">
        <v>0</v>
      </c>
      <c r="BG382" s="1129">
        <v>0</v>
      </c>
      <c r="BH382" s="1129">
        <v>498.04460317460325</v>
      </c>
      <c r="BI382" s="971"/>
      <c r="BJ382" s="971"/>
      <c r="BK382" s="971"/>
      <c r="BL382" s="1246"/>
      <c r="BM382" s="1247" t="s">
        <v>2127</v>
      </c>
    </row>
    <row r="383" spans="1:65" s="1247" customFormat="1" ht="66" customHeight="1">
      <c r="A383" s="1272">
        <v>7000</v>
      </c>
      <c r="B383" s="971" t="s">
        <v>2420</v>
      </c>
      <c r="C383" s="1272">
        <v>7400</v>
      </c>
      <c r="D383" s="971" t="s">
        <v>1316</v>
      </c>
      <c r="E383" s="1272">
        <v>7440</v>
      </c>
      <c r="F383" s="971" t="s">
        <v>3600</v>
      </c>
      <c r="G383" s="971">
        <v>7445</v>
      </c>
      <c r="H383" s="971" t="s">
        <v>6602</v>
      </c>
      <c r="I383" s="1273" t="s">
        <v>7161</v>
      </c>
      <c r="J383" s="971" t="s">
        <v>2146</v>
      </c>
      <c r="K383" s="971" t="s">
        <v>2129</v>
      </c>
      <c r="L383" s="971" t="s">
        <v>2130</v>
      </c>
      <c r="M383" s="971" t="s">
        <v>2129</v>
      </c>
      <c r="N383" s="971" t="s">
        <v>176</v>
      </c>
      <c r="O383" s="971" t="s">
        <v>2130</v>
      </c>
      <c r="P383" s="971" t="s">
        <v>6927</v>
      </c>
      <c r="Q383" s="971" t="s">
        <v>7082</v>
      </c>
      <c r="R383" s="971" t="s">
        <v>5573</v>
      </c>
      <c r="S383" s="1274">
        <v>1</v>
      </c>
      <c r="T383" s="971" t="s">
        <v>242</v>
      </c>
      <c r="U383" s="1275">
        <v>6.666666666666667</v>
      </c>
      <c r="V383" s="1275">
        <v>25</v>
      </c>
      <c r="W383" s="1275">
        <v>666.08920634920639</v>
      </c>
      <c r="X383" s="1275">
        <v>250</v>
      </c>
      <c r="Y383" s="1275">
        <v>941.08920634920639</v>
      </c>
      <c r="Z383" s="1129">
        <v>6.666666666666667</v>
      </c>
      <c r="AA383" s="1129">
        <v>25</v>
      </c>
      <c r="AB383" s="1129">
        <v>666.08920634920639</v>
      </c>
      <c r="AC383" s="1129">
        <v>250</v>
      </c>
      <c r="AD383" s="1098">
        <v>941.08920634920639</v>
      </c>
      <c r="AE383" s="1135">
        <v>4</v>
      </c>
      <c r="AF383" s="1129">
        <v>4</v>
      </c>
      <c r="AG383" s="1127">
        <v>1</v>
      </c>
      <c r="AH383" s="1127">
        <v>0</v>
      </c>
      <c r="AI383" s="1127">
        <v>0</v>
      </c>
      <c r="AJ383" s="1127">
        <v>1</v>
      </c>
      <c r="AK383" s="1129">
        <v>941.08920634920639</v>
      </c>
      <c r="AL383" s="1129">
        <v>0</v>
      </c>
      <c r="AM383" s="1129">
        <v>0</v>
      </c>
      <c r="AN383" s="1129">
        <v>941.08920634920639</v>
      </c>
      <c r="AO383" s="1129" t="s">
        <v>85</v>
      </c>
      <c r="AP383" s="1129" t="s">
        <v>96</v>
      </c>
      <c r="AQ383" s="1157">
        <v>2014</v>
      </c>
      <c r="AR383" s="1129" t="s">
        <v>87</v>
      </c>
      <c r="AS383" s="1127">
        <v>0.33333333333333331</v>
      </c>
      <c r="AT383" s="1127"/>
      <c r="AU383" s="1127">
        <v>0.33333333333333331</v>
      </c>
      <c r="AV383" s="1127"/>
      <c r="AW383" s="1127"/>
      <c r="AX383" s="1127"/>
      <c r="AY383" s="1127"/>
      <c r="AZ383" s="1127">
        <v>0.33333333333333331</v>
      </c>
      <c r="BA383" s="1129">
        <v>313.69640211640211</v>
      </c>
      <c r="BB383" s="1129">
        <v>0</v>
      </c>
      <c r="BC383" s="1129">
        <v>313.69640211640211</v>
      </c>
      <c r="BD383" s="1129">
        <v>0</v>
      </c>
      <c r="BE383" s="1129">
        <v>0</v>
      </c>
      <c r="BF383" s="1129">
        <v>0</v>
      </c>
      <c r="BG383" s="1129">
        <v>0</v>
      </c>
      <c r="BH383" s="1129">
        <v>313.69640211640211</v>
      </c>
      <c r="BI383" s="971"/>
      <c r="BJ383" s="971"/>
      <c r="BK383" s="971"/>
      <c r="BL383" s="1246"/>
      <c r="BM383" s="1247" t="s">
        <v>2127</v>
      </c>
    </row>
    <row r="384" spans="1:65" s="1247" customFormat="1" ht="66" customHeight="1">
      <c r="A384" s="1272">
        <v>7000</v>
      </c>
      <c r="B384" s="971" t="s">
        <v>2420</v>
      </c>
      <c r="C384" s="1272">
        <v>7400</v>
      </c>
      <c r="D384" s="971" t="s">
        <v>1316</v>
      </c>
      <c r="E384" s="1272">
        <v>7440</v>
      </c>
      <c r="F384" s="971" t="s">
        <v>3600</v>
      </c>
      <c r="G384" s="971">
        <v>7445</v>
      </c>
      <c r="H384" s="971" t="s">
        <v>6602</v>
      </c>
      <c r="I384" s="1273" t="s">
        <v>7162</v>
      </c>
      <c r="J384" s="971" t="s">
        <v>2146</v>
      </c>
      <c r="K384" s="971" t="s">
        <v>2129</v>
      </c>
      <c r="L384" s="971" t="s">
        <v>2130</v>
      </c>
      <c r="M384" s="971" t="s">
        <v>2129</v>
      </c>
      <c r="N384" s="971" t="s">
        <v>176</v>
      </c>
      <c r="O384" s="971" t="s">
        <v>2130</v>
      </c>
      <c r="P384" s="971" t="s">
        <v>6927</v>
      </c>
      <c r="Q384" s="971" t="s">
        <v>7082</v>
      </c>
      <c r="R384" s="971" t="s">
        <v>5574</v>
      </c>
      <c r="S384" s="1274">
        <v>1</v>
      </c>
      <c r="T384" s="971" t="s">
        <v>242</v>
      </c>
      <c r="U384" s="1275">
        <v>6.666666666666667</v>
      </c>
      <c r="V384" s="1275">
        <v>25</v>
      </c>
      <c r="W384" s="1275">
        <v>666.08920634920639</v>
      </c>
      <c r="X384" s="1275">
        <v>250</v>
      </c>
      <c r="Y384" s="1275">
        <v>941.08920634920639</v>
      </c>
      <c r="Z384" s="1129">
        <v>6.666666666666667</v>
      </c>
      <c r="AA384" s="1129">
        <v>25</v>
      </c>
      <c r="AB384" s="1129">
        <v>666.08920634920639</v>
      </c>
      <c r="AC384" s="1129">
        <v>250</v>
      </c>
      <c r="AD384" s="1098">
        <v>941.08920634920639</v>
      </c>
      <c r="AE384" s="1135">
        <v>4</v>
      </c>
      <c r="AF384" s="1129">
        <v>4</v>
      </c>
      <c r="AG384" s="1127">
        <v>1</v>
      </c>
      <c r="AH384" s="1127">
        <v>0</v>
      </c>
      <c r="AI384" s="1127">
        <v>0</v>
      </c>
      <c r="AJ384" s="1127">
        <v>1</v>
      </c>
      <c r="AK384" s="1129">
        <v>941.08920634920639</v>
      </c>
      <c r="AL384" s="1129">
        <v>0</v>
      </c>
      <c r="AM384" s="1129">
        <v>0</v>
      </c>
      <c r="AN384" s="1129">
        <v>941.08920634920639</v>
      </c>
      <c r="AO384" s="1129" t="s">
        <v>85</v>
      </c>
      <c r="AP384" s="1129" t="s">
        <v>96</v>
      </c>
      <c r="AQ384" s="1157">
        <v>2014</v>
      </c>
      <c r="AR384" s="1129" t="s">
        <v>87</v>
      </c>
      <c r="AS384" s="1127">
        <v>0.33333333333333331</v>
      </c>
      <c r="AT384" s="1127"/>
      <c r="AU384" s="1127">
        <v>0.33333333333333331</v>
      </c>
      <c r="AV384" s="1127"/>
      <c r="AW384" s="1127"/>
      <c r="AX384" s="1127"/>
      <c r="AY384" s="1127"/>
      <c r="AZ384" s="1127">
        <v>0.33333333333333331</v>
      </c>
      <c r="BA384" s="1129">
        <v>313.69640211640211</v>
      </c>
      <c r="BB384" s="1129">
        <v>0</v>
      </c>
      <c r="BC384" s="1129">
        <v>313.69640211640211</v>
      </c>
      <c r="BD384" s="1129">
        <v>0</v>
      </c>
      <c r="BE384" s="1129">
        <v>0</v>
      </c>
      <c r="BF384" s="1129">
        <v>0</v>
      </c>
      <c r="BG384" s="1129">
        <v>0</v>
      </c>
      <c r="BH384" s="1129">
        <v>313.69640211640211</v>
      </c>
      <c r="BI384" s="971"/>
      <c r="BJ384" s="971"/>
      <c r="BK384" s="971"/>
      <c r="BL384" s="1246"/>
      <c r="BM384" s="1247" t="s">
        <v>2125</v>
      </c>
    </row>
    <row r="385" spans="1:65" s="1247" customFormat="1" ht="66" customHeight="1">
      <c r="A385" s="1272">
        <v>7000</v>
      </c>
      <c r="B385" s="971" t="s">
        <v>2420</v>
      </c>
      <c r="C385" s="1272">
        <v>7400</v>
      </c>
      <c r="D385" s="971" t="s">
        <v>1316</v>
      </c>
      <c r="E385" s="1272">
        <v>7440</v>
      </c>
      <c r="F385" s="971" t="s">
        <v>3600</v>
      </c>
      <c r="G385" s="971">
        <v>7445</v>
      </c>
      <c r="H385" s="971" t="s">
        <v>6602</v>
      </c>
      <c r="I385" s="1273" t="s">
        <v>7163</v>
      </c>
      <c r="J385" s="971" t="s">
        <v>2146</v>
      </c>
      <c r="K385" s="971" t="s">
        <v>2129</v>
      </c>
      <c r="L385" s="971" t="s">
        <v>2130</v>
      </c>
      <c r="M385" s="971" t="s">
        <v>2129</v>
      </c>
      <c r="N385" s="971" t="s">
        <v>176</v>
      </c>
      <c r="O385" s="971" t="s">
        <v>2130</v>
      </c>
      <c r="P385" s="971" t="s">
        <v>6927</v>
      </c>
      <c r="Q385" s="971" t="s">
        <v>7084</v>
      </c>
      <c r="R385" s="971" t="s">
        <v>5575</v>
      </c>
      <c r="S385" s="1274">
        <v>1</v>
      </c>
      <c r="T385" s="971" t="s">
        <v>242</v>
      </c>
      <c r="U385" s="1275">
        <v>6.666666666666667</v>
      </c>
      <c r="V385" s="1275">
        <v>25</v>
      </c>
      <c r="W385" s="1275">
        <v>666.08920634920639</v>
      </c>
      <c r="X385" s="1275">
        <v>250</v>
      </c>
      <c r="Y385" s="1275">
        <v>941.08920634920639</v>
      </c>
      <c r="Z385" s="1129">
        <v>6.666666666666667</v>
      </c>
      <c r="AA385" s="1129">
        <v>25</v>
      </c>
      <c r="AB385" s="1129">
        <v>666.08920634920639</v>
      </c>
      <c r="AC385" s="1129">
        <v>250</v>
      </c>
      <c r="AD385" s="1098">
        <v>941.08920634920639</v>
      </c>
      <c r="AE385" s="1135">
        <v>4</v>
      </c>
      <c r="AF385" s="1129">
        <v>4</v>
      </c>
      <c r="AG385" s="1127">
        <v>1</v>
      </c>
      <c r="AH385" s="1127">
        <v>0</v>
      </c>
      <c r="AI385" s="1127">
        <v>0</v>
      </c>
      <c r="AJ385" s="1127">
        <v>1</v>
      </c>
      <c r="AK385" s="1129">
        <v>941.08920634920639</v>
      </c>
      <c r="AL385" s="1129">
        <v>0</v>
      </c>
      <c r="AM385" s="1129">
        <v>0</v>
      </c>
      <c r="AN385" s="1129">
        <v>941.08920634920639</v>
      </c>
      <c r="AO385" s="1129" t="s">
        <v>85</v>
      </c>
      <c r="AP385" s="1129" t="s">
        <v>96</v>
      </c>
      <c r="AQ385" s="1157">
        <v>2014</v>
      </c>
      <c r="AR385" s="1129" t="s">
        <v>87</v>
      </c>
      <c r="AS385" s="1127">
        <v>0.33333333333333331</v>
      </c>
      <c r="AT385" s="1127"/>
      <c r="AU385" s="1127">
        <v>0.33333333333333331</v>
      </c>
      <c r="AV385" s="1127"/>
      <c r="AW385" s="1127"/>
      <c r="AX385" s="1127"/>
      <c r="AY385" s="1127"/>
      <c r="AZ385" s="1127">
        <v>0.33333333333333331</v>
      </c>
      <c r="BA385" s="1129">
        <v>313.69640211640211</v>
      </c>
      <c r="BB385" s="1129">
        <v>0</v>
      </c>
      <c r="BC385" s="1129">
        <v>313.69640211640211</v>
      </c>
      <c r="BD385" s="1129">
        <v>0</v>
      </c>
      <c r="BE385" s="1129">
        <v>0</v>
      </c>
      <c r="BF385" s="1129">
        <v>0</v>
      </c>
      <c r="BG385" s="1129">
        <v>0</v>
      </c>
      <c r="BH385" s="1129">
        <v>313.69640211640211</v>
      </c>
      <c r="BI385" s="971"/>
      <c r="BJ385" s="971"/>
      <c r="BK385" s="971"/>
      <c r="BL385" s="1246"/>
      <c r="BM385" s="1247" t="s">
        <v>2125</v>
      </c>
    </row>
    <row r="386" spans="1:65" s="1247" customFormat="1" ht="49.5" customHeight="1">
      <c r="A386" s="1272">
        <v>7000</v>
      </c>
      <c r="B386" s="971" t="s">
        <v>2420</v>
      </c>
      <c r="C386" s="1272">
        <v>7400</v>
      </c>
      <c r="D386" s="971" t="s">
        <v>1316</v>
      </c>
      <c r="E386" s="1272">
        <v>7440</v>
      </c>
      <c r="F386" s="971" t="s">
        <v>3600</v>
      </c>
      <c r="G386" s="971">
        <v>7445</v>
      </c>
      <c r="H386" s="971" t="s">
        <v>6602</v>
      </c>
      <c r="I386" s="1273" t="s">
        <v>7164</v>
      </c>
      <c r="J386" s="971" t="s">
        <v>2146</v>
      </c>
      <c r="K386" s="971" t="s">
        <v>2129</v>
      </c>
      <c r="L386" s="971" t="s">
        <v>2130</v>
      </c>
      <c r="M386" s="971" t="s">
        <v>2129</v>
      </c>
      <c r="N386" s="971" t="s">
        <v>176</v>
      </c>
      <c r="O386" s="971" t="s">
        <v>2130</v>
      </c>
      <c r="P386" s="971" t="s">
        <v>6927</v>
      </c>
      <c r="Q386" s="971" t="s">
        <v>7084</v>
      </c>
      <c r="R386" s="971" t="s">
        <v>5576</v>
      </c>
      <c r="S386" s="1274">
        <v>1</v>
      </c>
      <c r="T386" s="971" t="s">
        <v>242</v>
      </c>
      <c r="U386" s="1275">
        <v>6.666666666666667</v>
      </c>
      <c r="V386" s="1275">
        <v>25</v>
      </c>
      <c r="W386" s="1275">
        <v>666.08920634920639</v>
      </c>
      <c r="X386" s="1275">
        <v>250</v>
      </c>
      <c r="Y386" s="1275">
        <v>941.08920634920639</v>
      </c>
      <c r="Z386" s="1129">
        <v>6.666666666666667</v>
      </c>
      <c r="AA386" s="1129">
        <v>25</v>
      </c>
      <c r="AB386" s="1129">
        <v>666.08920634920639</v>
      </c>
      <c r="AC386" s="1129">
        <v>250</v>
      </c>
      <c r="AD386" s="1098">
        <v>941.08920634920639</v>
      </c>
      <c r="AE386" s="1135">
        <v>4</v>
      </c>
      <c r="AF386" s="1129">
        <v>4</v>
      </c>
      <c r="AG386" s="1127">
        <v>1</v>
      </c>
      <c r="AH386" s="1127">
        <v>0</v>
      </c>
      <c r="AI386" s="1127">
        <v>0</v>
      </c>
      <c r="AJ386" s="1127">
        <v>1</v>
      </c>
      <c r="AK386" s="1129">
        <v>941.08920634920639</v>
      </c>
      <c r="AL386" s="1129">
        <v>0</v>
      </c>
      <c r="AM386" s="1129">
        <v>0</v>
      </c>
      <c r="AN386" s="1129">
        <v>941.08920634920639</v>
      </c>
      <c r="AO386" s="1129" t="s">
        <v>85</v>
      </c>
      <c r="AP386" s="1129" t="s">
        <v>96</v>
      </c>
      <c r="AQ386" s="1157">
        <v>2014</v>
      </c>
      <c r="AR386" s="1129" t="s">
        <v>87</v>
      </c>
      <c r="AS386" s="1127">
        <v>0.33333333333333331</v>
      </c>
      <c r="AT386" s="1127"/>
      <c r="AU386" s="1127">
        <v>0.33333333333333331</v>
      </c>
      <c r="AV386" s="1127"/>
      <c r="AW386" s="1127"/>
      <c r="AX386" s="1127"/>
      <c r="AY386" s="1127"/>
      <c r="AZ386" s="1127">
        <v>0.33333333333333331</v>
      </c>
      <c r="BA386" s="1129">
        <v>313.69640211640211</v>
      </c>
      <c r="BB386" s="1129">
        <v>0</v>
      </c>
      <c r="BC386" s="1129">
        <v>313.69640211640211</v>
      </c>
      <c r="BD386" s="1129">
        <v>0</v>
      </c>
      <c r="BE386" s="1129">
        <v>0</v>
      </c>
      <c r="BF386" s="1129">
        <v>0</v>
      </c>
      <c r="BG386" s="1129">
        <v>0</v>
      </c>
      <c r="BH386" s="1129">
        <v>313.69640211640211</v>
      </c>
      <c r="BI386" s="971"/>
      <c r="BJ386" s="971"/>
      <c r="BK386" s="971"/>
      <c r="BL386" s="1246"/>
      <c r="BM386" s="1247" t="s">
        <v>2125</v>
      </c>
    </row>
    <row r="387" spans="1:65" s="1247" customFormat="1" ht="49.5" customHeight="1">
      <c r="A387" s="1272">
        <v>7000</v>
      </c>
      <c r="B387" s="971" t="s">
        <v>2420</v>
      </c>
      <c r="C387" s="1272">
        <v>7400</v>
      </c>
      <c r="D387" s="971" t="s">
        <v>1316</v>
      </c>
      <c r="E387" s="1272">
        <v>7440</v>
      </c>
      <c r="F387" s="971" t="s">
        <v>3600</v>
      </c>
      <c r="G387" s="971">
        <v>7445</v>
      </c>
      <c r="H387" s="971" t="s">
        <v>6602</v>
      </c>
      <c r="I387" s="1273" t="s">
        <v>7165</v>
      </c>
      <c r="J387" s="971" t="s">
        <v>2146</v>
      </c>
      <c r="K387" s="971" t="s">
        <v>2129</v>
      </c>
      <c r="L387" s="971" t="s">
        <v>2130</v>
      </c>
      <c r="M387" s="971" t="s">
        <v>2129</v>
      </c>
      <c r="N387" s="971" t="s">
        <v>176</v>
      </c>
      <c r="O387" s="971" t="s">
        <v>2130</v>
      </c>
      <c r="P387" s="971" t="s">
        <v>6927</v>
      </c>
      <c r="Q387" s="971" t="s">
        <v>7084</v>
      </c>
      <c r="R387" s="971" t="s">
        <v>5577</v>
      </c>
      <c r="S387" s="1274">
        <v>1</v>
      </c>
      <c r="T387" s="971" t="s">
        <v>242</v>
      </c>
      <c r="U387" s="1275">
        <v>6.666666666666667</v>
      </c>
      <c r="V387" s="1275">
        <v>25</v>
      </c>
      <c r="W387" s="1275">
        <v>666.08920634920639</v>
      </c>
      <c r="X387" s="1275">
        <v>250</v>
      </c>
      <c r="Y387" s="1275">
        <v>941.08920634920639</v>
      </c>
      <c r="Z387" s="1129">
        <v>6.666666666666667</v>
      </c>
      <c r="AA387" s="1129">
        <v>25</v>
      </c>
      <c r="AB387" s="1129">
        <v>666.08920634920639</v>
      </c>
      <c r="AC387" s="1129">
        <v>250</v>
      </c>
      <c r="AD387" s="1098">
        <v>941.08920634920639</v>
      </c>
      <c r="AE387" s="1135">
        <v>4</v>
      </c>
      <c r="AF387" s="1129">
        <v>4</v>
      </c>
      <c r="AG387" s="1127">
        <v>1</v>
      </c>
      <c r="AH387" s="1127">
        <v>0</v>
      </c>
      <c r="AI387" s="1127">
        <v>0</v>
      </c>
      <c r="AJ387" s="1127">
        <v>1</v>
      </c>
      <c r="AK387" s="1129">
        <v>941.08920634920639</v>
      </c>
      <c r="AL387" s="1129">
        <v>0</v>
      </c>
      <c r="AM387" s="1129">
        <v>0</v>
      </c>
      <c r="AN387" s="1129">
        <v>941.08920634920639</v>
      </c>
      <c r="AO387" s="1129" t="s">
        <v>85</v>
      </c>
      <c r="AP387" s="1129" t="s">
        <v>96</v>
      </c>
      <c r="AQ387" s="1157">
        <v>2014</v>
      </c>
      <c r="AR387" s="1129" t="s">
        <v>87</v>
      </c>
      <c r="AS387" s="1127">
        <v>0.33333333333333331</v>
      </c>
      <c r="AT387" s="1127"/>
      <c r="AU387" s="1127">
        <v>0.33333333333333331</v>
      </c>
      <c r="AV387" s="1127"/>
      <c r="AW387" s="1127"/>
      <c r="AX387" s="1127"/>
      <c r="AY387" s="1127"/>
      <c r="AZ387" s="1127">
        <v>0.33333333333333331</v>
      </c>
      <c r="BA387" s="1129">
        <v>313.69640211640211</v>
      </c>
      <c r="BB387" s="1129">
        <v>0</v>
      </c>
      <c r="BC387" s="1129">
        <v>313.69640211640211</v>
      </c>
      <c r="BD387" s="1129">
        <v>0</v>
      </c>
      <c r="BE387" s="1129">
        <v>0</v>
      </c>
      <c r="BF387" s="1129">
        <v>0</v>
      </c>
      <c r="BG387" s="1129">
        <v>0</v>
      </c>
      <c r="BH387" s="1129">
        <v>313.69640211640211</v>
      </c>
      <c r="BI387" s="971"/>
      <c r="BJ387" s="971"/>
      <c r="BK387" s="971"/>
      <c r="BL387" s="1246"/>
      <c r="BM387" s="1247" t="s">
        <v>2129</v>
      </c>
    </row>
    <row r="388" spans="1:65" s="1247" customFormat="1" ht="82.5" customHeight="1">
      <c r="A388" s="1272">
        <v>7000</v>
      </c>
      <c r="B388" s="971" t="s">
        <v>2420</v>
      </c>
      <c r="C388" s="1272">
        <v>7400</v>
      </c>
      <c r="D388" s="971" t="s">
        <v>1316</v>
      </c>
      <c r="E388" s="1272">
        <v>7440</v>
      </c>
      <c r="F388" s="971" t="s">
        <v>3600</v>
      </c>
      <c r="G388" s="971">
        <v>7445</v>
      </c>
      <c r="H388" s="971" t="s">
        <v>6602</v>
      </c>
      <c r="I388" s="1273" t="s">
        <v>7166</v>
      </c>
      <c r="J388" s="971" t="s">
        <v>2146</v>
      </c>
      <c r="K388" s="971" t="s">
        <v>2125</v>
      </c>
      <c r="L388" s="971" t="s">
        <v>2126</v>
      </c>
      <c r="M388" s="971" t="s">
        <v>2125</v>
      </c>
      <c r="N388" s="971" t="s">
        <v>176</v>
      </c>
      <c r="O388" s="971" t="s">
        <v>2126</v>
      </c>
      <c r="P388" s="971" t="s">
        <v>6903</v>
      </c>
      <c r="Q388" s="971" t="s">
        <v>7167</v>
      </c>
      <c r="R388" s="971" t="s">
        <v>5578</v>
      </c>
      <c r="S388" s="1274">
        <v>1</v>
      </c>
      <c r="T388" s="971" t="s">
        <v>242</v>
      </c>
      <c r="U388" s="1275">
        <v>13</v>
      </c>
      <c r="V388" s="1275">
        <v>120</v>
      </c>
      <c r="W388" s="1275">
        <v>1298.8739523809525</v>
      </c>
      <c r="X388" s="1275">
        <v>1200</v>
      </c>
      <c r="Y388" s="1275">
        <v>2618.8739523809527</v>
      </c>
      <c r="Z388" s="1129">
        <v>13</v>
      </c>
      <c r="AA388" s="1129">
        <v>120</v>
      </c>
      <c r="AB388" s="1129">
        <v>1298.8739523809525</v>
      </c>
      <c r="AC388" s="1129">
        <v>1200</v>
      </c>
      <c r="AD388" s="1098">
        <v>2618.8739523809527</v>
      </c>
      <c r="AE388" s="1135">
        <v>96</v>
      </c>
      <c r="AF388" s="1129">
        <v>96</v>
      </c>
      <c r="AG388" s="1127">
        <v>1</v>
      </c>
      <c r="AH388" s="1127">
        <v>0</v>
      </c>
      <c r="AI388" s="1127">
        <v>0</v>
      </c>
      <c r="AJ388" s="1127">
        <v>1</v>
      </c>
      <c r="AK388" s="1129">
        <v>2618.8739523809527</v>
      </c>
      <c r="AL388" s="1129">
        <v>0</v>
      </c>
      <c r="AM388" s="1129">
        <v>0</v>
      </c>
      <c r="AN388" s="1129">
        <v>2618.8739523809527</v>
      </c>
      <c r="AO388" s="1129" t="s">
        <v>85</v>
      </c>
      <c r="AP388" s="1129" t="s">
        <v>96</v>
      </c>
      <c r="AQ388" s="1157">
        <v>2014</v>
      </c>
      <c r="AR388" s="1129" t="s">
        <v>87</v>
      </c>
      <c r="AS388" s="1127">
        <v>0.33333333333333331</v>
      </c>
      <c r="AT388" s="1127"/>
      <c r="AU388" s="1127">
        <v>0.33333333333333331</v>
      </c>
      <c r="AV388" s="1127"/>
      <c r="AW388" s="1127"/>
      <c r="AX388" s="1127"/>
      <c r="AY388" s="1127"/>
      <c r="AZ388" s="1127">
        <v>0.33333333333333331</v>
      </c>
      <c r="BA388" s="1129">
        <v>872.95798412698423</v>
      </c>
      <c r="BB388" s="1129">
        <v>0</v>
      </c>
      <c r="BC388" s="1129">
        <v>872.95798412698423</v>
      </c>
      <c r="BD388" s="1129">
        <v>0</v>
      </c>
      <c r="BE388" s="1129">
        <v>0</v>
      </c>
      <c r="BF388" s="1129">
        <v>0</v>
      </c>
      <c r="BG388" s="1129">
        <v>0</v>
      </c>
      <c r="BH388" s="1129">
        <v>872.95798412698423</v>
      </c>
      <c r="BI388" s="971"/>
      <c r="BJ388" s="971"/>
      <c r="BK388" s="971"/>
      <c r="BL388" s="1246"/>
      <c r="BM388" s="1247" t="s">
        <v>2125</v>
      </c>
    </row>
    <row r="389" spans="1:65" s="1247" customFormat="1" ht="82.5" customHeight="1">
      <c r="A389" s="1272">
        <v>7000</v>
      </c>
      <c r="B389" s="971" t="s">
        <v>2420</v>
      </c>
      <c r="C389" s="1272">
        <v>7400</v>
      </c>
      <c r="D389" s="971" t="s">
        <v>1316</v>
      </c>
      <c r="E389" s="1272">
        <v>7440</v>
      </c>
      <c r="F389" s="971" t="s">
        <v>3600</v>
      </c>
      <c r="G389" s="971">
        <v>7445</v>
      </c>
      <c r="H389" s="971" t="s">
        <v>6602</v>
      </c>
      <c r="I389" s="1273" t="s">
        <v>7168</v>
      </c>
      <c r="J389" s="971" t="s">
        <v>2146</v>
      </c>
      <c r="K389" s="971" t="s">
        <v>2127</v>
      </c>
      <c r="L389" s="971" t="s">
        <v>2177</v>
      </c>
      <c r="M389" s="971" t="s">
        <v>2127</v>
      </c>
      <c r="N389" s="971" t="s">
        <v>176</v>
      </c>
      <c r="O389" s="971" t="s">
        <v>2177</v>
      </c>
      <c r="P389" s="971" t="s">
        <v>7087</v>
      </c>
      <c r="Q389" s="971" t="s">
        <v>7169</v>
      </c>
      <c r="R389" s="971" t="s">
        <v>5583</v>
      </c>
      <c r="S389" s="1274">
        <v>1</v>
      </c>
      <c r="T389" s="971" t="s">
        <v>242</v>
      </c>
      <c r="U389" s="1275">
        <v>10</v>
      </c>
      <c r="V389" s="1275">
        <v>45</v>
      </c>
      <c r="W389" s="1275">
        <v>999.13380952380965</v>
      </c>
      <c r="X389" s="1275">
        <v>450</v>
      </c>
      <c r="Y389" s="1275">
        <v>1494.1338095238098</v>
      </c>
      <c r="Z389" s="1129">
        <v>10</v>
      </c>
      <c r="AA389" s="1129">
        <v>45</v>
      </c>
      <c r="AB389" s="1129">
        <v>999.13380952380965</v>
      </c>
      <c r="AC389" s="1129">
        <v>450</v>
      </c>
      <c r="AD389" s="1098">
        <v>1494.1338095238098</v>
      </c>
      <c r="AE389" s="1135">
        <v>24</v>
      </c>
      <c r="AF389" s="1129">
        <v>24</v>
      </c>
      <c r="AG389" s="1127">
        <v>1</v>
      </c>
      <c r="AH389" s="1127">
        <v>0</v>
      </c>
      <c r="AI389" s="1127">
        <v>0</v>
      </c>
      <c r="AJ389" s="1127">
        <v>1</v>
      </c>
      <c r="AK389" s="1129">
        <v>1494.1338095238098</v>
      </c>
      <c r="AL389" s="1129">
        <v>0</v>
      </c>
      <c r="AM389" s="1129">
        <v>0</v>
      </c>
      <c r="AN389" s="1129">
        <v>1494.1338095238098</v>
      </c>
      <c r="AO389" s="1129" t="s">
        <v>85</v>
      </c>
      <c r="AP389" s="1129" t="s">
        <v>96</v>
      </c>
      <c r="AQ389" s="1157">
        <v>2014</v>
      </c>
      <c r="AR389" s="1129" t="s">
        <v>87</v>
      </c>
      <c r="AS389" s="1127">
        <v>0.33333333333333331</v>
      </c>
      <c r="AT389" s="1127"/>
      <c r="AU389" s="1127">
        <v>0.33333333333333331</v>
      </c>
      <c r="AV389" s="1127"/>
      <c r="AW389" s="1127"/>
      <c r="AX389" s="1127"/>
      <c r="AY389" s="1127"/>
      <c r="AZ389" s="1127">
        <v>0.33333333333333331</v>
      </c>
      <c r="BA389" s="1129">
        <v>498.04460317460325</v>
      </c>
      <c r="BB389" s="1129">
        <v>0</v>
      </c>
      <c r="BC389" s="1129">
        <v>498.04460317460325</v>
      </c>
      <c r="BD389" s="1129">
        <v>0</v>
      </c>
      <c r="BE389" s="1129">
        <v>0</v>
      </c>
      <c r="BF389" s="1129">
        <v>0</v>
      </c>
      <c r="BG389" s="1129">
        <v>0</v>
      </c>
      <c r="BH389" s="1129">
        <v>498.04460317460325</v>
      </c>
      <c r="BI389" s="971"/>
      <c r="BJ389" s="971"/>
      <c r="BK389" s="971"/>
      <c r="BL389" s="1246"/>
      <c r="BM389" s="1247" t="s">
        <v>2125</v>
      </c>
    </row>
    <row r="390" spans="1:65" s="1247" customFormat="1" ht="82.5" customHeight="1">
      <c r="A390" s="1272">
        <v>7000</v>
      </c>
      <c r="B390" s="971" t="s">
        <v>2420</v>
      </c>
      <c r="C390" s="1272">
        <v>7400</v>
      </c>
      <c r="D390" s="971" t="s">
        <v>1316</v>
      </c>
      <c r="E390" s="1272">
        <v>7440</v>
      </c>
      <c r="F390" s="971" t="s">
        <v>3600</v>
      </c>
      <c r="G390" s="971">
        <v>7445</v>
      </c>
      <c r="H390" s="971" t="s">
        <v>6602</v>
      </c>
      <c r="I390" s="1273" t="s">
        <v>7170</v>
      </c>
      <c r="J390" s="971" t="s">
        <v>2146</v>
      </c>
      <c r="K390" s="971" t="s">
        <v>2129</v>
      </c>
      <c r="L390" s="971" t="s">
        <v>2130</v>
      </c>
      <c r="M390" s="971" t="s">
        <v>2129</v>
      </c>
      <c r="N390" s="971" t="s">
        <v>176</v>
      </c>
      <c r="O390" s="971" t="s">
        <v>2130</v>
      </c>
      <c r="P390" s="971" t="s">
        <v>6619</v>
      </c>
      <c r="Q390" s="971" t="s">
        <v>7092</v>
      </c>
      <c r="R390" s="971" t="s">
        <v>5586</v>
      </c>
      <c r="S390" s="1274">
        <v>1</v>
      </c>
      <c r="T390" s="971" t="s">
        <v>242</v>
      </c>
      <c r="U390" s="1275">
        <v>6.666666666666667</v>
      </c>
      <c r="V390" s="1275">
        <v>25</v>
      </c>
      <c r="W390" s="1275">
        <v>666.08920634920639</v>
      </c>
      <c r="X390" s="1275">
        <v>250</v>
      </c>
      <c r="Y390" s="1275">
        <v>941.08920634920639</v>
      </c>
      <c r="Z390" s="1129">
        <v>6.666666666666667</v>
      </c>
      <c r="AA390" s="1129">
        <v>25</v>
      </c>
      <c r="AB390" s="1129">
        <v>666.08920634920639</v>
      </c>
      <c r="AC390" s="1129">
        <v>250</v>
      </c>
      <c r="AD390" s="1098">
        <v>941.08920634920639</v>
      </c>
      <c r="AE390" s="1135">
        <v>4</v>
      </c>
      <c r="AF390" s="1129">
        <v>4</v>
      </c>
      <c r="AG390" s="1127">
        <v>1</v>
      </c>
      <c r="AH390" s="1127">
        <v>0</v>
      </c>
      <c r="AI390" s="1127">
        <v>0</v>
      </c>
      <c r="AJ390" s="1127">
        <v>1</v>
      </c>
      <c r="AK390" s="1129">
        <v>941.08920634920639</v>
      </c>
      <c r="AL390" s="1129">
        <v>0</v>
      </c>
      <c r="AM390" s="1129">
        <v>0</v>
      </c>
      <c r="AN390" s="1129">
        <v>941.08920634920639</v>
      </c>
      <c r="AO390" s="1129" t="s">
        <v>85</v>
      </c>
      <c r="AP390" s="1129" t="s">
        <v>96</v>
      </c>
      <c r="AQ390" s="1157">
        <v>2014</v>
      </c>
      <c r="AR390" s="1129" t="s">
        <v>87</v>
      </c>
      <c r="AS390" s="1127">
        <v>0.33333333333333331</v>
      </c>
      <c r="AT390" s="1127"/>
      <c r="AU390" s="1127">
        <v>0.33333333333333331</v>
      </c>
      <c r="AV390" s="1127"/>
      <c r="AW390" s="1127"/>
      <c r="AX390" s="1127"/>
      <c r="AY390" s="1127"/>
      <c r="AZ390" s="1127">
        <v>0.33333333333333331</v>
      </c>
      <c r="BA390" s="1129">
        <v>313.69640211640211</v>
      </c>
      <c r="BB390" s="1129">
        <v>0</v>
      </c>
      <c r="BC390" s="1129">
        <v>313.69640211640211</v>
      </c>
      <c r="BD390" s="1129">
        <v>0</v>
      </c>
      <c r="BE390" s="1129">
        <v>0</v>
      </c>
      <c r="BF390" s="1129">
        <v>0</v>
      </c>
      <c r="BG390" s="1129">
        <v>0</v>
      </c>
      <c r="BH390" s="1129">
        <v>313.69640211640211</v>
      </c>
      <c r="BI390" s="971"/>
      <c r="BJ390" s="971"/>
      <c r="BK390" s="971"/>
      <c r="BL390" s="1246"/>
      <c r="BM390" s="1247" t="s">
        <v>2125</v>
      </c>
    </row>
    <row r="391" spans="1:65" s="1247" customFormat="1" ht="82.5" customHeight="1">
      <c r="A391" s="1272">
        <v>7000</v>
      </c>
      <c r="B391" s="971" t="s">
        <v>2420</v>
      </c>
      <c r="C391" s="1272">
        <v>7400</v>
      </c>
      <c r="D391" s="971" t="s">
        <v>1316</v>
      </c>
      <c r="E391" s="1272">
        <v>7440</v>
      </c>
      <c r="F391" s="971" t="s">
        <v>3600</v>
      </c>
      <c r="G391" s="971">
        <v>7445</v>
      </c>
      <c r="H391" s="971" t="s">
        <v>6602</v>
      </c>
      <c r="I391" s="1273" t="s">
        <v>7171</v>
      </c>
      <c r="J391" s="971" t="s">
        <v>2146</v>
      </c>
      <c r="K391" s="971" t="s">
        <v>2129</v>
      </c>
      <c r="L391" s="971" t="s">
        <v>2130</v>
      </c>
      <c r="M391" s="971" t="s">
        <v>2129</v>
      </c>
      <c r="N391" s="971" t="s">
        <v>176</v>
      </c>
      <c r="O391" s="971" t="s">
        <v>2130</v>
      </c>
      <c r="P391" s="971" t="s">
        <v>6619</v>
      </c>
      <c r="Q391" s="971" t="s">
        <v>7092</v>
      </c>
      <c r="R391" s="971" t="s">
        <v>5587</v>
      </c>
      <c r="S391" s="1274">
        <v>1</v>
      </c>
      <c r="T391" s="971" t="s">
        <v>242</v>
      </c>
      <c r="U391" s="1275">
        <v>6.666666666666667</v>
      </c>
      <c r="V391" s="1275">
        <v>25</v>
      </c>
      <c r="W391" s="1275">
        <v>666.08920634920639</v>
      </c>
      <c r="X391" s="1275">
        <v>250</v>
      </c>
      <c r="Y391" s="1275">
        <v>941.08920634920639</v>
      </c>
      <c r="Z391" s="1129">
        <v>6.666666666666667</v>
      </c>
      <c r="AA391" s="1129">
        <v>25</v>
      </c>
      <c r="AB391" s="1129">
        <v>666.08920634920639</v>
      </c>
      <c r="AC391" s="1129">
        <v>250</v>
      </c>
      <c r="AD391" s="1098">
        <v>941.08920634920639</v>
      </c>
      <c r="AE391" s="1135">
        <v>4</v>
      </c>
      <c r="AF391" s="1129">
        <v>4</v>
      </c>
      <c r="AG391" s="1127">
        <v>1</v>
      </c>
      <c r="AH391" s="1127">
        <v>0</v>
      </c>
      <c r="AI391" s="1127">
        <v>0</v>
      </c>
      <c r="AJ391" s="1127">
        <v>1</v>
      </c>
      <c r="AK391" s="1129">
        <v>941.08920634920639</v>
      </c>
      <c r="AL391" s="1129">
        <v>0</v>
      </c>
      <c r="AM391" s="1129">
        <v>0</v>
      </c>
      <c r="AN391" s="1129">
        <v>941.08920634920639</v>
      </c>
      <c r="AO391" s="1129" t="s">
        <v>85</v>
      </c>
      <c r="AP391" s="1129" t="s">
        <v>96</v>
      </c>
      <c r="AQ391" s="1157">
        <v>2014</v>
      </c>
      <c r="AR391" s="1129" t="s">
        <v>87</v>
      </c>
      <c r="AS391" s="1127">
        <v>0.33333333333333331</v>
      </c>
      <c r="AT391" s="1127"/>
      <c r="AU391" s="1127">
        <v>0.33333333333333331</v>
      </c>
      <c r="AV391" s="1127"/>
      <c r="AW391" s="1127"/>
      <c r="AX391" s="1127"/>
      <c r="AY391" s="1127"/>
      <c r="AZ391" s="1127">
        <v>0.33333333333333331</v>
      </c>
      <c r="BA391" s="1129">
        <v>313.69640211640211</v>
      </c>
      <c r="BB391" s="1129">
        <v>0</v>
      </c>
      <c r="BC391" s="1129">
        <v>313.69640211640211</v>
      </c>
      <c r="BD391" s="1129">
        <v>0</v>
      </c>
      <c r="BE391" s="1129">
        <v>0</v>
      </c>
      <c r="BF391" s="1129">
        <v>0</v>
      </c>
      <c r="BG391" s="1129">
        <v>0</v>
      </c>
      <c r="BH391" s="1129">
        <v>313.69640211640211</v>
      </c>
      <c r="BI391" s="971"/>
      <c r="BJ391" s="971"/>
      <c r="BK391" s="971"/>
      <c r="BL391" s="1246"/>
      <c r="BM391" s="1247" t="s">
        <v>2125</v>
      </c>
    </row>
    <row r="392" spans="1:65" s="1247" customFormat="1" ht="82.5" customHeight="1">
      <c r="A392" s="1272">
        <v>2000</v>
      </c>
      <c r="B392" s="971" t="s">
        <v>119</v>
      </c>
      <c r="C392" s="1272">
        <v>2100</v>
      </c>
      <c r="D392" s="971" t="s">
        <v>120</v>
      </c>
      <c r="E392" s="971" t="s">
        <v>175</v>
      </c>
      <c r="F392" s="971" t="s">
        <v>176</v>
      </c>
      <c r="G392" s="971">
        <v>2140</v>
      </c>
      <c r="H392" s="971" t="s">
        <v>176</v>
      </c>
      <c r="I392" s="1273"/>
      <c r="J392" s="971" t="s">
        <v>2146</v>
      </c>
      <c r="K392" s="971" t="s">
        <v>2129</v>
      </c>
      <c r="L392" s="971" t="s">
        <v>2130</v>
      </c>
      <c r="M392" s="971" t="s">
        <v>2129</v>
      </c>
      <c r="N392" s="971" t="s">
        <v>176</v>
      </c>
      <c r="O392" s="971" t="s">
        <v>2130</v>
      </c>
      <c r="P392" s="971" t="s">
        <v>6619</v>
      </c>
      <c r="Q392" s="971" t="s">
        <v>6622</v>
      </c>
      <c r="R392" s="971"/>
      <c r="S392" s="1274">
        <v>10</v>
      </c>
      <c r="T392" s="971" t="s">
        <v>242</v>
      </c>
      <c r="U392" s="1275">
        <v>6.666666666666667</v>
      </c>
      <c r="V392" s="1275">
        <v>25</v>
      </c>
      <c r="W392" s="1275">
        <v>666.08920634920639</v>
      </c>
      <c r="X392" s="1275">
        <v>250</v>
      </c>
      <c r="Y392" s="1275">
        <v>941.08920634920639</v>
      </c>
      <c r="Z392" s="1129">
        <v>66.666666666666671</v>
      </c>
      <c r="AA392" s="1129">
        <v>250</v>
      </c>
      <c r="AB392" s="1129">
        <v>6660.8920634920642</v>
      </c>
      <c r="AC392" s="1129">
        <v>2500</v>
      </c>
      <c r="AD392" s="1098">
        <v>9410.8920634920632</v>
      </c>
      <c r="AE392" s="1237">
        <v>4</v>
      </c>
      <c r="AF392" s="1133">
        <v>40</v>
      </c>
      <c r="AG392" s="1127">
        <v>1</v>
      </c>
      <c r="AH392" s="1127">
        <v>0</v>
      </c>
      <c r="AI392" s="1127">
        <v>0</v>
      </c>
      <c r="AJ392" s="1127">
        <v>1</v>
      </c>
      <c r="AK392" s="1129">
        <v>9410.8920634920632</v>
      </c>
      <c r="AL392" s="1129">
        <v>0</v>
      </c>
      <c r="AM392" s="1129">
        <v>0</v>
      </c>
      <c r="AN392" s="1129">
        <v>9410.8920634920632</v>
      </c>
      <c r="AO392" s="1129" t="s">
        <v>85</v>
      </c>
      <c r="AP392" s="1129" t="s">
        <v>96</v>
      </c>
      <c r="AQ392" s="1157" t="s">
        <v>107</v>
      </c>
      <c r="AR392" s="1129" t="s">
        <v>87</v>
      </c>
      <c r="AS392" s="1127">
        <v>0.33333333333333331</v>
      </c>
      <c r="AT392" s="1127"/>
      <c r="AU392" s="1127">
        <v>0.33333333333333331</v>
      </c>
      <c r="AV392" s="1127"/>
      <c r="AW392" s="1127"/>
      <c r="AX392" s="1127"/>
      <c r="AY392" s="1127"/>
      <c r="AZ392" s="1127">
        <v>0.33333333333333331</v>
      </c>
      <c r="BA392" s="1129">
        <v>3136.9640211640208</v>
      </c>
      <c r="BB392" s="1129">
        <v>0</v>
      </c>
      <c r="BC392" s="1129">
        <v>3136.9640211640208</v>
      </c>
      <c r="BD392" s="1129">
        <v>0</v>
      </c>
      <c r="BE392" s="1129">
        <v>0</v>
      </c>
      <c r="BF392" s="1129">
        <v>0</v>
      </c>
      <c r="BG392" s="1129">
        <v>0</v>
      </c>
      <c r="BH392" s="1129">
        <v>3136.9640211640208</v>
      </c>
      <c r="BI392" s="971"/>
      <c r="BJ392" s="971"/>
      <c r="BK392" s="971"/>
      <c r="BL392" s="1246"/>
      <c r="BM392" s="1247" t="s">
        <v>2125</v>
      </c>
    </row>
    <row r="393" spans="1:65" s="1247" customFormat="1" ht="82.5" customHeight="1">
      <c r="A393" s="1272">
        <v>2000</v>
      </c>
      <c r="B393" s="971" t="s">
        <v>119</v>
      </c>
      <c r="C393" s="1272">
        <v>2100</v>
      </c>
      <c r="D393" s="971" t="s">
        <v>120</v>
      </c>
      <c r="E393" s="971" t="s">
        <v>175</v>
      </c>
      <c r="F393" s="971" t="s">
        <v>176</v>
      </c>
      <c r="G393" s="971">
        <v>2142</v>
      </c>
      <c r="H393" s="971" t="s">
        <v>3491</v>
      </c>
      <c r="I393" s="1273"/>
      <c r="J393" s="971" t="s">
        <v>2146</v>
      </c>
      <c r="K393" s="971" t="s">
        <v>2125</v>
      </c>
      <c r="L393" s="971" t="s">
        <v>2126</v>
      </c>
      <c r="M393" s="971" t="s">
        <v>2125</v>
      </c>
      <c r="N393" s="971" t="s">
        <v>176</v>
      </c>
      <c r="O393" s="971" t="s">
        <v>2126</v>
      </c>
      <c r="P393" s="971" t="s">
        <v>7172</v>
      </c>
      <c r="Q393" s="971" t="s">
        <v>7173</v>
      </c>
      <c r="R393" s="971"/>
      <c r="S393" s="1274">
        <v>2</v>
      </c>
      <c r="T393" s="971" t="s">
        <v>242</v>
      </c>
      <c r="U393" s="1275">
        <v>13</v>
      </c>
      <c r="V393" s="1275">
        <v>120</v>
      </c>
      <c r="W393" s="1275">
        <v>1298.8739523809525</v>
      </c>
      <c r="X393" s="1275">
        <v>1200</v>
      </c>
      <c r="Y393" s="1275">
        <v>2618.8739523809527</v>
      </c>
      <c r="Z393" s="1129">
        <v>26</v>
      </c>
      <c r="AA393" s="1129">
        <v>240</v>
      </c>
      <c r="AB393" s="1129">
        <v>2597.7479047619049</v>
      </c>
      <c r="AC393" s="1129">
        <v>2400</v>
      </c>
      <c r="AD393" s="1098">
        <v>5237.7479047619054</v>
      </c>
      <c r="AE393" s="1237">
        <v>96</v>
      </c>
      <c r="AF393" s="1133">
        <v>192</v>
      </c>
      <c r="AG393" s="1127">
        <v>1</v>
      </c>
      <c r="AH393" s="1127">
        <v>0</v>
      </c>
      <c r="AI393" s="1127">
        <v>0</v>
      </c>
      <c r="AJ393" s="1127">
        <v>1</v>
      </c>
      <c r="AK393" s="1129">
        <v>5237.7479047619054</v>
      </c>
      <c r="AL393" s="1129">
        <v>0</v>
      </c>
      <c r="AM393" s="1129">
        <v>0</v>
      </c>
      <c r="AN393" s="1129">
        <v>5237.7479047619054</v>
      </c>
      <c r="AO393" s="1129" t="s">
        <v>85</v>
      </c>
      <c r="AP393" s="1129" t="s">
        <v>96</v>
      </c>
      <c r="AQ393" s="1157" t="s">
        <v>107</v>
      </c>
      <c r="AR393" s="1129" t="s">
        <v>87</v>
      </c>
      <c r="AS393" s="1127">
        <v>0.33333333333333331</v>
      </c>
      <c r="AT393" s="1127"/>
      <c r="AU393" s="1127">
        <v>0.33333333333333331</v>
      </c>
      <c r="AV393" s="1127"/>
      <c r="AW393" s="1127"/>
      <c r="AX393" s="1127"/>
      <c r="AY393" s="1127"/>
      <c r="AZ393" s="1127">
        <v>0.33333333333333331</v>
      </c>
      <c r="BA393" s="1129">
        <v>1745.9159682539685</v>
      </c>
      <c r="BB393" s="1129">
        <v>0</v>
      </c>
      <c r="BC393" s="1129">
        <v>1745.9159682539685</v>
      </c>
      <c r="BD393" s="1129">
        <v>0</v>
      </c>
      <c r="BE393" s="1129">
        <v>0</v>
      </c>
      <c r="BF393" s="1129">
        <v>0</v>
      </c>
      <c r="BG393" s="1129">
        <v>0</v>
      </c>
      <c r="BH393" s="1129">
        <v>1745.9159682539685</v>
      </c>
      <c r="BI393" s="971"/>
      <c r="BJ393" s="971"/>
      <c r="BK393" s="971"/>
      <c r="BL393" s="1246"/>
      <c r="BM393" s="1247" t="s">
        <v>2125</v>
      </c>
    </row>
    <row r="394" spans="1:65" s="1247" customFormat="1" ht="82.5" customHeight="1">
      <c r="A394" s="1272">
        <v>2000</v>
      </c>
      <c r="B394" s="971" t="s">
        <v>119</v>
      </c>
      <c r="C394" s="1272">
        <v>2100</v>
      </c>
      <c r="D394" s="971" t="s">
        <v>120</v>
      </c>
      <c r="E394" s="971" t="s">
        <v>175</v>
      </c>
      <c r="F394" s="971" t="s">
        <v>176</v>
      </c>
      <c r="G394" s="971">
        <v>2143</v>
      </c>
      <c r="H394" s="971" t="s">
        <v>3494</v>
      </c>
      <c r="I394" s="1273"/>
      <c r="J394" s="971" t="s">
        <v>2146</v>
      </c>
      <c r="K394" s="971" t="s">
        <v>2125</v>
      </c>
      <c r="L394" s="971" t="s">
        <v>2126</v>
      </c>
      <c r="M394" s="971" t="s">
        <v>2125</v>
      </c>
      <c r="N394" s="971" t="s">
        <v>176</v>
      </c>
      <c r="O394" s="971" t="s">
        <v>2126</v>
      </c>
      <c r="P394" s="971" t="s">
        <v>6391</v>
      </c>
      <c r="Q394" s="971" t="s">
        <v>6922</v>
      </c>
      <c r="R394" s="971"/>
      <c r="S394" s="1274">
        <v>1</v>
      </c>
      <c r="T394" s="971" t="s">
        <v>242</v>
      </c>
      <c r="U394" s="1275">
        <v>13</v>
      </c>
      <c r="V394" s="1275">
        <v>120</v>
      </c>
      <c r="W394" s="1275">
        <v>1298.8739523809525</v>
      </c>
      <c r="X394" s="1275">
        <v>1200</v>
      </c>
      <c r="Y394" s="1275">
        <v>2618.8739523809527</v>
      </c>
      <c r="Z394" s="1129">
        <v>13</v>
      </c>
      <c r="AA394" s="1129">
        <v>120</v>
      </c>
      <c r="AB394" s="1129">
        <v>1298.8739523809525</v>
      </c>
      <c r="AC394" s="1129">
        <v>1200</v>
      </c>
      <c r="AD394" s="1098">
        <v>2618.8739523809527</v>
      </c>
      <c r="AE394" s="1237">
        <v>96</v>
      </c>
      <c r="AF394" s="1133">
        <v>96</v>
      </c>
      <c r="AG394" s="1127">
        <v>1</v>
      </c>
      <c r="AH394" s="1127">
        <v>0</v>
      </c>
      <c r="AI394" s="1127">
        <v>0</v>
      </c>
      <c r="AJ394" s="1127">
        <v>1</v>
      </c>
      <c r="AK394" s="1129">
        <v>2618.8739523809527</v>
      </c>
      <c r="AL394" s="1129">
        <v>0</v>
      </c>
      <c r="AM394" s="1129">
        <v>0</v>
      </c>
      <c r="AN394" s="1129">
        <v>2618.8739523809527</v>
      </c>
      <c r="AO394" s="1129" t="s">
        <v>85</v>
      </c>
      <c r="AP394" s="1129" t="s">
        <v>96</v>
      </c>
      <c r="AQ394" s="1157" t="s">
        <v>107</v>
      </c>
      <c r="AR394" s="1129" t="s">
        <v>87</v>
      </c>
      <c r="AS394" s="1127">
        <v>0.33333333333333331</v>
      </c>
      <c r="AT394" s="1127"/>
      <c r="AU394" s="1127">
        <v>0.33333333333333331</v>
      </c>
      <c r="AV394" s="1127"/>
      <c r="AW394" s="1127"/>
      <c r="AX394" s="1127"/>
      <c r="AY394" s="1127"/>
      <c r="AZ394" s="1127">
        <v>0.33333333333333331</v>
      </c>
      <c r="BA394" s="1129">
        <v>872.95798412698423</v>
      </c>
      <c r="BB394" s="1129">
        <v>0</v>
      </c>
      <c r="BC394" s="1129">
        <v>872.95798412698423</v>
      </c>
      <c r="BD394" s="1129">
        <v>0</v>
      </c>
      <c r="BE394" s="1129">
        <v>0</v>
      </c>
      <c r="BF394" s="1129">
        <v>0</v>
      </c>
      <c r="BG394" s="1129">
        <v>0</v>
      </c>
      <c r="BH394" s="1129">
        <v>872.95798412698423</v>
      </c>
      <c r="BI394" s="971"/>
      <c r="BJ394" s="971"/>
      <c r="BK394" s="971"/>
      <c r="BL394" s="1246"/>
      <c r="BM394" s="1247" t="s">
        <v>2125</v>
      </c>
    </row>
    <row r="395" spans="1:65" s="1247" customFormat="1" ht="82.5" customHeight="1">
      <c r="A395" s="1272">
        <v>2000</v>
      </c>
      <c r="B395" s="971" t="s">
        <v>119</v>
      </c>
      <c r="C395" s="1272">
        <v>2100</v>
      </c>
      <c r="D395" s="971" t="s">
        <v>120</v>
      </c>
      <c r="E395" s="971" t="s">
        <v>175</v>
      </c>
      <c r="F395" s="971" t="s">
        <v>176</v>
      </c>
      <c r="G395" s="971">
        <v>2143</v>
      </c>
      <c r="H395" s="971" t="s">
        <v>3494</v>
      </c>
      <c r="I395" s="1273"/>
      <c r="J395" s="971" t="s">
        <v>2146</v>
      </c>
      <c r="K395" s="971" t="s">
        <v>2127</v>
      </c>
      <c r="L395" s="971" t="s">
        <v>2177</v>
      </c>
      <c r="M395" s="971" t="s">
        <v>2127</v>
      </c>
      <c r="N395" s="971" t="s">
        <v>176</v>
      </c>
      <c r="O395" s="971" t="s">
        <v>2177</v>
      </c>
      <c r="P395" s="971" t="s">
        <v>6674</v>
      </c>
      <c r="Q395" s="971" t="s">
        <v>7174</v>
      </c>
      <c r="R395" s="971"/>
      <c r="S395" s="1274">
        <v>1</v>
      </c>
      <c r="T395" s="971" t="s">
        <v>242</v>
      </c>
      <c r="U395" s="1275">
        <v>10</v>
      </c>
      <c r="V395" s="1275">
        <v>45</v>
      </c>
      <c r="W395" s="1275">
        <v>999.13380952380965</v>
      </c>
      <c r="X395" s="1275">
        <v>450</v>
      </c>
      <c r="Y395" s="1275">
        <v>1494.1338095238098</v>
      </c>
      <c r="Z395" s="1129">
        <v>10</v>
      </c>
      <c r="AA395" s="1129">
        <v>45</v>
      </c>
      <c r="AB395" s="1129">
        <v>999.13380952380965</v>
      </c>
      <c r="AC395" s="1129">
        <v>450</v>
      </c>
      <c r="AD395" s="1098">
        <v>1494.1338095238098</v>
      </c>
      <c r="AE395" s="1135">
        <v>24</v>
      </c>
      <c r="AF395" s="1129">
        <v>24</v>
      </c>
      <c r="AG395" s="1127">
        <v>1</v>
      </c>
      <c r="AH395" s="1127">
        <v>0</v>
      </c>
      <c r="AI395" s="1127">
        <v>0</v>
      </c>
      <c r="AJ395" s="1127">
        <v>1</v>
      </c>
      <c r="AK395" s="1129">
        <v>1494.1338095238098</v>
      </c>
      <c r="AL395" s="1129">
        <v>0</v>
      </c>
      <c r="AM395" s="1129">
        <v>0</v>
      </c>
      <c r="AN395" s="1129">
        <v>1494.1338095238098</v>
      </c>
      <c r="AO395" s="1129" t="s">
        <v>85</v>
      </c>
      <c r="AP395" s="1129" t="s">
        <v>96</v>
      </c>
      <c r="AQ395" s="1157" t="s">
        <v>107</v>
      </c>
      <c r="AR395" s="1129" t="s">
        <v>87</v>
      </c>
      <c r="AS395" s="1127">
        <v>0.33333333333333331</v>
      </c>
      <c r="AT395" s="1127"/>
      <c r="AU395" s="1127">
        <v>0.33333333333333331</v>
      </c>
      <c r="AV395" s="1127"/>
      <c r="AW395" s="1127"/>
      <c r="AX395" s="1127"/>
      <c r="AY395" s="1127"/>
      <c r="AZ395" s="1127">
        <v>0.33333333333333331</v>
      </c>
      <c r="BA395" s="1129">
        <v>498.04460317460325</v>
      </c>
      <c r="BB395" s="1129">
        <v>0</v>
      </c>
      <c r="BC395" s="1129">
        <v>498.04460317460325</v>
      </c>
      <c r="BD395" s="1129">
        <v>0</v>
      </c>
      <c r="BE395" s="1129">
        <v>0</v>
      </c>
      <c r="BF395" s="1129">
        <v>0</v>
      </c>
      <c r="BG395" s="1129">
        <v>0</v>
      </c>
      <c r="BH395" s="1129">
        <v>498.04460317460325</v>
      </c>
      <c r="BI395" s="971"/>
      <c r="BJ395" s="971"/>
      <c r="BK395" s="971"/>
      <c r="BL395" s="1246"/>
      <c r="BM395" s="1247" t="s">
        <v>2125</v>
      </c>
    </row>
    <row r="396" spans="1:65" s="1247" customFormat="1" ht="82.5" customHeight="1">
      <c r="A396" s="1272">
        <v>2000</v>
      </c>
      <c r="B396" s="971" t="s">
        <v>119</v>
      </c>
      <c r="C396" s="1272">
        <v>2100</v>
      </c>
      <c r="D396" s="971" t="s">
        <v>120</v>
      </c>
      <c r="E396" s="971" t="s">
        <v>175</v>
      </c>
      <c r="F396" s="971" t="s">
        <v>176</v>
      </c>
      <c r="G396" s="971">
        <v>2143</v>
      </c>
      <c r="H396" s="971" t="s">
        <v>3494</v>
      </c>
      <c r="I396" s="1273"/>
      <c r="J396" s="971" t="s">
        <v>2146</v>
      </c>
      <c r="K396" s="971" t="s">
        <v>2129</v>
      </c>
      <c r="L396" s="971" t="s">
        <v>2130</v>
      </c>
      <c r="M396" s="971" t="s">
        <v>2129</v>
      </c>
      <c r="N396" s="971" t="s">
        <v>176</v>
      </c>
      <c r="O396" s="971" t="s">
        <v>2130</v>
      </c>
      <c r="P396" s="971" t="s">
        <v>6632</v>
      </c>
      <c r="Q396" s="971" t="s">
        <v>7175</v>
      </c>
      <c r="R396" s="971"/>
      <c r="S396" s="1274">
        <v>5</v>
      </c>
      <c r="T396" s="971" t="s">
        <v>242</v>
      </c>
      <c r="U396" s="1275">
        <v>6.666666666666667</v>
      </c>
      <c r="V396" s="1275">
        <v>25</v>
      </c>
      <c r="W396" s="1275">
        <v>666.08920634920639</v>
      </c>
      <c r="X396" s="1275">
        <v>250</v>
      </c>
      <c r="Y396" s="1275">
        <v>941.08920634920639</v>
      </c>
      <c r="Z396" s="1129">
        <v>33.333333333333336</v>
      </c>
      <c r="AA396" s="1129">
        <v>125</v>
      </c>
      <c r="AB396" s="1129">
        <v>3330.4460317460321</v>
      </c>
      <c r="AC396" s="1129">
        <v>1250</v>
      </c>
      <c r="AD396" s="1098">
        <v>4705.4460317460316</v>
      </c>
      <c r="AE396" s="1237">
        <v>4</v>
      </c>
      <c r="AF396" s="1133">
        <v>20</v>
      </c>
      <c r="AG396" s="1127">
        <v>1</v>
      </c>
      <c r="AH396" s="1127">
        <v>0</v>
      </c>
      <c r="AI396" s="1127">
        <v>0</v>
      </c>
      <c r="AJ396" s="1127">
        <v>1</v>
      </c>
      <c r="AK396" s="1129">
        <v>4705.4460317460316</v>
      </c>
      <c r="AL396" s="1129">
        <v>0</v>
      </c>
      <c r="AM396" s="1129">
        <v>0</v>
      </c>
      <c r="AN396" s="1129">
        <v>4705.4460317460316</v>
      </c>
      <c r="AO396" s="1129" t="s">
        <v>85</v>
      </c>
      <c r="AP396" s="1129" t="s">
        <v>96</v>
      </c>
      <c r="AQ396" s="1157" t="s">
        <v>107</v>
      </c>
      <c r="AR396" s="1129" t="s">
        <v>87</v>
      </c>
      <c r="AS396" s="1127">
        <v>0.33333333333333331</v>
      </c>
      <c r="AT396" s="1127"/>
      <c r="AU396" s="1127">
        <v>0.33333333333333331</v>
      </c>
      <c r="AV396" s="1127"/>
      <c r="AW396" s="1127"/>
      <c r="AX396" s="1127"/>
      <c r="AY396" s="1127"/>
      <c r="AZ396" s="1127">
        <v>0.33333333333333331</v>
      </c>
      <c r="BA396" s="1129">
        <v>1568.4820105820104</v>
      </c>
      <c r="BB396" s="1129">
        <v>0</v>
      </c>
      <c r="BC396" s="1129">
        <v>1568.4820105820104</v>
      </c>
      <c r="BD396" s="1129">
        <v>0</v>
      </c>
      <c r="BE396" s="1129">
        <v>0</v>
      </c>
      <c r="BF396" s="1129">
        <v>0</v>
      </c>
      <c r="BG396" s="1129">
        <v>0</v>
      </c>
      <c r="BH396" s="1129">
        <v>1568.4820105820104</v>
      </c>
      <c r="BI396" s="971"/>
      <c r="BJ396" s="971"/>
      <c r="BK396" s="971"/>
      <c r="BL396" s="1246"/>
      <c r="BM396" s="1247" t="s">
        <v>2125</v>
      </c>
    </row>
    <row r="397" spans="1:65" s="1247" customFormat="1" ht="82.5" customHeight="1">
      <c r="A397" s="1272">
        <v>2000</v>
      </c>
      <c r="B397" s="971" t="s">
        <v>119</v>
      </c>
      <c r="C397" s="1272">
        <v>2100</v>
      </c>
      <c r="D397" s="971" t="s">
        <v>120</v>
      </c>
      <c r="E397" s="971" t="s">
        <v>175</v>
      </c>
      <c r="F397" s="971" t="s">
        <v>176</v>
      </c>
      <c r="G397" s="971">
        <v>2143</v>
      </c>
      <c r="H397" s="971" t="s">
        <v>3494</v>
      </c>
      <c r="I397" s="1273"/>
      <c r="J397" s="971" t="s">
        <v>2146</v>
      </c>
      <c r="K397" s="971" t="s">
        <v>2127</v>
      </c>
      <c r="L397" s="971" t="s">
        <v>2177</v>
      </c>
      <c r="M397" s="971" t="s">
        <v>2127</v>
      </c>
      <c r="N397" s="971" t="s">
        <v>176</v>
      </c>
      <c r="O397" s="971" t="s">
        <v>2177</v>
      </c>
      <c r="P397" s="971" t="s">
        <v>2292</v>
      </c>
      <c r="Q397" s="971" t="s">
        <v>7176</v>
      </c>
      <c r="R397" s="971"/>
      <c r="S397" s="1274">
        <v>1</v>
      </c>
      <c r="T397" s="971" t="s">
        <v>242</v>
      </c>
      <c r="U397" s="1275">
        <v>10</v>
      </c>
      <c r="V397" s="1275">
        <v>45</v>
      </c>
      <c r="W397" s="1275">
        <v>999.13380952380965</v>
      </c>
      <c r="X397" s="1275">
        <v>450</v>
      </c>
      <c r="Y397" s="1275">
        <v>1494.1338095238098</v>
      </c>
      <c r="Z397" s="1129">
        <v>10</v>
      </c>
      <c r="AA397" s="1129">
        <v>45</v>
      </c>
      <c r="AB397" s="1129">
        <v>999.13380952380965</v>
      </c>
      <c r="AC397" s="1129">
        <v>450</v>
      </c>
      <c r="AD397" s="1098">
        <v>1494.1338095238098</v>
      </c>
      <c r="AE397" s="1135">
        <v>24</v>
      </c>
      <c r="AF397" s="1129">
        <v>24</v>
      </c>
      <c r="AG397" s="1127">
        <v>1</v>
      </c>
      <c r="AH397" s="1127">
        <v>0</v>
      </c>
      <c r="AI397" s="1127">
        <v>0</v>
      </c>
      <c r="AJ397" s="1127">
        <v>1</v>
      </c>
      <c r="AK397" s="1129">
        <v>1494.1338095238098</v>
      </c>
      <c r="AL397" s="1129">
        <v>0</v>
      </c>
      <c r="AM397" s="1129">
        <v>0</v>
      </c>
      <c r="AN397" s="1129">
        <v>1494.1338095238098</v>
      </c>
      <c r="AO397" s="1129" t="s">
        <v>85</v>
      </c>
      <c r="AP397" s="1129" t="s">
        <v>96</v>
      </c>
      <c r="AQ397" s="1157" t="s">
        <v>107</v>
      </c>
      <c r="AR397" s="1129" t="s">
        <v>87</v>
      </c>
      <c r="AS397" s="1127">
        <v>0.33333333333333331</v>
      </c>
      <c r="AT397" s="1127"/>
      <c r="AU397" s="1127">
        <v>0.33333333333333331</v>
      </c>
      <c r="AV397" s="1127"/>
      <c r="AW397" s="1127"/>
      <c r="AX397" s="1127"/>
      <c r="AY397" s="1127"/>
      <c r="AZ397" s="1127">
        <v>0.33333333333333331</v>
      </c>
      <c r="BA397" s="1129">
        <v>498.04460317460325</v>
      </c>
      <c r="BB397" s="1129">
        <v>0</v>
      </c>
      <c r="BC397" s="1129">
        <v>498.04460317460325</v>
      </c>
      <c r="BD397" s="1129">
        <v>0</v>
      </c>
      <c r="BE397" s="1129">
        <v>0</v>
      </c>
      <c r="BF397" s="1129">
        <v>0</v>
      </c>
      <c r="BG397" s="1129">
        <v>0</v>
      </c>
      <c r="BH397" s="1129">
        <v>498.04460317460325</v>
      </c>
      <c r="BI397" s="971"/>
      <c r="BJ397" s="971"/>
      <c r="BK397" s="971"/>
      <c r="BL397" s="1246"/>
      <c r="BM397" s="1247" t="s">
        <v>2125</v>
      </c>
    </row>
    <row r="398" spans="1:65" s="1247" customFormat="1" ht="66" customHeight="1">
      <c r="A398" s="1272">
        <v>2000</v>
      </c>
      <c r="B398" s="971" t="s">
        <v>119</v>
      </c>
      <c r="C398" s="1272">
        <v>2100</v>
      </c>
      <c r="D398" s="971" t="s">
        <v>120</v>
      </c>
      <c r="E398" s="971" t="s">
        <v>175</v>
      </c>
      <c r="F398" s="971" t="s">
        <v>176</v>
      </c>
      <c r="G398" s="971">
        <v>2144</v>
      </c>
      <c r="H398" s="971" t="s">
        <v>3495</v>
      </c>
      <c r="I398" s="1273"/>
      <c r="J398" s="971" t="s">
        <v>2146</v>
      </c>
      <c r="K398" s="971" t="s">
        <v>2129</v>
      </c>
      <c r="L398" s="971" t="s">
        <v>2130</v>
      </c>
      <c r="M398" s="971" t="s">
        <v>2129</v>
      </c>
      <c r="N398" s="971" t="s">
        <v>176</v>
      </c>
      <c r="O398" s="971" t="s">
        <v>2130</v>
      </c>
      <c r="P398" s="971" t="s">
        <v>6619</v>
      </c>
      <c r="Q398" s="971" t="s">
        <v>6764</v>
      </c>
      <c r="R398" s="971"/>
      <c r="S398" s="1274">
        <v>1</v>
      </c>
      <c r="T398" s="971" t="s">
        <v>242</v>
      </c>
      <c r="U398" s="1275">
        <v>6.666666666666667</v>
      </c>
      <c r="V398" s="1275">
        <v>25</v>
      </c>
      <c r="W398" s="1275">
        <v>666.08920634920639</v>
      </c>
      <c r="X398" s="1275">
        <v>250</v>
      </c>
      <c r="Y398" s="1275">
        <v>941.08920634920639</v>
      </c>
      <c r="Z398" s="1129">
        <v>6.666666666666667</v>
      </c>
      <c r="AA398" s="1129">
        <v>25</v>
      </c>
      <c r="AB398" s="1129">
        <v>666.08920634920639</v>
      </c>
      <c r="AC398" s="1129">
        <v>250</v>
      </c>
      <c r="AD398" s="1098">
        <v>941.08920634920639</v>
      </c>
      <c r="AE398" s="1135">
        <v>4</v>
      </c>
      <c r="AF398" s="1129">
        <v>4</v>
      </c>
      <c r="AG398" s="1127">
        <v>1</v>
      </c>
      <c r="AH398" s="1127">
        <v>0</v>
      </c>
      <c r="AI398" s="1127">
        <v>0</v>
      </c>
      <c r="AJ398" s="1127">
        <v>1</v>
      </c>
      <c r="AK398" s="1129">
        <v>941.08920634920639</v>
      </c>
      <c r="AL398" s="1129">
        <v>0</v>
      </c>
      <c r="AM398" s="1129">
        <v>0</v>
      </c>
      <c r="AN398" s="1129">
        <v>941.08920634920639</v>
      </c>
      <c r="AO398" s="1129" t="s">
        <v>85</v>
      </c>
      <c r="AP398" s="1129" t="s">
        <v>96</v>
      </c>
      <c r="AQ398" s="1157" t="s">
        <v>107</v>
      </c>
      <c r="AR398" s="1129" t="s">
        <v>87</v>
      </c>
      <c r="AS398" s="1127">
        <v>0.33333333333333331</v>
      </c>
      <c r="AT398" s="1127"/>
      <c r="AU398" s="1127">
        <v>0.33333333333333331</v>
      </c>
      <c r="AV398" s="1127"/>
      <c r="AW398" s="1127"/>
      <c r="AX398" s="1127"/>
      <c r="AY398" s="1127"/>
      <c r="AZ398" s="1127">
        <v>0.33333333333333331</v>
      </c>
      <c r="BA398" s="1129">
        <v>313.69640211640211</v>
      </c>
      <c r="BB398" s="1129">
        <v>0</v>
      </c>
      <c r="BC398" s="1129">
        <v>313.69640211640211</v>
      </c>
      <c r="BD398" s="1129">
        <v>0</v>
      </c>
      <c r="BE398" s="1129">
        <v>0</v>
      </c>
      <c r="BF398" s="1129">
        <v>0</v>
      </c>
      <c r="BG398" s="1129">
        <v>0</v>
      </c>
      <c r="BH398" s="1129">
        <v>313.69640211640211</v>
      </c>
      <c r="BI398" s="971"/>
      <c r="BJ398" s="971"/>
      <c r="BK398" s="971"/>
      <c r="BL398" s="1246"/>
      <c r="BM398" s="1247" t="s">
        <v>2125</v>
      </c>
    </row>
    <row r="399" spans="1:65" s="1247" customFormat="1" ht="66" customHeight="1">
      <c r="A399" s="1272">
        <v>2000</v>
      </c>
      <c r="B399" s="971" t="s">
        <v>119</v>
      </c>
      <c r="C399" s="1272">
        <v>2100</v>
      </c>
      <c r="D399" s="971" t="s">
        <v>120</v>
      </c>
      <c r="E399" s="971" t="s">
        <v>175</v>
      </c>
      <c r="F399" s="971" t="s">
        <v>176</v>
      </c>
      <c r="G399" s="971">
        <v>2144</v>
      </c>
      <c r="H399" s="971" t="s">
        <v>3495</v>
      </c>
      <c r="I399" s="1273"/>
      <c r="J399" s="971" t="s">
        <v>2146</v>
      </c>
      <c r="K399" s="971" t="s">
        <v>2125</v>
      </c>
      <c r="L399" s="971" t="s">
        <v>2126</v>
      </c>
      <c r="M399" s="971" t="s">
        <v>2125</v>
      </c>
      <c r="N399" s="971" t="s">
        <v>176</v>
      </c>
      <c r="O399" s="971" t="s">
        <v>2126</v>
      </c>
      <c r="P399" s="971" t="s">
        <v>6705</v>
      </c>
      <c r="Q399" s="971" t="s">
        <v>6706</v>
      </c>
      <c r="R399" s="971"/>
      <c r="S399" s="1274">
        <v>1</v>
      </c>
      <c r="T399" s="971" t="s">
        <v>242</v>
      </c>
      <c r="U399" s="1275">
        <v>13</v>
      </c>
      <c r="V399" s="1275">
        <v>120</v>
      </c>
      <c r="W399" s="1275">
        <v>1298.8739523809525</v>
      </c>
      <c r="X399" s="1275">
        <v>1200</v>
      </c>
      <c r="Y399" s="1275">
        <v>2618.8739523809527</v>
      </c>
      <c r="Z399" s="1129">
        <v>13</v>
      </c>
      <c r="AA399" s="1129">
        <v>120</v>
      </c>
      <c r="AB399" s="1129">
        <v>1298.8739523809525</v>
      </c>
      <c r="AC399" s="1129">
        <v>1200</v>
      </c>
      <c r="AD399" s="1098">
        <v>2618.8739523809527</v>
      </c>
      <c r="AE399" s="1237">
        <v>96</v>
      </c>
      <c r="AF399" s="1133">
        <v>96</v>
      </c>
      <c r="AG399" s="1127">
        <v>1</v>
      </c>
      <c r="AH399" s="1127">
        <v>0</v>
      </c>
      <c r="AI399" s="1127">
        <v>0</v>
      </c>
      <c r="AJ399" s="1127">
        <v>1</v>
      </c>
      <c r="AK399" s="1129">
        <v>2618.8739523809527</v>
      </c>
      <c r="AL399" s="1129">
        <v>0</v>
      </c>
      <c r="AM399" s="1129">
        <v>0</v>
      </c>
      <c r="AN399" s="1129">
        <v>2618.8739523809527</v>
      </c>
      <c r="AO399" s="1129" t="s">
        <v>85</v>
      </c>
      <c r="AP399" s="1129" t="s">
        <v>96</v>
      </c>
      <c r="AQ399" s="1157" t="s">
        <v>107</v>
      </c>
      <c r="AR399" s="1129" t="s">
        <v>87</v>
      </c>
      <c r="AS399" s="1127">
        <v>0.33333333333333331</v>
      </c>
      <c r="AT399" s="1127"/>
      <c r="AU399" s="1127">
        <v>0.33333333333333331</v>
      </c>
      <c r="AV399" s="1127"/>
      <c r="AW399" s="1127"/>
      <c r="AX399" s="1127"/>
      <c r="AY399" s="1127"/>
      <c r="AZ399" s="1127">
        <v>0.33333333333333331</v>
      </c>
      <c r="BA399" s="1129">
        <v>872.95798412698423</v>
      </c>
      <c r="BB399" s="1129">
        <v>0</v>
      </c>
      <c r="BC399" s="1129">
        <v>872.95798412698423</v>
      </c>
      <c r="BD399" s="1129">
        <v>0</v>
      </c>
      <c r="BE399" s="1129">
        <v>0</v>
      </c>
      <c r="BF399" s="1129">
        <v>0</v>
      </c>
      <c r="BG399" s="1129">
        <v>0</v>
      </c>
      <c r="BH399" s="1129">
        <v>872.95798412698423</v>
      </c>
      <c r="BI399" s="971"/>
      <c r="BJ399" s="971"/>
      <c r="BK399" s="971"/>
      <c r="BL399" s="1246"/>
      <c r="BM399" s="1247" t="s">
        <v>2125</v>
      </c>
    </row>
    <row r="400" spans="1:65" s="1247" customFormat="1" ht="49.5" customHeight="1">
      <c r="A400" s="1272">
        <v>2000</v>
      </c>
      <c r="B400" s="971" t="s">
        <v>119</v>
      </c>
      <c r="C400" s="1272">
        <v>2100</v>
      </c>
      <c r="D400" s="971" t="s">
        <v>120</v>
      </c>
      <c r="E400" s="971" t="s">
        <v>175</v>
      </c>
      <c r="F400" s="971" t="s">
        <v>176</v>
      </c>
      <c r="G400" s="971">
        <v>2144</v>
      </c>
      <c r="H400" s="971" t="s">
        <v>3495</v>
      </c>
      <c r="I400" s="1273"/>
      <c r="J400" s="971" t="s">
        <v>2146</v>
      </c>
      <c r="K400" s="971" t="s">
        <v>2127</v>
      </c>
      <c r="L400" s="971" t="s">
        <v>2177</v>
      </c>
      <c r="M400" s="971" t="s">
        <v>2127</v>
      </c>
      <c r="N400" s="971" t="s">
        <v>176</v>
      </c>
      <c r="O400" s="971" t="s">
        <v>2177</v>
      </c>
      <c r="P400" s="971" t="s">
        <v>2292</v>
      </c>
      <c r="Q400" s="971" t="s">
        <v>7177</v>
      </c>
      <c r="R400" s="971"/>
      <c r="S400" s="1274">
        <v>1</v>
      </c>
      <c r="T400" s="971" t="s">
        <v>242</v>
      </c>
      <c r="U400" s="1275">
        <v>10</v>
      </c>
      <c r="V400" s="1275">
        <v>45</v>
      </c>
      <c r="W400" s="1275">
        <v>999.13380952380965</v>
      </c>
      <c r="X400" s="1275">
        <v>450</v>
      </c>
      <c r="Y400" s="1275">
        <v>1494.1338095238098</v>
      </c>
      <c r="Z400" s="1129">
        <v>10</v>
      </c>
      <c r="AA400" s="1129">
        <v>45</v>
      </c>
      <c r="AB400" s="1129">
        <v>999.13380952380965</v>
      </c>
      <c r="AC400" s="1129">
        <v>450</v>
      </c>
      <c r="AD400" s="1098">
        <v>1494.1338095238098</v>
      </c>
      <c r="AE400" s="1135">
        <v>24</v>
      </c>
      <c r="AF400" s="1129">
        <v>24</v>
      </c>
      <c r="AG400" s="1127">
        <v>1</v>
      </c>
      <c r="AH400" s="1127">
        <v>0</v>
      </c>
      <c r="AI400" s="1127">
        <v>0</v>
      </c>
      <c r="AJ400" s="1127">
        <v>1</v>
      </c>
      <c r="AK400" s="1129">
        <v>1494.1338095238098</v>
      </c>
      <c r="AL400" s="1129">
        <v>0</v>
      </c>
      <c r="AM400" s="1129">
        <v>0</v>
      </c>
      <c r="AN400" s="1129">
        <v>1494.1338095238098</v>
      </c>
      <c r="AO400" s="1129" t="s">
        <v>85</v>
      </c>
      <c r="AP400" s="1129" t="s">
        <v>96</v>
      </c>
      <c r="AQ400" s="1157" t="s">
        <v>107</v>
      </c>
      <c r="AR400" s="1129" t="s">
        <v>87</v>
      </c>
      <c r="AS400" s="1127">
        <v>0.33333333333333331</v>
      </c>
      <c r="AT400" s="1127"/>
      <c r="AU400" s="1127">
        <v>0.33333333333333331</v>
      </c>
      <c r="AV400" s="1127"/>
      <c r="AW400" s="1127"/>
      <c r="AX400" s="1127"/>
      <c r="AY400" s="1127"/>
      <c r="AZ400" s="1127">
        <v>0.33333333333333331</v>
      </c>
      <c r="BA400" s="1129">
        <v>498.04460317460325</v>
      </c>
      <c r="BB400" s="1129">
        <v>0</v>
      </c>
      <c r="BC400" s="1129">
        <v>498.04460317460325</v>
      </c>
      <c r="BD400" s="1129">
        <v>0</v>
      </c>
      <c r="BE400" s="1129">
        <v>0</v>
      </c>
      <c r="BF400" s="1129">
        <v>0</v>
      </c>
      <c r="BG400" s="1129">
        <v>0</v>
      </c>
      <c r="BH400" s="1129">
        <v>498.04460317460325</v>
      </c>
      <c r="BI400" s="971"/>
      <c r="BJ400" s="971"/>
      <c r="BK400" s="971"/>
      <c r="BL400" s="1246"/>
      <c r="BM400" s="1247" t="s">
        <v>2129</v>
      </c>
    </row>
    <row r="401" spans="1:65" s="1247" customFormat="1" ht="49.5" customHeight="1">
      <c r="A401" s="1272">
        <v>2000</v>
      </c>
      <c r="B401" s="971" t="s">
        <v>119</v>
      </c>
      <c r="C401" s="1272">
        <v>2100</v>
      </c>
      <c r="D401" s="971" t="s">
        <v>120</v>
      </c>
      <c r="E401" s="971" t="s">
        <v>175</v>
      </c>
      <c r="F401" s="971" t="s">
        <v>176</v>
      </c>
      <c r="G401" s="971">
        <v>2144</v>
      </c>
      <c r="H401" s="971" t="s">
        <v>3495</v>
      </c>
      <c r="I401" s="1273"/>
      <c r="J401" s="971" t="s">
        <v>2146</v>
      </c>
      <c r="K401" s="971" t="s">
        <v>2127</v>
      </c>
      <c r="L401" s="971" t="s">
        <v>2177</v>
      </c>
      <c r="M401" s="971" t="s">
        <v>2127</v>
      </c>
      <c r="N401" s="971" t="s">
        <v>176</v>
      </c>
      <c r="O401" s="971" t="s">
        <v>2177</v>
      </c>
      <c r="P401" s="971" t="s">
        <v>6960</v>
      </c>
      <c r="Q401" s="971" t="s">
        <v>7178</v>
      </c>
      <c r="R401" s="971"/>
      <c r="S401" s="1274">
        <v>1</v>
      </c>
      <c r="T401" s="971" t="s">
        <v>242</v>
      </c>
      <c r="U401" s="1275">
        <v>10</v>
      </c>
      <c r="V401" s="1275">
        <v>45</v>
      </c>
      <c r="W401" s="1275">
        <v>999.13380952380965</v>
      </c>
      <c r="X401" s="1275">
        <v>450</v>
      </c>
      <c r="Y401" s="1275">
        <v>1494.1338095238098</v>
      </c>
      <c r="Z401" s="1129">
        <v>10</v>
      </c>
      <c r="AA401" s="1129">
        <v>45</v>
      </c>
      <c r="AB401" s="1129">
        <v>999.13380952380965</v>
      </c>
      <c r="AC401" s="1129">
        <v>450</v>
      </c>
      <c r="AD401" s="1098">
        <v>1494.1338095238098</v>
      </c>
      <c r="AE401" s="1237">
        <v>24</v>
      </c>
      <c r="AF401" s="1133">
        <v>24</v>
      </c>
      <c r="AG401" s="1127">
        <v>1</v>
      </c>
      <c r="AH401" s="1127">
        <v>0</v>
      </c>
      <c r="AI401" s="1127">
        <v>0</v>
      </c>
      <c r="AJ401" s="1127">
        <v>1</v>
      </c>
      <c r="AK401" s="1129">
        <v>1494.1338095238098</v>
      </c>
      <c r="AL401" s="1129">
        <v>0</v>
      </c>
      <c r="AM401" s="1129">
        <v>0</v>
      </c>
      <c r="AN401" s="1129">
        <v>1494.1338095238098</v>
      </c>
      <c r="AO401" s="1129" t="s">
        <v>85</v>
      </c>
      <c r="AP401" s="1129" t="s">
        <v>96</v>
      </c>
      <c r="AQ401" s="1157" t="s">
        <v>107</v>
      </c>
      <c r="AR401" s="1129" t="s">
        <v>87</v>
      </c>
      <c r="AS401" s="1127">
        <v>0.33333333333333331</v>
      </c>
      <c r="AT401" s="1127"/>
      <c r="AU401" s="1127">
        <v>0.33333333333333331</v>
      </c>
      <c r="AV401" s="1127"/>
      <c r="AW401" s="1127"/>
      <c r="AX401" s="1127"/>
      <c r="AY401" s="1127"/>
      <c r="AZ401" s="1127">
        <v>0.33333333333333331</v>
      </c>
      <c r="BA401" s="1129">
        <v>498.04460317460325</v>
      </c>
      <c r="BB401" s="1129">
        <v>0</v>
      </c>
      <c r="BC401" s="1129">
        <v>498.04460317460325</v>
      </c>
      <c r="BD401" s="1129">
        <v>0</v>
      </c>
      <c r="BE401" s="1129">
        <v>0</v>
      </c>
      <c r="BF401" s="1129">
        <v>0</v>
      </c>
      <c r="BG401" s="1129">
        <v>0</v>
      </c>
      <c r="BH401" s="1129">
        <v>498.04460317460325</v>
      </c>
      <c r="BI401" s="971"/>
      <c r="BJ401" s="971"/>
      <c r="BK401" s="971"/>
      <c r="BL401" s="1246"/>
      <c r="BM401" s="1247" t="s">
        <v>2127</v>
      </c>
    </row>
    <row r="402" spans="1:65" s="1247" customFormat="1" ht="66" customHeight="1">
      <c r="A402" s="1272">
        <v>2000</v>
      </c>
      <c r="B402" s="971" t="s">
        <v>119</v>
      </c>
      <c r="C402" s="1272">
        <v>2100</v>
      </c>
      <c r="D402" s="971" t="s">
        <v>120</v>
      </c>
      <c r="E402" s="971" t="s">
        <v>175</v>
      </c>
      <c r="F402" s="971" t="s">
        <v>176</v>
      </c>
      <c r="G402" s="971">
        <v>2144</v>
      </c>
      <c r="H402" s="971" t="s">
        <v>3495</v>
      </c>
      <c r="I402" s="1273"/>
      <c r="J402" s="971" t="s">
        <v>2146</v>
      </c>
      <c r="K402" s="971" t="s">
        <v>2129</v>
      </c>
      <c r="L402" s="971" t="s">
        <v>2130</v>
      </c>
      <c r="M402" s="971" t="s">
        <v>2129</v>
      </c>
      <c r="N402" s="971" t="s">
        <v>176</v>
      </c>
      <c r="O402" s="971" t="s">
        <v>2130</v>
      </c>
      <c r="P402" s="971" t="s">
        <v>2376</v>
      </c>
      <c r="Q402" s="971" t="s">
        <v>7179</v>
      </c>
      <c r="R402" s="971"/>
      <c r="S402" s="1274">
        <v>1</v>
      </c>
      <c r="T402" s="971" t="s">
        <v>242</v>
      </c>
      <c r="U402" s="1275">
        <v>6.666666666666667</v>
      </c>
      <c r="V402" s="1275">
        <v>25</v>
      </c>
      <c r="W402" s="1275">
        <v>666.08920634920639</v>
      </c>
      <c r="X402" s="1275">
        <v>250</v>
      </c>
      <c r="Y402" s="1275">
        <v>941.08920634920639</v>
      </c>
      <c r="Z402" s="1129">
        <v>6.666666666666667</v>
      </c>
      <c r="AA402" s="1129">
        <v>25</v>
      </c>
      <c r="AB402" s="1129">
        <v>666.08920634920639</v>
      </c>
      <c r="AC402" s="1129">
        <v>250</v>
      </c>
      <c r="AD402" s="1098">
        <v>941.08920634920639</v>
      </c>
      <c r="AE402" s="1135">
        <v>4</v>
      </c>
      <c r="AF402" s="1129">
        <v>4</v>
      </c>
      <c r="AG402" s="1127">
        <v>1</v>
      </c>
      <c r="AH402" s="1127">
        <v>0</v>
      </c>
      <c r="AI402" s="1127">
        <v>0</v>
      </c>
      <c r="AJ402" s="1127">
        <v>1</v>
      </c>
      <c r="AK402" s="1129">
        <v>941.08920634920639</v>
      </c>
      <c r="AL402" s="1129">
        <v>0</v>
      </c>
      <c r="AM402" s="1129">
        <v>0</v>
      </c>
      <c r="AN402" s="1129">
        <v>941.08920634920639</v>
      </c>
      <c r="AO402" s="1129" t="s">
        <v>85</v>
      </c>
      <c r="AP402" s="1129" t="s">
        <v>96</v>
      </c>
      <c r="AQ402" s="1157" t="s">
        <v>107</v>
      </c>
      <c r="AR402" s="1129" t="s">
        <v>87</v>
      </c>
      <c r="AS402" s="1127">
        <v>0.33333333333333331</v>
      </c>
      <c r="AT402" s="1127"/>
      <c r="AU402" s="1127">
        <v>0.33333333333333331</v>
      </c>
      <c r="AV402" s="1127"/>
      <c r="AW402" s="1127"/>
      <c r="AX402" s="1127"/>
      <c r="AY402" s="1127"/>
      <c r="AZ402" s="1127">
        <v>0.33333333333333331</v>
      </c>
      <c r="BA402" s="1129">
        <v>313.69640211640211</v>
      </c>
      <c r="BB402" s="1129">
        <v>0</v>
      </c>
      <c r="BC402" s="1129">
        <v>313.69640211640211</v>
      </c>
      <c r="BD402" s="1129">
        <v>0</v>
      </c>
      <c r="BE402" s="1129">
        <v>0</v>
      </c>
      <c r="BF402" s="1129">
        <v>0</v>
      </c>
      <c r="BG402" s="1129">
        <v>0</v>
      </c>
      <c r="BH402" s="1129">
        <v>313.69640211640211</v>
      </c>
      <c r="BI402" s="971"/>
      <c r="BJ402" s="971"/>
      <c r="BK402" s="971"/>
      <c r="BL402" s="1246"/>
      <c r="BM402" s="1247" t="s">
        <v>2129</v>
      </c>
    </row>
    <row r="403" spans="1:65" s="1247" customFormat="1" ht="49.5" customHeight="1">
      <c r="A403" s="1272">
        <v>2000</v>
      </c>
      <c r="B403" s="971" t="s">
        <v>119</v>
      </c>
      <c r="C403" s="1272">
        <v>2100</v>
      </c>
      <c r="D403" s="971" t="s">
        <v>120</v>
      </c>
      <c r="E403" s="971" t="s">
        <v>175</v>
      </c>
      <c r="F403" s="971" t="s">
        <v>176</v>
      </c>
      <c r="G403" s="971">
        <v>2144</v>
      </c>
      <c r="H403" s="971" t="s">
        <v>3495</v>
      </c>
      <c r="I403" s="1273"/>
      <c r="J403" s="971" t="s">
        <v>2146</v>
      </c>
      <c r="K403" s="971" t="s">
        <v>2127</v>
      </c>
      <c r="L403" s="971" t="s">
        <v>2177</v>
      </c>
      <c r="M403" s="971" t="s">
        <v>2127</v>
      </c>
      <c r="N403" s="971" t="s">
        <v>176</v>
      </c>
      <c r="O403" s="971" t="s">
        <v>2177</v>
      </c>
      <c r="P403" s="971" t="s">
        <v>7180</v>
      </c>
      <c r="Q403" s="971" t="s">
        <v>7181</v>
      </c>
      <c r="R403" s="971"/>
      <c r="S403" s="1274">
        <v>1</v>
      </c>
      <c r="T403" s="971" t="s">
        <v>242</v>
      </c>
      <c r="U403" s="1275">
        <v>10</v>
      </c>
      <c r="V403" s="1275">
        <v>45</v>
      </c>
      <c r="W403" s="1275">
        <v>999.13380952380965</v>
      </c>
      <c r="X403" s="1275">
        <v>450</v>
      </c>
      <c r="Y403" s="1275">
        <v>1494.1338095238098</v>
      </c>
      <c r="Z403" s="1129">
        <v>10</v>
      </c>
      <c r="AA403" s="1129">
        <v>45</v>
      </c>
      <c r="AB403" s="1129">
        <v>999.13380952380965</v>
      </c>
      <c r="AC403" s="1129">
        <v>450</v>
      </c>
      <c r="AD403" s="1098">
        <v>1494.1338095238098</v>
      </c>
      <c r="AE403" s="1237">
        <v>24</v>
      </c>
      <c r="AF403" s="1133">
        <v>24</v>
      </c>
      <c r="AG403" s="1127">
        <v>1</v>
      </c>
      <c r="AH403" s="1127">
        <v>0</v>
      </c>
      <c r="AI403" s="1127">
        <v>0</v>
      </c>
      <c r="AJ403" s="1127">
        <v>1</v>
      </c>
      <c r="AK403" s="1129">
        <v>1494.1338095238098</v>
      </c>
      <c r="AL403" s="1129">
        <v>0</v>
      </c>
      <c r="AM403" s="1129">
        <v>0</v>
      </c>
      <c r="AN403" s="1129">
        <v>1494.1338095238098</v>
      </c>
      <c r="AO403" s="1129" t="s">
        <v>85</v>
      </c>
      <c r="AP403" s="1129" t="s">
        <v>96</v>
      </c>
      <c r="AQ403" s="1157" t="s">
        <v>107</v>
      </c>
      <c r="AR403" s="1129" t="s">
        <v>87</v>
      </c>
      <c r="AS403" s="1127">
        <v>0.33333333333333331</v>
      </c>
      <c r="AT403" s="1127"/>
      <c r="AU403" s="1127">
        <v>0.33333333333333331</v>
      </c>
      <c r="AV403" s="1127"/>
      <c r="AW403" s="1127"/>
      <c r="AX403" s="1127"/>
      <c r="AY403" s="1127"/>
      <c r="AZ403" s="1127">
        <v>0.33333333333333331</v>
      </c>
      <c r="BA403" s="1129">
        <v>498.04460317460325</v>
      </c>
      <c r="BB403" s="1129">
        <v>0</v>
      </c>
      <c r="BC403" s="1129">
        <v>498.04460317460325</v>
      </c>
      <c r="BD403" s="1129">
        <v>0</v>
      </c>
      <c r="BE403" s="1129">
        <v>0</v>
      </c>
      <c r="BF403" s="1129">
        <v>0</v>
      </c>
      <c r="BG403" s="1129">
        <v>0</v>
      </c>
      <c r="BH403" s="1129">
        <v>498.04460317460325</v>
      </c>
      <c r="BI403" s="971"/>
      <c r="BJ403" s="971"/>
      <c r="BK403" s="971"/>
      <c r="BL403" s="1246"/>
      <c r="BM403" s="1247" t="s">
        <v>2129</v>
      </c>
    </row>
    <row r="404" spans="1:65" s="1247" customFormat="1" ht="49.5" customHeight="1">
      <c r="A404" s="1272">
        <v>2000</v>
      </c>
      <c r="B404" s="971" t="s">
        <v>119</v>
      </c>
      <c r="C404" s="1272">
        <v>2100</v>
      </c>
      <c r="D404" s="971" t="s">
        <v>120</v>
      </c>
      <c r="E404" s="971" t="s">
        <v>175</v>
      </c>
      <c r="F404" s="971" t="s">
        <v>176</v>
      </c>
      <c r="G404" s="971">
        <v>2144</v>
      </c>
      <c r="H404" s="971" t="s">
        <v>3495</v>
      </c>
      <c r="I404" s="1273"/>
      <c r="J404" s="971" t="s">
        <v>2146</v>
      </c>
      <c r="K404" s="971" t="s">
        <v>2125</v>
      </c>
      <c r="L404" s="971" t="s">
        <v>2126</v>
      </c>
      <c r="M404" s="971" t="s">
        <v>2125</v>
      </c>
      <c r="N404" s="971" t="s">
        <v>176</v>
      </c>
      <c r="O404" s="971" t="s">
        <v>2126</v>
      </c>
      <c r="P404" s="971" t="s">
        <v>7182</v>
      </c>
      <c r="Q404" s="971" t="s">
        <v>7183</v>
      </c>
      <c r="R404" s="971"/>
      <c r="S404" s="1274">
        <v>1</v>
      </c>
      <c r="T404" s="971" t="s">
        <v>242</v>
      </c>
      <c r="U404" s="1275">
        <v>13</v>
      </c>
      <c r="V404" s="1275">
        <v>120</v>
      </c>
      <c r="W404" s="1275">
        <v>1298.8739523809525</v>
      </c>
      <c r="X404" s="1275">
        <v>1200</v>
      </c>
      <c r="Y404" s="1275">
        <v>2618.8739523809527</v>
      </c>
      <c r="Z404" s="1129">
        <v>13</v>
      </c>
      <c r="AA404" s="1129">
        <v>120</v>
      </c>
      <c r="AB404" s="1129">
        <v>1298.8739523809525</v>
      </c>
      <c r="AC404" s="1129">
        <v>1200</v>
      </c>
      <c r="AD404" s="1098">
        <v>2618.8739523809527</v>
      </c>
      <c r="AE404" s="1237">
        <v>96</v>
      </c>
      <c r="AF404" s="1133">
        <v>96</v>
      </c>
      <c r="AG404" s="1127">
        <v>1</v>
      </c>
      <c r="AH404" s="1127">
        <v>0</v>
      </c>
      <c r="AI404" s="1127">
        <v>0</v>
      </c>
      <c r="AJ404" s="1127">
        <v>1</v>
      </c>
      <c r="AK404" s="1129">
        <v>2618.8739523809527</v>
      </c>
      <c r="AL404" s="1129">
        <v>0</v>
      </c>
      <c r="AM404" s="1129">
        <v>0</v>
      </c>
      <c r="AN404" s="1129">
        <v>2618.8739523809527</v>
      </c>
      <c r="AO404" s="1129" t="s">
        <v>85</v>
      </c>
      <c r="AP404" s="1129" t="s">
        <v>96</v>
      </c>
      <c r="AQ404" s="1157" t="s">
        <v>107</v>
      </c>
      <c r="AR404" s="1129" t="s">
        <v>87</v>
      </c>
      <c r="AS404" s="1127">
        <v>0.33333333333333331</v>
      </c>
      <c r="AT404" s="1127"/>
      <c r="AU404" s="1127">
        <v>0.33333333333333331</v>
      </c>
      <c r="AV404" s="1127"/>
      <c r="AW404" s="1127"/>
      <c r="AX404" s="1127"/>
      <c r="AY404" s="1127"/>
      <c r="AZ404" s="1127">
        <v>0.33333333333333331</v>
      </c>
      <c r="BA404" s="1129">
        <v>872.95798412698423</v>
      </c>
      <c r="BB404" s="1129">
        <v>0</v>
      </c>
      <c r="BC404" s="1129">
        <v>872.95798412698423</v>
      </c>
      <c r="BD404" s="1129">
        <v>0</v>
      </c>
      <c r="BE404" s="1129">
        <v>0</v>
      </c>
      <c r="BF404" s="1129">
        <v>0</v>
      </c>
      <c r="BG404" s="1129">
        <v>0</v>
      </c>
      <c r="BH404" s="1129">
        <v>872.95798412698423</v>
      </c>
      <c r="BI404" s="971"/>
      <c r="BJ404" s="971"/>
      <c r="BK404" s="971"/>
      <c r="BL404" s="1246"/>
      <c r="BM404" s="1247" t="s">
        <v>2129</v>
      </c>
    </row>
    <row r="405" spans="1:65" s="1247" customFormat="1" ht="49.5" customHeight="1">
      <c r="A405" s="1272">
        <v>2000</v>
      </c>
      <c r="B405" s="971" t="s">
        <v>119</v>
      </c>
      <c r="C405" s="1272">
        <v>2300</v>
      </c>
      <c r="D405" s="971" t="s">
        <v>222</v>
      </c>
      <c r="E405" s="971" t="s">
        <v>223</v>
      </c>
      <c r="F405" s="971" t="s">
        <v>224</v>
      </c>
      <c r="G405" s="971">
        <v>2342</v>
      </c>
      <c r="H405" s="971" t="s">
        <v>226</v>
      </c>
      <c r="I405" s="1273"/>
      <c r="J405" s="971" t="s">
        <v>228</v>
      </c>
      <c r="K405" s="971" t="s">
        <v>2125</v>
      </c>
      <c r="L405" s="971" t="s">
        <v>2126</v>
      </c>
      <c r="M405" s="971" t="s">
        <v>2125</v>
      </c>
      <c r="N405" s="971" t="s">
        <v>176</v>
      </c>
      <c r="O405" s="971" t="s">
        <v>2126</v>
      </c>
      <c r="P405" s="971"/>
      <c r="Q405" s="971" t="s">
        <v>7184</v>
      </c>
      <c r="R405" s="971"/>
      <c r="S405" s="1274">
        <v>2</v>
      </c>
      <c r="T405" s="971" t="s">
        <v>242</v>
      </c>
      <c r="U405" s="1275">
        <v>13</v>
      </c>
      <c r="V405" s="1275">
        <v>120</v>
      </c>
      <c r="W405" s="1275">
        <v>1298.8739523809525</v>
      </c>
      <c r="X405" s="1275">
        <v>1200</v>
      </c>
      <c r="Y405" s="1275">
        <v>2618.8739523809527</v>
      </c>
      <c r="Z405" s="1129">
        <v>26</v>
      </c>
      <c r="AA405" s="1129">
        <v>240</v>
      </c>
      <c r="AB405" s="1129">
        <v>2597.7479047619049</v>
      </c>
      <c r="AC405" s="1129">
        <v>2400</v>
      </c>
      <c r="AD405" s="1098">
        <v>5237.7479047619054</v>
      </c>
      <c r="AE405" s="1135">
        <v>96</v>
      </c>
      <c r="AF405" s="1129">
        <v>192</v>
      </c>
      <c r="AG405" s="1127">
        <v>1</v>
      </c>
      <c r="AH405" s="1127">
        <v>0</v>
      </c>
      <c r="AI405" s="1127">
        <v>0</v>
      </c>
      <c r="AJ405" s="1127">
        <v>1</v>
      </c>
      <c r="AK405" s="1129">
        <v>5237.7479047619054</v>
      </c>
      <c r="AL405" s="1129">
        <v>0</v>
      </c>
      <c r="AM405" s="1129">
        <v>0</v>
      </c>
      <c r="AN405" s="1129">
        <v>5237.7479047619054</v>
      </c>
      <c r="AO405" s="1129" t="s">
        <v>85</v>
      </c>
      <c r="AP405" s="1129" t="s">
        <v>96</v>
      </c>
      <c r="AQ405" s="1157" t="s">
        <v>107</v>
      </c>
      <c r="AR405" s="1129" t="s">
        <v>87</v>
      </c>
      <c r="AS405" s="1127">
        <v>0.33333333333333331</v>
      </c>
      <c r="AT405" s="1127"/>
      <c r="AU405" s="1127">
        <v>0.33333333333333331</v>
      </c>
      <c r="AV405" s="1127"/>
      <c r="AW405" s="1127"/>
      <c r="AX405" s="1127"/>
      <c r="AY405" s="1127"/>
      <c r="AZ405" s="1127">
        <v>0.33333333333333331</v>
      </c>
      <c r="BA405" s="1129">
        <v>1745.9159682539685</v>
      </c>
      <c r="BB405" s="1129">
        <v>0</v>
      </c>
      <c r="BC405" s="1129">
        <v>1745.9159682539685</v>
      </c>
      <c r="BD405" s="1129">
        <v>0</v>
      </c>
      <c r="BE405" s="1129">
        <v>0</v>
      </c>
      <c r="BF405" s="1129">
        <v>0</v>
      </c>
      <c r="BG405" s="1129">
        <v>0</v>
      </c>
      <c r="BH405" s="1129">
        <v>1745.9159682539685</v>
      </c>
      <c r="BI405" s="971"/>
      <c r="BJ405" s="971"/>
      <c r="BK405" s="971"/>
      <c r="BL405" s="1246"/>
      <c r="BM405" s="1247" t="s">
        <v>2129</v>
      </c>
    </row>
    <row r="406" spans="1:65" s="1247" customFormat="1" ht="49.5" customHeight="1">
      <c r="A406" s="1272">
        <v>2000</v>
      </c>
      <c r="B406" s="971" t="s">
        <v>119</v>
      </c>
      <c r="C406" s="1272">
        <v>2300</v>
      </c>
      <c r="D406" s="971" t="s">
        <v>222</v>
      </c>
      <c r="E406" s="971" t="s">
        <v>223</v>
      </c>
      <c r="F406" s="971" t="s">
        <v>224</v>
      </c>
      <c r="G406" s="971">
        <v>2342</v>
      </c>
      <c r="H406" s="971" t="s">
        <v>226</v>
      </c>
      <c r="I406" s="1273"/>
      <c r="J406" s="971" t="s">
        <v>228</v>
      </c>
      <c r="K406" s="971" t="s">
        <v>2125</v>
      </c>
      <c r="L406" s="971" t="s">
        <v>2126</v>
      </c>
      <c r="M406" s="971" t="s">
        <v>2125</v>
      </c>
      <c r="N406" s="971" t="s">
        <v>176</v>
      </c>
      <c r="O406" s="971" t="s">
        <v>2126</v>
      </c>
      <c r="P406" s="971"/>
      <c r="Q406" s="971" t="s">
        <v>7185</v>
      </c>
      <c r="R406" s="971"/>
      <c r="S406" s="1274">
        <v>1</v>
      </c>
      <c r="T406" s="971" t="s">
        <v>242</v>
      </c>
      <c r="U406" s="1275">
        <v>13</v>
      </c>
      <c r="V406" s="1275">
        <v>120</v>
      </c>
      <c r="W406" s="1275">
        <v>1298.8739523809525</v>
      </c>
      <c r="X406" s="1275">
        <v>1200</v>
      </c>
      <c r="Y406" s="1275">
        <v>2618.8739523809527</v>
      </c>
      <c r="Z406" s="1129">
        <v>13</v>
      </c>
      <c r="AA406" s="1129">
        <v>120</v>
      </c>
      <c r="AB406" s="1129">
        <v>1298.8739523809525</v>
      </c>
      <c r="AC406" s="1129">
        <v>1200</v>
      </c>
      <c r="AD406" s="1098">
        <v>2618.8739523809527</v>
      </c>
      <c r="AE406" s="1135">
        <v>96</v>
      </c>
      <c r="AF406" s="1129">
        <v>96</v>
      </c>
      <c r="AG406" s="1127">
        <v>1</v>
      </c>
      <c r="AH406" s="1127">
        <v>0</v>
      </c>
      <c r="AI406" s="1127">
        <v>0</v>
      </c>
      <c r="AJ406" s="1127">
        <v>1</v>
      </c>
      <c r="AK406" s="1129">
        <v>2618.8739523809527</v>
      </c>
      <c r="AL406" s="1129">
        <v>0</v>
      </c>
      <c r="AM406" s="1129">
        <v>0</v>
      </c>
      <c r="AN406" s="1129">
        <v>2618.8739523809527</v>
      </c>
      <c r="AO406" s="1129" t="s">
        <v>85</v>
      </c>
      <c r="AP406" s="1129" t="s">
        <v>96</v>
      </c>
      <c r="AQ406" s="1157" t="s">
        <v>107</v>
      </c>
      <c r="AR406" s="1129" t="s">
        <v>87</v>
      </c>
      <c r="AS406" s="1127">
        <v>0.33333333333333331</v>
      </c>
      <c r="AT406" s="1127"/>
      <c r="AU406" s="1127">
        <v>0.33333333333333331</v>
      </c>
      <c r="AV406" s="1127"/>
      <c r="AW406" s="1127"/>
      <c r="AX406" s="1127"/>
      <c r="AY406" s="1127"/>
      <c r="AZ406" s="1127">
        <v>0.33333333333333331</v>
      </c>
      <c r="BA406" s="1129">
        <v>872.95798412698423</v>
      </c>
      <c r="BB406" s="1129">
        <v>0</v>
      </c>
      <c r="BC406" s="1129">
        <v>872.95798412698423</v>
      </c>
      <c r="BD406" s="1129">
        <v>0</v>
      </c>
      <c r="BE406" s="1129">
        <v>0</v>
      </c>
      <c r="BF406" s="1129">
        <v>0</v>
      </c>
      <c r="BG406" s="1129">
        <v>0</v>
      </c>
      <c r="BH406" s="1129">
        <v>872.95798412698423</v>
      </c>
      <c r="BI406" s="971"/>
      <c r="BJ406" s="971"/>
      <c r="BK406" s="971"/>
      <c r="BL406" s="1246"/>
      <c r="BM406" s="1247" t="s">
        <v>2129</v>
      </c>
    </row>
    <row r="407" spans="1:65" s="1247" customFormat="1" ht="49.5" customHeight="1">
      <c r="A407" s="1272">
        <v>3000</v>
      </c>
      <c r="B407" s="971" t="s">
        <v>1072</v>
      </c>
      <c r="C407" s="1272">
        <v>3100</v>
      </c>
      <c r="D407" s="971" t="s">
        <v>120</v>
      </c>
      <c r="E407" s="971">
        <v>3130</v>
      </c>
      <c r="F407" s="971" t="s">
        <v>148</v>
      </c>
      <c r="G407" s="971">
        <v>3130</v>
      </c>
      <c r="H407" s="971" t="s">
        <v>148</v>
      </c>
      <c r="I407" s="1273"/>
      <c r="J407" s="971" t="s">
        <v>2146</v>
      </c>
      <c r="K407" s="971" t="s">
        <v>2125</v>
      </c>
      <c r="L407" s="971" t="s">
        <v>2126</v>
      </c>
      <c r="M407" s="971" t="s">
        <v>2125</v>
      </c>
      <c r="N407" s="971" t="s">
        <v>176</v>
      </c>
      <c r="O407" s="971" t="s">
        <v>2126</v>
      </c>
      <c r="P407" s="971" t="s">
        <v>6655</v>
      </c>
      <c r="Q407" s="971" t="s">
        <v>7186</v>
      </c>
      <c r="R407" s="971"/>
      <c r="S407" s="1274">
        <v>1</v>
      </c>
      <c r="T407" s="971" t="s">
        <v>242</v>
      </c>
      <c r="U407" s="1275">
        <v>13</v>
      </c>
      <c r="V407" s="1275">
        <v>120</v>
      </c>
      <c r="W407" s="1275">
        <v>1298.8739523809525</v>
      </c>
      <c r="X407" s="1275">
        <v>1200</v>
      </c>
      <c r="Y407" s="1275">
        <v>2618.8739523809527</v>
      </c>
      <c r="Z407" s="1129">
        <v>13</v>
      </c>
      <c r="AA407" s="1129">
        <v>120</v>
      </c>
      <c r="AB407" s="1129">
        <v>1298.8739523809525</v>
      </c>
      <c r="AC407" s="1129">
        <v>1200</v>
      </c>
      <c r="AD407" s="1098">
        <v>2618.8739523809527</v>
      </c>
      <c r="AE407" s="1135">
        <v>96</v>
      </c>
      <c r="AF407" s="1129">
        <v>96</v>
      </c>
      <c r="AG407" s="1127">
        <v>1</v>
      </c>
      <c r="AH407" s="1127">
        <v>0</v>
      </c>
      <c r="AI407" s="1127">
        <v>0</v>
      </c>
      <c r="AJ407" s="1127">
        <v>1</v>
      </c>
      <c r="AK407" s="1129">
        <v>2618.8739523809527</v>
      </c>
      <c r="AL407" s="1129">
        <v>0</v>
      </c>
      <c r="AM407" s="1129">
        <v>0</v>
      </c>
      <c r="AN407" s="1129">
        <v>2618.8739523809527</v>
      </c>
      <c r="AO407" s="1129" t="s">
        <v>85</v>
      </c>
      <c r="AP407" s="1129" t="s">
        <v>96</v>
      </c>
      <c r="AQ407" s="1157" t="s">
        <v>107</v>
      </c>
      <c r="AR407" s="1129" t="s">
        <v>87</v>
      </c>
      <c r="AS407" s="1127">
        <v>0.33333333333333331</v>
      </c>
      <c r="AT407" s="1127"/>
      <c r="AU407" s="1127">
        <v>0.33333333333333331</v>
      </c>
      <c r="AV407" s="1127"/>
      <c r="AW407" s="1127"/>
      <c r="AX407" s="1127"/>
      <c r="AY407" s="1127"/>
      <c r="AZ407" s="1127">
        <v>0.33333333333333331</v>
      </c>
      <c r="BA407" s="1129">
        <v>872.95798412698423</v>
      </c>
      <c r="BB407" s="1129">
        <v>0</v>
      </c>
      <c r="BC407" s="1129">
        <v>872.95798412698423</v>
      </c>
      <c r="BD407" s="1129">
        <v>0</v>
      </c>
      <c r="BE407" s="1129">
        <v>0</v>
      </c>
      <c r="BF407" s="1129">
        <v>0</v>
      </c>
      <c r="BG407" s="1129">
        <v>0</v>
      </c>
      <c r="BH407" s="1129">
        <v>872.95798412698423</v>
      </c>
      <c r="BI407" s="971"/>
      <c r="BJ407" s="971"/>
      <c r="BK407" s="971"/>
      <c r="BL407" s="1246"/>
      <c r="BM407" s="1247" t="s">
        <v>2129</v>
      </c>
    </row>
    <row r="408" spans="1:65" s="1247" customFormat="1" ht="49.5" customHeight="1">
      <c r="A408" s="1272">
        <v>4000</v>
      </c>
      <c r="B408" s="971" t="s">
        <v>1316</v>
      </c>
      <c r="C408" s="1272">
        <v>4100</v>
      </c>
      <c r="D408" s="971" t="s">
        <v>120</v>
      </c>
      <c r="E408" s="971" t="s">
        <v>1389</v>
      </c>
      <c r="F408" s="971" t="s">
        <v>176</v>
      </c>
      <c r="G408" s="971">
        <v>4141</v>
      </c>
      <c r="H408" s="971" t="s">
        <v>1390</v>
      </c>
      <c r="I408" s="1273"/>
      <c r="J408" s="971" t="s">
        <v>2146</v>
      </c>
      <c r="K408" s="971" t="s">
        <v>2125</v>
      </c>
      <c r="L408" s="971" t="s">
        <v>2126</v>
      </c>
      <c r="M408" s="971" t="s">
        <v>2125</v>
      </c>
      <c r="N408" s="971" t="s">
        <v>176</v>
      </c>
      <c r="O408" s="971" t="s">
        <v>2126</v>
      </c>
      <c r="P408" s="971" t="s">
        <v>6772</v>
      </c>
      <c r="Q408" s="971" t="s">
        <v>7187</v>
      </c>
      <c r="R408" s="971"/>
      <c r="S408" s="1274">
        <v>2</v>
      </c>
      <c r="T408" s="971" t="s">
        <v>242</v>
      </c>
      <c r="U408" s="1275">
        <v>13</v>
      </c>
      <c r="V408" s="1275">
        <v>120</v>
      </c>
      <c r="W408" s="1275">
        <v>1298.8739523809525</v>
      </c>
      <c r="X408" s="1275">
        <v>1200</v>
      </c>
      <c r="Y408" s="1275">
        <v>2618.8739523809527</v>
      </c>
      <c r="Z408" s="1129">
        <v>26</v>
      </c>
      <c r="AA408" s="1129">
        <v>240</v>
      </c>
      <c r="AB408" s="1129">
        <v>2597.7479047619049</v>
      </c>
      <c r="AC408" s="1129">
        <v>2400</v>
      </c>
      <c r="AD408" s="1098">
        <v>5237.7479047619054</v>
      </c>
      <c r="AE408" s="1237">
        <v>96</v>
      </c>
      <c r="AF408" s="1133">
        <v>192</v>
      </c>
      <c r="AG408" s="1127">
        <v>1</v>
      </c>
      <c r="AH408" s="1127">
        <v>0</v>
      </c>
      <c r="AI408" s="1127">
        <v>0</v>
      </c>
      <c r="AJ408" s="1127">
        <v>1</v>
      </c>
      <c r="AK408" s="1129">
        <v>5237.7479047619054</v>
      </c>
      <c r="AL408" s="1129">
        <v>0</v>
      </c>
      <c r="AM408" s="1129">
        <v>0</v>
      </c>
      <c r="AN408" s="1129">
        <v>5237.7479047619054</v>
      </c>
      <c r="AO408" s="1129" t="s">
        <v>85</v>
      </c>
      <c r="AP408" s="1129" t="s">
        <v>96</v>
      </c>
      <c r="AQ408" s="1157" t="s">
        <v>107</v>
      </c>
      <c r="AR408" s="1129" t="s">
        <v>87</v>
      </c>
      <c r="AS408" s="1127">
        <v>0.33333333333333331</v>
      </c>
      <c r="AT408" s="1127"/>
      <c r="AU408" s="1127">
        <v>0.33333333333333331</v>
      </c>
      <c r="AV408" s="1127"/>
      <c r="AW408" s="1127"/>
      <c r="AX408" s="1127"/>
      <c r="AY408" s="1127"/>
      <c r="AZ408" s="1127">
        <v>0.33333333333333331</v>
      </c>
      <c r="BA408" s="1129">
        <v>1745.9159682539685</v>
      </c>
      <c r="BB408" s="1129">
        <v>0</v>
      </c>
      <c r="BC408" s="1129">
        <v>1745.9159682539685</v>
      </c>
      <c r="BD408" s="1129">
        <v>0</v>
      </c>
      <c r="BE408" s="1129">
        <v>0</v>
      </c>
      <c r="BF408" s="1129">
        <v>0</v>
      </c>
      <c r="BG408" s="1129">
        <v>0</v>
      </c>
      <c r="BH408" s="1129">
        <v>1745.9159682539685</v>
      </c>
      <c r="BI408" s="971"/>
      <c r="BJ408" s="971"/>
      <c r="BK408" s="971"/>
      <c r="BL408" s="1246"/>
      <c r="BM408" s="1247" t="s">
        <v>2127</v>
      </c>
    </row>
    <row r="409" spans="1:65" s="1247" customFormat="1" ht="66" customHeight="1">
      <c r="A409" s="1272">
        <v>4000</v>
      </c>
      <c r="B409" s="971" t="s">
        <v>1316</v>
      </c>
      <c r="C409" s="1272">
        <v>4100</v>
      </c>
      <c r="D409" s="971" t="s">
        <v>120</v>
      </c>
      <c r="E409" s="971" t="s">
        <v>1389</v>
      </c>
      <c r="F409" s="971" t="s">
        <v>176</v>
      </c>
      <c r="G409" s="971">
        <v>4141</v>
      </c>
      <c r="H409" s="971" t="s">
        <v>1390</v>
      </c>
      <c r="I409" s="1273"/>
      <c r="J409" s="971" t="s">
        <v>2146</v>
      </c>
      <c r="K409" s="971" t="s">
        <v>2127</v>
      </c>
      <c r="L409" s="971" t="s">
        <v>2177</v>
      </c>
      <c r="M409" s="971" t="s">
        <v>2127</v>
      </c>
      <c r="N409" s="971" t="s">
        <v>176</v>
      </c>
      <c r="O409" s="971" t="s">
        <v>2177</v>
      </c>
      <c r="P409" s="971" t="s">
        <v>7102</v>
      </c>
      <c r="Q409" s="971" t="s">
        <v>7188</v>
      </c>
      <c r="R409" s="971"/>
      <c r="S409" s="1274">
        <v>1</v>
      </c>
      <c r="T409" s="971" t="s">
        <v>242</v>
      </c>
      <c r="U409" s="1275">
        <v>10</v>
      </c>
      <c r="V409" s="1275">
        <v>45</v>
      </c>
      <c r="W409" s="1275">
        <v>999.13380952380965</v>
      </c>
      <c r="X409" s="1275">
        <v>450</v>
      </c>
      <c r="Y409" s="1275">
        <v>1494.1338095238098</v>
      </c>
      <c r="Z409" s="1129">
        <v>10</v>
      </c>
      <c r="AA409" s="1129">
        <v>45</v>
      </c>
      <c r="AB409" s="1129">
        <v>999.13380952380965</v>
      </c>
      <c r="AC409" s="1129">
        <v>450</v>
      </c>
      <c r="AD409" s="1098">
        <v>1494.1338095238098</v>
      </c>
      <c r="AE409" s="1135">
        <v>24</v>
      </c>
      <c r="AF409" s="1129">
        <v>24</v>
      </c>
      <c r="AG409" s="1127">
        <v>1</v>
      </c>
      <c r="AH409" s="1127">
        <v>0</v>
      </c>
      <c r="AI409" s="1127">
        <v>0</v>
      </c>
      <c r="AJ409" s="1127">
        <v>1</v>
      </c>
      <c r="AK409" s="1129">
        <v>1494.1338095238098</v>
      </c>
      <c r="AL409" s="1129">
        <v>0</v>
      </c>
      <c r="AM409" s="1129">
        <v>0</v>
      </c>
      <c r="AN409" s="1129">
        <v>1494.1338095238098</v>
      </c>
      <c r="AO409" s="1129" t="s">
        <v>85</v>
      </c>
      <c r="AP409" s="1129" t="s">
        <v>96</v>
      </c>
      <c r="AQ409" s="1157" t="s">
        <v>107</v>
      </c>
      <c r="AR409" s="1129" t="s">
        <v>87</v>
      </c>
      <c r="AS409" s="1127">
        <v>0.33333333333333331</v>
      </c>
      <c r="AT409" s="1127"/>
      <c r="AU409" s="1127">
        <v>0.33333333333333331</v>
      </c>
      <c r="AV409" s="1127"/>
      <c r="AW409" s="1127"/>
      <c r="AX409" s="1127"/>
      <c r="AY409" s="1127"/>
      <c r="AZ409" s="1127">
        <v>0.33333333333333331</v>
      </c>
      <c r="BA409" s="1129">
        <v>498.04460317460325</v>
      </c>
      <c r="BB409" s="1129">
        <v>0</v>
      </c>
      <c r="BC409" s="1129">
        <v>498.04460317460325</v>
      </c>
      <c r="BD409" s="1129">
        <v>0</v>
      </c>
      <c r="BE409" s="1129">
        <v>0</v>
      </c>
      <c r="BF409" s="1129">
        <v>0</v>
      </c>
      <c r="BG409" s="1129">
        <v>0</v>
      </c>
      <c r="BH409" s="1129">
        <v>498.04460317460325</v>
      </c>
      <c r="BI409" s="971"/>
      <c r="BJ409" s="971"/>
      <c r="BK409" s="971"/>
      <c r="BL409" s="1246"/>
      <c r="BM409" s="1247" t="s">
        <v>2127</v>
      </c>
    </row>
    <row r="410" spans="1:65" s="1247" customFormat="1" ht="49.5" customHeight="1">
      <c r="A410" s="1272">
        <v>4000</v>
      </c>
      <c r="B410" s="971" t="s">
        <v>1316</v>
      </c>
      <c r="C410" s="1272">
        <v>4100</v>
      </c>
      <c r="D410" s="971" t="s">
        <v>120</v>
      </c>
      <c r="E410" s="971" t="s">
        <v>1389</v>
      </c>
      <c r="F410" s="971" t="s">
        <v>176</v>
      </c>
      <c r="G410" s="971">
        <v>4141</v>
      </c>
      <c r="H410" s="971" t="s">
        <v>1390</v>
      </c>
      <c r="I410" s="1273"/>
      <c r="J410" s="971" t="s">
        <v>2146</v>
      </c>
      <c r="K410" s="971" t="s">
        <v>2125</v>
      </c>
      <c r="L410" s="971" t="s">
        <v>2126</v>
      </c>
      <c r="M410" s="971" t="s">
        <v>2125</v>
      </c>
      <c r="N410" s="971" t="s">
        <v>176</v>
      </c>
      <c r="O410" s="971" t="s">
        <v>2126</v>
      </c>
      <c r="P410" s="971" t="s">
        <v>6772</v>
      </c>
      <c r="Q410" s="971" t="s">
        <v>6773</v>
      </c>
      <c r="R410" s="971"/>
      <c r="S410" s="1274">
        <v>6</v>
      </c>
      <c r="T410" s="971" t="s">
        <v>242</v>
      </c>
      <c r="U410" s="1275">
        <v>13</v>
      </c>
      <c r="V410" s="1275">
        <v>120</v>
      </c>
      <c r="W410" s="1275">
        <v>1298.8739523809525</v>
      </c>
      <c r="X410" s="1275">
        <v>1200</v>
      </c>
      <c r="Y410" s="1275">
        <v>2618.8739523809527</v>
      </c>
      <c r="Z410" s="1129">
        <v>78</v>
      </c>
      <c r="AA410" s="1129">
        <v>720</v>
      </c>
      <c r="AB410" s="1129">
        <v>7793.2437142857143</v>
      </c>
      <c r="AC410" s="1129">
        <v>7200</v>
      </c>
      <c r="AD410" s="1098">
        <v>15713.243714285716</v>
      </c>
      <c r="AE410" s="1237">
        <v>96</v>
      </c>
      <c r="AF410" s="1133">
        <v>576</v>
      </c>
      <c r="AG410" s="1127">
        <v>1</v>
      </c>
      <c r="AH410" s="1127">
        <v>0</v>
      </c>
      <c r="AI410" s="1127">
        <v>0</v>
      </c>
      <c r="AJ410" s="1127">
        <v>1</v>
      </c>
      <c r="AK410" s="1129">
        <v>15713.243714285716</v>
      </c>
      <c r="AL410" s="1129">
        <v>0</v>
      </c>
      <c r="AM410" s="1129">
        <v>0</v>
      </c>
      <c r="AN410" s="1129">
        <v>15713.243714285716</v>
      </c>
      <c r="AO410" s="1129" t="s">
        <v>85</v>
      </c>
      <c r="AP410" s="1129" t="s">
        <v>96</v>
      </c>
      <c r="AQ410" s="1157" t="s">
        <v>107</v>
      </c>
      <c r="AR410" s="1129" t="s">
        <v>87</v>
      </c>
      <c r="AS410" s="1127">
        <v>0.33333333333333331</v>
      </c>
      <c r="AT410" s="1127"/>
      <c r="AU410" s="1127">
        <v>0.33333333333333331</v>
      </c>
      <c r="AV410" s="1127"/>
      <c r="AW410" s="1127"/>
      <c r="AX410" s="1127"/>
      <c r="AY410" s="1127"/>
      <c r="AZ410" s="1127">
        <v>0.33333333333333331</v>
      </c>
      <c r="BA410" s="1129">
        <v>5237.7479047619054</v>
      </c>
      <c r="BB410" s="1129">
        <v>0</v>
      </c>
      <c r="BC410" s="1129">
        <v>5237.7479047619054</v>
      </c>
      <c r="BD410" s="1129">
        <v>0</v>
      </c>
      <c r="BE410" s="1129">
        <v>0</v>
      </c>
      <c r="BF410" s="1129">
        <v>0</v>
      </c>
      <c r="BG410" s="1129">
        <v>0</v>
      </c>
      <c r="BH410" s="1129">
        <v>5237.7479047619054</v>
      </c>
      <c r="BI410" s="971"/>
      <c r="BJ410" s="971"/>
      <c r="BK410" s="971"/>
      <c r="BL410" s="1246"/>
      <c r="BM410" s="1247" t="s">
        <v>2129</v>
      </c>
    </row>
    <row r="411" spans="1:65" s="1247" customFormat="1" ht="49.5" customHeight="1">
      <c r="A411" s="1272">
        <v>4000</v>
      </c>
      <c r="B411" s="971" t="s">
        <v>1316</v>
      </c>
      <c r="C411" s="1272">
        <v>4100</v>
      </c>
      <c r="D411" s="971" t="s">
        <v>120</v>
      </c>
      <c r="E411" s="971" t="s">
        <v>1389</v>
      </c>
      <c r="F411" s="971" t="s">
        <v>176</v>
      </c>
      <c r="G411" s="971">
        <v>4141</v>
      </c>
      <c r="H411" s="971" t="s">
        <v>1390</v>
      </c>
      <c r="I411" s="1273"/>
      <c r="J411" s="971" t="s">
        <v>2146</v>
      </c>
      <c r="K411" s="971" t="s">
        <v>2125</v>
      </c>
      <c r="L411" s="971" t="s">
        <v>2126</v>
      </c>
      <c r="M411" s="971" t="s">
        <v>2125</v>
      </c>
      <c r="N411" s="971" t="s">
        <v>176</v>
      </c>
      <c r="O411" s="971" t="s">
        <v>2126</v>
      </c>
      <c r="P411" s="971" t="s">
        <v>6391</v>
      </c>
      <c r="Q411" s="971" t="s">
        <v>7189</v>
      </c>
      <c r="R411" s="971"/>
      <c r="S411" s="1274">
        <v>1</v>
      </c>
      <c r="T411" s="971" t="s">
        <v>242</v>
      </c>
      <c r="U411" s="1275">
        <v>13</v>
      </c>
      <c r="V411" s="1275">
        <v>120</v>
      </c>
      <c r="W411" s="1275">
        <v>1298.8739523809525</v>
      </c>
      <c r="X411" s="1275">
        <v>1200</v>
      </c>
      <c r="Y411" s="1275">
        <v>2618.8739523809527</v>
      </c>
      <c r="Z411" s="1129">
        <v>13</v>
      </c>
      <c r="AA411" s="1129">
        <v>120</v>
      </c>
      <c r="AB411" s="1129">
        <v>1298.8739523809525</v>
      </c>
      <c r="AC411" s="1129">
        <v>1200</v>
      </c>
      <c r="AD411" s="1098">
        <v>2618.8739523809527</v>
      </c>
      <c r="AE411" s="1237">
        <v>96</v>
      </c>
      <c r="AF411" s="1133">
        <v>96</v>
      </c>
      <c r="AG411" s="1127">
        <v>1</v>
      </c>
      <c r="AH411" s="1127">
        <v>0</v>
      </c>
      <c r="AI411" s="1127">
        <v>0</v>
      </c>
      <c r="AJ411" s="1127">
        <v>1</v>
      </c>
      <c r="AK411" s="1129">
        <v>2618.8739523809527</v>
      </c>
      <c r="AL411" s="1129">
        <v>0</v>
      </c>
      <c r="AM411" s="1129">
        <v>0</v>
      </c>
      <c r="AN411" s="1129">
        <v>2618.8739523809527</v>
      </c>
      <c r="AO411" s="1129" t="s">
        <v>85</v>
      </c>
      <c r="AP411" s="1129" t="s">
        <v>96</v>
      </c>
      <c r="AQ411" s="1157" t="s">
        <v>107</v>
      </c>
      <c r="AR411" s="1129" t="s">
        <v>87</v>
      </c>
      <c r="AS411" s="1127">
        <v>0.33333333333333331</v>
      </c>
      <c r="AT411" s="1127"/>
      <c r="AU411" s="1127">
        <v>0.33333333333333331</v>
      </c>
      <c r="AV411" s="1127"/>
      <c r="AW411" s="1127"/>
      <c r="AX411" s="1127"/>
      <c r="AY411" s="1127"/>
      <c r="AZ411" s="1127">
        <v>0.33333333333333331</v>
      </c>
      <c r="BA411" s="1129">
        <v>872.95798412698423</v>
      </c>
      <c r="BB411" s="1129">
        <v>0</v>
      </c>
      <c r="BC411" s="1129">
        <v>872.95798412698423</v>
      </c>
      <c r="BD411" s="1129">
        <v>0</v>
      </c>
      <c r="BE411" s="1129">
        <v>0</v>
      </c>
      <c r="BF411" s="1129">
        <v>0</v>
      </c>
      <c r="BG411" s="1129">
        <v>0</v>
      </c>
      <c r="BH411" s="1129">
        <v>872.95798412698423</v>
      </c>
      <c r="BI411" s="971"/>
      <c r="BJ411" s="971"/>
      <c r="BK411" s="971"/>
      <c r="BL411" s="1246"/>
      <c r="BM411" s="1247" t="s">
        <v>2129</v>
      </c>
    </row>
    <row r="412" spans="1:65" s="1247" customFormat="1" ht="49.5" customHeight="1">
      <c r="A412" s="1272">
        <v>4000</v>
      </c>
      <c r="B412" s="971" t="s">
        <v>1316</v>
      </c>
      <c r="C412" s="1272">
        <v>4100</v>
      </c>
      <c r="D412" s="971" t="s">
        <v>120</v>
      </c>
      <c r="E412" s="971" t="s">
        <v>1389</v>
      </c>
      <c r="F412" s="971" t="s">
        <v>176</v>
      </c>
      <c r="G412" s="971">
        <v>4141</v>
      </c>
      <c r="H412" s="971" t="s">
        <v>1390</v>
      </c>
      <c r="I412" s="1273"/>
      <c r="J412" s="971" t="s">
        <v>2146</v>
      </c>
      <c r="K412" s="971" t="s">
        <v>2129</v>
      </c>
      <c r="L412" s="971" t="s">
        <v>2130</v>
      </c>
      <c r="M412" s="971" t="s">
        <v>2129</v>
      </c>
      <c r="N412" s="971" t="s">
        <v>176</v>
      </c>
      <c r="O412" s="971" t="s">
        <v>2130</v>
      </c>
      <c r="P412" s="971" t="s">
        <v>6619</v>
      </c>
      <c r="Q412" s="971" t="s">
        <v>6622</v>
      </c>
      <c r="R412" s="971"/>
      <c r="S412" s="1274">
        <v>2</v>
      </c>
      <c r="T412" s="971" t="s">
        <v>242</v>
      </c>
      <c r="U412" s="1275">
        <v>6.666666666666667</v>
      </c>
      <c r="V412" s="1275">
        <v>25</v>
      </c>
      <c r="W412" s="1275">
        <v>666.08920634920639</v>
      </c>
      <c r="X412" s="1275">
        <v>250</v>
      </c>
      <c r="Y412" s="1275">
        <v>941.08920634920639</v>
      </c>
      <c r="Z412" s="1129">
        <v>13.333333333333334</v>
      </c>
      <c r="AA412" s="1129">
        <v>50</v>
      </c>
      <c r="AB412" s="1129">
        <v>1332.1784126984128</v>
      </c>
      <c r="AC412" s="1129">
        <v>500</v>
      </c>
      <c r="AD412" s="1098">
        <v>1882.1784126984128</v>
      </c>
      <c r="AE412" s="1237">
        <v>4</v>
      </c>
      <c r="AF412" s="1133">
        <v>8</v>
      </c>
      <c r="AG412" s="1127">
        <v>1</v>
      </c>
      <c r="AH412" s="1127">
        <v>0</v>
      </c>
      <c r="AI412" s="1127">
        <v>0</v>
      </c>
      <c r="AJ412" s="1127">
        <v>1</v>
      </c>
      <c r="AK412" s="1129">
        <v>1882.1784126984128</v>
      </c>
      <c r="AL412" s="1129">
        <v>0</v>
      </c>
      <c r="AM412" s="1129">
        <v>0</v>
      </c>
      <c r="AN412" s="1129">
        <v>1882.1784126984128</v>
      </c>
      <c r="AO412" s="1129" t="s">
        <v>85</v>
      </c>
      <c r="AP412" s="1129" t="s">
        <v>96</v>
      </c>
      <c r="AQ412" s="1157" t="s">
        <v>107</v>
      </c>
      <c r="AR412" s="1129" t="s">
        <v>87</v>
      </c>
      <c r="AS412" s="1127">
        <v>0.33333333333333331</v>
      </c>
      <c r="AT412" s="1127"/>
      <c r="AU412" s="1127">
        <v>0.33333333333333331</v>
      </c>
      <c r="AV412" s="1127"/>
      <c r="AW412" s="1127"/>
      <c r="AX412" s="1127"/>
      <c r="AY412" s="1127"/>
      <c r="AZ412" s="1127">
        <v>0.33333333333333331</v>
      </c>
      <c r="BA412" s="1129">
        <v>627.39280423280422</v>
      </c>
      <c r="BB412" s="1129">
        <v>0</v>
      </c>
      <c r="BC412" s="1129">
        <v>627.39280423280422</v>
      </c>
      <c r="BD412" s="1129">
        <v>0</v>
      </c>
      <c r="BE412" s="1129">
        <v>0</v>
      </c>
      <c r="BF412" s="1129">
        <v>0</v>
      </c>
      <c r="BG412" s="1129">
        <v>0</v>
      </c>
      <c r="BH412" s="1129">
        <v>627.39280423280422</v>
      </c>
      <c r="BI412" s="971"/>
      <c r="BJ412" s="971"/>
      <c r="BK412" s="971"/>
      <c r="BL412" s="1246"/>
      <c r="BM412" s="1247" t="s">
        <v>2129</v>
      </c>
    </row>
    <row r="413" spans="1:65" s="1247" customFormat="1" ht="49.5" customHeight="1">
      <c r="A413" s="1272">
        <v>4000</v>
      </c>
      <c r="B413" s="971" t="s">
        <v>1316</v>
      </c>
      <c r="C413" s="1272">
        <v>4100</v>
      </c>
      <c r="D413" s="971" t="s">
        <v>120</v>
      </c>
      <c r="E413" s="971" t="s">
        <v>1389</v>
      </c>
      <c r="F413" s="971" t="s">
        <v>176</v>
      </c>
      <c r="G413" s="971">
        <v>4141</v>
      </c>
      <c r="H413" s="971" t="s">
        <v>1390</v>
      </c>
      <c r="I413" s="1273"/>
      <c r="J413" s="971" t="s">
        <v>2146</v>
      </c>
      <c r="K413" s="971" t="s">
        <v>2127</v>
      </c>
      <c r="L413" s="971" t="s">
        <v>2177</v>
      </c>
      <c r="M413" s="971" t="s">
        <v>2127</v>
      </c>
      <c r="N413" s="971" t="s">
        <v>176</v>
      </c>
      <c r="O413" s="971" t="s">
        <v>2177</v>
      </c>
      <c r="P413" s="971" t="s">
        <v>6646</v>
      </c>
      <c r="Q413" s="971" t="s">
        <v>6862</v>
      </c>
      <c r="R413" s="971"/>
      <c r="S413" s="1274">
        <v>1</v>
      </c>
      <c r="T413" s="971" t="s">
        <v>242</v>
      </c>
      <c r="U413" s="1275">
        <v>10</v>
      </c>
      <c r="V413" s="1275">
        <v>45</v>
      </c>
      <c r="W413" s="1275">
        <v>999.13380952380965</v>
      </c>
      <c r="X413" s="1275">
        <v>450</v>
      </c>
      <c r="Y413" s="1275">
        <v>1494.1338095238098</v>
      </c>
      <c r="Z413" s="1129">
        <v>10</v>
      </c>
      <c r="AA413" s="1129">
        <v>45</v>
      </c>
      <c r="AB413" s="1129">
        <v>999.13380952380965</v>
      </c>
      <c r="AC413" s="1129">
        <v>450</v>
      </c>
      <c r="AD413" s="1098">
        <v>1494.1338095238098</v>
      </c>
      <c r="AE413" s="1237">
        <v>24</v>
      </c>
      <c r="AF413" s="1133">
        <v>24</v>
      </c>
      <c r="AG413" s="1127">
        <v>1</v>
      </c>
      <c r="AH413" s="1127">
        <v>0</v>
      </c>
      <c r="AI413" s="1127">
        <v>0</v>
      </c>
      <c r="AJ413" s="1127">
        <v>1</v>
      </c>
      <c r="AK413" s="1129">
        <v>1494.1338095238098</v>
      </c>
      <c r="AL413" s="1129">
        <v>0</v>
      </c>
      <c r="AM413" s="1129">
        <v>0</v>
      </c>
      <c r="AN413" s="1129">
        <v>1494.1338095238098</v>
      </c>
      <c r="AO413" s="1129" t="s">
        <v>85</v>
      </c>
      <c r="AP413" s="1129" t="s">
        <v>96</v>
      </c>
      <c r="AQ413" s="1157" t="s">
        <v>107</v>
      </c>
      <c r="AR413" s="1129" t="s">
        <v>87</v>
      </c>
      <c r="AS413" s="1127">
        <v>0.33333333333333331</v>
      </c>
      <c r="AT413" s="1127"/>
      <c r="AU413" s="1127">
        <v>0.33333333333333331</v>
      </c>
      <c r="AV413" s="1127"/>
      <c r="AW413" s="1127"/>
      <c r="AX413" s="1127"/>
      <c r="AY413" s="1127"/>
      <c r="AZ413" s="1127">
        <v>0.33333333333333331</v>
      </c>
      <c r="BA413" s="1129">
        <v>498.04460317460325</v>
      </c>
      <c r="BB413" s="1129">
        <v>0</v>
      </c>
      <c r="BC413" s="1129">
        <v>498.04460317460325</v>
      </c>
      <c r="BD413" s="1129">
        <v>0</v>
      </c>
      <c r="BE413" s="1129">
        <v>0</v>
      </c>
      <c r="BF413" s="1129">
        <v>0</v>
      </c>
      <c r="BG413" s="1129">
        <v>0</v>
      </c>
      <c r="BH413" s="1129">
        <v>498.04460317460325</v>
      </c>
      <c r="BI413" s="971"/>
      <c r="BJ413" s="971"/>
      <c r="BK413" s="971"/>
      <c r="BL413" s="1246"/>
      <c r="BM413" s="1247" t="s">
        <v>2129</v>
      </c>
    </row>
    <row r="414" spans="1:65" s="1247" customFormat="1" ht="49.5" customHeight="1">
      <c r="A414" s="1272">
        <v>4000</v>
      </c>
      <c r="B414" s="971" t="s">
        <v>1316</v>
      </c>
      <c r="C414" s="1272">
        <v>4100</v>
      </c>
      <c r="D414" s="971" t="s">
        <v>120</v>
      </c>
      <c r="E414" s="971" t="s">
        <v>1389</v>
      </c>
      <c r="F414" s="971" t="s">
        <v>176</v>
      </c>
      <c r="G414" s="971">
        <v>4141</v>
      </c>
      <c r="H414" s="971" t="s">
        <v>1390</v>
      </c>
      <c r="I414" s="1273"/>
      <c r="J414" s="971" t="s">
        <v>2146</v>
      </c>
      <c r="K414" s="971" t="s">
        <v>2127</v>
      </c>
      <c r="L414" s="971" t="s">
        <v>2177</v>
      </c>
      <c r="M414" s="971" t="s">
        <v>2127</v>
      </c>
      <c r="N414" s="971" t="s">
        <v>176</v>
      </c>
      <c r="O414" s="971" t="s">
        <v>2177</v>
      </c>
      <c r="P414" s="971" t="s">
        <v>7158</v>
      </c>
      <c r="Q414" s="971" t="s">
        <v>7190</v>
      </c>
      <c r="R414" s="971"/>
      <c r="S414" s="1274">
        <v>1</v>
      </c>
      <c r="T414" s="971" t="s">
        <v>242</v>
      </c>
      <c r="U414" s="1275">
        <v>10</v>
      </c>
      <c r="V414" s="1275">
        <v>45</v>
      </c>
      <c r="W414" s="1275">
        <v>999.13380952380965</v>
      </c>
      <c r="X414" s="1275">
        <v>450</v>
      </c>
      <c r="Y414" s="1275">
        <v>1494.1338095238098</v>
      </c>
      <c r="Z414" s="1129">
        <v>10</v>
      </c>
      <c r="AA414" s="1129">
        <v>45</v>
      </c>
      <c r="AB414" s="1129">
        <v>999.13380952380965</v>
      </c>
      <c r="AC414" s="1129">
        <v>450</v>
      </c>
      <c r="AD414" s="1098">
        <v>1494.1338095238098</v>
      </c>
      <c r="AE414" s="1135">
        <v>24</v>
      </c>
      <c r="AF414" s="1129">
        <v>24</v>
      </c>
      <c r="AG414" s="1127">
        <v>1</v>
      </c>
      <c r="AH414" s="1127">
        <v>0</v>
      </c>
      <c r="AI414" s="1127">
        <v>0</v>
      </c>
      <c r="AJ414" s="1127">
        <v>1</v>
      </c>
      <c r="AK414" s="1129">
        <v>1494.1338095238098</v>
      </c>
      <c r="AL414" s="1129">
        <v>0</v>
      </c>
      <c r="AM414" s="1129">
        <v>0</v>
      </c>
      <c r="AN414" s="1129">
        <v>1494.1338095238098</v>
      </c>
      <c r="AO414" s="1129" t="s">
        <v>85</v>
      </c>
      <c r="AP414" s="1129" t="s">
        <v>96</v>
      </c>
      <c r="AQ414" s="1157" t="s">
        <v>107</v>
      </c>
      <c r="AR414" s="1129" t="s">
        <v>87</v>
      </c>
      <c r="AS414" s="1127">
        <v>0.33333333333333331</v>
      </c>
      <c r="AT414" s="1127"/>
      <c r="AU414" s="1127">
        <v>0.33333333333333331</v>
      </c>
      <c r="AV414" s="1127"/>
      <c r="AW414" s="1127"/>
      <c r="AX414" s="1127"/>
      <c r="AY414" s="1127"/>
      <c r="AZ414" s="1127">
        <v>0.33333333333333331</v>
      </c>
      <c r="BA414" s="1129">
        <v>498.04460317460325</v>
      </c>
      <c r="BB414" s="1129">
        <v>0</v>
      </c>
      <c r="BC414" s="1129">
        <v>498.04460317460325</v>
      </c>
      <c r="BD414" s="1129">
        <v>0</v>
      </c>
      <c r="BE414" s="1129">
        <v>0</v>
      </c>
      <c r="BF414" s="1129">
        <v>0</v>
      </c>
      <c r="BG414" s="1129">
        <v>0</v>
      </c>
      <c r="BH414" s="1129">
        <v>498.04460317460325</v>
      </c>
      <c r="BI414" s="971"/>
      <c r="BJ414" s="971"/>
      <c r="BK414" s="971"/>
      <c r="BL414" s="1246"/>
      <c r="BM414" s="1247" t="s">
        <v>2129</v>
      </c>
    </row>
    <row r="415" spans="1:65" s="1247" customFormat="1" ht="49.5" customHeight="1">
      <c r="A415" s="1272">
        <v>4000</v>
      </c>
      <c r="B415" s="971" t="s">
        <v>1316</v>
      </c>
      <c r="C415" s="1272">
        <v>4100</v>
      </c>
      <c r="D415" s="971" t="s">
        <v>120</v>
      </c>
      <c r="E415" s="971" t="s">
        <v>1389</v>
      </c>
      <c r="F415" s="971" t="s">
        <v>176</v>
      </c>
      <c r="G415" s="971">
        <v>4141</v>
      </c>
      <c r="H415" s="971" t="s">
        <v>1390</v>
      </c>
      <c r="I415" s="1273"/>
      <c r="J415" s="971" t="s">
        <v>2146</v>
      </c>
      <c r="K415" s="971" t="s">
        <v>2127</v>
      </c>
      <c r="L415" s="971" t="s">
        <v>2177</v>
      </c>
      <c r="M415" s="971" t="s">
        <v>2127</v>
      </c>
      <c r="N415" s="971" t="s">
        <v>176</v>
      </c>
      <c r="O415" s="971" t="s">
        <v>2177</v>
      </c>
      <c r="P415" s="971" t="s">
        <v>7158</v>
      </c>
      <c r="Q415" s="971" t="s">
        <v>7191</v>
      </c>
      <c r="R415" s="971"/>
      <c r="S415" s="1274">
        <v>1</v>
      </c>
      <c r="T415" s="971" t="s">
        <v>242</v>
      </c>
      <c r="U415" s="1275">
        <v>10</v>
      </c>
      <c r="V415" s="1275">
        <v>45</v>
      </c>
      <c r="W415" s="1275">
        <v>999.13380952380965</v>
      </c>
      <c r="X415" s="1275">
        <v>450</v>
      </c>
      <c r="Y415" s="1275">
        <v>1494.1338095238098</v>
      </c>
      <c r="Z415" s="1129">
        <v>10</v>
      </c>
      <c r="AA415" s="1129">
        <v>45</v>
      </c>
      <c r="AB415" s="1129">
        <v>999.13380952380965</v>
      </c>
      <c r="AC415" s="1129">
        <v>450</v>
      </c>
      <c r="AD415" s="1098">
        <v>1494.1338095238098</v>
      </c>
      <c r="AE415" s="1135">
        <v>24</v>
      </c>
      <c r="AF415" s="1129">
        <v>24</v>
      </c>
      <c r="AG415" s="1127">
        <v>1</v>
      </c>
      <c r="AH415" s="1127">
        <v>0</v>
      </c>
      <c r="AI415" s="1127">
        <v>0</v>
      </c>
      <c r="AJ415" s="1127">
        <v>1</v>
      </c>
      <c r="AK415" s="1129">
        <v>1494.1338095238098</v>
      </c>
      <c r="AL415" s="1129">
        <v>0</v>
      </c>
      <c r="AM415" s="1129">
        <v>0</v>
      </c>
      <c r="AN415" s="1129">
        <v>1494.1338095238098</v>
      </c>
      <c r="AO415" s="1129" t="s">
        <v>85</v>
      </c>
      <c r="AP415" s="1129" t="s">
        <v>96</v>
      </c>
      <c r="AQ415" s="1157" t="s">
        <v>107</v>
      </c>
      <c r="AR415" s="1129" t="s">
        <v>87</v>
      </c>
      <c r="AS415" s="1127">
        <v>0.33333333333333331</v>
      </c>
      <c r="AT415" s="1127"/>
      <c r="AU415" s="1127">
        <v>0.33333333333333331</v>
      </c>
      <c r="AV415" s="1127"/>
      <c r="AW415" s="1127"/>
      <c r="AX415" s="1127"/>
      <c r="AY415" s="1127"/>
      <c r="AZ415" s="1127">
        <v>0.33333333333333331</v>
      </c>
      <c r="BA415" s="1129">
        <v>498.04460317460325</v>
      </c>
      <c r="BB415" s="1129">
        <v>0</v>
      </c>
      <c r="BC415" s="1129">
        <v>498.04460317460325</v>
      </c>
      <c r="BD415" s="1129">
        <v>0</v>
      </c>
      <c r="BE415" s="1129">
        <v>0</v>
      </c>
      <c r="BF415" s="1129">
        <v>0</v>
      </c>
      <c r="BG415" s="1129">
        <v>0</v>
      </c>
      <c r="BH415" s="1129">
        <v>498.04460317460325</v>
      </c>
      <c r="BI415" s="971"/>
      <c r="BJ415" s="971"/>
      <c r="BK415" s="971"/>
      <c r="BL415" s="1246"/>
      <c r="BM415" s="1247" t="s">
        <v>2129</v>
      </c>
    </row>
    <row r="416" spans="1:65" s="1247" customFormat="1" ht="49.5" customHeight="1">
      <c r="A416" s="1272">
        <v>4000</v>
      </c>
      <c r="B416" s="971" t="s">
        <v>1316</v>
      </c>
      <c r="C416" s="1272">
        <v>4100</v>
      </c>
      <c r="D416" s="971" t="s">
        <v>120</v>
      </c>
      <c r="E416" s="971" t="s">
        <v>1389</v>
      </c>
      <c r="F416" s="971" t="s">
        <v>176</v>
      </c>
      <c r="G416" s="971">
        <v>4141</v>
      </c>
      <c r="H416" s="971" t="s">
        <v>1390</v>
      </c>
      <c r="I416" s="1273"/>
      <c r="J416" s="971" t="s">
        <v>2146</v>
      </c>
      <c r="K416" s="971" t="s">
        <v>2125</v>
      </c>
      <c r="L416" s="971" t="s">
        <v>2126</v>
      </c>
      <c r="M416" s="971" t="s">
        <v>2125</v>
      </c>
      <c r="N416" s="971" t="s">
        <v>176</v>
      </c>
      <c r="O416" s="971" t="s">
        <v>2126</v>
      </c>
      <c r="P416" s="971" t="s">
        <v>3065</v>
      </c>
      <c r="Q416" s="971" t="s">
        <v>6868</v>
      </c>
      <c r="R416" s="971"/>
      <c r="S416" s="1274">
        <v>1</v>
      </c>
      <c r="T416" s="971" t="s">
        <v>242</v>
      </c>
      <c r="U416" s="1275">
        <v>13</v>
      </c>
      <c r="V416" s="1275">
        <v>120</v>
      </c>
      <c r="W416" s="1275">
        <v>1298.8739523809525</v>
      </c>
      <c r="X416" s="1275">
        <v>1200</v>
      </c>
      <c r="Y416" s="1275">
        <v>2618.8739523809527</v>
      </c>
      <c r="Z416" s="1129">
        <v>13</v>
      </c>
      <c r="AA416" s="1129">
        <v>120</v>
      </c>
      <c r="AB416" s="1129">
        <v>1298.8739523809525</v>
      </c>
      <c r="AC416" s="1129">
        <v>1200</v>
      </c>
      <c r="AD416" s="1098">
        <v>2618.8739523809527</v>
      </c>
      <c r="AE416" s="1237">
        <v>96</v>
      </c>
      <c r="AF416" s="1133">
        <v>96</v>
      </c>
      <c r="AG416" s="1127">
        <v>1</v>
      </c>
      <c r="AH416" s="1127">
        <v>0</v>
      </c>
      <c r="AI416" s="1127">
        <v>0</v>
      </c>
      <c r="AJ416" s="1127">
        <v>1</v>
      </c>
      <c r="AK416" s="1129">
        <v>2618.8739523809527</v>
      </c>
      <c r="AL416" s="1129">
        <v>0</v>
      </c>
      <c r="AM416" s="1129">
        <v>0</v>
      </c>
      <c r="AN416" s="1129">
        <v>2618.8739523809527</v>
      </c>
      <c r="AO416" s="1129" t="s">
        <v>85</v>
      </c>
      <c r="AP416" s="1129" t="s">
        <v>96</v>
      </c>
      <c r="AQ416" s="1157" t="s">
        <v>107</v>
      </c>
      <c r="AR416" s="1129" t="s">
        <v>87</v>
      </c>
      <c r="AS416" s="1127">
        <v>0.33333333333333331</v>
      </c>
      <c r="AT416" s="1127"/>
      <c r="AU416" s="1127">
        <v>0.33333333333333331</v>
      </c>
      <c r="AV416" s="1127"/>
      <c r="AW416" s="1127"/>
      <c r="AX416" s="1127"/>
      <c r="AY416" s="1127"/>
      <c r="AZ416" s="1127">
        <v>0.33333333333333331</v>
      </c>
      <c r="BA416" s="1129">
        <v>872.95798412698423</v>
      </c>
      <c r="BB416" s="1129">
        <v>0</v>
      </c>
      <c r="BC416" s="1129">
        <v>872.95798412698423</v>
      </c>
      <c r="BD416" s="1129">
        <v>0</v>
      </c>
      <c r="BE416" s="1129">
        <v>0</v>
      </c>
      <c r="BF416" s="1129">
        <v>0</v>
      </c>
      <c r="BG416" s="1129">
        <v>0</v>
      </c>
      <c r="BH416" s="1129">
        <v>872.95798412698423</v>
      </c>
      <c r="BI416" s="971"/>
      <c r="BJ416" s="971"/>
      <c r="BK416" s="971"/>
      <c r="BL416" s="1246"/>
      <c r="BM416" s="1247" t="s">
        <v>2129</v>
      </c>
    </row>
    <row r="417" spans="1:65" s="1247" customFormat="1" ht="49.5" customHeight="1">
      <c r="A417" s="1272">
        <v>4000</v>
      </c>
      <c r="B417" s="971" t="s">
        <v>1316</v>
      </c>
      <c r="C417" s="1272">
        <v>4100</v>
      </c>
      <c r="D417" s="971" t="s">
        <v>120</v>
      </c>
      <c r="E417" s="971" t="s">
        <v>1389</v>
      </c>
      <c r="F417" s="971" t="s">
        <v>176</v>
      </c>
      <c r="G417" s="971">
        <v>4141</v>
      </c>
      <c r="H417" s="971" t="s">
        <v>1390</v>
      </c>
      <c r="I417" s="1273"/>
      <c r="J417" s="971" t="s">
        <v>2146</v>
      </c>
      <c r="K417" s="971" t="s">
        <v>2125</v>
      </c>
      <c r="L417" s="971" t="s">
        <v>2126</v>
      </c>
      <c r="M417" s="971" t="s">
        <v>2125</v>
      </c>
      <c r="N417" s="971" t="s">
        <v>176</v>
      </c>
      <c r="O417" s="971" t="s">
        <v>2126</v>
      </c>
      <c r="P417" s="971" t="s">
        <v>6785</v>
      </c>
      <c r="Q417" s="971" t="s">
        <v>6788</v>
      </c>
      <c r="R417" s="971"/>
      <c r="S417" s="1274">
        <v>1</v>
      </c>
      <c r="T417" s="971" t="s">
        <v>242</v>
      </c>
      <c r="U417" s="1275">
        <v>13</v>
      </c>
      <c r="V417" s="1275">
        <v>120</v>
      </c>
      <c r="W417" s="1275">
        <v>1298.8739523809525</v>
      </c>
      <c r="X417" s="1275">
        <v>1200</v>
      </c>
      <c r="Y417" s="1275">
        <v>2618.8739523809527</v>
      </c>
      <c r="Z417" s="1129">
        <v>13</v>
      </c>
      <c r="AA417" s="1129">
        <v>120</v>
      </c>
      <c r="AB417" s="1129">
        <v>1298.8739523809525</v>
      </c>
      <c r="AC417" s="1129">
        <v>1200</v>
      </c>
      <c r="AD417" s="1098">
        <v>2618.8739523809527</v>
      </c>
      <c r="AE417" s="1237">
        <v>96</v>
      </c>
      <c r="AF417" s="1133">
        <v>96</v>
      </c>
      <c r="AG417" s="1127">
        <v>1</v>
      </c>
      <c r="AH417" s="1127">
        <v>0</v>
      </c>
      <c r="AI417" s="1127">
        <v>0</v>
      </c>
      <c r="AJ417" s="1127">
        <v>1</v>
      </c>
      <c r="AK417" s="1129">
        <v>2618.8739523809527</v>
      </c>
      <c r="AL417" s="1129">
        <v>0</v>
      </c>
      <c r="AM417" s="1129">
        <v>0</v>
      </c>
      <c r="AN417" s="1129">
        <v>2618.8739523809527</v>
      </c>
      <c r="AO417" s="1129" t="s">
        <v>85</v>
      </c>
      <c r="AP417" s="1129" t="s">
        <v>96</v>
      </c>
      <c r="AQ417" s="1157" t="s">
        <v>107</v>
      </c>
      <c r="AR417" s="1129" t="s">
        <v>87</v>
      </c>
      <c r="AS417" s="1127">
        <v>0.33333333333333331</v>
      </c>
      <c r="AT417" s="1127"/>
      <c r="AU417" s="1127">
        <v>0.33333333333333331</v>
      </c>
      <c r="AV417" s="1127"/>
      <c r="AW417" s="1127"/>
      <c r="AX417" s="1127"/>
      <c r="AY417" s="1127"/>
      <c r="AZ417" s="1127">
        <v>0.33333333333333331</v>
      </c>
      <c r="BA417" s="1129">
        <v>872.95798412698423</v>
      </c>
      <c r="BB417" s="1129">
        <v>0</v>
      </c>
      <c r="BC417" s="1129">
        <v>872.95798412698423</v>
      </c>
      <c r="BD417" s="1129">
        <v>0</v>
      </c>
      <c r="BE417" s="1129">
        <v>0</v>
      </c>
      <c r="BF417" s="1129">
        <v>0</v>
      </c>
      <c r="BG417" s="1129">
        <v>0</v>
      </c>
      <c r="BH417" s="1129">
        <v>872.95798412698423</v>
      </c>
      <c r="BI417" s="971"/>
      <c r="BJ417" s="971"/>
      <c r="BK417" s="971"/>
      <c r="BL417" s="1246"/>
      <c r="BM417" s="1247" t="s">
        <v>2129</v>
      </c>
    </row>
    <row r="418" spans="1:65" s="1247" customFormat="1" ht="49.5" customHeight="1">
      <c r="A418" s="1272">
        <v>4000</v>
      </c>
      <c r="B418" s="971" t="s">
        <v>1316</v>
      </c>
      <c r="C418" s="1272">
        <v>4100</v>
      </c>
      <c r="D418" s="971" t="s">
        <v>120</v>
      </c>
      <c r="E418" s="971" t="s">
        <v>1389</v>
      </c>
      <c r="F418" s="971" t="s">
        <v>176</v>
      </c>
      <c r="G418" s="971">
        <v>4142</v>
      </c>
      <c r="H418" s="971" t="s">
        <v>3491</v>
      </c>
      <c r="I418" s="1273"/>
      <c r="J418" s="971" t="s">
        <v>2146</v>
      </c>
      <c r="K418" s="971" t="s">
        <v>2125</v>
      </c>
      <c r="L418" s="971" t="s">
        <v>2126</v>
      </c>
      <c r="M418" s="971" t="s">
        <v>2125</v>
      </c>
      <c r="N418" s="971" t="s">
        <v>176</v>
      </c>
      <c r="O418" s="971" t="s">
        <v>2126</v>
      </c>
      <c r="P418" s="971" t="s">
        <v>6655</v>
      </c>
      <c r="Q418" s="971" t="s">
        <v>6656</v>
      </c>
      <c r="R418" s="971"/>
      <c r="S418" s="1274">
        <v>2</v>
      </c>
      <c r="T418" s="971" t="s">
        <v>242</v>
      </c>
      <c r="U418" s="1275">
        <v>13</v>
      </c>
      <c r="V418" s="1275">
        <v>120</v>
      </c>
      <c r="W418" s="1275">
        <v>1298.8739523809525</v>
      </c>
      <c r="X418" s="1275">
        <v>1200</v>
      </c>
      <c r="Y418" s="1275">
        <v>2618.8739523809527</v>
      </c>
      <c r="Z418" s="1129">
        <v>26</v>
      </c>
      <c r="AA418" s="1129">
        <v>240</v>
      </c>
      <c r="AB418" s="1129">
        <v>2597.7479047619049</v>
      </c>
      <c r="AC418" s="1129">
        <v>2400</v>
      </c>
      <c r="AD418" s="1098">
        <v>5237.7479047619054</v>
      </c>
      <c r="AE418" s="1135">
        <v>96</v>
      </c>
      <c r="AF418" s="1129">
        <v>192</v>
      </c>
      <c r="AG418" s="1127">
        <v>1</v>
      </c>
      <c r="AH418" s="1127">
        <v>0</v>
      </c>
      <c r="AI418" s="1127">
        <v>0</v>
      </c>
      <c r="AJ418" s="1127">
        <v>1</v>
      </c>
      <c r="AK418" s="1129">
        <v>5237.7479047619054</v>
      </c>
      <c r="AL418" s="1129">
        <v>0</v>
      </c>
      <c r="AM418" s="1129">
        <v>0</v>
      </c>
      <c r="AN418" s="1129">
        <v>5237.7479047619054</v>
      </c>
      <c r="AO418" s="1129" t="s">
        <v>85</v>
      </c>
      <c r="AP418" s="1129" t="s">
        <v>96</v>
      </c>
      <c r="AQ418" s="1157" t="s">
        <v>107</v>
      </c>
      <c r="AR418" s="1129" t="s">
        <v>87</v>
      </c>
      <c r="AS418" s="1127">
        <v>0.33333333333333331</v>
      </c>
      <c r="AT418" s="1127"/>
      <c r="AU418" s="1127">
        <v>0.33333333333333331</v>
      </c>
      <c r="AV418" s="1127"/>
      <c r="AW418" s="1127"/>
      <c r="AX418" s="1127"/>
      <c r="AY418" s="1127"/>
      <c r="AZ418" s="1127">
        <v>0.33333333333333331</v>
      </c>
      <c r="BA418" s="1129">
        <v>1745.9159682539685</v>
      </c>
      <c r="BB418" s="1129">
        <v>0</v>
      </c>
      <c r="BC418" s="1129">
        <v>1745.9159682539685</v>
      </c>
      <c r="BD418" s="1129">
        <v>0</v>
      </c>
      <c r="BE418" s="1129">
        <v>0</v>
      </c>
      <c r="BF418" s="1129">
        <v>0</v>
      </c>
      <c r="BG418" s="1129">
        <v>0</v>
      </c>
      <c r="BH418" s="1129">
        <v>1745.9159682539685</v>
      </c>
      <c r="BI418" s="971"/>
      <c r="BJ418" s="971"/>
      <c r="BK418" s="971"/>
      <c r="BL418" s="1246"/>
      <c r="BM418" s="1247" t="s">
        <v>2129</v>
      </c>
    </row>
    <row r="419" spans="1:65" s="1247" customFormat="1" ht="49.5" customHeight="1">
      <c r="A419" s="1272">
        <v>4000</v>
      </c>
      <c r="B419" s="971" t="s">
        <v>1316</v>
      </c>
      <c r="C419" s="1272">
        <v>4100</v>
      </c>
      <c r="D419" s="971" t="s">
        <v>120</v>
      </c>
      <c r="E419" s="971" t="s">
        <v>1389</v>
      </c>
      <c r="F419" s="971" t="s">
        <v>176</v>
      </c>
      <c r="G419" s="971">
        <v>4142</v>
      </c>
      <c r="H419" s="971" t="s">
        <v>3491</v>
      </c>
      <c r="I419" s="1273"/>
      <c r="J419" s="971" t="s">
        <v>2146</v>
      </c>
      <c r="K419" s="971" t="s">
        <v>2125</v>
      </c>
      <c r="L419" s="971" t="s">
        <v>2126</v>
      </c>
      <c r="M419" s="971" t="s">
        <v>2125</v>
      </c>
      <c r="N419" s="971" t="s">
        <v>176</v>
      </c>
      <c r="O419" s="971" t="s">
        <v>2126</v>
      </c>
      <c r="P419" s="971" t="s">
        <v>6391</v>
      </c>
      <c r="Q419" s="971" t="s">
        <v>6922</v>
      </c>
      <c r="R419" s="971"/>
      <c r="S419" s="1274">
        <v>1</v>
      </c>
      <c r="T419" s="971" t="s">
        <v>242</v>
      </c>
      <c r="U419" s="1275">
        <v>13</v>
      </c>
      <c r="V419" s="1275">
        <v>120</v>
      </c>
      <c r="W419" s="1275">
        <v>1298.8739523809525</v>
      </c>
      <c r="X419" s="1275">
        <v>1200</v>
      </c>
      <c r="Y419" s="1275">
        <v>2618.8739523809527</v>
      </c>
      <c r="Z419" s="1129">
        <v>13</v>
      </c>
      <c r="AA419" s="1129">
        <v>120</v>
      </c>
      <c r="AB419" s="1129">
        <v>1298.8739523809525</v>
      </c>
      <c r="AC419" s="1129">
        <v>1200</v>
      </c>
      <c r="AD419" s="1098">
        <v>2618.8739523809527</v>
      </c>
      <c r="AE419" s="1237">
        <v>96</v>
      </c>
      <c r="AF419" s="1133">
        <v>96</v>
      </c>
      <c r="AG419" s="1127">
        <v>1</v>
      </c>
      <c r="AH419" s="1127">
        <v>0</v>
      </c>
      <c r="AI419" s="1127">
        <v>0</v>
      </c>
      <c r="AJ419" s="1127">
        <v>1</v>
      </c>
      <c r="AK419" s="1129">
        <v>2618.8739523809527</v>
      </c>
      <c r="AL419" s="1129">
        <v>0</v>
      </c>
      <c r="AM419" s="1129">
        <v>0</v>
      </c>
      <c r="AN419" s="1129">
        <v>2618.8739523809527</v>
      </c>
      <c r="AO419" s="1129" t="s">
        <v>85</v>
      </c>
      <c r="AP419" s="1129" t="s">
        <v>96</v>
      </c>
      <c r="AQ419" s="1157" t="s">
        <v>107</v>
      </c>
      <c r="AR419" s="1129" t="s">
        <v>87</v>
      </c>
      <c r="AS419" s="1127">
        <v>0.33333333333333331</v>
      </c>
      <c r="AT419" s="1127"/>
      <c r="AU419" s="1127">
        <v>0.33333333333333331</v>
      </c>
      <c r="AV419" s="1127"/>
      <c r="AW419" s="1127"/>
      <c r="AX419" s="1127"/>
      <c r="AY419" s="1127"/>
      <c r="AZ419" s="1127">
        <v>0.33333333333333331</v>
      </c>
      <c r="BA419" s="1129">
        <v>872.95798412698423</v>
      </c>
      <c r="BB419" s="1129">
        <v>0</v>
      </c>
      <c r="BC419" s="1129">
        <v>872.95798412698423</v>
      </c>
      <c r="BD419" s="1129">
        <v>0</v>
      </c>
      <c r="BE419" s="1129">
        <v>0</v>
      </c>
      <c r="BF419" s="1129">
        <v>0</v>
      </c>
      <c r="BG419" s="1129">
        <v>0</v>
      </c>
      <c r="BH419" s="1129">
        <v>872.95798412698423</v>
      </c>
      <c r="BI419" s="971"/>
      <c r="BJ419" s="971"/>
      <c r="BK419" s="971"/>
      <c r="BL419" s="1246"/>
      <c r="BM419" s="1247" t="s">
        <v>2129</v>
      </c>
    </row>
    <row r="420" spans="1:65" s="1247" customFormat="1" ht="49.5" customHeight="1">
      <c r="A420" s="1272">
        <v>4000</v>
      </c>
      <c r="B420" s="971" t="s">
        <v>1316</v>
      </c>
      <c r="C420" s="1272">
        <v>4100</v>
      </c>
      <c r="D420" s="971" t="s">
        <v>120</v>
      </c>
      <c r="E420" s="971" t="s">
        <v>1389</v>
      </c>
      <c r="F420" s="971" t="s">
        <v>176</v>
      </c>
      <c r="G420" s="971">
        <v>4142</v>
      </c>
      <c r="H420" s="971" t="s">
        <v>3491</v>
      </c>
      <c r="I420" s="1273"/>
      <c r="J420" s="971" t="s">
        <v>2146</v>
      </c>
      <c r="K420" s="971" t="s">
        <v>2125</v>
      </c>
      <c r="L420" s="971" t="s">
        <v>2126</v>
      </c>
      <c r="M420" s="971" t="s">
        <v>2125</v>
      </c>
      <c r="N420" s="971" t="s">
        <v>176</v>
      </c>
      <c r="O420" s="971" t="s">
        <v>2126</v>
      </c>
      <c r="P420" s="971" t="s">
        <v>6626</v>
      </c>
      <c r="Q420" s="971" t="s">
        <v>7192</v>
      </c>
      <c r="R420" s="971"/>
      <c r="S420" s="1274">
        <v>2</v>
      </c>
      <c r="T420" s="971" t="s">
        <v>242</v>
      </c>
      <c r="U420" s="1275">
        <v>13</v>
      </c>
      <c r="V420" s="1275">
        <v>120</v>
      </c>
      <c r="W420" s="1275">
        <v>1298.8739523809525</v>
      </c>
      <c r="X420" s="1275">
        <v>1200</v>
      </c>
      <c r="Y420" s="1275">
        <v>2618.8739523809527</v>
      </c>
      <c r="Z420" s="1129">
        <v>26</v>
      </c>
      <c r="AA420" s="1129">
        <v>240</v>
      </c>
      <c r="AB420" s="1129">
        <v>2597.7479047619049</v>
      </c>
      <c r="AC420" s="1129">
        <v>2400</v>
      </c>
      <c r="AD420" s="1098">
        <v>5237.7479047619054</v>
      </c>
      <c r="AE420" s="1135">
        <v>96</v>
      </c>
      <c r="AF420" s="1129">
        <v>192</v>
      </c>
      <c r="AG420" s="1127">
        <v>1</v>
      </c>
      <c r="AH420" s="1127">
        <v>0</v>
      </c>
      <c r="AI420" s="1127">
        <v>0</v>
      </c>
      <c r="AJ420" s="1127">
        <v>1</v>
      </c>
      <c r="AK420" s="1129">
        <v>5237.7479047619054</v>
      </c>
      <c r="AL420" s="1129">
        <v>0</v>
      </c>
      <c r="AM420" s="1129">
        <v>0</v>
      </c>
      <c r="AN420" s="1129">
        <v>5237.7479047619054</v>
      </c>
      <c r="AO420" s="1129" t="s">
        <v>85</v>
      </c>
      <c r="AP420" s="1129" t="s">
        <v>96</v>
      </c>
      <c r="AQ420" s="1157" t="s">
        <v>107</v>
      </c>
      <c r="AR420" s="1129" t="s">
        <v>87</v>
      </c>
      <c r="AS420" s="1127">
        <v>0.33333333333333331</v>
      </c>
      <c r="AT420" s="1127"/>
      <c r="AU420" s="1127">
        <v>0.33333333333333331</v>
      </c>
      <c r="AV420" s="1127"/>
      <c r="AW420" s="1127"/>
      <c r="AX420" s="1127"/>
      <c r="AY420" s="1127"/>
      <c r="AZ420" s="1127">
        <v>0.33333333333333331</v>
      </c>
      <c r="BA420" s="1129">
        <v>1745.9159682539685</v>
      </c>
      <c r="BB420" s="1129">
        <v>0</v>
      </c>
      <c r="BC420" s="1129">
        <v>1745.9159682539685</v>
      </c>
      <c r="BD420" s="1129">
        <v>0</v>
      </c>
      <c r="BE420" s="1129">
        <v>0</v>
      </c>
      <c r="BF420" s="1129">
        <v>0</v>
      </c>
      <c r="BG420" s="1129">
        <v>0</v>
      </c>
      <c r="BH420" s="1129">
        <v>1745.9159682539685</v>
      </c>
      <c r="BI420" s="971"/>
      <c r="BJ420" s="971"/>
      <c r="BK420" s="971"/>
      <c r="BL420" s="1246"/>
      <c r="BM420" s="1247" t="s">
        <v>2129</v>
      </c>
    </row>
    <row r="421" spans="1:65" s="1247" customFormat="1" ht="49.5" customHeight="1">
      <c r="A421" s="1272">
        <v>4000</v>
      </c>
      <c r="B421" s="971" t="s">
        <v>1316</v>
      </c>
      <c r="C421" s="1272">
        <v>4100</v>
      </c>
      <c r="D421" s="971" t="s">
        <v>120</v>
      </c>
      <c r="E421" s="971" t="s">
        <v>1389</v>
      </c>
      <c r="F421" s="971" t="s">
        <v>176</v>
      </c>
      <c r="G421" s="971">
        <v>4142</v>
      </c>
      <c r="H421" s="971" t="s">
        <v>3491</v>
      </c>
      <c r="I421" s="1273"/>
      <c r="J421" s="971" t="s">
        <v>2146</v>
      </c>
      <c r="K421" s="971" t="s">
        <v>2125</v>
      </c>
      <c r="L421" s="971" t="s">
        <v>2126</v>
      </c>
      <c r="M421" s="971" t="s">
        <v>2125</v>
      </c>
      <c r="N421" s="971" t="s">
        <v>176</v>
      </c>
      <c r="O421" s="971" t="s">
        <v>2126</v>
      </c>
      <c r="P421" s="971" t="s">
        <v>7172</v>
      </c>
      <c r="Q421" s="971" t="s">
        <v>7193</v>
      </c>
      <c r="R421" s="971"/>
      <c r="S421" s="1274">
        <v>2</v>
      </c>
      <c r="T421" s="971" t="s">
        <v>242</v>
      </c>
      <c r="U421" s="1275">
        <v>13</v>
      </c>
      <c r="V421" s="1275">
        <v>120</v>
      </c>
      <c r="W421" s="1275">
        <v>1298.8739523809525</v>
      </c>
      <c r="X421" s="1275">
        <v>1200</v>
      </c>
      <c r="Y421" s="1275">
        <v>2618.8739523809527</v>
      </c>
      <c r="Z421" s="1129">
        <v>26</v>
      </c>
      <c r="AA421" s="1129">
        <v>240</v>
      </c>
      <c r="AB421" s="1129">
        <v>2597.7479047619049</v>
      </c>
      <c r="AC421" s="1129">
        <v>2400</v>
      </c>
      <c r="AD421" s="1098">
        <v>5237.7479047619054</v>
      </c>
      <c r="AE421" s="1237">
        <v>96</v>
      </c>
      <c r="AF421" s="1133">
        <v>192</v>
      </c>
      <c r="AG421" s="1127">
        <v>1</v>
      </c>
      <c r="AH421" s="1127">
        <v>0</v>
      </c>
      <c r="AI421" s="1127">
        <v>0</v>
      </c>
      <c r="AJ421" s="1127">
        <v>1</v>
      </c>
      <c r="AK421" s="1129">
        <v>5237.7479047619054</v>
      </c>
      <c r="AL421" s="1129">
        <v>0</v>
      </c>
      <c r="AM421" s="1129">
        <v>0</v>
      </c>
      <c r="AN421" s="1129">
        <v>5237.7479047619054</v>
      </c>
      <c r="AO421" s="1129" t="s">
        <v>85</v>
      </c>
      <c r="AP421" s="1129" t="s">
        <v>96</v>
      </c>
      <c r="AQ421" s="1157" t="s">
        <v>107</v>
      </c>
      <c r="AR421" s="1129" t="s">
        <v>87</v>
      </c>
      <c r="AS421" s="1127">
        <v>0.33333333333333331</v>
      </c>
      <c r="AT421" s="1127"/>
      <c r="AU421" s="1127">
        <v>0.33333333333333331</v>
      </c>
      <c r="AV421" s="1127"/>
      <c r="AW421" s="1127"/>
      <c r="AX421" s="1127"/>
      <c r="AY421" s="1127"/>
      <c r="AZ421" s="1127">
        <v>0.33333333333333331</v>
      </c>
      <c r="BA421" s="1129">
        <v>1745.9159682539685</v>
      </c>
      <c r="BB421" s="1129">
        <v>0</v>
      </c>
      <c r="BC421" s="1129">
        <v>1745.9159682539685</v>
      </c>
      <c r="BD421" s="1129">
        <v>0</v>
      </c>
      <c r="BE421" s="1129">
        <v>0</v>
      </c>
      <c r="BF421" s="1129">
        <v>0</v>
      </c>
      <c r="BG421" s="1129">
        <v>0</v>
      </c>
      <c r="BH421" s="1129">
        <v>1745.9159682539685</v>
      </c>
      <c r="BI421" s="971"/>
      <c r="BJ421" s="971"/>
      <c r="BK421" s="971"/>
      <c r="BL421" s="1246"/>
      <c r="BM421" s="1247" t="s">
        <v>2129</v>
      </c>
    </row>
    <row r="422" spans="1:65" s="1247" customFormat="1" ht="49.5" customHeight="1">
      <c r="A422" s="1272">
        <v>4000</v>
      </c>
      <c r="B422" s="971" t="s">
        <v>1316</v>
      </c>
      <c r="C422" s="1272">
        <v>4100</v>
      </c>
      <c r="D422" s="971" t="s">
        <v>120</v>
      </c>
      <c r="E422" s="971" t="s">
        <v>1389</v>
      </c>
      <c r="F422" s="971" t="s">
        <v>176</v>
      </c>
      <c r="G422" s="971">
        <v>4142</v>
      </c>
      <c r="H422" s="971" t="s">
        <v>3491</v>
      </c>
      <c r="I422" s="1273"/>
      <c r="J422" s="971" t="s">
        <v>2146</v>
      </c>
      <c r="K422" s="971" t="s">
        <v>2125</v>
      </c>
      <c r="L422" s="971" t="s">
        <v>2126</v>
      </c>
      <c r="M422" s="971" t="s">
        <v>2125</v>
      </c>
      <c r="N422" s="971" t="s">
        <v>176</v>
      </c>
      <c r="O422" s="971" t="s">
        <v>2126</v>
      </c>
      <c r="P422" s="971" t="s">
        <v>6797</v>
      </c>
      <c r="Q422" s="971" t="s">
        <v>7194</v>
      </c>
      <c r="R422" s="971"/>
      <c r="S422" s="1274">
        <v>17</v>
      </c>
      <c r="T422" s="971" t="s">
        <v>242</v>
      </c>
      <c r="U422" s="1275">
        <v>13</v>
      </c>
      <c r="V422" s="1275">
        <v>120</v>
      </c>
      <c r="W422" s="1275">
        <v>1298.8739523809525</v>
      </c>
      <c r="X422" s="1275">
        <v>1200</v>
      </c>
      <c r="Y422" s="1275">
        <v>2618.8739523809527</v>
      </c>
      <c r="Z422" s="1129">
        <v>221</v>
      </c>
      <c r="AA422" s="1129">
        <v>2040</v>
      </c>
      <c r="AB422" s="1129">
        <v>22080.857190476192</v>
      </c>
      <c r="AC422" s="1129">
        <v>20400</v>
      </c>
      <c r="AD422" s="1098">
        <v>44520.857190476192</v>
      </c>
      <c r="AE422" s="1237">
        <v>96</v>
      </c>
      <c r="AF422" s="1133">
        <v>1632</v>
      </c>
      <c r="AG422" s="1127">
        <v>1</v>
      </c>
      <c r="AH422" s="1127">
        <v>0</v>
      </c>
      <c r="AI422" s="1127">
        <v>0</v>
      </c>
      <c r="AJ422" s="1127">
        <v>1</v>
      </c>
      <c r="AK422" s="1129">
        <v>44520.857190476192</v>
      </c>
      <c r="AL422" s="1129">
        <v>0</v>
      </c>
      <c r="AM422" s="1129">
        <v>0</v>
      </c>
      <c r="AN422" s="1129">
        <v>44520.857190476192</v>
      </c>
      <c r="AO422" s="1129" t="s">
        <v>85</v>
      </c>
      <c r="AP422" s="1129" t="s">
        <v>96</v>
      </c>
      <c r="AQ422" s="1157" t="s">
        <v>107</v>
      </c>
      <c r="AR422" s="1129" t="s">
        <v>87</v>
      </c>
      <c r="AS422" s="1127">
        <v>0.33333333333333331</v>
      </c>
      <c r="AT422" s="1127"/>
      <c r="AU422" s="1127">
        <v>0.33333333333333331</v>
      </c>
      <c r="AV422" s="1127"/>
      <c r="AW422" s="1127"/>
      <c r="AX422" s="1127"/>
      <c r="AY422" s="1127"/>
      <c r="AZ422" s="1127">
        <v>0.33333333333333331</v>
      </c>
      <c r="BA422" s="1129">
        <v>14840.28573015873</v>
      </c>
      <c r="BB422" s="1129">
        <v>0</v>
      </c>
      <c r="BC422" s="1129">
        <v>14840.28573015873</v>
      </c>
      <c r="BD422" s="1129">
        <v>0</v>
      </c>
      <c r="BE422" s="1129">
        <v>0</v>
      </c>
      <c r="BF422" s="1129">
        <v>0</v>
      </c>
      <c r="BG422" s="1129">
        <v>0</v>
      </c>
      <c r="BH422" s="1129">
        <v>14840.28573015873</v>
      </c>
      <c r="BI422" s="971"/>
      <c r="BJ422" s="971"/>
      <c r="BK422" s="971"/>
      <c r="BL422" s="1246"/>
      <c r="BM422" s="1247" t="s">
        <v>2129</v>
      </c>
    </row>
    <row r="423" spans="1:65" s="1247" customFormat="1" ht="49.5" customHeight="1">
      <c r="A423" s="1272">
        <v>4000</v>
      </c>
      <c r="B423" s="971" t="s">
        <v>1316</v>
      </c>
      <c r="C423" s="1272">
        <v>4100</v>
      </c>
      <c r="D423" s="971" t="s">
        <v>120</v>
      </c>
      <c r="E423" s="971" t="s">
        <v>1389</v>
      </c>
      <c r="F423" s="971" t="s">
        <v>176</v>
      </c>
      <c r="G423" s="971">
        <v>4142</v>
      </c>
      <c r="H423" s="971" t="s">
        <v>3491</v>
      </c>
      <c r="I423" s="1273"/>
      <c r="J423" s="971" t="s">
        <v>2146</v>
      </c>
      <c r="K423" s="971" t="s">
        <v>2125</v>
      </c>
      <c r="L423" s="971" t="s">
        <v>2126</v>
      </c>
      <c r="M423" s="971" t="s">
        <v>2125</v>
      </c>
      <c r="N423" s="971" t="s">
        <v>176</v>
      </c>
      <c r="O423" s="971" t="s">
        <v>2126</v>
      </c>
      <c r="P423" s="971" t="s">
        <v>6797</v>
      </c>
      <c r="Q423" s="971" t="s">
        <v>7195</v>
      </c>
      <c r="R423" s="971"/>
      <c r="S423" s="1274">
        <v>19</v>
      </c>
      <c r="T423" s="971" t="s">
        <v>242</v>
      </c>
      <c r="U423" s="1275">
        <v>13</v>
      </c>
      <c r="V423" s="1275">
        <v>120</v>
      </c>
      <c r="W423" s="1275">
        <v>1298.8739523809525</v>
      </c>
      <c r="X423" s="1275">
        <v>1200</v>
      </c>
      <c r="Y423" s="1275">
        <v>2618.8739523809527</v>
      </c>
      <c r="Z423" s="1129">
        <v>247</v>
      </c>
      <c r="AA423" s="1129">
        <v>2280</v>
      </c>
      <c r="AB423" s="1129">
        <v>24678.605095238097</v>
      </c>
      <c r="AC423" s="1129">
        <v>22800</v>
      </c>
      <c r="AD423" s="1098">
        <v>49758.605095238105</v>
      </c>
      <c r="AE423" s="1237">
        <v>96</v>
      </c>
      <c r="AF423" s="1133">
        <v>1824</v>
      </c>
      <c r="AG423" s="1127">
        <v>1</v>
      </c>
      <c r="AH423" s="1127">
        <v>0</v>
      </c>
      <c r="AI423" s="1127">
        <v>0</v>
      </c>
      <c r="AJ423" s="1127">
        <v>1</v>
      </c>
      <c r="AK423" s="1129">
        <v>49758.605095238105</v>
      </c>
      <c r="AL423" s="1129">
        <v>0</v>
      </c>
      <c r="AM423" s="1129">
        <v>0</v>
      </c>
      <c r="AN423" s="1129">
        <v>49758.605095238105</v>
      </c>
      <c r="AO423" s="1129" t="s">
        <v>85</v>
      </c>
      <c r="AP423" s="1129" t="s">
        <v>96</v>
      </c>
      <c r="AQ423" s="1157" t="s">
        <v>107</v>
      </c>
      <c r="AR423" s="1129" t="s">
        <v>87</v>
      </c>
      <c r="AS423" s="1127">
        <v>0.33333333333333331</v>
      </c>
      <c r="AT423" s="1127"/>
      <c r="AU423" s="1127">
        <v>0.33333333333333331</v>
      </c>
      <c r="AV423" s="1127"/>
      <c r="AW423" s="1127"/>
      <c r="AX423" s="1127"/>
      <c r="AY423" s="1127"/>
      <c r="AZ423" s="1127">
        <v>0.33333333333333331</v>
      </c>
      <c r="BA423" s="1129">
        <v>16586.2016984127</v>
      </c>
      <c r="BB423" s="1129">
        <v>0</v>
      </c>
      <c r="BC423" s="1129">
        <v>16586.2016984127</v>
      </c>
      <c r="BD423" s="1129">
        <v>0</v>
      </c>
      <c r="BE423" s="1129">
        <v>0</v>
      </c>
      <c r="BF423" s="1129">
        <v>0</v>
      </c>
      <c r="BG423" s="1129">
        <v>0</v>
      </c>
      <c r="BH423" s="1129">
        <v>16586.2016984127</v>
      </c>
      <c r="BI423" s="971"/>
      <c r="BJ423" s="971"/>
      <c r="BK423" s="971"/>
      <c r="BL423" s="1246"/>
      <c r="BM423" s="1247" t="s">
        <v>2129</v>
      </c>
    </row>
    <row r="424" spans="1:65" s="1247" customFormat="1" ht="49.5" customHeight="1">
      <c r="A424" s="1272">
        <v>4000</v>
      </c>
      <c r="B424" s="971" t="s">
        <v>1316</v>
      </c>
      <c r="C424" s="1272">
        <v>4100</v>
      </c>
      <c r="D424" s="971" t="s">
        <v>120</v>
      </c>
      <c r="E424" s="971" t="s">
        <v>1389</v>
      </c>
      <c r="F424" s="971" t="s">
        <v>176</v>
      </c>
      <c r="G424" s="971">
        <v>4142</v>
      </c>
      <c r="H424" s="971" t="s">
        <v>3495</v>
      </c>
      <c r="I424" s="1273"/>
      <c r="J424" s="971" t="s">
        <v>2146</v>
      </c>
      <c r="K424" s="971" t="s">
        <v>2125</v>
      </c>
      <c r="L424" s="971" t="s">
        <v>2126</v>
      </c>
      <c r="M424" s="971" t="s">
        <v>2125</v>
      </c>
      <c r="N424" s="971" t="s">
        <v>176</v>
      </c>
      <c r="O424" s="971" t="s">
        <v>2126</v>
      </c>
      <c r="P424" s="971" t="s">
        <v>2292</v>
      </c>
      <c r="Q424" s="971" t="s">
        <v>7196</v>
      </c>
      <c r="R424" s="971"/>
      <c r="S424" s="1274">
        <v>15</v>
      </c>
      <c r="T424" s="971" t="s">
        <v>242</v>
      </c>
      <c r="U424" s="1275">
        <v>13</v>
      </c>
      <c r="V424" s="1275">
        <v>120</v>
      </c>
      <c r="W424" s="1275">
        <v>1298.8739523809525</v>
      </c>
      <c r="X424" s="1275">
        <v>1200</v>
      </c>
      <c r="Y424" s="1275">
        <v>2618.8739523809527</v>
      </c>
      <c r="Z424" s="1129">
        <v>195</v>
      </c>
      <c r="AA424" s="1129">
        <v>1800</v>
      </c>
      <c r="AB424" s="1129">
        <v>19483.109285714287</v>
      </c>
      <c r="AC424" s="1129">
        <v>18000</v>
      </c>
      <c r="AD424" s="1098">
        <v>39283.109285714294</v>
      </c>
      <c r="AE424" s="1237">
        <v>96</v>
      </c>
      <c r="AF424" s="1133">
        <v>1440</v>
      </c>
      <c r="AG424" s="1127">
        <v>1</v>
      </c>
      <c r="AH424" s="1127">
        <v>0</v>
      </c>
      <c r="AI424" s="1127">
        <v>0</v>
      </c>
      <c r="AJ424" s="1127">
        <v>1</v>
      </c>
      <c r="AK424" s="1129">
        <v>39283.109285714294</v>
      </c>
      <c r="AL424" s="1129">
        <v>0</v>
      </c>
      <c r="AM424" s="1129">
        <v>0</v>
      </c>
      <c r="AN424" s="1129">
        <v>39283.109285714294</v>
      </c>
      <c r="AO424" s="1129" t="s">
        <v>85</v>
      </c>
      <c r="AP424" s="1129" t="s">
        <v>96</v>
      </c>
      <c r="AQ424" s="1157" t="s">
        <v>107</v>
      </c>
      <c r="AR424" s="1129" t="s">
        <v>87</v>
      </c>
      <c r="AS424" s="1127">
        <v>0.33333333333333331</v>
      </c>
      <c r="AT424" s="1127"/>
      <c r="AU424" s="1127">
        <v>0.33333333333333331</v>
      </c>
      <c r="AV424" s="1127"/>
      <c r="AW424" s="1127"/>
      <c r="AX424" s="1127"/>
      <c r="AY424" s="1127"/>
      <c r="AZ424" s="1127">
        <v>0.33333333333333331</v>
      </c>
      <c r="BA424" s="1129">
        <v>13094.369761904763</v>
      </c>
      <c r="BB424" s="1129">
        <v>0</v>
      </c>
      <c r="BC424" s="1129">
        <v>13094.369761904763</v>
      </c>
      <c r="BD424" s="1129">
        <v>0</v>
      </c>
      <c r="BE424" s="1129">
        <v>0</v>
      </c>
      <c r="BF424" s="1129">
        <v>0</v>
      </c>
      <c r="BG424" s="1129">
        <v>0</v>
      </c>
      <c r="BH424" s="1129">
        <v>13094.369761904763</v>
      </c>
      <c r="BI424" s="971"/>
      <c r="BJ424" s="971"/>
      <c r="BK424" s="971"/>
      <c r="BL424" s="1246"/>
      <c r="BM424" s="1247" t="s">
        <v>2129</v>
      </c>
    </row>
    <row r="425" spans="1:65" s="1247" customFormat="1" ht="49.5" customHeight="1">
      <c r="A425" s="1272">
        <v>4000</v>
      </c>
      <c r="B425" s="971" t="s">
        <v>1316</v>
      </c>
      <c r="C425" s="1272">
        <v>4100</v>
      </c>
      <c r="D425" s="971" t="s">
        <v>120</v>
      </c>
      <c r="E425" s="971" t="s">
        <v>1389</v>
      </c>
      <c r="F425" s="971" t="s">
        <v>176</v>
      </c>
      <c r="G425" s="971">
        <v>4143</v>
      </c>
      <c r="H425" s="971" t="s">
        <v>3494</v>
      </c>
      <c r="I425" s="1273"/>
      <c r="J425" s="971" t="s">
        <v>2146</v>
      </c>
      <c r="K425" s="971" t="s">
        <v>2129</v>
      </c>
      <c r="L425" s="971" t="s">
        <v>2130</v>
      </c>
      <c r="M425" s="971" t="s">
        <v>2129</v>
      </c>
      <c r="N425" s="971" t="s">
        <v>176</v>
      </c>
      <c r="O425" s="971" t="s">
        <v>2130</v>
      </c>
      <c r="P425" s="971" t="s">
        <v>6619</v>
      </c>
      <c r="Q425" s="971" t="s">
        <v>7197</v>
      </c>
      <c r="R425" s="971"/>
      <c r="S425" s="1274">
        <v>2</v>
      </c>
      <c r="T425" s="971" t="s">
        <v>242</v>
      </c>
      <c r="U425" s="1275">
        <v>6.666666666666667</v>
      </c>
      <c r="V425" s="1275">
        <v>25</v>
      </c>
      <c r="W425" s="1275">
        <v>666.08920634920639</v>
      </c>
      <c r="X425" s="1275">
        <v>250</v>
      </c>
      <c r="Y425" s="1275">
        <v>941.08920634920639</v>
      </c>
      <c r="Z425" s="1129">
        <v>13.333333333333334</v>
      </c>
      <c r="AA425" s="1129">
        <v>50</v>
      </c>
      <c r="AB425" s="1129">
        <v>1332.1784126984128</v>
      </c>
      <c r="AC425" s="1129">
        <v>500</v>
      </c>
      <c r="AD425" s="1098">
        <v>1882.1784126984128</v>
      </c>
      <c r="AE425" s="1135">
        <v>4</v>
      </c>
      <c r="AF425" s="1129">
        <v>8</v>
      </c>
      <c r="AG425" s="1127">
        <v>1</v>
      </c>
      <c r="AH425" s="1127">
        <v>0</v>
      </c>
      <c r="AI425" s="1127">
        <v>0</v>
      </c>
      <c r="AJ425" s="1127">
        <v>1</v>
      </c>
      <c r="AK425" s="1129">
        <v>1882.1784126984128</v>
      </c>
      <c r="AL425" s="1129">
        <v>0</v>
      </c>
      <c r="AM425" s="1129">
        <v>0</v>
      </c>
      <c r="AN425" s="1129">
        <v>1882.1784126984128</v>
      </c>
      <c r="AO425" s="1129" t="s">
        <v>85</v>
      </c>
      <c r="AP425" s="1129" t="s">
        <v>96</v>
      </c>
      <c r="AQ425" s="1157" t="s">
        <v>107</v>
      </c>
      <c r="AR425" s="1129" t="s">
        <v>87</v>
      </c>
      <c r="AS425" s="1127">
        <v>0.33333333333333331</v>
      </c>
      <c r="AT425" s="1127"/>
      <c r="AU425" s="1127">
        <v>0.33333333333333331</v>
      </c>
      <c r="AV425" s="1127"/>
      <c r="AW425" s="1127"/>
      <c r="AX425" s="1127"/>
      <c r="AY425" s="1127"/>
      <c r="AZ425" s="1127">
        <v>0.33333333333333331</v>
      </c>
      <c r="BA425" s="1129">
        <v>627.39280423280422</v>
      </c>
      <c r="BB425" s="1129">
        <v>0</v>
      </c>
      <c r="BC425" s="1129">
        <v>627.39280423280422</v>
      </c>
      <c r="BD425" s="1129">
        <v>0</v>
      </c>
      <c r="BE425" s="1129">
        <v>0</v>
      </c>
      <c r="BF425" s="1129">
        <v>0</v>
      </c>
      <c r="BG425" s="1129">
        <v>0</v>
      </c>
      <c r="BH425" s="1129">
        <v>627.39280423280422</v>
      </c>
      <c r="BI425" s="971"/>
      <c r="BJ425" s="971"/>
      <c r="BK425" s="971"/>
      <c r="BL425" s="1246"/>
      <c r="BM425" s="1247" t="s">
        <v>2129</v>
      </c>
    </row>
    <row r="426" spans="1:65" s="1247" customFormat="1" ht="49.5" customHeight="1">
      <c r="A426" s="1272">
        <v>4000</v>
      </c>
      <c r="B426" s="971" t="s">
        <v>1316</v>
      </c>
      <c r="C426" s="1272">
        <v>4100</v>
      </c>
      <c r="D426" s="971" t="s">
        <v>120</v>
      </c>
      <c r="E426" s="971" t="s">
        <v>1389</v>
      </c>
      <c r="F426" s="971" t="s">
        <v>176</v>
      </c>
      <c r="G426" s="971">
        <v>4143</v>
      </c>
      <c r="H426" s="971" t="s">
        <v>3494</v>
      </c>
      <c r="I426" s="1273"/>
      <c r="J426" s="971" t="s">
        <v>2146</v>
      </c>
      <c r="K426" s="971" t="s">
        <v>2127</v>
      </c>
      <c r="L426" s="971" t="s">
        <v>2177</v>
      </c>
      <c r="M426" s="971" t="s">
        <v>2127</v>
      </c>
      <c r="N426" s="971" t="s">
        <v>176</v>
      </c>
      <c r="O426" s="971" t="s">
        <v>2177</v>
      </c>
      <c r="P426" s="971" t="s">
        <v>6674</v>
      </c>
      <c r="Q426" s="971" t="s">
        <v>7174</v>
      </c>
      <c r="R426" s="971"/>
      <c r="S426" s="1274">
        <v>1</v>
      </c>
      <c r="T426" s="971" t="s">
        <v>242</v>
      </c>
      <c r="U426" s="1275">
        <v>10</v>
      </c>
      <c r="V426" s="1275">
        <v>45</v>
      </c>
      <c r="W426" s="1275">
        <v>999.13380952380965</v>
      </c>
      <c r="X426" s="1275">
        <v>450</v>
      </c>
      <c r="Y426" s="1275">
        <v>1494.1338095238098</v>
      </c>
      <c r="Z426" s="1129">
        <v>10</v>
      </c>
      <c r="AA426" s="1129">
        <v>45</v>
      </c>
      <c r="AB426" s="1129">
        <v>999.13380952380965</v>
      </c>
      <c r="AC426" s="1129">
        <v>450</v>
      </c>
      <c r="AD426" s="1098">
        <v>1494.1338095238098</v>
      </c>
      <c r="AE426" s="1135">
        <v>24</v>
      </c>
      <c r="AF426" s="1129">
        <v>24</v>
      </c>
      <c r="AG426" s="1127">
        <v>1</v>
      </c>
      <c r="AH426" s="1127">
        <v>0</v>
      </c>
      <c r="AI426" s="1127">
        <v>0</v>
      </c>
      <c r="AJ426" s="1127">
        <v>1</v>
      </c>
      <c r="AK426" s="1129">
        <v>1494.1338095238098</v>
      </c>
      <c r="AL426" s="1129">
        <v>0</v>
      </c>
      <c r="AM426" s="1129">
        <v>0</v>
      </c>
      <c r="AN426" s="1129">
        <v>1494.1338095238098</v>
      </c>
      <c r="AO426" s="1129" t="s">
        <v>85</v>
      </c>
      <c r="AP426" s="1129" t="s">
        <v>96</v>
      </c>
      <c r="AQ426" s="1157" t="s">
        <v>107</v>
      </c>
      <c r="AR426" s="1129" t="s">
        <v>87</v>
      </c>
      <c r="AS426" s="1127">
        <v>0.33333333333333331</v>
      </c>
      <c r="AT426" s="1127"/>
      <c r="AU426" s="1127">
        <v>0.33333333333333331</v>
      </c>
      <c r="AV426" s="1127"/>
      <c r="AW426" s="1127"/>
      <c r="AX426" s="1127"/>
      <c r="AY426" s="1127"/>
      <c r="AZ426" s="1127">
        <v>0.33333333333333331</v>
      </c>
      <c r="BA426" s="1129">
        <v>498.04460317460325</v>
      </c>
      <c r="BB426" s="1129">
        <v>0</v>
      </c>
      <c r="BC426" s="1129">
        <v>498.04460317460325</v>
      </c>
      <c r="BD426" s="1129">
        <v>0</v>
      </c>
      <c r="BE426" s="1129">
        <v>0</v>
      </c>
      <c r="BF426" s="1129">
        <v>0</v>
      </c>
      <c r="BG426" s="1129">
        <v>0</v>
      </c>
      <c r="BH426" s="1129">
        <v>498.04460317460325</v>
      </c>
      <c r="BI426" s="971"/>
      <c r="BJ426" s="971"/>
      <c r="BK426" s="971"/>
      <c r="BL426" s="1246"/>
      <c r="BM426" s="1247" t="s">
        <v>2129</v>
      </c>
    </row>
    <row r="427" spans="1:65" s="1247" customFormat="1" ht="49.5" customHeight="1">
      <c r="A427" s="1272">
        <v>4000</v>
      </c>
      <c r="B427" s="971" t="s">
        <v>1316</v>
      </c>
      <c r="C427" s="1272">
        <v>4100</v>
      </c>
      <c r="D427" s="971" t="s">
        <v>120</v>
      </c>
      <c r="E427" s="971" t="s">
        <v>1389</v>
      </c>
      <c r="F427" s="971" t="s">
        <v>176</v>
      </c>
      <c r="G427" s="971">
        <v>4143</v>
      </c>
      <c r="H427" s="971" t="s">
        <v>3494</v>
      </c>
      <c r="I427" s="1273"/>
      <c r="J427" s="971" t="s">
        <v>2146</v>
      </c>
      <c r="K427" s="971" t="s">
        <v>2129</v>
      </c>
      <c r="L427" s="971" t="s">
        <v>2130</v>
      </c>
      <c r="M427" s="971" t="s">
        <v>2129</v>
      </c>
      <c r="N427" s="971" t="s">
        <v>176</v>
      </c>
      <c r="O427" s="971" t="s">
        <v>2130</v>
      </c>
      <c r="P427" s="971" t="s">
        <v>6632</v>
      </c>
      <c r="Q427" s="971" t="s">
        <v>7198</v>
      </c>
      <c r="R427" s="971"/>
      <c r="S427" s="1274">
        <v>5</v>
      </c>
      <c r="T427" s="971" t="s">
        <v>242</v>
      </c>
      <c r="U427" s="1275">
        <v>6.666666666666667</v>
      </c>
      <c r="V427" s="1275">
        <v>25</v>
      </c>
      <c r="W427" s="1275">
        <v>666.08920634920639</v>
      </c>
      <c r="X427" s="1275">
        <v>250</v>
      </c>
      <c r="Y427" s="1275">
        <v>941.08920634920639</v>
      </c>
      <c r="Z427" s="1129">
        <v>33.333333333333336</v>
      </c>
      <c r="AA427" s="1129">
        <v>125</v>
      </c>
      <c r="AB427" s="1129">
        <v>3330.4460317460321</v>
      </c>
      <c r="AC427" s="1129">
        <v>1250</v>
      </c>
      <c r="AD427" s="1098">
        <v>4705.4460317460316</v>
      </c>
      <c r="AE427" s="1237">
        <v>4</v>
      </c>
      <c r="AF427" s="1133">
        <v>20</v>
      </c>
      <c r="AG427" s="1127">
        <v>1</v>
      </c>
      <c r="AH427" s="1127">
        <v>0</v>
      </c>
      <c r="AI427" s="1127">
        <v>0</v>
      </c>
      <c r="AJ427" s="1127">
        <v>1</v>
      </c>
      <c r="AK427" s="1129">
        <v>4705.4460317460316</v>
      </c>
      <c r="AL427" s="1129">
        <v>0</v>
      </c>
      <c r="AM427" s="1129">
        <v>0</v>
      </c>
      <c r="AN427" s="1129">
        <v>4705.4460317460316</v>
      </c>
      <c r="AO427" s="1129" t="s">
        <v>85</v>
      </c>
      <c r="AP427" s="1129" t="s">
        <v>96</v>
      </c>
      <c r="AQ427" s="1157" t="s">
        <v>107</v>
      </c>
      <c r="AR427" s="1129" t="s">
        <v>87</v>
      </c>
      <c r="AS427" s="1127">
        <v>0.33333333333333331</v>
      </c>
      <c r="AT427" s="1127"/>
      <c r="AU427" s="1127">
        <v>0.33333333333333331</v>
      </c>
      <c r="AV427" s="1127"/>
      <c r="AW427" s="1127"/>
      <c r="AX427" s="1127"/>
      <c r="AY427" s="1127"/>
      <c r="AZ427" s="1127">
        <v>0.33333333333333331</v>
      </c>
      <c r="BA427" s="1129">
        <v>1568.4820105820104</v>
      </c>
      <c r="BB427" s="1129">
        <v>0</v>
      </c>
      <c r="BC427" s="1129">
        <v>1568.4820105820104</v>
      </c>
      <c r="BD427" s="1129">
        <v>0</v>
      </c>
      <c r="BE427" s="1129">
        <v>0</v>
      </c>
      <c r="BF427" s="1129">
        <v>0</v>
      </c>
      <c r="BG427" s="1129">
        <v>0</v>
      </c>
      <c r="BH427" s="1129">
        <v>1568.4820105820104</v>
      </c>
      <c r="BI427" s="971"/>
      <c r="BJ427" s="971"/>
      <c r="BK427" s="971"/>
      <c r="BL427" s="1246"/>
      <c r="BM427" s="1247" t="s">
        <v>2127</v>
      </c>
    </row>
    <row r="428" spans="1:65" s="1247" customFormat="1" ht="49.5" customHeight="1">
      <c r="A428" s="1272">
        <v>4000</v>
      </c>
      <c r="B428" s="971" t="s">
        <v>1316</v>
      </c>
      <c r="C428" s="1272">
        <v>4100</v>
      </c>
      <c r="D428" s="971" t="s">
        <v>120</v>
      </c>
      <c r="E428" s="971" t="s">
        <v>1389</v>
      </c>
      <c r="F428" s="971" t="s">
        <v>176</v>
      </c>
      <c r="G428" s="971">
        <v>4143</v>
      </c>
      <c r="H428" s="971" t="s">
        <v>3494</v>
      </c>
      <c r="I428" s="1273"/>
      <c r="J428" s="971" t="s">
        <v>2146</v>
      </c>
      <c r="K428" s="971" t="s">
        <v>2127</v>
      </c>
      <c r="L428" s="971" t="s">
        <v>2177</v>
      </c>
      <c r="M428" s="971" t="s">
        <v>2127</v>
      </c>
      <c r="N428" s="971" t="s">
        <v>176</v>
      </c>
      <c r="O428" s="971" t="s">
        <v>2177</v>
      </c>
      <c r="P428" s="971" t="s">
        <v>2292</v>
      </c>
      <c r="Q428" s="971" t="s">
        <v>7199</v>
      </c>
      <c r="R428" s="971"/>
      <c r="S428" s="1274">
        <v>1</v>
      </c>
      <c r="T428" s="971" t="s">
        <v>242</v>
      </c>
      <c r="U428" s="1275">
        <v>10</v>
      </c>
      <c r="V428" s="1275">
        <v>45</v>
      </c>
      <c r="W428" s="1275">
        <v>999.13380952380965</v>
      </c>
      <c r="X428" s="1275">
        <v>450</v>
      </c>
      <c r="Y428" s="1275">
        <v>1494.1338095238098</v>
      </c>
      <c r="Z428" s="1129">
        <v>10</v>
      </c>
      <c r="AA428" s="1129">
        <v>45</v>
      </c>
      <c r="AB428" s="1129">
        <v>999.13380952380965</v>
      </c>
      <c r="AC428" s="1129">
        <v>450</v>
      </c>
      <c r="AD428" s="1098">
        <v>1494.1338095238098</v>
      </c>
      <c r="AE428" s="1135">
        <v>24</v>
      </c>
      <c r="AF428" s="1129">
        <v>24</v>
      </c>
      <c r="AG428" s="1127">
        <v>1</v>
      </c>
      <c r="AH428" s="1127">
        <v>0</v>
      </c>
      <c r="AI428" s="1127">
        <v>0</v>
      </c>
      <c r="AJ428" s="1127">
        <v>1</v>
      </c>
      <c r="AK428" s="1129">
        <v>1494.1338095238098</v>
      </c>
      <c r="AL428" s="1129">
        <v>0</v>
      </c>
      <c r="AM428" s="1129">
        <v>0</v>
      </c>
      <c r="AN428" s="1129">
        <v>1494.1338095238098</v>
      </c>
      <c r="AO428" s="1129" t="s">
        <v>85</v>
      </c>
      <c r="AP428" s="1129" t="s">
        <v>96</v>
      </c>
      <c r="AQ428" s="1157" t="s">
        <v>107</v>
      </c>
      <c r="AR428" s="1129" t="s">
        <v>87</v>
      </c>
      <c r="AS428" s="1127">
        <v>0.33333333333333331</v>
      </c>
      <c r="AT428" s="1127"/>
      <c r="AU428" s="1127">
        <v>0.33333333333333331</v>
      </c>
      <c r="AV428" s="1127"/>
      <c r="AW428" s="1127"/>
      <c r="AX428" s="1127"/>
      <c r="AY428" s="1127"/>
      <c r="AZ428" s="1127">
        <v>0.33333333333333331</v>
      </c>
      <c r="BA428" s="1129">
        <v>498.04460317460325</v>
      </c>
      <c r="BB428" s="1129">
        <v>0</v>
      </c>
      <c r="BC428" s="1129">
        <v>498.04460317460325</v>
      </c>
      <c r="BD428" s="1129">
        <v>0</v>
      </c>
      <c r="BE428" s="1129">
        <v>0</v>
      </c>
      <c r="BF428" s="1129">
        <v>0</v>
      </c>
      <c r="BG428" s="1129">
        <v>0</v>
      </c>
      <c r="BH428" s="1129">
        <v>498.04460317460325</v>
      </c>
      <c r="BI428" s="971"/>
      <c r="BJ428" s="971"/>
      <c r="BK428" s="971"/>
      <c r="BL428" s="1246"/>
      <c r="BM428" s="1247" t="s">
        <v>2127</v>
      </c>
    </row>
    <row r="429" spans="1:65" s="1247" customFormat="1" ht="49.5" customHeight="1">
      <c r="A429" s="1272">
        <v>4000</v>
      </c>
      <c r="B429" s="971" t="s">
        <v>1316</v>
      </c>
      <c r="C429" s="1272">
        <v>4100</v>
      </c>
      <c r="D429" s="971" t="s">
        <v>120</v>
      </c>
      <c r="E429" s="971" t="s">
        <v>1389</v>
      </c>
      <c r="F429" s="971" t="s">
        <v>176</v>
      </c>
      <c r="G429" s="971">
        <v>4144</v>
      </c>
      <c r="H429" s="971" t="s">
        <v>3495</v>
      </c>
      <c r="I429" s="1273"/>
      <c r="J429" s="971" t="s">
        <v>2146</v>
      </c>
      <c r="K429" s="971" t="s">
        <v>2127</v>
      </c>
      <c r="L429" s="971" t="s">
        <v>2177</v>
      </c>
      <c r="M429" s="971" t="s">
        <v>2127</v>
      </c>
      <c r="N429" s="971" t="s">
        <v>176</v>
      </c>
      <c r="O429" s="971" t="s">
        <v>2177</v>
      </c>
      <c r="P429" s="971" t="s">
        <v>6708</v>
      </c>
      <c r="Q429" s="971" t="s">
        <v>7200</v>
      </c>
      <c r="R429" s="971"/>
      <c r="S429" s="1274">
        <v>2</v>
      </c>
      <c r="T429" s="971" t="s">
        <v>242</v>
      </c>
      <c r="U429" s="1275">
        <v>10</v>
      </c>
      <c r="V429" s="1275">
        <v>45</v>
      </c>
      <c r="W429" s="1275">
        <v>999.13380952380965</v>
      </c>
      <c r="X429" s="1275">
        <v>450</v>
      </c>
      <c r="Y429" s="1275">
        <v>1494.1338095238098</v>
      </c>
      <c r="Z429" s="1129">
        <v>20</v>
      </c>
      <c r="AA429" s="1129">
        <v>90</v>
      </c>
      <c r="AB429" s="1129">
        <v>1998.2676190476193</v>
      </c>
      <c r="AC429" s="1129">
        <v>900</v>
      </c>
      <c r="AD429" s="1098">
        <v>2988.2676190476195</v>
      </c>
      <c r="AE429" s="1237">
        <v>24</v>
      </c>
      <c r="AF429" s="1133">
        <v>48</v>
      </c>
      <c r="AG429" s="1127">
        <v>1</v>
      </c>
      <c r="AH429" s="1127">
        <v>0</v>
      </c>
      <c r="AI429" s="1127">
        <v>0</v>
      </c>
      <c r="AJ429" s="1127">
        <v>1</v>
      </c>
      <c r="AK429" s="1129">
        <v>2988.2676190476195</v>
      </c>
      <c r="AL429" s="1129">
        <v>0</v>
      </c>
      <c r="AM429" s="1129">
        <v>0</v>
      </c>
      <c r="AN429" s="1129">
        <v>2988.2676190476195</v>
      </c>
      <c r="AO429" s="1129" t="s">
        <v>85</v>
      </c>
      <c r="AP429" s="1129" t="s">
        <v>96</v>
      </c>
      <c r="AQ429" s="1157" t="s">
        <v>107</v>
      </c>
      <c r="AR429" s="1129" t="s">
        <v>87</v>
      </c>
      <c r="AS429" s="1127">
        <v>0.33333333333333331</v>
      </c>
      <c r="AT429" s="1127"/>
      <c r="AU429" s="1127">
        <v>0.33333333333333331</v>
      </c>
      <c r="AV429" s="1127"/>
      <c r="AW429" s="1127"/>
      <c r="AX429" s="1127"/>
      <c r="AY429" s="1127"/>
      <c r="AZ429" s="1127">
        <v>0.33333333333333331</v>
      </c>
      <c r="BA429" s="1129">
        <v>996.08920634920651</v>
      </c>
      <c r="BB429" s="1129">
        <v>0</v>
      </c>
      <c r="BC429" s="1129">
        <v>996.08920634920651</v>
      </c>
      <c r="BD429" s="1129">
        <v>0</v>
      </c>
      <c r="BE429" s="1129">
        <v>0</v>
      </c>
      <c r="BF429" s="1129">
        <v>0</v>
      </c>
      <c r="BG429" s="1129">
        <v>0</v>
      </c>
      <c r="BH429" s="1129">
        <v>996.08920634920651</v>
      </c>
      <c r="BI429" s="971"/>
      <c r="BJ429" s="971"/>
      <c r="BK429" s="971"/>
      <c r="BL429" s="1246"/>
      <c r="BM429" s="1247" t="s">
        <v>2129</v>
      </c>
    </row>
    <row r="430" spans="1:65" s="1247" customFormat="1" ht="49.5" customHeight="1">
      <c r="A430" s="1272">
        <v>4000</v>
      </c>
      <c r="B430" s="971" t="s">
        <v>1316</v>
      </c>
      <c r="C430" s="1272">
        <v>4100</v>
      </c>
      <c r="D430" s="971" t="s">
        <v>120</v>
      </c>
      <c r="E430" s="971" t="s">
        <v>1389</v>
      </c>
      <c r="F430" s="971" t="s">
        <v>176</v>
      </c>
      <c r="G430" s="971">
        <v>4144</v>
      </c>
      <c r="H430" s="971" t="s">
        <v>3495</v>
      </c>
      <c r="I430" s="1273"/>
      <c r="J430" s="971" t="s">
        <v>2146</v>
      </c>
      <c r="K430" s="971" t="s">
        <v>2125</v>
      </c>
      <c r="L430" s="971" t="s">
        <v>2126</v>
      </c>
      <c r="M430" s="971" t="s">
        <v>2125</v>
      </c>
      <c r="N430" s="971" t="s">
        <v>176</v>
      </c>
      <c r="O430" s="971" t="s">
        <v>2126</v>
      </c>
      <c r="P430" s="971" t="s">
        <v>6705</v>
      </c>
      <c r="Q430" s="971" t="s">
        <v>6706</v>
      </c>
      <c r="R430" s="971"/>
      <c r="S430" s="1274">
        <v>1</v>
      </c>
      <c r="T430" s="971" t="s">
        <v>242</v>
      </c>
      <c r="U430" s="1275">
        <v>13</v>
      </c>
      <c r="V430" s="1275">
        <v>120</v>
      </c>
      <c r="W430" s="1275">
        <v>1298.8739523809525</v>
      </c>
      <c r="X430" s="1275">
        <v>1200</v>
      </c>
      <c r="Y430" s="1275">
        <v>2618.8739523809527</v>
      </c>
      <c r="Z430" s="1129">
        <v>13</v>
      </c>
      <c r="AA430" s="1129">
        <v>120</v>
      </c>
      <c r="AB430" s="1129">
        <v>1298.8739523809525</v>
      </c>
      <c r="AC430" s="1129">
        <v>1200</v>
      </c>
      <c r="AD430" s="1098">
        <v>2618.8739523809527</v>
      </c>
      <c r="AE430" s="1237">
        <v>96</v>
      </c>
      <c r="AF430" s="1133">
        <v>96</v>
      </c>
      <c r="AG430" s="1127">
        <v>1</v>
      </c>
      <c r="AH430" s="1127">
        <v>0</v>
      </c>
      <c r="AI430" s="1127">
        <v>0</v>
      </c>
      <c r="AJ430" s="1127">
        <v>1</v>
      </c>
      <c r="AK430" s="1129">
        <v>2618.8739523809527</v>
      </c>
      <c r="AL430" s="1129">
        <v>0</v>
      </c>
      <c r="AM430" s="1129">
        <v>0</v>
      </c>
      <c r="AN430" s="1129">
        <v>2618.8739523809527</v>
      </c>
      <c r="AO430" s="1129" t="s">
        <v>85</v>
      </c>
      <c r="AP430" s="1129" t="s">
        <v>96</v>
      </c>
      <c r="AQ430" s="1157" t="s">
        <v>107</v>
      </c>
      <c r="AR430" s="1129" t="s">
        <v>87</v>
      </c>
      <c r="AS430" s="1127">
        <v>0.33333333333333331</v>
      </c>
      <c r="AT430" s="1127"/>
      <c r="AU430" s="1127">
        <v>0.33333333333333331</v>
      </c>
      <c r="AV430" s="1127"/>
      <c r="AW430" s="1127"/>
      <c r="AX430" s="1127"/>
      <c r="AY430" s="1127"/>
      <c r="AZ430" s="1127">
        <v>0.33333333333333331</v>
      </c>
      <c r="BA430" s="1129">
        <v>872.95798412698423</v>
      </c>
      <c r="BB430" s="1129">
        <v>0</v>
      </c>
      <c r="BC430" s="1129">
        <v>872.95798412698423</v>
      </c>
      <c r="BD430" s="1129">
        <v>0</v>
      </c>
      <c r="BE430" s="1129">
        <v>0</v>
      </c>
      <c r="BF430" s="1129">
        <v>0</v>
      </c>
      <c r="BG430" s="1129">
        <v>0</v>
      </c>
      <c r="BH430" s="1129">
        <v>872.95798412698423</v>
      </c>
      <c r="BI430" s="971"/>
      <c r="BJ430" s="971"/>
      <c r="BK430" s="971"/>
      <c r="BL430" s="1246"/>
      <c r="BM430" s="1247" t="s">
        <v>2129</v>
      </c>
    </row>
    <row r="431" spans="1:65" s="1247" customFormat="1" ht="49.5" customHeight="1">
      <c r="A431" s="1272">
        <v>4000</v>
      </c>
      <c r="B431" s="971" t="s">
        <v>1316</v>
      </c>
      <c r="C431" s="1272">
        <v>4100</v>
      </c>
      <c r="D431" s="971" t="s">
        <v>120</v>
      </c>
      <c r="E431" s="971" t="s">
        <v>1389</v>
      </c>
      <c r="F431" s="971" t="s">
        <v>176</v>
      </c>
      <c r="G431" s="971">
        <v>4144</v>
      </c>
      <c r="H431" s="971" t="s">
        <v>3495</v>
      </c>
      <c r="I431" s="1273"/>
      <c r="J431" s="971" t="s">
        <v>2146</v>
      </c>
      <c r="K431" s="971" t="s">
        <v>2127</v>
      </c>
      <c r="L431" s="971" t="s">
        <v>2177</v>
      </c>
      <c r="M431" s="971" t="s">
        <v>2127</v>
      </c>
      <c r="N431" s="971" t="s">
        <v>176</v>
      </c>
      <c r="O431" s="971" t="s">
        <v>2177</v>
      </c>
      <c r="P431" s="971" t="s">
        <v>6884</v>
      </c>
      <c r="Q431" s="971" t="s">
        <v>7201</v>
      </c>
      <c r="R431" s="971"/>
      <c r="S431" s="1274">
        <v>1</v>
      </c>
      <c r="T431" s="971" t="s">
        <v>242</v>
      </c>
      <c r="U431" s="1275">
        <v>10</v>
      </c>
      <c r="V431" s="1275">
        <v>45</v>
      </c>
      <c r="W431" s="1275">
        <v>999.13380952380965</v>
      </c>
      <c r="X431" s="1275">
        <v>450</v>
      </c>
      <c r="Y431" s="1275">
        <v>1494.1338095238098</v>
      </c>
      <c r="Z431" s="1129">
        <v>10</v>
      </c>
      <c r="AA431" s="1129">
        <v>45</v>
      </c>
      <c r="AB431" s="1129">
        <v>999.13380952380965</v>
      </c>
      <c r="AC431" s="1129">
        <v>450</v>
      </c>
      <c r="AD431" s="1098">
        <v>1494.1338095238098</v>
      </c>
      <c r="AE431" s="1237">
        <v>24</v>
      </c>
      <c r="AF431" s="1133">
        <v>24</v>
      </c>
      <c r="AG431" s="1127">
        <v>1</v>
      </c>
      <c r="AH431" s="1127">
        <v>0</v>
      </c>
      <c r="AI431" s="1127">
        <v>0</v>
      </c>
      <c r="AJ431" s="1127">
        <v>1</v>
      </c>
      <c r="AK431" s="1129">
        <v>1494.1338095238098</v>
      </c>
      <c r="AL431" s="1129">
        <v>0</v>
      </c>
      <c r="AM431" s="1129">
        <v>0</v>
      </c>
      <c r="AN431" s="1129">
        <v>1494.1338095238098</v>
      </c>
      <c r="AO431" s="1129" t="s">
        <v>85</v>
      </c>
      <c r="AP431" s="1129" t="s">
        <v>96</v>
      </c>
      <c r="AQ431" s="1157" t="s">
        <v>107</v>
      </c>
      <c r="AR431" s="1129" t="s">
        <v>87</v>
      </c>
      <c r="AS431" s="1127">
        <v>0.33333333333333331</v>
      </c>
      <c r="AT431" s="1127"/>
      <c r="AU431" s="1127">
        <v>0.33333333333333331</v>
      </c>
      <c r="AV431" s="1127"/>
      <c r="AW431" s="1127"/>
      <c r="AX431" s="1127"/>
      <c r="AY431" s="1127"/>
      <c r="AZ431" s="1127">
        <v>0.33333333333333331</v>
      </c>
      <c r="BA431" s="1129">
        <v>498.04460317460325</v>
      </c>
      <c r="BB431" s="1129">
        <v>0</v>
      </c>
      <c r="BC431" s="1129">
        <v>498.04460317460325</v>
      </c>
      <c r="BD431" s="1129">
        <v>0</v>
      </c>
      <c r="BE431" s="1129">
        <v>0</v>
      </c>
      <c r="BF431" s="1129">
        <v>0</v>
      </c>
      <c r="BG431" s="1129">
        <v>0</v>
      </c>
      <c r="BH431" s="1129">
        <v>498.04460317460325</v>
      </c>
      <c r="BI431" s="971"/>
      <c r="BJ431" s="971"/>
      <c r="BK431" s="971"/>
      <c r="BL431" s="1246"/>
      <c r="BM431" s="1247" t="s">
        <v>2129</v>
      </c>
    </row>
    <row r="432" spans="1:65" s="1247" customFormat="1" ht="49.5" customHeight="1">
      <c r="A432" s="1272">
        <v>4000</v>
      </c>
      <c r="B432" s="971" t="s">
        <v>1316</v>
      </c>
      <c r="C432" s="1272">
        <v>4100</v>
      </c>
      <c r="D432" s="971" t="s">
        <v>120</v>
      </c>
      <c r="E432" s="971" t="s">
        <v>1389</v>
      </c>
      <c r="F432" s="971" t="s">
        <v>176</v>
      </c>
      <c r="G432" s="971">
        <v>4144</v>
      </c>
      <c r="H432" s="971" t="s">
        <v>3495</v>
      </c>
      <c r="I432" s="1273"/>
      <c r="J432" s="971" t="s">
        <v>2146</v>
      </c>
      <c r="K432" s="971" t="s">
        <v>2127</v>
      </c>
      <c r="L432" s="971" t="s">
        <v>2177</v>
      </c>
      <c r="M432" s="971" t="s">
        <v>2127</v>
      </c>
      <c r="N432" s="971" t="s">
        <v>176</v>
      </c>
      <c r="O432" s="971" t="s">
        <v>2177</v>
      </c>
      <c r="P432" s="971" t="s">
        <v>6884</v>
      </c>
      <c r="Q432" s="971" t="s">
        <v>7202</v>
      </c>
      <c r="R432" s="971"/>
      <c r="S432" s="1274">
        <v>1</v>
      </c>
      <c r="T432" s="971" t="s">
        <v>242</v>
      </c>
      <c r="U432" s="1275">
        <v>10</v>
      </c>
      <c r="V432" s="1275">
        <v>45</v>
      </c>
      <c r="W432" s="1275">
        <v>999.13380952380965</v>
      </c>
      <c r="X432" s="1275">
        <v>450</v>
      </c>
      <c r="Y432" s="1275">
        <v>1494.1338095238098</v>
      </c>
      <c r="Z432" s="1129">
        <v>10</v>
      </c>
      <c r="AA432" s="1129">
        <v>45</v>
      </c>
      <c r="AB432" s="1129">
        <v>999.13380952380965</v>
      </c>
      <c r="AC432" s="1129">
        <v>450</v>
      </c>
      <c r="AD432" s="1098">
        <v>1494.1338095238098</v>
      </c>
      <c r="AE432" s="1237">
        <v>24</v>
      </c>
      <c r="AF432" s="1133">
        <v>24</v>
      </c>
      <c r="AG432" s="1127">
        <v>1</v>
      </c>
      <c r="AH432" s="1127">
        <v>0</v>
      </c>
      <c r="AI432" s="1127">
        <v>0</v>
      </c>
      <c r="AJ432" s="1127">
        <v>1</v>
      </c>
      <c r="AK432" s="1129">
        <v>1494.1338095238098</v>
      </c>
      <c r="AL432" s="1129">
        <v>0</v>
      </c>
      <c r="AM432" s="1129">
        <v>0</v>
      </c>
      <c r="AN432" s="1129">
        <v>1494.1338095238098</v>
      </c>
      <c r="AO432" s="1129" t="s">
        <v>85</v>
      </c>
      <c r="AP432" s="1129" t="s">
        <v>96</v>
      </c>
      <c r="AQ432" s="1157" t="s">
        <v>107</v>
      </c>
      <c r="AR432" s="1129" t="s">
        <v>87</v>
      </c>
      <c r="AS432" s="1127">
        <v>0.33333333333333331</v>
      </c>
      <c r="AT432" s="1127"/>
      <c r="AU432" s="1127">
        <v>0.33333333333333331</v>
      </c>
      <c r="AV432" s="1127"/>
      <c r="AW432" s="1127"/>
      <c r="AX432" s="1127"/>
      <c r="AY432" s="1127"/>
      <c r="AZ432" s="1127">
        <v>0.33333333333333331</v>
      </c>
      <c r="BA432" s="1129">
        <v>498.04460317460325</v>
      </c>
      <c r="BB432" s="1129">
        <v>0</v>
      </c>
      <c r="BC432" s="1129">
        <v>498.04460317460325</v>
      </c>
      <c r="BD432" s="1129">
        <v>0</v>
      </c>
      <c r="BE432" s="1129">
        <v>0</v>
      </c>
      <c r="BF432" s="1129">
        <v>0</v>
      </c>
      <c r="BG432" s="1129">
        <v>0</v>
      </c>
      <c r="BH432" s="1129">
        <v>498.04460317460325</v>
      </c>
      <c r="BI432" s="971"/>
      <c r="BJ432" s="971"/>
      <c r="BK432" s="971"/>
      <c r="BL432" s="1246"/>
      <c r="BM432" s="1247" t="s">
        <v>2129</v>
      </c>
    </row>
    <row r="433" spans="1:65" s="1247" customFormat="1" ht="49.5" customHeight="1">
      <c r="A433" s="1272">
        <v>4000</v>
      </c>
      <c r="B433" s="971" t="s">
        <v>1316</v>
      </c>
      <c r="C433" s="1272">
        <v>4100</v>
      </c>
      <c r="D433" s="971" t="s">
        <v>120</v>
      </c>
      <c r="E433" s="971" t="s">
        <v>1389</v>
      </c>
      <c r="F433" s="971" t="s">
        <v>176</v>
      </c>
      <c r="G433" s="971">
        <v>4144</v>
      </c>
      <c r="H433" s="971" t="s">
        <v>3495</v>
      </c>
      <c r="I433" s="1273"/>
      <c r="J433" s="971" t="s">
        <v>2146</v>
      </c>
      <c r="K433" s="971" t="s">
        <v>2127</v>
      </c>
      <c r="L433" s="971" t="s">
        <v>2177</v>
      </c>
      <c r="M433" s="971" t="s">
        <v>2127</v>
      </c>
      <c r="N433" s="971" t="s">
        <v>176</v>
      </c>
      <c r="O433" s="971" t="s">
        <v>2177</v>
      </c>
      <c r="P433" s="971" t="s">
        <v>2376</v>
      </c>
      <c r="Q433" s="971" t="s">
        <v>7203</v>
      </c>
      <c r="R433" s="971"/>
      <c r="S433" s="1274">
        <v>1</v>
      </c>
      <c r="T433" s="971" t="s">
        <v>242</v>
      </c>
      <c r="U433" s="1275">
        <v>10</v>
      </c>
      <c r="V433" s="1275">
        <v>45</v>
      </c>
      <c r="W433" s="1275">
        <v>999.13380952380965</v>
      </c>
      <c r="X433" s="1275">
        <v>450</v>
      </c>
      <c r="Y433" s="1275">
        <v>1494.1338095238098</v>
      </c>
      <c r="Z433" s="1129">
        <v>10</v>
      </c>
      <c r="AA433" s="1129">
        <v>45</v>
      </c>
      <c r="AB433" s="1129">
        <v>999.13380952380965</v>
      </c>
      <c r="AC433" s="1129">
        <v>450</v>
      </c>
      <c r="AD433" s="1098">
        <v>1494.1338095238098</v>
      </c>
      <c r="AE433" s="1237">
        <v>24</v>
      </c>
      <c r="AF433" s="1133">
        <v>24</v>
      </c>
      <c r="AG433" s="1127">
        <v>1</v>
      </c>
      <c r="AH433" s="1127">
        <v>0</v>
      </c>
      <c r="AI433" s="1127">
        <v>0</v>
      </c>
      <c r="AJ433" s="1127">
        <v>1</v>
      </c>
      <c r="AK433" s="1129">
        <v>1494.1338095238098</v>
      </c>
      <c r="AL433" s="1129">
        <v>0</v>
      </c>
      <c r="AM433" s="1129">
        <v>0</v>
      </c>
      <c r="AN433" s="1129">
        <v>1494.1338095238098</v>
      </c>
      <c r="AO433" s="1129" t="s">
        <v>85</v>
      </c>
      <c r="AP433" s="1129" t="s">
        <v>96</v>
      </c>
      <c r="AQ433" s="1157" t="s">
        <v>107</v>
      </c>
      <c r="AR433" s="1129" t="s">
        <v>87</v>
      </c>
      <c r="AS433" s="1127">
        <v>0.33333333333333331</v>
      </c>
      <c r="AT433" s="1127"/>
      <c r="AU433" s="1127">
        <v>0.33333333333333331</v>
      </c>
      <c r="AV433" s="1127"/>
      <c r="AW433" s="1127"/>
      <c r="AX433" s="1127"/>
      <c r="AY433" s="1127"/>
      <c r="AZ433" s="1127">
        <v>0.33333333333333331</v>
      </c>
      <c r="BA433" s="1129">
        <v>498.04460317460325</v>
      </c>
      <c r="BB433" s="1129">
        <v>0</v>
      </c>
      <c r="BC433" s="1129">
        <v>498.04460317460325</v>
      </c>
      <c r="BD433" s="1129">
        <v>0</v>
      </c>
      <c r="BE433" s="1129">
        <v>0</v>
      </c>
      <c r="BF433" s="1129">
        <v>0</v>
      </c>
      <c r="BG433" s="1129">
        <v>0</v>
      </c>
      <c r="BH433" s="1129">
        <v>498.04460317460325</v>
      </c>
      <c r="BI433" s="971"/>
      <c r="BJ433" s="971"/>
      <c r="BK433" s="971"/>
      <c r="BL433" s="1246"/>
      <c r="BM433" s="1247" t="s">
        <v>2129</v>
      </c>
    </row>
    <row r="434" spans="1:65" s="1247" customFormat="1" ht="82.5" customHeight="1">
      <c r="A434" s="1272">
        <v>4000</v>
      </c>
      <c r="B434" s="971" t="s">
        <v>1316</v>
      </c>
      <c r="C434" s="1272">
        <v>4100</v>
      </c>
      <c r="D434" s="971" t="s">
        <v>120</v>
      </c>
      <c r="E434" s="971" t="s">
        <v>1389</v>
      </c>
      <c r="F434" s="971" t="s">
        <v>176</v>
      </c>
      <c r="G434" s="971">
        <v>4144</v>
      </c>
      <c r="H434" s="971" t="s">
        <v>3495</v>
      </c>
      <c r="I434" s="1273"/>
      <c r="J434" s="971" t="s">
        <v>2146</v>
      </c>
      <c r="K434" s="971" t="s">
        <v>2127</v>
      </c>
      <c r="L434" s="971" t="s">
        <v>2177</v>
      </c>
      <c r="M434" s="971" t="s">
        <v>2127</v>
      </c>
      <c r="N434" s="971" t="s">
        <v>176</v>
      </c>
      <c r="O434" s="971" t="s">
        <v>2177</v>
      </c>
      <c r="P434" s="971" t="s">
        <v>7180</v>
      </c>
      <c r="Q434" s="971" t="s">
        <v>7181</v>
      </c>
      <c r="R434" s="971"/>
      <c r="S434" s="1274">
        <v>1</v>
      </c>
      <c r="T434" s="971" t="s">
        <v>242</v>
      </c>
      <c r="U434" s="1275">
        <v>10</v>
      </c>
      <c r="V434" s="1275">
        <v>45</v>
      </c>
      <c r="W434" s="1275">
        <v>999.13380952380965</v>
      </c>
      <c r="X434" s="1275">
        <v>450</v>
      </c>
      <c r="Y434" s="1275">
        <v>1494.1338095238098</v>
      </c>
      <c r="Z434" s="1129">
        <v>10</v>
      </c>
      <c r="AA434" s="1129">
        <v>45</v>
      </c>
      <c r="AB434" s="1129">
        <v>999.13380952380965</v>
      </c>
      <c r="AC434" s="1129">
        <v>450</v>
      </c>
      <c r="AD434" s="1098">
        <v>1494.1338095238098</v>
      </c>
      <c r="AE434" s="1237">
        <v>24</v>
      </c>
      <c r="AF434" s="1133">
        <v>24</v>
      </c>
      <c r="AG434" s="1127">
        <v>1</v>
      </c>
      <c r="AH434" s="1127">
        <v>0</v>
      </c>
      <c r="AI434" s="1127">
        <v>0</v>
      </c>
      <c r="AJ434" s="1127">
        <v>1</v>
      </c>
      <c r="AK434" s="1129">
        <v>1494.1338095238098</v>
      </c>
      <c r="AL434" s="1129">
        <v>0</v>
      </c>
      <c r="AM434" s="1129">
        <v>0</v>
      </c>
      <c r="AN434" s="1129">
        <v>1494.1338095238098</v>
      </c>
      <c r="AO434" s="1129" t="s">
        <v>85</v>
      </c>
      <c r="AP434" s="1129" t="s">
        <v>96</v>
      </c>
      <c r="AQ434" s="1157" t="s">
        <v>107</v>
      </c>
      <c r="AR434" s="1129" t="s">
        <v>87</v>
      </c>
      <c r="AS434" s="1127">
        <v>0.33333333333333331</v>
      </c>
      <c r="AT434" s="1127"/>
      <c r="AU434" s="1127">
        <v>0.33333333333333331</v>
      </c>
      <c r="AV434" s="1127"/>
      <c r="AW434" s="1127"/>
      <c r="AX434" s="1127"/>
      <c r="AY434" s="1127"/>
      <c r="AZ434" s="1127">
        <v>0.33333333333333331</v>
      </c>
      <c r="BA434" s="1129">
        <v>498.04460317460325</v>
      </c>
      <c r="BB434" s="1129">
        <v>0</v>
      </c>
      <c r="BC434" s="1129">
        <v>498.04460317460325</v>
      </c>
      <c r="BD434" s="1129">
        <v>0</v>
      </c>
      <c r="BE434" s="1129">
        <v>0</v>
      </c>
      <c r="BF434" s="1129">
        <v>0</v>
      </c>
      <c r="BG434" s="1129">
        <v>0</v>
      </c>
      <c r="BH434" s="1129">
        <v>498.04460317460325</v>
      </c>
      <c r="BI434" s="971"/>
      <c r="BJ434" s="971"/>
      <c r="BK434" s="971"/>
      <c r="BL434" s="1246"/>
      <c r="BM434" s="1247" t="s">
        <v>2125</v>
      </c>
    </row>
    <row r="435" spans="1:65" s="1247" customFormat="1" ht="49.5" customHeight="1">
      <c r="A435" s="1272">
        <v>4000</v>
      </c>
      <c r="B435" s="971" t="s">
        <v>1316</v>
      </c>
      <c r="C435" s="1272">
        <v>4100</v>
      </c>
      <c r="D435" s="971" t="s">
        <v>120</v>
      </c>
      <c r="E435" s="971" t="s">
        <v>1389</v>
      </c>
      <c r="F435" s="971" t="s">
        <v>176</v>
      </c>
      <c r="G435" s="971">
        <v>4144</v>
      </c>
      <c r="H435" s="971" t="s">
        <v>3495</v>
      </c>
      <c r="I435" s="1273"/>
      <c r="J435" s="971" t="s">
        <v>2146</v>
      </c>
      <c r="K435" s="971" t="s">
        <v>2127</v>
      </c>
      <c r="L435" s="971" t="s">
        <v>2177</v>
      </c>
      <c r="M435" s="971" t="s">
        <v>2127</v>
      </c>
      <c r="N435" s="971" t="s">
        <v>176</v>
      </c>
      <c r="O435" s="971" t="s">
        <v>2177</v>
      </c>
      <c r="P435" s="971" t="s">
        <v>7204</v>
      </c>
      <c r="Q435" s="971" t="s">
        <v>7205</v>
      </c>
      <c r="R435" s="971"/>
      <c r="S435" s="1274">
        <v>1</v>
      </c>
      <c r="T435" s="971" t="s">
        <v>242</v>
      </c>
      <c r="U435" s="1275">
        <v>10</v>
      </c>
      <c r="V435" s="1275">
        <v>45</v>
      </c>
      <c r="W435" s="1275">
        <v>999.13380952380965</v>
      </c>
      <c r="X435" s="1275">
        <v>450</v>
      </c>
      <c r="Y435" s="1275">
        <v>1494.1338095238098</v>
      </c>
      <c r="Z435" s="1129">
        <v>10</v>
      </c>
      <c r="AA435" s="1129">
        <v>45</v>
      </c>
      <c r="AB435" s="1129">
        <v>999.13380952380965</v>
      </c>
      <c r="AC435" s="1129">
        <v>450</v>
      </c>
      <c r="AD435" s="1098">
        <v>1494.1338095238098</v>
      </c>
      <c r="AE435" s="1237">
        <v>24</v>
      </c>
      <c r="AF435" s="1133">
        <v>24</v>
      </c>
      <c r="AG435" s="1127">
        <v>1</v>
      </c>
      <c r="AH435" s="1127">
        <v>0</v>
      </c>
      <c r="AI435" s="1127">
        <v>0</v>
      </c>
      <c r="AJ435" s="1127">
        <v>1</v>
      </c>
      <c r="AK435" s="1129">
        <v>1494.1338095238098</v>
      </c>
      <c r="AL435" s="1129">
        <v>0</v>
      </c>
      <c r="AM435" s="1129">
        <v>0</v>
      </c>
      <c r="AN435" s="1129">
        <v>1494.1338095238098</v>
      </c>
      <c r="AO435" s="1129" t="s">
        <v>85</v>
      </c>
      <c r="AP435" s="1129" t="s">
        <v>96</v>
      </c>
      <c r="AQ435" s="1157" t="s">
        <v>107</v>
      </c>
      <c r="AR435" s="1129" t="s">
        <v>87</v>
      </c>
      <c r="AS435" s="1127">
        <v>0.33333333333333331</v>
      </c>
      <c r="AT435" s="1127"/>
      <c r="AU435" s="1127">
        <v>0.33333333333333331</v>
      </c>
      <c r="AV435" s="1127"/>
      <c r="AW435" s="1127"/>
      <c r="AX435" s="1127"/>
      <c r="AY435" s="1127"/>
      <c r="AZ435" s="1127">
        <v>0.33333333333333331</v>
      </c>
      <c r="BA435" s="1129">
        <v>498.04460317460325</v>
      </c>
      <c r="BB435" s="1129">
        <v>0</v>
      </c>
      <c r="BC435" s="1129">
        <v>498.04460317460325</v>
      </c>
      <c r="BD435" s="1129">
        <v>0</v>
      </c>
      <c r="BE435" s="1129">
        <v>0</v>
      </c>
      <c r="BF435" s="1129">
        <v>0</v>
      </c>
      <c r="BG435" s="1129">
        <v>0</v>
      </c>
      <c r="BH435" s="1129">
        <v>498.04460317460325</v>
      </c>
      <c r="BI435" s="971"/>
      <c r="BJ435" s="971"/>
      <c r="BK435" s="971"/>
      <c r="BL435" s="1246"/>
      <c r="BM435" s="1247" t="s">
        <v>2127</v>
      </c>
    </row>
    <row r="436" spans="1:65" s="1247" customFormat="1" ht="66" customHeight="1">
      <c r="A436" s="1272">
        <v>4000</v>
      </c>
      <c r="B436" s="971" t="s">
        <v>1316</v>
      </c>
      <c r="C436" s="1272">
        <v>4100</v>
      </c>
      <c r="D436" s="971" t="s">
        <v>120</v>
      </c>
      <c r="E436" s="971" t="s">
        <v>1389</v>
      </c>
      <c r="F436" s="971" t="s">
        <v>176</v>
      </c>
      <c r="G436" s="971">
        <v>4144</v>
      </c>
      <c r="H436" s="971" t="s">
        <v>3495</v>
      </c>
      <c r="I436" s="1273"/>
      <c r="J436" s="971" t="s">
        <v>2146</v>
      </c>
      <c r="K436" s="971" t="s">
        <v>2129</v>
      </c>
      <c r="L436" s="971" t="s">
        <v>2130</v>
      </c>
      <c r="M436" s="971" t="s">
        <v>2129</v>
      </c>
      <c r="N436" s="971" t="s">
        <v>176</v>
      </c>
      <c r="O436" s="971" t="s">
        <v>2130</v>
      </c>
      <c r="P436" s="971" t="s">
        <v>7206</v>
      </c>
      <c r="Q436" s="971" t="s">
        <v>7207</v>
      </c>
      <c r="R436" s="971"/>
      <c r="S436" s="1274">
        <v>1</v>
      </c>
      <c r="T436" s="971" t="s">
        <v>242</v>
      </c>
      <c r="U436" s="1275">
        <v>6.666666666666667</v>
      </c>
      <c r="V436" s="1275">
        <v>25</v>
      </c>
      <c r="W436" s="1275">
        <v>666.08920634920639</v>
      </c>
      <c r="X436" s="1275">
        <v>250</v>
      </c>
      <c r="Y436" s="1275">
        <v>941.08920634920639</v>
      </c>
      <c r="Z436" s="1129">
        <v>6.666666666666667</v>
      </c>
      <c r="AA436" s="1129">
        <v>25</v>
      </c>
      <c r="AB436" s="1129">
        <v>666.08920634920639</v>
      </c>
      <c r="AC436" s="1129">
        <v>250</v>
      </c>
      <c r="AD436" s="1098">
        <v>941.08920634920639</v>
      </c>
      <c r="AE436" s="1237">
        <v>4</v>
      </c>
      <c r="AF436" s="1133">
        <v>4</v>
      </c>
      <c r="AG436" s="1127">
        <v>1</v>
      </c>
      <c r="AH436" s="1127">
        <v>0</v>
      </c>
      <c r="AI436" s="1127">
        <v>0</v>
      </c>
      <c r="AJ436" s="1127">
        <v>1</v>
      </c>
      <c r="AK436" s="1129">
        <v>941.08920634920639</v>
      </c>
      <c r="AL436" s="1129">
        <v>0</v>
      </c>
      <c r="AM436" s="1129">
        <v>0</v>
      </c>
      <c r="AN436" s="1129">
        <v>941.08920634920639</v>
      </c>
      <c r="AO436" s="1129" t="s">
        <v>85</v>
      </c>
      <c r="AP436" s="1129" t="s">
        <v>96</v>
      </c>
      <c r="AQ436" s="1157" t="s">
        <v>107</v>
      </c>
      <c r="AR436" s="1129" t="s">
        <v>87</v>
      </c>
      <c r="AS436" s="1127">
        <v>0.5</v>
      </c>
      <c r="AT436" s="1127">
        <v>0.5</v>
      </c>
      <c r="AU436" s="1127"/>
      <c r="AV436" s="1127"/>
      <c r="AW436" s="1127"/>
      <c r="AX436" s="1127"/>
      <c r="AY436" s="1127"/>
      <c r="AZ436" s="1127"/>
      <c r="BA436" s="1129">
        <v>470.5446031746032</v>
      </c>
      <c r="BB436" s="1129">
        <v>470.5446031746032</v>
      </c>
      <c r="BC436" s="1129">
        <v>0</v>
      </c>
      <c r="BD436" s="1129">
        <v>0</v>
      </c>
      <c r="BE436" s="1129">
        <v>0</v>
      </c>
      <c r="BF436" s="1129">
        <v>0</v>
      </c>
      <c r="BG436" s="1129">
        <v>0</v>
      </c>
      <c r="BH436" s="1129">
        <v>0</v>
      </c>
      <c r="BI436" s="971"/>
      <c r="BJ436" s="971"/>
      <c r="BK436" s="971"/>
      <c r="BL436" s="1246"/>
      <c r="BM436" s="1247" t="s">
        <v>2129</v>
      </c>
    </row>
    <row r="437" spans="1:65" s="1247" customFormat="1" ht="66" customHeight="1">
      <c r="A437" s="1272">
        <v>4000</v>
      </c>
      <c r="B437" s="971" t="s">
        <v>1316</v>
      </c>
      <c r="C437" s="1272">
        <v>4100</v>
      </c>
      <c r="D437" s="971" t="s">
        <v>120</v>
      </c>
      <c r="E437" s="971" t="s">
        <v>1389</v>
      </c>
      <c r="F437" s="971" t="s">
        <v>176</v>
      </c>
      <c r="G437" s="971">
        <v>4144</v>
      </c>
      <c r="H437" s="971" t="s">
        <v>3495</v>
      </c>
      <c r="I437" s="1273"/>
      <c r="J437" s="971" t="s">
        <v>2146</v>
      </c>
      <c r="K437" s="971" t="s">
        <v>2127</v>
      </c>
      <c r="L437" s="971" t="s">
        <v>2177</v>
      </c>
      <c r="M437" s="971" t="s">
        <v>2127</v>
      </c>
      <c r="N437" s="971" t="s">
        <v>176</v>
      </c>
      <c r="O437" s="971" t="s">
        <v>2177</v>
      </c>
      <c r="P437" s="971"/>
      <c r="Q437" s="971" t="s">
        <v>7208</v>
      </c>
      <c r="R437" s="971"/>
      <c r="S437" s="1274">
        <v>1</v>
      </c>
      <c r="T437" s="971" t="s">
        <v>242</v>
      </c>
      <c r="U437" s="1275">
        <v>10</v>
      </c>
      <c r="V437" s="1275">
        <v>45</v>
      </c>
      <c r="W437" s="1275">
        <v>999.13380952380965</v>
      </c>
      <c r="X437" s="1275">
        <v>450</v>
      </c>
      <c r="Y437" s="1275">
        <v>1494.1338095238098</v>
      </c>
      <c r="Z437" s="1129">
        <v>10</v>
      </c>
      <c r="AA437" s="1129">
        <v>45</v>
      </c>
      <c r="AB437" s="1129">
        <v>999.13380952380965</v>
      </c>
      <c r="AC437" s="1129">
        <v>450</v>
      </c>
      <c r="AD437" s="1098">
        <v>1494.1338095238098</v>
      </c>
      <c r="AE437" s="1237">
        <v>24</v>
      </c>
      <c r="AF437" s="1133">
        <v>24</v>
      </c>
      <c r="AG437" s="1127">
        <v>1</v>
      </c>
      <c r="AH437" s="1127">
        <v>0</v>
      </c>
      <c r="AI437" s="1127">
        <v>0</v>
      </c>
      <c r="AJ437" s="1127">
        <v>1</v>
      </c>
      <c r="AK437" s="1129">
        <v>1494.1338095238098</v>
      </c>
      <c r="AL437" s="1129">
        <v>0</v>
      </c>
      <c r="AM437" s="1129">
        <v>0</v>
      </c>
      <c r="AN437" s="1129">
        <v>1494.1338095238098</v>
      </c>
      <c r="AO437" s="1129" t="s">
        <v>85</v>
      </c>
      <c r="AP437" s="1129" t="s">
        <v>96</v>
      </c>
      <c r="AQ437" s="1157" t="s">
        <v>107</v>
      </c>
      <c r="AR437" s="1129" t="s">
        <v>87</v>
      </c>
      <c r="AS437" s="1127">
        <v>0.33333333333333331</v>
      </c>
      <c r="AT437" s="1127"/>
      <c r="AU437" s="1127">
        <v>0.33333333333333331</v>
      </c>
      <c r="AV437" s="1127"/>
      <c r="AW437" s="1127"/>
      <c r="AX437" s="1127"/>
      <c r="AY437" s="1127"/>
      <c r="AZ437" s="1127">
        <v>0.33333333333333331</v>
      </c>
      <c r="BA437" s="1129">
        <v>498.04460317460325</v>
      </c>
      <c r="BB437" s="1129">
        <v>0</v>
      </c>
      <c r="BC437" s="1129">
        <v>498.04460317460325</v>
      </c>
      <c r="BD437" s="1129">
        <v>0</v>
      </c>
      <c r="BE437" s="1129">
        <v>0</v>
      </c>
      <c r="BF437" s="1129">
        <v>0</v>
      </c>
      <c r="BG437" s="1129">
        <v>0</v>
      </c>
      <c r="BH437" s="1129">
        <v>498.04460317460325</v>
      </c>
      <c r="BI437" s="971"/>
      <c r="BJ437" s="971"/>
      <c r="BK437" s="971"/>
      <c r="BL437" s="1246"/>
      <c r="BM437" s="1247" t="s">
        <v>2129</v>
      </c>
    </row>
    <row r="442" spans="1:65" ht="16.5">
      <c r="AC442" s="1248"/>
      <c r="AD442" s="1248"/>
      <c r="AE442" s="1248"/>
      <c r="AF442" s="1248"/>
      <c r="AG442" s="1248"/>
      <c r="AH442" s="1248"/>
      <c r="AI442" s="1248"/>
      <c r="AJ442" s="1248"/>
      <c r="AK442" s="1248"/>
    </row>
    <row r="443" spans="1:65" ht="16.5">
      <c r="AC443" s="1248"/>
      <c r="AD443" s="1248"/>
      <c r="AE443" s="1248"/>
      <c r="AF443" s="1248" t="s">
        <v>6616</v>
      </c>
      <c r="AG443" s="1248"/>
      <c r="AH443" s="1248" t="s">
        <v>6617</v>
      </c>
      <c r="AI443" s="1248"/>
      <c r="AJ443" s="1248"/>
      <c r="AK443" s="1248"/>
    </row>
    <row r="444" spans="1:65" ht="16.5">
      <c r="AC444" s="1248"/>
      <c r="AD444" s="1249">
        <f>SUM(AD5:AD437)</f>
        <v>876036.0017301616</v>
      </c>
      <c r="AE444" s="1248"/>
      <c r="AF444" s="1248">
        <f t="shared" ref="AF444" si="0">SUM(AF5:AF437)</f>
        <v>22600</v>
      </c>
      <c r="AG444" s="1248"/>
      <c r="AH444" s="1248">
        <f>AF444/6</f>
        <v>3766.6666666666665</v>
      </c>
      <c r="AI444" s="1248"/>
      <c r="AJ444" s="1248"/>
      <c r="AK444" s="1248"/>
    </row>
    <row r="445" spans="1:65" ht="16.5">
      <c r="AC445" s="1248"/>
      <c r="AD445" s="1248"/>
      <c r="AE445" s="1248"/>
      <c r="AF445" s="1248"/>
      <c r="AG445" s="1248"/>
      <c r="AH445" s="1248"/>
      <c r="AI445" s="1248"/>
      <c r="AJ445" s="1248"/>
      <c r="AK445" s="1248"/>
    </row>
    <row r="446" spans="1:65" ht="16.5">
      <c r="AC446" s="1248"/>
      <c r="AD446" s="1248"/>
      <c r="AE446" s="1248"/>
      <c r="AF446" s="1248"/>
      <c r="AG446" s="1248"/>
      <c r="AH446" s="1248"/>
      <c r="AI446" s="1248"/>
      <c r="AJ446" s="1248"/>
      <c r="AK446" s="1248"/>
    </row>
    <row r="447" spans="1:65" ht="16.5">
      <c r="AC447" s="1248"/>
      <c r="AD447" s="1248"/>
      <c r="AE447" s="1248"/>
      <c r="AF447" s="1249">
        <f>AF444*44.3687478668719/6</f>
        <v>167122.28363188417</v>
      </c>
      <c r="AG447" s="1248"/>
      <c r="AH447" s="1249">
        <f>AH444*44.3687478668719</f>
        <v>167122.28363188414</v>
      </c>
      <c r="AI447" s="1248"/>
      <c r="AJ447" s="1248"/>
      <c r="AK447" s="1248"/>
    </row>
    <row r="448" spans="1:65" ht="16.5">
      <c r="AC448" s="1248"/>
      <c r="AD448" s="1248"/>
      <c r="AE448" s="1248"/>
      <c r="AF448" s="1248"/>
      <c r="AG448" s="1248"/>
      <c r="AH448" s="1248"/>
      <c r="AI448" s="1248"/>
      <c r="AJ448" s="1248"/>
      <c r="AK448" s="1248"/>
    </row>
    <row r="449" spans="29:37" ht="16.5">
      <c r="AC449" s="1248"/>
      <c r="AD449" s="1248"/>
      <c r="AE449" s="1248"/>
      <c r="AF449" s="1248"/>
      <c r="AG449" s="1248"/>
      <c r="AH449" s="1248"/>
      <c r="AI449" s="1248"/>
      <c r="AJ449" s="1248"/>
      <c r="AK449" s="1248"/>
    </row>
    <row r="450" spans="29:37" ht="16.5">
      <c r="AC450" s="1248"/>
      <c r="AD450" s="1248"/>
      <c r="AE450" s="1248"/>
      <c r="AF450" s="1248"/>
      <c r="AG450" s="1248"/>
      <c r="AH450" s="1248"/>
      <c r="AI450" s="1248"/>
      <c r="AJ450" s="1248"/>
      <c r="AK450" s="1248"/>
    </row>
    <row r="451" spans="29:37" ht="16.5">
      <c r="AC451" s="1248"/>
      <c r="AD451" s="1249">
        <f>SUM(AD444,AF447)</f>
        <v>1043158.2853620457</v>
      </c>
      <c r="AE451" s="1248"/>
      <c r="AF451" s="1248"/>
      <c r="AG451" s="1248"/>
      <c r="AH451" s="1248"/>
      <c r="AI451" s="1248"/>
      <c r="AJ451" s="1248"/>
      <c r="AK451" s="1248"/>
    </row>
    <row r="452" spans="29:37" ht="16.5">
      <c r="AC452" s="1248"/>
      <c r="AD452" s="1248"/>
      <c r="AE452" s="1248"/>
      <c r="AF452" s="1248"/>
      <c r="AG452" s="1248"/>
      <c r="AH452" s="1248"/>
      <c r="AI452" s="1248"/>
      <c r="AJ452" s="1248"/>
      <c r="AK452" s="1248"/>
    </row>
    <row r="453" spans="29:37" ht="16.5">
      <c r="AC453" s="1248"/>
      <c r="AD453" s="1248"/>
      <c r="AE453" s="1248"/>
      <c r="AF453" s="1248"/>
      <c r="AG453" s="1248"/>
      <c r="AH453" s="1248"/>
      <c r="AI453" s="1248"/>
      <c r="AJ453" s="1248"/>
      <c r="AK453" s="1248"/>
    </row>
    <row r="454" spans="29:37" ht="16.5">
      <c r="AC454" s="1248"/>
      <c r="AD454" s="1248"/>
      <c r="AE454" s="1248"/>
      <c r="AF454" s="1248"/>
      <c r="AG454" s="1248"/>
      <c r="AH454" s="1248"/>
      <c r="AI454" s="1248"/>
      <c r="AJ454" s="1248"/>
      <c r="AK454" s="1248"/>
    </row>
    <row r="455" spans="29:37" ht="16.5">
      <c r="AC455" s="1248"/>
      <c r="AD455" s="1248"/>
      <c r="AE455" s="1248"/>
      <c r="AF455" s="1248"/>
      <c r="AG455" s="1248"/>
      <c r="AH455" s="1248"/>
      <c r="AI455" s="1248"/>
      <c r="AJ455" s="1248"/>
      <c r="AK455" s="1248"/>
    </row>
  </sheetData>
  <autoFilter ref="A4:BK437" xr:uid="{00000000-0009-0000-0000-000029000000}">
    <sortState xmlns:xlrd2="http://schemas.microsoft.com/office/spreadsheetml/2017/richdata2" ref="A5:BK437">
      <sortCondition ref="R4:R437"/>
    </sortState>
  </autoFilter>
  <pageMargins left="0.25" right="0.25" top="0.75" bottom="0.75" header="0.3" footer="0.3"/>
  <pageSetup paperSize="119" scale="4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M377"/>
  <sheetViews>
    <sheetView topLeftCell="H1" zoomScale="50" zoomScaleNormal="50" workbookViewId="0">
      <pane ySplit="4" topLeftCell="A5" activePane="bottomLeft" state="frozen"/>
      <selection activeCell="G3" sqref="G3"/>
      <selection pane="bottomLeft" activeCell="G3" sqref="G3"/>
    </sheetView>
  </sheetViews>
  <sheetFormatPr defaultColWidth="9.1796875" defaultRowHeight="14.5"/>
  <cols>
    <col min="1" max="1" width="7.54296875" customWidth="1"/>
    <col min="2" max="2" width="20.7265625" customWidth="1"/>
    <col min="3" max="3" width="7.54296875" customWidth="1"/>
    <col min="4" max="4" width="20.7265625" customWidth="1"/>
    <col min="5" max="5" width="7.54296875" customWidth="1"/>
    <col min="6" max="6" width="20.7265625" customWidth="1"/>
    <col min="7" max="7" width="7.54296875" customWidth="1"/>
    <col min="8" max="8" width="20.7265625" customWidth="1"/>
    <col min="9" max="11" width="7.54296875" customWidth="1"/>
    <col min="12" max="12" width="20.7265625" customWidth="1"/>
    <col min="13" max="15" width="14.54296875" customWidth="1"/>
    <col min="16" max="16" width="20.7265625" customWidth="1"/>
    <col min="17" max="17" width="42.453125" customWidth="1"/>
    <col min="18" max="18" width="18.1796875" customWidth="1"/>
    <col min="19" max="19" width="13" customWidth="1"/>
    <col min="20" max="20" width="5.54296875" customWidth="1"/>
    <col min="21" max="21" width="8.1796875" customWidth="1"/>
    <col min="22" max="22" width="11" customWidth="1"/>
    <col min="23" max="23" width="11.81640625" customWidth="1"/>
    <col min="24" max="24" width="14.1796875" customWidth="1"/>
    <col min="25" max="25" width="11.81640625" customWidth="1"/>
    <col min="26" max="27" width="8.1796875" customWidth="1"/>
    <col min="28" max="29" width="10.453125" customWidth="1"/>
    <col min="30" max="30" width="12" customWidth="1"/>
    <col min="31" max="31" width="6.7265625" customWidth="1"/>
    <col min="32" max="32" width="8.7265625" customWidth="1"/>
    <col min="33" max="33" width="7.54296875" customWidth="1"/>
    <col min="34" max="34" width="9.453125" customWidth="1"/>
    <col min="35" max="36" width="8.1796875" customWidth="1"/>
    <col min="37" max="37" width="11" customWidth="1"/>
    <col min="38" max="39" width="8.1796875" customWidth="1"/>
    <col min="40" max="40" width="11" customWidth="1"/>
    <col min="41" max="41" width="17.54296875" customWidth="1"/>
    <col min="42" max="42" width="15.1796875" customWidth="1"/>
    <col min="43" max="43" width="9.54296875" customWidth="1"/>
    <col min="44" max="44" width="9" customWidth="1"/>
    <col min="45" max="47" width="6.7265625" customWidth="1"/>
    <col min="48" max="52" width="5" customWidth="1"/>
    <col min="53" max="55" width="9.81640625" customWidth="1"/>
    <col min="56" max="59" width="8.1796875" customWidth="1"/>
    <col min="60" max="60" width="11" customWidth="1"/>
    <col min="61" max="62" width="19" customWidth="1"/>
    <col min="63" max="63" width="35.81640625" customWidth="1"/>
    <col min="65" max="65" width="19.453125" customWidth="1"/>
    <col min="67" max="67" width="10.453125" customWidth="1"/>
    <col min="71" max="71" width="52.54296875" customWidth="1"/>
  </cols>
  <sheetData>
    <row r="1" spans="1:65" ht="26">
      <c r="A1" s="1290" t="s">
        <v>7209</v>
      </c>
    </row>
    <row r="3" spans="1:65" ht="15" thickBot="1"/>
    <row r="4" spans="1:65" s="1137" customFormat="1" ht="141">
      <c r="A4" s="1279" t="s">
        <v>5</v>
      </c>
      <c r="B4" s="1128" t="s">
        <v>6</v>
      </c>
      <c r="C4" s="1279" t="s">
        <v>7</v>
      </c>
      <c r="D4" s="1128" t="s">
        <v>8</v>
      </c>
      <c r="E4" s="1280" t="s">
        <v>9</v>
      </c>
      <c r="F4" s="1128" t="s">
        <v>10</v>
      </c>
      <c r="G4" s="1280" t="s">
        <v>11</v>
      </c>
      <c r="H4" s="1128" t="s">
        <v>12</v>
      </c>
      <c r="I4" s="1281" t="s">
        <v>13</v>
      </c>
      <c r="J4" s="1281" t="s">
        <v>14</v>
      </c>
      <c r="K4" s="1281" t="s">
        <v>15</v>
      </c>
      <c r="L4" s="1130" t="s">
        <v>16</v>
      </c>
      <c r="M4" s="1130" t="s">
        <v>17</v>
      </c>
      <c r="N4" s="1130" t="s">
        <v>18</v>
      </c>
      <c r="O4" s="1130" t="s">
        <v>19</v>
      </c>
      <c r="P4" s="1130" t="s">
        <v>20</v>
      </c>
      <c r="Q4" s="1128" t="s">
        <v>21</v>
      </c>
      <c r="R4" s="1128" t="s">
        <v>22</v>
      </c>
      <c r="S4" s="1155" t="s">
        <v>23</v>
      </c>
      <c r="T4" s="1280" t="s">
        <v>24</v>
      </c>
      <c r="U4" s="1282" t="s">
        <v>25</v>
      </c>
      <c r="V4" s="1282" t="s">
        <v>26</v>
      </c>
      <c r="W4" s="1283" t="s">
        <v>27</v>
      </c>
      <c r="X4" s="1283" t="s">
        <v>28</v>
      </c>
      <c r="Y4" s="1283" t="s">
        <v>29</v>
      </c>
      <c r="Z4" s="1283" t="s">
        <v>30</v>
      </c>
      <c r="AA4" s="1283" t="s">
        <v>31</v>
      </c>
      <c r="AB4" s="1283" t="s">
        <v>32</v>
      </c>
      <c r="AC4" s="1283" t="s">
        <v>33</v>
      </c>
      <c r="AD4" s="1284" t="s">
        <v>34</v>
      </c>
      <c r="AE4" s="1285" t="s">
        <v>35</v>
      </c>
      <c r="AF4" s="1285" t="s">
        <v>36</v>
      </c>
      <c r="AG4" s="1286" t="s">
        <v>37</v>
      </c>
      <c r="AH4" s="1286" t="s">
        <v>38</v>
      </c>
      <c r="AI4" s="1286" t="s">
        <v>39</v>
      </c>
      <c r="AJ4" s="1286" t="s">
        <v>40</v>
      </c>
      <c r="AK4" s="1283" t="s">
        <v>41</v>
      </c>
      <c r="AL4" s="1283" t="s">
        <v>42</v>
      </c>
      <c r="AM4" s="1283" t="s">
        <v>43</v>
      </c>
      <c r="AN4" s="1283" t="s">
        <v>44</v>
      </c>
      <c r="AO4" s="1283" t="s">
        <v>45</v>
      </c>
      <c r="AP4" s="1283" t="s">
        <v>46</v>
      </c>
      <c r="AQ4" s="1287" t="s">
        <v>47</v>
      </c>
      <c r="AR4" s="1283" t="s">
        <v>48</v>
      </c>
      <c r="AS4" s="1286" t="s">
        <v>51</v>
      </c>
      <c r="AT4" s="1286" t="s">
        <v>52</v>
      </c>
      <c r="AU4" s="1286" t="s">
        <v>53</v>
      </c>
      <c r="AV4" s="1286" t="s">
        <v>54</v>
      </c>
      <c r="AW4" s="1286" t="s">
        <v>55</v>
      </c>
      <c r="AX4" s="1286" t="s">
        <v>56</v>
      </c>
      <c r="AY4" s="1286" t="s">
        <v>57</v>
      </c>
      <c r="AZ4" s="1286" t="s">
        <v>58</v>
      </c>
      <c r="BA4" s="1283" t="s">
        <v>64</v>
      </c>
      <c r="BB4" s="1283" t="s">
        <v>65</v>
      </c>
      <c r="BC4" s="1283" t="s">
        <v>66</v>
      </c>
      <c r="BD4" s="1283" t="s">
        <v>67</v>
      </c>
      <c r="BE4" s="1283" t="s">
        <v>68</v>
      </c>
      <c r="BF4" s="1283" t="s">
        <v>69</v>
      </c>
      <c r="BG4" s="1283" t="s">
        <v>70</v>
      </c>
      <c r="BH4" s="1283" t="s">
        <v>71</v>
      </c>
      <c r="BI4" s="1235" t="s">
        <v>75</v>
      </c>
      <c r="BJ4" s="1214" t="s">
        <v>76</v>
      </c>
      <c r="BK4" s="1217" t="s">
        <v>77</v>
      </c>
    </row>
    <row r="5" spans="1:65" s="1247" customFormat="1" ht="82.5" customHeight="1">
      <c r="A5" s="1272">
        <v>2000</v>
      </c>
      <c r="B5" s="971" t="s">
        <v>119</v>
      </c>
      <c r="C5" s="1272">
        <v>2300</v>
      </c>
      <c r="D5" s="971" t="s">
        <v>222</v>
      </c>
      <c r="E5" s="971" t="s">
        <v>223</v>
      </c>
      <c r="F5" s="971" t="s">
        <v>224</v>
      </c>
      <c r="G5" s="971" t="s">
        <v>3971</v>
      </c>
      <c r="H5" s="971" t="s">
        <v>224</v>
      </c>
      <c r="I5" s="1273" t="s">
        <v>7210</v>
      </c>
      <c r="J5" s="971" t="s">
        <v>2212</v>
      </c>
      <c r="K5" s="971" t="s">
        <v>2120</v>
      </c>
      <c r="L5" s="971" t="s">
        <v>2121</v>
      </c>
      <c r="M5" s="971" t="s">
        <v>2120</v>
      </c>
      <c r="N5" s="971" t="s">
        <v>179</v>
      </c>
      <c r="O5" s="971" t="s">
        <v>2121</v>
      </c>
      <c r="P5" s="971" t="s">
        <v>2304</v>
      </c>
      <c r="Q5" s="971" t="s">
        <v>7211</v>
      </c>
      <c r="R5" s="971" t="s">
        <v>3972</v>
      </c>
      <c r="S5" s="1274">
        <v>1</v>
      </c>
      <c r="T5" s="971" t="s">
        <v>242</v>
      </c>
      <c r="U5" s="1275">
        <v>168</v>
      </c>
      <c r="V5" s="1275">
        <v>2220</v>
      </c>
      <c r="W5" s="1275">
        <v>16785.448</v>
      </c>
      <c r="X5" s="1275">
        <v>22200</v>
      </c>
      <c r="Y5" s="1275">
        <v>41205.448000000004</v>
      </c>
      <c r="Z5" s="1129">
        <v>168</v>
      </c>
      <c r="AA5" s="1129">
        <v>2220</v>
      </c>
      <c r="AB5" s="1129">
        <v>16785.448</v>
      </c>
      <c r="AC5" s="1129">
        <v>22200</v>
      </c>
      <c r="AD5" s="1098">
        <v>41205.448000000004</v>
      </c>
      <c r="AE5" s="1135">
        <v>56</v>
      </c>
      <c r="AF5" s="1129">
        <v>56</v>
      </c>
      <c r="AG5" s="1127">
        <v>1</v>
      </c>
      <c r="AH5" s="1127">
        <v>0</v>
      </c>
      <c r="AI5" s="1127">
        <v>0</v>
      </c>
      <c r="AJ5" s="1127">
        <v>1</v>
      </c>
      <c r="AK5" s="1129">
        <v>41205.448000000004</v>
      </c>
      <c r="AL5" s="1129">
        <v>0</v>
      </c>
      <c r="AM5" s="1129">
        <v>0</v>
      </c>
      <c r="AN5" s="1129">
        <v>41205.448000000004</v>
      </c>
      <c r="AO5" s="1129" t="s">
        <v>131</v>
      </c>
      <c r="AP5" s="1129" t="s">
        <v>96</v>
      </c>
      <c r="AQ5" s="1157">
        <v>2014</v>
      </c>
      <c r="AR5" s="1129" t="s">
        <v>87</v>
      </c>
      <c r="AS5" s="1127">
        <v>0.33333333333333331</v>
      </c>
      <c r="AT5" s="1127"/>
      <c r="AU5" s="1127">
        <v>0.33333333333333331</v>
      </c>
      <c r="AV5" s="1127"/>
      <c r="AW5" s="1127"/>
      <c r="AX5" s="1127"/>
      <c r="AY5" s="1127"/>
      <c r="AZ5" s="1127">
        <v>0.33333333333333331</v>
      </c>
      <c r="BA5" s="1129">
        <v>13735.149333333335</v>
      </c>
      <c r="BB5" s="1129">
        <v>0</v>
      </c>
      <c r="BC5" s="1129">
        <v>13735.149333333335</v>
      </c>
      <c r="BD5" s="1129">
        <v>0</v>
      </c>
      <c r="BE5" s="1129">
        <v>0</v>
      </c>
      <c r="BF5" s="1129">
        <v>0</v>
      </c>
      <c r="BG5" s="1129">
        <v>0</v>
      </c>
      <c r="BH5" s="1129">
        <v>13735.149333333335</v>
      </c>
      <c r="BI5" s="1981"/>
      <c r="BJ5" s="971"/>
      <c r="BK5" s="971"/>
      <c r="BL5" s="1246"/>
      <c r="BM5" s="1247" t="s">
        <v>2120</v>
      </c>
    </row>
    <row r="6" spans="1:65" s="1247" customFormat="1" ht="82.5" customHeight="1">
      <c r="A6" s="1272">
        <v>2000</v>
      </c>
      <c r="B6" s="971" t="s">
        <v>119</v>
      </c>
      <c r="C6" s="1272">
        <v>2300</v>
      </c>
      <c r="D6" s="971" t="s">
        <v>222</v>
      </c>
      <c r="E6" s="971" t="s">
        <v>223</v>
      </c>
      <c r="F6" s="971" t="s">
        <v>224</v>
      </c>
      <c r="G6" s="971" t="s">
        <v>3971</v>
      </c>
      <c r="H6" s="971" t="s">
        <v>224</v>
      </c>
      <c r="I6" s="1273" t="s">
        <v>7212</v>
      </c>
      <c r="J6" s="971" t="s">
        <v>2212</v>
      </c>
      <c r="K6" s="971" t="s">
        <v>2120</v>
      </c>
      <c r="L6" s="971" t="s">
        <v>2121</v>
      </c>
      <c r="M6" s="971" t="s">
        <v>2120</v>
      </c>
      <c r="N6" s="971" t="s">
        <v>179</v>
      </c>
      <c r="O6" s="971" t="s">
        <v>2121</v>
      </c>
      <c r="P6" s="971" t="s">
        <v>2304</v>
      </c>
      <c r="Q6" s="971" t="s">
        <v>7211</v>
      </c>
      <c r="R6" s="971" t="s">
        <v>3984</v>
      </c>
      <c r="S6" s="1274">
        <v>1</v>
      </c>
      <c r="T6" s="971" t="s">
        <v>242</v>
      </c>
      <c r="U6" s="1275">
        <v>168</v>
      </c>
      <c r="V6" s="1275">
        <v>2220</v>
      </c>
      <c r="W6" s="1275">
        <v>16785.448</v>
      </c>
      <c r="X6" s="1275">
        <v>22200</v>
      </c>
      <c r="Y6" s="1275">
        <v>41205.448000000004</v>
      </c>
      <c r="Z6" s="1129">
        <v>168</v>
      </c>
      <c r="AA6" s="1129">
        <v>2220</v>
      </c>
      <c r="AB6" s="1129">
        <v>16785.448</v>
      </c>
      <c r="AC6" s="1129">
        <v>22200</v>
      </c>
      <c r="AD6" s="1098">
        <v>41205.448000000004</v>
      </c>
      <c r="AE6" s="1135">
        <v>56</v>
      </c>
      <c r="AF6" s="1129">
        <v>56</v>
      </c>
      <c r="AG6" s="1127">
        <v>1</v>
      </c>
      <c r="AH6" s="1127">
        <v>0</v>
      </c>
      <c r="AI6" s="1127">
        <v>0</v>
      </c>
      <c r="AJ6" s="1127">
        <v>1</v>
      </c>
      <c r="AK6" s="1129">
        <v>41205.448000000004</v>
      </c>
      <c r="AL6" s="1129">
        <v>0</v>
      </c>
      <c r="AM6" s="1129">
        <v>0</v>
      </c>
      <c r="AN6" s="1129">
        <v>41205.448000000004</v>
      </c>
      <c r="AO6" s="1129" t="s">
        <v>131</v>
      </c>
      <c r="AP6" s="1129" t="s">
        <v>96</v>
      </c>
      <c r="AQ6" s="1157">
        <v>2014</v>
      </c>
      <c r="AR6" s="1129" t="s">
        <v>87</v>
      </c>
      <c r="AS6" s="1127">
        <v>0.33333333333333331</v>
      </c>
      <c r="AT6" s="1127"/>
      <c r="AU6" s="1127">
        <v>0.33333333333333331</v>
      </c>
      <c r="AV6" s="1127"/>
      <c r="AW6" s="1127"/>
      <c r="AX6" s="1127"/>
      <c r="AY6" s="1127"/>
      <c r="AZ6" s="1127">
        <v>0.33333333333333331</v>
      </c>
      <c r="BA6" s="1129">
        <v>13735.149333333335</v>
      </c>
      <c r="BB6" s="1129">
        <v>0</v>
      </c>
      <c r="BC6" s="1129">
        <v>13735.149333333335</v>
      </c>
      <c r="BD6" s="1129">
        <v>0</v>
      </c>
      <c r="BE6" s="1129">
        <v>0</v>
      </c>
      <c r="BF6" s="1129">
        <v>0</v>
      </c>
      <c r="BG6" s="1129">
        <v>0</v>
      </c>
      <c r="BH6" s="1129">
        <v>13735.149333333335</v>
      </c>
      <c r="BI6" s="1981"/>
      <c r="BJ6" s="971"/>
      <c r="BK6" s="971"/>
      <c r="BL6" s="1246"/>
      <c r="BM6" s="1247" t="s">
        <v>2120</v>
      </c>
    </row>
    <row r="7" spans="1:65" s="1247" customFormat="1" ht="82.5" customHeight="1">
      <c r="A7" s="1272">
        <v>2000</v>
      </c>
      <c r="B7" s="971" t="s">
        <v>119</v>
      </c>
      <c r="C7" s="1272">
        <v>2300</v>
      </c>
      <c r="D7" s="971" t="s">
        <v>222</v>
      </c>
      <c r="E7" s="971" t="s">
        <v>223</v>
      </c>
      <c r="F7" s="971" t="s">
        <v>224</v>
      </c>
      <c r="G7" s="971" t="s">
        <v>3971</v>
      </c>
      <c r="H7" s="971" t="s">
        <v>224</v>
      </c>
      <c r="I7" s="1273" t="s">
        <v>7213</v>
      </c>
      <c r="J7" s="971" t="s">
        <v>2212</v>
      </c>
      <c r="K7" s="971" t="s">
        <v>2120</v>
      </c>
      <c r="L7" s="971" t="s">
        <v>2121</v>
      </c>
      <c r="M7" s="971" t="s">
        <v>2120</v>
      </c>
      <c r="N7" s="971" t="s">
        <v>179</v>
      </c>
      <c r="O7" s="971" t="s">
        <v>2121</v>
      </c>
      <c r="P7" s="971" t="s">
        <v>2304</v>
      </c>
      <c r="Q7" s="971" t="s">
        <v>7211</v>
      </c>
      <c r="R7" s="971" t="s">
        <v>3985</v>
      </c>
      <c r="S7" s="1274">
        <v>1</v>
      </c>
      <c r="T7" s="971" t="s">
        <v>242</v>
      </c>
      <c r="U7" s="1275">
        <v>168</v>
      </c>
      <c r="V7" s="1275">
        <v>2220</v>
      </c>
      <c r="W7" s="1275">
        <v>16785.448</v>
      </c>
      <c r="X7" s="1275">
        <v>22200</v>
      </c>
      <c r="Y7" s="1275">
        <v>41205.448000000004</v>
      </c>
      <c r="Z7" s="1129">
        <v>168</v>
      </c>
      <c r="AA7" s="1129">
        <v>2220</v>
      </c>
      <c r="AB7" s="1129">
        <v>16785.448</v>
      </c>
      <c r="AC7" s="1129">
        <v>22200</v>
      </c>
      <c r="AD7" s="1098">
        <v>41205.448000000004</v>
      </c>
      <c r="AE7" s="1135">
        <v>56</v>
      </c>
      <c r="AF7" s="1129">
        <v>56</v>
      </c>
      <c r="AG7" s="1127">
        <v>1</v>
      </c>
      <c r="AH7" s="1127">
        <v>0</v>
      </c>
      <c r="AI7" s="1127">
        <v>0</v>
      </c>
      <c r="AJ7" s="1127">
        <v>1</v>
      </c>
      <c r="AK7" s="1129">
        <v>41205.448000000004</v>
      </c>
      <c r="AL7" s="1129">
        <v>0</v>
      </c>
      <c r="AM7" s="1129">
        <v>0</v>
      </c>
      <c r="AN7" s="1129">
        <v>41205.448000000004</v>
      </c>
      <c r="AO7" s="1129" t="s">
        <v>131</v>
      </c>
      <c r="AP7" s="1129" t="s">
        <v>96</v>
      </c>
      <c r="AQ7" s="1157">
        <v>2014</v>
      </c>
      <c r="AR7" s="1129" t="s">
        <v>87</v>
      </c>
      <c r="AS7" s="1127">
        <v>0.33333333333333331</v>
      </c>
      <c r="AT7" s="1127"/>
      <c r="AU7" s="1127">
        <v>0.33333333333333331</v>
      </c>
      <c r="AV7" s="1127"/>
      <c r="AW7" s="1127"/>
      <c r="AX7" s="1127"/>
      <c r="AY7" s="1127"/>
      <c r="AZ7" s="1127">
        <v>0.33333333333333331</v>
      </c>
      <c r="BA7" s="1129">
        <v>13735.149333333335</v>
      </c>
      <c r="BB7" s="1129">
        <v>0</v>
      </c>
      <c r="BC7" s="1129">
        <v>13735.149333333335</v>
      </c>
      <c r="BD7" s="1129">
        <v>0</v>
      </c>
      <c r="BE7" s="1129">
        <v>0</v>
      </c>
      <c r="BF7" s="1129">
        <v>0</v>
      </c>
      <c r="BG7" s="1129">
        <v>0</v>
      </c>
      <c r="BH7" s="1129">
        <v>13735.149333333335</v>
      </c>
      <c r="BI7" s="1981"/>
      <c r="BJ7" s="971"/>
      <c r="BK7" s="971"/>
      <c r="BL7" s="1246"/>
      <c r="BM7" s="1247" t="s">
        <v>2120</v>
      </c>
    </row>
    <row r="8" spans="1:65" s="1247" customFormat="1" ht="82.5" customHeight="1">
      <c r="A8" s="1272">
        <v>2000</v>
      </c>
      <c r="B8" s="971" t="s">
        <v>119</v>
      </c>
      <c r="C8" s="1272">
        <v>2300</v>
      </c>
      <c r="D8" s="971" t="s">
        <v>222</v>
      </c>
      <c r="E8" s="971" t="s">
        <v>223</v>
      </c>
      <c r="F8" s="971" t="s">
        <v>224</v>
      </c>
      <c r="G8" s="971" t="s">
        <v>3971</v>
      </c>
      <c r="H8" s="971" t="s">
        <v>224</v>
      </c>
      <c r="I8" s="1273" t="s">
        <v>7214</v>
      </c>
      <c r="J8" s="971" t="s">
        <v>2212</v>
      </c>
      <c r="K8" s="971" t="s">
        <v>2120</v>
      </c>
      <c r="L8" s="971" t="s">
        <v>2121</v>
      </c>
      <c r="M8" s="971" t="s">
        <v>2120</v>
      </c>
      <c r="N8" s="971" t="s">
        <v>179</v>
      </c>
      <c r="O8" s="971" t="s">
        <v>2121</v>
      </c>
      <c r="P8" s="971" t="s">
        <v>2304</v>
      </c>
      <c r="Q8" s="971" t="s">
        <v>7211</v>
      </c>
      <c r="R8" s="971" t="s">
        <v>3986</v>
      </c>
      <c r="S8" s="1274">
        <v>1</v>
      </c>
      <c r="T8" s="971" t="s">
        <v>242</v>
      </c>
      <c r="U8" s="1275">
        <v>168</v>
      </c>
      <c r="V8" s="1275">
        <v>2220</v>
      </c>
      <c r="W8" s="1275">
        <v>16785.448</v>
      </c>
      <c r="X8" s="1275">
        <v>22200</v>
      </c>
      <c r="Y8" s="1275">
        <v>41205.448000000004</v>
      </c>
      <c r="Z8" s="1129">
        <v>168</v>
      </c>
      <c r="AA8" s="1129">
        <v>2220</v>
      </c>
      <c r="AB8" s="1129">
        <v>16785.448</v>
      </c>
      <c r="AC8" s="1129">
        <v>22200</v>
      </c>
      <c r="AD8" s="1098">
        <v>41205.448000000004</v>
      </c>
      <c r="AE8" s="1135">
        <v>56</v>
      </c>
      <c r="AF8" s="1129">
        <v>56</v>
      </c>
      <c r="AG8" s="1127">
        <v>1</v>
      </c>
      <c r="AH8" s="1127">
        <v>0</v>
      </c>
      <c r="AI8" s="1127">
        <v>0</v>
      </c>
      <c r="AJ8" s="1127">
        <v>1</v>
      </c>
      <c r="AK8" s="1129">
        <v>41205.448000000004</v>
      </c>
      <c r="AL8" s="1129">
        <v>0</v>
      </c>
      <c r="AM8" s="1129">
        <v>0</v>
      </c>
      <c r="AN8" s="1129">
        <v>41205.448000000004</v>
      </c>
      <c r="AO8" s="1129" t="s">
        <v>131</v>
      </c>
      <c r="AP8" s="1129" t="s">
        <v>96</v>
      </c>
      <c r="AQ8" s="1157">
        <v>2014</v>
      </c>
      <c r="AR8" s="1129" t="s">
        <v>87</v>
      </c>
      <c r="AS8" s="1127">
        <v>0.33333333333333331</v>
      </c>
      <c r="AT8" s="1127"/>
      <c r="AU8" s="1127">
        <v>0.33333333333333331</v>
      </c>
      <c r="AV8" s="1127"/>
      <c r="AW8" s="1127"/>
      <c r="AX8" s="1127"/>
      <c r="AY8" s="1127"/>
      <c r="AZ8" s="1127">
        <v>0.33333333333333331</v>
      </c>
      <c r="BA8" s="1129">
        <v>13735.149333333335</v>
      </c>
      <c r="BB8" s="1129">
        <v>0</v>
      </c>
      <c r="BC8" s="1129">
        <v>13735.149333333335</v>
      </c>
      <c r="BD8" s="1129">
        <v>0</v>
      </c>
      <c r="BE8" s="1129">
        <v>0</v>
      </c>
      <c r="BF8" s="1129">
        <v>0</v>
      </c>
      <c r="BG8" s="1129">
        <v>0</v>
      </c>
      <c r="BH8" s="1129">
        <v>13735.149333333335</v>
      </c>
      <c r="BI8" s="1981"/>
      <c r="BJ8" s="971"/>
      <c r="BK8" s="971"/>
      <c r="BL8" s="1246"/>
      <c r="BM8" s="1247" t="s">
        <v>2120</v>
      </c>
    </row>
    <row r="9" spans="1:65" s="1247" customFormat="1" ht="82.5" customHeight="1">
      <c r="A9" s="1272">
        <v>2000</v>
      </c>
      <c r="B9" s="971" t="s">
        <v>119</v>
      </c>
      <c r="C9" s="1272">
        <v>2300</v>
      </c>
      <c r="D9" s="971" t="s">
        <v>222</v>
      </c>
      <c r="E9" s="971" t="s">
        <v>223</v>
      </c>
      <c r="F9" s="971" t="s">
        <v>224</v>
      </c>
      <c r="G9" s="971" t="s">
        <v>3971</v>
      </c>
      <c r="H9" s="971" t="s">
        <v>224</v>
      </c>
      <c r="I9" s="1273" t="s">
        <v>7215</v>
      </c>
      <c r="J9" s="971" t="s">
        <v>2212</v>
      </c>
      <c r="K9" s="971" t="s">
        <v>2120</v>
      </c>
      <c r="L9" s="971" t="s">
        <v>2121</v>
      </c>
      <c r="M9" s="971" t="s">
        <v>2120</v>
      </c>
      <c r="N9" s="971" t="s">
        <v>179</v>
      </c>
      <c r="O9" s="971" t="s">
        <v>2121</v>
      </c>
      <c r="P9" s="971" t="s">
        <v>2304</v>
      </c>
      <c r="Q9" s="971" t="s">
        <v>7211</v>
      </c>
      <c r="R9" s="971" t="s">
        <v>3987</v>
      </c>
      <c r="S9" s="1274">
        <v>1</v>
      </c>
      <c r="T9" s="971" t="s">
        <v>242</v>
      </c>
      <c r="U9" s="1275">
        <v>168</v>
      </c>
      <c r="V9" s="1275">
        <v>2220</v>
      </c>
      <c r="W9" s="1275">
        <v>16785.448</v>
      </c>
      <c r="X9" s="1275">
        <v>22200</v>
      </c>
      <c r="Y9" s="1275">
        <v>41205.448000000004</v>
      </c>
      <c r="Z9" s="1129">
        <v>168</v>
      </c>
      <c r="AA9" s="1129">
        <v>2220</v>
      </c>
      <c r="AB9" s="1129">
        <v>16785.448</v>
      </c>
      <c r="AC9" s="1129">
        <v>22200</v>
      </c>
      <c r="AD9" s="1098">
        <v>41205.448000000004</v>
      </c>
      <c r="AE9" s="1135">
        <v>56</v>
      </c>
      <c r="AF9" s="1129">
        <v>56</v>
      </c>
      <c r="AG9" s="1127">
        <v>1</v>
      </c>
      <c r="AH9" s="1127">
        <v>0</v>
      </c>
      <c r="AI9" s="1127">
        <v>0</v>
      </c>
      <c r="AJ9" s="1127">
        <v>1</v>
      </c>
      <c r="AK9" s="1129">
        <v>41205.448000000004</v>
      </c>
      <c r="AL9" s="1129">
        <v>0</v>
      </c>
      <c r="AM9" s="1129">
        <v>0</v>
      </c>
      <c r="AN9" s="1129">
        <v>41205.448000000004</v>
      </c>
      <c r="AO9" s="1129" t="s">
        <v>131</v>
      </c>
      <c r="AP9" s="1129" t="s">
        <v>96</v>
      </c>
      <c r="AQ9" s="1157">
        <v>2014</v>
      </c>
      <c r="AR9" s="1129" t="s">
        <v>87</v>
      </c>
      <c r="AS9" s="1127">
        <v>0.33333333333333331</v>
      </c>
      <c r="AT9" s="1127"/>
      <c r="AU9" s="1127">
        <v>0.33333333333333331</v>
      </c>
      <c r="AV9" s="1127"/>
      <c r="AW9" s="1127"/>
      <c r="AX9" s="1127"/>
      <c r="AY9" s="1127"/>
      <c r="AZ9" s="1127">
        <v>0.33333333333333331</v>
      </c>
      <c r="BA9" s="1129">
        <v>13735.149333333335</v>
      </c>
      <c r="BB9" s="1129">
        <v>0</v>
      </c>
      <c r="BC9" s="1129">
        <v>13735.149333333335</v>
      </c>
      <c r="BD9" s="1129">
        <v>0</v>
      </c>
      <c r="BE9" s="1129">
        <v>0</v>
      </c>
      <c r="BF9" s="1129">
        <v>0</v>
      </c>
      <c r="BG9" s="1129">
        <v>0</v>
      </c>
      <c r="BH9" s="1129">
        <v>13735.149333333335</v>
      </c>
      <c r="BI9" s="1981"/>
      <c r="BJ9" s="971"/>
      <c r="BK9" s="971"/>
      <c r="BL9" s="1246"/>
      <c r="BM9" s="1247" t="s">
        <v>2120</v>
      </c>
    </row>
    <row r="10" spans="1:65" s="1247" customFormat="1" ht="82.5" customHeight="1">
      <c r="A10" s="1272">
        <v>2000</v>
      </c>
      <c r="B10" s="971" t="s">
        <v>119</v>
      </c>
      <c r="C10" s="1272">
        <v>2300</v>
      </c>
      <c r="D10" s="971" t="s">
        <v>222</v>
      </c>
      <c r="E10" s="971" t="s">
        <v>223</v>
      </c>
      <c r="F10" s="971" t="s">
        <v>224</v>
      </c>
      <c r="G10" s="971" t="s">
        <v>3971</v>
      </c>
      <c r="H10" s="971" t="s">
        <v>224</v>
      </c>
      <c r="I10" s="1273" t="s">
        <v>7216</v>
      </c>
      <c r="J10" s="971" t="s">
        <v>2212</v>
      </c>
      <c r="K10" s="971" t="s">
        <v>2120</v>
      </c>
      <c r="L10" s="971" t="s">
        <v>2121</v>
      </c>
      <c r="M10" s="971" t="s">
        <v>2120</v>
      </c>
      <c r="N10" s="971" t="s">
        <v>179</v>
      </c>
      <c r="O10" s="971" t="s">
        <v>2121</v>
      </c>
      <c r="P10" s="971" t="s">
        <v>2304</v>
      </c>
      <c r="Q10" s="971" t="s">
        <v>7211</v>
      </c>
      <c r="R10" s="971" t="s">
        <v>3988</v>
      </c>
      <c r="S10" s="1274">
        <v>1</v>
      </c>
      <c r="T10" s="971" t="s">
        <v>242</v>
      </c>
      <c r="U10" s="1275">
        <v>168</v>
      </c>
      <c r="V10" s="1275">
        <v>2220</v>
      </c>
      <c r="W10" s="1275">
        <v>16785.448</v>
      </c>
      <c r="X10" s="1275">
        <v>22200</v>
      </c>
      <c r="Y10" s="1275">
        <v>41205.448000000004</v>
      </c>
      <c r="Z10" s="1129">
        <v>168</v>
      </c>
      <c r="AA10" s="1129">
        <v>2220</v>
      </c>
      <c r="AB10" s="1129">
        <v>16785.448</v>
      </c>
      <c r="AC10" s="1129">
        <v>22200</v>
      </c>
      <c r="AD10" s="1098">
        <v>41205.448000000004</v>
      </c>
      <c r="AE10" s="1135">
        <v>56</v>
      </c>
      <c r="AF10" s="1129">
        <v>56</v>
      </c>
      <c r="AG10" s="1127">
        <v>1</v>
      </c>
      <c r="AH10" s="1127">
        <v>0</v>
      </c>
      <c r="AI10" s="1127">
        <v>0</v>
      </c>
      <c r="AJ10" s="1127">
        <v>1</v>
      </c>
      <c r="AK10" s="1129">
        <v>41205.448000000004</v>
      </c>
      <c r="AL10" s="1129">
        <v>0</v>
      </c>
      <c r="AM10" s="1129">
        <v>0</v>
      </c>
      <c r="AN10" s="1129">
        <v>41205.448000000004</v>
      </c>
      <c r="AO10" s="1129" t="s">
        <v>131</v>
      </c>
      <c r="AP10" s="1129" t="s">
        <v>96</v>
      </c>
      <c r="AQ10" s="1157">
        <v>2014</v>
      </c>
      <c r="AR10" s="1129" t="s">
        <v>87</v>
      </c>
      <c r="AS10" s="1127">
        <v>0.33333333333333331</v>
      </c>
      <c r="AT10" s="1127"/>
      <c r="AU10" s="1127">
        <v>0.33333333333333331</v>
      </c>
      <c r="AV10" s="1127"/>
      <c r="AW10" s="1127"/>
      <c r="AX10" s="1127"/>
      <c r="AY10" s="1127"/>
      <c r="AZ10" s="1127">
        <v>0.33333333333333331</v>
      </c>
      <c r="BA10" s="1129">
        <v>13735.149333333335</v>
      </c>
      <c r="BB10" s="1129">
        <v>0</v>
      </c>
      <c r="BC10" s="1129">
        <v>13735.149333333335</v>
      </c>
      <c r="BD10" s="1129">
        <v>0</v>
      </c>
      <c r="BE10" s="1129">
        <v>0</v>
      </c>
      <c r="BF10" s="1129">
        <v>0</v>
      </c>
      <c r="BG10" s="1129">
        <v>0</v>
      </c>
      <c r="BH10" s="1129">
        <v>13735.149333333335</v>
      </c>
      <c r="BI10" s="1981"/>
      <c r="BJ10" s="971"/>
      <c r="BK10" s="971"/>
      <c r="BL10" s="1246"/>
      <c r="BM10" s="1247" t="s">
        <v>2120</v>
      </c>
    </row>
    <row r="11" spans="1:65" s="1247" customFormat="1" ht="66" customHeight="1">
      <c r="A11" s="1272">
        <v>2000</v>
      </c>
      <c r="B11" s="971" t="s">
        <v>119</v>
      </c>
      <c r="C11" s="1272">
        <v>2300</v>
      </c>
      <c r="D11" s="971" t="s">
        <v>222</v>
      </c>
      <c r="E11" s="971" t="s">
        <v>223</v>
      </c>
      <c r="F11" s="971" t="s">
        <v>224</v>
      </c>
      <c r="G11" s="971" t="s">
        <v>244</v>
      </c>
      <c r="H11" s="971" t="s">
        <v>245</v>
      </c>
      <c r="I11" s="1273" t="s">
        <v>7217</v>
      </c>
      <c r="J11" s="971" t="s">
        <v>7218</v>
      </c>
      <c r="K11" s="971" t="s">
        <v>2120</v>
      </c>
      <c r="L11" s="971" t="s">
        <v>2121</v>
      </c>
      <c r="M11" s="971" t="s">
        <v>2120</v>
      </c>
      <c r="N11" s="971" t="s">
        <v>179</v>
      </c>
      <c r="O11" s="971" t="s">
        <v>2121</v>
      </c>
      <c r="P11" s="971" t="s">
        <v>7219</v>
      </c>
      <c r="Q11" s="971" t="s">
        <v>7220</v>
      </c>
      <c r="R11" s="971" t="s">
        <v>3989</v>
      </c>
      <c r="S11" s="1274">
        <v>1</v>
      </c>
      <c r="T11" s="971" t="s">
        <v>242</v>
      </c>
      <c r="U11" s="1275">
        <v>168</v>
      </c>
      <c r="V11" s="1275">
        <v>2220</v>
      </c>
      <c r="W11" s="1275">
        <v>16785.448</v>
      </c>
      <c r="X11" s="1275">
        <v>22200</v>
      </c>
      <c r="Y11" s="1275">
        <v>41205.448000000004</v>
      </c>
      <c r="Z11" s="1129">
        <v>168</v>
      </c>
      <c r="AA11" s="1129">
        <v>2220</v>
      </c>
      <c r="AB11" s="1129">
        <v>16785.448</v>
      </c>
      <c r="AC11" s="1129">
        <v>22200</v>
      </c>
      <c r="AD11" s="1098">
        <v>41205.448000000004</v>
      </c>
      <c r="AE11" s="1135">
        <v>56</v>
      </c>
      <c r="AF11" s="1129">
        <v>56</v>
      </c>
      <c r="AG11" s="1127">
        <v>1</v>
      </c>
      <c r="AH11" s="1127">
        <v>0</v>
      </c>
      <c r="AI11" s="1127">
        <v>0</v>
      </c>
      <c r="AJ11" s="1127">
        <v>1</v>
      </c>
      <c r="AK11" s="1129">
        <v>41205.448000000004</v>
      </c>
      <c r="AL11" s="1129">
        <v>0</v>
      </c>
      <c r="AM11" s="1129">
        <v>0</v>
      </c>
      <c r="AN11" s="1129">
        <v>41205.448000000004</v>
      </c>
      <c r="AO11" s="1129" t="s">
        <v>131</v>
      </c>
      <c r="AP11" s="1129" t="s">
        <v>96</v>
      </c>
      <c r="AQ11" s="1157">
        <v>2014</v>
      </c>
      <c r="AR11" s="1129" t="s">
        <v>87</v>
      </c>
      <c r="AS11" s="1127">
        <v>0.33333333333333331</v>
      </c>
      <c r="AT11" s="1127"/>
      <c r="AU11" s="1127">
        <v>0.33333333333333331</v>
      </c>
      <c r="AV11" s="1127"/>
      <c r="AW11" s="1127"/>
      <c r="AX11" s="1127"/>
      <c r="AY11" s="1127"/>
      <c r="AZ11" s="1127">
        <v>0.33333333333333331</v>
      </c>
      <c r="BA11" s="1129">
        <v>13735.149333333335</v>
      </c>
      <c r="BB11" s="1129">
        <v>0</v>
      </c>
      <c r="BC11" s="1129">
        <v>13735.149333333335</v>
      </c>
      <c r="BD11" s="1129">
        <v>0</v>
      </c>
      <c r="BE11" s="1129">
        <v>0</v>
      </c>
      <c r="BF11" s="1129">
        <v>0</v>
      </c>
      <c r="BG11" s="1129">
        <v>0</v>
      </c>
      <c r="BH11" s="1129">
        <v>13735.149333333335</v>
      </c>
      <c r="BI11" s="1981"/>
      <c r="BJ11" s="971"/>
      <c r="BK11" s="971"/>
      <c r="BL11" s="1246"/>
      <c r="BM11" s="1247" t="s">
        <v>2120</v>
      </c>
    </row>
    <row r="12" spans="1:65" s="1247" customFormat="1" ht="66" customHeight="1">
      <c r="A12" s="1272">
        <v>2000</v>
      </c>
      <c r="B12" s="971" t="s">
        <v>119</v>
      </c>
      <c r="C12" s="1272">
        <v>2300</v>
      </c>
      <c r="D12" s="971" t="s">
        <v>222</v>
      </c>
      <c r="E12" s="971" t="s">
        <v>223</v>
      </c>
      <c r="F12" s="971" t="s">
        <v>224</v>
      </c>
      <c r="G12" s="971" t="s">
        <v>244</v>
      </c>
      <c r="H12" s="971" t="s">
        <v>245</v>
      </c>
      <c r="I12" s="1273" t="s">
        <v>7221</v>
      </c>
      <c r="J12" s="971" t="s">
        <v>7218</v>
      </c>
      <c r="K12" s="971" t="s">
        <v>2120</v>
      </c>
      <c r="L12" s="971" t="s">
        <v>2121</v>
      </c>
      <c r="M12" s="971" t="s">
        <v>2120</v>
      </c>
      <c r="N12" s="971" t="s">
        <v>179</v>
      </c>
      <c r="O12" s="971" t="s">
        <v>2121</v>
      </c>
      <c r="P12" s="971" t="s">
        <v>7219</v>
      </c>
      <c r="Q12" s="971" t="s">
        <v>7222</v>
      </c>
      <c r="R12" s="971" t="s">
        <v>3998</v>
      </c>
      <c r="S12" s="1274">
        <v>1</v>
      </c>
      <c r="T12" s="971" t="s">
        <v>242</v>
      </c>
      <c r="U12" s="1275">
        <v>168</v>
      </c>
      <c r="V12" s="1275" t="s">
        <v>3109</v>
      </c>
      <c r="W12" s="1275">
        <v>16785.448</v>
      </c>
      <c r="X12" s="1275">
        <v>22200</v>
      </c>
      <c r="Y12" s="1275">
        <v>41205.448000000004</v>
      </c>
      <c r="Z12" s="1129">
        <v>168</v>
      </c>
      <c r="AA12" s="1129">
        <v>2220</v>
      </c>
      <c r="AB12" s="1129">
        <v>16785.448</v>
      </c>
      <c r="AC12" s="1129">
        <v>22200</v>
      </c>
      <c r="AD12" s="1098">
        <v>41205.448000000004</v>
      </c>
      <c r="AE12" s="1135">
        <v>56</v>
      </c>
      <c r="AF12" s="1129">
        <v>56</v>
      </c>
      <c r="AG12" s="1127">
        <v>1</v>
      </c>
      <c r="AH12" s="1127">
        <v>0</v>
      </c>
      <c r="AI12" s="1127">
        <v>0</v>
      </c>
      <c r="AJ12" s="1127">
        <v>1</v>
      </c>
      <c r="AK12" s="1129">
        <v>41205.448000000004</v>
      </c>
      <c r="AL12" s="1129">
        <v>0</v>
      </c>
      <c r="AM12" s="1129">
        <v>0</v>
      </c>
      <c r="AN12" s="1129">
        <v>41205.448000000004</v>
      </c>
      <c r="AO12" s="1129" t="s">
        <v>131</v>
      </c>
      <c r="AP12" s="1129" t="s">
        <v>96</v>
      </c>
      <c r="AQ12" s="1157">
        <v>2014</v>
      </c>
      <c r="AR12" s="1129" t="s">
        <v>87</v>
      </c>
      <c r="AS12" s="1127">
        <v>0.33333333333333331</v>
      </c>
      <c r="AT12" s="1127"/>
      <c r="AU12" s="1127">
        <v>0.33333333333333331</v>
      </c>
      <c r="AV12" s="1127"/>
      <c r="AW12" s="1127"/>
      <c r="AX12" s="1127"/>
      <c r="AY12" s="1127"/>
      <c r="AZ12" s="1127">
        <v>0.33333333333333331</v>
      </c>
      <c r="BA12" s="1129">
        <v>13735.149333333335</v>
      </c>
      <c r="BB12" s="1129">
        <v>0</v>
      </c>
      <c r="BC12" s="1129">
        <v>13735.149333333335</v>
      </c>
      <c r="BD12" s="1129">
        <v>0</v>
      </c>
      <c r="BE12" s="1129">
        <v>0</v>
      </c>
      <c r="BF12" s="1129">
        <v>0</v>
      </c>
      <c r="BG12" s="1129">
        <v>0</v>
      </c>
      <c r="BH12" s="1129">
        <v>13735.149333333335</v>
      </c>
      <c r="BI12" s="1981"/>
      <c r="BJ12" s="971"/>
      <c r="BK12" s="971"/>
      <c r="BL12" s="1246"/>
      <c r="BM12" s="1247" t="s">
        <v>2120</v>
      </c>
    </row>
    <row r="13" spans="1:65" s="1247" customFormat="1" ht="66" customHeight="1">
      <c r="A13" s="1272">
        <v>2000</v>
      </c>
      <c r="B13" s="971" t="s">
        <v>119</v>
      </c>
      <c r="C13" s="1272">
        <v>2300</v>
      </c>
      <c r="D13" s="971" t="s">
        <v>222</v>
      </c>
      <c r="E13" s="971" t="s">
        <v>223</v>
      </c>
      <c r="F13" s="971" t="s">
        <v>224</v>
      </c>
      <c r="G13" s="971" t="s">
        <v>244</v>
      </c>
      <c r="H13" s="971" t="s">
        <v>245</v>
      </c>
      <c r="I13" s="1273" t="s">
        <v>7223</v>
      </c>
      <c r="J13" s="971" t="s">
        <v>7218</v>
      </c>
      <c r="K13" s="971" t="s">
        <v>2120</v>
      </c>
      <c r="L13" s="971" t="s">
        <v>2121</v>
      </c>
      <c r="M13" s="971" t="s">
        <v>2120</v>
      </c>
      <c r="N13" s="971" t="s">
        <v>179</v>
      </c>
      <c r="O13" s="971" t="s">
        <v>2121</v>
      </c>
      <c r="P13" s="971" t="s">
        <v>7219</v>
      </c>
      <c r="Q13" s="971" t="s">
        <v>7222</v>
      </c>
      <c r="R13" s="971" t="s">
        <v>4000</v>
      </c>
      <c r="S13" s="1274">
        <v>1</v>
      </c>
      <c r="T13" s="971" t="s">
        <v>242</v>
      </c>
      <c r="U13" s="1275">
        <v>168</v>
      </c>
      <c r="V13" s="1275">
        <v>2220</v>
      </c>
      <c r="W13" s="1275">
        <v>16785.448</v>
      </c>
      <c r="X13" s="1275">
        <v>22200</v>
      </c>
      <c r="Y13" s="1275">
        <v>41205.448000000004</v>
      </c>
      <c r="Z13" s="1129">
        <v>168</v>
      </c>
      <c r="AA13" s="1129">
        <v>2220</v>
      </c>
      <c r="AB13" s="1129">
        <v>16785.448</v>
      </c>
      <c r="AC13" s="1129">
        <v>22200</v>
      </c>
      <c r="AD13" s="1098">
        <v>41205.448000000004</v>
      </c>
      <c r="AE13" s="1135">
        <v>56</v>
      </c>
      <c r="AF13" s="1129">
        <v>56</v>
      </c>
      <c r="AG13" s="1127">
        <v>1</v>
      </c>
      <c r="AH13" s="1127">
        <v>0</v>
      </c>
      <c r="AI13" s="1127">
        <v>0</v>
      </c>
      <c r="AJ13" s="1127">
        <v>1</v>
      </c>
      <c r="AK13" s="1129">
        <v>41205.448000000004</v>
      </c>
      <c r="AL13" s="1129">
        <v>0</v>
      </c>
      <c r="AM13" s="1129">
        <v>0</v>
      </c>
      <c r="AN13" s="1129">
        <v>41205.448000000004</v>
      </c>
      <c r="AO13" s="1129" t="s">
        <v>131</v>
      </c>
      <c r="AP13" s="1129" t="s">
        <v>96</v>
      </c>
      <c r="AQ13" s="1157">
        <v>2014</v>
      </c>
      <c r="AR13" s="1129" t="s">
        <v>87</v>
      </c>
      <c r="AS13" s="1127">
        <v>0.33333333333333331</v>
      </c>
      <c r="AT13" s="1127"/>
      <c r="AU13" s="1127">
        <v>0.33333333333333331</v>
      </c>
      <c r="AV13" s="1127"/>
      <c r="AW13" s="1127"/>
      <c r="AX13" s="1127"/>
      <c r="AY13" s="1127"/>
      <c r="AZ13" s="1127">
        <v>0.33333333333333331</v>
      </c>
      <c r="BA13" s="1129">
        <v>13735.149333333335</v>
      </c>
      <c r="BB13" s="1129">
        <v>0</v>
      </c>
      <c r="BC13" s="1129">
        <v>13735.149333333335</v>
      </c>
      <c r="BD13" s="1129">
        <v>0</v>
      </c>
      <c r="BE13" s="1129">
        <v>0</v>
      </c>
      <c r="BF13" s="1129">
        <v>0</v>
      </c>
      <c r="BG13" s="1129">
        <v>0</v>
      </c>
      <c r="BH13" s="1129">
        <v>13735.149333333335</v>
      </c>
      <c r="BI13" s="1981"/>
      <c r="BJ13" s="971"/>
      <c r="BK13" s="971"/>
      <c r="BL13" s="1246"/>
      <c r="BM13" s="1247" t="s">
        <v>2120</v>
      </c>
    </row>
    <row r="14" spans="1:65" s="1247" customFormat="1" ht="66" customHeight="1">
      <c r="A14" s="1272">
        <v>2000</v>
      </c>
      <c r="B14" s="971" t="s">
        <v>119</v>
      </c>
      <c r="C14" s="1272">
        <v>2300</v>
      </c>
      <c r="D14" s="971" t="s">
        <v>222</v>
      </c>
      <c r="E14" s="971" t="s">
        <v>223</v>
      </c>
      <c r="F14" s="971" t="s">
        <v>224</v>
      </c>
      <c r="G14" s="971" t="s">
        <v>244</v>
      </c>
      <c r="H14" s="971" t="s">
        <v>245</v>
      </c>
      <c r="I14" s="1273" t="s">
        <v>7224</v>
      </c>
      <c r="J14" s="971" t="s">
        <v>7225</v>
      </c>
      <c r="K14" s="971" t="s">
        <v>2120</v>
      </c>
      <c r="L14" s="971" t="s">
        <v>2121</v>
      </c>
      <c r="M14" s="971" t="s">
        <v>2120</v>
      </c>
      <c r="N14" s="971" t="s">
        <v>179</v>
      </c>
      <c r="O14" s="971" t="s">
        <v>2121</v>
      </c>
      <c r="P14" s="971" t="s">
        <v>7219</v>
      </c>
      <c r="Q14" s="971" t="s">
        <v>7226</v>
      </c>
      <c r="R14" s="971" t="s">
        <v>4001</v>
      </c>
      <c r="S14" s="1274">
        <v>1</v>
      </c>
      <c r="T14" s="971" t="s">
        <v>242</v>
      </c>
      <c r="U14" s="1275">
        <v>168</v>
      </c>
      <c r="V14" s="1275">
        <v>2220</v>
      </c>
      <c r="W14" s="1275">
        <v>16785.448</v>
      </c>
      <c r="X14" s="1275">
        <v>22200</v>
      </c>
      <c r="Y14" s="1275">
        <v>41205.448000000004</v>
      </c>
      <c r="Z14" s="1129">
        <v>168</v>
      </c>
      <c r="AA14" s="1129">
        <v>2220</v>
      </c>
      <c r="AB14" s="1129">
        <v>16785.448</v>
      </c>
      <c r="AC14" s="1129">
        <v>22200</v>
      </c>
      <c r="AD14" s="1098">
        <v>41205.448000000004</v>
      </c>
      <c r="AE14" s="1135">
        <v>56</v>
      </c>
      <c r="AF14" s="1129">
        <v>56</v>
      </c>
      <c r="AG14" s="1127">
        <v>1</v>
      </c>
      <c r="AH14" s="1127">
        <v>0</v>
      </c>
      <c r="AI14" s="1127">
        <v>0</v>
      </c>
      <c r="AJ14" s="1127">
        <v>1</v>
      </c>
      <c r="AK14" s="1129">
        <v>41205.448000000004</v>
      </c>
      <c r="AL14" s="1129">
        <v>0</v>
      </c>
      <c r="AM14" s="1129">
        <v>0</v>
      </c>
      <c r="AN14" s="1129">
        <v>41205.448000000004</v>
      </c>
      <c r="AO14" s="1129" t="s">
        <v>131</v>
      </c>
      <c r="AP14" s="1129" t="s">
        <v>96</v>
      </c>
      <c r="AQ14" s="1157">
        <v>2014</v>
      </c>
      <c r="AR14" s="1129" t="s">
        <v>87</v>
      </c>
      <c r="AS14" s="1127">
        <v>0.33333333333333331</v>
      </c>
      <c r="AT14" s="1127"/>
      <c r="AU14" s="1127">
        <v>0.33333333333333331</v>
      </c>
      <c r="AV14" s="1127"/>
      <c r="AW14" s="1127"/>
      <c r="AX14" s="1127"/>
      <c r="AY14" s="1127"/>
      <c r="AZ14" s="1127">
        <v>0.33333333333333331</v>
      </c>
      <c r="BA14" s="1129">
        <v>13735.149333333335</v>
      </c>
      <c r="BB14" s="1129">
        <v>0</v>
      </c>
      <c r="BC14" s="1129">
        <v>13735.149333333335</v>
      </c>
      <c r="BD14" s="1129">
        <v>0</v>
      </c>
      <c r="BE14" s="1129">
        <v>0</v>
      </c>
      <c r="BF14" s="1129">
        <v>0</v>
      </c>
      <c r="BG14" s="1129">
        <v>0</v>
      </c>
      <c r="BH14" s="1129">
        <v>13735.149333333335</v>
      </c>
      <c r="BI14" s="1981"/>
      <c r="BJ14" s="971"/>
      <c r="BK14" s="971"/>
      <c r="BL14" s="1246"/>
      <c r="BM14" s="1247" t="s">
        <v>2120</v>
      </c>
    </row>
    <row r="15" spans="1:65" s="1247" customFormat="1" ht="66" customHeight="1">
      <c r="A15" s="1272">
        <v>2000</v>
      </c>
      <c r="B15" s="971" t="s">
        <v>119</v>
      </c>
      <c r="C15" s="1272">
        <v>2300</v>
      </c>
      <c r="D15" s="971" t="s">
        <v>222</v>
      </c>
      <c r="E15" s="971" t="s">
        <v>223</v>
      </c>
      <c r="F15" s="971" t="s">
        <v>224</v>
      </c>
      <c r="G15" s="971" t="s">
        <v>244</v>
      </c>
      <c r="H15" s="971" t="s">
        <v>245</v>
      </c>
      <c r="I15" s="1273" t="s">
        <v>7227</v>
      </c>
      <c r="J15" s="971" t="s">
        <v>7225</v>
      </c>
      <c r="K15" s="971" t="s">
        <v>2120</v>
      </c>
      <c r="L15" s="971" t="s">
        <v>2121</v>
      </c>
      <c r="M15" s="971" t="s">
        <v>2120</v>
      </c>
      <c r="N15" s="971" t="s">
        <v>179</v>
      </c>
      <c r="O15" s="971" t="s">
        <v>2121</v>
      </c>
      <c r="P15" s="971" t="s">
        <v>7219</v>
      </c>
      <c r="Q15" s="971" t="s">
        <v>7226</v>
      </c>
      <c r="R15" s="971" t="s">
        <v>4007</v>
      </c>
      <c r="S15" s="1274">
        <v>1</v>
      </c>
      <c r="T15" s="971" t="s">
        <v>242</v>
      </c>
      <c r="U15" s="1275">
        <v>168</v>
      </c>
      <c r="V15" s="1275">
        <v>2220</v>
      </c>
      <c r="W15" s="1275">
        <v>16785.448</v>
      </c>
      <c r="X15" s="1275">
        <v>22200</v>
      </c>
      <c r="Y15" s="1275">
        <v>41205.448000000004</v>
      </c>
      <c r="Z15" s="1129">
        <v>168</v>
      </c>
      <c r="AA15" s="1129">
        <v>2220</v>
      </c>
      <c r="AB15" s="1129">
        <v>16785.448</v>
      </c>
      <c r="AC15" s="1129">
        <v>22200</v>
      </c>
      <c r="AD15" s="1098">
        <v>41205.448000000004</v>
      </c>
      <c r="AE15" s="1135">
        <v>56</v>
      </c>
      <c r="AF15" s="1129">
        <v>56</v>
      </c>
      <c r="AG15" s="1127">
        <v>1</v>
      </c>
      <c r="AH15" s="1127">
        <v>0</v>
      </c>
      <c r="AI15" s="1127">
        <v>0</v>
      </c>
      <c r="AJ15" s="1127">
        <v>1</v>
      </c>
      <c r="AK15" s="1129">
        <v>41205.448000000004</v>
      </c>
      <c r="AL15" s="1129">
        <v>0</v>
      </c>
      <c r="AM15" s="1129">
        <v>0</v>
      </c>
      <c r="AN15" s="1129">
        <v>41205.448000000004</v>
      </c>
      <c r="AO15" s="1129" t="s">
        <v>131</v>
      </c>
      <c r="AP15" s="1129" t="s">
        <v>96</v>
      </c>
      <c r="AQ15" s="1157">
        <v>2014</v>
      </c>
      <c r="AR15" s="1129" t="s">
        <v>87</v>
      </c>
      <c r="AS15" s="1127">
        <v>0.33333333333333331</v>
      </c>
      <c r="AT15" s="1127"/>
      <c r="AU15" s="1127">
        <v>0.33333333333333331</v>
      </c>
      <c r="AV15" s="1127"/>
      <c r="AW15" s="1127"/>
      <c r="AX15" s="1127"/>
      <c r="AY15" s="1127"/>
      <c r="AZ15" s="1127">
        <v>0.33333333333333331</v>
      </c>
      <c r="BA15" s="1129">
        <v>13735.149333333335</v>
      </c>
      <c r="BB15" s="1129">
        <v>0</v>
      </c>
      <c r="BC15" s="1129">
        <v>13735.149333333335</v>
      </c>
      <c r="BD15" s="1129">
        <v>0</v>
      </c>
      <c r="BE15" s="1129">
        <v>0</v>
      </c>
      <c r="BF15" s="1129">
        <v>0</v>
      </c>
      <c r="BG15" s="1129">
        <v>0</v>
      </c>
      <c r="BH15" s="1129">
        <v>13735.149333333335</v>
      </c>
      <c r="BI15" s="1981"/>
      <c r="BJ15" s="971"/>
      <c r="BK15" s="971"/>
      <c r="BL15" s="1246"/>
      <c r="BM15" s="1247" t="s">
        <v>2120</v>
      </c>
    </row>
    <row r="16" spans="1:65" s="1247" customFormat="1" ht="66" customHeight="1">
      <c r="A16" s="1272">
        <v>2000</v>
      </c>
      <c r="B16" s="971" t="s">
        <v>119</v>
      </c>
      <c r="C16" s="1272">
        <v>2300</v>
      </c>
      <c r="D16" s="971" t="s">
        <v>222</v>
      </c>
      <c r="E16" s="971" t="s">
        <v>223</v>
      </c>
      <c r="F16" s="971" t="s">
        <v>224</v>
      </c>
      <c r="G16" s="971" t="s">
        <v>244</v>
      </c>
      <c r="H16" s="971" t="s">
        <v>245</v>
      </c>
      <c r="I16" s="1273" t="s">
        <v>7228</v>
      </c>
      <c r="J16" s="971" t="s">
        <v>7225</v>
      </c>
      <c r="K16" s="971" t="s">
        <v>2120</v>
      </c>
      <c r="L16" s="971" t="s">
        <v>2121</v>
      </c>
      <c r="M16" s="971" t="s">
        <v>2120</v>
      </c>
      <c r="N16" s="971" t="s">
        <v>179</v>
      </c>
      <c r="O16" s="971" t="s">
        <v>2121</v>
      </c>
      <c r="P16" s="971" t="s">
        <v>7219</v>
      </c>
      <c r="Q16" s="971" t="s">
        <v>7229</v>
      </c>
      <c r="R16" s="971" t="s">
        <v>4008</v>
      </c>
      <c r="S16" s="1274">
        <v>1</v>
      </c>
      <c r="T16" s="971" t="s">
        <v>242</v>
      </c>
      <c r="U16" s="1275">
        <v>168</v>
      </c>
      <c r="V16" s="1275">
        <v>2220</v>
      </c>
      <c r="W16" s="1275">
        <v>16785.448</v>
      </c>
      <c r="X16" s="1275">
        <v>22200</v>
      </c>
      <c r="Y16" s="1275">
        <v>41205.448000000004</v>
      </c>
      <c r="Z16" s="1129">
        <v>168</v>
      </c>
      <c r="AA16" s="1129">
        <v>2220</v>
      </c>
      <c r="AB16" s="1129">
        <v>16785.448</v>
      </c>
      <c r="AC16" s="1129">
        <v>22200</v>
      </c>
      <c r="AD16" s="1098">
        <v>41205.448000000004</v>
      </c>
      <c r="AE16" s="1135">
        <v>56</v>
      </c>
      <c r="AF16" s="1129">
        <v>56</v>
      </c>
      <c r="AG16" s="1127">
        <v>1</v>
      </c>
      <c r="AH16" s="1127">
        <v>0</v>
      </c>
      <c r="AI16" s="1127">
        <v>0</v>
      </c>
      <c r="AJ16" s="1127">
        <v>1</v>
      </c>
      <c r="AK16" s="1129">
        <v>41205.448000000004</v>
      </c>
      <c r="AL16" s="1129">
        <v>0</v>
      </c>
      <c r="AM16" s="1129">
        <v>0</v>
      </c>
      <c r="AN16" s="1129">
        <v>41205.448000000004</v>
      </c>
      <c r="AO16" s="1129" t="s">
        <v>131</v>
      </c>
      <c r="AP16" s="1129" t="s">
        <v>96</v>
      </c>
      <c r="AQ16" s="1157">
        <v>2014</v>
      </c>
      <c r="AR16" s="1129" t="s">
        <v>87</v>
      </c>
      <c r="AS16" s="1127">
        <v>0.33333333333333331</v>
      </c>
      <c r="AT16" s="1127"/>
      <c r="AU16" s="1127">
        <v>0.33333333333333331</v>
      </c>
      <c r="AV16" s="1127"/>
      <c r="AW16" s="1127"/>
      <c r="AX16" s="1127"/>
      <c r="AY16" s="1127"/>
      <c r="AZ16" s="1127">
        <v>0.33333333333333331</v>
      </c>
      <c r="BA16" s="1129">
        <v>13735.149333333335</v>
      </c>
      <c r="BB16" s="1129">
        <v>0</v>
      </c>
      <c r="BC16" s="1129">
        <v>13735.149333333335</v>
      </c>
      <c r="BD16" s="1129">
        <v>0</v>
      </c>
      <c r="BE16" s="1129">
        <v>0</v>
      </c>
      <c r="BF16" s="1129">
        <v>0</v>
      </c>
      <c r="BG16" s="1129">
        <v>0</v>
      </c>
      <c r="BH16" s="1129">
        <v>13735.149333333335</v>
      </c>
      <c r="BI16" s="1981"/>
      <c r="BJ16" s="971"/>
      <c r="BK16" s="971"/>
      <c r="BL16" s="1246"/>
      <c r="BM16" s="1247" t="s">
        <v>2120</v>
      </c>
    </row>
    <row r="17" spans="1:65" s="1247" customFormat="1" ht="49.5" customHeight="1">
      <c r="A17" s="1272">
        <v>2000</v>
      </c>
      <c r="B17" s="971" t="s">
        <v>119</v>
      </c>
      <c r="C17" s="1272">
        <v>2300</v>
      </c>
      <c r="D17" s="971" t="s">
        <v>222</v>
      </c>
      <c r="E17" s="971" t="s">
        <v>223</v>
      </c>
      <c r="F17" s="971" t="s">
        <v>224</v>
      </c>
      <c r="G17" s="971">
        <v>2341</v>
      </c>
      <c r="H17" s="971" t="s">
        <v>245</v>
      </c>
      <c r="I17" s="1273"/>
      <c r="J17" s="971" t="s">
        <v>7218</v>
      </c>
      <c r="K17" s="971" t="s">
        <v>2120</v>
      </c>
      <c r="L17" s="971" t="s">
        <v>2121</v>
      </c>
      <c r="M17" s="971" t="s">
        <v>2120</v>
      </c>
      <c r="N17" s="971" t="s">
        <v>179</v>
      </c>
      <c r="O17" s="971" t="s">
        <v>2121</v>
      </c>
      <c r="P17" s="971" t="s">
        <v>7219</v>
      </c>
      <c r="Q17" s="971" t="s">
        <v>7230</v>
      </c>
      <c r="R17" s="971"/>
      <c r="S17" s="1274">
        <v>1</v>
      </c>
      <c r="T17" s="971" t="s">
        <v>242</v>
      </c>
      <c r="U17" s="1275">
        <v>168</v>
      </c>
      <c r="V17" s="1275">
        <v>2220</v>
      </c>
      <c r="W17" s="1275">
        <v>16785.448</v>
      </c>
      <c r="X17" s="1275">
        <v>22200</v>
      </c>
      <c r="Y17" s="1275">
        <v>41205.448000000004</v>
      </c>
      <c r="Z17" s="1129">
        <v>168</v>
      </c>
      <c r="AA17" s="1129">
        <v>2220</v>
      </c>
      <c r="AB17" s="1129">
        <v>16785.448</v>
      </c>
      <c r="AC17" s="1129">
        <v>22200</v>
      </c>
      <c r="AD17" s="1098">
        <v>41205.448000000004</v>
      </c>
      <c r="AE17" s="1135">
        <v>56</v>
      </c>
      <c r="AF17" s="1129">
        <v>56</v>
      </c>
      <c r="AG17" s="1127">
        <v>1</v>
      </c>
      <c r="AH17" s="1127">
        <v>0</v>
      </c>
      <c r="AI17" s="1127">
        <v>0</v>
      </c>
      <c r="AJ17" s="1127">
        <v>1</v>
      </c>
      <c r="AK17" s="1129">
        <v>41205.448000000004</v>
      </c>
      <c r="AL17" s="1129">
        <v>0</v>
      </c>
      <c r="AM17" s="1129">
        <v>0</v>
      </c>
      <c r="AN17" s="1129">
        <v>41205.448000000004</v>
      </c>
      <c r="AO17" s="1129" t="s">
        <v>85</v>
      </c>
      <c r="AP17" s="1129" t="s">
        <v>96</v>
      </c>
      <c r="AQ17" s="1157" t="s">
        <v>107</v>
      </c>
      <c r="AR17" s="1129" t="s">
        <v>87</v>
      </c>
      <c r="AS17" s="1127">
        <v>0.33333333333333331</v>
      </c>
      <c r="AT17" s="1127"/>
      <c r="AU17" s="1127">
        <v>0.33333333333333331</v>
      </c>
      <c r="AV17" s="1127"/>
      <c r="AW17" s="1127"/>
      <c r="AX17" s="1127"/>
      <c r="AY17" s="1127"/>
      <c r="AZ17" s="1127">
        <v>0.33333333333333331</v>
      </c>
      <c r="BA17" s="1129">
        <v>13735.149333333335</v>
      </c>
      <c r="BB17" s="1129">
        <v>0</v>
      </c>
      <c r="BC17" s="1129">
        <v>13735.149333333335</v>
      </c>
      <c r="BD17" s="1129">
        <v>0</v>
      </c>
      <c r="BE17" s="1129">
        <v>0</v>
      </c>
      <c r="BF17" s="1129">
        <v>0</v>
      </c>
      <c r="BG17" s="1129">
        <v>0</v>
      </c>
      <c r="BH17" s="1129">
        <v>13735.149333333335</v>
      </c>
      <c r="BI17" s="1981"/>
      <c r="BJ17" s="971"/>
      <c r="BK17" s="971"/>
      <c r="BL17" s="1246"/>
      <c r="BM17" s="1247" t="s">
        <v>2120</v>
      </c>
    </row>
    <row r="18" spans="1:65" s="1247" customFormat="1" ht="49.5" customHeight="1">
      <c r="A18" s="1272">
        <v>2000</v>
      </c>
      <c r="B18" s="971" t="s">
        <v>119</v>
      </c>
      <c r="C18" s="1272">
        <v>2300</v>
      </c>
      <c r="D18" s="971" t="s">
        <v>222</v>
      </c>
      <c r="E18" s="971" t="s">
        <v>223</v>
      </c>
      <c r="F18" s="971" t="s">
        <v>224</v>
      </c>
      <c r="G18" s="971">
        <v>2341</v>
      </c>
      <c r="H18" s="971" t="s">
        <v>245</v>
      </c>
      <c r="I18" s="1273"/>
      <c r="J18" s="971" t="s">
        <v>7225</v>
      </c>
      <c r="K18" s="971" t="s">
        <v>2120</v>
      </c>
      <c r="L18" s="971" t="s">
        <v>2121</v>
      </c>
      <c r="M18" s="971" t="s">
        <v>2120</v>
      </c>
      <c r="N18" s="971" t="s">
        <v>179</v>
      </c>
      <c r="O18" s="971" t="s">
        <v>2121</v>
      </c>
      <c r="P18" s="971" t="s">
        <v>7219</v>
      </c>
      <c r="Q18" s="971" t="s">
        <v>7231</v>
      </c>
      <c r="R18" s="971"/>
      <c r="S18" s="1274">
        <v>1</v>
      </c>
      <c r="T18" s="971" t="s">
        <v>242</v>
      </c>
      <c r="U18" s="1275">
        <v>168</v>
      </c>
      <c r="V18" s="1275">
        <v>2220</v>
      </c>
      <c r="W18" s="1275">
        <v>16785.448</v>
      </c>
      <c r="X18" s="1275">
        <v>22200</v>
      </c>
      <c r="Y18" s="1275">
        <v>41205.448000000004</v>
      </c>
      <c r="Z18" s="1129">
        <v>168</v>
      </c>
      <c r="AA18" s="1129">
        <v>2220</v>
      </c>
      <c r="AB18" s="1129">
        <v>16785.448</v>
      </c>
      <c r="AC18" s="1129">
        <v>22200</v>
      </c>
      <c r="AD18" s="1098">
        <v>41205.448000000004</v>
      </c>
      <c r="AE18" s="1135">
        <v>56</v>
      </c>
      <c r="AF18" s="1129">
        <v>56</v>
      </c>
      <c r="AG18" s="1127">
        <v>1</v>
      </c>
      <c r="AH18" s="1127">
        <v>0</v>
      </c>
      <c r="AI18" s="1127">
        <v>0</v>
      </c>
      <c r="AJ18" s="1127">
        <v>1</v>
      </c>
      <c r="AK18" s="1129">
        <v>41205.448000000004</v>
      </c>
      <c r="AL18" s="1129">
        <v>0</v>
      </c>
      <c r="AM18" s="1129">
        <v>0</v>
      </c>
      <c r="AN18" s="1129">
        <v>41205.448000000004</v>
      </c>
      <c r="AO18" s="1129" t="s">
        <v>85</v>
      </c>
      <c r="AP18" s="1129" t="s">
        <v>96</v>
      </c>
      <c r="AQ18" s="1157" t="s">
        <v>107</v>
      </c>
      <c r="AR18" s="1129" t="s">
        <v>87</v>
      </c>
      <c r="AS18" s="1127">
        <v>0.33333333333333331</v>
      </c>
      <c r="AT18" s="1127"/>
      <c r="AU18" s="1127">
        <v>0.33333333333333331</v>
      </c>
      <c r="AV18" s="1127"/>
      <c r="AW18" s="1127"/>
      <c r="AX18" s="1127"/>
      <c r="AY18" s="1127"/>
      <c r="AZ18" s="1127">
        <v>0.33333333333333331</v>
      </c>
      <c r="BA18" s="1129">
        <v>13735.149333333335</v>
      </c>
      <c r="BB18" s="1129">
        <v>0</v>
      </c>
      <c r="BC18" s="1129">
        <v>13735.149333333335</v>
      </c>
      <c r="BD18" s="1129">
        <v>0</v>
      </c>
      <c r="BE18" s="1129">
        <v>0</v>
      </c>
      <c r="BF18" s="1129">
        <v>0</v>
      </c>
      <c r="BG18" s="1129">
        <v>0</v>
      </c>
      <c r="BH18" s="1129">
        <v>13735.149333333335</v>
      </c>
      <c r="BI18" s="1981"/>
      <c r="BJ18" s="971"/>
      <c r="BK18" s="971"/>
      <c r="BL18" s="1246"/>
      <c r="BM18" s="1247" t="s">
        <v>2120</v>
      </c>
    </row>
    <row r="19" spans="1:65" s="1247" customFormat="1" ht="66" customHeight="1">
      <c r="A19" s="1272">
        <v>2000</v>
      </c>
      <c r="B19" s="971" t="s">
        <v>119</v>
      </c>
      <c r="C19" s="1272">
        <v>2300</v>
      </c>
      <c r="D19" s="971" t="s">
        <v>222</v>
      </c>
      <c r="E19" s="971" t="s">
        <v>223</v>
      </c>
      <c r="F19" s="971" t="s">
        <v>224</v>
      </c>
      <c r="G19" s="971" t="s">
        <v>225</v>
      </c>
      <c r="H19" s="971" t="s">
        <v>226</v>
      </c>
      <c r="I19" s="1273" t="s">
        <v>7232</v>
      </c>
      <c r="J19" s="971" t="s">
        <v>282</v>
      </c>
      <c r="K19" s="971" t="s">
        <v>2123</v>
      </c>
      <c r="L19" s="971" t="s">
        <v>2124</v>
      </c>
      <c r="M19" s="971" t="s">
        <v>2123</v>
      </c>
      <c r="N19" s="971" t="s">
        <v>179</v>
      </c>
      <c r="O19" s="971" t="s">
        <v>2124</v>
      </c>
      <c r="P19" s="971"/>
      <c r="Q19" s="971" t="s">
        <v>7233</v>
      </c>
      <c r="R19" s="971" t="s">
        <v>4010</v>
      </c>
      <c r="S19" s="1274">
        <v>1</v>
      </c>
      <c r="T19" s="971" t="s">
        <v>242</v>
      </c>
      <c r="U19" s="1275">
        <v>19.2</v>
      </c>
      <c r="V19" s="1275">
        <v>213</v>
      </c>
      <c r="W19" s="1275">
        <v>1918.3369142857146</v>
      </c>
      <c r="X19" s="1275">
        <v>2130</v>
      </c>
      <c r="Y19" s="1275">
        <v>4261.3369142857146</v>
      </c>
      <c r="Z19" s="1129">
        <v>19.2</v>
      </c>
      <c r="AA19" s="1129">
        <v>213</v>
      </c>
      <c r="AB19" s="1129">
        <v>1918.3369142857146</v>
      </c>
      <c r="AC19" s="1129">
        <v>2130</v>
      </c>
      <c r="AD19" s="1098">
        <v>4261.3369142857146</v>
      </c>
      <c r="AE19" s="1135">
        <v>1</v>
      </c>
      <c r="AF19" s="1129">
        <v>1</v>
      </c>
      <c r="AG19" s="1127">
        <v>1</v>
      </c>
      <c r="AH19" s="1127">
        <v>0</v>
      </c>
      <c r="AI19" s="1127">
        <v>0</v>
      </c>
      <c r="AJ19" s="1127">
        <v>1</v>
      </c>
      <c r="AK19" s="1129">
        <v>4261.3369142857146</v>
      </c>
      <c r="AL19" s="1129">
        <v>0</v>
      </c>
      <c r="AM19" s="1129">
        <v>0</v>
      </c>
      <c r="AN19" s="1129">
        <v>4261.3369142857146</v>
      </c>
      <c r="AO19" s="1129" t="s">
        <v>131</v>
      </c>
      <c r="AP19" s="1129" t="s">
        <v>96</v>
      </c>
      <c r="AQ19" s="1157">
        <v>2014</v>
      </c>
      <c r="AR19" s="1129" t="s">
        <v>87</v>
      </c>
      <c r="AS19" s="1127">
        <v>0.33333333333333331</v>
      </c>
      <c r="AT19" s="1127"/>
      <c r="AU19" s="1127">
        <v>0.33333333333333331</v>
      </c>
      <c r="AV19" s="1127"/>
      <c r="AW19" s="1127"/>
      <c r="AX19" s="1127"/>
      <c r="AY19" s="1127"/>
      <c r="AZ19" s="1127">
        <v>0.33333333333333331</v>
      </c>
      <c r="BA19" s="1129">
        <v>1420.4456380952381</v>
      </c>
      <c r="BB19" s="1129">
        <v>0</v>
      </c>
      <c r="BC19" s="1129">
        <v>1420.4456380952381</v>
      </c>
      <c r="BD19" s="1129">
        <v>0</v>
      </c>
      <c r="BE19" s="1129">
        <v>0</v>
      </c>
      <c r="BF19" s="1129">
        <v>0</v>
      </c>
      <c r="BG19" s="1129">
        <v>0</v>
      </c>
      <c r="BH19" s="1129">
        <v>1420.4456380952381</v>
      </c>
      <c r="BI19" s="1981"/>
      <c r="BJ19" s="971"/>
      <c r="BK19" s="971"/>
      <c r="BL19" s="1246"/>
      <c r="BM19" s="1247" t="s">
        <v>2123</v>
      </c>
    </row>
    <row r="20" spans="1:65" s="1247" customFormat="1" ht="66" customHeight="1">
      <c r="A20" s="1272">
        <v>2000</v>
      </c>
      <c r="B20" s="971" t="s">
        <v>119</v>
      </c>
      <c r="C20" s="1272">
        <v>2300</v>
      </c>
      <c r="D20" s="971" t="s">
        <v>222</v>
      </c>
      <c r="E20" s="971" t="s">
        <v>223</v>
      </c>
      <c r="F20" s="971" t="s">
        <v>224</v>
      </c>
      <c r="G20" s="971" t="s">
        <v>225</v>
      </c>
      <c r="H20" s="971" t="s">
        <v>226</v>
      </c>
      <c r="I20" s="1273" t="s">
        <v>7234</v>
      </c>
      <c r="J20" s="971" t="s">
        <v>282</v>
      </c>
      <c r="K20" s="971" t="s">
        <v>2123</v>
      </c>
      <c r="L20" s="971" t="s">
        <v>2124</v>
      </c>
      <c r="M20" s="971" t="s">
        <v>2123</v>
      </c>
      <c r="N20" s="971" t="s">
        <v>179</v>
      </c>
      <c r="O20" s="971" t="s">
        <v>2124</v>
      </c>
      <c r="P20" s="971"/>
      <c r="Q20" s="971" t="s">
        <v>7235</v>
      </c>
      <c r="R20" s="971" t="s">
        <v>4017</v>
      </c>
      <c r="S20" s="1274">
        <v>1</v>
      </c>
      <c r="T20" s="971" t="s">
        <v>242</v>
      </c>
      <c r="U20" s="1275">
        <v>19.2</v>
      </c>
      <c r="V20" s="1275">
        <v>213</v>
      </c>
      <c r="W20" s="1275">
        <v>1918.3369142857146</v>
      </c>
      <c r="X20" s="1275">
        <v>2130</v>
      </c>
      <c r="Y20" s="1275">
        <v>4261.3369142857146</v>
      </c>
      <c r="Z20" s="1129">
        <v>19.2</v>
      </c>
      <c r="AA20" s="1129">
        <v>213</v>
      </c>
      <c r="AB20" s="1129">
        <v>1918.3369142857146</v>
      </c>
      <c r="AC20" s="1129">
        <v>2130</v>
      </c>
      <c r="AD20" s="1098">
        <v>4261.3369142857146</v>
      </c>
      <c r="AE20" s="1135">
        <v>1</v>
      </c>
      <c r="AF20" s="1129">
        <v>1</v>
      </c>
      <c r="AG20" s="1127">
        <v>1</v>
      </c>
      <c r="AH20" s="1127">
        <v>0</v>
      </c>
      <c r="AI20" s="1127">
        <v>0</v>
      </c>
      <c r="AJ20" s="1127">
        <v>1</v>
      </c>
      <c r="AK20" s="1129">
        <v>4261.3369142857146</v>
      </c>
      <c r="AL20" s="1129">
        <v>0</v>
      </c>
      <c r="AM20" s="1129">
        <v>0</v>
      </c>
      <c r="AN20" s="1129">
        <v>4261.3369142857146</v>
      </c>
      <c r="AO20" s="1129" t="s">
        <v>131</v>
      </c>
      <c r="AP20" s="1129" t="s">
        <v>96</v>
      </c>
      <c r="AQ20" s="1157">
        <v>2014</v>
      </c>
      <c r="AR20" s="1129" t="s">
        <v>87</v>
      </c>
      <c r="AS20" s="1127">
        <v>0.33333333333333331</v>
      </c>
      <c r="AT20" s="1127"/>
      <c r="AU20" s="1127">
        <v>0.33333333333333331</v>
      </c>
      <c r="AV20" s="1127"/>
      <c r="AW20" s="1127"/>
      <c r="AX20" s="1127"/>
      <c r="AY20" s="1127"/>
      <c r="AZ20" s="1127">
        <v>0.33333333333333331</v>
      </c>
      <c r="BA20" s="1129">
        <v>1420.4456380952381</v>
      </c>
      <c r="BB20" s="1129">
        <v>0</v>
      </c>
      <c r="BC20" s="1129">
        <v>1420.4456380952381</v>
      </c>
      <c r="BD20" s="1129">
        <v>0</v>
      </c>
      <c r="BE20" s="1129">
        <v>0</v>
      </c>
      <c r="BF20" s="1129">
        <v>0</v>
      </c>
      <c r="BG20" s="1129">
        <v>0</v>
      </c>
      <c r="BH20" s="1129">
        <v>1420.4456380952381</v>
      </c>
      <c r="BI20" s="1981"/>
      <c r="BJ20" s="971"/>
      <c r="BK20" s="971"/>
      <c r="BL20" s="1246"/>
      <c r="BM20" s="1247" t="s">
        <v>2123</v>
      </c>
    </row>
    <row r="21" spans="1:65" s="1247" customFormat="1" ht="66" customHeight="1">
      <c r="A21" s="1272">
        <v>2000</v>
      </c>
      <c r="B21" s="971" t="s">
        <v>119</v>
      </c>
      <c r="C21" s="1272">
        <v>2300</v>
      </c>
      <c r="D21" s="971" t="s">
        <v>222</v>
      </c>
      <c r="E21" s="971" t="s">
        <v>223</v>
      </c>
      <c r="F21" s="971" t="s">
        <v>224</v>
      </c>
      <c r="G21" s="971" t="s">
        <v>225</v>
      </c>
      <c r="H21" s="971" t="s">
        <v>226</v>
      </c>
      <c r="I21" s="1273" t="s">
        <v>7236</v>
      </c>
      <c r="J21" s="971" t="s">
        <v>282</v>
      </c>
      <c r="K21" s="971" t="s">
        <v>2123</v>
      </c>
      <c r="L21" s="971" t="s">
        <v>2124</v>
      </c>
      <c r="M21" s="971" t="s">
        <v>2123</v>
      </c>
      <c r="N21" s="971" t="s">
        <v>179</v>
      </c>
      <c r="O21" s="971" t="s">
        <v>2124</v>
      </c>
      <c r="P21" s="971"/>
      <c r="Q21" s="971" t="s">
        <v>7235</v>
      </c>
      <c r="R21" s="971" t="s">
        <v>4019</v>
      </c>
      <c r="S21" s="1274">
        <v>1</v>
      </c>
      <c r="T21" s="971" t="s">
        <v>242</v>
      </c>
      <c r="U21" s="1275">
        <v>19.2</v>
      </c>
      <c r="V21" s="1275">
        <v>213</v>
      </c>
      <c r="W21" s="1275">
        <v>1918.3369142857146</v>
      </c>
      <c r="X21" s="1275">
        <v>2130</v>
      </c>
      <c r="Y21" s="1275">
        <v>4261.3369142857146</v>
      </c>
      <c r="Z21" s="1129">
        <v>19.2</v>
      </c>
      <c r="AA21" s="1129">
        <v>213</v>
      </c>
      <c r="AB21" s="1129">
        <v>1918.3369142857146</v>
      </c>
      <c r="AC21" s="1129">
        <v>2130</v>
      </c>
      <c r="AD21" s="1098">
        <v>4261.3369142857146</v>
      </c>
      <c r="AE21" s="1135">
        <v>1</v>
      </c>
      <c r="AF21" s="1129">
        <v>1</v>
      </c>
      <c r="AG21" s="1127">
        <v>1</v>
      </c>
      <c r="AH21" s="1127">
        <v>0</v>
      </c>
      <c r="AI21" s="1127">
        <v>0</v>
      </c>
      <c r="AJ21" s="1127">
        <v>1</v>
      </c>
      <c r="AK21" s="1129">
        <v>4261.3369142857146</v>
      </c>
      <c r="AL21" s="1129">
        <v>0</v>
      </c>
      <c r="AM21" s="1129">
        <v>0</v>
      </c>
      <c r="AN21" s="1129">
        <v>4261.3369142857146</v>
      </c>
      <c r="AO21" s="1129" t="s">
        <v>131</v>
      </c>
      <c r="AP21" s="1129" t="s">
        <v>96</v>
      </c>
      <c r="AQ21" s="1157">
        <v>2014</v>
      </c>
      <c r="AR21" s="1129" t="s">
        <v>87</v>
      </c>
      <c r="AS21" s="1127">
        <v>0.33333333333333331</v>
      </c>
      <c r="AT21" s="1127"/>
      <c r="AU21" s="1127">
        <v>0.33333333333333331</v>
      </c>
      <c r="AV21" s="1127"/>
      <c r="AW21" s="1127"/>
      <c r="AX21" s="1127"/>
      <c r="AY21" s="1127"/>
      <c r="AZ21" s="1127">
        <v>0.33333333333333331</v>
      </c>
      <c r="BA21" s="1129">
        <v>1420.4456380952381</v>
      </c>
      <c r="BB21" s="1129">
        <v>0</v>
      </c>
      <c r="BC21" s="1129">
        <v>1420.4456380952381</v>
      </c>
      <c r="BD21" s="1129">
        <v>0</v>
      </c>
      <c r="BE21" s="1129">
        <v>0</v>
      </c>
      <c r="BF21" s="1129">
        <v>0</v>
      </c>
      <c r="BG21" s="1129">
        <v>0</v>
      </c>
      <c r="BH21" s="1129">
        <v>1420.4456380952381</v>
      </c>
      <c r="BI21" s="1981"/>
      <c r="BJ21" s="971"/>
      <c r="BK21" s="971"/>
      <c r="BL21" s="1246"/>
      <c r="BM21" s="1247" t="s">
        <v>2123</v>
      </c>
    </row>
    <row r="22" spans="1:65" s="1247" customFormat="1" ht="66" customHeight="1">
      <c r="A22" s="1272">
        <v>2000</v>
      </c>
      <c r="B22" s="971" t="s">
        <v>119</v>
      </c>
      <c r="C22" s="1272">
        <v>2300</v>
      </c>
      <c r="D22" s="971" t="s">
        <v>222</v>
      </c>
      <c r="E22" s="971" t="s">
        <v>223</v>
      </c>
      <c r="F22" s="971" t="s">
        <v>224</v>
      </c>
      <c r="G22" s="971" t="s">
        <v>225</v>
      </c>
      <c r="H22" s="971" t="s">
        <v>226</v>
      </c>
      <c r="I22" s="1273" t="s">
        <v>7237</v>
      </c>
      <c r="J22" s="971" t="s">
        <v>282</v>
      </c>
      <c r="K22" s="971" t="s">
        <v>2123</v>
      </c>
      <c r="L22" s="971" t="s">
        <v>2124</v>
      </c>
      <c r="M22" s="971" t="s">
        <v>2123</v>
      </c>
      <c r="N22" s="971" t="s">
        <v>179</v>
      </c>
      <c r="O22" s="971" t="s">
        <v>2124</v>
      </c>
      <c r="P22" s="971"/>
      <c r="Q22" s="971" t="s">
        <v>7235</v>
      </c>
      <c r="R22" s="971" t="s">
        <v>4020</v>
      </c>
      <c r="S22" s="1274">
        <v>1</v>
      </c>
      <c r="T22" s="971" t="s">
        <v>242</v>
      </c>
      <c r="U22" s="1275">
        <v>19.2</v>
      </c>
      <c r="V22" s="1275">
        <v>213</v>
      </c>
      <c r="W22" s="1275">
        <v>1918.3369142857146</v>
      </c>
      <c r="X22" s="1275">
        <v>2130</v>
      </c>
      <c r="Y22" s="1275">
        <v>4261.3369142857146</v>
      </c>
      <c r="Z22" s="1129">
        <v>19.2</v>
      </c>
      <c r="AA22" s="1129">
        <v>213</v>
      </c>
      <c r="AB22" s="1129">
        <v>1918.3369142857146</v>
      </c>
      <c r="AC22" s="1129">
        <v>2130</v>
      </c>
      <c r="AD22" s="1098">
        <v>4261.3369142857146</v>
      </c>
      <c r="AE22" s="1135">
        <v>1</v>
      </c>
      <c r="AF22" s="1129">
        <v>1</v>
      </c>
      <c r="AG22" s="1127">
        <v>1</v>
      </c>
      <c r="AH22" s="1127">
        <v>0</v>
      </c>
      <c r="AI22" s="1127">
        <v>0</v>
      </c>
      <c r="AJ22" s="1127">
        <v>1</v>
      </c>
      <c r="AK22" s="1129">
        <v>4261.3369142857146</v>
      </c>
      <c r="AL22" s="1129">
        <v>0</v>
      </c>
      <c r="AM22" s="1129">
        <v>0</v>
      </c>
      <c r="AN22" s="1129">
        <v>4261.3369142857146</v>
      </c>
      <c r="AO22" s="1129" t="s">
        <v>131</v>
      </c>
      <c r="AP22" s="1129" t="s">
        <v>96</v>
      </c>
      <c r="AQ22" s="1157">
        <v>2014</v>
      </c>
      <c r="AR22" s="1129" t="s">
        <v>87</v>
      </c>
      <c r="AS22" s="1127">
        <v>0.33333333333333331</v>
      </c>
      <c r="AT22" s="1127"/>
      <c r="AU22" s="1127">
        <v>0.33333333333333331</v>
      </c>
      <c r="AV22" s="1127"/>
      <c r="AW22" s="1127"/>
      <c r="AX22" s="1127"/>
      <c r="AY22" s="1127"/>
      <c r="AZ22" s="1127">
        <v>0.33333333333333331</v>
      </c>
      <c r="BA22" s="1129">
        <v>1420.4456380952381</v>
      </c>
      <c r="BB22" s="1129">
        <v>0</v>
      </c>
      <c r="BC22" s="1129">
        <v>1420.4456380952381</v>
      </c>
      <c r="BD22" s="1129">
        <v>0</v>
      </c>
      <c r="BE22" s="1129">
        <v>0</v>
      </c>
      <c r="BF22" s="1129">
        <v>0</v>
      </c>
      <c r="BG22" s="1129">
        <v>0</v>
      </c>
      <c r="BH22" s="1129">
        <v>1420.4456380952381</v>
      </c>
      <c r="BI22" s="1981"/>
      <c r="BJ22" s="971"/>
      <c r="BK22" s="971"/>
      <c r="BL22" s="1246"/>
      <c r="BM22" s="1247" t="s">
        <v>2123</v>
      </c>
    </row>
    <row r="23" spans="1:65" s="1247" customFormat="1" ht="66" customHeight="1">
      <c r="A23" s="1272">
        <v>2000</v>
      </c>
      <c r="B23" s="971" t="s">
        <v>119</v>
      </c>
      <c r="C23" s="1272">
        <v>2300</v>
      </c>
      <c r="D23" s="971" t="s">
        <v>222</v>
      </c>
      <c r="E23" s="971" t="s">
        <v>223</v>
      </c>
      <c r="F23" s="971" t="s">
        <v>224</v>
      </c>
      <c r="G23" s="971" t="s">
        <v>225</v>
      </c>
      <c r="H23" s="971" t="s">
        <v>226</v>
      </c>
      <c r="I23" s="1273" t="s">
        <v>7238</v>
      </c>
      <c r="J23" s="971" t="s">
        <v>282</v>
      </c>
      <c r="K23" s="971" t="s">
        <v>2123</v>
      </c>
      <c r="L23" s="971" t="s">
        <v>2124</v>
      </c>
      <c r="M23" s="971" t="s">
        <v>2123</v>
      </c>
      <c r="N23" s="971" t="s">
        <v>179</v>
      </c>
      <c r="O23" s="971" t="s">
        <v>2124</v>
      </c>
      <c r="P23" s="971"/>
      <c r="Q23" s="971" t="s">
        <v>7235</v>
      </c>
      <c r="R23" s="971" t="s">
        <v>4021</v>
      </c>
      <c r="S23" s="1274">
        <v>1</v>
      </c>
      <c r="T23" s="971" t="s">
        <v>242</v>
      </c>
      <c r="U23" s="1275">
        <v>19.2</v>
      </c>
      <c r="V23" s="1275">
        <v>213</v>
      </c>
      <c r="W23" s="1275">
        <v>1918.3369142857146</v>
      </c>
      <c r="X23" s="1275">
        <v>2130</v>
      </c>
      <c r="Y23" s="1275">
        <v>4261.3369142857146</v>
      </c>
      <c r="Z23" s="1129">
        <v>19.2</v>
      </c>
      <c r="AA23" s="1129">
        <v>213</v>
      </c>
      <c r="AB23" s="1129">
        <v>1918.3369142857146</v>
      </c>
      <c r="AC23" s="1129">
        <v>2130</v>
      </c>
      <c r="AD23" s="1098">
        <v>4261.3369142857146</v>
      </c>
      <c r="AE23" s="1135">
        <v>1</v>
      </c>
      <c r="AF23" s="1129">
        <v>1</v>
      </c>
      <c r="AG23" s="1127">
        <v>1</v>
      </c>
      <c r="AH23" s="1127">
        <v>0</v>
      </c>
      <c r="AI23" s="1127">
        <v>0</v>
      </c>
      <c r="AJ23" s="1127">
        <v>1</v>
      </c>
      <c r="AK23" s="1129">
        <v>4261.3369142857146</v>
      </c>
      <c r="AL23" s="1129">
        <v>0</v>
      </c>
      <c r="AM23" s="1129">
        <v>0</v>
      </c>
      <c r="AN23" s="1129">
        <v>4261.3369142857146</v>
      </c>
      <c r="AO23" s="1129" t="s">
        <v>131</v>
      </c>
      <c r="AP23" s="1129" t="s">
        <v>96</v>
      </c>
      <c r="AQ23" s="1157">
        <v>2014</v>
      </c>
      <c r="AR23" s="1129" t="s">
        <v>87</v>
      </c>
      <c r="AS23" s="1127">
        <v>0.33333333333333331</v>
      </c>
      <c r="AT23" s="1127"/>
      <c r="AU23" s="1127">
        <v>0.33333333333333331</v>
      </c>
      <c r="AV23" s="1127"/>
      <c r="AW23" s="1127"/>
      <c r="AX23" s="1127"/>
      <c r="AY23" s="1127"/>
      <c r="AZ23" s="1127">
        <v>0.33333333333333331</v>
      </c>
      <c r="BA23" s="1129">
        <v>1420.4456380952381</v>
      </c>
      <c r="BB23" s="1129">
        <v>0</v>
      </c>
      <c r="BC23" s="1129">
        <v>1420.4456380952381</v>
      </c>
      <c r="BD23" s="1129">
        <v>0</v>
      </c>
      <c r="BE23" s="1129">
        <v>0</v>
      </c>
      <c r="BF23" s="1129">
        <v>0</v>
      </c>
      <c r="BG23" s="1129">
        <v>0</v>
      </c>
      <c r="BH23" s="1129">
        <v>1420.4456380952381</v>
      </c>
      <c r="BI23" s="1981"/>
      <c r="BJ23" s="971"/>
      <c r="BK23" s="971"/>
      <c r="BL23" s="1246"/>
      <c r="BM23" s="1247" t="s">
        <v>2123</v>
      </c>
    </row>
    <row r="24" spans="1:65" s="1247" customFormat="1" ht="66" customHeight="1">
      <c r="A24" s="1272">
        <v>2000</v>
      </c>
      <c r="B24" s="971" t="s">
        <v>119</v>
      </c>
      <c r="C24" s="1272">
        <v>2300</v>
      </c>
      <c r="D24" s="971" t="s">
        <v>222</v>
      </c>
      <c r="E24" s="971" t="s">
        <v>223</v>
      </c>
      <c r="F24" s="971" t="s">
        <v>224</v>
      </c>
      <c r="G24" s="971" t="s">
        <v>225</v>
      </c>
      <c r="H24" s="971" t="s">
        <v>226</v>
      </c>
      <c r="I24" s="1273" t="s">
        <v>7239</v>
      </c>
      <c r="J24" s="971" t="s">
        <v>7218</v>
      </c>
      <c r="K24" s="971" t="s">
        <v>2120</v>
      </c>
      <c r="L24" s="971" t="s">
        <v>2121</v>
      </c>
      <c r="M24" s="971" t="s">
        <v>2120</v>
      </c>
      <c r="N24" s="971" t="s">
        <v>179</v>
      </c>
      <c r="O24" s="971" t="s">
        <v>2121</v>
      </c>
      <c r="P24" s="971" t="s">
        <v>7219</v>
      </c>
      <c r="Q24" s="971" t="s">
        <v>7240</v>
      </c>
      <c r="R24" s="971" t="s">
        <v>4039</v>
      </c>
      <c r="S24" s="1274">
        <v>1</v>
      </c>
      <c r="T24" s="971" t="s">
        <v>242</v>
      </c>
      <c r="U24" s="1275">
        <v>168</v>
      </c>
      <c r="V24" s="1275">
        <v>2220</v>
      </c>
      <c r="W24" s="1275">
        <v>16785.448</v>
      </c>
      <c r="X24" s="1275">
        <v>22200</v>
      </c>
      <c r="Y24" s="1275">
        <v>41205.448000000004</v>
      </c>
      <c r="Z24" s="1129">
        <v>168</v>
      </c>
      <c r="AA24" s="1129">
        <v>2220</v>
      </c>
      <c r="AB24" s="1129">
        <v>16785.448</v>
      </c>
      <c r="AC24" s="1129">
        <v>22200</v>
      </c>
      <c r="AD24" s="1098">
        <v>41205.448000000004</v>
      </c>
      <c r="AE24" s="1135">
        <v>56</v>
      </c>
      <c r="AF24" s="1129">
        <v>56</v>
      </c>
      <c r="AG24" s="1127">
        <v>1</v>
      </c>
      <c r="AH24" s="1127">
        <v>0</v>
      </c>
      <c r="AI24" s="1127">
        <v>0</v>
      </c>
      <c r="AJ24" s="1127">
        <v>1</v>
      </c>
      <c r="AK24" s="1129">
        <v>41205.448000000004</v>
      </c>
      <c r="AL24" s="1129">
        <v>0</v>
      </c>
      <c r="AM24" s="1129">
        <v>0</v>
      </c>
      <c r="AN24" s="1129">
        <v>41205.448000000004</v>
      </c>
      <c r="AO24" s="1129" t="s">
        <v>131</v>
      </c>
      <c r="AP24" s="1129" t="s">
        <v>96</v>
      </c>
      <c r="AQ24" s="1157">
        <v>2014</v>
      </c>
      <c r="AR24" s="1129" t="s">
        <v>87</v>
      </c>
      <c r="AS24" s="1127">
        <v>0.33333333333333331</v>
      </c>
      <c r="AT24" s="1127"/>
      <c r="AU24" s="1127">
        <v>0.33333333333333331</v>
      </c>
      <c r="AV24" s="1127"/>
      <c r="AW24" s="1127"/>
      <c r="AX24" s="1127"/>
      <c r="AY24" s="1127"/>
      <c r="AZ24" s="1127">
        <v>0.33333333333333331</v>
      </c>
      <c r="BA24" s="1129">
        <v>13735.149333333335</v>
      </c>
      <c r="BB24" s="1129">
        <v>0</v>
      </c>
      <c r="BC24" s="1129">
        <v>13735.149333333335</v>
      </c>
      <c r="BD24" s="1129">
        <v>0</v>
      </c>
      <c r="BE24" s="1129">
        <v>0</v>
      </c>
      <c r="BF24" s="1129">
        <v>0</v>
      </c>
      <c r="BG24" s="1129">
        <v>0</v>
      </c>
      <c r="BH24" s="1129">
        <v>13735.149333333335</v>
      </c>
      <c r="BI24" s="1981"/>
      <c r="BJ24" s="971"/>
      <c r="BK24" s="971"/>
      <c r="BL24" s="1246"/>
      <c r="BM24" s="1247" t="s">
        <v>2120</v>
      </c>
    </row>
    <row r="25" spans="1:65" s="1247" customFormat="1" ht="66" customHeight="1">
      <c r="A25" s="1272">
        <v>2000</v>
      </c>
      <c r="B25" s="971" t="s">
        <v>119</v>
      </c>
      <c r="C25" s="1272">
        <v>2300</v>
      </c>
      <c r="D25" s="971" t="s">
        <v>222</v>
      </c>
      <c r="E25" s="971" t="s">
        <v>223</v>
      </c>
      <c r="F25" s="971" t="s">
        <v>224</v>
      </c>
      <c r="G25" s="971" t="s">
        <v>225</v>
      </c>
      <c r="H25" s="971" t="s">
        <v>226</v>
      </c>
      <c r="I25" s="1273" t="s">
        <v>7241</v>
      </c>
      <c r="J25" s="971" t="s">
        <v>7218</v>
      </c>
      <c r="K25" s="971" t="s">
        <v>2120</v>
      </c>
      <c r="L25" s="971" t="s">
        <v>2121</v>
      </c>
      <c r="M25" s="971" t="s">
        <v>2120</v>
      </c>
      <c r="N25" s="971" t="s">
        <v>179</v>
      </c>
      <c r="O25" s="971" t="s">
        <v>2121</v>
      </c>
      <c r="P25" s="971" t="s">
        <v>7219</v>
      </c>
      <c r="Q25" s="971" t="s">
        <v>7240</v>
      </c>
      <c r="R25" s="971" t="s">
        <v>4043</v>
      </c>
      <c r="S25" s="1274">
        <v>1</v>
      </c>
      <c r="T25" s="971" t="s">
        <v>242</v>
      </c>
      <c r="U25" s="1275">
        <v>168</v>
      </c>
      <c r="V25" s="1275">
        <v>2220</v>
      </c>
      <c r="W25" s="1275">
        <v>16785.448</v>
      </c>
      <c r="X25" s="1275">
        <v>22200</v>
      </c>
      <c r="Y25" s="1275">
        <v>41205.448000000004</v>
      </c>
      <c r="Z25" s="1129">
        <v>168</v>
      </c>
      <c r="AA25" s="1129">
        <v>2220</v>
      </c>
      <c r="AB25" s="1129">
        <v>16785.448</v>
      </c>
      <c r="AC25" s="1129">
        <v>22200</v>
      </c>
      <c r="AD25" s="1098">
        <v>41205.448000000004</v>
      </c>
      <c r="AE25" s="1135">
        <v>56</v>
      </c>
      <c r="AF25" s="1129">
        <v>56</v>
      </c>
      <c r="AG25" s="1127">
        <v>1</v>
      </c>
      <c r="AH25" s="1127">
        <v>0</v>
      </c>
      <c r="AI25" s="1127">
        <v>0</v>
      </c>
      <c r="AJ25" s="1127">
        <v>1</v>
      </c>
      <c r="AK25" s="1129">
        <v>41205.448000000004</v>
      </c>
      <c r="AL25" s="1129">
        <v>0</v>
      </c>
      <c r="AM25" s="1129">
        <v>0</v>
      </c>
      <c r="AN25" s="1129">
        <v>41205.448000000004</v>
      </c>
      <c r="AO25" s="1129" t="s">
        <v>131</v>
      </c>
      <c r="AP25" s="1129" t="s">
        <v>96</v>
      </c>
      <c r="AQ25" s="1157">
        <v>2014</v>
      </c>
      <c r="AR25" s="1129" t="s">
        <v>87</v>
      </c>
      <c r="AS25" s="1127">
        <v>0.33333333333333331</v>
      </c>
      <c r="AT25" s="1127"/>
      <c r="AU25" s="1127">
        <v>0.33333333333333331</v>
      </c>
      <c r="AV25" s="1127"/>
      <c r="AW25" s="1127"/>
      <c r="AX25" s="1127"/>
      <c r="AY25" s="1127"/>
      <c r="AZ25" s="1127">
        <v>0.33333333333333331</v>
      </c>
      <c r="BA25" s="1129">
        <v>13735.149333333335</v>
      </c>
      <c r="BB25" s="1129">
        <v>0</v>
      </c>
      <c r="BC25" s="1129">
        <v>13735.149333333335</v>
      </c>
      <c r="BD25" s="1129">
        <v>0</v>
      </c>
      <c r="BE25" s="1129">
        <v>0</v>
      </c>
      <c r="BF25" s="1129">
        <v>0</v>
      </c>
      <c r="BG25" s="1129">
        <v>0</v>
      </c>
      <c r="BH25" s="1129">
        <v>13735.149333333335</v>
      </c>
      <c r="BI25" s="1981"/>
      <c r="BJ25" s="971"/>
      <c r="BK25" s="971"/>
      <c r="BL25" s="1246"/>
      <c r="BM25" s="1247" t="s">
        <v>2120</v>
      </c>
    </row>
    <row r="26" spans="1:65" s="1247" customFormat="1" ht="66" customHeight="1">
      <c r="A26" s="1272">
        <v>2000</v>
      </c>
      <c r="B26" s="971" t="s">
        <v>119</v>
      </c>
      <c r="C26" s="1272">
        <v>2300</v>
      </c>
      <c r="D26" s="971" t="s">
        <v>222</v>
      </c>
      <c r="E26" s="971" t="s">
        <v>223</v>
      </c>
      <c r="F26" s="971" t="s">
        <v>224</v>
      </c>
      <c r="G26" s="971" t="s">
        <v>225</v>
      </c>
      <c r="H26" s="971" t="s">
        <v>226</v>
      </c>
      <c r="I26" s="1273" t="s">
        <v>7242</v>
      </c>
      <c r="J26" s="971" t="s">
        <v>7218</v>
      </c>
      <c r="K26" s="971" t="s">
        <v>2120</v>
      </c>
      <c r="L26" s="971" t="s">
        <v>2121</v>
      </c>
      <c r="M26" s="971" t="s">
        <v>2120</v>
      </c>
      <c r="N26" s="971" t="s">
        <v>179</v>
      </c>
      <c r="O26" s="971" t="s">
        <v>2121</v>
      </c>
      <c r="P26" s="971" t="s">
        <v>7219</v>
      </c>
      <c r="Q26" s="971" t="s">
        <v>7240</v>
      </c>
      <c r="R26" s="971" t="s">
        <v>4044</v>
      </c>
      <c r="S26" s="1274">
        <v>1</v>
      </c>
      <c r="T26" s="971" t="s">
        <v>242</v>
      </c>
      <c r="U26" s="1275">
        <v>168</v>
      </c>
      <c r="V26" s="1275">
        <v>2220</v>
      </c>
      <c r="W26" s="1275">
        <v>16785.448</v>
      </c>
      <c r="X26" s="1275">
        <v>22200</v>
      </c>
      <c r="Y26" s="1275">
        <v>41205.448000000004</v>
      </c>
      <c r="Z26" s="1129">
        <v>168</v>
      </c>
      <c r="AA26" s="1129">
        <v>2220</v>
      </c>
      <c r="AB26" s="1129">
        <v>16785.448</v>
      </c>
      <c r="AC26" s="1129">
        <v>22200</v>
      </c>
      <c r="AD26" s="1098">
        <v>41205.448000000004</v>
      </c>
      <c r="AE26" s="1135">
        <v>56</v>
      </c>
      <c r="AF26" s="1129">
        <v>56</v>
      </c>
      <c r="AG26" s="1127">
        <v>1</v>
      </c>
      <c r="AH26" s="1127">
        <v>0</v>
      </c>
      <c r="AI26" s="1127">
        <v>0</v>
      </c>
      <c r="AJ26" s="1127">
        <v>1</v>
      </c>
      <c r="AK26" s="1129">
        <v>41205.448000000004</v>
      </c>
      <c r="AL26" s="1129">
        <v>0</v>
      </c>
      <c r="AM26" s="1129">
        <v>0</v>
      </c>
      <c r="AN26" s="1129">
        <v>41205.448000000004</v>
      </c>
      <c r="AO26" s="1129" t="s">
        <v>131</v>
      </c>
      <c r="AP26" s="1129" t="s">
        <v>96</v>
      </c>
      <c r="AQ26" s="1157">
        <v>2014</v>
      </c>
      <c r="AR26" s="1129" t="s">
        <v>87</v>
      </c>
      <c r="AS26" s="1127">
        <v>0.33333333333333331</v>
      </c>
      <c r="AT26" s="1127"/>
      <c r="AU26" s="1127">
        <v>0.33333333333333331</v>
      </c>
      <c r="AV26" s="1127"/>
      <c r="AW26" s="1127"/>
      <c r="AX26" s="1127"/>
      <c r="AY26" s="1127"/>
      <c r="AZ26" s="1127">
        <v>0.33333333333333331</v>
      </c>
      <c r="BA26" s="1129">
        <v>13735.149333333335</v>
      </c>
      <c r="BB26" s="1129">
        <v>0</v>
      </c>
      <c r="BC26" s="1129">
        <v>13735.149333333335</v>
      </c>
      <c r="BD26" s="1129">
        <v>0</v>
      </c>
      <c r="BE26" s="1129">
        <v>0</v>
      </c>
      <c r="BF26" s="1129">
        <v>0</v>
      </c>
      <c r="BG26" s="1129">
        <v>0</v>
      </c>
      <c r="BH26" s="1129">
        <v>13735.149333333335</v>
      </c>
      <c r="BI26" s="1981"/>
      <c r="BJ26" s="971"/>
      <c r="BK26" s="971"/>
      <c r="BL26" s="1246"/>
      <c r="BM26" s="1247" t="s">
        <v>2120</v>
      </c>
    </row>
    <row r="27" spans="1:65" s="1247" customFormat="1" ht="66" customHeight="1">
      <c r="A27" s="1272">
        <v>2000</v>
      </c>
      <c r="B27" s="971" t="s">
        <v>119</v>
      </c>
      <c r="C27" s="1272">
        <v>2300</v>
      </c>
      <c r="D27" s="971" t="s">
        <v>222</v>
      </c>
      <c r="E27" s="971" t="s">
        <v>223</v>
      </c>
      <c r="F27" s="971" t="s">
        <v>224</v>
      </c>
      <c r="G27" s="971" t="s">
        <v>225</v>
      </c>
      <c r="H27" s="971" t="s">
        <v>226</v>
      </c>
      <c r="I27" s="1273" t="s">
        <v>7243</v>
      </c>
      <c r="J27" s="971" t="s">
        <v>7244</v>
      </c>
      <c r="K27" s="971" t="s">
        <v>1768</v>
      </c>
      <c r="L27" s="971" t="s">
        <v>3420</v>
      </c>
      <c r="M27" s="971" t="s">
        <v>1768</v>
      </c>
      <c r="N27" s="971" t="s">
        <v>179</v>
      </c>
      <c r="O27" s="971" t="s">
        <v>1769</v>
      </c>
      <c r="P27" s="971" t="s">
        <v>7245</v>
      </c>
      <c r="Q27" s="971" t="s">
        <v>7246</v>
      </c>
      <c r="R27" s="971" t="s">
        <v>3645</v>
      </c>
      <c r="S27" s="1274">
        <v>1</v>
      </c>
      <c r="T27" s="971" t="s">
        <v>242</v>
      </c>
      <c r="U27" s="1275">
        <v>8.1</v>
      </c>
      <c r="V27" s="1275">
        <v>106.5</v>
      </c>
      <c r="W27" s="1275">
        <v>809.29838571428581</v>
      </c>
      <c r="X27" s="1275">
        <v>1065</v>
      </c>
      <c r="Y27" s="1275">
        <v>1980.7983857142858</v>
      </c>
      <c r="Z27" s="1129">
        <v>8.1</v>
      </c>
      <c r="AA27" s="1129">
        <v>106.5</v>
      </c>
      <c r="AB27" s="1129">
        <v>809.29838571428581</v>
      </c>
      <c r="AC27" s="1129">
        <v>1065</v>
      </c>
      <c r="AD27" s="1098">
        <v>1980.7983857142858</v>
      </c>
      <c r="AE27" s="1135">
        <v>0.5</v>
      </c>
      <c r="AF27" s="1275">
        <v>0.5</v>
      </c>
      <c r="AG27" s="1127">
        <v>1</v>
      </c>
      <c r="AH27" s="1127">
        <v>0</v>
      </c>
      <c r="AI27" s="1127">
        <v>0</v>
      </c>
      <c r="AJ27" s="1127">
        <v>1</v>
      </c>
      <c r="AK27" s="1129">
        <v>1980.7983857142858</v>
      </c>
      <c r="AL27" s="1129">
        <v>0</v>
      </c>
      <c r="AM27" s="1129">
        <v>0</v>
      </c>
      <c r="AN27" s="1129">
        <v>1980.7983857142858</v>
      </c>
      <c r="AO27" s="1129" t="s">
        <v>131</v>
      </c>
      <c r="AP27" s="1129" t="s">
        <v>96</v>
      </c>
      <c r="AQ27" s="1157">
        <v>2014</v>
      </c>
      <c r="AR27" s="1129" t="s">
        <v>87</v>
      </c>
      <c r="AS27" s="1127">
        <v>0.33333333333333331</v>
      </c>
      <c r="AT27" s="1127"/>
      <c r="AU27" s="1127">
        <v>0.33333333333333331</v>
      </c>
      <c r="AV27" s="1127"/>
      <c r="AW27" s="1127"/>
      <c r="AX27" s="1127"/>
      <c r="AY27" s="1127"/>
      <c r="AZ27" s="1127">
        <v>0.33333333333333331</v>
      </c>
      <c r="BA27" s="1129">
        <v>660.26612857142857</v>
      </c>
      <c r="BB27" s="1129">
        <v>0</v>
      </c>
      <c r="BC27" s="1129">
        <v>660.26612857142857</v>
      </c>
      <c r="BD27" s="1129">
        <v>0</v>
      </c>
      <c r="BE27" s="1129">
        <v>0</v>
      </c>
      <c r="BF27" s="1129">
        <v>0</v>
      </c>
      <c r="BG27" s="1129">
        <v>0</v>
      </c>
      <c r="BH27" s="1129">
        <v>660.26612857142857</v>
      </c>
      <c r="BI27" s="1981"/>
      <c r="BJ27" s="971"/>
      <c r="BK27" s="971"/>
      <c r="BL27" s="1246"/>
      <c r="BM27" s="1247" t="s">
        <v>1768</v>
      </c>
    </row>
    <row r="28" spans="1:65" s="1247" customFormat="1" ht="66" customHeight="1">
      <c r="A28" s="1272">
        <v>2000</v>
      </c>
      <c r="B28" s="971" t="s">
        <v>119</v>
      </c>
      <c r="C28" s="1272">
        <v>2300</v>
      </c>
      <c r="D28" s="971" t="s">
        <v>222</v>
      </c>
      <c r="E28" s="971" t="s">
        <v>223</v>
      </c>
      <c r="F28" s="971" t="s">
        <v>224</v>
      </c>
      <c r="G28" s="971" t="s">
        <v>225</v>
      </c>
      <c r="H28" s="971" t="s">
        <v>226</v>
      </c>
      <c r="I28" s="1273" t="s">
        <v>2221</v>
      </c>
      <c r="J28" s="971" t="s">
        <v>2222</v>
      </c>
      <c r="K28" s="971" t="s">
        <v>2123</v>
      </c>
      <c r="L28" s="971" t="s">
        <v>2124</v>
      </c>
      <c r="M28" s="971" t="s">
        <v>2123</v>
      </c>
      <c r="N28" s="971" t="s">
        <v>179</v>
      </c>
      <c r="O28" s="971" t="s">
        <v>2124</v>
      </c>
      <c r="P28" s="971"/>
      <c r="Q28" s="971" t="s">
        <v>7247</v>
      </c>
      <c r="R28" s="971" t="s">
        <v>4047</v>
      </c>
      <c r="S28" s="1274">
        <v>1</v>
      </c>
      <c r="T28" s="971" t="s">
        <v>242</v>
      </c>
      <c r="U28" s="1275">
        <v>19.2</v>
      </c>
      <c r="V28" s="1275">
        <v>213</v>
      </c>
      <c r="W28" s="1275">
        <v>1918.3369142857146</v>
      </c>
      <c r="X28" s="1275">
        <v>2130</v>
      </c>
      <c r="Y28" s="1275">
        <v>4261.3369142857146</v>
      </c>
      <c r="Z28" s="1129">
        <v>19.2</v>
      </c>
      <c r="AA28" s="1129">
        <v>213</v>
      </c>
      <c r="AB28" s="1129">
        <v>1918.3369142857146</v>
      </c>
      <c r="AC28" s="1129">
        <v>2130</v>
      </c>
      <c r="AD28" s="1098">
        <v>4261.3369142857146</v>
      </c>
      <c r="AE28" s="1135">
        <v>1</v>
      </c>
      <c r="AF28" s="1129">
        <v>1</v>
      </c>
      <c r="AG28" s="1127">
        <v>1</v>
      </c>
      <c r="AH28" s="1127">
        <v>0</v>
      </c>
      <c r="AI28" s="1127">
        <v>0</v>
      </c>
      <c r="AJ28" s="1127">
        <v>1</v>
      </c>
      <c r="AK28" s="1129">
        <v>4261.3369142857146</v>
      </c>
      <c r="AL28" s="1129">
        <v>0</v>
      </c>
      <c r="AM28" s="1129">
        <v>0</v>
      </c>
      <c r="AN28" s="1129">
        <v>4261.3369142857146</v>
      </c>
      <c r="AO28" s="1129" t="s">
        <v>131</v>
      </c>
      <c r="AP28" s="1129" t="s">
        <v>96</v>
      </c>
      <c r="AQ28" s="1157">
        <v>2014</v>
      </c>
      <c r="AR28" s="1129" t="s">
        <v>87</v>
      </c>
      <c r="AS28" s="1127">
        <v>0.33333333333333331</v>
      </c>
      <c r="AT28" s="1127"/>
      <c r="AU28" s="1127">
        <v>0.33333333333333331</v>
      </c>
      <c r="AV28" s="1127"/>
      <c r="AW28" s="1127"/>
      <c r="AX28" s="1127"/>
      <c r="AY28" s="1127"/>
      <c r="AZ28" s="1127">
        <v>0.33333333333333331</v>
      </c>
      <c r="BA28" s="1129">
        <v>1420.4456380952381</v>
      </c>
      <c r="BB28" s="1129">
        <v>0</v>
      </c>
      <c r="BC28" s="1129">
        <v>1420.4456380952381</v>
      </c>
      <c r="BD28" s="1129">
        <v>0</v>
      </c>
      <c r="BE28" s="1129">
        <v>0</v>
      </c>
      <c r="BF28" s="1129">
        <v>0</v>
      </c>
      <c r="BG28" s="1129">
        <v>0</v>
      </c>
      <c r="BH28" s="1129">
        <v>1420.4456380952381</v>
      </c>
      <c r="BI28" s="1981"/>
      <c r="BJ28" s="971"/>
      <c r="BK28" s="971"/>
      <c r="BL28" s="1246"/>
      <c r="BM28" s="1247" t="s">
        <v>2123</v>
      </c>
    </row>
    <row r="29" spans="1:65" s="1247" customFormat="1" ht="66" customHeight="1">
      <c r="A29" s="1272">
        <v>2000</v>
      </c>
      <c r="B29" s="971" t="s">
        <v>119</v>
      </c>
      <c r="C29" s="1272">
        <v>2300</v>
      </c>
      <c r="D29" s="971" t="s">
        <v>222</v>
      </c>
      <c r="E29" s="971" t="s">
        <v>223</v>
      </c>
      <c r="F29" s="971" t="s">
        <v>224</v>
      </c>
      <c r="G29" s="971" t="s">
        <v>225</v>
      </c>
      <c r="H29" s="971" t="s">
        <v>226</v>
      </c>
      <c r="I29" s="1273" t="s">
        <v>7248</v>
      </c>
      <c r="J29" s="971" t="s">
        <v>7249</v>
      </c>
      <c r="K29" s="971" t="s">
        <v>2123</v>
      </c>
      <c r="L29" s="971" t="s">
        <v>2124</v>
      </c>
      <c r="M29" s="971" t="s">
        <v>2123</v>
      </c>
      <c r="N29" s="971" t="s">
        <v>179</v>
      </c>
      <c r="O29" s="971" t="s">
        <v>2124</v>
      </c>
      <c r="P29" s="971" t="s">
        <v>2214</v>
      </c>
      <c r="Q29" s="971" t="s">
        <v>7250</v>
      </c>
      <c r="R29" s="971" t="s">
        <v>4053</v>
      </c>
      <c r="S29" s="1274">
        <v>1</v>
      </c>
      <c r="T29" s="971" t="s">
        <v>242</v>
      </c>
      <c r="U29" s="1275">
        <v>19.2</v>
      </c>
      <c r="V29" s="1275">
        <v>213</v>
      </c>
      <c r="W29" s="1275">
        <v>1918.3369142857146</v>
      </c>
      <c r="X29" s="1275">
        <v>2130</v>
      </c>
      <c r="Y29" s="1275">
        <v>4261.3369142857146</v>
      </c>
      <c r="Z29" s="1129">
        <v>19.2</v>
      </c>
      <c r="AA29" s="1129">
        <v>213</v>
      </c>
      <c r="AB29" s="1129">
        <v>1918.3369142857146</v>
      </c>
      <c r="AC29" s="1129">
        <v>2130</v>
      </c>
      <c r="AD29" s="1098">
        <v>4261.3369142857146</v>
      </c>
      <c r="AE29" s="1135">
        <v>1</v>
      </c>
      <c r="AF29" s="1129">
        <v>1</v>
      </c>
      <c r="AG29" s="1127">
        <v>1</v>
      </c>
      <c r="AH29" s="1127">
        <v>0</v>
      </c>
      <c r="AI29" s="1127">
        <v>0</v>
      </c>
      <c r="AJ29" s="1127">
        <v>1</v>
      </c>
      <c r="AK29" s="1129">
        <v>4261.3369142857146</v>
      </c>
      <c r="AL29" s="1129">
        <v>0</v>
      </c>
      <c r="AM29" s="1129">
        <v>0</v>
      </c>
      <c r="AN29" s="1129">
        <v>4261.3369142857146</v>
      </c>
      <c r="AO29" s="1129" t="s">
        <v>131</v>
      </c>
      <c r="AP29" s="1129" t="s">
        <v>96</v>
      </c>
      <c r="AQ29" s="1157">
        <v>2014</v>
      </c>
      <c r="AR29" s="1129" t="s">
        <v>87</v>
      </c>
      <c r="AS29" s="1127">
        <v>0.33333333333333331</v>
      </c>
      <c r="AT29" s="1127"/>
      <c r="AU29" s="1127">
        <v>0.33333333333333331</v>
      </c>
      <c r="AV29" s="1127"/>
      <c r="AW29" s="1127"/>
      <c r="AX29" s="1127"/>
      <c r="AY29" s="1127"/>
      <c r="AZ29" s="1127">
        <v>0.33333333333333331</v>
      </c>
      <c r="BA29" s="1129">
        <v>1420.4456380952381</v>
      </c>
      <c r="BB29" s="1129">
        <v>0</v>
      </c>
      <c r="BC29" s="1129">
        <v>1420.4456380952381</v>
      </c>
      <c r="BD29" s="1129">
        <v>0</v>
      </c>
      <c r="BE29" s="1129">
        <v>0</v>
      </c>
      <c r="BF29" s="1129">
        <v>0</v>
      </c>
      <c r="BG29" s="1129">
        <v>0</v>
      </c>
      <c r="BH29" s="1129">
        <v>1420.4456380952381</v>
      </c>
      <c r="BI29" s="1981"/>
      <c r="BJ29" s="971"/>
      <c r="BK29" s="971"/>
      <c r="BL29" s="1246"/>
      <c r="BM29" s="1247" t="s">
        <v>2123</v>
      </c>
    </row>
    <row r="30" spans="1:65" s="1247" customFormat="1" ht="49.5" customHeight="1">
      <c r="A30" s="1272">
        <v>2000</v>
      </c>
      <c r="B30" s="971" t="s">
        <v>119</v>
      </c>
      <c r="C30" s="1272">
        <v>2300</v>
      </c>
      <c r="D30" s="971" t="s">
        <v>222</v>
      </c>
      <c r="E30" s="971" t="s">
        <v>223</v>
      </c>
      <c r="F30" s="971" t="s">
        <v>224</v>
      </c>
      <c r="G30" s="971">
        <v>2342</v>
      </c>
      <c r="H30" s="971" t="s">
        <v>226</v>
      </c>
      <c r="I30" s="1273"/>
      <c r="J30" s="971" t="s">
        <v>7218</v>
      </c>
      <c r="K30" s="971" t="s">
        <v>2120</v>
      </c>
      <c r="L30" s="971" t="s">
        <v>2121</v>
      </c>
      <c r="M30" s="971" t="s">
        <v>2120</v>
      </c>
      <c r="N30" s="971" t="s">
        <v>179</v>
      </c>
      <c r="O30" s="971" t="s">
        <v>2121</v>
      </c>
      <c r="P30" s="971" t="s">
        <v>7219</v>
      </c>
      <c r="Q30" s="971" t="s">
        <v>7251</v>
      </c>
      <c r="R30" s="971"/>
      <c r="S30" s="1274">
        <v>1</v>
      </c>
      <c r="T30" s="971" t="s">
        <v>242</v>
      </c>
      <c r="U30" s="1275">
        <v>168</v>
      </c>
      <c r="V30" s="1275">
        <v>2220</v>
      </c>
      <c r="W30" s="1275">
        <v>16785.448</v>
      </c>
      <c r="X30" s="1275">
        <v>22200</v>
      </c>
      <c r="Y30" s="1275">
        <v>41205.448000000004</v>
      </c>
      <c r="Z30" s="1129">
        <v>168</v>
      </c>
      <c r="AA30" s="1129">
        <v>2220</v>
      </c>
      <c r="AB30" s="1129">
        <v>16785.448</v>
      </c>
      <c r="AC30" s="1129">
        <v>22200</v>
      </c>
      <c r="AD30" s="1098">
        <v>41205.448000000004</v>
      </c>
      <c r="AE30" s="1135">
        <v>56</v>
      </c>
      <c r="AF30" s="1129">
        <v>56</v>
      </c>
      <c r="AG30" s="1127">
        <v>1</v>
      </c>
      <c r="AH30" s="1127">
        <v>0</v>
      </c>
      <c r="AI30" s="1127">
        <v>0</v>
      </c>
      <c r="AJ30" s="1127">
        <v>1</v>
      </c>
      <c r="AK30" s="1129">
        <v>41205.448000000004</v>
      </c>
      <c r="AL30" s="1129">
        <v>0</v>
      </c>
      <c r="AM30" s="1129">
        <v>0</v>
      </c>
      <c r="AN30" s="1129">
        <v>41205.448000000004</v>
      </c>
      <c r="AO30" s="1129" t="s">
        <v>85</v>
      </c>
      <c r="AP30" s="1129" t="s">
        <v>96</v>
      </c>
      <c r="AQ30" s="1157" t="s">
        <v>107</v>
      </c>
      <c r="AR30" s="1129" t="s">
        <v>87</v>
      </c>
      <c r="AS30" s="1127">
        <v>0.33333333333333331</v>
      </c>
      <c r="AT30" s="1127"/>
      <c r="AU30" s="1127">
        <v>0.33333333333333331</v>
      </c>
      <c r="AV30" s="1127"/>
      <c r="AW30" s="1127"/>
      <c r="AX30" s="1127"/>
      <c r="AY30" s="1127"/>
      <c r="AZ30" s="1127">
        <v>0.33333333333333331</v>
      </c>
      <c r="BA30" s="1129">
        <v>13735.149333333335</v>
      </c>
      <c r="BB30" s="1129">
        <v>0</v>
      </c>
      <c r="BC30" s="1129">
        <v>13735.149333333335</v>
      </c>
      <c r="BD30" s="1129">
        <v>0</v>
      </c>
      <c r="BE30" s="1129">
        <v>0</v>
      </c>
      <c r="BF30" s="1129">
        <v>0</v>
      </c>
      <c r="BG30" s="1129">
        <v>0</v>
      </c>
      <c r="BH30" s="1129">
        <v>13735.149333333335</v>
      </c>
      <c r="BI30" s="1981"/>
      <c r="BJ30" s="971"/>
      <c r="BK30" s="971"/>
      <c r="BL30" s="1246"/>
      <c r="BM30" s="1247" t="s">
        <v>2120</v>
      </c>
    </row>
    <row r="31" spans="1:65" s="1247" customFormat="1" ht="66" customHeight="1">
      <c r="A31" s="1272">
        <v>2000</v>
      </c>
      <c r="B31" s="971" t="s">
        <v>119</v>
      </c>
      <c r="C31" s="1272">
        <v>2300</v>
      </c>
      <c r="D31" s="971" t="s">
        <v>222</v>
      </c>
      <c r="E31" s="971" t="s">
        <v>263</v>
      </c>
      <c r="F31" s="971" t="s">
        <v>264</v>
      </c>
      <c r="G31" s="971" t="s">
        <v>265</v>
      </c>
      <c r="H31" s="971" t="s">
        <v>266</v>
      </c>
      <c r="I31" s="1273"/>
      <c r="J31" s="971" t="s">
        <v>267</v>
      </c>
      <c r="K31" s="971"/>
      <c r="L31" s="971"/>
      <c r="M31" s="971"/>
      <c r="N31" s="971"/>
      <c r="O31" s="971"/>
      <c r="P31" s="971"/>
      <c r="Q31" s="971" t="s">
        <v>273</v>
      </c>
      <c r="R31" s="971" t="s">
        <v>272</v>
      </c>
      <c r="S31" s="1274">
        <v>0</v>
      </c>
      <c r="T31" s="971" t="s">
        <v>136</v>
      </c>
      <c r="U31" s="1275" t="s">
        <v>6588</v>
      </c>
      <c r="V31" s="1275" t="s">
        <v>6588</v>
      </c>
      <c r="W31" s="1275" t="s">
        <v>6588</v>
      </c>
      <c r="X31" s="1275" t="s">
        <v>6588</v>
      </c>
      <c r="Y31" s="1275" t="s">
        <v>6588</v>
      </c>
      <c r="Z31" s="1129">
        <v>0</v>
      </c>
      <c r="AA31" s="1129">
        <v>0</v>
      </c>
      <c r="AB31" s="1129">
        <v>0</v>
      </c>
      <c r="AC31" s="1129">
        <v>0</v>
      </c>
      <c r="AD31" s="1098">
        <v>0</v>
      </c>
      <c r="AE31" s="1135">
        <v>0</v>
      </c>
      <c r="AF31" s="1135">
        <v>0</v>
      </c>
      <c r="AG31" s="1127">
        <v>0</v>
      </c>
      <c r="AH31" s="1127">
        <v>1</v>
      </c>
      <c r="AI31" s="1127">
        <v>0</v>
      </c>
      <c r="AJ31" s="1127">
        <v>1</v>
      </c>
      <c r="AK31" s="1129">
        <v>0</v>
      </c>
      <c r="AL31" s="1129">
        <v>0</v>
      </c>
      <c r="AM31" s="1129">
        <v>0</v>
      </c>
      <c r="AN31" s="1129">
        <v>0</v>
      </c>
      <c r="AO31" s="1129" t="s">
        <v>131</v>
      </c>
      <c r="AP31" s="1129" t="s">
        <v>96</v>
      </c>
      <c r="AQ31" s="1157">
        <v>2014</v>
      </c>
      <c r="AR31" s="1129" t="s">
        <v>87</v>
      </c>
      <c r="AS31" s="1127">
        <v>0.33333333333333331</v>
      </c>
      <c r="AT31" s="1127">
        <v>0.33333333333333331</v>
      </c>
      <c r="AU31" s="1127">
        <v>0.33333333333333331</v>
      </c>
      <c r="AV31" s="1127"/>
      <c r="AW31" s="1127"/>
      <c r="AX31" s="1127"/>
      <c r="AY31" s="1127"/>
      <c r="AZ31" s="1127"/>
      <c r="BA31" s="1129">
        <v>0</v>
      </c>
      <c r="BB31" s="1129">
        <v>0</v>
      </c>
      <c r="BC31" s="1129">
        <v>0</v>
      </c>
      <c r="BD31" s="1129">
        <v>0</v>
      </c>
      <c r="BE31" s="1129">
        <v>0</v>
      </c>
      <c r="BF31" s="1129">
        <v>0</v>
      </c>
      <c r="BG31" s="1129">
        <v>0</v>
      </c>
      <c r="BH31" s="1129">
        <v>0</v>
      </c>
      <c r="BI31" s="1981"/>
      <c r="BJ31" s="971"/>
      <c r="BK31" s="971"/>
      <c r="BL31" s="1246"/>
      <c r="BM31" s="1247">
        <v>0</v>
      </c>
    </row>
    <row r="32" spans="1:65" s="1247" customFormat="1" ht="66" customHeight="1">
      <c r="A32" s="1272">
        <v>2000</v>
      </c>
      <c r="B32" s="971" t="s">
        <v>119</v>
      </c>
      <c r="C32" s="1272">
        <v>2300</v>
      </c>
      <c r="D32" s="971" t="s">
        <v>222</v>
      </c>
      <c r="E32" s="971" t="s">
        <v>263</v>
      </c>
      <c r="F32" s="971" t="s">
        <v>264</v>
      </c>
      <c r="G32" s="971" t="s">
        <v>265</v>
      </c>
      <c r="H32" s="971" t="s">
        <v>266</v>
      </c>
      <c r="I32" s="1273"/>
      <c r="J32" s="971" t="s">
        <v>267</v>
      </c>
      <c r="K32" s="971"/>
      <c r="L32" s="971"/>
      <c r="M32" s="971"/>
      <c r="N32" s="971"/>
      <c r="O32" s="971"/>
      <c r="P32" s="971"/>
      <c r="Q32" s="971" t="s">
        <v>274</v>
      </c>
      <c r="R32" s="971" t="s">
        <v>272</v>
      </c>
      <c r="S32" s="1274">
        <v>0</v>
      </c>
      <c r="T32" s="971" t="s">
        <v>136</v>
      </c>
      <c r="U32" s="1275" t="s">
        <v>6588</v>
      </c>
      <c r="V32" s="1275" t="s">
        <v>6588</v>
      </c>
      <c r="W32" s="1275" t="s">
        <v>6588</v>
      </c>
      <c r="X32" s="1275" t="s">
        <v>6588</v>
      </c>
      <c r="Y32" s="1275" t="s">
        <v>6588</v>
      </c>
      <c r="Z32" s="1129">
        <v>0</v>
      </c>
      <c r="AA32" s="1129">
        <v>0</v>
      </c>
      <c r="AB32" s="1129">
        <v>0</v>
      </c>
      <c r="AC32" s="1129">
        <v>0</v>
      </c>
      <c r="AD32" s="1098">
        <v>0</v>
      </c>
      <c r="AE32" s="1135">
        <v>0</v>
      </c>
      <c r="AF32" s="1135">
        <v>0</v>
      </c>
      <c r="AG32" s="1127">
        <v>0</v>
      </c>
      <c r="AH32" s="1127">
        <v>1</v>
      </c>
      <c r="AI32" s="1127">
        <v>0</v>
      </c>
      <c r="AJ32" s="1127">
        <v>1</v>
      </c>
      <c r="AK32" s="1129">
        <v>0</v>
      </c>
      <c r="AL32" s="1129">
        <v>0</v>
      </c>
      <c r="AM32" s="1129">
        <v>0</v>
      </c>
      <c r="AN32" s="1129">
        <v>0</v>
      </c>
      <c r="AO32" s="1129" t="s">
        <v>131</v>
      </c>
      <c r="AP32" s="1129" t="s">
        <v>96</v>
      </c>
      <c r="AQ32" s="1157">
        <v>2014</v>
      </c>
      <c r="AR32" s="1129" t="s">
        <v>87</v>
      </c>
      <c r="AS32" s="1127">
        <v>0.33333333333333331</v>
      </c>
      <c r="AT32" s="1127">
        <v>0.33333333333333331</v>
      </c>
      <c r="AU32" s="1127">
        <v>0.33333333333333331</v>
      </c>
      <c r="AV32" s="1127"/>
      <c r="AW32" s="1127"/>
      <c r="AX32" s="1127"/>
      <c r="AY32" s="1127"/>
      <c r="AZ32" s="1127"/>
      <c r="BA32" s="1129">
        <v>0</v>
      </c>
      <c r="BB32" s="1129">
        <v>0</v>
      </c>
      <c r="BC32" s="1129">
        <v>0</v>
      </c>
      <c r="BD32" s="1129">
        <v>0</v>
      </c>
      <c r="BE32" s="1129">
        <v>0</v>
      </c>
      <c r="BF32" s="1129">
        <v>0</v>
      </c>
      <c r="BG32" s="1129">
        <v>0</v>
      </c>
      <c r="BH32" s="1129">
        <v>0</v>
      </c>
      <c r="BI32" s="1981"/>
      <c r="BJ32" s="971"/>
      <c r="BK32" s="971"/>
      <c r="BL32" s="1246"/>
      <c r="BM32" s="1247">
        <v>0</v>
      </c>
    </row>
    <row r="33" spans="1:65" s="1247" customFormat="1" ht="66" customHeight="1">
      <c r="A33" s="1272">
        <v>2000</v>
      </c>
      <c r="B33" s="971" t="s">
        <v>119</v>
      </c>
      <c r="C33" s="1272">
        <v>2300</v>
      </c>
      <c r="D33" s="971" t="s">
        <v>222</v>
      </c>
      <c r="E33" s="971" t="s">
        <v>263</v>
      </c>
      <c r="F33" s="971" t="s">
        <v>264</v>
      </c>
      <c r="G33" s="971" t="s">
        <v>265</v>
      </c>
      <c r="H33" s="971" t="s">
        <v>266</v>
      </c>
      <c r="I33" s="1273"/>
      <c r="J33" s="971" t="s">
        <v>267</v>
      </c>
      <c r="K33" s="971"/>
      <c r="L33" s="971"/>
      <c r="M33" s="971"/>
      <c r="N33" s="971"/>
      <c r="O33" s="971"/>
      <c r="P33" s="971"/>
      <c r="Q33" s="971" t="s">
        <v>275</v>
      </c>
      <c r="R33" s="971" t="s">
        <v>272</v>
      </c>
      <c r="S33" s="1274">
        <v>0</v>
      </c>
      <c r="T33" s="971" t="s">
        <v>136</v>
      </c>
      <c r="U33" s="1275" t="s">
        <v>6588</v>
      </c>
      <c r="V33" s="1275" t="s">
        <v>6588</v>
      </c>
      <c r="W33" s="1275" t="s">
        <v>6588</v>
      </c>
      <c r="X33" s="1275" t="s">
        <v>6588</v>
      </c>
      <c r="Y33" s="1275" t="s">
        <v>6588</v>
      </c>
      <c r="Z33" s="1129">
        <v>0</v>
      </c>
      <c r="AA33" s="1129">
        <v>0</v>
      </c>
      <c r="AB33" s="1129">
        <v>0</v>
      </c>
      <c r="AC33" s="1129">
        <v>0</v>
      </c>
      <c r="AD33" s="1098">
        <v>0</v>
      </c>
      <c r="AE33" s="1135">
        <v>0</v>
      </c>
      <c r="AF33" s="1135">
        <v>0</v>
      </c>
      <c r="AG33" s="1127">
        <v>0</v>
      </c>
      <c r="AH33" s="1127">
        <v>1</v>
      </c>
      <c r="AI33" s="1127">
        <v>0</v>
      </c>
      <c r="AJ33" s="1127">
        <v>1</v>
      </c>
      <c r="AK33" s="1129">
        <v>0</v>
      </c>
      <c r="AL33" s="1129">
        <v>0</v>
      </c>
      <c r="AM33" s="1129">
        <v>0</v>
      </c>
      <c r="AN33" s="1129">
        <v>0</v>
      </c>
      <c r="AO33" s="1129" t="s">
        <v>131</v>
      </c>
      <c r="AP33" s="1129" t="s">
        <v>96</v>
      </c>
      <c r="AQ33" s="1157">
        <v>2014</v>
      </c>
      <c r="AR33" s="1129" t="s">
        <v>87</v>
      </c>
      <c r="AS33" s="1127">
        <v>0.33333333333333331</v>
      </c>
      <c r="AT33" s="1127">
        <v>0.33333333333333331</v>
      </c>
      <c r="AU33" s="1127">
        <v>0.33333333333333331</v>
      </c>
      <c r="AV33" s="1127"/>
      <c r="AW33" s="1127"/>
      <c r="AX33" s="1127"/>
      <c r="AY33" s="1127"/>
      <c r="AZ33" s="1127"/>
      <c r="BA33" s="1129">
        <v>0</v>
      </c>
      <c r="BB33" s="1129">
        <v>0</v>
      </c>
      <c r="BC33" s="1129">
        <v>0</v>
      </c>
      <c r="BD33" s="1129">
        <v>0</v>
      </c>
      <c r="BE33" s="1129">
        <v>0</v>
      </c>
      <c r="BF33" s="1129">
        <v>0</v>
      </c>
      <c r="BG33" s="1129">
        <v>0</v>
      </c>
      <c r="BH33" s="1129">
        <v>0</v>
      </c>
      <c r="BI33" s="1981"/>
      <c r="BJ33" s="971"/>
      <c r="BK33" s="971"/>
      <c r="BL33" s="1246"/>
      <c r="BM33" s="1247">
        <v>0</v>
      </c>
    </row>
    <row r="34" spans="1:65" s="1247" customFormat="1" ht="66" customHeight="1">
      <c r="A34" s="1272">
        <v>2000</v>
      </c>
      <c r="B34" s="971" t="s">
        <v>119</v>
      </c>
      <c r="C34" s="1272">
        <v>2300</v>
      </c>
      <c r="D34" s="971" t="s">
        <v>222</v>
      </c>
      <c r="E34" s="971" t="s">
        <v>263</v>
      </c>
      <c r="F34" s="971" t="s">
        <v>264</v>
      </c>
      <c r="G34" s="971" t="s">
        <v>265</v>
      </c>
      <c r="H34" s="971" t="s">
        <v>266</v>
      </c>
      <c r="I34" s="1273"/>
      <c r="J34" s="971" t="s">
        <v>267</v>
      </c>
      <c r="K34" s="971"/>
      <c r="L34" s="971"/>
      <c r="M34" s="971"/>
      <c r="N34" s="971"/>
      <c r="O34" s="971"/>
      <c r="P34" s="971"/>
      <c r="Q34" s="971" t="s">
        <v>276</v>
      </c>
      <c r="R34" s="971" t="s">
        <v>277</v>
      </c>
      <c r="S34" s="1274">
        <v>0</v>
      </c>
      <c r="T34" s="971" t="s">
        <v>136</v>
      </c>
      <c r="U34" s="1275" t="s">
        <v>6588</v>
      </c>
      <c r="V34" s="1275" t="s">
        <v>6588</v>
      </c>
      <c r="W34" s="1275" t="s">
        <v>6588</v>
      </c>
      <c r="X34" s="1275" t="s">
        <v>6588</v>
      </c>
      <c r="Y34" s="1275" t="s">
        <v>6588</v>
      </c>
      <c r="Z34" s="1129">
        <v>0</v>
      </c>
      <c r="AA34" s="1129">
        <v>0</v>
      </c>
      <c r="AB34" s="1129">
        <v>0</v>
      </c>
      <c r="AC34" s="1129">
        <v>0</v>
      </c>
      <c r="AD34" s="1098">
        <v>0</v>
      </c>
      <c r="AE34" s="1135">
        <v>0</v>
      </c>
      <c r="AF34" s="1135">
        <v>0</v>
      </c>
      <c r="AG34" s="1127">
        <v>0</v>
      </c>
      <c r="AH34" s="1127">
        <v>1</v>
      </c>
      <c r="AI34" s="1127">
        <v>0</v>
      </c>
      <c r="AJ34" s="1127">
        <v>1</v>
      </c>
      <c r="AK34" s="1129">
        <v>0</v>
      </c>
      <c r="AL34" s="1129">
        <v>0</v>
      </c>
      <c r="AM34" s="1129">
        <v>0</v>
      </c>
      <c r="AN34" s="1129">
        <v>0</v>
      </c>
      <c r="AO34" s="1129" t="s">
        <v>131</v>
      </c>
      <c r="AP34" s="1129" t="s">
        <v>96</v>
      </c>
      <c r="AQ34" s="1157">
        <v>2014</v>
      </c>
      <c r="AR34" s="1129" t="s">
        <v>87</v>
      </c>
      <c r="AS34" s="1127">
        <v>0.33333333333333331</v>
      </c>
      <c r="AT34" s="1127">
        <v>0.33333333333333331</v>
      </c>
      <c r="AU34" s="1127">
        <v>0.33333333333333331</v>
      </c>
      <c r="AV34" s="1127"/>
      <c r="AW34" s="1127"/>
      <c r="AX34" s="1127"/>
      <c r="AY34" s="1127"/>
      <c r="AZ34" s="1127"/>
      <c r="BA34" s="1129">
        <v>0</v>
      </c>
      <c r="BB34" s="1129">
        <v>0</v>
      </c>
      <c r="BC34" s="1129">
        <v>0</v>
      </c>
      <c r="BD34" s="1129">
        <v>0</v>
      </c>
      <c r="BE34" s="1129">
        <v>0</v>
      </c>
      <c r="BF34" s="1129">
        <v>0</v>
      </c>
      <c r="BG34" s="1129">
        <v>0</v>
      </c>
      <c r="BH34" s="1129">
        <v>0</v>
      </c>
      <c r="BI34" s="1981"/>
      <c r="BJ34" s="971"/>
      <c r="BK34" s="971"/>
      <c r="BL34" s="1246"/>
      <c r="BM34" s="1247">
        <v>0</v>
      </c>
    </row>
    <row r="35" spans="1:65" s="1247" customFormat="1" ht="66" customHeight="1">
      <c r="A35" s="1272">
        <v>2000</v>
      </c>
      <c r="B35" s="971" t="s">
        <v>119</v>
      </c>
      <c r="C35" s="1272">
        <v>2300</v>
      </c>
      <c r="D35" s="971" t="s">
        <v>222</v>
      </c>
      <c r="E35" s="971" t="s">
        <v>263</v>
      </c>
      <c r="F35" s="971" t="s">
        <v>264</v>
      </c>
      <c r="G35" s="971" t="s">
        <v>265</v>
      </c>
      <c r="H35" s="971" t="s">
        <v>266</v>
      </c>
      <c r="I35" s="1273"/>
      <c r="J35" s="971" t="s">
        <v>267</v>
      </c>
      <c r="K35" s="971"/>
      <c r="L35" s="971"/>
      <c r="M35" s="971"/>
      <c r="N35" s="971"/>
      <c r="O35" s="971"/>
      <c r="P35" s="971"/>
      <c r="Q35" s="971" t="s">
        <v>278</v>
      </c>
      <c r="R35" s="971" t="s">
        <v>277</v>
      </c>
      <c r="S35" s="1274">
        <v>0</v>
      </c>
      <c r="T35" s="971" t="s">
        <v>136</v>
      </c>
      <c r="U35" s="1275" t="s">
        <v>6588</v>
      </c>
      <c r="V35" s="1275" t="s">
        <v>6588</v>
      </c>
      <c r="W35" s="1275" t="s">
        <v>6588</v>
      </c>
      <c r="X35" s="1275" t="s">
        <v>6588</v>
      </c>
      <c r="Y35" s="1275" t="s">
        <v>6588</v>
      </c>
      <c r="Z35" s="1129">
        <v>0</v>
      </c>
      <c r="AA35" s="1129">
        <v>0</v>
      </c>
      <c r="AB35" s="1129">
        <v>0</v>
      </c>
      <c r="AC35" s="1129">
        <v>0</v>
      </c>
      <c r="AD35" s="1098">
        <v>0</v>
      </c>
      <c r="AE35" s="1135">
        <v>0</v>
      </c>
      <c r="AF35" s="1135">
        <v>0</v>
      </c>
      <c r="AG35" s="1127">
        <v>0</v>
      </c>
      <c r="AH35" s="1127">
        <v>1</v>
      </c>
      <c r="AI35" s="1127">
        <v>0</v>
      </c>
      <c r="AJ35" s="1127">
        <v>1</v>
      </c>
      <c r="AK35" s="1129">
        <v>0</v>
      </c>
      <c r="AL35" s="1129">
        <v>0</v>
      </c>
      <c r="AM35" s="1129">
        <v>0</v>
      </c>
      <c r="AN35" s="1129">
        <v>0</v>
      </c>
      <c r="AO35" s="1129" t="s">
        <v>131</v>
      </c>
      <c r="AP35" s="1129" t="s">
        <v>96</v>
      </c>
      <c r="AQ35" s="1157">
        <v>2014</v>
      </c>
      <c r="AR35" s="1129" t="s">
        <v>87</v>
      </c>
      <c r="AS35" s="1127">
        <v>0.33333333333333331</v>
      </c>
      <c r="AT35" s="1127">
        <v>0.33333333333333331</v>
      </c>
      <c r="AU35" s="1127">
        <v>0.33333333333333331</v>
      </c>
      <c r="AV35" s="1127"/>
      <c r="AW35" s="1127"/>
      <c r="AX35" s="1127"/>
      <c r="AY35" s="1127"/>
      <c r="AZ35" s="1127"/>
      <c r="BA35" s="1129">
        <v>0</v>
      </c>
      <c r="BB35" s="1129">
        <v>0</v>
      </c>
      <c r="BC35" s="1129">
        <v>0</v>
      </c>
      <c r="BD35" s="1129">
        <v>0</v>
      </c>
      <c r="BE35" s="1129">
        <v>0</v>
      </c>
      <c r="BF35" s="1129">
        <v>0</v>
      </c>
      <c r="BG35" s="1129">
        <v>0</v>
      </c>
      <c r="BH35" s="1129">
        <v>0</v>
      </c>
      <c r="BI35" s="1981"/>
      <c r="BJ35" s="971"/>
      <c r="BK35" s="971"/>
      <c r="BL35" s="1246"/>
      <c r="BM35" s="1247">
        <v>0</v>
      </c>
    </row>
    <row r="36" spans="1:65" s="1247" customFormat="1" ht="66" customHeight="1">
      <c r="A36" s="1272">
        <v>2000</v>
      </c>
      <c r="B36" s="971" t="s">
        <v>119</v>
      </c>
      <c r="C36" s="1272">
        <v>2300</v>
      </c>
      <c r="D36" s="971" t="s">
        <v>222</v>
      </c>
      <c r="E36" s="971" t="s">
        <v>263</v>
      </c>
      <c r="F36" s="971" t="s">
        <v>264</v>
      </c>
      <c r="G36" s="971" t="s">
        <v>265</v>
      </c>
      <c r="H36" s="971" t="s">
        <v>266</v>
      </c>
      <c r="I36" s="1273"/>
      <c r="J36" s="971" t="s">
        <v>267</v>
      </c>
      <c r="K36" s="971"/>
      <c r="L36" s="971"/>
      <c r="M36" s="971"/>
      <c r="N36" s="971"/>
      <c r="O36" s="971"/>
      <c r="P36" s="971"/>
      <c r="Q36" s="971" t="s">
        <v>279</v>
      </c>
      <c r="R36" s="971" t="s">
        <v>277</v>
      </c>
      <c r="S36" s="1274">
        <v>0</v>
      </c>
      <c r="T36" s="971" t="s">
        <v>136</v>
      </c>
      <c r="U36" s="1275" t="s">
        <v>6588</v>
      </c>
      <c r="V36" s="1275" t="s">
        <v>6588</v>
      </c>
      <c r="W36" s="1275" t="s">
        <v>6588</v>
      </c>
      <c r="X36" s="1275" t="s">
        <v>6588</v>
      </c>
      <c r="Y36" s="1275" t="s">
        <v>6588</v>
      </c>
      <c r="Z36" s="1129">
        <v>0</v>
      </c>
      <c r="AA36" s="1129">
        <v>0</v>
      </c>
      <c r="AB36" s="1129">
        <v>0</v>
      </c>
      <c r="AC36" s="1129">
        <v>0</v>
      </c>
      <c r="AD36" s="1098">
        <v>0</v>
      </c>
      <c r="AE36" s="1135">
        <v>0</v>
      </c>
      <c r="AF36" s="1135">
        <v>0</v>
      </c>
      <c r="AG36" s="1127">
        <v>0</v>
      </c>
      <c r="AH36" s="1127">
        <v>1</v>
      </c>
      <c r="AI36" s="1127">
        <v>0</v>
      </c>
      <c r="AJ36" s="1127">
        <v>1</v>
      </c>
      <c r="AK36" s="1129">
        <v>0</v>
      </c>
      <c r="AL36" s="1129">
        <v>0</v>
      </c>
      <c r="AM36" s="1129">
        <v>0</v>
      </c>
      <c r="AN36" s="1129">
        <v>0</v>
      </c>
      <c r="AO36" s="1129" t="s">
        <v>131</v>
      </c>
      <c r="AP36" s="1129" t="s">
        <v>96</v>
      </c>
      <c r="AQ36" s="1157">
        <v>2014</v>
      </c>
      <c r="AR36" s="1129" t="s">
        <v>87</v>
      </c>
      <c r="AS36" s="1127">
        <v>0.33333333333333331</v>
      </c>
      <c r="AT36" s="1127">
        <v>0.33333333333333331</v>
      </c>
      <c r="AU36" s="1127">
        <v>0.33333333333333331</v>
      </c>
      <c r="AV36" s="1127"/>
      <c r="AW36" s="1127"/>
      <c r="AX36" s="1127"/>
      <c r="AY36" s="1127"/>
      <c r="AZ36" s="1127"/>
      <c r="BA36" s="1129">
        <v>0</v>
      </c>
      <c r="BB36" s="1129">
        <v>0</v>
      </c>
      <c r="BC36" s="1129">
        <v>0</v>
      </c>
      <c r="BD36" s="1129">
        <v>0</v>
      </c>
      <c r="BE36" s="1129">
        <v>0</v>
      </c>
      <c r="BF36" s="1129">
        <v>0</v>
      </c>
      <c r="BG36" s="1129">
        <v>0</v>
      </c>
      <c r="BH36" s="1129">
        <v>0</v>
      </c>
      <c r="BI36" s="1981"/>
      <c r="BJ36" s="971"/>
      <c r="BK36" s="971"/>
      <c r="BL36" s="1246"/>
      <c r="BM36" s="1247">
        <v>0</v>
      </c>
    </row>
    <row r="37" spans="1:65" s="1247" customFormat="1" ht="66" customHeight="1">
      <c r="A37" s="1272">
        <v>2000</v>
      </c>
      <c r="B37" s="971" t="s">
        <v>119</v>
      </c>
      <c r="C37" s="1272">
        <v>2300</v>
      </c>
      <c r="D37" s="971" t="s">
        <v>222</v>
      </c>
      <c r="E37" s="971" t="s">
        <v>263</v>
      </c>
      <c r="F37" s="971" t="s">
        <v>264</v>
      </c>
      <c r="G37" s="971" t="s">
        <v>280</v>
      </c>
      <c r="H37" s="971" t="s">
        <v>266</v>
      </c>
      <c r="I37" s="1273" t="s">
        <v>281</v>
      </c>
      <c r="J37" s="971" t="s">
        <v>282</v>
      </c>
      <c r="K37" s="971"/>
      <c r="L37" s="971" t="s">
        <v>270</v>
      </c>
      <c r="M37" s="971" t="s">
        <v>270</v>
      </c>
      <c r="N37" s="971" t="s">
        <v>179</v>
      </c>
      <c r="O37" s="971"/>
      <c r="P37" s="971"/>
      <c r="Q37" s="971" t="s">
        <v>283</v>
      </c>
      <c r="R37" s="971" t="s">
        <v>284</v>
      </c>
      <c r="S37" s="1274">
        <v>1</v>
      </c>
      <c r="T37" s="971" t="s">
        <v>242</v>
      </c>
      <c r="U37" s="1275" t="s">
        <v>6588</v>
      </c>
      <c r="V37" s="1275" t="s">
        <v>6588</v>
      </c>
      <c r="W37" s="1275" t="s">
        <v>6588</v>
      </c>
      <c r="X37" s="1275" t="s">
        <v>6588</v>
      </c>
      <c r="Y37" s="1275" t="s">
        <v>6588</v>
      </c>
      <c r="Z37" s="1129">
        <v>0</v>
      </c>
      <c r="AA37" s="1129">
        <v>0</v>
      </c>
      <c r="AB37" s="1129">
        <v>0</v>
      </c>
      <c r="AC37" s="1129">
        <v>0</v>
      </c>
      <c r="AD37" s="1098">
        <v>0</v>
      </c>
      <c r="AE37" s="1135">
        <v>0</v>
      </c>
      <c r="AF37" s="1129">
        <v>0</v>
      </c>
      <c r="AG37" s="1127">
        <v>0</v>
      </c>
      <c r="AH37" s="1127">
        <v>1</v>
      </c>
      <c r="AI37" s="1127">
        <v>0</v>
      </c>
      <c r="AJ37" s="1127">
        <v>1</v>
      </c>
      <c r="AK37" s="1129">
        <v>0</v>
      </c>
      <c r="AL37" s="1129">
        <v>0</v>
      </c>
      <c r="AM37" s="1129">
        <v>0</v>
      </c>
      <c r="AN37" s="1129">
        <v>0</v>
      </c>
      <c r="AO37" s="1129" t="s">
        <v>131</v>
      </c>
      <c r="AP37" s="1129" t="s">
        <v>96</v>
      </c>
      <c r="AQ37" s="1157">
        <v>2014</v>
      </c>
      <c r="AR37" s="1129" t="s">
        <v>87</v>
      </c>
      <c r="AS37" s="1127">
        <v>0.33333333333333331</v>
      </c>
      <c r="AT37" s="1127">
        <v>0.33333333333333331</v>
      </c>
      <c r="AU37" s="1127">
        <v>0.33333333333333331</v>
      </c>
      <c r="AV37" s="1127"/>
      <c r="AW37" s="1127"/>
      <c r="AX37" s="1127"/>
      <c r="AY37" s="1127"/>
      <c r="AZ37" s="1127"/>
      <c r="BA37" s="1129">
        <v>0</v>
      </c>
      <c r="BB37" s="1129">
        <v>0</v>
      </c>
      <c r="BC37" s="1129">
        <v>0</v>
      </c>
      <c r="BD37" s="1129">
        <v>0</v>
      </c>
      <c r="BE37" s="1129">
        <v>0</v>
      </c>
      <c r="BF37" s="1129">
        <v>0</v>
      </c>
      <c r="BG37" s="1129">
        <v>0</v>
      </c>
      <c r="BH37" s="1129">
        <v>0</v>
      </c>
      <c r="BI37" s="1981"/>
      <c r="BJ37" s="971"/>
      <c r="BK37" s="971"/>
      <c r="BL37" s="1246"/>
      <c r="BM37" s="1247">
        <v>0</v>
      </c>
    </row>
    <row r="38" spans="1:65" s="1247" customFormat="1" ht="66" customHeight="1">
      <c r="A38" s="1272">
        <v>2000</v>
      </c>
      <c r="B38" s="971" t="s">
        <v>119</v>
      </c>
      <c r="C38" s="1272">
        <v>2300</v>
      </c>
      <c r="D38" s="971" t="s">
        <v>222</v>
      </c>
      <c r="E38" s="971" t="s">
        <v>263</v>
      </c>
      <c r="F38" s="971" t="s">
        <v>264</v>
      </c>
      <c r="G38" s="971" t="s">
        <v>280</v>
      </c>
      <c r="H38" s="971" t="s">
        <v>266</v>
      </c>
      <c r="I38" s="1273" t="s">
        <v>285</v>
      </c>
      <c r="J38" s="971" t="s">
        <v>282</v>
      </c>
      <c r="K38" s="971"/>
      <c r="L38" s="971" t="s">
        <v>270</v>
      </c>
      <c r="M38" s="971" t="s">
        <v>270</v>
      </c>
      <c r="N38" s="971" t="s">
        <v>179</v>
      </c>
      <c r="O38" s="971"/>
      <c r="P38" s="971"/>
      <c r="Q38" s="971" t="s">
        <v>286</v>
      </c>
      <c r="R38" s="971" t="s">
        <v>287</v>
      </c>
      <c r="S38" s="1274">
        <v>1</v>
      </c>
      <c r="T38" s="971" t="s">
        <v>242</v>
      </c>
      <c r="U38" s="1275" t="s">
        <v>6588</v>
      </c>
      <c r="V38" s="1275" t="s">
        <v>6588</v>
      </c>
      <c r="W38" s="1275" t="s">
        <v>6588</v>
      </c>
      <c r="X38" s="1275" t="s">
        <v>6588</v>
      </c>
      <c r="Y38" s="1275" t="s">
        <v>6588</v>
      </c>
      <c r="Z38" s="1129">
        <v>0</v>
      </c>
      <c r="AA38" s="1129">
        <v>0</v>
      </c>
      <c r="AB38" s="1129">
        <v>0</v>
      </c>
      <c r="AC38" s="1129">
        <v>0</v>
      </c>
      <c r="AD38" s="1098">
        <v>0</v>
      </c>
      <c r="AE38" s="1135">
        <v>0</v>
      </c>
      <c r="AF38" s="1129">
        <v>0</v>
      </c>
      <c r="AG38" s="1127">
        <v>1</v>
      </c>
      <c r="AH38" s="1127">
        <v>0</v>
      </c>
      <c r="AI38" s="1127">
        <v>0</v>
      </c>
      <c r="AJ38" s="1127">
        <v>1</v>
      </c>
      <c r="AK38" s="1129">
        <v>0</v>
      </c>
      <c r="AL38" s="1129">
        <v>0</v>
      </c>
      <c r="AM38" s="1129">
        <v>0</v>
      </c>
      <c r="AN38" s="1129">
        <v>0</v>
      </c>
      <c r="AO38" s="1129" t="s">
        <v>131</v>
      </c>
      <c r="AP38" s="1129" t="s">
        <v>96</v>
      </c>
      <c r="AQ38" s="1157">
        <v>2014</v>
      </c>
      <c r="AR38" s="1129" t="s">
        <v>87</v>
      </c>
      <c r="AS38" s="1127">
        <v>0.33333333333333331</v>
      </c>
      <c r="AT38" s="1127">
        <v>0.33333333333333331</v>
      </c>
      <c r="AU38" s="1127">
        <v>0.33333333333333331</v>
      </c>
      <c r="AV38" s="1127"/>
      <c r="AW38" s="1127"/>
      <c r="AX38" s="1127"/>
      <c r="AY38" s="1127"/>
      <c r="AZ38" s="1127"/>
      <c r="BA38" s="1129">
        <v>0</v>
      </c>
      <c r="BB38" s="1129">
        <v>0</v>
      </c>
      <c r="BC38" s="1129">
        <v>0</v>
      </c>
      <c r="BD38" s="1129">
        <v>0</v>
      </c>
      <c r="BE38" s="1129">
        <v>0</v>
      </c>
      <c r="BF38" s="1129">
        <v>0</v>
      </c>
      <c r="BG38" s="1129">
        <v>0</v>
      </c>
      <c r="BH38" s="1129">
        <v>0</v>
      </c>
      <c r="BI38" s="1981"/>
      <c r="BJ38" s="971"/>
      <c r="BK38" s="971"/>
      <c r="BL38" s="1246"/>
      <c r="BM38" s="1247">
        <v>0</v>
      </c>
    </row>
    <row r="39" spans="1:65" s="1247" customFormat="1" ht="66" customHeight="1">
      <c r="A39" s="1272">
        <v>2000</v>
      </c>
      <c r="B39" s="971" t="s">
        <v>119</v>
      </c>
      <c r="C39" s="1272">
        <v>2300</v>
      </c>
      <c r="D39" s="971" t="s">
        <v>222</v>
      </c>
      <c r="E39" s="971" t="s">
        <v>263</v>
      </c>
      <c r="F39" s="971" t="s">
        <v>264</v>
      </c>
      <c r="G39" s="971" t="s">
        <v>280</v>
      </c>
      <c r="H39" s="971" t="s">
        <v>266</v>
      </c>
      <c r="I39" s="1273" t="s">
        <v>288</v>
      </c>
      <c r="J39" s="971" t="s">
        <v>282</v>
      </c>
      <c r="K39" s="971"/>
      <c r="L39" s="971" t="s">
        <v>270</v>
      </c>
      <c r="M39" s="971" t="s">
        <v>270</v>
      </c>
      <c r="N39" s="971" t="s">
        <v>179</v>
      </c>
      <c r="O39" s="971"/>
      <c r="P39" s="971"/>
      <c r="Q39" s="971" t="s">
        <v>286</v>
      </c>
      <c r="R39" s="971" t="s">
        <v>289</v>
      </c>
      <c r="S39" s="1274">
        <v>1</v>
      </c>
      <c r="T39" s="971" t="s">
        <v>242</v>
      </c>
      <c r="U39" s="1275" t="s">
        <v>6588</v>
      </c>
      <c r="V39" s="1275" t="s">
        <v>6588</v>
      </c>
      <c r="W39" s="1275" t="s">
        <v>6588</v>
      </c>
      <c r="X39" s="1275" t="s">
        <v>6588</v>
      </c>
      <c r="Y39" s="1275" t="s">
        <v>6588</v>
      </c>
      <c r="Z39" s="1129">
        <v>0</v>
      </c>
      <c r="AA39" s="1129">
        <v>0</v>
      </c>
      <c r="AB39" s="1129">
        <v>0</v>
      </c>
      <c r="AC39" s="1129">
        <v>0</v>
      </c>
      <c r="AD39" s="1098">
        <v>0</v>
      </c>
      <c r="AE39" s="1135">
        <v>0</v>
      </c>
      <c r="AF39" s="1129">
        <v>0</v>
      </c>
      <c r="AG39" s="1127">
        <v>1</v>
      </c>
      <c r="AH39" s="1127">
        <v>0</v>
      </c>
      <c r="AI39" s="1127">
        <v>0</v>
      </c>
      <c r="AJ39" s="1127">
        <v>1</v>
      </c>
      <c r="AK39" s="1129">
        <v>0</v>
      </c>
      <c r="AL39" s="1129">
        <v>0</v>
      </c>
      <c r="AM39" s="1129">
        <v>0</v>
      </c>
      <c r="AN39" s="1129">
        <v>0</v>
      </c>
      <c r="AO39" s="1129" t="s">
        <v>131</v>
      </c>
      <c r="AP39" s="1129" t="s">
        <v>96</v>
      </c>
      <c r="AQ39" s="1157">
        <v>2014</v>
      </c>
      <c r="AR39" s="1129" t="s">
        <v>87</v>
      </c>
      <c r="AS39" s="1127">
        <v>0.33333333333333331</v>
      </c>
      <c r="AT39" s="1127">
        <v>0.33333333333333331</v>
      </c>
      <c r="AU39" s="1127">
        <v>0.33333333333333331</v>
      </c>
      <c r="AV39" s="1127"/>
      <c r="AW39" s="1127"/>
      <c r="AX39" s="1127"/>
      <c r="AY39" s="1127"/>
      <c r="AZ39" s="1127"/>
      <c r="BA39" s="1129">
        <v>0</v>
      </c>
      <c r="BB39" s="1129">
        <v>0</v>
      </c>
      <c r="BC39" s="1129">
        <v>0</v>
      </c>
      <c r="BD39" s="1129">
        <v>0</v>
      </c>
      <c r="BE39" s="1129">
        <v>0</v>
      </c>
      <c r="BF39" s="1129">
        <v>0</v>
      </c>
      <c r="BG39" s="1129">
        <v>0</v>
      </c>
      <c r="BH39" s="1129">
        <v>0</v>
      </c>
      <c r="BI39" s="1981"/>
      <c r="BJ39" s="971"/>
      <c r="BK39" s="971"/>
      <c r="BL39" s="1246"/>
      <c r="BM39" s="1247">
        <v>0</v>
      </c>
    </row>
    <row r="40" spans="1:65" s="1247" customFormat="1" ht="66" customHeight="1">
      <c r="A40" s="1272">
        <v>2000</v>
      </c>
      <c r="B40" s="971" t="s">
        <v>119</v>
      </c>
      <c r="C40" s="1272">
        <v>2300</v>
      </c>
      <c r="D40" s="971" t="s">
        <v>222</v>
      </c>
      <c r="E40" s="971" t="s">
        <v>263</v>
      </c>
      <c r="F40" s="971" t="s">
        <v>264</v>
      </c>
      <c r="G40" s="971" t="s">
        <v>280</v>
      </c>
      <c r="H40" s="971" t="s">
        <v>266</v>
      </c>
      <c r="I40" s="1273" t="s">
        <v>290</v>
      </c>
      <c r="J40" s="971" t="s">
        <v>282</v>
      </c>
      <c r="K40" s="971"/>
      <c r="L40" s="971" t="s">
        <v>270</v>
      </c>
      <c r="M40" s="971" t="s">
        <v>270</v>
      </c>
      <c r="N40" s="971" t="s">
        <v>179</v>
      </c>
      <c r="O40" s="971"/>
      <c r="P40" s="971"/>
      <c r="Q40" s="971" t="s">
        <v>291</v>
      </c>
      <c r="R40" s="971" t="s">
        <v>292</v>
      </c>
      <c r="S40" s="1274">
        <v>1</v>
      </c>
      <c r="T40" s="971" t="s">
        <v>242</v>
      </c>
      <c r="U40" s="1275" t="s">
        <v>6588</v>
      </c>
      <c r="V40" s="1275" t="s">
        <v>6588</v>
      </c>
      <c r="W40" s="1275" t="s">
        <v>6588</v>
      </c>
      <c r="X40" s="1275" t="s">
        <v>6588</v>
      </c>
      <c r="Y40" s="1275" t="s">
        <v>6588</v>
      </c>
      <c r="Z40" s="1129">
        <v>0</v>
      </c>
      <c r="AA40" s="1129">
        <v>0</v>
      </c>
      <c r="AB40" s="1129">
        <v>0</v>
      </c>
      <c r="AC40" s="1129">
        <v>0</v>
      </c>
      <c r="AD40" s="1098">
        <v>0</v>
      </c>
      <c r="AE40" s="1135">
        <v>0</v>
      </c>
      <c r="AF40" s="1129">
        <v>0</v>
      </c>
      <c r="AG40" s="1127">
        <v>0</v>
      </c>
      <c r="AH40" s="1127">
        <v>1</v>
      </c>
      <c r="AI40" s="1127">
        <v>0</v>
      </c>
      <c r="AJ40" s="1127">
        <v>1</v>
      </c>
      <c r="AK40" s="1129">
        <v>0</v>
      </c>
      <c r="AL40" s="1129">
        <v>0</v>
      </c>
      <c r="AM40" s="1129">
        <v>0</v>
      </c>
      <c r="AN40" s="1129">
        <v>0</v>
      </c>
      <c r="AO40" s="1129" t="s">
        <v>131</v>
      </c>
      <c r="AP40" s="1129" t="s">
        <v>96</v>
      </c>
      <c r="AQ40" s="1157">
        <v>2014</v>
      </c>
      <c r="AR40" s="1129" t="s">
        <v>87</v>
      </c>
      <c r="AS40" s="1127">
        <v>0.33333333333333331</v>
      </c>
      <c r="AT40" s="1127">
        <v>0.33333333333333331</v>
      </c>
      <c r="AU40" s="1127">
        <v>0.33333333333333331</v>
      </c>
      <c r="AV40" s="1127"/>
      <c r="AW40" s="1127"/>
      <c r="AX40" s="1127"/>
      <c r="AY40" s="1127"/>
      <c r="AZ40" s="1127"/>
      <c r="BA40" s="1129">
        <v>0</v>
      </c>
      <c r="BB40" s="1129">
        <v>0</v>
      </c>
      <c r="BC40" s="1129">
        <v>0</v>
      </c>
      <c r="BD40" s="1129">
        <v>0</v>
      </c>
      <c r="BE40" s="1129">
        <v>0</v>
      </c>
      <c r="BF40" s="1129">
        <v>0</v>
      </c>
      <c r="BG40" s="1129">
        <v>0</v>
      </c>
      <c r="BH40" s="1129">
        <v>0</v>
      </c>
      <c r="BI40" s="1981"/>
      <c r="BJ40" s="971"/>
      <c r="BK40" s="971"/>
      <c r="BL40" s="1246"/>
      <c r="BM40" s="1247">
        <v>0</v>
      </c>
    </row>
    <row r="41" spans="1:65" s="1247" customFormat="1" ht="66" customHeight="1">
      <c r="A41" s="1272">
        <v>2000</v>
      </c>
      <c r="B41" s="971" t="s">
        <v>119</v>
      </c>
      <c r="C41" s="1272">
        <v>2300</v>
      </c>
      <c r="D41" s="971" t="s">
        <v>222</v>
      </c>
      <c r="E41" s="971" t="s">
        <v>263</v>
      </c>
      <c r="F41" s="971" t="s">
        <v>264</v>
      </c>
      <c r="G41" s="971" t="s">
        <v>280</v>
      </c>
      <c r="H41" s="971" t="s">
        <v>266</v>
      </c>
      <c r="I41" s="1273" t="s">
        <v>293</v>
      </c>
      <c r="J41" s="971" t="s">
        <v>282</v>
      </c>
      <c r="K41" s="971"/>
      <c r="L41" s="971" t="s">
        <v>270</v>
      </c>
      <c r="M41" s="971" t="s">
        <v>270</v>
      </c>
      <c r="N41" s="971" t="s">
        <v>179</v>
      </c>
      <c r="O41" s="971"/>
      <c r="P41" s="971"/>
      <c r="Q41" s="971" t="s">
        <v>294</v>
      </c>
      <c r="R41" s="971" t="s">
        <v>295</v>
      </c>
      <c r="S41" s="1274">
        <v>1</v>
      </c>
      <c r="T41" s="971" t="s">
        <v>242</v>
      </c>
      <c r="U41" s="1275" t="s">
        <v>6588</v>
      </c>
      <c r="V41" s="1275" t="s">
        <v>6588</v>
      </c>
      <c r="W41" s="1275" t="s">
        <v>6588</v>
      </c>
      <c r="X41" s="1275" t="s">
        <v>6588</v>
      </c>
      <c r="Y41" s="1275" t="s">
        <v>6588</v>
      </c>
      <c r="Z41" s="1129">
        <v>0</v>
      </c>
      <c r="AA41" s="1129">
        <v>0</v>
      </c>
      <c r="AB41" s="1129">
        <v>0</v>
      </c>
      <c r="AC41" s="1129">
        <v>0</v>
      </c>
      <c r="AD41" s="1098">
        <v>0</v>
      </c>
      <c r="AE41" s="1135">
        <v>0</v>
      </c>
      <c r="AF41" s="1129">
        <v>0</v>
      </c>
      <c r="AG41" s="1127">
        <v>1</v>
      </c>
      <c r="AH41" s="1127">
        <v>0</v>
      </c>
      <c r="AI41" s="1127">
        <v>0</v>
      </c>
      <c r="AJ41" s="1127">
        <v>1</v>
      </c>
      <c r="AK41" s="1129">
        <v>0</v>
      </c>
      <c r="AL41" s="1129">
        <v>0</v>
      </c>
      <c r="AM41" s="1129">
        <v>0</v>
      </c>
      <c r="AN41" s="1129">
        <v>0</v>
      </c>
      <c r="AO41" s="1129" t="s">
        <v>131</v>
      </c>
      <c r="AP41" s="1129" t="s">
        <v>96</v>
      </c>
      <c r="AQ41" s="1157">
        <v>2014</v>
      </c>
      <c r="AR41" s="1129" t="s">
        <v>87</v>
      </c>
      <c r="AS41" s="1127">
        <v>0.33333333333333331</v>
      </c>
      <c r="AT41" s="1127">
        <v>0.33333333333333331</v>
      </c>
      <c r="AU41" s="1127">
        <v>0.33333333333333331</v>
      </c>
      <c r="AV41" s="1127"/>
      <c r="AW41" s="1127"/>
      <c r="AX41" s="1127"/>
      <c r="AY41" s="1127"/>
      <c r="AZ41" s="1127"/>
      <c r="BA41" s="1129">
        <v>0</v>
      </c>
      <c r="BB41" s="1129">
        <v>0</v>
      </c>
      <c r="BC41" s="1129">
        <v>0</v>
      </c>
      <c r="BD41" s="1129">
        <v>0</v>
      </c>
      <c r="BE41" s="1129">
        <v>0</v>
      </c>
      <c r="BF41" s="1129">
        <v>0</v>
      </c>
      <c r="BG41" s="1129">
        <v>0</v>
      </c>
      <c r="BH41" s="1129">
        <v>0</v>
      </c>
      <c r="BI41" s="1981"/>
      <c r="BJ41" s="971"/>
      <c r="BK41" s="971"/>
      <c r="BL41" s="1246"/>
      <c r="BM41" s="1247">
        <v>0</v>
      </c>
    </row>
    <row r="42" spans="1:65" s="1247" customFormat="1" ht="66" customHeight="1">
      <c r="A42" s="1272">
        <v>2000</v>
      </c>
      <c r="B42" s="971" t="s">
        <v>119</v>
      </c>
      <c r="C42" s="1272">
        <v>2300</v>
      </c>
      <c r="D42" s="971" t="s">
        <v>222</v>
      </c>
      <c r="E42" s="971" t="s">
        <v>263</v>
      </c>
      <c r="F42" s="971" t="s">
        <v>264</v>
      </c>
      <c r="G42" s="971" t="s">
        <v>280</v>
      </c>
      <c r="H42" s="971" t="s">
        <v>266</v>
      </c>
      <c r="I42" s="1273" t="s">
        <v>296</v>
      </c>
      <c r="J42" s="971" t="s">
        <v>282</v>
      </c>
      <c r="K42" s="971"/>
      <c r="L42" s="971" t="s">
        <v>270</v>
      </c>
      <c r="M42" s="971" t="s">
        <v>270</v>
      </c>
      <c r="N42" s="971" t="s">
        <v>179</v>
      </c>
      <c r="O42" s="971"/>
      <c r="P42" s="971"/>
      <c r="Q42" s="971" t="s">
        <v>291</v>
      </c>
      <c r="R42" s="971" t="s">
        <v>297</v>
      </c>
      <c r="S42" s="1274">
        <v>1</v>
      </c>
      <c r="T42" s="971" t="s">
        <v>242</v>
      </c>
      <c r="U42" s="1275" t="s">
        <v>6588</v>
      </c>
      <c r="V42" s="1275" t="s">
        <v>6588</v>
      </c>
      <c r="W42" s="1275" t="s">
        <v>6588</v>
      </c>
      <c r="X42" s="1275" t="s">
        <v>6588</v>
      </c>
      <c r="Y42" s="1275" t="s">
        <v>6588</v>
      </c>
      <c r="Z42" s="1129">
        <v>0</v>
      </c>
      <c r="AA42" s="1129">
        <v>0</v>
      </c>
      <c r="AB42" s="1129">
        <v>0</v>
      </c>
      <c r="AC42" s="1129">
        <v>0</v>
      </c>
      <c r="AD42" s="1098">
        <v>0</v>
      </c>
      <c r="AE42" s="1135">
        <v>0</v>
      </c>
      <c r="AF42" s="1129">
        <v>0</v>
      </c>
      <c r="AG42" s="1127">
        <v>0</v>
      </c>
      <c r="AH42" s="1127">
        <v>1</v>
      </c>
      <c r="AI42" s="1127">
        <v>0</v>
      </c>
      <c r="AJ42" s="1127">
        <v>1</v>
      </c>
      <c r="AK42" s="1129">
        <v>0</v>
      </c>
      <c r="AL42" s="1129">
        <v>0</v>
      </c>
      <c r="AM42" s="1129">
        <v>0</v>
      </c>
      <c r="AN42" s="1129">
        <v>0</v>
      </c>
      <c r="AO42" s="1129" t="s">
        <v>131</v>
      </c>
      <c r="AP42" s="1129" t="s">
        <v>96</v>
      </c>
      <c r="AQ42" s="1157">
        <v>2014</v>
      </c>
      <c r="AR42" s="1129" t="s">
        <v>87</v>
      </c>
      <c r="AS42" s="1127">
        <v>0.33333333333333331</v>
      </c>
      <c r="AT42" s="1127">
        <v>0.33333333333333331</v>
      </c>
      <c r="AU42" s="1127">
        <v>0.33333333333333331</v>
      </c>
      <c r="AV42" s="1127"/>
      <c r="AW42" s="1127"/>
      <c r="AX42" s="1127"/>
      <c r="AY42" s="1127"/>
      <c r="AZ42" s="1127"/>
      <c r="BA42" s="1129">
        <v>0</v>
      </c>
      <c r="BB42" s="1129">
        <v>0</v>
      </c>
      <c r="BC42" s="1129">
        <v>0</v>
      </c>
      <c r="BD42" s="1129">
        <v>0</v>
      </c>
      <c r="BE42" s="1129">
        <v>0</v>
      </c>
      <c r="BF42" s="1129">
        <v>0</v>
      </c>
      <c r="BG42" s="1129">
        <v>0</v>
      </c>
      <c r="BH42" s="1129">
        <v>0</v>
      </c>
      <c r="BI42" s="1981"/>
      <c r="BJ42" s="971"/>
      <c r="BK42" s="971"/>
      <c r="BL42" s="1246"/>
      <c r="BM42" s="1247">
        <v>0</v>
      </c>
    </row>
    <row r="43" spans="1:65" s="1247" customFormat="1" ht="66" customHeight="1">
      <c r="A43" s="1272">
        <v>2000</v>
      </c>
      <c r="B43" s="971" t="s">
        <v>119</v>
      </c>
      <c r="C43" s="1272">
        <v>2300</v>
      </c>
      <c r="D43" s="971" t="s">
        <v>222</v>
      </c>
      <c r="E43" s="971" t="s">
        <v>263</v>
      </c>
      <c r="F43" s="971" t="s">
        <v>264</v>
      </c>
      <c r="G43" s="971" t="s">
        <v>280</v>
      </c>
      <c r="H43" s="971" t="s">
        <v>266</v>
      </c>
      <c r="I43" s="1273" t="s">
        <v>298</v>
      </c>
      <c r="J43" s="971" t="s">
        <v>228</v>
      </c>
      <c r="K43" s="971"/>
      <c r="L43" s="971" t="s">
        <v>270</v>
      </c>
      <c r="M43" s="971" t="s">
        <v>270</v>
      </c>
      <c r="N43" s="971" t="s">
        <v>179</v>
      </c>
      <c r="O43" s="971"/>
      <c r="P43" s="971"/>
      <c r="Q43" s="971" t="s">
        <v>299</v>
      </c>
      <c r="R43" s="971" t="s">
        <v>300</v>
      </c>
      <c r="S43" s="1274">
        <v>1</v>
      </c>
      <c r="T43" s="971" t="s">
        <v>242</v>
      </c>
      <c r="U43" s="1275" t="s">
        <v>6588</v>
      </c>
      <c r="V43" s="1275" t="s">
        <v>6588</v>
      </c>
      <c r="W43" s="1275" t="s">
        <v>6588</v>
      </c>
      <c r="X43" s="1275" t="s">
        <v>6588</v>
      </c>
      <c r="Y43" s="1275" t="s">
        <v>6588</v>
      </c>
      <c r="Z43" s="1129">
        <v>0</v>
      </c>
      <c r="AA43" s="1129">
        <v>0</v>
      </c>
      <c r="AB43" s="1129">
        <v>0</v>
      </c>
      <c r="AC43" s="1129">
        <v>0</v>
      </c>
      <c r="AD43" s="1098">
        <v>0</v>
      </c>
      <c r="AE43" s="1135">
        <v>0</v>
      </c>
      <c r="AF43" s="1129">
        <v>0</v>
      </c>
      <c r="AG43" s="1127">
        <v>1</v>
      </c>
      <c r="AH43" s="1127">
        <v>0</v>
      </c>
      <c r="AI43" s="1127">
        <v>0</v>
      </c>
      <c r="AJ43" s="1127">
        <v>1</v>
      </c>
      <c r="AK43" s="1129">
        <v>0</v>
      </c>
      <c r="AL43" s="1129">
        <v>0</v>
      </c>
      <c r="AM43" s="1129">
        <v>0</v>
      </c>
      <c r="AN43" s="1129">
        <v>0</v>
      </c>
      <c r="AO43" s="1129" t="s">
        <v>131</v>
      </c>
      <c r="AP43" s="1129" t="s">
        <v>96</v>
      </c>
      <c r="AQ43" s="1157">
        <v>2014</v>
      </c>
      <c r="AR43" s="1129" t="s">
        <v>87</v>
      </c>
      <c r="AS43" s="1127">
        <v>0.33333333333333331</v>
      </c>
      <c r="AT43" s="1127">
        <v>0.33333333333333331</v>
      </c>
      <c r="AU43" s="1127">
        <v>0.33333333333333331</v>
      </c>
      <c r="AV43" s="1127"/>
      <c r="AW43" s="1127"/>
      <c r="AX43" s="1127"/>
      <c r="AY43" s="1127"/>
      <c r="AZ43" s="1127"/>
      <c r="BA43" s="1129">
        <v>0</v>
      </c>
      <c r="BB43" s="1129">
        <v>0</v>
      </c>
      <c r="BC43" s="1129">
        <v>0</v>
      </c>
      <c r="BD43" s="1129">
        <v>0</v>
      </c>
      <c r="BE43" s="1129">
        <v>0</v>
      </c>
      <c r="BF43" s="1129">
        <v>0</v>
      </c>
      <c r="BG43" s="1129">
        <v>0</v>
      </c>
      <c r="BH43" s="1129">
        <v>0</v>
      </c>
      <c r="BI43" s="1981"/>
      <c r="BJ43" s="971"/>
      <c r="BK43" s="971"/>
      <c r="BL43" s="1246"/>
      <c r="BM43" s="1247">
        <v>0</v>
      </c>
    </row>
    <row r="44" spans="1:65" s="1247" customFormat="1" ht="66" customHeight="1">
      <c r="A44" s="1272">
        <v>2000</v>
      </c>
      <c r="B44" s="971" t="s">
        <v>119</v>
      </c>
      <c r="C44" s="1272">
        <v>2300</v>
      </c>
      <c r="D44" s="971" t="s">
        <v>222</v>
      </c>
      <c r="E44" s="971" t="s">
        <v>263</v>
      </c>
      <c r="F44" s="971" t="s">
        <v>264</v>
      </c>
      <c r="G44" s="971" t="s">
        <v>280</v>
      </c>
      <c r="H44" s="971" t="s">
        <v>266</v>
      </c>
      <c r="I44" s="1273" t="s">
        <v>321</v>
      </c>
      <c r="J44" s="971" t="s">
        <v>267</v>
      </c>
      <c r="K44" s="971"/>
      <c r="L44" s="971" t="s">
        <v>270</v>
      </c>
      <c r="M44" s="971" t="s">
        <v>270</v>
      </c>
      <c r="N44" s="971"/>
      <c r="O44" s="971"/>
      <c r="P44" s="971"/>
      <c r="Q44" s="971" t="s">
        <v>322</v>
      </c>
      <c r="R44" s="971" t="s">
        <v>272</v>
      </c>
      <c r="S44" s="1274">
        <v>1</v>
      </c>
      <c r="T44" s="971" t="s">
        <v>242</v>
      </c>
      <c r="U44" s="1275" t="s">
        <v>6588</v>
      </c>
      <c r="V44" s="1275" t="s">
        <v>6588</v>
      </c>
      <c r="W44" s="1275" t="s">
        <v>6588</v>
      </c>
      <c r="X44" s="1275" t="s">
        <v>6588</v>
      </c>
      <c r="Y44" s="1275" t="s">
        <v>6588</v>
      </c>
      <c r="Z44" s="1129">
        <v>0</v>
      </c>
      <c r="AA44" s="1129">
        <v>0</v>
      </c>
      <c r="AB44" s="1129">
        <v>0</v>
      </c>
      <c r="AC44" s="1129">
        <v>0</v>
      </c>
      <c r="AD44" s="1098">
        <v>0</v>
      </c>
      <c r="AE44" s="1135">
        <v>0</v>
      </c>
      <c r="AF44" s="1129">
        <v>0</v>
      </c>
      <c r="AG44" s="1127">
        <v>0</v>
      </c>
      <c r="AH44" s="1127">
        <v>1</v>
      </c>
      <c r="AI44" s="1127">
        <v>0</v>
      </c>
      <c r="AJ44" s="1127">
        <v>1</v>
      </c>
      <c r="AK44" s="1129">
        <v>0</v>
      </c>
      <c r="AL44" s="1129">
        <v>0</v>
      </c>
      <c r="AM44" s="1129">
        <v>0</v>
      </c>
      <c r="AN44" s="1129">
        <v>0</v>
      </c>
      <c r="AO44" s="1129" t="s">
        <v>131</v>
      </c>
      <c r="AP44" s="1129" t="s">
        <v>96</v>
      </c>
      <c r="AQ44" s="1157">
        <v>2014</v>
      </c>
      <c r="AR44" s="1129" t="s">
        <v>87</v>
      </c>
      <c r="AS44" s="1127">
        <v>0.33333333333333331</v>
      </c>
      <c r="AT44" s="1127">
        <v>0.33333333333333331</v>
      </c>
      <c r="AU44" s="1127">
        <v>0.33333333333333331</v>
      </c>
      <c r="AV44" s="1127"/>
      <c r="AW44" s="1127"/>
      <c r="AX44" s="1127"/>
      <c r="AY44" s="1127"/>
      <c r="AZ44" s="1127"/>
      <c r="BA44" s="1129">
        <v>0</v>
      </c>
      <c r="BB44" s="1129">
        <v>0</v>
      </c>
      <c r="BC44" s="1129">
        <v>0</v>
      </c>
      <c r="BD44" s="1129">
        <v>0</v>
      </c>
      <c r="BE44" s="1129">
        <v>0</v>
      </c>
      <c r="BF44" s="1129">
        <v>0</v>
      </c>
      <c r="BG44" s="1129">
        <v>0</v>
      </c>
      <c r="BH44" s="1129">
        <v>0</v>
      </c>
      <c r="BI44" s="1981"/>
      <c r="BJ44" s="971"/>
      <c r="BK44" s="971"/>
      <c r="BL44" s="1246"/>
      <c r="BM44" s="1247">
        <v>0</v>
      </c>
    </row>
    <row r="45" spans="1:65" s="1247" customFormat="1" ht="66" customHeight="1">
      <c r="A45" s="1272">
        <v>2000</v>
      </c>
      <c r="B45" s="971" t="s">
        <v>119</v>
      </c>
      <c r="C45" s="1272">
        <v>2300</v>
      </c>
      <c r="D45" s="971" t="s">
        <v>222</v>
      </c>
      <c r="E45" s="971" t="s">
        <v>263</v>
      </c>
      <c r="F45" s="971" t="s">
        <v>264</v>
      </c>
      <c r="G45" s="971" t="s">
        <v>280</v>
      </c>
      <c r="H45" s="971" t="s">
        <v>266</v>
      </c>
      <c r="I45" s="1273" t="s">
        <v>375</v>
      </c>
      <c r="J45" s="971" t="s">
        <v>267</v>
      </c>
      <c r="K45" s="971"/>
      <c r="L45" s="971" t="s">
        <v>270</v>
      </c>
      <c r="M45" s="971" t="s">
        <v>270</v>
      </c>
      <c r="N45" s="971"/>
      <c r="O45" s="971"/>
      <c r="P45" s="971"/>
      <c r="Q45" s="971" t="s">
        <v>376</v>
      </c>
      <c r="R45" s="971" t="s">
        <v>277</v>
      </c>
      <c r="S45" s="1274">
        <v>1</v>
      </c>
      <c r="T45" s="971" t="s">
        <v>242</v>
      </c>
      <c r="U45" s="1275" t="s">
        <v>6588</v>
      </c>
      <c r="V45" s="1275" t="s">
        <v>6588</v>
      </c>
      <c r="W45" s="1275" t="s">
        <v>6588</v>
      </c>
      <c r="X45" s="1275" t="s">
        <v>6588</v>
      </c>
      <c r="Y45" s="1275" t="s">
        <v>6588</v>
      </c>
      <c r="Z45" s="1129">
        <v>0</v>
      </c>
      <c r="AA45" s="1129">
        <v>0</v>
      </c>
      <c r="AB45" s="1129">
        <v>0</v>
      </c>
      <c r="AC45" s="1129">
        <v>0</v>
      </c>
      <c r="AD45" s="1098">
        <v>0</v>
      </c>
      <c r="AE45" s="1135">
        <v>0</v>
      </c>
      <c r="AF45" s="1129">
        <v>0</v>
      </c>
      <c r="AG45" s="1127">
        <v>0</v>
      </c>
      <c r="AH45" s="1127">
        <v>1</v>
      </c>
      <c r="AI45" s="1127">
        <v>0</v>
      </c>
      <c r="AJ45" s="1127">
        <v>1</v>
      </c>
      <c r="AK45" s="1129">
        <v>0</v>
      </c>
      <c r="AL45" s="1129">
        <v>0</v>
      </c>
      <c r="AM45" s="1129">
        <v>0</v>
      </c>
      <c r="AN45" s="1129">
        <v>0</v>
      </c>
      <c r="AO45" s="1129" t="s">
        <v>131</v>
      </c>
      <c r="AP45" s="1129" t="s">
        <v>96</v>
      </c>
      <c r="AQ45" s="1157">
        <v>2014</v>
      </c>
      <c r="AR45" s="1129" t="s">
        <v>87</v>
      </c>
      <c r="AS45" s="1127">
        <v>0.33333333333333331</v>
      </c>
      <c r="AT45" s="1127">
        <v>0.33333333333333331</v>
      </c>
      <c r="AU45" s="1127">
        <v>0.33333333333333331</v>
      </c>
      <c r="AV45" s="1127"/>
      <c r="AW45" s="1127"/>
      <c r="AX45" s="1127"/>
      <c r="AY45" s="1127"/>
      <c r="AZ45" s="1127"/>
      <c r="BA45" s="1129">
        <v>0</v>
      </c>
      <c r="BB45" s="1129">
        <v>0</v>
      </c>
      <c r="BC45" s="1129">
        <v>0</v>
      </c>
      <c r="BD45" s="1129">
        <v>0</v>
      </c>
      <c r="BE45" s="1129">
        <v>0</v>
      </c>
      <c r="BF45" s="1129">
        <v>0</v>
      </c>
      <c r="BG45" s="1129">
        <v>0</v>
      </c>
      <c r="BH45" s="1129">
        <v>0</v>
      </c>
      <c r="BI45" s="1981"/>
      <c r="BJ45" s="971"/>
      <c r="BK45" s="971"/>
      <c r="BL45" s="1246"/>
      <c r="BM45" s="1247">
        <v>0</v>
      </c>
    </row>
    <row r="46" spans="1:65" s="1247" customFormat="1" ht="66" customHeight="1">
      <c r="A46" s="1272">
        <v>2000</v>
      </c>
      <c r="B46" s="971" t="s">
        <v>119</v>
      </c>
      <c r="C46" s="1272">
        <v>2500</v>
      </c>
      <c r="D46" s="971" t="s">
        <v>452</v>
      </c>
      <c r="E46" s="971" t="s">
        <v>453</v>
      </c>
      <c r="F46" s="971" t="s">
        <v>454</v>
      </c>
      <c r="G46" s="971" t="s">
        <v>4127</v>
      </c>
      <c r="H46" s="971" t="s">
        <v>454</v>
      </c>
      <c r="I46" s="1273" t="s">
        <v>7252</v>
      </c>
      <c r="J46" s="971" t="s">
        <v>2143</v>
      </c>
      <c r="K46" s="971" t="s">
        <v>1768</v>
      </c>
      <c r="L46" s="971" t="s">
        <v>3420</v>
      </c>
      <c r="M46" s="971" t="s">
        <v>1768</v>
      </c>
      <c r="N46" s="971" t="s">
        <v>179</v>
      </c>
      <c r="O46" s="971" t="s">
        <v>1769</v>
      </c>
      <c r="P46" s="971" t="s">
        <v>6663</v>
      </c>
      <c r="Q46" s="971" t="s">
        <v>7253</v>
      </c>
      <c r="R46" s="971" t="s">
        <v>4128</v>
      </c>
      <c r="S46" s="1274">
        <v>1</v>
      </c>
      <c r="T46" s="971" t="s">
        <v>242</v>
      </c>
      <c r="U46" s="1275">
        <v>8.1</v>
      </c>
      <c r="V46" s="1275">
        <v>106.5</v>
      </c>
      <c r="W46" s="1275">
        <v>809.29838571428581</v>
      </c>
      <c r="X46" s="1275">
        <v>1065</v>
      </c>
      <c r="Y46" s="1275">
        <v>1980.7983857142858</v>
      </c>
      <c r="Z46" s="1129">
        <v>8.1</v>
      </c>
      <c r="AA46" s="1129">
        <v>106.5</v>
      </c>
      <c r="AB46" s="1129">
        <v>809.29838571428581</v>
      </c>
      <c r="AC46" s="1129">
        <v>1065</v>
      </c>
      <c r="AD46" s="1098">
        <v>1980.7983857142858</v>
      </c>
      <c r="AE46" s="1135">
        <v>0.5</v>
      </c>
      <c r="AF46" s="1129">
        <v>0.5</v>
      </c>
      <c r="AG46" s="1127">
        <v>1</v>
      </c>
      <c r="AH46" s="1127">
        <v>0</v>
      </c>
      <c r="AI46" s="1127">
        <v>0</v>
      </c>
      <c r="AJ46" s="1127">
        <v>1</v>
      </c>
      <c r="AK46" s="1129">
        <v>1980.7983857142858</v>
      </c>
      <c r="AL46" s="1129">
        <v>0</v>
      </c>
      <c r="AM46" s="1129">
        <v>0</v>
      </c>
      <c r="AN46" s="1129">
        <v>1980.7983857142858</v>
      </c>
      <c r="AO46" s="1129" t="s">
        <v>131</v>
      </c>
      <c r="AP46" s="1129" t="s">
        <v>96</v>
      </c>
      <c r="AQ46" s="1157">
        <v>2014</v>
      </c>
      <c r="AR46" s="1129" t="s">
        <v>87</v>
      </c>
      <c r="AS46" s="1127">
        <v>0.5</v>
      </c>
      <c r="AT46" s="1127">
        <v>0.5</v>
      </c>
      <c r="AU46" s="1127"/>
      <c r="AV46" s="1127"/>
      <c r="AW46" s="1127"/>
      <c r="AX46" s="1127"/>
      <c r="AY46" s="1127"/>
      <c r="AZ46" s="1127"/>
      <c r="BA46" s="1129">
        <v>990.39919285714291</v>
      </c>
      <c r="BB46" s="1129">
        <v>990.39919285714291</v>
      </c>
      <c r="BC46" s="1129">
        <v>0</v>
      </c>
      <c r="BD46" s="1129">
        <v>0</v>
      </c>
      <c r="BE46" s="1129">
        <v>0</v>
      </c>
      <c r="BF46" s="1129">
        <v>0</v>
      </c>
      <c r="BG46" s="1129">
        <v>0</v>
      </c>
      <c r="BH46" s="1129">
        <v>0</v>
      </c>
      <c r="BI46" s="1981"/>
      <c r="BJ46" s="971"/>
      <c r="BK46" s="971"/>
      <c r="BL46" s="1246"/>
      <c r="BM46" s="1247" t="s">
        <v>1768</v>
      </c>
    </row>
    <row r="47" spans="1:65" s="1247" customFormat="1" ht="66" customHeight="1">
      <c r="A47" s="1272">
        <v>2000</v>
      </c>
      <c r="B47" s="971" t="s">
        <v>119</v>
      </c>
      <c r="C47" s="1272">
        <v>2500</v>
      </c>
      <c r="D47" s="971" t="s">
        <v>452</v>
      </c>
      <c r="E47" s="971" t="s">
        <v>453</v>
      </c>
      <c r="F47" s="971" t="s">
        <v>454</v>
      </c>
      <c r="G47" s="971" t="s">
        <v>528</v>
      </c>
      <c r="H47" s="971" t="s">
        <v>514</v>
      </c>
      <c r="I47" s="1273" t="s">
        <v>7254</v>
      </c>
      <c r="J47" s="971" t="s">
        <v>2143</v>
      </c>
      <c r="K47" s="971" t="s">
        <v>1768</v>
      </c>
      <c r="L47" s="971" t="s">
        <v>3420</v>
      </c>
      <c r="M47" s="971" t="s">
        <v>1768</v>
      </c>
      <c r="N47" s="971" t="s">
        <v>179</v>
      </c>
      <c r="O47" s="971" t="s">
        <v>1769</v>
      </c>
      <c r="P47" s="971" t="s">
        <v>6663</v>
      </c>
      <c r="Q47" s="971" t="s">
        <v>7255</v>
      </c>
      <c r="R47" s="971" t="s">
        <v>4145</v>
      </c>
      <c r="S47" s="1274">
        <v>1</v>
      </c>
      <c r="T47" s="971" t="s">
        <v>242</v>
      </c>
      <c r="U47" s="1275">
        <v>8.1</v>
      </c>
      <c r="V47" s="1275">
        <v>106.5</v>
      </c>
      <c r="W47" s="1275">
        <v>809.29838571428581</v>
      </c>
      <c r="X47" s="1275">
        <v>1065</v>
      </c>
      <c r="Y47" s="1275">
        <v>1980.7983857142858</v>
      </c>
      <c r="Z47" s="1129">
        <v>8.1</v>
      </c>
      <c r="AA47" s="1129">
        <v>106.5</v>
      </c>
      <c r="AB47" s="1129">
        <v>809.29838571428581</v>
      </c>
      <c r="AC47" s="1129">
        <v>1065</v>
      </c>
      <c r="AD47" s="1098">
        <v>1980.7983857142858</v>
      </c>
      <c r="AE47" s="1135">
        <v>0.5</v>
      </c>
      <c r="AF47" s="1129">
        <v>0.5</v>
      </c>
      <c r="AG47" s="1127">
        <v>1</v>
      </c>
      <c r="AH47" s="1127">
        <v>0</v>
      </c>
      <c r="AI47" s="1127">
        <v>0</v>
      </c>
      <c r="AJ47" s="1127">
        <v>1</v>
      </c>
      <c r="AK47" s="1129">
        <v>1980.7983857142858</v>
      </c>
      <c r="AL47" s="1129">
        <v>0</v>
      </c>
      <c r="AM47" s="1129">
        <v>0</v>
      </c>
      <c r="AN47" s="1129">
        <v>1980.7983857142858</v>
      </c>
      <c r="AO47" s="1129" t="s">
        <v>131</v>
      </c>
      <c r="AP47" s="1129" t="s">
        <v>96</v>
      </c>
      <c r="AQ47" s="1157">
        <v>2014</v>
      </c>
      <c r="AR47" s="1129" t="s">
        <v>87</v>
      </c>
      <c r="AS47" s="1127">
        <v>0.33333333333333331</v>
      </c>
      <c r="AT47" s="1127"/>
      <c r="AU47" s="1127">
        <v>0.33333333333333331</v>
      </c>
      <c r="AV47" s="1127"/>
      <c r="AW47" s="1127"/>
      <c r="AX47" s="1127"/>
      <c r="AY47" s="1127"/>
      <c r="AZ47" s="1127">
        <v>0.33333333333333331</v>
      </c>
      <c r="BA47" s="1129">
        <v>660.26612857142857</v>
      </c>
      <c r="BB47" s="1129">
        <v>0</v>
      </c>
      <c r="BC47" s="1129">
        <v>660.26612857142857</v>
      </c>
      <c r="BD47" s="1129">
        <v>0</v>
      </c>
      <c r="BE47" s="1129">
        <v>0</v>
      </c>
      <c r="BF47" s="1129">
        <v>0</v>
      </c>
      <c r="BG47" s="1129">
        <v>0</v>
      </c>
      <c r="BH47" s="1129">
        <v>660.26612857142857</v>
      </c>
      <c r="BI47" s="1981"/>
      <c r="BJ47" s="971"/>
      <c r="BK47" s="971"/>
      <c r="BL47" s="1246"/>
      <c r="BM47" s="1247" t="s">
        <v>1768</v>
      </c>
    </row>
    <row r="48" spans="1:65" s="1247" customFormat="1" ht="66" customHeight="1">
      <c r="A48" s="1272">
        <v>2000</v>
      </c>
      <c r="B48" s="971" t="s">
        <v>119</v>
      </c>
      <c r="C48" s="1272">
        <v>2500</v>
      </c>
      <c r="D48" s="971" t="s">
        <v>452</v>
      </c>
      <c r="E48" s="971" t="s">
        <v>453</v>
      </c>
      <c r="F48" s="971" t="s">
        <v>454</v>
      </c>
      <c r="G48" s="971" t="s">
        <v>528</v>
      </c>
      <c r="H48" s="971" t="s">
        <v>514</v>
      </c>
      <c r="I48" s="1273" t="s">
        <v>7256</v>
      </c>
      <c r="J48" s="971" t="s">
        <v>239</v>
      </c>
      <c r="K48" s="971" t="s">
        <v>1768</v>
      </c>
      <c r="L48" s="971" t="s">
        <v>3420</v>
      </c>
      <c r="M48" s="971" t="s">
        <v>1768</v>
      </c>
      <c r="N48" s="971" t="s">
        <v>179</v>
      </c>
      <c r="O48" s="971" t="s">
        <v>1769</v>
      </c>
      <c r="P48" s="971" t="s">
        <v>6663</v>
      </c>
      <c r="Q48" s="971" t="s">
        <v>7257</v>
      </c>
      <c r="R48" s="971" t="s">
        <v>4155</v>
      </c>
      <c r="S48" s="1274">
        <v>1</v>
      </c>
      <c r="T48" s="971" t="s">
        <v>242</v>
      </c>
      <c r="U48" s="1275">
        <v>8.1</v>
      </c>
      <c r="V48" s="1275">
        <v>106.5</v>
      </c>
      <c r="W48" s="1275">
        <v>809.29838571428581</v>
      </c>
      <c r="X48" s="1275">
        <v>1065</v>
      </c>
      <c r="Y48" s="1275">
        <v>1980.7983857142858</v>
      </c>
      <c r="Z48" s="1129">
        <v>8.1</v>
      </c>
      <c r="AA48" s="1129">
        <v>106.5</v>
      </c>
      <c r="AB48" s="1129">
        <v>809.29838571428581</v>
      </c>
      <c r="AC48" s="1129">
        <v>1065</v>
      </c>
      <c r="AD48" s="1098">
        <v>1980.7983857142858</v>
      </c>
      <c r="AE48" s="1135">
        <v>0.5</v>
      </c>
      <c r="AF48" s="1129">
        <v>0.5</v>
      </c>
      <c r="AG48" s="1127">
        <v>1</v>
      </c>
      <c r="AH48" s="1127">
        <v>0</v>
      </c>
      <c r="AI48" s="1127">
        <v>0</v>
      </c>
      <c r="AJ48" s="1127">
        <v>1</v>
      </c>
      <c r="AK48" s="1129">
        <v>1980.7983857142858</v>
      </c>
      <c r="AL48" s="1129">
        <v>0</v>
      </c>
      <c r="AM48" s="1129">
        <v>0</v>
      </c>
      <c r="AN48" s="1129">
        <v>1980.7983857142858</v>
      </c>
      <c r="AO48" s="1129" t="s">
        <v>131</v>
      </c>
      <c r="AP48" s="1129" t="s">
        <v>96</v>
      </c>
      <c r="AQ48" s="1157">
        <v>2014</v>
      </c>
      <c r="AR48" s="1129" t="s">
        <v>87</v>
      </c>
      <c r="AS48" s="1127">
        <v>0.33333333333333331</v>
      </c>
      <c r="AT48" s="1127"/>
      <c r="AU48" s="1127">
        <v>0.33333333333333331</v>
      </c>
      <c r="AV48" s="1127"/>
      <c r="AW48" s="1127"/>
      <c r="AX48" s="1127"/>
      <c r="AY48" s="1127"/>
      <c r="AZ48" s="1127">
        <v>0.33333333333333331</v>
      </c>
      <c r="BA48" s="1129">
        <v>660.26612857142857</v>
      </c>
      <c r="BB48" s="1129">
        <v>0</v>
      </c>
      <c r="BC48" s="1129">
        <v>660.26612857142857</v>
      </c>
      <c r="BD48" s="1129">
        <v>0</v>
      </c>
      <c r="BE48" s="1129">
        <v>0</v>
      </c>
      <c r="BF48" s="1129">
        <v>0</v>
      </c>
      <c r="BG48" s="1129">
        <v>0</v>
      </c>
      <c r="BH48" s="1129">
        <v>660.26612857142857</v>
      </c>
      <c r="BI48" s="1981"/>
      <c r="BJ48" s="971"/>
      <c r="BK48" s="971"/>
      <c r="BL48" s="1246"/>
      <c r="BM48" s="1247" t="s">
        <v>1768</v>
      </c>
    </row>
    <row r="49" spans="1:65" s="1247" customFormat="1" ht="66" customHeight="1">
      <c r="A49" s="1272">
        <v>2000</v>
      </c>
      <c r="B49" s="971" t="s">
        <v>119</v>
      </c>
      <c r="C49" s="1272">
        <v>2500</v>
      </c>
      <c r="D49" s="971" t="s">
        <v>452</v>
      </c>
      <c r="E49" s="971" t="s">
        <v>453</v>
      </c>
      <c r="F49" s="971" t="s">
        <v>454</v>
      </c>
      <c r="G49" s="971" t="s">
        <v>528</v>
      </c>
      <c r="H49" s="971" t="s">
        <v>514</v>
      </c>
      <c r="I49" s="1273" t="s">
        <v>7258</v>
      </c>
      <c r="J49" s="971" t="s">
        <v>2143</v>
      </c>
      <c r="K49" s="971" t="s">
        <v>1768</v>
      </c>
      <c r="L49" s="971" t="s">
        <v>3420</v>
      </c>
      <c r="M49" s="971" t="s">
        <v>1768</v>
      </c>
      <c r="N49" s="971" t="s">
        <v>179</v>
      </c>
      <c r="O49" s="971" t="s">
        <v>1769</v>
      </c>
      <c r="P49" s="971" t="s">
        <v>6663</v>
      </c>
      <c r="Q49" s="971" t="s">
        <v>7259</v>
      </c>
      <c r="R49" s="971" t="s">
        <v>4159</v>
      </c>
      <c r="S49" s="1274">
        <v>1</v>
      </c>
      <c r="T49" s="971" t="s">
        <v>242</v>
      </c>
      <c r="U49" s="1275">
        <v>8.1</v>
      </c>
      <c r="V49" s="1275">
        <v>106.5</v>
      </c>
      <c r="W49" s="1275">
        <v>809.29838571428581</v>
      </c>
      <c r="X49" s="1275">
        <v>1065</v>
      </c>
      <c r="Y49" s="1275">
        <v>1980.7983857142858</v>
      </c>
      <c r="Z49" s="1129">
        <v>8.1</v>
      </c>
      <c r="AA49" s="1129">
        <v>106.5</v>
      </c>
      <c r="AB49" s="1129">
        <v>809.29838571428581</v>
      </c>
      <c r="AC49" s="1129">
        <v>1065</v>
      </c>
      <c r="AD49" s="1098">
        <v>1980.7983857142858</v>
      </c>
      <c r="AE49" s="1135">
        <v>0.5</v>
      </c>
      <c r="AF49" s="1129">
        <v>0.5</v>
      </c>
      <c r="AG49" s="1127">
        <v>1</v>
      </c>
      <c r="AH49" s="1127">
        <v>0</v>
      </c>
      <c r="AI49" s="1127">
        <v>0</v>
      </c>
      <c r="AJ49" s="1127">
        <v>1</v>
      </c>
      <c r="AK49" s="1129">
        <v>1980.7983857142858</v>
      </c>
      <c r="AL49" s="1129">
        <v>0</v>
      </c>
      <c r="AM49" s="1129">
        <v>0</v>
      </c>
      <c r="AN49" s="1129">
        <v>1980.7983857142858</v>
      </c>
      <c r="AO49" s="1129" t="s">
        <v>131</v>
      </c>
      <c r="AP49" s="1129" t="s">
        <v>96</v>
      </c>
      <c r="AQ49" s="1157">
        <v>2014</v>
      </c>
      <c r="AR49" s="1129" t="s">
        <v>87</v>
      </c>
      <c r="AS49" s="1127">
        <v>0.5</v>
      </c>
      <c r="AT49" s="1127">
        <v>0.5</v>
      </c>
      <c r="AU49" s="1127"/>
      <c r="AV49" s="1127"/>
      <c r="AW49" s="1127"/>
      <c r="AX49" s="1127"/>
      <c r="AY49" s="1127"/>
      <c r="AZ49" s="1127"/>
      <c r="BA49" s="1129">
        <v>990.39919285714291</v>
      </c>
      <c r="BB49" s="1129">
        <v>990.39919285714291</v>
      </c>
      <c r="BC49" s="1129">
        <v>0</v>
      </c>
      <c r="BD49" s="1129">
        <v>0</v>
      </c>
      <c r="BE49" s="1129">
        <v>0</v>
      </c>
      <c r="BF49" s="1129">
        <v>0</v>
      </c>
      <c r="BG49" s="1129">
        <v>0</v>
      </c>
      <c r="BH49" s="1129">
        <v>0</v>
      </c>
      <c r="BI49" s="1981"/>
      <c r="BJ49" s="971"/>
      <c r="BK49" s="971"/>
      <c r="BL49" s="1246"/>
      <c r="BM49" s="1247" t="s">
        <v>1768</v>
      </c>
    </row>
    <row r="50" spans="1:65" s="1247" customFormat="1" ht="66" customHeight="1">
      <c r="A50" s="1272">
        <v>2000</v>
      </c>
      <c r="B50" s="971" t="s">
        <v>119</v>
      </c>
      <c r="C50" s="1272">
        <v>2500</v>
      </c>
      <c r="D50" s="971" t="s">
        <v>452</v>
      </c>
      <c r="E50" s="971" t="s">
        <v>453</v>
      </c>
      <c r="F50" s="971" t="s">
        <v>454</v>
      </c>
      <c r="G50" s="971" t="s">
        <v>528</v>
      </c>
      <c r="H50" s="971" t="s">
        <v>514</v>
      </c>
      <c r="I50" s="1273" t="s">
        <v>7260</v>
      </c>
      <c r="J50" s="971" t="s">
        <v>239</v>
      </c>
      <c r="K50" s="971" t="s">
        <v>1768</v>
      </c>
      <c r="L50" s="971" t="s">
        <v>3420</v>
      </c>
      <c r="M50" s="971" t="s">
        <v>1768</v>
      </c>
      <c r="N50" s="971" t="s">
        <v>179</v>
      </c>
      <c r="O50" s="971" t="s">
        <v>1769</v>
      </c>
      <c r="P50" s="971" t="s">
        <v>6663</v>
      </c>
      <c r="Q50" s="971" t="s">
        <v>7261</v>
      </c>
      <c r="R50" s="971" t="s">
        <v>4165</v>
      </c>
      <c r="S50" s="1274">
        <v>1</v>
      </c>
      <c r="T50" s="971" t="s">
        <v>242</v>
      </c>
      <c r="U50" s="1275">
        <v>8.1</v>
      </c>
      <c r="V50" s="1275">
        <v>106.5</v>
      </c>
      <c r="W50" s="1275">
        <v>809.29838571428581</v>
      </c>
      <c r="X50" s="1275">
        <v>1065</v>
      </c>
      <c r="Y50" s="1275">
        <v>1980.7983857142858</v>
      </c>
      <c r="Z50" s="1129">
        <v>8.1</v>
      </c>
      <c r="AA50" s="1129">
        <v>106.5</v>
      </c>
      <c r="AB50" s="1129">
        <v>809.29838571428581</v>
      </c>
      <c r="AC50" s="1129">
        <v>1065</v>
      </c>
      <c r="AD50" s="1098">
        <v>1980.7983857142858</v>
      </c>
      <c r="AE50" s="1135">
        <v>0.5</v>
      </c>
      <c r="AF50" s="1129">
        <v>0.5</v>
      </c>
      <c r="AG50" s="1127">
        <v>1</v>
      </c>
      <c r="AH50" s="1127">
        <v>0</v>
      </c>
      <c r="AI50" s="1127">
        <v>0</v>
      </c>
      <c r="AJ50" s="1127">
        <v>1</v>
      </c>
      <c r="AK50" s="1129">
        <v>1980.7983857142858</v>
      </c>
      <c r="AL50" s="1129">
        <v>0</v>
      </c>
      <c r="AM50" s="1129">
        <v>0</v>
      </c>
      <c r="AN50" s="1129">
        <v>1980.7983857142858</v>
      </c>
      <c r="AO50" s="1129" t="s">
        <v>131</v>
      </c>
      <c r="AP50" s="1129" t="s">
        <v>96</v>
      </c>
      <c r="AQ50" s="1157">
        <v>2014</v>
      </c>
      <c r="AR50" s="1129" t="s">
        <v>87</v>
      </c>
      <c r="AS50" s="1127">
        <v>0.5</v>
      </c>
      <c r="AT50" s="1127">
        <v>0.5</v>
      </c>
      <c r="AU50" s="1127"/>
      <c r="AV50" s="1127"/>
      <c r="AW50" s="1127"/>
      <c r="AX50" s="1127"/>
      <c r="AY50" s="1127"/>
      <c r="AZ50" s="1127"/>
      <c r="BA50" s="1129">
        <v>990.39919285714291</v>
      </c>
      <c r="BB50" s="1129">
        <v>990.39919285714291</v>
      </c>
      <c r="BC50" s="1129">
        <v>0</v>
      </c>
      <c r="BD50" s="1129">
        <v>0</v>
      </c>
      <c r="BE50" s="1129">
        <v>0</v>
      </c>
      <c r="BF50" s="1129">
        <v>0</v>
      </c>
      <c r="BG50" s="1129">
        <v>0</v>
      </c>
      <c r="BH50" s="1129">
        <v>0</v>
      </c>
      <c r="BI50" s="1981"/>
      <c r="BJ50" s="971"/>
      <c r="BK50" s="971"/>
      <c r="BL50" s="1246"/>
      <c r="BM50" s="1247" t="s">
        <v>1768</v>
      </c>
    </row>
    <row r="51" spans="1:65" s="1247" customFormat="1" ht="66" customHeight="1">
      <c r="A51" s="1272">
        <v>2000</v>
      </c>
      <c r="B51" s="971" t="s">
        <v>119</v>
      </c>
      <c r="C51" s="1272">
        <v>2500</v>
      </c>
      <c r="D51" s="971" t="s">
        <v>452</v>
      </c>
      <c r="E51" s="971" t="s">
        <v>453</v>
      </c>
      <c r="F51" s="971" t="s">
        <v>454</v>
      </c>
      <c r="G51" s="971" t="s">
        <v>528</v>
      </c>
      <c r="H51" s="971" t="s">
        <v>514</v>
      </c>
      <c r="I51" s="1273" t="s">
        <v>7262</v>
      </c>
      <c r="J51" s="971" t="s">
        <v>2143</v>
      </c>
      <c r="K51" s="971" t="s">
        <v>1768</v>
      </c>
      <c r="L51" s="971" t="s">
        <v>3420</v>
      </c>
      <c r="M51" s="971" t="s">
        <v>1768</v>
      </c>
      <c r="N51" s="971" t="s">
        <v>179</v>
      </c>
      <c r="O51" s="971" t="s">
        <v>1769</v>
      </c>
      <c r="P51" s="971" t="s">
        <v>6663</v>
      </c>
      <c r="Q51" s="971" t="s">
        <v>7263</v>
      </c>
      <c r="R51" s="971" t="s">
        <v>4169</v>
      </c>
      <c r="S51" s="1274">
        <v>1</v>
      </c>
      <c r="T51" s="971" t="s">
        <v>242</v>
      </c>
      <c r="U51" s="1275">
        <v>8.1</v>
      </c>
      <c r="V51" s="1275">
        <v>106.5</v>
      </c>
      <c r="W51" s="1275">
        <v>809.29838571428581</v>
      </c>
      <c r="X51" s="1275">
        <v>1065</v>
      </c>
      <c r="Y51" s="1275">
        <v>1980.7983857142858</v>
      </c>
      <c r="Z51" s="1129">
        <v>8.1</v>
      </c>
      <c r="AA51" s="1129">
        <v>106.5</v>
      </c>
      <c r="AB51" s="1129">
        <v>809.29838571428581</v>
      </c>
      <c r="AC51" s="1129">
        <v>1065</v>
      </c>
      <c r="AD51" s="1098">
        <v>1980.7983857142858</v>
      </c>
      <c r="AE51" s="1135">
        <v>0.5</v>
      </c>
      <c r="AF51" s="1129">
        <v>0.5</v>
      </c>
      <c r="AG51" s="1127">
        <v>1</v>
      </c>
      <c r="AH51" s="1127">
        <v>0</v>
      </c>
      <c r="AI51" s="1127">
        <v>0</v>
      </c>
      <c r="AJ51" s="1127">
        <v>1</v>
      </c>
      <c r="AK51" s="1129">
        <v>1980.7983857142858</v>
      </c>
      <c r="AL51" s="1129">
        <v>0</v>
      </c>
      <c r="AM51" s="1129">
        <v>0</v>
      </c>
      <c r="AN51" s="1129">
        <v>1980.7983857142858</v>
      </c>
      <c r="AO51" s="1129" t="s">
        <v>131</v>
      </c>
      <c r="AP51" s="1129" t="s">
        <v>96</v>
      </c>
      <c r="AQ51" s="1157">
        <v>2014</v>
      </c>
      <c r="AR51" s="1129" t="s">
        <v>87</v>
      </c>
      <c r="AS51" s="1127">
        <v>0.5</v>
      </c>
      <c r="AT51" s="1127">
        <v>0.5</v>
      </c>
      <c r="AU51" s="1127"/>
      <c r="AV51" s="1127"/>
      <c r="AW51" s="1127"/>
      <c r="AX51" s="1127"/>
      <c r="AY51" s="1127"/>
      <c r="AZ51" s="1127"/>
      <c r="BA51" s="1129">
        <v>990.39919285714291</v>
      </c>
      <c r="BB51" s="1129">
        <v>990.39919285714291</v>
      </c>
      <c r="BC51" s="1129">
        <v>0</v>
      </c>
      <c r="BD51" s="1129">
        <v>0</v>
      </c>
      <c r="BE51" s="1129">
        <v>0</v>
      </c>
      <c r="BF51" s="1129">
        <v>0</v>
      </c>
      <c r="BG51" s="1129">
        <v>0</v>
      </c>
      <c r="BH51" s="1129">
        <v>0</v>
      </c>
      <c r="BI51" s="1981"/>
      <c r="BJ51" s="971"/>
      <c r="BK51" s="971"/>
      <c r="BL51" s="1246"/>
      <c r="BM51" s="1247" t="s">
        <v>1768</v>
      </c>
    </row>
    <row r="52" spans="1:65" s="1247" customFormat="1" ht="66" customHeight="1">
      <c r="A52" s="1272">
        <v>2000</v>
      </c>
      <c r="B52" s="971" t="s">
        <v>119</v>
      </c>
      <c r="C52" s="1272">
        <v>2500</v>
      </c>
      <c r="D52" s="971" t="s">
        <v>452</v>
      </c>
      <c r="E52" s="971" t="s">
        <v>453</v>
      </c>
      <c r="F52" s="971" t="s">
        <v>454</v>
      </c>
      <c r="G52" s="971" t="s">
        <v>528</v>
      </c>
      <c r="H52" s="971" t="s">
        <v>514</v>
      </c>
      <c r="I52" s="1273" t="s">
        <v>7264</v>
      </c>
      <c r="J52" s="971" t="s">
        <v>239</v>
      </c>
      <c r="K52" s="971" t="s">
        <v>1768</v>
      </c>
      <c r="L52" s="971" t="s">
        <v>3420</v>
      </c>
      <c r="M52" s="971" t="s">
        <v>1768</v>
      </c>
      <c r="N52" s="971" t="s">
        <v>179</v>
      </c>
      <c r="O52" s="971" t="s">
        <v>1769</v>
      </c>
      <c r="P52" s="971" t="s">
        <v>6663</v>
      </c>
      <c r="Q52" s="971" t="s">
        <v>7261</v>
      </c>
      <c r="R52" s="971" t="s">
        <v>4171</v>
      </c>
      <c r="S52" s="1274">
        <v>1</v>
      </c>
      <c r="T52" s="971" t="s">
        <v>242</v>
      </c>
      <c r="U52" s="1275">
        <v>8.1</v>
      </c>
      <c r="V52" s="1275">
        <v>106.5</v>
      </c>
      <c r="W52" s="1275">
        <v>809.29838571428581</v>
      </c>
      <c r="X52" s="1275">
        <v>1065</v>
      </c>
      <c r="Y52" s="1275">
        <v>1980.7983857142858</v>
      </c>
      <c r="Z52" s="1129">
        <v>8.1</v>
      </c>
      <c r="AA52" s="1129">
        <v>106.5</v>
      </c>
      <c r="AB52" s="1129">
        <v>809.29838571428581</v>
      </c>
      <c r="AC52" s="1129">
        <v>1065</v>
      </c>
      <c r="AD52" s="1098">
        <v>1980.7983857142858</v>
      </c>
      <c r="AE52" s="1135">
        <v>0.5</v>
      </c>
      <c r="AF52" s="1129">
        <v>0.5</v>
      </c>
      <c r="AG52" s="1127">
        <v>1</v>
      </c>
      <c r="AH52" s="1127">
        <v>0</v>
      </c>
      <c r="AI52" s="1127">
        <v>0</v>
      </c>
      <c r="AJ52" s="1127">
        <v>1</v>
      </c>
      <c r="AK52" s="1129">
        <v>1980.7983857142858</v>
      </c>
      <c r="AL52" s="1129">
        <v>0</v>
      </c>
      <c r="AM52" s="1129">
        <v>0</v>
      </c>
      <c r="AN52" s="1129">
        <v>1980.7983857142858</v>
      </c>
      <c r="AO52" s="1129" t="s">
        <v>131</v>
      </c>
      <c r="AP52" s="1129" t="s">
        <v>96</v>
      </c>
      <c r="AQ52" s="1157">
        <v>2014</v>
      </c>
      <c r="AR52" s="1129" t="s">
        <v>87</v>
      </c>
      <c r="AS52" s="1127">
        <v>0.5</v>
      </c>
      <c r="AT52" s="1127">
        <v>0.5</v>
      </c>
      <c r="AU52" s="1127"/>
      <c r="AV52" s="1127"/>
      <c r="AW52" s="1127"/>
      <c r="AX52" s="1127"/>
      <c r="AY52" s="1127"/>
      <c r="AZ52" s="1127"/>
      <c r="BA52" s="1129">
        <v>990.39919285714291</v>
      </c>
      <c r="BB52" s="1129">
        <v>990.39919285714291</v>
      </c>
      <c r="BC52" s="1129">
        <v>0</v>
      </c>
      <c r="BD52" s="1129">
        <v>0</v>
      </c>
      <c r="BE52" s="1129">
        <v>0</v>
      </c>
      <c r="BF52" s="1129">
        <v>0</v>
      </c>
      <c r="BG52" s="1129">
        <v>0</v>
      </c>
      <c r="BH52" s="1129">
        <v>0</v>
      </c>
      <c r="BI52" s="1981"/>
      <c r="BJ52" s="971"/>
      <c r="BK52" s="971"/>
      <c r="BL52" s="1246"/>
      <c r="BM52" s="1247" t="s">
        <v>1768</v>
      </c>
    </row>
    <row r="53" spans="1:65" s="1247" customFormat="1" ht="66" customHeight="1">
      <c r="A53" s="1272">
        <v>2000</v>
      </c>
      <c r="B53" s="971" t="s">
        <v>119</v>
      </c>
      <c r="C53" s="1272">
        <v>2500</v>
      </c>
      <c r="D53" s="971" t="s">
        <v>452</v>
      </c>
      <c r="E53" s="971" t="s">
        <v>453</v>
      </c>
      <c r="F53" s="971" t="s">
        <v>454</v>
      </c>
      <c r="G53" s="971" t="s">
        <v>528</v>
      </c>
      <c r="H53" s="971" t="s">
        <v>514</v>
      </c>
      <c r="I53" s="1273" t="s">
        <v>7265</v>
      </c>
      <c r="J53" s="971" t="s">
        <v>686</v>
      </c>
      <c r="K53" s="971" t="s">
        <v>2123</v>
      </c>
      <c r="L53" s="971" t="s">
        <v>2124</v>
      </c>
      <c r="M53" s="971" t="s">
        <v>2123</v>
      </c>
      <c r="N53" s="971" t="s">
        <v>179</v>
      </c>
      <c r="O53" s="971" t="s">
        <v>2124</v>
      </c>
      <c r="P53" s="971" t="s">
        <v>7266</v>
      </c>
      <c r="Q53" s="971" t="s">
        <v>7267</v>
      </c>
      <c r="R53" s="971" t="s">
        <v>4173</v>
      </c>
      <c r="S53" s="1274">
        <v>1</v>
      </c>
      <c r="T53" s="971" t="s">
        <v>242</v>
      </c>
      <c r="U53" s="1275">
        <v>19.2</v>
      </c>
      <c r="V53" s="1275">
        <v>213</v>
      </c>
      <c r="W53" s="1275">
        <v>1918.3369142857146</v>
      </c>
      <c r="X53" s="1275">
        <v>2130</v>
      </c>
      <c r="Y53" s="1275">
        <v>4261.3369142857146</v>
      </c>
      <c r="Z53" s="1129">
        <v>19.2</v>
      </c>
      <c r="AA53" s="1129">
        <v>213</v>
      </c>
      <c r="AB53" s="1129">
        <v>1918.3369142857146</v>
      </c>
      <c r="AC53" s="1129">
        <v>2130</v>
      </c>
      <c r="AD53" s="1098">
        <v>4261.3369142857146</v>
      </c>
      <c r="AE53" s="1135">
        <v>1</v>
      </c>
      <c r="AF53" s="1129">
        <v>1</v>
      </c>
      <c r="AG53" s="1127">
        <v>1</v>
      </c>
      <c r="AH53" s="1127">
        <v>0</v>
      </c>
      <c r="AI53" s="1127">
        <v>0</v>
      </c>
      <c r="AJ53" s="1127">
        <v>1</v>
      </c>
      <c r="AK53" s="1129">
        <v>4261.3369142857146</v>
      </c>
      <c r="AL53" s="1129">
        <v>0</v>
      </c>
      <c r="AM53" s="1129">
        <v>0</v>
      </c>
      <c r="AN53" s="1129">
        <v>4261.3369142857146</v>
      </c>
      <c r="AO53" s="1129" t="s">
        <v>131</v>
      </c>
      <c r="AP53" s="1129" t="s">
        <v>96</v>
      </c>
      <c r="AQ53" s="1157">
        <v>2014</v>
      </c>
      <c r="AR53" s="1129" t="s">
        <v>87</v>
      </c>
      <c r="AS53" s="1127">
        <v>0.33333333333333331</v>
      </c>
      <c r="AT53" s="1127"/>
      <c r="AU53" s="1127">
        <v>0.33333333333333331</v>
      </c>
      <c r="AV53" s="1127"/>
      <c r="AW53" s="1127"/>
      <c r="AX53" s="1127"/>
      <c r="AY53" s="1127"/>
      <c r="AZ53" s="1127">
        <v>0.33333333333333331</v>
      </c>
      <c r="BA53" s="1129">
        <v>1420.4456380952381</v>
      </c>
      <c r="BB53" s="1129">
        <v>0</v>
      </c>
      <c r="BC53" s="1129">
        <v>1420.4456380952381</v>
      </c>
      <c r="BD53" s="1129">
        <v>0</v>
      </c>
      <c r="BE53" s="1129">
        <v>0</v>
      </c>
      <c r="BF53" s="1129">
        <v>0</v>
      </c>
      <c r="BG53" s="1129">
        <v>0</v>
      </c>
      <c r="BH53" s="1129">
        <v>1420.4456380952381</v>
      </c>
      <c r="BI53" s="1981"/>
      <c r="BJ53" s="971"/>
      <c r="BK53" s="971"/>
      <c r="BL53" s="1246"/>
      <c r="BM53" s="1247" t="s">
        <v>2123</v>
      </c>
    </row>
    <row r="54" spans="1:65" s="1247" customFormat="1" ht="66" customHeight="1">
      <c r="A54" s="1272">
        <v>2000</v>
      </c>
      <c r="B54" s="971" t="s">
        <v>119</v>
      </c>
      <c r="C54" s="1272">
        <v>2500</v>
      </c>
      <c r="D54" s="971" t="s">
        <v>452</v>
      </c>
      <c r="E54" s="971" t="s">
        <v>604</v>
      </c>
      <c r="F54" s="971" t="s">
        <v>605</v>
      </c>
      <c r="G54" s="971" t="s">
        <v>643</v>
      </c>
      <c r="H54" s="971" t="s">
        <v>621</v>
      </c>
      <c r="I54" s="1273" t="s">
        <v>7268</v>
      </c>
      <c r="J54" s="971" t="s">
        <v>2143</v>
      </c>
      <c r="K54" s="971" t="s">
        <v>1768</v>
      </c>
      <c r="L54" s="971" t="s">
        <v>3420</v>
      </c>
      <c r="M54" s="971" t="s">
        <v>1768</v>
      </c>
      <c r="N54" s="971" t="s">
        <v>179</v>
      </c>
      <c r="O54" s="971" t="s">
        <v>1769</v>
      </c>
      <c r="P54" s="971" t="s">
        <v>6663</v>
      </c>
      <c r="Q54" s="971" t="s">
        <v>7269</v>
      </c>
      <c r="R54" s="971" t="s">
        <v>4194</v>
      </c>
      <c r="S54" s="1274">
        <v>1</v>
      </c>
      <c r="T54" s="971" t="s">
        <v>242</v>
      </c>
      <c r="U54" s="1275">
        <v>8.1</v>
      </c>
      <c r="V54" s="1275">
        <v>106.5</v>
      </c>
      <c r="W54" s="1275">
        <v>809.29838571428581</v>
      </c>
      <c r="X54" s="1275">
        <v>1065</v>
      </c>
      <c r="Y54" s="1275">
        <v>1980.7983857142858</v>
      </c>
      <c r="Z54" s="1129">
        <v>8.1</v>
      </c>
      <c r="AA54" s="1129">
        <v>106.5</v>
      </c>
      <c r="AB54" s="1129">
        <v>809.29838571428581</v>
      </c>
      <c r="AC54" s="1129">
        <v>1065</v>
      </c>
      <c r="AD54" s="1098">
        <v>1980.7983857142858</v>
      </c>
      <c r="AE54" s="1135">
        <v>0.5</v>
      </c>
      <c r="AF54" s="1129">
        <v>0.5</v>
      </c>
      <c r="AG54" s="1127">
        <v>1</v>
      </c>
      <c r="AH54" s="1127">
        <v>0</v>
      </c>
      <c r="AI54" s="1127">
        <v>0</v>
      </c>
      <c r="AJ54" s="1127">
        <v>1</v>
      </c>
      <c r="AK54" s="1129">
        <v>1980.7983857142858</v>
      </c>
      <c r="AL54" s="1129">
        <v>0</v>
      </c>
      <c r="AM54" s="1129">
        <v>0</v>
      </c>
      <c r="AN54" s="1129">
        <v>1980.7983857142858</v>
      </c>
      <c r="AO54" s="1129" t="s">
        <v>131</v>
      </c>
      <c r="AP54" s="1129" t="s">
        <v>96</v>
      </c>
      <c r="AQ54" s="1157">
        <v>2014</v>
      </c>
      <c r="AR54" s="1129" t="s">
        <v>87</v>
      </c>
      <c r="AS54" s="1127">
        <v>0.5</v>
      </c>
      <c r="AT54" s="1127">
        <v>0.5</v>
      </c>
      <c r="AU54" s="1127"/>
      <c r="AV54" s="1127"/>
      <c r="AW54" s="1127"/>
      <c r="AX54" s="1127"/>
      <c r="AY54" s="1127"/>
      <c r="AZ54" s="1127"/>
      <c r="BA54" s="1129">
        <v>990.39919285714291</v>
      </c>
      <c r="BB54" s="1129">
        <v>990.39919285714291</v>
      </c>
      <c r="BC54" s="1129">
        <v>0</v>
      </c>
      <c r="BD54" s="1129">
        <v>0</v>
      </c>
      <c r="BE54" s="1129">
        <v>0</v>
      </c>
      <c r="BF54" s="1129">
        <v>0</v>
      </c>
      <c r="BG54" s="1129">
        <v>0</v>
      </c>
      <c r="BH54" s="1129">
        <v>0</v>
      </c>
      <c r="BI54" s="1981"/>
      <c r="BJ54" s="971"/>
      <c r="BK54" s="971"/>
      <c r="BL54" s="1246"/>
      <c r="BM54" s="1247" t="s">
        <v>1768</v>
      </c>
    </row>
    <row r="55" spans="1:65" s="1247" customFormat="1" ht="66" customHeight="1">
      <c r="A55" s="1272">
        <v>2000</v>
      </c>
      <c r="B55" s="971" t="s">
        <v>119</v>
      </c>
      <c r="C55" s="1272">
        <v>2500</v>
      </c>
      <c r="D55" s="971" t="s">
        <v>452</v>
      </c>
      <c r="E55" s="971" t="s">
        <v>604</v>
      </c>
      <c r="F55" s="971" t="s">
        <v>605</v>
      </c>
      <c r="G55" s="971" t="s">
        <v>643</v>
      </c>
      <c r="H55" s="971" t="s">
        <v>621</v>
      </c>
      <c r="I55" s="1273" t="s">
        <v>7270</v>
      </c>
      <c r="J55" s="971" t="s">
        <v>239</v>
      </c>
      <c r="K55" s="971" t="s">
        <v>1768</v>
      </c>
      <c r="L55" s="971" t="s">
        <v>3420</v>
      </c>
      <c r="M55" s="971" t="s">
        <v>1768</v>
      </c>
      <c r="N55" s="971" t="s">
        <v>179</v>
      </c>
      <c r="O55" s="971" t="s">
        <v>1769</v>
      </c>
      <c r="P55" s="971" t="s">
        <v>6663</v>
      </c>
      <c r="Q55" s="971" t="s">
        <v>7261</v>
      </c>
      <c r="R55" s="971" t="s">
        <v>4196</v>
      </c>
      <c r="S55" s="1274">
        <v>1</v>
      </c>
      <c r="T55" s="971" t="s">
        <v>242</v>
      </c>
      <c r="U55" s="1275">
        <v>8.1</v>
      </c>
      <c r="V55" s="1275">
        <v>106.5</v>
      </c>
      <c r="W55" s="1275">
        <v>809.29838571428581</v>
      </c>
      <c r="X55" s="1275">
        <v>1065</v>
      </c>
      <c r="Y55" s="1275">
        <v>1980.7983857142858</v>
      </c>
      <c r="Z55" s="1129">
        <v>8.1</v>
      </c>
      <c r="AA55" s="1129">
        <v>106.5</v>
      </c>
      <c r="AB55" s="1129">
        <v>809.29838571428581</v>
      </c>
      <c r="AC55" s="1129">
        <v>1065</v>
      </c>
      <c r="AD55" s="1098">
        <v>1980.7983857142858</v>
      </c>
      <c r="AE55" s="1135">
        <v>0.5</v>
      </c>
      <c r="AF55" s="1129">
        <v>0.5</v>
      </c>
      <c r="AG55" s="1127">
        <v>1</v>
      </c>
      <c r="AH55" s="1127">
        <v>0</v>
      </c>
      <c r="AI55" s="1127">
        <v>0</v>
      </c>
      <c r="AJ55" s="1127">
        <v>1</v>
      </c>
      <c r="AK55" s="1129">
        <v>1980.7983857142858</v>
      </c>
      <c r="AL55" s="1129">
        <v>0</v>
      </c>
      <c r="AM55" s="1129">
        <v>0</v>
      </c>
      <c r="AN55" s="1129">
        <v>1980.7983857142858</v>
      </c>
      <c r="AO55" s="1129" t="s">
        <v>131</v>
      </c>
      <c r="AP55" s="1129" t="s">
        <v>96</v>
      </c>
      <c r="AQ55" s="1157">
        <v>2014</v>
      </c>
      <c r="AR55" s="1129" t="s">
        <v>87</v>
      </c>
      <c r="AS55" s="1127">
        <v>0.5</v>
      </c>
      <c r="AT55" s="1127">
        <v>0.5</v>
      </c>
      <c r="AU55" s="1127"/>
      <c r="AV55" s="1127"/>
      <c r="AW55" s="1127"/>
      <c r="AX55" s="1127"/>
      <c r="AY55" s="1127"/>
      <c r="AZ55" s="1127"/>
      <c r="BA55" s="1129">
        <v>990.39919285714291</v>
      </c>
      <c r="BB55" s="1129">
        <v>990.39919285714291</v>
      </c>
      <c r="BC55" s="1129">
        <v>0</v>
      </c>
      <c r="BD55" s="1129">
        <v>0</v>
      </c>
      <c r="BE55" s="1129">
        <v>0</v>
      </c>
      <c r="BF55" s="1129">
        <v>0</v>
      </c>
      <c r="BG55" s="1129">
        <v>0</v>
      </c>
      <c r="BH55" s="1129">
        <v>0</v>
      </c>
      <c r="BI55" s="1981"/>
      <c r="BJ55" s="971"/>
      <c r="BK55" s="971"/>
      <c r="BL55" s="1246"/>
      <c r="BM55" s="1247" t="s">
        <v>1768</v>
      </c>
    </row>
    <row r="56" spans="1:65" s="1247" customFormat="1" ht="66" customHeight="1">
      <c r="A56" s="1272">
        <v>2000</v>
      </c>
      <c r="B56" s="971" t="s">
        <v>119</v>
      </c>
      <c r="C56" s="1272">
        <v>2500</v>
      </c>
      <c r="D56" s="971" t="s">
        <v>452</v>
      </c>
      <c r="E56" s="971" t="s">
        <v>604</v>
      </c>
      <c r="F56" s="971" t="s">
        <v>605</v>
      </c>
      <c r="G56" s="971" t="s">
        <v>643</v>
      </c>
      <c r="H56" s="971" t="s">
        <v>621</v>
      </c>
      <c r="I56" s="1273" t="s">
        <v>7271</v>
      </c>
      <c r="J56" s="971" t="s">
        <v>2143</v>
      </c>
      <c r="K56" s="971" t="s">
        <v>1768</v>
      </c>
      <c r="L56" s="971" t="s">
        <v>3420</v>
      </c>
      <c r="M56" s="971" t="s">
        <v>1768</v>
      </c>
      <c r="N56" s="971" t="s">
        <v>179</v>
      </c>
      <c r="O56" s="971" t="s">
        <v>1769</v>
      </c>
      <c r="P56" s="971" t="s">
        <v>6663</v>
      </c>
      <c r="Q56" s="971" t="s">
        <v>7272</v>
      </c>
      <c r="R56" s="971" t="s">
        <v>4198</v>
      </c>
      <c r="S56" s="1274">
        <v>1</v>
      </c>
      <c r="T56" s="971" t="s">
        <v>242</v>
      </c>
      <c r="U56" s="1275">
        <v>8.1</v>
      </c>
      <c r="V56" s="1275">
        <v>106.5</v>
      </c>
      <c r="W56" s="1275">
        <v>809.29838571428581</v>
      </c>
      <c r="X56" s="1275">
        <v>1065</v>
      </c>
      <c r="Y56" s="1275">
        <v>1980.7983857142858</v>
      </c>
      <c r="Z56" s="1129">
        <v>8.1</v>
      </c>
      <c r="AA56" s="1129">
        <v>106.5</v>
      </c>
      <c r="AB56" s="1129">
        <v>809.29838571428581</v>
      </c>
      <c r="AC56" s="1129">
        <v>1065</v>
      </c>
      <c r="AD56" s="1098">
        <v>1980.7983857142858</v>
      </c>
      <c r="AE56" s="1135">
        <v>0.5</v>
      </c>
      <c r="AF56" s="1129">
        <v>0.5</v>
      </c>
      <c r="AG56" s="1127">
        <v>1</v>
      </c>
      <c r="AH56" s="1127">
        <v>0</v>
      </c>
      <c r="AI56" s="1127">
        <v>0</v>
      </c>
      <c r="AJ56" s="1127">
        <v>1</v>
      </c>
      <c r="AK56" s="1129">
        <v>1980.7983857142858</v>
      </c>
      <c r="AL56" s="1129">
        <v>0</v>
      </c>
      <c r="AM56" s="1129">
        <v>0</v>
      </c>
      <c r="AN56" s="1129">
        <v>1980.7983857142858</v>
      </c>
      <c r="AO56" s="1129" t="s">
        <v>131</v>
      </c>
      <c r="AP56" s="1129" t="s">
        <v>96</v>
      </c>
      <c r="AQ56" s="1157">
        <v>2014</v>
      </c>
      <c r="AR56" s="1129" t="s">
        <v>87</v>
      </c>
      <c r="AS56" s="1127">
        <v>0.5</v>
      </c>
      <c r="AT56" s="1127">
        <v>0.5</v>
      </c>
      <c r="AU56" s="1127"/>
      <c r="AV56" s="1127"/>
      <c r="AW56" s="1127"/>
      <c r="AX56" s="1127"/>
      <c r="AY56" s="1127"/>
      <c r="AZ56" s="1127"/>
      <c r="BA56" s="1129">
        <v>990.39919285714291</v>
      </c>
      <c r="BB56" s="1129">
        <v>990.39919285714291</v>
      </c>
      <c r="BC56" s="1129">
        <v>0</v>
      </c>
      <c r="BD56" s="1129">
        <v>0</v>
      </c>
      <c r="BE56" s="1129">
        <v>0</v>
      </c>
      <c r="BF56" s="1129">
        <v>0</v>
      </c>
      <c r="BG56" s="1129">
        <v>0</v>
      </c>
      <c r="BH56" s="1129">
        <v>0</v>
      </c>
      <c r="BI56" s="1981"/>
      <c r="BJ56" s="971"/>
      <c r="BK56" s="971"/>
      <c r="BL56" s="1246"/>
      <c r="BM56" s="1247" t="s">
        <v>1768</v>
      </c>
    </row>
    <row r="57" spans="1:65" s="1247" customFormat="1" ht="66" customHeight="1">
      <c r="A57" s="1272">
        <v>2000</v>
      </c>
      <c r="B57" s="971" t="s">
        <v>119</v>
      </c>
      <c r="C57" s="1272">
        <v>2500</v>
      </c>
      <c r="D57" s="971" t="s">
        <v>452</v>
      </c>
      <c r="E57" s="971" t="s">
        <v>604</v>
      </c>
      <c r="F57" s="971" t="s">
        <v>605</v>
      </c>
      <c r="G57" s="971" t="s">
        <v>643</v>
      </c>
      <c r="H57" s="971" t="s">
        <v>621</v>
      </c>
      <c r="I57" s="1273" t="s">
        <v>7273</v>
      </c>
      <c r="J57" s="971" t="s">
        <v>239</v>
      </c>
      <c r="K57" s="971" t="s">
        <v>1768</v>
      </c>
      <c r="L57" s="971" t="s">
        <v>3420</v>
      </c>
      <c r="M57" s="971" t="s">
        <v>1768</v>
      </c>
      <c r="N57" s="971" t="s">
        <v>179</v>
      </c>
      <c r="O57" s="971" t="s">
        <v>1769</v>
      </c>
      <c r="P57" s="971" t="s">
        <v>6663</v>
      </c>
      <c r="Q57" s="971" t="s">
        <v>7261</v>
      </c>
      <c r="R57" s="971" t="s">
        <v>4200</v>
      </c>
      <c r="S57" s="1274">
        <v>1</v>
      </c>
      <c r="T57" s="971" t="s">
        <v>242</v>
      </c>
      <c r="U57" s="1275">
        <v>8.1</v>
      </c>
      <c r="V57" s="1275">
        <v>106.5</v>
      </c>
      <c r="W57" s="1275">
        <v>809.29838571428581</v>
      </c>
      <c r="X57" s="1275">
        <v>1065</v>
      </c>
      <c r="Y57" s="1275">
        <v>1980.7983857142858</v>
      </c>
      <c r="Z57" s="1129">
        <v>8.1</v>
      </c>
      <c r="AA57" s="1129">
        <v>106.5</v>
      </c>
      <c r="AB57" s="1129">
        <v>809.29838571428581</v>
      </c>
      <c r="AC57" s="1129">
        <v>1065</v>
      </c>
      <c r="AD57" s="1098">
        <v>1980.7983857142858</v>
      </c>
      <c r="AE57" s="1135">
        <v>0.5</v>
      </c>
      <c r="AF57" s="1129">
        <v>0.5</v>
      </c>
      <c r="AG57" s="1127">
        <v>1</v>
      </c>
      <c r="AH57" s="1127">
        <v>0</v>
      </c>
      <c r="AI57" s="1127">
        <v>0</v>
      </c>
      <c r="AJ57" s="1127">
        <v>1</v>
      </c>
      <c r="AK57" s="1129">
        <v>1980.7983857142858</v>
      </c>
      <c r="AL57" s="1129">
        <v>0</v>
      </c>
      <c r="AM57" s="1129">
        <v>0</v>
      </c>
      <c r="AN57" s="1129">
        <v>1980.7983857142858</v>
      </c>
      <c r="AO57" s="1129" t="s">
        <v>131</v>
      </c>
      <c r="AP57" s="1129" t="s">
        <v>96</v>
      </c>
      <c r="AQ57" s="1157">
        <v>2014</v>
      </c>
      <c r="AR57" s="1129" t="s">
        <v>87</v>
      </c>
      <c r="AS57" s="1127">
        <v>0.5</v>
      </c>
      <c r="AT57" s="1127">
        <v>0.5</v>
      </c>
      <c r="AU57" s="1127"/>
      <c r="AV57" s="1127"/>
      <c r="AW57" s="1127"/>
      <c r="AX57" s="1127"/>
      <c r="AY57" s="1127"/>
      <c r="AZ57" s="1127"/>
      <c r="BA57" s="1129">
        <v>990.39919285714291</v>
      </c>
      <c r="BB57" s="1129">
        <v>990.39919285714291</v>
      </c>
      <c r="BC57" s="1129">
        <v>0</v>
      </c>
      <c r="BD57" s="1129">
        <v>0</v>
      </c>
      <c r="BE57" s="1129">
        <v>0</v>
      </c>
      <c r="BF57" s="1129">
        <v>0</v>
      </c>
      <c r="BG57" s="1129">
        <v>0</v>
      </c>
      <c r="BH57" s="1129">
        <v>0</v>
      </c>
      <c r="BI57" s="1981"/>
      <c r="BJ57" s="971"/>
      <c r="BK57" s="971"/>
      <c r="BL57" s="1246"/>
      <c r="BM57" s="1247" t="s">
        <v>1768</v>
      </c>
    </row>
    <row r="58" spans="1:65" s="1247" customFormat="1" ht="66" customHeight="1">
      <c r="A58" s="1272">
        <v>2000</v>
      </c>
      <c r="B58" s="971" t="s">
        <v>119</v>
      </c>
      <c r="C58" s="1272">
        <v>2500</v>
      </c>
      <c r="D58" s="971" t="s">
        <v>452</v>
      </c>
      <c r="E58" s="971" t="s">
        <v>604</v>
      </c>
      <c r="F58" s="971" t="s">
        <v>605</v>
      </c>
      <c r="G58" s="971" t="s">
        <v>643</v>
      </c>
      <c r="H58" s="971" t="s">
        <v>621</v>
      </c>
      <c r="I58" s="1273" t="s">
        <v>7274</v>
      </c>
      <c r="J58" s="971" t="s">
        <v>2143</v>
      </c>
      <c r="K58" s="971" t="s">
        <v>1768</v>
      </c>
      <c r="L58" s="971" t="s">
        <v>3420</v>
      </c>
      <c r="M58" s="971" t="s">
        <v>1768</v>
      </c>
      <c r="N58" s="971" t="s">
        <v>179</v>
      </c>
      <c r="O58" s="971" t="s">
        <v>1769</v>
      </c>
      <c r="P58" s="971" t="s">
        <v>6663</v>
      </c>
      <c r="Q58" s="971" t="s">
        <v>7275</v>
      </c>
      <c r="R58" s="971" t="s">
        <v>4202</v>
      </c>
      <c r="S58" s="1274">
        <v>1</v>
      </c>
      <c r="T58" s="971" t="s">
        <v>242</v>
      </c>
      <c r="U58" s="1275">
        <v>8.1</v>
      </c>
      <c r="V58" s="1275">
        <v>106.5</v>
      </c>
      <c r="W58" s="1275">
        <v>809.29838571428581</v>
      </c>
      <c r="X58" s="1275">
        <v>1065</v>
      </c>
      <c r="Y58" s="1275">
        <v>1980.7983857142858</v>
      </c>
      <c r="Z58" s="1129">
        <v>8.1</v>
      </c>
      <c r="AA58" s="1129">
        <v>106.5</v>
      </c>
      <c r="AB58" s="1129">
        <v>809.29838571428581</v>
      </c>
      <c r="AC58" s="1129">
        <v>1065</v>
      </c>
      <c r="AD58" s="1098">
        <v>1980.7983857142858</v>
      </c>
      <c r="AE58" s="1135">
        <v>0.5</v>
      </c>
      <c r="AF58" s="1129">
        <v>0.5</v>
      </c>
      <c r="AG58" s="1127">
        <v>1</v>
      </c>
      <c r="AH58" s="1127">
        <v>0</v>
      </c>
      <c r="AI58" s="1127">
        <v>0</v>
      </c>
      <c r="AJ58" s="1127">
        <v>1</v>
      </c>
      <c r="AK58" s="1129">
        <v>1980.7983857142858</v>
      </c>
      <c r="AL58" s="1129">
        <v>0</v>
      </c>
      <c r="AM58" s="1129">
        <v>0</v>
      </c>
      <c r="AN58" s="1129">
        <v>1980.7983857142858</v>
      </c>
      <c r="AO58" s="1129" t="s">
        <v>131</v>
      </c>
      <c r="AP58" s="1129" t="s">
        <v>96</v>
      </c>
      <c r="AQ58" s="1157">
        <v>2014</v>
      </c>
      <c r="AR58" s="1129" t="s">
        <v>87</v>
      </c>
      <c r="AS58" s="1127">
        <v>0.5</v>
      </c>
      <c r="AT58" s="1127">
        <v>0.5</v>
      </c>
      <c r="AU58" s="1127"/>
      <c r="AV58" s="1127"/>
      <c r="AW58" s="1127"/>
      <c r="AX58" s="1127"/>
      <c r="AY58" s="1127"/>
      <c r="AZ58" s="1127"/>
      <c r="BA58" s="1129">
        <v>990.39919285714291</v>
      </c>
      <c r="BB58" s="1129">
        <v>990.39919285714291</v>
      </c>
      <c r="BC58" s="1129">
        <v>0</v>
      </c>
      <c r="BD58" s="1129">
        <v>0</v>
      </c>
      <c r="BE58" s="1129">
        <v>0</v>
      </c>
      <c r="BF58" s="1129">
        <v>0</v>
      </c>
      <c r="BG58" s="1129">
        <v>0</v>
      </c>
      <c r="BH58" s="1129">
        <v>0</v>
      </c>
      <c r="BI58" s="1981"/>
      <c r="BJ58" s="971"/>
      <c r="BK58" s="971"/>
      <c r="BL58" s="1246"/>
      <c r="BM58" s="1247" t="s">
        <v>1768</v>
      </c>
    </row>
    <row r="59" spans="1:65" s="1247" customFormat="1" ht="66" customHeight="1">
      <c r="A59" s="1272">
        <v>2000</v>
      </c>
      <c r="B59" s="971" t="s">
        <v>119</v>
      </c>
      <c r="C59" s="1272">
        <v>2500</v>
      </c>
      <c r="D59" s="971" t="s">
        <v>452</v>
      </c>
      <c r="E59" s="971" t="s">
        <v>604</v>
      </c>
      <c r="F59" s="971" t="s">
        <v>605</v>
      </c>
      <c r="G59" s="971" t="s">
        <v>643</v>
      </c>
      <c r="H59" s="971" t="s">
        <v>621</v>
      </c>
      <c r="I59" s="1273" t="s">
        <v>7276</v>
      </c>
      <c r="J59" s="971" t="s">
        <v>239</v>
      </c>
      <c r="K59" s="971" t="s">
        <v>1768</v>
      </c>
      <c r="L59" s="971" t="s">
        <v>3420</v>
      </c>
      <c r="M59" s="971" t="s">
        <v>1768</v>
      </c>
      <c r="N59" s="971" t="s">
        <v>179</v>
      </c>
      <c r="O59" s="971" t="s">
        <v>1769</v>
      </c>
      <c r="P59" s="971" t="s">
        <v>6663</v>
      </c>
      <c r="Q59" s="971" t="s">
        <v>7261</v>
      </c>
      <c r="R59" s="971" t="s">
        <v>4204</v>
      </c>
      <c r="S59" s="1274">
        <v>1</v>
      </c>
      <c r="T59" s="971" t="s">
        <v>242</v>
      </c>
      <c r="U59" s="1275">
        <v>8.1</v>
      </c>
      <c r="V59" s="1275">
        <v>106.5</v>
      </c>
      <c r="W59" s="1275">
        <v>809.29838571428581</v>
      </c>
      <c r="X59" s="1275">
        <v>1065</v>
      </c>
      <c r="Y59" s="1275">
        <v>1980.7983857142858</v>
      </c>
      <c r="Z59" s="1129">
        <v>8.1</v>
      </c>
      <c r="AA59" s="1129">
        <v>106.5</v>
      </c>
      <c r="AB59" s="1129">
        <v>809.29838571428581</v>
      </c>
      <c r="AC59" s="1129">
        <v>1065</v>
      </c>
      <c r="AD59" s="1098">
        <v>1980.7983857142858</v>
      </c>
      <c r="AE59" s="1135">
        <v>0.5</v>
      </c>
      <c r="AF59" s="1129">
        <v>0.5</v>
      </c>
      <c r="AG59" s="1127">
        <v>1</v>
      </c>
      <c r="AH59" s="1127">
        <v>0</v>
      </c>
      <c r="AI59" s="1127">
        <v>0</v>
      </c>
      <c r="AJ59" s="1127">
        <v>1</v>
      </c>
      <c r="AK59" s="1129">
        <v>1980.7983857142858</v>
      </c>
      <c r="AL59" s="1129">
        <v>0</v>
      </c>
      <c r="AM59" s="1129">
        <v>0</v>
      </c>
      <c r="AN59" s="1129">
        <v>1980.7983857142858</v>
      </c>
      <c r="AO59" s="1129" t="s">
        <v>131</v>
      </c>
      <c r="AP59" s="1129" t="s">
        <v>96</v>
      </c>
      <c r="AQ59" s="1157">
        <v>2014</v>
      </c>
      <c r="AR59" s="1129" t="s">
        <v>87</v>
      </c>
      <c r="AS59" s="1127">
        <v>0.5</v>
      </c>
      <c r="AT59" s="1127">
        <v>0.5</v>
      </c>
      <c r="AU59" s="1127"/>
      <c r="AV59" s="1127"/>
      <c r="AW59" s="1127"/>
      <c r="AX59" s="1127"/>
      <c r="AY59" s="1127"/>
      <c r="AZ59" s="1127"/>
      <c r="BA59" s="1129">
        <v>990.39919285714291</v>
      </c>
      <c r="BB59" s="1129">
        <v>990.39919285714291</v>
      </c>
      <c r="BC59" s="1129">
        <v>0</v>
      </c>
      <c r="BD59" s="1129">
        <v>0</v>
      </c>
      <c r="BE59" s="1129">
        <v>0</v>
      </c>
      <c r="BF59" s="1129">
        <v>0</v>
      </c>
      <c r="BG59" s="1129">
        <v>0</v>
      </c>
      <c r="BH59" s="1129">
        <v>0</v>
      </c>
      <c r="BI59" s="1981"/>
      <c r="BJ59" s="971"/>
      <c r="BK59" s="971"/>
      <c r="BL59" s="1246"/>
      <c r="BM59" s="1247" t="s">
        <v>1768</v>
      </c>
    </row>
    <row r="60" spans="1:65" s="1247" customFormat="1" ht="66" customHeight="1">
      <c r="A60" s="1272">
        <v>2000</v>
      </c>
      <c r="B60" s="971" t="s">
        <v>119</v>
      </c>
      <c r="C60" s="1272">
        <v>2500</v>
      </c>
      <c r="D60" s="971" t="s">
        <v>452</v>
      </c>
      <c r="E60" s="971" t="s">
        <v>604</v>
      </c>
      <c r="F60" s="971" t="s">
        <v>605</v>
      </c>
      <c r="G60" s="971" t="s">
        <v>643</v>
      </c>
      <c r="H60" s="971" t="s">
        <v>621</v>
      </c>
      <c r="I60" s="1273" t="s">
        <v>7277</v>
      </c>
      <c r="J60" s="971" t="s">
        <v>2143</v>
      </c>
      <c r="K60" s="971" t="s">
        <v>1768</v>
      </c>
      <c r="L60" s="971" t="s">
        <v>3420</v>
      </c>
      <c r="M60" s="971" t="s">
        <v>1768</v>
      </c>
      <c r="N60" s="971" t="s">
        <v>179</v>
      </c>
      <c r="O60" s="971" t="s">
        <v>1769</v>
      </c>
      <c r="P60" s="971" t="s">
        <v>6663</v>
      </c>
      <c r="Q60" s="971" t="s">
        <v>7278</v>
      </c>
      <c r="R60" s="971" t="s">
        <v>4206</v>
      </c>
      <c r="S60" s="1274">
        <v>1</v>
      </c>
      <c r="T60" s="971" t="s">
        <v>242</v>
      </c>
      <c r="U60" s="1275">
        <v>8.1</v>
      </c>
      <c r="V60" s="1275">
        <v>106.5</v>
      </c>
      <c r="W60" s="1275">
        <v>809.29838571428581</v>
      </c>
      <c r="X60" s="1275">
        <v>1065</v>
      </c>
      <c r="Y60" s="1275">
        <v>1980.7983857142858</v>
      </c>
      <c r="Z60" s="1129">
        <v>8.1</v>
      </c>
      <c r="AA60" s="1129">
        <v>106.5</v>
      </c>
      <c r="AB60" s="1129">
        <v>809.29838571428581</v>
      </c>
      <c r="AC60" s="1129">
        <v>1065</v>
      </c>
      <c r="AD60" s="1098">
        <v>1980.7983857142858</v>
      </c>
      <c r="AE60" s="1135">
        <v>0.5</v>
      </c>
      <c r="AF60" s="1129">
        <v>0.5</v>
      </c>
      <c r="AG60" s="1127">
        <v>1</v>
      </c>
      <c r="AH60" s="1127">
        <v>0</v>
      </c>
      <c r="AI60" s="1127">
        <v>0</v>
      </c>
      <c r="AJ60" s="1127">
        <v>1</v>
      </c>
      <c r="AK60" s="1129">
        <v>1980.7983857142858</v>
      </c>
      <c r="AL60" s="1129">
        <v>0</v>
      </c>
      <c r="AM60" s="1129">
        <v>0</v>
      </c>
      <c r="AN60" s="1129">
        <v>1980.7983857142858</v>
      </c>
      <c r="AO60" s="1129" t="s">
        <v>131</v>
      </c>
      <c r="AP60" s="1129" t="s">
        <v>96</v>
      </c>
      <c r="AQ60" s="1157">
        <v>2014</v>
      </c>
      <c r="AR60" s="1129" t="s">
        <v>87</v>
      </c>
      <c r="AS60" s="1127">
        <v>0.5</v>
      </c>
      <c r="AT60" s="1127">
        <v>0.5</v>
      </c>
      <c r="AU60" s="1127"/>
      <c r="AV60" s="1127"/>
      <c r="AW60" s="1127"/>
      <c r="AX60" s="1127"/>
      <c r="AY60" s="1127"/>
      <c r="AZ60" s="1127"/>
      <c r="BA60" s="1129">
        <v>990.39919285714291</v>
      </c>
      <c r="BB60" s="1129">
        <v>990.39919285714291</v>
      </c>
      <c r="BC60" s="1129">
        <v>0</v>
      </c>
      <c r="BD60" s="1129">
        <v>0</v>
      </c>
      <c r="BE60" s="1129">
        <v>0</v>
      </c>
      <c r="BF60" s="1129">
        <v>0</v>
      </c>
      <c r="BG60" s="1129">
        <v>0</v>
      </c>
      <c r="BH60" s="1129">
        <v>0</v>
      </c>
      <c r="BI60" s="1981"/>
      <c r="BJ60" s="971"/>
      <c r="BK60" s="971"/>
      <c r="BL60" s="1246"/>
      <c r="BM60" s="1247" t="s">
        <v>1768</v>
      </c>
    </row>
    <row r="61" spans="1:65" s="1247" customFormat="1" ht="66" customHeight="1">
      <c r="A61" s="1272">
        <v>2000</v>
      </c>
      <c r="B61" s="971" t="s">
        <v>119</v>
      </c>
      <c r="C61" s="1272">
        <v>2500</v>
      </c>
      <c r="D61" s="971" t="s">
        <v>452</v>
      </c>
      <c r="E61" s="971" t="s">
        <v>604</v>
      </c>
      <c r="F61" s="971" t="s">
        <v>605</v>
      </c>
      <c r="G61" s="971" t="s">
        <v>643</v>
      </c>
      <c r="H61" s="971" t="s">
        <v>621</v>
      </c>
      <c r="I61" s="1273" t="s">
        <v>7279</v>
      </c>
      <c r="J61" s="971" t="s">
        <v>239</v>
      </c>
      <c r="K61" s="971" t="s">
        <v>1768</v>
      </c>
      <c r="L61" s="971" t="s">
        <v>3420</v>
      </c>
      <c r="M61" s="971" t="s">
        <v>1768</v>
      </c>
      <c r="N61" s="971" t="s">
        <v>179</v>
      </c>
      <c r="O61" s="971" t="s">
        <v>1769</v>
      </c>
      <c r="P61" s="971" t="s">
        <v>6663</v>
      </c>
      <c r="Q61" s="971" t="s">
        <v>7261</v>
      </c>
      <c r="R61" s="971" t="s">
        <v>4208</v>
      </c>
      <c r="S61" s="1274">
        <v>1</v>
      </c>
      <c r="T61" s="971" t="s">
        <v>242</v>
      </c>
      <c r="U61" s="1275">
        <v>8.1</v>
      </c>
      <c r="V61" s="1275">
        <v>106.5</v>
      </c>
      <c r="W61" s="1275">
        <v>809.29838571428581</v>
      </c>
      <c r="X61" s="1275">
        <v>1065</v>
      </c>
      <c r="Y61" s="1275">
        <v>1980.7983857142858</v>
      </c>
      <c r="Z61" s="1129">
        <v>8.1</v>
      </c>
      <c r="AA61" s="1129">
        <v>106.5</v>
      </c>
      <c r="AB61" s="1129">
        <v>809.29838571428581</v>
      </c>
      <c r="AC61" s="1129">
        <v>1065</v>
      </c>
      <c r="AD61" s="1098">
        <v>1980.7983857142858</v>
      </c>
      <c r="AE61" s="1135">
        <v>0.5</v>
      </c>
      <c r="AF61" s="1129">
        <v>0.5</v>
      </c>
      <c r="AG61" s="1127">
        <v>1</v>
      </c>
      <c r="AH61" s="1127">
        <v>0</v>
      </c>
      <c r="AI61" s="1127">
        <v>0</v>
      </c>
      <c r="AJ61" s="1127">
        <v>1</v>
      </c>
      <c r="AK61" s="1129">
        <v>1980.7983857142858</v>
      </c>
      <c r="AL61" s="1129">
        <v>0</v>
      </c>
      <c r="AM61" s="1129">
        <v>0</v>
      </c>
      <c r="AN61" s="1129">
        <v>1980.7983857142858</v>
      </c>
      <c r="AO61" s="1129" t="s">
        <v>131</v>
      </c>
      <c r="AP61" s="1129" t="s">
        <v>96</v>
      </c>
      <c r="AQ61" s="1157">
        <v>2014</v>
      </c>
      <c r="AR61" s="1129" t="s">
        <v>87</v>
      </c>
      <c r="AS61" s="1127">
        <v>0.5</v>
      </c>
      <c r="AT61" s="1127">
        <v>0.5</v>
      </c>
      <c r="AU61" s="1127"/>
      <c r="AV61" s="1127"/>
      <c r="AW61" s="1127"/>
      <c r="AX61" s="1127"/>
      <c r="AY61" s="1127"/>
      <c r="AZ61" s="1127"/>
      <c r="BA61" s="1129">
        <v>990.39919285714291</v>
      </c>
      <c r="BB61" s="1129">
        <v>990.39919285714291</v>
      </c>
      <c r="BC61" s="1129">
        <v>0</v>
      </c>
      <c r="BD61" s="1129">
        <v>0</v>
      </c>
      <c r="BE61" s="1129">
        <v>0</v>
      </c>
      <c r="BF61" s="1129">
        <v>0</v>
      </c>
      <c r="BG61" s="1129">
        <v>0</v>
      </c>
      <c r="BH61" s="1129">
        <v>0</v>
      </c>
      <c r="BI61" s="1981"/>
      <c r="BJ61" s="971"/>
      <c r="BK61" s="971"/>
      <c r="BL61" s="1246"/>
      <c r="BM61" s="1247" t="s">
        <v>1768</v>
      </c>
    </row>
    <row r="62" spans="1:65" s="1247" customFormat="1" ht="66" customHeight="1">
      <c r="A62" s="1272">
        <v>2000</v>
      </c>
      <c r="B62" s="971" t="s">
        <v>119</v>
      </c>
      <c r="C62" s="1272">
        <v>2500</v>
      </c>
      <c r="D62" s="971" t="s">
        <v>452</v>
      </c>
      <c r="E62" s="971" t="s">
        <v>604</v>
      </c>
      <c r="F62" s="971" t="s">
        <v>605</v>
      </c>
      <c r="G62" s="971" t="s">
        <v>643</v>
      </c>
      <c r="H62" s="971" t="s">
        <v>621</v>
      </c>
      <c r="I62" s="1273" t="s">
        <v>7280</v>
      </c>
      <c r="J62" s="971" t="s">
        <v>2143</v>
      </c>
      <c r="K62" s="971" t="s">
        <v>1768</v>
      </c>
      <c r="L62" s="971" t="s">
        <v>3420</v>
      </c>
      <c r="M62" s="971" t="s">
        <v>1768</v>
      </c>
      <c r="N62" s="971" t="s">
        <v>179</v>
      </c>
      <c r="O62" s="971" t="s">
        <v>1769</v>
      </c>
      <c r="P62" s="971" t="s">
        <v>6663</v>
      </c>
      <c r="Q62" s="971" t="s">
        <v>7281</v>
      </c>
      <c r="R62" s="971" t="s">
        <v>4210</v>
      </c>
      <c r="S62" s="1274">
        <v>1</v>
      </c>
      <c r="T62" s="971" t="s">
        <v>242</v>
      </c>
      <c r="U62" s="1275">
        <v>8.1</v>
      </c>
      <c r="V62" s="1275">
        <v>106.5</v>
      </c>
      <c r="W62" s="1275">
        <v>809.29838571428581</v>
      </c>
      <c r="X62" s="1275">
        <v>1065</v>
      </c>
      <c r="Y62" s="1275">
        <v>1980.7983857142858</v>
      </c>
      <c r="Z62" s="1129">
        <v>8.1</v>
      </c>
      <c r="AA62" s="1129">
        <v>106.5</v>
      </c>
      <c r="AB62" s="1129">
        <v>809.29838571428581</v>
      </c>
      <c r="AC62" s="1129">
        <v>1065</v>
      </c>
      <c r="AD62" s="1098">
        <v>1980.7983857142858</v>
      </c>
      <c r="AE62" s="1135">
        <v>0.5</v>
      </c>
      <c r="AF62" s="1129">
        <v>0.5</v>
      </c>
      <c r="AG62" s="1127">
        <v>1</v>
      </c>
      <c r="AH62" s="1127">
        <v>0</v>
      </c>
      <c r="AI62" s="1127">
        <v>0</v>
      </c>
      <c r="AJ62" s="1127">
        <v>1</v>
      </c>
      <c r="AK62" s="1129">
        <v>1980.7983857142858</v>
      </c>
      <c r="AL62" s="1129">
        <v>0</v>
      </c>
      <c r="AM62" s="1129">
        <v>0</v>
      </c>
      <c r="AN62" s="1129">
        <v>1980.7983857142858</v>
      </c>
      <c r="AO62" s="1129" t="s">
        <v>131</v>
      </c>
      <c r="AP62" s="1129" t="s">
        <v>96</v>
      </c>
      <c r="AQ62" s="1157">
        <v>2014</v>
      </c>
      <c r="AR62" s="1129" t="s">
        <v>87</v>
      </c>
      <c r="AS62" s="1127">
        <v>0.33333333333333331</v>
      </c>
      <c r="AT62" s="1127"/>
      <c r="AU62" s="1127">
        <v>0.33333333333333331</v>
      </c>
      <c r="AV62" s="1127"/>
      <c r="AW62" s="1127"/>
      <c r="AX62" s="1127"/>
      <c r="AY62" s="1127"/>
      <c r="AZ62" s="1127">
        <v>0.33333333333333331</v>
      </c>
      <c r="BA62" s="1129">
        <v>660.26612857142857</v>
      </c>
      <c r="BB62" s="1129">
        <v>0</v>
      </c>
      <c r="BC62" s="1129">
        <v>660.26612857142857</v>
      </c>
      <c r="BD62" s="1129">
        <v>0</v>
      </c>
      <c r="BE62" s="1129">
        <v>0</v>
      </c>
      <c r="BF62" s="1129">
        <v>0</v>
      </c>
      <c r="BG62" s="1129">
        <v>0</v>
      </c>
      <c r="BH62" s="1129">
        <v>660.26612857142857</v>
      </c>
      <c r="BI62" s="1981"/>
      <c r="BJ62" s="971"/>
      <c r="BK62" s="971"/>
      <c r="BL62" s="1246"/>
      <c r="BM62" s="1247" t="s">
        <v>1768</v>
      </c>
    </row>
    <row r="63" spans="1:65" s="1247" customFormat="1" ht="66" customHeight="1">
      <c r="A63" s="1272">
        <v>2000</v>
      </c>
      <c r="B63" s="971" t="s">
        <v>119</v>
      </c>
      <c r="C63" s="1272">
        <v>2500</v>
      </c>
      <c r="D63" s="971" t="s">
        <v>452</v>
      </c>
      <c r="E63" s="971" t="s">
        <v>604</v>
      </c>
      <c r="F63" s="971" t="s">
        <v>605</v>
      </c>
      <c r="G63" s="971" t="s">
        <v>643</v>
      </c>
      <c r="H63" s="971" t="s">
        <v>621</v>
      </c>
      <c r="I63" s="1273" t="s">
        <v>7282</v>
      </c>
      <c r="J63" s="971" t="s">
        <v>239</v>
      </c>
      <c r="K63" s="971" t="s">
        <v>1768</v>
      </c>
      <c r="L63" s="971" t="s">
        <v>3420</v>
      </c>
      <c r="M63" s="971" t="s">
        <v>1768</v>
      </c>
      <c r="N63" s="971" t="s">
        <v>179</v>
      </c>
      <c r="O63" s="971" t="s">
        <v>1769</v>
      </c>
      <c r="P63" s="971" t="s">
        <v>6663</v>
      </c>
      <c r="Q63" s="971" t="s">
        <v>7257</v>
      </c>
      <c r="R63" s="971" t="s">
        <v>4212</v>
      </c>
      <c r="S63" s="1274">
        <v>1</v>
      </c>
      <c r="T63" s="971" t="s">
        <v>242</v>
      </c>
      <c r="U63" s="1275">
        <v>8.1</v>
      </c>
      <c r="V63" s="1275">
        <v>106.5</v>
      </c>
      <c r="W63" s="1275">
        <v>809.29838571428581</v>
      </c>
      <c r="X63" s="1275">
        <v>1065</v>
      </c>
      <c r="Y63" s="1275">
        <v>1980.7983857142858</v>
      </c>
      <c r="Z63" s="1129">
        <v>8.1</v>
      </c>
      <c r="AA63" s="1129">
        <v>106.5</v>
      </c>
      <c r="AB63" s="1129">
        <v>809.29838571428581</v>
      </c>
      <c r="AC63" s="1129">
        <v>1065</v>
      </c>
      <c r="AD63" s="1098">
        <v>1980.7983857142858</v>
      </c>
      <c r="AE63" s="1135">
        <v>0.5</v>
      </c>
      <c r="AF63" s="1129">
        <v>0.5</v>
      </c>
      <c r="AG63" s="1127">
        <v>1</v>
      </c>
      <c r="AH63" s="1127">
        <v>0</v>
      </c>
      <c r="AI63" s="1127">
        <v>0</v>
      </c>
      <c r="AJ63" s="1127">
        <v>1</v>
      </c>
      <c r="AK63" s="1129">
        <v>1980.7983857142858</v>
      </c>
      <c r="AL63" s="1129">
        <v>0</v>
      </c>
      <c r="AM63" s="1129">
        <v>0</v>
      </c>
      <c r="AN63" s="1129">
        <v>1980.7983857142858</v>
      </c>
      <c r="AO63" s="1129" t="s">
        <v>131</v>
      </c>
      <c r="AP63" s="1129" t="s">
        <v>96</v>
      </c>
      <c r="AQ63" s="1157">
        <v>2014</v>
      </c>
      <c r="AR63" s="1129" t="s">
        <v>87</v>
      </c>
      <c r="AS63" s="1127">
        <v>0.33333333333333331</v>
      </c>
      <c r="AT63" s="1127"/>
      <c r="AU63" s="1127">
        <v>0.33333333333333331</v>
      </c>
      <c r="AV63" s="1127"/>
      <c r="AW63" s="1127"/>
      <c r="AX63" s="1127"/>
      <c r="AY63" s="1127"/>
      <c r="AZ63" s="1127">
        <v>0.33333333333333331</v>
      </c>
      <c r="BA63" s="1129">
        <v>660.26612857142857</v>
      </c>
      <c r="BB63" s="1129">
        <v>0</v>
      </c>
      <c r="BC63" s="1129">
        <v>660.26612857142857</v>
      </c>
      <c r="BD63" s="1129">
        <v>0</v>
      </c>
      <c r="BE63" s="1129">
        <v>0</v>
      </c>
      <c r="BF63" s="1129">
        <v>0</v>
      </c>
      <c r="BG63" s="1129">
        <v>0</v>
      </c>
      <c r="BH63" s="1129">
        <v>660.26612857142857</v>
      </c>
      <c r="BI63" s="1981"/>
      <c r="BJ63" s="971"/>
      <c r="BK63" s="971"/>
      <c r="BL63" s="1246"/>
      <c r="BM63" s="1247" t="s">
        <v>1768</v>
      </c>
    </row>
    <row r="64" spans="1:65" s="1247" customFormat="1" ht="66" customHeight="1">
      <c r="A64" s="1272">
        <v>2000</v>
      </c>
      <c r="B64" s="971" t="s">
        <v>119</v>
      </c>
      <c r="C64" s="1272">
        <v>2500</v>
      </c>
      <c r="D64" s="971" t="s">
        <v>452</v>
      </c>
      <c r="E64" s="971" t="s">
        <v>604</v>
      </c>
      <c r="F64" s="971" t="s">
        <v>605</v>
      </c>
      <c r="G64" s="971" t="s">
        <v>683</v>
      </c>
      <c r="H64" s="971" t="s">
        <v>684</v>
      </c>
      <c r="I64" s="1273" t="s">
        <v>2224</v>
      </c>
      <c r="J64" s="971" t="s">
        <v>686</v>
      </c>
      <c r="K64" s="971" t="s">
        <v>2123</v>
      </c>
      <c r="L64" s="971" t="s">
        <v>2124</v>
      </c>
      <c r="M64" s="971" t="s">
        <v>2123</v>
      </c>
      <c r="N64" s="971" t="s">
        <v>179</v>
      </c>
      <c r="O64" s="971" t="s">
        <v>2124</v>
      </c>
      <c r="P64" s="971"/>
      <c r="Q64" s="971" t="s">
        <v>7283</v>
      </c>
      <c r="R64" s="971" t="s">
        <v>4223</v>
      </c>
      <c r="S64" s="1274">
        <v>1</v>
      </c>
      <c r="T64" s="971" t="s">
        <v>242</v>
      </c>
      <c r="U64" s="1275">
        <v>19.2</v>
      </c>
      <c r="V64" s="1275">
        <v>213</v>
      </c>
      <c r="W64" s="1275">
        <v>1918.3369142857146</v>
      </c>
      <c r="X64" s="1275">
        <v>2130</v>
      </c>
      <c r="Y64" s="1275">
        <v>4261.3369142857146</v>
      </c>
      <c r="Z64" s="1129">
        <v>19.2</v>
      </c>
      <c r="AA64" s="1129">
        <v>213</v>
      </c>
      <c r="AB64" s="1129">
        <v>1918.3369142857146</v>
      </c>
      <c r="AC64" s="1129">
        <v>2130</v>
      </c>
      <c r="AD64" s="1098">
        <v>4261.3369142857146</v>
      </c>
      <c r="AE64" s="1135">
        <v>1</v>
      </c>
      <c r="AF64" s="1129">
        <v>1</v>
      </c>
      <c r="AG64" s="1127">
        <v>1</v>
      </c>
      <c r="AH64" s="1127">
        <v>0</v>
      </c>
      <c r="AI64" s="1127">
        <v>0</v>
      </c>
      <c r="AJ64" s="1127">
        <v>1</v>
      </c>
      <c r="AK64" s="1129">
        <v>4261.3369142857146</v>
      </c>
      <c r="AL64" s="1129">
        <v>0</v>
      </c>
      <c r="AM64" s="1129">
        <v>0</v>
      </c>
      <c r="AN64" s="1129">
        <v>4261.3369142857146</v>
      </c>
      <c r="AO64" s="1129" t="s">
        <v>131</v>
      </c>
      <c r="AP64" s="1129" t="s">
        <v>96</v>
      </c>
      <c r="AQ64" s="1157">
        <v>2014</v>
      </c>
      <c r="AR64" s="1129" t="s">
        <v>87</v>
      </c>
      <c r="AS64" s="1127">
        <v>0.33333333333333331</v>
      </c>
      <c r="AT64" s="1127"/>
      <c r="AU64" s="1127">
        <v>0.33333333333333331</v>
      </c>
      <c r="AV64" s="1127"/>
      <c r="AW64" s="1127"/>
      <c r="AX64" s="1127"/>
      <c r="AY64" s="1127"/>
      <c r="AZ64" s="1127">
        <v>0.33333333333333331</v>
      </c>
      <c r="BA64" s="1129">
        <v>1420.4456380952381</v>
      </c>
      <c r="BB64" s="1129">
        <v>0</v>
      </c>
      <c r="BC64" s="1129">
        <v>1420.4456380952381</v>
      </c>
      <c r="BD64" s="1129">
        <v>0</v>
      </c>
      <c r="BE64" s="1129">
        <v>0</v>
      </c>
      <c r="BF64" s="1129">
        <v>0</v>
      </c>
      <c r="BG64" s="1129">
        <v>0</v>
      </c>
      <c r="BH64" s="1129">
        <v>1420.4456380952381</v>
      </c>
      <c r="BI64" s="1981"/>
      <c r="BJ64" s="971"/>
      <c r="BK64" s="971"/>
      <c r="BL64" s="1246"/>
      <c r="BM64" s="1247" t="s">
        <v>2123</v>
      </c>
    </row>
    <row r="65" spans="1:65" s="1247" customFormat="1" ht="66" customHeight="1">
      <c r="A65" s="1272">
        <v>2000</v>
      </c>
      <c r="B65" s="971" t="s">
        <v>119</v>
      </c>
      <c r="C65" s="1272">
        <v>2500</v>
      </c>
      <c r="D65" s="971" t="s">
        <v>452</v>
      </c>
      <c r="E65" s="971" t="s">
        <v>604</v>
      </c>
      <c r="F65" s="971" t="s">
        <v>605</v>
      </c>
      <c r="G65" s="971" t="s">
        <v>683</v>
      </c>
      <c r="H65" s="971" t="s">
        <v>684</v>
      </c>
      <c r="I65" s="1273" t="s">
        <v>7284</v>
      </c>
      <c r="J65" s="971" t="s">
        <v>686</v>
      </c>
      <c r="K65" s="971" t="s">
        <v>1768</v>
      </c>
      <c r="L65" s="971" t="s">
        <v>3420</v>
      </c>
      <c r="M65" s="971" t="s">
        <v>1768</v>
      </c>
      <c r="N65" s="971" t="s">
        <v>179</v>
      </c>
      <c r="O65" s="971" t="s">
        <v>1769</v>
      </c>
      <c r="P65" s="971"/>
      <c r="Q65" s="971" t="s">
        <v>7285</v>
      </c>
      <c r="R65" s="971" t="s">
        <v>4230</v>
      </c>
      <c r="S65" s="1274">
        <v>1</v>
      </c>
      <c r="T65" s="971" t="s">
        <v>242</v>
      </c>
      <c r="U65" s="1275">
        <v>8.1</v>
      </c>
      <c r="V65" s="1275">
        <v>106.5</v>
      </c>
      <c r="W65" s="1275">
        <v>809.29838571428581</v>
      </c>
      <c r="X65" s="1275">
        <v>1065</v>
      </c>
      <c r="Y65" s="1275">
        <v>1980.7983857142858</v>
      </c>
      <c r="Z65" s="1129">
        <v>8.1</v>
      </c>
      <c r="AA65" s="1129">
        <v>106.5</v>
      </c>
      <c r="AB65" s="1129">
        <v>809.29838571428581</v>
      </c>
      <c r="AC65" s="1129">
        <v>1065</v>
      </c>
      <c r="AD65" s="1098">
        <v>1980.7983857142858</v>
      </c>
      <c r="AE65" s="1135">
        <v>0.5</v>
      </c>
      <c r="AF65" s="1129">
        <v>0.5</v>
      </c>
      <c r="AG65" s="1127">
        <v>1</v>
      </c>
      <c r="AH65" s="1127">
        <v>0</v>
      </c>
      <c r="AI65" s="1127">
        <v>0</v>
      </c>
      <c r="AJ65" s="1127">
        <v>1</v>
      </c>
      <c r="AK65" s="1129">
        <v>1980.7983857142858</v>
      </c>
      <c r="AL65" s="1129">
        <v>0</v>
      </c>
      <c r="AM65" s="1129">
        <v>0</v>
      </c>
      <c r="AN65" s="1129">
        <v>1980.7983857142858</v>
      </c>
      <c r="AO65" s="1129" t="s">
        <v>131</v>
      </c>
      <c r="AP65" s="1129" t="s">
        <v>96</v>
      </c>
      <c r="AQ65" s="1157">
        <v>2014</v>
      </c>
      <c r="AR65" s="1129" t="s">
        <v>87</v>
      </c>
      <c r="AS65" s="1127">
        <v>0.33333333333333331</v>
      </c>
      <c r="AT65" s="1127"/>
      <c r="AU65" s="1127">
        <v>0.33333333333333331</v>
      </c>
      <c r="AV65" s="1127"/>
      <c r="AW65" s="1127"/>
      <c r="AX65" s="1127"/>
      <c r="AY65" s="1127"/>
      <c r="AZ65" s="1127">
        <v>0.33333333333333331</v>
      </c>
      <c r="BA65" s="1129">
        <v>660.26612857142857</v>
      </c>
      <c r="BB65" s="1129">
        <v>0</v>
      </c>
      <c r="BC65" s="1129">
        <v>660.26612857142857</v>
      </c>
      <c r="BD65" s="1129">
        <v>0</v>
      </c>
      <c r="BE65" s="1129">
        <v>0</v>
      </c>
      <c r="BF65" s="1129">
        <v>0</v>
      </c>
      <c r="BG65" s="1129">
        <v>0</v>
      </c>
      <c r="BH65" s="1129">
        <v>660.26612857142857</v>
      </c>
      <c r="BI65" s="1981"/>
      <c r="BJ65" s="971"/>
      <c r="BK65" s="971"/>
      <c r="BL65" s="1246"/>
      <c r="BM65" s="1247" t="s">
        <v>1768</v>
      </c>
    </row>
    <row r="66" spans="1:65" s="1247" customFormat="1" ht="66" customHeight="1">
      <c r="A66" s="1272">
        <v>2000</v>
      </c>
      <c r="B66" s="971" t="s">
        <v>119</v>
      </c>
      <c r="C66" s="1272">
        <v>2500</v>
      </c>
      <c r="D66" s="971" t="s">
        <v>452</v>
      </c>
      <c r="E66" s="971" t="s">
        <v>604</v>
      </c>
      <c r="F66" s="971" t="s">
        <v>605</v>
      </c>
      <c r="G66" s="971" t="s">
        <v>683</v>
      </c>
      <c r="H66" s="971" t="s">
        <v>684</v>
      </c>
      <c r="I66" s="1273" t="s">
        <v>685</v>
      </c>
      <c r="J66" s="971" t="s">
        <v>686</v>
      </c>
      <c r="K66" s="971" t="s">
        <v>687</v>
      </c>
      <c r="L66" s="971" t="s">
        <v>2915</v>
      </c>
      <c r="M66" s="971" t="s">
        <v>687</v>
      </c>
      <c r="N66" s="971" t="s">
        <v>179</v>
      </c>
      <c r="O66" s="971" t="s">
        <v>688</v>
      </c>
      <c r="P66" s="971"/>
      <c r="Q66" s="971" t="s">
        <v>689</v>
      </c>
      <c r="R66" s="971" t="s">
        <v>690</v>
      </c>
      <c r="S66" s="1274">
        <v>1</v>
      </c>
      <c r="T66" s="971" t="s">
        <v>242</v>
      </c>
      <c r="U66" s="1275">
        <v>2</v>
      </c>
      <c r="V66" s="1275">
        <v>30</v>
      </c>
      <c r="W66" s="1275">
        <v>199.82676190476192</v>
      </c>
      <c r="X66" s="1275">
        <v>300</v>
      </c>
      <c r="Y66" s="1275">
        <v>529.82676190476195</v>
      </c>
      <c r="Z66" s="1129">
        <v>2</v>
      </c>
      <c r="AA66" s="1129">
        <v>30</v>
      </c>
      <c r="AB66" s="1129">
        <v>199.82676190476192</v>
      </c>
      <c r="AC66" s="1129">
        <v>300</v>
      </c>
      <c r="AD66" s="1098">
        <v>529.82676190476195</v>
      </c>
      <c r="AE66" s="1135">
        <v>0.5</v>
      </c>
      <c r="AF66" s="1129">
        <v>0.5</v>
      </c>
      <c r="AG66" s="1127">
        <v>1</v>
      </c>
      <c r="AH66" s="1127">
        <v>0</v>
      </c>
      <c r="AI66" s="1127">
        <v>0</v>
      </c>
      <c r="AJ66" s="1127">
        <v>1</v>
      </c>
      <c r="AK66" s="1129">
        <v>529.82676190476195</v>
      </c>
      <c r="AL66" s="1129">
        <v>0</v>
      </c>
      <c r="AM66" s="1129">
        <v>0</v>
      </c>
      <c r="AN66" s="1129">
        <v>529.82676190476195</v>
      </c>
      <c r="AO66" s="1129" t="s">
        <v>131</v>
      </c>
      <c r="AP66" s="1129" t="s">
        <v>96</v>
      </c>
      <c r="AQ66" s="1157">
        <v>2014</v>
      </c>
      <c r="AR66" s="1129" t="s">
        <v>87</v>
      </c>
      <c r="AS66" s="1127">
        <v>0.33333333333333331</v>
      </c>
      <c r="AT66" s="1127">
        <v>0.33333333333333331</v>
      </c>
      <c r="AU66" s="1127">
        <v>0.33333333333333331</v>
      </c>
      <c r="AV66" s="1127"/>
      <c r="AW66" s="1127"/>
      <c r="AX66" s="1127"/>
      <c r="AY66" s="1127"/>
      <c r="AZ66" s="1127"/>
      <c r="BA66" s="1129">
        <v>176.60892063492065</v>
      </c>
      <c r="BB66" s="1129">
        <v>176.60892063492065</v>
      </c>
      <c r="BC66" s="1129">
        <v>176.60892063492065</v>
      </c>
      <c r="BD66" s="1129">
        <v>0</v>
      </c>
      <c r="BE66" s="1129">
        <v>0</v>
      </c>
      <c r="BF66" s="1129">
        <v>0</v>
      </c>
      <c r="BG66" s="1129">
        <v>0</v>
      </c>
      <c r="BH66" s="1129">
        <v>0</v>
      </c>
      <c r="BI66" s="1981"/>
      <c r="BJ66" s="971"/>
      <c r="BK66" s="971"/>
      <c r="BL66" s="1246"/>
      <c r="BM66" s="1247" t="s">
        <v>687</v>
      </c>
    </row>
    <row r="67" spans="1:65" s="1247" customFormat="1" ht="66" customHeight="1">
      <c r="A67" s="1272">
        <v>2000</v>
      </c>
      <c r="B67" s="971" t="s">
        <v>119</v>
      </c>
      <c r="C67" s="1272">
        <v>2500</v>
      </c>
      <c r="D67" s="971" t="s">
        <v>452</v>
      </c>
      <c r="E67" s="971" t="s">
        <v>604</v>
      </c>
      <c r="F67" s="971" t="s">
        <v>605</v>
      </c>
      <c r="G67" s="971" t="s">
        <v>683</v>
      </c>
      <c r="H67" s="971" t="s">
        <v>684</v>
      </c>
      <c r="I67" s="1273" t="s">
        <v>7286</v>
      </c>
      <c r="J67" s="971" t="s">
        <v>686</v>
      </c>
      <c r="K67" s="971" t="s">
        <v>2123</v>
      </c>
      <c r="L67" s="971" t="s">
        <v>2124</v>
      </c>
      <c r="M67" s="971" t="s">
        <v>2123</v>
      </c>
      <c r="N67" s="971" t="s">
        <v>179</v>
      </c>
      <c r="O67" s="971" t="s">
        <v>2124</v>
      </c>
      <c r="P67" s="971" t="s">
        <v>7266</v>
      </c>
      <c r="Q67" s="971" t="s">
        <v>7287</v>
      </c>
      <c r="R67" s="971" t="s">
        <v>4244</v>
      </c>
      <c r="S67" s="1274">
        <v>1</v>
      </c>
      <c r="T67" s="971" t="s">
        <v>242</v>
      </c>
      <c r="U67" s="1275">
        <v>19.2</v>
      </c>
      <c r="V67" s="1275">
        <v>213</v>
      </c>
      <c r="W67" s="1275">
        <v>1918.3369142857146</v>
      </c>
      <c r="X67" s="1275">
        <v>2130</v>
      </c>
      <c r="Y67" s="1275">
        <v>4261.3369142857146</v>
      </c>
      <c r="Z67" s="1129">
        <v>19.2</v>
      </c>
      <c r="AA67" s="1129">
        <v>213</v>
      </c>
      <c r="AB67" s="1129">
        <v>1918.3369142857146</v>
      </c>
      <c r="AC67" s="1129">
        <v>2130</v>
      </c>
      <c r="AD67" s="1098">
        <v>4261.3369142857146</v>
      </c>
      <c r="AE67" s="1135">
        <v>1</v>
      </c>
      <c r="AF67" s="1129">
        <v>1</v>
      </c>
      <c r="AG67" s="1127">
        <v>1</v>
      </c>
      <c r="AH67" s="1127">
        <v>0</v>
      </c>
      <c r="AI67" s="1127">
        <v>0</v>
      </c>
      <c r="AJ67" s="1127">
        <v>1</v>
      </c>
      <c r="AK67" s="1129">
        <v>4261.3369142857146</v>
      </c>
      <c r="AL67" s="1129">
        <v>0</v>
      </c>
      <c r="AM67" s="1129">
        <v>0</v>
      </c>
      <c r="AN67" s="1129">
        <v>4261.3369142857146</v>
      </c>
      <c r="AO67" s="1129" t="s">
        <v>131</v>
      </c>
      <c r="AP67" s="1129" t="s">
        <v>96</v>
      </c>
      <c r="AQ67" s="1157">
        <v>2014</v>
      </c>
      <c r="AR67" s="1129" t="s">
        <v>87</v>
      </c>
      <c r="AS67" s="1127">
        <v>0.33333333333333331</v>
      </c>
      <c r="AT67" s="1127"/>
      <c r="AU67" s="1127">
        <v>0.33333333333333331</v>
      </c>
      <c r="AV67" s="1127"/>
      <c r="AW67" s="1127"/>
      <c r="AX67" s="1127"/>
      <c r="AY67" s="1127"/>
      <c r="AZ67" s="1127">
        <v>0.33333333333333331</v>
      </c>
      <c r="BA67" s="1129">
        <v>1420.4456380952381</v>
      </c>
      <c r="BB67" s="1129">
        <v>0</v>
      </c>
      <c r="BC67" s="1129">
        <v>1420.4456380952381</v>
      </c>
      <c r="BD67" s="1129">
        <v>0</v>
      </c>
      <c r="BE67" s="1129">
        <v>0</v>
      </c>
      <c r="BF67" s="1129">
        <v>0</v>
      </c>
      <c r="BG67" s="1129">
        <v>0</v>
      </c>
      <c r="BH67" s="1129">
        <v>1420.4456380952381</v>
      </c>
      <c r="BI67" s="1981"/>
      <c r="BJ67" s="971"/>
      <c r="BK67" s="971"/>
      <c r="BL67" s="1246"/>
      <c r="BM67" s="1247" t="s">
        <v>2123</v>
      </c>
    </row>
    <row r="68" spans="1:65" s="1247" customFormat="1" ht="66" customHeight="1">
      <c r="A68" s="1272">
        <v>2000</v>
      </c>
      <c r="B68" s="971" t="s">
        <v>119</v>
      </c>
      <c r="C68" s="1272">
        <v>2500</v>
      </c>
      <c r="D68" s="971" t="s">
        <v>452</v>
      </c>
      <c r="E68" s="971" t="s">
        <v>604</v>
      </c>
      <c r="F68" s="971" t="s">
        <v>605</v>
      </c>
      <c r="G68" s="971" t="s">
        <v>683</v>
      </c>
      <c r="H68" s="971" t="s">
        <v>684</v>
      </c>
      <c r="I68" s="1273" t="s">
        <v>7288</v>
      </c>
      <c r="J68" s="971" t="s">
        <v>686</v>
      </c>
      <c r="K68" s="971" t="s">
        <v>2123</v>
      </c>
      <c r="L68" s="971" t="s">
        <v>2124</v>
      </c>
      <c r="M68" s="971" t="s">
        <v>2123</v>
      </c>
      <c r="N68" s="971" t="s">
        <v>179</v>
      </c>
      <c r="O68" s="971" t="s">
        <v>2124</v>
      </c>
      <c r="P68" s="971" t="s">
        <v>7266</v>
      </c>
      <c r="Q68" s="971" t="s">
        <v>7289</v>
      </c>
      <c r="R68" s="971" t="s">
        <v>4252</v>
      </c>
      <c r="S68" s="1274">
        <v>1</v>
      </c>
      <c r="T68" s="971" t="s">
        <v>242</v>
      </c>
      <c r="U68" s="1275">
        <v>19.2</v>
      </c>
      <c r="V68" s="1275">
        <v>213</v>
      </c>
      <c r="W68" s="1275">
        <v>1918.3369142857146</v>
      </c>
      <c r="X68" s="1275">
        <v>2130</v>
      </c>
      <c r="Y68" s="1275">
        <v>4261.3369142857146</v>
      </c>
      <c r="Z68" s="1129">
        <v>19.2</v>
      </c>
      <c r="AA68" s="1129">
        <v>213</v>
      </c>
      <c r="AB68" s="1129">
        <v>1918.3369142857146</v>
      </c>
      <c r="AC68" s="1129">
        <v>2130</v>
      </c>
      <c r="AD68" s="1098">
        <v>4261.3369142857146</v>
      </c>
      <c r="AE68" s="1135">
        <v>1</v>
      </c>
      <c r="AF68" s="1129">
        <v>1</v>
      </c>
      <c r="AG68" s="1127">
        <v>1</v>
      </c>
      <c r="AH68" s="1127">
        <v>0</v>
      </c>
      <c r="AI68" s="1127">
        <v>0</v>
      </c>
      <c r="AJ68" s="1127">
        <v>1</v>
      </c>
      <c r="AK68" s="1129">
        <v>4261.3369142857146</v>
      </c>
      <c r="AL68" s="1129">
        <v>0</v>
      </c>
      <c r="AM68" s="1129">
        <v>0</v>
      </c>
      <c r="AN68" s="1129">
        <v>4261.3369142857146</v>
      </c>
      <c r="AO68" s="1129" t="s">
        <v>131</v>
      </c>
      <c r="AP68" s="1129" t="s">
        <v>96</v>
      </c>
      <c r="AQ68" s="1157">
        <v>2014</v>
      </c>
      <c r="AR68" s="1129" t="s">
        <v>87</v>
      </c>
      <c r="AS68" s="1127">
        <v>0.33333333333333331</v>
      </c>
      <c r="AT68" s="1127"/>
      <c r="AU68" s="1127">
        <v>0.33333333333333331</v>
      </c>
      <c r="AV68" s="1127"/>
      <c r="AW68" s="1127"/>
      <c r="AX68" s="1127"/>
      <c r="AY68" s="1127"/>
      <c r="AZ68" s="1127">
        <v>0.33333333333333331</v>
      </c>
      <c r="BA68" s="1129">
        <v>1420.4456380952381</v>
      </c>
      <c r="BB68" s="1129">
        <v>0</v>
      </c>
      <c r="BC68" s="1129">
        <v>1420.4456380952381</v>
      </c>
      <c r="BD68" s="1129">
        <v>0</v>
      </c>
      <c r="BE68" s="1129">
        <v>0</v>
      </c>
      <c r="BF68" s="1129">
        <v>0</v>
      </c>
      <c r="BG68" s="1129">
        <v>0</v>
      </c>
      <c r="BH68" s="1129">
        <v>1420.4456380952381</v>
      </c>
      <c r="BI68" s="1981"/>
      <c r="BJ68" s="971"/>
      <c r="BK68" s="971"/>
      <c r="BL68" s="1246"/>
      <c r="BM68" s="1247" t="s">
        <v>2123</v>
      </c>
    </row>
    <row r="69" spans="1:65" s="1247" customFormat="1" ht="66" customHeight="1">
      <c r="A69" s="1272">
        <v>2000</v>
      </c>
      <c r="B69" s="971" t="s">
        <v>119</v>
      </c>
      <c r="C69" s="1272">
        <v>2500</v>
      </c>
      <c r="D69" s="971" t="s">
        <v>452</v>
      </c>
      <c r="E69" s="971" t="s">
        <v>604</v>
      </c>
      <c r="F69" s="971" t="s">
        <v>605</v>
      </c>
      <c r="G69" s="971" t="s">
        <v>683</v>
      </c>
      <c r="H69" s="971" t="s">
        <v>684</v>
      </c>
      <c r="I69" s="1273" t="s">
        <v>7290</v>
      </c>
      <c r="J69" s="971" t="s">
        <v>686</v>
      </c>
      <c r="K69" s="971" t="s">
        <v>2123</v>
      </c>
      <c r="L69" s="971" t="s">
        <v>2124</v>
      </c>
      <c r="M69" s="971" t="s">
        <v>2123</v>
      </c>
      <c r="N69" s="971" t="s">
        <v>179</v>
      </c>
      <c r="O69" s="971" t="s">
        <v>2124</v>
      </c>
      <c r="P69" s="971"/>
      <c r="Q69" s="971" t="s">
        <v>7291</v>
      </c>
      <c r="R69" s="971" t="s">
        <v>4255</v>
      </c>
      <c r="S69" s="1274">
        <v>1</v>
      </c>
      <c r="T69" s="971" t="s">
        <v>242</v>
      </c>
      <c r="U69" s="1275">
        <v>19.2</v>
      </c>
      <c r="V69" s="1275">
        <v>213</v>
      </c>
      <c r="W69" s="1275">
        <v>1918.3369142857146</v>
      </c>
      <c r="X69" s="1275">
        <v>2130</v>
      </c>
      <c r="Y69" s="1275">
        <v>4261.3369142857146</v>
      </c>
      <c r="Z69" s="1129">
        <v>19.2</v>
      </c>
      <c r="AA69" s="1129">
        <v>213</v>
      </c>
      <c r="AB69" s="1129">
        <v>1918.3369142857146</v>
      </c>
      <c r="AC69" s="1129">
        <v>2130</v>
      </c>
      <c r="AD69" s="1098">
        <v>4261.3369142857146</v>
      </c>
      <c r="AE69" s="1135">
        <v>1</v>
      </c>
      <c r="AF69" s="1129">
        <v>1</v>
      </c>
      <c r="AG69" s="1127">
        <v>1</v>
      </c>
      <c r="AH69" s="1127">
        <v>0</v>
      </c>
      <c r="AI69" s="1127">
        <v>0</v>
      </c>
      <c r="AJ69" s="1127">
        <v>1</v>
      </c>
      <c r="AK69" s="1129">
        <v>4261.3369142857146</v>
      </c>
      <c r="AL69" s="1129">
        <v>0</v>
      </c>
      <c r="AM69" s="1129">
        <v>0</v>
      </c>
      <c r="AN69" s="1129">
        <v>4261.3369142857146</v>
      </c>
      <c r="AO69" s="1129" t="s">
        <v>131</v>
      </c>
      <c r="AP69" s="1129" t="s">
        <v>96</v>
      </c>
      <c r="AQ69" s="1157">
        <v>2014</v>
      </c>
      <c r="AR69" s="1129" t="s">
        <v>87</v>
      </c>
      <c r="AS69" s="1127">
        <v>0.33333333333333331</v>
      </c>
      <c r="AT69" s="1127"/>
      <c r="AU69" s="1127">
        <v>0.33333333333333331</v>
      </c>
      <c r="AV69" s="1127"/>
      <c r="AW69" s="1127"/>
      <c r="AX69" s="1127"/>
      <c r="AY69" s="1127"/>
      <c r="AZ69" s="1127">
        <v>0.33333333333333331</v>
      </c>
      <c r="BA69" s="1129">
        <v>1420.4456380952381</v>
      </c>
      <c r="BB69" s="1129">
        <v>0</v>
      </c>
      <c r="BC69" s="1129">
        <v>1420.4456380952381</v>
      </c>
      <c r="BD69" s="1129">
        <v>0</v>
      </c>
      <c r="BE69" s="1129">
        <v>0</v>
      </c>
      <c r="BF69" s="1129">
        <v>0</v>
      </c>
      <c r="BG69" s="1129">
        <v>0</v>
      </c>
      <c r="BH69" s="1129">
        <v>1420.4456380952381</v>
      </c>
      <c r="BI69" s="1981"/>
      <c r="BJ69" s="971"/>
      <c r="BK69" s="971"/>
      <c r="BL69" s="1246"/>
      <c r="BM69" s="1247" t="s">
        <v>2123</v>
      </c>
    </row>
    <row r="70" spans="1:65" s="1247" customFormat="1" ht="66" customHeight="1">
      <c r="A70" s="1272">
        <v>2000</v>
      </c>
      <c r="B70" s="971" t="s">
        <v>119</v>
      </c>
      <c r="C70" s="1272">
        <v>2500</v>
      </c>
      <c r="D70" s="971" t="s">
        <v>452</v>
      </c>
      <c r="E70" s="971" t="s">
        <v>604</v>
      </c>
      <c r="F70" s="971" t="s">
        <v>605</v>
      </c>
      <c r="G70" s="971" t="s">
        <v>683</v>
      </c>
      <c r="H70" s="971" t="s">
        <v>684</v>
      </c>
      <c r="I70" s="1273" t="s">
        <v>7292</v>
      </c>
      <c r="J70" s="971" t="s">
        <v>686</v>
      </c>
      <c r="K70" s="971" t="s">
        <v>2123</v>
      </c>
      <c r="L70" s="971" t="s">
        <v>2124</v>
      </c>
      <c r="M70" s="971" t="s">
        <v>2123</v>
      </c>
      <c r="N70" s="971" t="s">
        <v>179</v>
      </c>
      <c r="O70" s="971" t="s">
        <v>2124</v>
      </c>
      <c r="P70" s="971"/>
      <c r="Q70" s="971" t="s">
        <v>7291</v>
      </c>
      <c r="R70" s="971" t="s">
        <v>4262</v>
      </c>
      <c r="S70" s="1274">
        <v>1</v>
      </c>
      <c r="T70" s="971" t="s">
        <v>242</v>
      </c>
      <c r="U70" s="1275">
        <v>19.2</v>
      </c>
      <c r="V70" s="1275">
        <v>213</v>
      </c>
      <c r="W70" s="1275">
        <v>1918.3369142857146</v>
      </c>
      <c r="X70" s="1275">
        <v>2130</v>
      </c>
      <c r="Y70" s="1275">
        <v>4261.3369142857146</v>
      </c>
      <c r="Z70" s="1129">
        <v>19.2</v>
      </c>
      <c r="AA70" s="1129">
        <v>213</v>
      </c>
      <c r="AB70" s="1129">
        <v>1918.3369142857146</v>
      </c>
      <c r="AC70" s="1129">
        <v>2130</v>
      </c>
      <c r="AD70" s="1098">
        <v>4261.3369142857146</v>
      </c>
      <c r="AE70" s="1135">
        <v>1</v>
      </c>
      <c r="AF70" s="1129">
        <v>1</v>
      </c>
      <c r="AG70" s="1127">
        <v>1</v>
      </c>
      <c r="AH70" s="1127">
        <v>0</v>
      </c>
      <c r="AI70" s="1127">
        <v>0</v>
      </c>
      <c r="AJ70" s="1127">
        <v>1</v>
      </c>
      <c r="AK70" s="1129">
        <v>4261.3369142857146</v>
      </c>
      <c r="AL70" s="1129">
        <v>0</v>
      </c>
      <c r="AM70" s="1129">
        <v>0</v>
      </c>
      <c r="AN70" s="1129">
        <v>4261.3369142857146</v>
      </c>
      <c r="AO70" s="1129" t="s">
        <v>131</v>
      </c>
      <c r="AP70" s="1129" t="s">
        <v>96</v>
      </c>
      <c r="AQ70" s="1157">
        <v>2014</v>
      </c>
      <c r="AR70" s="1129" t="s">
        <v>87</v>
      </c>
      <c r="AS70" s="1127">
        <v>0.33333333333333331</v>
      </c>
      <c r="AT70" s="1127"/>
      <c r="AU70" s="1127">
        <v>0.33333333333333331</v>
      </c>
      <c r="AV70" s="1127"/>
      <c r="AW70" s="1127"/>
      <c r="AX70" s="1127"/>
      <c r="AY70" s="1127"/>
      <c r="AZ70" s="1127">
        <v>0.33333333333333331</v>
      </c>
      <c r="BA70" s="1129">
        <v>1420.4456380952381</v>
      </c>
      <c r="BB70" s="1129">
        <v>0</v>
      </c>
      <c r="BC70" s="1129">
        <v>1420.4456380952381</v>
      </c>
      <c r="BD70" s="1129">
        <v>0</v>
      </c>
      <c r="BE70" s="1129">
        <v>0</v>
      </c>
      <c r="BF70" s="1129">
        <v>0</v>
      </c>
      <c r="BG70" s="1129">
        <v>0</v>
      </c>
      <c r="BH70" s="1129">
        <v>1420.4456380952381</v>
      </c>
      <c r="BI70" s="1981"/>
      <c r="BJ70" s="971"/>
      <c r="BK70" s="971"/>
      <c r="BL70" s="1246"/>
      <c r="BM70" s="1247" t="s">
        <v>2123</v>
      </c>
    </row>
    <row r="71" spans="1:65" s="1247" customFormat="1" ht="66" customHeight="1">
      <c r="A71" s="1272">
        <v>2000</v>
      </c>
      <c r="B71" s="971" t="s">
        <v>119</v>
      </c>
      <c r="C71" s="1272">
        <v>2500</v>
      </c>
      <c r="D71" s="971" t="s">
        <v>452</v>
      </c>
      <c r="E71" s="971" t="s">
        <v>604</v>
      </c>
      <c r="F71" s="971" t="s">
        <v>605</v>
      </c>
      <c r="G71" s="971" t="s">
        <v>683</v>
      </c>
      <c r="H71" s="971" t="s">
        <v>684</v>
      </c>
      <c r="I71" s="1273" t="s">
        <v>691</v>
      </c>
      <c r="J71" s="971" t="s">
        <v>686</v>
      </c>
      <c r="K71" s="971" t="s">
        <v>687</v>
      </c>
      <c r="L71" s="971" t="s">
        <v>2915</v>
      </c>
      <c r="M71" s="971" t="s">
        <v>687</v>
      </c>
      <c r="N71" s="971" t="s">
        <v>179</v>
      </c>
      <c r="O71" s="971" t="s">
        <v>688</v>
      </c>
      <c r="P71" s="971"/>
      <c r="Q71" s="971" t="s">
        <v>692</v>
      </c>
      <c r="R71" s="971" t="s">
        <v>693</v>
      </c>
      <c r="S71" s="1274">
        <v>1</v>
      </c>
      <c r="T71" s="971" t="s">
        <v>242</v>
      </c>
      <c r="U71" s="1275">
        <v>2</v>
      </c>
      <c r="V71" s="1275">
        <v>30</v>
      </c>
      <c r="W71" s="1275">
        <v>199.82676190476192</v>
      </c>
      <c r="X71" s="1275">
        <v>300</v>
      </c>
      <c r="Y71" s="1275">
        <v>529.82676190476195</v>
      </c>
      <c r="Z71" s="1129">
        <v>2</v>
      </c>
      <c r="AA71" s="1129">
        <v>30</v>
      </c>
      <c r="AB71" s="1129">
        <v>199.82676190476192</v>
      </c>
      <c r="AC71" s="1129">
        <v>300</v>
      </c>
      <c r="AD71" s="1098">
        <v>529.82676190476195</v>
      </c>
      <c r="AE71" s="1135">
        <v>0.5</v>
      </c>
      <c r="AF71" s="1129">
        <v>0.5</v>
      </c>
      <c r="AG71" s="1127">
        <v>1</v>
      </c>
      <c r="AH71" s="1127">
        <v>0</v>
      </c>
      <c r="AI71" s="1127">
        <v>0</v>
      </c>
      <c r="AJ71" s="1127">
        <v>1</v>
      </c>
      <c r="AK71" s="1129">
        <v>529.82676190476195</v>
      </c>
      <c r="AL71" s="1129">
        <v>0</v>
      </c>
      <c r="AM71" s="1129">
        <v>0</v>
      </c>
      <c r="AN71" s="1129">
        <v>529.82676190476195</v>
      </c>
      <c r="AO71" s="1129" t="s">
        <v>131</v>
      </c>
      <c r="AP71" s="1129" t="s">
        <v>96</v>
      </c>
      <c r="AQ71" s="1157">
        <v>2014</v>
      </c>
      <c r="AR71" s="1129" t="s">
        <v>87</v>
      </c>
      <c r="AS71" s="1127">
        <v>0.33333333333333331</v>
      </c>
      <c r="AT71" s="1127">
        <v>0.33333333333333331</v>
      </c>
      <c r="AU71" s="1127">
        <v>0.33333333333333331</v>
      </c>
      <c r="AV71" s="1127"/>
      <c r="AW71" s="1127"/>
      <c r="AX71" s="1127"/>
      <c r="AY71" s="1127"/>
      <c r="AZ71" s="1127"/>
      <c r="BA71" s="1129">
        <v>176.60892063492065</v>
      </c>
      <c r="BB71" s="1129">
        <v>176.60892063492065</v>
      </c>
      <c r="BC71" s="1129">
        <v>176.60892063492065</v>
      </c>
      <c r="BD71" s="1129">
        <v>0</v>
      </c>
      <c r="BE71" s="1129">
        <v>0</v>
      </c>
      <c r="BF71" s="1129">
        <v>0</v>
      </c>
      <c r="BG71" s="1129">
        <v>0</v>
      </c>
      <c r="BH71" s="1129">
        <v>0</v>
      </c>
      <c r="BI71" s="1981"/>
      <c r="BJ71" s="971"/>
      <c r="BK71" s="971"/>
      <c r="BL71" s="1246"/>
      <c r="BM71" s="1247" t="s">
        <v>687</v>
      </c>
    </row>
    <row r="72" spans="1:65" s="1247" customFormat="1" ht="66" customHeight="1">
      <c r="A72" s="1272">
        <v>2000</v>
      </c>
      <c r="B72" s="971" t="s">
        <v>119</v>
      </c>
      <c r="C72" s="1272">
        <v>2500</v>
      </c>
      <c r="D72" s="971" t="s">
        <v>452</v>
      </c>
      <c r="E72" s="971" t="s">
        <v>604</v>
      </c>
      <c r="F72" s="971" t="s">
        <v>605</v>
      </c>
      <c r="G72" s="971" t="s">
        <v>683</v>
      </c>
      <c r="H72" s="971" t="s">
        <v>684</v>
      </c>
      <c r="I72" s="1273" t="s">
        <v>7293</v>
      </c>
      <c r="J72" s="971" t="s">
        <v>686</v>
      </c>
      <c r="K72" s="971" t="s">
        <v>2123</v>
      </c>
      <c r="L72" s="971" t="s">
        <v>2124</v>
      </c>
      <c r="M72" s="971" t="s">
        <v>2123</v>
      </c>
      <c r="N72" s="971" t="s">
        <v>179</v>
      </c>
      <c r="O72" s="971" t="s">
        <v>2124</v>
      </c>
      <c r="P72" s="971" t="s">
        <v>7266</v>
      </c>
      <c r="Q72" s="971" t="s">
        <v>7294</v>
      </c>
      <c r="R72" s="971" t="s">
        <v>4268</v>
      </c>
      <c r="S72" s="1274">
        <v>1</v>
      </c>
      <c r="T72" s="971" t="s">
        <v>242</v>
      </c>
      <c r="U72" s="1275">
        <v>19.2</v>
      </c>
      <c r="V72" s="1275">
        <v>213</v>
      </c>
      <c r="W72" s="1275">
        <v>1918.3369142857146</v>
      </c>
      <c r="X72" s="1275">
        <v>2130</v>
      </c>
      <c r="Y72" s="1275">
        <v>4261.3369142857146</v>
      </c>
      <c r="Z72" s="1129">
        <v>19.2</v>
      </c>
      <c r="AA72" s="1129">
        <v>213</v>
      </c>
      <c r="AB72" s="1129">
        <v>1918.3369142857146</v>
      </c>
      <c r="AC72" s="1129">
        <v>2130</v>
      </c>
      <c r="AD72" s="1098">
        <v>4261.3369142857146</v>
      </c>
      <c r="AE72" s="1135">
        <v>1</v>
      </c>
      <c r="AF72" s="1129">
        <v>1</v>
      </c>
      <c r="AG72" s="1127">
        <v>1</v>
      </c>
      <c r="AH72" s="1127">
        <v>0</v>
      </c>
      <c r="AI72" s="1127">
        <v>0</v>
      </c>
      <c r="AJ72" s="1127">
        <v>1</v>
      </c>
      <c r="AK72" s="1129">
        <v>4261.3369142857146</v>
      </c>
      <c r="AL72" s="1129">
        <v>0</v>
      </c>
      <c r="AM72" s="1129">
        <v>0</v>
      </c>
      <c r="AN72" s="1129">
        <v>4261.3369142857146</v>
      </c>
      <c r="AO72" s="1129" t="s">
        <v>131</v>
      </c>
      <c r="AP72" s="1129" t="s">
        <v>96</v>
      </c>
      <c r="AQ72" s="1157">
        <v>2014</v>
      </c>
      <c r="AR72" s="1129" t="s">
        <v>87</v>
      </c>
      <c r="AS72" s="1127">
        <v>0.33333333333333331</v>
      </c>
      <c r="AT72" s="1127"/>
      <c r="AU72" s="1127">
        <v>0.33333333333333331</v>
      </c>
      <c r="AV72" s="1127"/>
      <c r="AW72" s="1127"/>
      <c r="AX72" s="1127"/>
      <c r="AY72" s="1127"/>
      <c r="AZ72" s="1127">
        <v>0.33333333333333331</v>
      </c>
      <c r="BA72" s="1129">
        <v>1420.4456380952381</v>
      </c>
      <c r="BB72" s="1129">
        <v>0</v>
      </c>
      <c r="BC72" s="1129">
        <v>1420.4456380952381</v>
      </c>
      <c r="BD72" s="1129">
        <v>0</v>
      </c>
      <c r="BE72" s="1129">
        <v>0</v>
      </c>
      <c r="BF72" s="1129">
        <v>0</v>
      </c>
      <c r="BG72" s="1129">
        <v>0</v>
      </c>
      <c r="BH72" s="1129">
        <v>1420.4456380952381</v>
      </c>
      <c r="BI72" s="1981"/>
      <c r="BJ72" s="971"/>
      <c r="BK72" s="971"/>
      <c r="BL72" s="1246"/>
      <c r="BM72" s="1247" t="s">
        <v>2123</v>
      </c>
    </row>
    <row r="73" spans="1:65" s="1247" customFormat="1" ht="66" customHeight="1">
      <c r="A73" s="1272">
        <v>2000</v>
      </c>
      <c r="B73" s="971" t="s">
        <v>119</v>
      </c>
      <c r="C73" s="1272">
        <v>2500</v>
      </c>
      <c r="D73" s="971" t="s">
        <v>452</v>
      </c>
      <c r="E73" s="971" t="s">
        <v>604</v>
      </c>
      <c r="F73" s="971" t="s">
        <v>605</v>
      </c>
      <c r="G73" s="971" t="s">
        <v>683</v>
      </c>
      <c r="H73" s="971" t="s">
        <v>684</v>
      </c>
      <c r="I73" s="1273" t="s">
        <v>7295</v>
      </c>
      <c r="J73" s="971" t="s">
        <v>686</v>
      </c>
      <c r="K73" s="971" t="s">
        <v>2123</v>
      </c>
      <c r="L73" s="971" t="s">
        <v>2124</v>
      </c>
      <c r="M73" s="971" t="s">
        <v>2123</v>
      </c>
      <c r="N73" s="971" t="s">
        <v>179</v>
      </c>
      <c r="O73" s="971" t="s">
        <v>2124</v>
      </c>
      <c r="P73" s="971" t="s">
        <v>7266</v>
      </c>
      <c r="Q73" s="971" t="s">
        <v>7296</v>
      </c>
      <c r="R73" s="971" t="s">
        <v>4271</v>
      </c>
      <c r="S73" s="1274">
        <v>1</v>
      </c>
      <c r="T73" s="971" t="s">
        <v>242</v>
      </c>
      <c r="U73" s="1275">
        <v>19.2</v>
      </c>
      <c r="V73" s="1275">
        <v>213</v>
      </c>
      <c r="W73" s="1275">
        <v>1918.3369142857146</v>
      </c>
      <c r="X73" s="1275">
        <v>2130</v>
      </c>
      <c r="Y73" s="1275">
        <v>4261.3369142857146</v>
      </c>
      <c r="Z73" s="1129">
        <v>19.2</v>
      </c>
      <c r="AA73" s="1129">
        <v>213</v>
      </c>
      <c r="AB73" s="1129">
        <v>1918.3369142857146</v>
      </c>
      <c r="AC73" s="1129">
        <v>2130</v>
      </c>
      <c r="AD73" s="1098">
        <v>4261.3369142857146</v>
      </c>
      <c r="AE73" s="1135">
        <v>1</v>
      </c>
      <c r="AF73" s="1129">
        <v>1</v>
      </c>
      <c r="AG73" s="1127">
        <v>1</v>
      </c>
      <c r="AH73" s="1127">
        <v>0</v>
      </c>
      <c r="AI73" s="1127">
        <v>0</v>
      </c>
      <c r="AJ73" s="1127">
        <v>1</v>
      </c>
      <c r="AK73" s="1129">
        <v>4261.3369142857146</v>
      </c>
      <c r="AL73" s="1129">
        <v>0</v>
      </c>
      <c r="AM73" s="1129">
        <v>0</v>
      </c>
      <c r="AN73" s="1129">
        <v>4261.3369142857146</v>
      </c>
      <c r="AO73" s="1129" t="s">
        <v>131</v>
      </c>
      <c r="AP73" s="1129" t="s">
        <v>96</v>
      </c>
      <c r="AQ73" s="1157">
        <v>2014</v>
      </c>
      <c r="AR73" s="1129" t="s">
        <v>87</v>
      </c>
      <c r="AS73" s="1127">
        <v>0.33333333333333331</v>
      </c>
      <c r="AT73" s="1127"/>
      <c r="AU73" s="1127">
        <v>0.33333333333333331</v>
      </c>
      <c r="AV73" s="1127"/>
      <c r="AW73" s="1127"/>
      <c r="AX73" s="1127"/>
      <c r="AY73" s="1127"/>
      <c r="AZ73" s="1127">
        <v>0.33333333333333331</v>
      </c>
      <c r="BA73" s="1129">
        <v>1420.4456380952381</v>
      </c>
      <c r="BB73" s="1129">
        <v>0</v>
      </c>
      <c r="BC73" s="1129">
        <v>1420.4456380952381</v>
      </c>
      <c r="BD73" s="1129">
        <v>0</v>
      </c>
      <c r="BE73" s="1129">
        <v>0</v>
      </c>
      <c r="BF73" s="1129">
        <v>0</v>
      </c>
      <c r="BG73" s="1129">
        <v>0</v>
      </c>
      <c r="BH73" s="1129">
        <v>1420.4456380952381</v>
      </c>
      <c r="BI73" s="1981"/>
      <c r="BJ73" s="971"/>
      <c r="BK73" s="971"/>
      <c r="BL73" s="1246"/>
      <c r="BM73" s="1247" t="s">
        <v>2123</v>
      </c>
    </row>
    <row r="74" spans="1:65" s="1247" customFormat="1" ht="66" customHeight="1">
      <c r="A74" s="1272">
        <v>2000</v>
      </c>
      <c r="B74" s="971" t="s">
        <v>119</v>
      </c>
      <c r="C74" s="1272">
        <v>2500</v>
      </c>
      <c r="D74" s="971" t="s">
        <v>452</v>
      </c>
      <c r="E74" s="971" t="s">
        <v>604</v>
      </c>
      <c r="F74" s="971" t="s">
        <v>605</v>
      </c>
      <c r="G74" s="971" t="s">
        <v>683</v>
      </c>
      <c r="H74" s="971" t="s">
        <v>684</v>
      </c>
      <c r="I74" s="1273" t="s">
        <v>7297</v>
      </c>
      <c r="J74" s="971" t="s">
        <v>686</v>
      </c>
      <c r="K74" s="971" t="s">
        <v>2123</v>
      </c>
      <c r="L74" s="971" t="s">
        <v>2124</v>
      </c>
      <c r="M74" s="971" t="s">
        <v>2123</v>
      </c>
      <c r="N74" s="971" t="s">
        <v>179</v>
      </c>
      <c r="O74" s="971" t="s">
        <v>2124</v>
      </c>
      <c r="P74" s="971" t="s">
        <v>7266</v>
      </c>
      <c r="Q74" s="971" t="s">
        <v>7298</v>
      </c>
      <c r="R74" s="971" t="s">
        <v>4275</v>
      </c>
      <c r="S74" s="1274">
        <v>1</v>
      </c>
      <c r="T74" s="971" t="s">
        <v>242</v>
      </c>
      <c r="U74" s="1275">
        <v>19.2</v>
      </c>
      <c r="V74" s="1275">
        <v>213</v>
      </c>
      <c r="W74" s="1275">
        <v>1918.3369142857146</v>
      </c>
      <c r="X74" s="1275">
        <v>2130</v>
      </c>
      <c r="Y74" s="1275">
        <v>4261.3369142857146</v>
      </c>
      <c r="Z74" s="1129">
        <v>19.2</v>
      </c>
      <c r="AA74" s="1129">
        <v>213</v>
      </c>
      <c r="AB74" s="1129">
        <v>1918.3369142857146</v>
      </c>
      <c r="AC74" s="1129">
        <v>2130</v>
      </c>
      <c r="AD74" s="1098">
        <v>4261.3369142857146</v>
      </c>
      <c r="AE74" s="1135">
        <v>1</v>
      </c>
      <c r="AF74" s="1129">
        <v>1</v>
      </c>
      <c r="AG74" s="1127">
        <v>1</v>
      </c>
      <c r="AH74" s="1127">
        <v>0</v>
      </c>
      <c r="AI74" s="1127">
        <v>0</v>
      </c>
      <c r="AJ74" s="1127">
        <v>1</v>
      </c>
      <c r="AK74" s="1129">
        <v>4261.3369142857146</v>
      </c>
      <c r="AL74" s="1129">
        <v>0</v>
      </c>
      <c r="AM74" s="1129">
        <v>0</v>
      </c>
      <c r="AN74" s="1129">
        <v>4261.3369142857146</v>
      </c>
      <c r="AO74" s="1129" t="s">
        <v>131</v>
      </c>
      <c r="AP74" s="1129" t="s">
        <v>96</v>
      </c>
      <c r="AQ74" s="1157">
        <v>2014</v>
      </c>
      <c r="AR74" s="1129" t="s">
        <v>87</v>
      </c>
      <c r="AS74" s="1127">
        <v>0.33333333333333331</v>
      </c>
      <c r="AT74" s="1127"/>
      <c r="AU74" s="1127">
        <v>0.33333333333333331</v>
      </c>
      <c r="AV74" s="1127"/>
      <c r="AW74" s="1127"/>
      <c r="AX74" s="1127"/>
      <c r="AY74" s="1127"/>
      <c r="AZ74" s="1127">
        <v>0.33333333333333331</v>
      </c>
      <c r="BA74" s="1129">
        <v>1420.4456380952381</v>
      </c>
      <c r="BB74" s="1129">
        <v>0</v>
      </c>
      <c r="BC74" s="1129">
        <v>1420.4456380952381</v>
      </c>
      <c r="BD74" s="1129">
        <v>0</v>
      </c>
      <c r="BE74" s="1129">
        <v>0</v>
      </c>
      <c r="BF74" s="1129">
        <v>0</v>
      </c>
      <c r="BG74" s="1129">
        <v>0</v>
      </c>
      <c r="BH74" s="1129">
        <v>1420.4456380952381</v>
      </c>
      <c r="BI74" s="1981"/>
      <c r="BJ74" s="971"/>
      <c r="BK74" s="971"/>
      <c r="BL74" s="1246"/>
      <c r="BM74" s="1247" t="s">
        <v>2123</v>
      </c>
    </row>
    <row r="75" spans="1:65" s="1247" customFormat="1" ht="66" customHeight="1">
      <c r="A75" s="1272">
        <v>2000</v>
      </c>
      <c r="B75" s="971" t="s">
        <v>119</v>
      </c>
      <c r="C75" s="1272">
        <v>2500</v>
      </c>
      <c r="D75" s="971" t="s">
        <v>452</v>
      </c>
      <c r="E75" s="971" t="s">
        <v>604</v>
      </c>
      <c r="F75" s="971" t="s">
        <v>605</v>
      </c>
      <c r="G75" s="971" t="s">
        <v>683</v>
      </c>
      <c r="H75" s="971" t="s">
        <v>684</v>
      </c>
      <c r="I75" s="1273" t="s">
        <v>7299</v>
      </c>
      <c r="J75" s="971" t="s">
        <v>686</v>
      </c>
      <c r="K75" s="971" t="s">
        <v>2123</v>
      </c>
      <c r="L75" s="971" t="s">
        <v>2124</v>
      </c>
      <c r="M75" s="971" t="s">
        <v>2123</v>
      </c>
      <c r="N75" s="971" t="s">
        <v>179</v>
      </c>
      <c r="O75" s="971" t="s">
        <v>2124</v>
      </c>
      <c r="P75" s="971" t="s">
        <v>7266</v>
      </c>
      <c r="Q75" s="971" t="s">
        <v>7300</v>
      </c>
      <c r="R75" s="971" t="s">
        <v>4280</v>
      </c>
      <c r="S75" s="1274">
        <v>1</v>
      </c>
      <c r="T75" s="971" t="s">
        <v>242</v>
      </c>
      <c r="U75" s="1275">
        <v>19.2</v>
      </c>
      <c r="V75" s="1275">
        <v>213</v>
      </c>
      <c r="W75" s="1275">
        <v>1918.3369142857146</v>
      </c>
      <c r="X75" s="1275">
        <v>2130</v>
      </c>
      <c r="Y75" s="1275">
        <v>4261.3369142857146</v>
      </c>
      <c r="Z75" s="1129">
        <v>19.2</v>
      </c>
      <c r="AA75" s="1129">
        <v>213</v>
      </c>
      <c r="AB75" s="1129">
        <v>1918.3369142857146</v>
      </c>
      <c r="AC75" s="1129">
        <v>2130</v>
      </c>
      <c r="AD75" s="1098">
        <v>4261.3369142857146</v>
      </c>
      <c r="AE75" s="1135">
        <v>1</v>
      </c>
      <c r="AF75" s="1129">
        <v>1</v>
      </c>
      <c r="AG75" s="1127">
        <v>1</v>
      </c>
      <c r="AH75" s="1127">
        <v>0</v>
      </c>
      <c r="AI75" s="1127">
        <v>0</v>
      </c>
      <c r="AJ75" s="1127">
        <v>1</v>
      </c>
      <c r="AK75" s="1129">
        <v>4261.3369142857146</v>
      </c>
      <c r="AL75" s="1129">
        <v>0</v>
      </c>
      <c r="AM75" s="1129">
        <v>0</v>
      </c>
      <c r="AN75" s="1129">
        <v>4261.3369142857146</v>
      </c>
      <c r="AO75" s="1129" t="s">
        <v>131</v>
      </c>
      <c r="AP75" s="1129" t="s">
        <v>96</v>
      </c>
      <c r="AQ75" s="1157">
        <v>2014</v>
      </c>
      <c r="AR75" s="1129" t="s">
        <v>87</v>
      </c>
      <c r="AS75" s="1127">
        <v>0.33333333333333331</v>
      </c>
      <c r="AT75" s="1127"/>
      <c r="AU75" s="1127">
        <v>0.33333333333333331</v>
      </c>
      <c r="AV75" s="1127"/>
      <c r="AW75" s="1127"/>
      <c r="AX75" s="1127"/>
      <c r="AY75" s="1127"/>
      <c r="AZ75" s="1127">
        <v>0.33333333333333331</v>
      </c>
      <c r="BA75" s="1129">
        <v>1420.4456380952381</v>
      </c>
      <c r="BB75" s="1129">
        <v>0</v>
      </c>
      <c r="BC75" s="1129">
        <v>1420.4456380952381</v>
      </c>
      <c r="BD75" s="1129">
        <v>0</v>
      </c>
      <c r="BE75" s="1129">
        <v>0</v>
      </c>
      <c r="BF75" s="1129">
        <v>0</v>
      </c>
      <c r="BG75" s="1129">
        <v>0</v>
      </c>
      <c r="BH75" s="1129">
        <v>1420.4456380952381</v>
      </c>
      <c r="BI75" s="1981"/>
      <c r="BJ75" s="971"/>
      <c r="BK75" s="971"/>
      <c r="BL75" s="1246"/>
      <c r="BM75" s="1247" t="s">
        <v>2123</v>
      </c>
    </row>
    <row r="76" spans="1:65" s="1247" customFormat="1" ht="66" customHeight="1">
      <c r="A76" s="1272">
        <v>2000</v>
      </c>
      <c r="B76" s="971" t="s">
        <v>119</v>
      </c>
      <c r="C76" s="1272">
        <v>2500</v>
      </c>
      <c r="D76" s="971" t="s">
        <v>452</v>
      </c>
      <c r="E76" s="971" t="s">
        <v>604</v>
      </c>
      <c r="F76" s="971" t="s">
        <v>605</v>
      </c>
      <c r="G76" s="971" t="s">
        <v>683</v>
      </c>
      <c r="H76" s="971" t="s">
        <v>684</v>
      </c>
      <c r="I76" s="1273" t="s">
        <v>7301</v>
      </c>
      <c r="J76" s="971" t="s">
        <v>686</v>
      </c>
      <c r="K76" s="971" t="s">
        <v>2123</v>
      </c>
      <c r="L76" s="971" t="s">
        <v>2124</v>
      </c>
      <c r="M76" s="971" t="s">
        <v>2123</v>
      </c>
      <c r="N76" s="971" t="s">
        <v>179</v>
      </c>
      <c r="O76" s="971" t="s">
        <v>2124</v>
      </c>
      <c r="P76" s="971"/>
      <c r="Q76" s="971" t="s">
        <v>7283</v>
      </c>
      <c r="R76" s="971" t="s">
        <v>4283</v>
      </c>
      <c r="S76" s="1274">
        <v>1</v>
      </c>
      <c r="T76" s="971" t="s">
        <v>242</v>
      </c>
      <c r="U76" s="1275">
        <v>19.2</v>
      </c>
      <c r="V76" s="1275">
        <v>213</v>
      </c>
      <c r="W76" s="1275">
        <v>1918.3369142857146</v>
      </c>
      <c r="X76" s="1275">
        <v>2130</v>
      </c>
      <c r="Y76" s="1275">
        <v>4261.3369142857146</v>
      </c>
      <c r="Z76" s="1129">
        <v>19.2</v>
      </c>
      <c r="AA76" s="1129">
        <v>213</v>
      </c>
      <c r="AB76" s="1129">
        <v>1918.3369142857146</v>
      </c>
      <c r="AC76" s="1129">
        <v>2130</v>
      </c>
      <c r="AD76" s="1098">
        <v>4261.3369142857146</v>
      </c>
      <c r="AE76" s="1135">
        <v>1</v>
      </c>
      <c r="AF76" s="1129">
        <v>1</v>
      </c>
      <c r="AG76" s="1127">
        <v>1</v>
      </c>
      <c r="AH76" s="1127">
        <v>0</v>
      </c>
      <c r="AI76" s="1127">
        <v>0</v>
      </c>
      <c r="AJ76" s="1127">
        <v>1</v>
      </c>
      <c r="AK76" s="1129">
        <v>4261.3369142857146</v>
      </c>
      <c r="AL76" s="1129">
        <v>0</v>
      </c>
      <c r="AM76" s="1129">
        <v>0</v>
      </c>
      <c r="AN76" s="1129">
        <v>4261.3369142857146</v>
      </c>
      <c r="AO76" s="1129" t="s">
        <v>131</v>
      </c>
      <c r="AP76" s="1129" t="s">
        <v>96</v>
      </c>
      <c r="AQ76" s="1157">
        <v>2014</v>
      </c>
      <c r="AR76" s="1129" t="s">
        <v>87</v>
      </c>
      <c r="AS76" s="1127">
        <v>0.33333333333333331</v>
      </c>
      <c r="AT76" s="1127"/>
      <c r="AU76" s="1127">
        <v>0.33333333333333331</v>
      </c>
      <c r="AV76" s="1127"/>
      <c r="AW76" s="1127"/>
      <c r="AX76" s="1127"/>
      <c r="AY76" s="1127"/>
      <c r="AZ76" s="1127">
        <v>0.33333333333333331</v>
      </c>
      <c r="BA76" s="1129">
        <v>1420.4456380952381</v>
      </c>
      <c r="BB76" s="1129">
        <v>0</v>
      </c>
      <c r="BC76" s="1129">
        <v>1420.4456380952381</v>
      </c>
      <c r="BD76" s="1129">
        <v>0</v>
      </c>
      <c r="BE76" s="1129">
        <v>0</v>
      </c>
      <c r="BF76" s="1129">
        <v>0</v>
      </c>
      <c r="BG76" s="1129">
        <v>0</v>
      </c>
      <c r="BH76" s="1129">
        <v>1420.4456380952381</v>
      </c>
      <c r="BI76" s="1981"/>
      <c r="BJ76" s="971"/>
      <c r="BK76" s="971"/>
      <c r="BL76" s="1246"/>
      <c r="BM76" s="1247" t="s">
        <v>2123</v>
      </c>
    </row>
    <row r="77" spans="1:65" s="1247" customFormat="1" ht="66" customHeight="1">
      <c r="A77" s="1272">
        <v>2000</v>
      </c>
      <c r="B77" s="971" t="s">
        <v>119</v>
      </c>
      <c r="C77" s="1272">
        <v>2500</v>
      </c>
      <c r="D77" s="971" t="s">
        <v>452</v>
      </c>
      <c r="E77" s="971" t="s">
        <v>604</v>
      </c>
      <c r="F77" s="971" t="s">
        <v>605</v>
      </c>
      <c r="G77" s="971" t="s">
        <v>683</v>
      </c>
      <c r="H77" s="971" t="s">
        <v>684</v>
      </c>
      <c r="I77" s="1273" t="s">
        <v>7302</v>
      </c>
      <c r="J77" s="971" t="s">
        <v>686</v>
      </c>
      <c r="K77" s="971" t="s">
        <v>2123</v>
      </c>
      <c r="L77" s="971" t="s">
        <v>2124</v>
      </c>
      <c r="M77" s="971" t="s">
        <v>2123</v>
      </c>
      <c r="N77" s="971" t="s">
        <v>179</v>
      </c>
      <c r="O77" s="971" t="s">
        <v>2124</v>
      </c>
      <c r="P77" s="971"/>
      <c r="Q77" s="971" t="s">
        <v>7291</v>
      </c>
      <c r="R77" s="971" t="s">
        <v>4284</v>
      </c>
      <c r="S77" s="1274">
        <v>1</v>
      </c>
      <c r="T77" s="971" t="s">
        <v>242</v>
      </c>
      <c r="U77" s="1275">
        <v>19.2</v>
      </c>
      <c r="V77" s="1275">
        <v>213</v>
      </c>
      <c r="W77" s="1275">
        <v>1918.3369142857146</v>
      </c>
      <c r="X77" s="1275">
        <v>2130</v>
      </c>
      <c r="Y77" s="1275">
        <v>4261.3369142857146</v>
      </c>
      <c r="Z77" s="1129">
        <v>19.2</v>
      </c>
      <c r="AA77" s="1129">
        <v>213</v>
      </c>
      <c r="AB77" s="1129">
        <v>1918.3369142857146</v>
      </c>
      <c r="AC77" s="1129">
        <v>2130</v>
      </c>
      <c r="AD77" s="1098">
        <v>4261.3369142857146</v>
      </c>
      <c r="AE77" s="1135">
        <v>1</v>
      </c>
      <c r="AF77" s="1129">
        <v>1</v>
      </c>
      <c r="AG77" s="1127">
        <v>1</v>
      </c>
      <c r="AH77" s="1127">
        <v>0</v>
      </c>
      <c r="AI77" s="1127">
        <v>0</v>
      </c>
      <c r="AJ77" s="1127">
        <v>1</v>
      </c>
      <c r="AK77" s="1129">
        <v>4261.3369142857146</v>
      </c>
      <c r="AL77" s="1129">
        <v>0</v>
      </c>
      <c r="AM77" s="1129">
        <v>0</v>
      </c>
      <c r="AN77" s="1129">
        <v>4261.3369142857146</v>
      </c>
      <c r="AO77" s="1129" t="s">
        <v>131</v>
      </c>
      <c r="AP77" s="1129" t="s">
        <v>96</v>
      </c>
      <c r="AQ77" s="1157">
        <v>2014</v>
      </c>
      <c r="AR77" s="1129" t="s">
        <v>87</v>
      </c>
      <c r="AS77" s="1127">
        <v>0.33333333333333331</v>
      </c>
      <c r="AT77" s="1127"/>
      <c r="AU77" s="1127">
        <v>0.33333333333333331</v>
      </c>
      <c r="AV77" s="1127"/>
      <c r="AW77" s="1127"/>
      <c r="AX77" s="1127"/>
      <c r="AY77" s="1127"/>
      <c r="AZ77" s="1127">
        <v>0.33333333333333331</v>
      </c>
      <c r="BA77" s="1129">
        <v>1420.4456380952381</v>
      </c>
      <c r="BB77" s="1129">
        <v>0</v>
      </c>
      <c r="BC77" s="1129">
        <v>1420.4456380952381</v>
      </c>
      <c r="BD77" s="1129">
        <v>0</v>
      </c>
      <c r="BE77" s="1129">
        <v>0</v>
      </c>
      <c r="BF77" s="1129">
        <v>0</v>
      </c>
      <c r="BG77" s="1129">
        <v>0</v>
      </c>
      <c r="BH77" s="1129">
        <v>1420.4456380952381</v>
      </c>
      <c r="BI77" s="1981"/>
      <c r="BJ77" s="971"/>
      <c r="BK77" s="971"/>
      <c r="BL77" s="1246"/>
      <c r="BM77" s="1247" t="s">
        <v>2123</v>
      </c>
    </row>
    <row r="78" spans="1:65" s="1247" customFormat="1" ht="66" customHeight="1">
      <c r="A78" s="1272">
        <v>2000</v>
      </c>
      <c r="B78" s="971" t="s">
        <v>119</v>
      </c>
      <c r="C78" s="1272">
        <v>2500</v>
      </c>
      <c r="D78" s="971" t="s">
        <v>452</v>
      </c>
      <c r="E78" s="971" t="s">
        <v>604</v>
      </c>
      <c r="F78" s="971" t="s">
        <v>605</v>
      </c>
      <c r="G78" s="971" t="s">
        <v>683</v>
      </c>
      <c r="H78" s="971" t="s">
        <v>684</v>
      </c>
      <c r="I78" s="1273" t="s">
        <v>694</v>
      </c>
      <c r="J78" s="971" t="s">
        <v>686</v>
      </c>
      <c r="K78" s="971" t="s">
        <v>687</v>
      </c>
      <c r="L78" s="971" t="s">
        <v>2915</v>
      </c>
      <c r="M78" s="971" t="s">
        <v>687</v>
      </c>
      <c r="N78" s="971" t="s">
        <v>179</v>
      </c>
      <c r="O78" s="971" t="s">
        <v>688</v>
      </c>
      <c r="P78" s="971"/>
      <c r="Q78" s="971" t="s">
        <v>695</v>
      </c>
      <c r="R78" s="971" t="s">
        <v>696</v>
      </c>
      <c r="S78" s="1274">
        <v>1</v>
      </c>
      <c r="T78" s="971" t="s">
        <v>242</v>
      </c>
      <c r="U78" s="1275">
        <v>2</v>
      </c>
      <c r="V78" s="1275">
        <v>30</v>
      </c>
      <c r="W78" s="1275">
        <v>199.82676190476192</v>
      </c>
      <c r="X78" s="1275">
        <v>300</v>
      </c>
      <c r="Y78" s="1275">
        <v>529.82676190476195</v>
      </c>
      <c r="Z78" s="1129">
        <v>2</v>
      </c>
      <c r="AA78" s="1129">
        <v>30</v>
      </c>
      <c r="AB78" s="1129">
        <v>199.82676190476192</v>
      </c>
      <c r="AC78" s="1129">
        <v>300</v>
      </c>
      <c r="AD78" s="1098">
        <v>529.82676190476195</v>
      </c>
      <c r="AE78" s="1135">
        <v>0.5</v>
      </c>
      <c r="AF78" s="1129">
        <v>0.5</v>
      </c>
      <c r="AG78" s="1127">
        <v>1</v>
      </c>
      <c r="AH78" s="1127">
        <v>0</v>
      </c>
      <c r="AI78" s="1127">
        <v>0</v>
      </c>
      <c r="AJ78" s="1127">
        <v>1</v>
      </c>
      <c r="AK78" s="1129">
        <v>529.82676190476195</v>
      </c>
      <c r="AL78" s="1129">
        <v>0</v>
      </c>
      <c r="AM78" s="1129">
        <v>0</v>
      </c>
      <c r="AN78" s="1129">
        <v>529.82676190476195</v>
      </c>
      <c r="AO78" s="1129" t="s">
        <v>131</v>
      </c>
      <c r="AP78" s="1129" t="s">
        <v>96</v>
      </c>
      <c r="AQ78" s="1157">
        <v>2014</v>
      </c>
      <c r="AR78" s="1129" t="s">
        <v>87</v>
      </c>
      <c r="AS78" s="1127">
        <v>0.33333333333333331</v>
      </c>
      <c r="AT78" s="1127">
        <v>0.33333333333333331</v>
      </c>
      <c r="AU78" s="1127">
        <v>0.33333333333333331</v>
      </c>
      <c r="AV78" s="1127"/>
      <c r="AW78" s="1127"/>
      <c r="AX78" s="1127"/>
      <c r="AY78" s="1127"/>
      <c r="AZ78" s="1127"/>
      <c r="BA78" s="1129">
        <v>176.60892063492065</v>
      </c>
      <c r="BB78" s="1129">
        <v>176.60892063492065</v>
      </c>
      <c r="BC78" s="1129">
        <v>176.60892063492065</v>
      </c>
      <c r="BD78" s="1129">
        <v>0</v>
      </c>
      <c r="BE78" s="1129">
        <v>0</v>
      </c>
      <c r="BF78" s="1129">
        <v>0</v>
      </c>
      <c r="BG78" s="1129">
        <v>0</v>
      </c>
      <c r="BH78" s="1129">
        <v>0</v>
      </c>
      <c r="BI78" s="1981"/>
      <c r="BJ78" s="971"/>
      <c r="BK78" s="971"/>
      <c r="BL78" s="1246"/>
      <c r="BM78" s="1247" t="s">
        <v>687</v>
      </c>
    </row>
    <row r="79" spans="1:65" s="1247" customFormat="1" ht="66" customHeight="1">
      <c r="A79" s="1272">
        <v>2000</v>
      </c>
      <c r="B79" s="971" t="s">
        <v>119</v>
      </c>
      <c r="C79" s="1272">
        <v>2500</v>
      </c>
      <c r="D79" s="971" t="s">
        <v>452</v>
      </c>
      <c r="E79" s="971" t="s">
        <v>604</v>
      </c>
      <c r="F79" s="971" t="s">
        <v>605</v>
      </c>
      <c r="G79" s="971" t="s">
        <v>683</v>
      </c>
      <c r="H79" s="971" t="s">
        <v>684</v>
      </c>
      <c r="I79" s="1273" t="s">
        <v>697</v>
      </c>
      <c r="J79" s="971" t="s">
        <v>686</v>
      </c>
      <c r="K79" s="971" t="s">
        <v>687</v>
      </c>
      <c r="L79" s="971" t="s">
        <v>2915</v>
      </c>
      <c r="M79" s="971" t="s">
        <v>687</v>
      </c>
      <c r="N79" s="971" t="s">
        <v>179</v>
      </c>
      <c r="O79" s="971" t="s">
        <v>688</v>
      </c>
      <c r="P79" s="971"/>
      <c r="Q79" s="971" t="s">
        <v>698</v>
      </c>
      <c r="R79" s="971" t="s">
        <v>699</v>
      </c>
      <c r="S79" s="1274">
        <v>1</v>
      </c>
      <c r="T79" s="971" t="s">
        <v>242</v>
      </c>
      <c r="U79" s="1275">
        <v>2</v>
      </c>
      <c r="V79" s="1275">
        <v>30</v>
      </c>
      <c r="W79" s="1275">
        <v>199.82676190476192</v>
      </c>
      <c r="X79" s="1275">
        <v>300</v>
      </c>
      <c r="Y79" s="1275">
        <v>529.82676190476195</v>
      </c>
      <c r="Z79" s="1129">
        <v>2</v>
      </c>
      <c r="AA79" s="1129">
        <v>30</v>
      </c>
      <c r="AB79" s="1129">
        <v>199.82676190476192</v>
      </c>
      <c r="AC79" s="1129">
        <v>300</v>
      </c>
      <c r="AD79" s="1098">
        <v>529.82676190476195</v>
      </c>
      <c r="AE79" s="1135">
        <v>0.5</v>
      </c>
      <c r="AF79" s="1129">
        <v>0.5</v>
      </c>
      <c r="AG79" s="1127">
        <v>1</v>
      </c>
      <c r="AH79" s="1127">
        <v>0</v>
      </c>
      <c r="AI79" s="1127">
        <v>0</v>
      </c>
      <c r="AJ79" s="1127">
        <v>1</v>
      </c>
      <c r="AK79" s="1129">
        <v>529.82676190476195</v>
      </c>
      <c r="AL79" s="1129">
        <v>0</v>
      </c>
      <c r="AM79" s="1129">
        <v>0</v>
      </c>
      <c r="AN79" s="1129">
        <v>529.82676190476195</v>
      </c>
      <c r="AO79" s="1129" t="s">
        <v>131</v>
      </c>
      <c r="AP79" s="1129" t="s">
        <v>96</v>
      </c>
      <c r="AQ79" s="1157">
        <v>2014</v>
      </c>
      <c r="AR79" s="1129" t="s">
        <v>87</v>
      </c>
      <c r="AS79" s="1127">
        <v>0.33333333333333331</v>
      </c>
      <c r="AT79" s="1127">
        <v>0.33333333333333331</v>
      </c>
      <c r="AU79" s="1127">
        <v>0.33333333333333331</v>
      </c>
      <c r="AV79" s="1127"/>
      <c r="AW79" s="1127"/>
      <c r="AX79" s="1127"/>
      <c r="AY79" s="1127"/>
      <c r="AZ79" s="1127"/>
      <c r="BA79" s="1129">
        <v>176.60892063492065</v>
      </c>
      <c r="BB79" s="1129">
        <v>176.60892063492065</v>
      </c>
      <c r="BC79" s="1129">
        <v>176.60892063492065</v>
      </c>
      <c r="BD79" s="1129">
        <v>0</v>
      </c>
      <c r="BE79" s="1129">
        <v>0</v>
      </c>
      <c r="BF79" s="1129">
        <v>0</v>
      </c>
      <c r="BG79" s="1129">
        <v>0</v>
      </c>
      <c r="BH79" s="1129">
        <v>0</v>
      </c>
      <c r="BI79" s="1981"/>
      <c r="BJ79" s="971"/>
      <c r="BK79" s="971"/>
      <c r="BL79" s="1246"/>
      <c r="BM79" s="1247" t="s">
        <v>687</v>
      </c>
    </row>
    <row r="80" spans="1:65" s="1247" customFormat="1" ht="66" customHeight="1">
      <c r="A80" s="1272">
        <v>2000</v>
      </c>
      <c r="B80" s="971" t="s">
        <v>119</v>
      </c>
      <c r="C80" s="1272">
        <v>2500</v>
      </c>
      <c r="D80" s="971" t="s">
        <v>452</v>
      </c>
      <c r="E80" s="971" t="s">
        <v>604</v>
      </c>
      <c r="F80" s="971" t="s">
        <v>605</v>
      </c>
      <c r="G80" s="971" t="s">
        <v>683</v>
      </c>
      <c r="H80" s="971" t="s">
        <v>684</v>
      </c>
      <c r="I80" s="1273" t="s">
        <v>7303</v>
      </c>
      <c r="J80" s="971" t="s">
        <v>686</v>
      </c>
      <c r="K80" s="971" t="s">
        <v>2123</v>
      </c>
      <c r="L80" s="971" t="s">
        <v>2124</v>
      </c>
      <c r="M80" s="971" t="s">
        <v>2123</v>
      </c>
      <c r="N80" s="971" t="s">
        <v>179</v>
      </c>
      <c r="O80" s="971" t="s">
        <v>2124</v>
      </c>
      <c r="P80" s="971" t="s">
        <v>7266</v>
      </c>
      <c r="Q80" s="971" t="s">
        <v>7304</v>
      </c>
      <c r="R80" s="971" t="s">
        <v>4291</v>
      </c>
      <c r="S80" s="1274">
        <v>1</v>
      </c>
      <c r="T80" s="971" t="s">
        <v>242</v>
      </c>
      <c r="U80" s="1275">
        <v>19.2</v>
      </c>
      <c r="V80" s="1275">
        <v>213</v>
      </c>
      <c r="W80" s="1275">
        <v>1918.3369142857146</v>
      </c>
      <c r="X80" s="1275">
        <v>2130</v>
      </c>
      <c r="Y80" s="1275">
        <v>4261.3369142857146</v>
      </c>
      <c r="Z80" s="1129">
        <v>19.2</v>
      </c>
      <c r="AA80" s="1129">
        <v>213</v>
      </c>
      <c r="AB80" s="1129">
        <v>1918.3369142857146</v>
      </c>
      <c r="AC80" s="1129">
        <v>2130</v>
      </c>
      <c r="AD80" s="1098">
        <v>4261.3369142857146</v>
      </c>
      <c r="AE80" s="1135">
        <v>1</v>
      </c>
      <c r="AF80" s="1129">
        <v>1</v>
      </c>
      <c r="AG80" s="1127">
        <v>1</v>
      </c>
      <c r="AH80" s="1127">
        <v>0</v>
      </c>
      <c r="AI80" s="1127">
        <v>0</v>
      </c>
      <c r="AJ80" s="1127">
        <v>1</v>
      </c>
      <c r="AK80" s="1129">
        <v>4261.3369142857146</v>
      </c>
      <c r="AL80" s="1129">
        <v>0</v>
      </c>
      <c r="AM80" s="1129">
        <v>0</v>
      </c>
      <c r="AN80" s="1129">
        <v>4261.3369142857146</v>
      </c>
      <c r="AO80" s="1129" t="s">
        <v>131</v>
      </c>
      <c r="AP80" s="1129" t="s">
        <v>96</v>
      </c>
      <c r="AQ80" s="1157">
        <v>2014</v>
      </c>
      <c r="AR80" s="1129" t="s">
        <v>87</v>
      </c>
      <c r="AS80" s="1127">
        <v>0.33333333333333331</v>
      </c>
      <c r="AT80" s="1127"/>
      <c r="AU80" s="1127">
        <v>0.33333333333333331</v>
      </c>
      <c r="AV80" s="1127"/>
      <c r="AW80" s="1127"/>
      <c r="AX80" s="1127"/>
      <c r="AY80" s="1127"/>
      <c r="AZ80" s="1127">
        <v>0.33333333333333331</v>
      </c>
      <c r="BA80" s="1129">
        <v>1420.4456380952381</v>
      </c>
      <c r="BB80" s="1129">
        <v>0</v>
      </c>
      <c r="BC80" s="1129">
        <v>1420.4456380952381</v>
      </c>
      <c r="BD80" s="1129">
        <v>0</v>
      </c>
      <c r="BE80" s="1129">
        <v>0</v>
      </c>
      <c r="BF80" s="1129">
        <v>0</v>
      </c>
      <c r="BG80" s="1129">
        <v>0</v>
      </c>
      <c r="BH80" s="1129">
        <v>1420.4456380952381</v>
      </c>
      <c r="BI80" s="1981"/>
      <c r="BJ80" s="971"/>
      <c r="BK80" s="971"/>
      <c r="BL80" s="1246"/>
      <c r="BM80" s="1247" t="s">
        <v>2123</v>
      </c>
    </row>
    <row r="81" spans="1:65" s="1247" customFormat="1" ht="66" customHeight="1">
      <c r="A81" s="1272">
        <v>2000</v>
      </c>
      <c r="B81" s="971" t="s">
        <v>119</v>
      </c>
      <c r="C81" s="1272">
        <v>2500</v>
      </c>
      <c r="D81" s="971" t="s">
        <v>452</v>
      </c>
      <c r="E81" s="971" t="s">
        <v>604</v>
      </c>
      <c r="F81" s="971" t="s">
        <v>605</v>
      </c>
      <c r="G81" s="971" t="s">
        <v>683</v>
      </c>
      <c r="H81" s="971" t="s">
        <v>684</v>
      </c>
      <c r="I81" s="1273" t="s">
        <v>7305</v>
      </c>
      <c r="J81" s="971" t="s">
        <v>686</v>
      </c>
      <c r="K81" s="971" t="s">
        <v>2123</v>
      </c>
      <c r="L81" s="971" t="s">
        <v>2124</v>
      </c>
      <c r="M81" s="971" t="s">
        <v>2123</v>
      </c>
      <c r="N81" s="971" t="s">
        <v>179</v>
      </c>
      <c r="O81" s="971" t="s">
        <v>2124</v>
      </c>
      <c r="P81" s="971" t="s">
        <v>7266</v>
      </c>
      <c r="Q81" s="971" t="s">
        <v>7306</v>
      </c>
      <c r="R81" s="971" t="s">
        <v>4296</v>
      </c>
      <c r="S81" s="1274">
        <v>1</v>
      </c>
      <c r="T81" s="971" t="s">
        <v>242</v>
      </c>
      <c r="U81" s="1275">
        <v>19.2</v>
      </c>
      <c r="V81" s="1275">
        <v>213</v>
      </c>
      <c r="W81" s="1275">
        <v>1918.3369142857146</v>
      </c>
      <c r="X81" s="1275">
        <v>2130</v>
      </c>
      <c r="Y81" s="1275">
        <v>4261.3369142857146</v>
      </c>
      <c r="Z81" s="1129">
        <v>19.2</v>
      </c>
      <c r="AA81" s="1129">
        <v>213</v>
      </c>
      <c r="AB81" s="1129">
        <v>1918.3369142857146</v>
      </c>
      <c r="AC81" s="1129">
        <v>2130</v>
      </c>
      <c r="AD81" s="1098">
        <v>4261.3369142857146</v>
      </c>
      <c r="AE81" s="1135">
        <v>1</v>
      </c>
      <c r="AF81" s="1129">
        <v>1</v>
      </c>
      <c r="AG81" s="1127">
        <v>1</v>
      </c>
      <c r="AH81" s="1127">
        <v>0</v>
      </c>
      <c r="AI81" s="1127">
        <v>0</v>
      </c>
      <c r="AJ81" s="1127">
        <v>1</v>
      </c>
      <c r="AK81" s="1129">
        <v>4261.3369142857146</v>
      </c>
      <c r="AL81" s="1129">
        <v>0</v>
      </c>
      <c r="AM81" s="1129">
        <v>0</v>
      </c>
      <c r="AN81" s="1129">
        <v>4261.3369142857146</v>
      </c>
      <c r="AO81" s="1129" t="s">
        <v>131</v>
      </c>
      <c r="AP81" s="1129" t="s">
        <v>96</v>
      </c>
      <c r="AQ81" s="1157">
        <v>2014</v>
      </c>
      <c r="AR81" s="1129" t="s">
        <v>87</v>
      </c>
      <c r="AS81" s="1127">
        <v>0.33333333333333331</v>
      </c>
      <c r="AT81" s="1127"/>
      <c r="AU81" s="1127">
        <v>0.33333333333333331</v>
      </c>
      <c r="AV81" s="1127"/>
      <c r="AW81" s="1127"/>
      <c r="AX81" s="1127"/>
      <c r="AY81" s="1127"/>
      <c r="AZ81" s="1127">
        <v>0.33333333333333331</v>
      </c>
      <c r="BA81" s="1129">
        <v>1420.4456380952381</v>
      </c>
      <c r="BB81" s="1129">
        <v>0</v>
      </c>
      <c r="BC81" s="1129">
        <v>1420.4456380952381</v>
      </c>
      <c r="BD81" s="1129">
        <v>0</v>
      </c>
      <c r="BE81" s="1129">
        <v>0</v>
      </c>
      <c r="BF81" s="1129">
        <v>0</v>
      </c>
      <c r="BG81" s="1129">
        <v>0</v>
      </c>
      <c r="BH81" s="1129">
        <v>1420.4456380952381</v>
      </c>
      <c r="BI81" s="1981"/>
      <c r="BJ81" s="971"/>
      <c r="BK81" s="971"/>
      <c r="BL81" s="1246"/>
      <c r="BM81" s="1247" t="s">
        <v>2123</v>
      </c>
    </row>
    <row r="82" spans="1:65" s="1247" customFormat="1" ht="66" customHeight="1">
      <c r="A82" s="1272">
        <v>2000</v>
      </c>
      <c r="B82" s="971" t="s">
        <v>119</v>
      </c>
      <c r="C82" s="1272">
        <v>2500</v>
      </c>
      <c r="D82" s="971" t="s">
        <v>452</v>
      </c>
      <c r="E82" s="971" t="s">
        <v>604</v>
      </c>
      <c r="F82" s="971" t="s">
        <v>605</v>
      </c>
      <c r="G82" s="971" t="s">
        <v>683</v>
      </c>
      <c r="H82" s="971" t="s">
        <v>684</v>
      </c>
      <c r="I82" s="1273" t="s">
        <v>2137</v>
      </c>
      <c r="J82" s="971" t="s">
        <v>239</v>
      </c>
      <c r="K82" s="971" t="s">
        <v>1768</v>
      </c>
      <c r="L82" s="971" t="s">
        <v>3420</v>
      </c>
      <c r="M82" s="971" t="s">
        <v>1768</v>
      </c>
      <c r="N82" s="971" t="s">
        <v>179</v>
      </c>
      <c r="O82" s="971" t="s">
        <v>1769</v>
      </c>
      <c r="P82" s="971" t="s">
        <v>7307</v>
      </c>
      <c r="Q82" s="971" t="s">
        <v>7308</v>
      </c>
      <c r="R82" s="971" t="s">
        <v>4302</v>
      </c>
      <c r="S82" s="1274">
        <v>1</v>
      </c>
      <c r="T82" s="971" t="s">
        <v>242</v>
      </c>
      <c r="U82" s="1275">
        <v>8.1</v>
      </c>
      <c r="V82" s="1275">
        <v>106.5</v>
      </c>
      <c r="W82" s="1275">
        <v>809.29838571428581</v>
      </c>
      <c r="X82" s="1275">
        <v>1065</v>
      </c>
      <c r="Y82" s="1275">
        <v>1980.7983857142858</v>
      </c>
      <c r="Z82" s="1129">
        <v>8.1</v>
      </c>
      <c r="AA82" s="1129">
        <v>106.5</v>
      </c>
      <c r="AB82" s="1129">
        <v>809.29838571428581</v>
      </c>
      <c r="AC82" s="1129">
        <v>1065</v>
      </c>
      <c r="AD82" s="1098">
        <v>1980.7983857142858</v>
      </c>
      <c r="AE82" s="1135">
        <v>0.5</v>
      </c>
      <c r="AF82" s="1129">
        <v>0.5</v>
      </c>
      <c r="AG82" s="1127">
        <v>1</v>
      </c>
      <c r="AH82" s="1127">
        <v>0</v>
      </c>
      <c r="AI82" s="1127">
        <v>0</v>
      </c>
      <c r="AJ82" s="1127">
        <v>1</v>
      </c>
      <c r="AK82" s="1129">
        <v>1980.7983857142858</v>
      </c>
      <c r="AL82" s="1129">
        <v>0</v>
      </c>
      <c r="AM82" s="1129">
        <v>0</v>
      </c>
      <c r="AN82" s="1129">
        <v>1980.7983857142858</v>
      </c>
      <c r="AO82" s="1129" t="s">
        <v>131</v>
      </c>
      <c r="AP82" s="1129" t="s">
        <v>96</v>
      </c>
      <c r="AQ82" s="1157">
        <v>2014</v>
      </c>
      <c r="AR82" s="1129" t="s">
        <v>87</v>
      </c>
      <c r="AS82" s="1127">
        <v>0.33333333333333331</v>
      </c>
      <c r="AT82" s="1127"/>
      <c r="AU82" s="1127">
        <v>0.33333333333333331</v>
      </c>
      <c r="AV82" s="1127"/>
      <c r="AW82" s="1127"/>
      <c r="AX82" s="1127"/>
      <c r="AY82" s="1127"/>
      <c r="AZ82" s="1127">
        <v>0.33333333333333331</v>
      </c>
      <c r="BA82" s="1129">
        <v>660.26612857142857</v>
      </c>
      <c r="BB82" s="1129">
        <v>0</v>
      </c>
      <c r="BC82" s="1129">
        <v>660.26612857142857</v>
      </c>
      <c r="BD82" s="1129">
        <v>0</v>
      </c>
      <c r="BE82" s="1129">
        <v>0</v>
      </c>
      <c r="BF82" s="1129">
        <v>0</v>
      </c>
      <c r="BG82" s="1129">
        <v>0</v>
      </c>
      <c r="BH82" s="1129">
        <v>660.26612857142857</v>
      </c>
      <c r="BI82" s="1981"/>
      <c r="BJ82" s="971"/>
      <c r="BK82" s="971"/>
      <c r="BL82" s="1246"/>
      <c r="BM82" s="1247" t="s">
        <v>1768</v>
      </c>
    </row>
    <row r="83" spans="1:65" s="1247" customFormat="1" ht="66" customHeight="1">
      <c r="A83" s="1272">
        <v>2000</v>
      </c>
      <c r="B83" s="971" t="s">
        <v>119</v>
      </c>
      <c r="C83" s="1272">
        <v>2500</v>
      </c>
      <c r="D83" s="971" t="s">
        <v>452</v>
      </c>
      <c r="E83" s="971" t="s">
        <v>604</v>
      </c>
      <c r="F83" s="971" t="s">
        <v>605</v>
      </c>
      <c r="G83" s="971" t="s">
        <v>683</v>
      </c>
      <c r="H83" s="971" t="s">
        <v>684</v>
      </c>
      <c r="I83" s="1273" t="s">
        <v>7309</v>
      </c>
      <c r="J83" s="971" t="s">
        <v>686</v>
      </c>
      <c r="K83" s="971" t="s">
        <v>2123</v>
      </c>
      <c r="L83" s="971" t="s">
        <v>2124</v>
      </c>
      <c r="M83" s="971" t="s">
        <v>2123</v>
      </c>
      <c r="N83" s="971" t="s">
        <v>179</v>
      </c>
      <c r="O83" s="971" t="s">
        <v>2124</v>
      </c>
      <c r="P83" s="971" t="s">
        <v>7266</v>
      </c>
      <c r="Q83" s="971" t="s">
        <v>7306</v>
      </c>
      <c r="R83" s="971" t="s">
        <v>4306</v>
      </c>
      <c r="S83" s="1274">
        <v>1</v>
      </c>
      <c r="T83" s="971" t="s">
        <v>242</v>
      </c>
      <c r="U83" s="1275">
        <v>19.2</v>
      </c>
      <c r="V83" s="1275">
        <v>213</v>
      </c>
      <c r="W83" s="1275">
        <v>1918.3369142857146</v>
      </c>
      <c r="X83" s="1275">
        <v>2130</v>
      </c>
      <c r="Y83" s="1275">
        <v>4261.3369142857146</v>
      </c>
      <c r="Z83" s="1129">
        <v>19.2</v>
      </c>
      <c r="AA83" s="1129">
        <v>213</v>
      </c>
      <c r="AB83" s="1129">
        <v>1918.3369142857146</v>
      </c>
      <c r="AC83" s="1129">
        <v>2130</v>
      </c>
      <c r="AD83" s="1098">
        <v>4261.3369142857146</v>
      </c>
      <c r="AE83" s="1135">
        <v>1</v>
      </c>
      <c r="AF83" s="1129">
        <v>1</v>
      </c>
      <c r="AG83" s="1127">
        <v>1</v>
      </c>
      <c r="AH83" s="1127">
        <v>0</v>
      </c>
      <c r="AI83" s="1127">
        <v>0</v>
      </c>
      <c r="AJ83" s="1127">
        <v>1</v>
      </c>
      <c r="AK83" s="1129">
        <v>4261.3369142857146</v>
      </c>
      <c r="AL83" s="1129">
        <v>0</v>
      </c>
      <c r="AM83" s="1129">
        <v>0</v>
      </c>
      <c r="AN83" s="1129">
        <v>4261.3369142857146</v>
      </c>
      <c r="AO83" s="1129" t="s">
        <v>131</v>
      </c>
      <c r="AP83" s="1129" t="s">
        <v>96</v>
      </c>
      <c r="AQ83" s="1157">
        <v>2014</v>
      </c>
      <c r="AR83" s="1129" t="s">
        <v>87</v>
      </c>
      <c r="AS83" s="1127">
        <v>0.33333333333333331</v>
      </c>
      <c r="AT83" s="1127"/>
      <c r="AU83" s="1127">
        <v>0.33333333333333331</v>
      </c>
      <c r="AV83" s="1127"/>
      <c r="AW83" s="1127"/>
      <c r="AX83" s="1127"/>
      <c r="AY83" s="1127"/>
      <c r="AZ83" s="1127">
        <v>0.33333333333333331</v>
      </c>
      <c r="BA83" s="1129">
        <v>1420.4456380952381</v>
      </c>
      <c r="BB83" s="1129">
        <v>0</v>
      </c>
      <c r="BC83" s="1129">
        <v>1420.4456380952381</v>
      </c>
      <c r="BD83" s="1129">
        <v>0</v>
      </c>
      <c r="BE83" s="1129">
        <v>0</v>
      </c>
      <c r="BF83" s="1129">
        <v>0</v>
      </c>
      <c r="BG83" s="1129">
        <v>0</v>
      </c>
      <c r="BH83" s="1129">
        <v>1420.4456380952381</v>
      </c>
      <c r="BI83" s="1981"/>
      <c r="BJ83" s="971"/>
      <c r="BK83" s="971"/>
      <c r="BL83" s="1246"/>
      <c r="BM83" s="1247" t="s">
        <v>2123</v>
      </c>
    </row>
    <row r="84" spans="1:65" s="1247" customFormat="1" ht="66" customHeight="1">
      <c r="A84" s="1272">
        <v>2000</v>
      </c>
      <c r="B84" s="971" t="s">
        <v>119</v>
      </c>
      <c r="C84" s="1272">
        <v>2500</v>
      </c>
      <c r="D84" s="971" t="s">
        <v>452</v>
      </c>
      <c r="E84" s="971" t="s">
        <v>604</v>
      </c>
      <c r="F84" s="971" t="s">
        <v>605</v>
      </c>
      <c r="G84" s="971" t="s">
        <v>683</v>
      </c>
      <c r="H84" s="971" t="s">
        <v>684</v>
      </c>
      <c r="I84" s="1273" t="s">
        <v>7310</v>
      </c>
      <c r="J84" s="971" t="s">
        <v>239</v>
      </c>
      <c r="K84" s="971" t="s">
        <v>1768</v>
      </c>
      <c r="L84" s="971" t="s">
        <v>3420</v>
      </c>
      <c r="M84" s="971" t="s">
        <v>1768</v>
      </c>
      <c r="N84" s="971" t="s">
        <v>179</v>
      </c>
      <c r="O84" s="971" t="s">
        <v>1769</v>
      </c>
      <c r="P84" s="971" t="s">
        <v>7307</v>
      </c>
      <c r="Q84" s="971" t="s">
        <v>7308</v>
      </c>
      <c r="R84" s="971" t="s">
        <v>4307</v>
      </c>
      <c r="S84" s="1274">
        <v>1</v>
      </c>
      <c r="T84" s="971" t="s">
        <v>242</v>
      </c>
      <c r="U84" s="1275">
        <v>8.1</v>
      </c>
      <c r="V84" s="1275">
        <v>106.5</v>
      </c>
      <c r="W84" s="1275">
        <v>809.29838571428581</v>
      </c>
      <c r="X84" s="1275">
        <v>1065</v>
      </c>
      <c r="Y84" s="1275">
        <v>1980.7983857142858</v>
      </c>
      <c r="Z84" s="1129">
        <v>8.1</v>
      </c>
      <c r="AA84" s="1129">
        <v>106.5</v>
      </c>
      <c r="AB84" s="1129">
        <v>809.29838571428581</v>
      </c>
      <c r="AC84" s="1129">
        <v>1065</v>
      </c>
      <c r="AD84" s="1098">
        <v>1980.7983857142858</v>
      </c>
      <c r="AE84" s="1135">
        <v>0.5</v>
      </c>
      <c r="AF84" s="1129">
        <v>0.5</v>
      </c>
      <c r="AG84" s="1127">
        <v>1</v>
      </c>
      <c r="AH84" s="1127">
        <v>0</v>
      </c>
      <c r="AI84" s="1127">
        <v>0</v>
      </c>
      <c r="AJ84" s="1127">
        <v>1</v>
      </c>
      <c r="AK84" s="1129">
        <v>1980.7983857142858</v>
      </c>
      <c r="AL84" s="1129">
        <v>0</v>
      </c>
      <c r="AM84" s="1129">
        <v>0</v>
      </c>
      <c r="AN84" s="1129">
        <v>1980.7983857142858</v>
      </c>
      <c r="AO84" s="1129" t="s">
        <v>131</v>
      </c>
      <c r="AP84" s="1129" t="s">
        <v>96</v>
      </c>
      <c r="AQ84" s="1157">
        <v>2014</v>
      </c>
      <c r="AR84" s="1129" t="s">
        <v>87</v>
      </c>
      <c r="AS84" s="1127">
        <v>0.33333333333333331</v>
      </c>
      <c r="AT84" s="1127"/>
      <c r="AU84" s="1127">
        <v>0.33333333333333331</v>
      </c>
      <c r="AV84" s="1127"/>
      <c r="AW84" s="1127"/>
      <c r="AX84" s="1127"/>
      <c r="AY84" s="1127"/>
      <c r="AZ84" s="1127">
        <v>0.33333333333333331</v>
      </c>
      <c r="BA84" s="1129">
        <v>660.26612857142857</v>
      </c>
      <c r="BB84" s="1129">
        <v>0</v>
      </c>
      <c r="BC84" s="1129">
        <v>660.26612857142857</v>
      </c>
      <c r="BD84" s="1129">
        <v>0</v>
      </c>
      <c r="BE84" s="1129">
        <v>0</v>
      </c>
      <c r="BF84" s="1129">
        <v>0</v>
      </c>
      <c r="BG84" s="1129">
        <v>0</v>
      </c>
      <c r="BH84" s="1129">
        <v>660.26612857142857</v>
      </c>
      <c r="BI84" s="1981"/>
      <c r="BJ84" s="971"/>
      <c r="BK84" s="971"/>
      <c r="BL84" s="1246"/>
      <c r="BM84" s="1247" t="s">
        <v>1768</v>
      </c>
    </row>
    <row r="85" spans="1:65" s="1247" customFormat="1" ht="66" customHeight="1">
      <c r="A85" s="1272">
        <v>2000</v>
      </c>
      <c r="B85" s="971" t="s">
        <v>119</v>
      </c>
      <c r="C85" s="1272">
        <v>2500</v>
      </c>
      <c r="D85" s="971" t="s">
        <v>452</v>
      </c>
      <c r="E85" s="971" t="s">
        <v>604</v>
      </c>
      <c r="F85" s="971" t="s">
        <v>605</v>
      </c>
      <c r="G85" s="971" t="s">
        <v>683</v>
      </c>
      <c r="H85" s="971" t="s">
        <v>684</v>
      </c>
      <c r="I85" s="1273" t="s">
        <v>7311</v>
      </c>
      <c r="J85" s="971" t="s">
        <v>686</v>
      </c>
      <c r="K85" s="971" t="s">
        <v>2123</v>
      </c>
      <c r="L85" s="971" t="s">
        <v>2124</v>
      </c>
      <c r="M85" s="971" t="s">
        <v>2123</v>
      </c>
      <c r="N85" s="971" t="s">
        <v>179</v>
      </c>
      <c r="O85" s="971" t="s">
        <v>2124</v>
      </c>
      <c r="P85" s="971" t="s">
        <v>7266</v>
      </c>
      <c r="Q85" s="971" t="s">
        <v>7312</v>
      </c>
      <c r="R85" s="971" t="s">
        <v>4309</v>
      </c>
      <c r="S85" s="1274">
        <v>1</v>
      </c>
      <c r="T85" s="971" t="s">
        <v>242</v>
      </c>
      <c r="U85" s="1275">
        <v>19.2</v>
      </c>
      <c r="V85" s="1275">
        <v>213</v>
      </c>
      <c r="W85" s="1275">
        <v>1918.3369142857146</v>
      </c>
      <c r="X85" s="1275">
        <v>2130</v>
      </c>
      <c r="Y85" s="1275">
        <v>4261.3369142857146</v>
      </c>
      <c r="Z85" s="1129">
        <v>19.2</v>
      </c>
      <c r="AA85" s="1129">
        <v>213</v>
      </c>
      <c r="AB85" s="1129">
        <v>1918.3369142857146</v>
      </c>
      <c r="AC85" s="1129">
        <v>2130</v>
      </c>
      <c r="AD85" s="1098">
        <v>4261.3369142857146</v>
      </c>
      <c r="AE85" s="1135">
        <v>1</v>
      </c>
      <c r="AF85" s="1129">
        <v>1</v>
      </c>
      <c r="AG85" s="1127">
        <v>1</v>
      </c>
      <c r="AH85" s="1127">
        <v>0</v>
      </c>
      <c r="AI85" s="1127">
        <v>0</v>
      </c>
      <c r="AJ85" s="1127">
        <v>1</v>
      </c>
      <c r="AK85" s="1129">
        <v>4261.3369142857146</v>
      </c>
      <c r="AL85" s="1129">
        <v>0</v>
      </c>
      <c r="AM85" s="1129">
        <v>0</v>
      </c>
      <c r="AN85" s="1129">
        <v>4261.3369142857146</v>
      </c>
      <c r="AO85" s="1129" t="s">
        <v>131</v>
      </c>
      <c r="AP85" s="1129" t="s">
        <v>96</v>
      </c>
      <c r="AQ85" s="1157">
        <v>2014</v>
      </c>
      <c r="AR85" s="1129" t="s">
        <v>87</v>
      </c>
      <c r="AS85" s="1127">
        <v>0.33333333333333331</v>
      </c>
      <c r="AT85" s="1127"/>
      <c r="AU85" s="1127">
        <v>0.33333333333333331</v>
      </c>
      <c r="AV85" s="1127"/>
      <c r="AW85" s="1127"/>
      <c r="AX85" s="1127"/>
      <c r="AY85" s="1127"/>
      <c r="AZ85" s="1127">
        <v>0.33333333333333331</v>
      </c>
      <c r="BA85" s="1129">
        <v>1420.4456380952381</v>
      </c>
      <c r="BB85" s="1129">
        <v>0</v>
      </c>
      <c r="BC85" s="1129">
        <v>1420.4456380952381</v>
      </c>
      <c r="BD85" s="1129">
        <v>0</v>
      </c>
      <c r="BE85" s="1129">
        <v>0</v>
      </c>
      <c r="BF85" s="1129">
        <v>0</v>
      </c>
      <c r="BG85" s="1129">
        <v>0</v>
      </c>
      <c r="BH85" s="1129">
        <v>1420.4456380952381</v>
      </c>
      <c r="BI85" s="1981"/>
      <c r="BJ85" s="971"/>
      <c r="BK85" s="971"/>
      <c r="BL85" s="1246"/>
      <c r="BM85" s="1247" t="s">
        <v>2123</v>
      </c>
    </row>
    <row r="86" spans="1:65" s="1247" customFormat="1" ht="66" customHeight="1">
      <c r="A86" s="1272">
        <v>2000</v>
      </c>
      <c r="B86" s="971" t="s">
        <v>119</v>
      </c>
      <c r="C86" s="1272">
        <v>2500</v>
      </c>
      <c r="D86" s="971" t="s">
        <v>452</v>
      </c>
      <c r="E86" s="971" t="s">
        <v>604</v>
      </c>
      <c r="F86" s="971" t="s">
        <v>605</v>
      </c>
      <c r="G86" s="971" t="s">
        <v>683</v>
      </c>
      <c r="H86" s="971" t="s">
        <v>684</v>
      </c>
      <c r="I86" s="1273" t="s">
        <v>7313</v>
      </c>
      <c r="J86" s="971" t="s">
        <v>686</v>
      </c>
      <c r="K86" s="971" t="s">
        <v>2123</v>
      </c>
      <c r="L86" s="971" t="s">
        <v>2124</v>
      </c>
      <c r="M86" s="971" t="s">
        <v>2123</v>
      </c>
      <c r="N86" s="971" t="s">
        <v>179</v>
      </c>
      <c r="O86" s="971" t="s">
        <v>2124</v>
      </c>
      <c r="P86" s="971" t="s">
        <v>7266</v>
      </c>
      <c r="Q86" s="971" t="s">
        <v>7314</v>
      </c>
      <c r="R86" s="971" t="s">
        <v>4311</v>
      </c>
      <c r="S86" s="1274">
        <v>1</v>
      </c>
      <c r="T86" s="971" t="s">
        <v>242</v>
      </c>
      <c r="U86" s="1275">
        <v>19.2</v>
      </c>
      <c r="V86" s="1275">
        <v>213</v>
      </c>
      <c r="W86" s="1275">
        <v>1918.3369142857146</v>
      </c>
      <c r="X86" s="1275">
        <v>2130</v>
      </c>
      <c r="Y86" s="1275">
        <v>4261.3369142857146</v>
      </c>
      <c r="Z86" s="1129">
        <v>19.2</v>
      </c>
      <c r="AA86" s="1129">
        <v>213</v>
      </c>
      <c r="AB86" s="1129">
        <v>1918.3369142857146</v>
      </c>
      <c r="AC86" s="1129">
        <v>2130</v>
      </c>
      <c r="AD86" s="1098">
        <v>4261.3369142857146</v>
      </c>
      <c r="AE86" s="1135">
        <v>1</v>
      </c>
      <c r="AF86" s="1129">
        <v>1</v>
      </c>
      <c r="AG86" s="1127">
        <v>1</v>
      </c>
      <c r="AH86" s="1127">
        <v>0</v>
      </c>
      <c r="AI86" s="1127">
        <v>0</v>
      </c>
      <c r="AJ86" s="1127">
        <v>1</v>
      </c>
      <c r="AK86" s="1129">
        <v>4261.3369142857146</v>
      </c>
      <c r="AL86" s="1129">
        <v>0</v>
      </c>
      <c r="AM86" s="1129">
        <v>0</v>
      </c>
      <c r="AN86" s="1129">
        <v>4261.3369142857146</v>
      </c>
      <c r="AO86" s="1129" t="s">
        <v>131</v>
      </c>
      <c r="AP86" s="1129" t="s">
        <v>96</v>
      </c>
      <c r="AQ86" s="1157">
        <v>2014</v>
      </c>
      <c r="AR86" s="1129" t="s">
        <v>87</v>
      </c>
      <c r="AS86" s="1127">
        <v>0.33333333333333331</v>
      </c>
      <c r="AT86" s="1127"/>
      <c r="AU86" s="1127">
        <v>0.33333333333333331</v>
      </c>
      <c r="AV86" s="1127"/>
      <c r="AW86" s="1127"/>
      <c r="AX86" s="1127"/>
      <c r="AY86" s="1127"/>
      <c r="AZ86" s="1127">
        <v>0.33333333333333331</v>
      </c>
      <c r="BA86" s="1129">
        <v>1420.4456380952381</v>
      </c>
      <c r="BB86" s="1129">
        <v>0</v>
      </c>
      <c r="BC86" s="1129">
        <v>1420.4456380952381</v>
      </c>
      <c r="BD86" s="1129">
        <v>0</v>
      </c>
      <c r="BE86" s="1129">
        <v>0</v>
      </c>
      <c r="BF86" s="1129">
        <v>0</v>
      </c>
      <c r="BG86" s="1129">
        <v>0</v>
      </c>
      <c r="BH86" s="1129">
        <v>1420.4456380952381</v>
      </c>
      <c r="BI86" s="1981"/>
      <c r="BJ86" s="971"/>
      <c r="BK86" s="971"/>
      <c r="BL86" s="1246"/>
      <c r="BM86" s="1247" t="s">
        <v>2123</v>
      </c>
    </row>
    <row r="87" spans="1:65" s="1247" customFormat="1" ht="82.5" customHeight="1">
      <c r="A87" s="1272">
        <v>2000</v>
      </c>
      <c r="B87" s="971" t="s">
        <v>119</v>
      </c>
      <c r="C87" s="1272">
        <v>2500</v>
      </c>
      <c r="D87" s="971" t="s">
        <v>452</v>
      </c>
      <c r="E87" s="971" t="s">
        <v>604</v>
      </c>
      <c r="F87" s="971" t="s">
        <v>605</v>
      </c>
      <c r="G87" s="971" t="s">
        <v>683</v>
      </c>
      <c r="H87" s="971" t="s">
        <v>684</v>
      </c>
      <c r="I87" s="1273" t="s">
        <v>7315</v>
      </c>
      <c r="J87" s="971" t="s">
        <v>686</v>
      </c>
      <c r="K87" s="971" t="s">
        <v>1768</v>
      </c>
      <c r="L87" s="971" t="s">
        <v>3420</v>
      </c>
      <c r="M87" s="971" t="s">
        <v>1768</v>
      </c>
      <c r="N87" s="971" t="s">
        <v>179</v>
      </c>
      <c r="O87" s="971" t="s">
        <v>1769</v>
      </c>
      <c r="P87" s="971"/>
      <c r="Q87" s="971" t="s">
        <v>7316</v>
      </c>
      <c r="R87" s="971" t="s">
        <v>4313</v>
      </c>
      <c r="S87" s="1274">
        <v>1</v>
      </c>
      <c r="T87" s="971" t="s">
        <v>242</v>
      </c>
      <c r="U87" s="1275">
        <v>8.1</v>
      </c>
      <c r="V87" s="1275">
        <v>106.5</v>
      </c>
      <c r="W87" s="1275">
        <v>809.29838571428581</v>
      </c>
      <c r="X87" s="1275">
        <v>1065</v>
      </c>
      <c r="Y87" s="1275">
        <v>1980.7983857142858</v>
      </c>
      <c r="Z87" s="1129">
        <v>8.1</v>
      </c>
      <c r="AA87" s="1129">
        <v>106.5</v>
      </c>
      <c r="AB87" s="1129">
        <v>809.29838571428581</v>
      </c>
      <c r="AC87" s="1129">
        <v>1065</v>
      </c>
      <c r="AD87" s="1098">
        <v>1980.7983857142858</v>
      </c>
      <c r="AE87" s="1135">
        <v>0.5</v>
      </c>
      <c r="AF87" s="1129">
        <v>0.5</v>
      </c>
      <c r="AG87" s="1127">
        <v>1</v>
      </c>
      <c r="AH87" s="1127">
        <v>0</v>
      </c>
      <c r="AI87" s="1127">
        <v>0</v>
      </c>
      <c r="AJ87" s="1127">
        <v>1</v>
      </c>
      <c r="AK87" s="1129">
        <v>1980.7983857142858</v>
      </c>
      <c r="AL87" s="1129">
        <v>0</v>
      </c>
      <c r="AM87" s="1129">
        <v>0</v>
      </c>
      <c r="AN87" s="1129">
        <v>1980.7983857142858</v>
      </c>
      <c r="AO87" s="1129" t="s">
        <v>131</v>
      </c>
      <c r="AP87" s="1129" t="s">
        <v>96</v>
      </c>
      <c r="AQ87" s="1157">
        <v>2014</v>
      </c>
      <c r="AR87" s="1129" t="s">
        <v>87</v>
      </c>
      <c r="AS87" s="1127">
        <v>0.33333333333333331</v>
      </c>
      <c r="AT87" s="1127"/>
      <c r="AU87" s="1127">
        <v>0.33333333333333331</v>
      </c>
      <c r="AV87" s="1127"/>
      <c r="AW87" s="1127"/>
      <c r="AX87" s="1127"/>
      <c r="AY87" s="1127"/>
      <c r="AZ87" s="1127">
        <v>0.33333333333333331</v>
      </c>
      <c r="BA87" s="1129">
        <v>660.26612857142857</v>
      </c>
      <c r="BB87" s="1129">
        <v>0</v>
      </c>
      <c r="BC87" s="1129">
        <v>660.26612857142857</v>
      </c>
      <c r="BD87" s="1129">
        <v>0</v>
      </c>
      <c r="BE87" s="1129">
        <v>0</v>
      </c>
      <c r="BF87" s="1129">
        <v>0</v>
      </c>
      <c r="BG87" s="1129">
        <v>0</v>
      </c>
      <c r="BH87" s="1129">
        <v>660.26612857142857</v>
      </c>
      <c r="BI87" s="1981"/>
      <c r="BJ87" s="971"/>
      <c r="BK87" s="971"/>
      <c r="BL87" s="1246"/>
      <c r="BM87" s="1247" t="s">
        <v>1768</v>
      </c>
    </row>
    <row r="88" spans="1:65" s="1247" customFormat="1" ht="66" customHeight="1">
      <c r="A88" s="1272">
        <v>2000</v>
      </c>
      <c r="B88" s="971" t="s">
        <v>119</v>
      </c>
      <c r="C88" s="1272">
        <v>2500</v>
      </c>
      <c r="D88" s="971" t="s">
        <v>452</v>
      </c>
      <c r="E88" s="971" t="s">
        <v>604</v>
      </c>
      <c r="F88" s="971" t="s">
        <v>605</v>
      </c>
      <c r="G88" s="971" t="s">
        <v>683</v>
      </c>
      <c r="H88" s="971" t="s">
        <v>684</v>
      </c>
      <c r="I88" s="1273" t="s">
        <v>7317</v>
      </c>
      <c r="J88" s="971" t="s">
        <v>686</v>
      </c>
      <c r="K88" s="971" t="s">
        <v>2123</v>
      </c>
      <c r="L88" s="971" t="s">
        <v>2124</v>
      </c>
      <c r="M88" s="971" t="s">
        <v>2123</v>
      </c>
      <c r="N88" s="971" t="s">
        <v>179</v>
      </c>
      <c r="O88" s="971" t="s">
        <v>2124</v>
      </c>
      <c r="P88" s="971" t="s">
        <v>7266</v>
      </c>
      <c r="Q88" s="971" t="s">
        <v>1782</v>
      </c>
      <c r="R88" s="971" t="s">
        <v>4320</v>
      </c>
      <c r="S88" s="1274">
        <v>1</v>
      </c>
      <c r="T88" s="971" t="s">
        <v>242</v>
      </c>
      <c r="U88" s="1275">
        <v>19.2</v>
      </c>
      <c r="V88" s="1275">
        <v>213</v>
      </c>
      <c r="W88" s="1275">
        <v>1918.3369142857146</v>
      </c>
      <c r="X88" s="1275">
        <v>2130</v>
      </c>
      <c r="Y88" s="1275">
        <v>4261.3369142857146</v>
      </c>
      <c r="Z88" s="1129">
        <v>19.2</v>
      </c>
      <c r="AA88" s="1129">
        <v>213</v>
      </c>
      <c r="AB88" s="1129">
        <v>1918.3369142857146</v>
      </c>
      <c r="AC88" s="1129">
        <v>2130</v>
      </c>
      <c r="AD88" s="1098">
        <v>4261.3369142857146</v>
      </c>
      <c r="AE88" s="1135">
        <v>1</v>
      </c>
      <c r="AF88" s="1129">
        <v>1</v>
      </c>
      <c r="AG88" s="1127">
        <v>1</v>
      </c>
      <c r="AH88" s="1127">
        <v>0</v>
      </c>
      <c r="AI88" s="1127">
        <v>0</v>
      </c>
      <c r="AJ88" s="1127">
        <v>1</v>
      </c>
      <c r="AK88" s="1129">
        <v>4261.3369142857146</v>
      </c>
      <c r="AL88" s="1129">
        <v>0</v>
      </c>
      <c r="AM88" s="1129">
        <v>0</v>
      </c>
      <c r="AN88" s="1129">
        <v>4261.3369142857146</v>
      </c>
      <c r="AO88" s="1129" t="s">
        <v>131</v>
      </c>
      <c r="AP88" s="1129" t="s">
        <v>96</v>
      </c>
      <c r="AQ88" s="1157">
        <v>2014</v>
      </c>
      <c r="AR88" s="1129" t="s">
        <v>87</v>
      </c>
      <c r="AS88" s="1127">
        <v>0.33333333333333331</v>
      </c>
      <c r="AT88" s="1127"/>
      <c r="AU88" s="1127">
        <v>0.33333333333333331</v>
      </c>
      <c r="AV88" s="1127"/>
      <c r="AW88" s="1127"/>
      <c r="AX88" s="1127"/>
      <c r="AY88" s="1127"/>
      <c r="AZ88" s="1127">
        <v>0.33333333333333331</v>
      </c>
      <c r="BA88" s="1129">
        <v>1420.4456380952381</v>
      </c>
      <c r="BB88" s="1129">
        <v>0</v>
      </c>
      <c r="BC88" s="1129">
        <v>1420.4456380952381</v>
      </c>
      <c r="BD88" s="1129">
        <v>0</v>
      </c>
      <c r="BE88" s="1129">
        <v>0</v>
      </c>
      <c r="BF88" s="1129">
        <v>0</v>
      </c>
      <c r="BG88" s="1129">
        <v>0</v>
      </c>
      <c r="BH88" s="1129">
        <v>1420.4456380952381</v>
      </c>
      <c r="BI88" s="1981"/>
      <c r="BJ88" s="971"/>
      <c r="BK88" s="971"/>
      <c r="BL88" s="1246"/>
      <c r="BM88" s="1247" t="s">
        <v>2123</v>
      </c>
    </row>
    <row r="89" spans="1:65" s="1247" customFormat="1" ht="66" customHeight="1">
      <c r="A89" s="1272">
        <v>2000</v>
      </c>
      <c r="B89" s="971" t="s">
        <v>119</v>
      </c>
      <c r="C89" s="1272">
        <v>2500</v>
      </c>
      <c r="D89" s="971" t="s">
        <v>452</v>
      </c>
      <c r="E89" s="971" t="s">
        <v>604</v>
      </c>
      <c r="F89" s="971" t="s">
        <v>605</v>
      </c>
      <c r="G89" s="971" t="s">
        <v>683</v>
      </c>
      <c r="H89" s="971" t="s">
        <v>684</v>
      </c>
      <c r="I89" s="1273" t="s">
        <v>7318</v>
      </c>
      <c r="J89" s="971" t="s">
        <v>686</v>
      </c>
      <c r="K89" s="971" t="s">
        <v>2123</v>
      </c>
      <c r="L89" s="971" t="s">
        <v>2124</v>
      </c>
      <c r="M89" s="971" t="s">
        <v>2123</v>
      </c>
      <c r="N89" s="971" t="s">
        <v>179</v>
      </c>
      <c r="O89" s="971" t="s">
        <v>2124</v>
      </c>
      <c r="P89" s="971" t="s">
        <v>7266</v>
      </c>
      <c r="Q89" s="971" t="s">
        <v>1782</v>
      </c>
      <c r="R89" s="971" t="s">
        <v>4323</v>
      </c>
      <c r="S89" s="1274">
        <v>1</v>
      </c>
      <c r="T89" s="971" t="s">
        <v>242</v>
      </c>
      <c r="U89" s="1275">
        <v>19.2</v>
      </c>
      <c r="V89" s="1275">
        <v>213</v>
      </c>
      <c r="W89" s="1275">
        <v>1918.3369142857146</v>
      </c>
      <c r="X89" s="1275">
        <v>2130</v>
      </c>
      <c r="Y89" s="1275">
        <v>4261.3369142857146</v>
      </c>
      <c r="Z89" s="1129">
        <v>19.2</v>
      </c>
      <c r="AA89" s="1129">
        <v>213</v>
      </c>
      <c r="AB89" s="1129">
        <v>1918.3369142857146</v>
      </c>
      <c r="AC89" s="1129">
        <v>2130</v>
      </c>
      <c r="AD89" s="1098">
        <v>4261.3369142857146</v>
      </c>
      <c r="AE89" s="1135">
        <v>1</v>
      </c>
      <c r="AF89" s="1129">
        <v>1</v>
      </c>
      <c r="AG89" s="1127">
        <v>1</v>
      </c>
      <c r="AH89" s="1127">
        <v>0</v>
      </c>
      <c r="AI89" s="1127">
        <v>0</v>
      </c>
      <c r="AJ89" s="1127">
        <v>1</v>
      </c>
      <c r="AK89" s="1129">
        <v>4261.3369142857146</v>
      </c>
      <c r="AL89" s="1129">
        <v>0</v>
      </c>
      <c r="AM89" s="1129">
        <v>0</v>
      </c>
      <c r="AN89" s="1129">
        <v>4261.3369142857146</v>
      </c>
      <c r="AO89" s="1129" t="s">
        <v>131</v>
      </c>
      <c r="AP89" s="1129" t="s">
        <v>96</v>
      </c>
      <c r="AQ89" s="1157">
        <v>2014</v>
      </c>
      <c r="AR89" s="1129" t="s">
        <v>87</v>
      </c>
      <c r="AS89" s="1127">
        <v>0.33333333333333331</v>
      </c>
      <c r="AT89" s="1127"/>
      <c r="AU89" s="1127">
        <v>0.33333333333333331</v>
      </c>
      <c r="AV89" s="1127"/>
      <c r="AW89" s="1127"/>
      <c r="AX89" s="1127"/>
      <c r="AY89" s="1127"/>
      <c r="AZ89" s="1127">
        <v>0.33333333333333331</v>
      </c>
      <c r="BA89" s="1129">
        <v>1420.4456380952381</v>
      </c>
      <c r="BB89" s="1129">
        <v>0</v>
      </c>
      <c r="BC89" s="1129">
        <v>1420.4456380952381</v>
      </c>
      <c r="BD89" s="1129">
        <v>0</v>
      </c>
      <c r="BE89" s="1129">
        <v>0</v>
      </c>
      <c r="BF89" s="1129">
        <v>0</v>
      </c>
      <c r="BG89" s="1129">
        <v>0</v>
      </c>
      <c r="BH89" s="1129">
        <v>1420.4456380952381</v>
      </c>
      <c r="BI89" s="1981"/>
      <c r="BJ89" s="971"/>
      <c r="BK89" s="971"/>
      <c r="BL89" s="1246"/>
      <c r="BM89" s="1247" t="s">
        <v>2123</v>
      </c>
    </row>
    <row r="90" spans="1:65" s="1247" customFormat="1" ht="66" customHeight="1">
      <c r="A90" s="1272">
        <v>2000</v>
      </c>
      <c r="B90" s="971" t="s">
        <v>119</v>
      </c>
      <c r="C90" s="1272">
        <v>2500</v>
      </c>
      <c r="D90" s="971" t="s">
        <v>452</v>
      </c>
      <c r="E90" s="971" t="s">
        <v>604</v>
      </c>
      <c r="F90" s="971" t="s">
        <v>605</v>
      </c>
      <c r="G90" s="971" t="s">
        <v>683</v>
      </c>
      <c r="H90" s="971" t="s">
        <v>684</v>
      </c>
      <c r="I90" s="1273" t="s">
        <v>7319</v>
      </c>
      <c r="J90" s="971" t="s">
        <v>686</v>
      </c>
      <c r="K90" s="971" t="s">
        <v>2123</v>
      </c>
      <c r="L90" s="971" t="s">
        <v>2124</v>
      </c>
      <c r="M90" s="971" t="s">
        <v>2123</v>
      </c>
      <c r="N90" s="971" t="s">
        <v>179</v>
      </c>
      <c r="O90" s="971" t="s">
        <v>2124</v>
      </c>
      <c r="P90" s="971" t="s">
        <v>7266</v>
      </c>
      <c r="Q90" s="971" t="s">
        <v>7320</v>
      </c>
      <c r="R90" s="971" t="s">
        <v>4324</v>
      </c>
      <c r="S90" s="1274">
        <v>1</v>
      </c>
      <c r="T90" s="971" t="s">
        <v>242</v>
      </c>
      <c r="U90" s="1275">
        <v>19.2</v>
      </c>
      <c r="V90" s="1275">
        <v>213</v>
      </c>
      <c r="W90" s="1275">
        <v>1918.3369142857146</v>
      </c>
      <c r="X90" s="1275">
        <v>2130</v>
      </c>
      <c r="Y90" s="1275">
        <v>4261.3369142857146</v>
      </c>
      <c r="Z90" s="1129">
        <v>19.2</v>
      </c>
      <c r="AA90" s="1129">
        <v>213</v>
      </c>
      <c r="AB90" s="1129">
        <v>1918.3369142857146</v>
      </c>
      <c r="AC90" s="1129">
        <v>2130</v>
      </c>
      <c r="AD90" s="1098">
        <v>4261.3369142857146</v>
      </c>
      <c r="AE90" s="1135">
        <v>1</v>
      </c>
      <c r="AF90" s="1129">
        <v>1</v>
      </c>
      <c r="AG90" s="1127">
        <v>1</v>
      </c>
      <c r="AH90" s="1127">
        <v>0</v>
      </c>
      <c r="AI90" s="1127">
        <v>0</v>
      </c>
      <c r="AJ90" s="1127">
        <v>1</v>
      </c>
      <c r="AK90" s="1129">
        <v>4261.3369142857146</v>
      </c>
      <c r="AL90" s="1129">
        <v>0</v>
      </c>
      <c r="AM90" s="1129">
        <v>0</v>
      </c>
      <c r="AN90" s="1129">
        <v>4261.3369142857146</v>
      </c>
      <c r="AO90" s="1129" t="s">
        <v>131</v>
      </c>
      <c r="AP90" s="1129" t="s">
        <v>96</v>
      </c>
      <c r="AQ90" s="1157">
        <v>2014</v>
      </c>
      <c r="AR90" s="1129" t="s">
        <v>87</v>
      </c>
      <c r="AS90" s="1127">
        <v>0.33333333333333331</v>
      </c>
      <c r="AT90" s="1127"/>
      <c r="AU90" s="1127">
        <v>0.33333333333333331</v>
      </c>
      <c r="AV90" s="1127"/>
      <c r="AW90" s="1127"/>
      <c r="AX90" s="1127"/>
      <c r="AY90" s="1127"/>
      <c r="AZ90" s="1127">
        <v>0.33333333333333331</v>
      </c>
      <c r="BA90" s="1129">
        <v>1420.4456380952381</v>
      </c>
      <c r="BB90" s="1129">
        <v>0</v>
      </c>
      <c r="BC90" s="1129">
        <v>1420.4456380952381</v>
      </c>
      <c r="BD90" s="1129">
        <v>0</v>
      </c>
      <c r="BE90" s="1129">
        <v>0</v>
      </c>
      <c r="BF90" s="1129">
        <v>0</v>
      </c>
      <c r="BG90" s="1129">
        <v>0</v>
      </c>
      <c r="BH90" s="1129">
        <v>1420.4456380952381</v>
      </c>
      <c r="BI90" s="1981"/>
      <c r="BJ90" s="971"/>
      <c r="BK90" s="971"/>
      <c r="BL90" s="1246"/>
      <c r="BM90" s="1247" t="s">
        <v>2123</v>
      </c>
    </row>
    <row r="91" spans="1:65" s="1247" customFormat="1" ht="66" customHeight="1">
      <c r="A91" s="1272">
        <v>2000</v>
      </c>
      <c r="B91" s="971" t="s">
        <v>119</v>
      </c>
      <c r="C91" s="1272">
        <v>2500</v>
      </c>
      <c r="D91" s="971" t="s">
        <v>452</v>
      </c>
      <c r="E91" s="971">
        <v>2540</v>
      </c>
      <c r="F91" s="971" t="s">
        <v>790</v>
      </c>
      <c r="G91" s="971">
        <v>2540</v>
      </c>
      <c r="H91" s="971" t="s">
        <v>790</v>
      </c>
      <c r="I91" s="1273" t="s">
        <v>7321</v>
      </c>
      <c r="J91" s="971" t="s">
        <v>2143</v>
      </c>
      <c r="K91" s="971" t="s">
        <v>1768</v>
      </c>
      <c r="L91" s="971" t="s">
        <v>3420</v>
      </c>
      <c r="M91" s="971" t="s">
        <v>1768</v>
      </c>
      <c r="N91" s="971" t="s">
        <v>179</v>
      </c>
      <c r="O91" s="971" t="s">
        <v>1769</v>
      </c>
      <c r="P91" s="971" t="s">
        <v>6663</v>
      </c>
      <c r="Q91" s="971" t="s">
        <v>7322</v>
      </c>
      <c r="R91" s="971" t="s">
        <v>4327</v>
      </c>
      <c r="S91" s="1274">
        <v>1</v>
      </c>
      <c r="T91" s="971" t="s">
        <v>242</v>
      </c>
      <c r="U91" s="1275">
        <v>8.1</v>
      </c>
      <c r="V91" s="1275">
        <v>106.5</v>
      </c>
      <c r="W91" s="1275">
        <v>809.29838571428581</v>
      </c>
      <c r="X91" s="1275">
        <v>1065</v>
      </c>
      <c r="Y91" s="1275">
        <v>1980.7983857142858</v>
      </c>
      <c r="Z91" s="1129">
        <v>8.1</v>
      </c>
      <c r="AA91" s="1129">
        <v>106.5</v>
      </c>
      <c r="AB91" s="1129">
        <v>809.29838571428581</v>
      </c>
      <c r="AC91" s="1129">
        <v>1065</v>
      </c>
      <c r="AD91" s="1098">
        <v>1980.7983857142858</v>
      </c>
      <c r="AE91" s="1135">
        <v>0.5</v>
      </c>
      <c r="AF91" s="1129">
        <v>0.5</v>
      </c>
      <c r="AG91" s="1127">
        <v>1</v>
      </c>
      <c r="AH91" s="1127">
        <v>0</v>
      </c>
      <c r="AI91" s="1127">
        <v>0</v>
      </c>
      <c r="AJ91" s="1127">
        <v>1</v>
      </c>
      <c r="AK91" s="1129">
        <v>1980.7983857142858</v>
      </c>
      <c r="AL91" s="1129">
        <v>0</v>
      </c>
      <c r="AM91" s="1129">
        <v>0</v>
      </c>
      <c r="AN91" s="1129">
        <v>1980.7983857142858</v>
      </c>
      <c r="AO91" s="1129" t="s">
        <v>131</v>
      </c>
      <c r="AP91" s="1129" t="s">
        <v>96</v>
      </c>
      <c r="AQ91" s="1157">
        <v>2014</v>
      </c>
      <c r="AR91" s="1129" t="s">
        <v>87</v>
      </c>
      <c r="AS91" s="1127">
        <v>0.5</v>
      </c>
      <c r="AT91" s="1127">
        <v>0.5</v>
      </c>
      <c r="AU91" s="1127"/>
      <c r="AV91" s="1127"/>
      <c r="AW91" s="1127"/>
      <c r="AX91" s="1127"/>
      <c r="AY91" s="1127"/>
      <c r="AZ91" s="1127"/>
      <c r="BA91" s="1129">
        <v>990.39919285714291</v>
      </c>
      <c r="BB91" s="1129">
        <v>990.39919285714291</v>
      </c>
      <c r="BC91" s="1129">
        <v>0</v>
      </c>
      <c r="BD91" s="1129">
        <v>0</v>
      </c>
      <c r="BE91" s="1129">
        <v>0</v>
      </c>
      <c r="BF91" s="1129">
        <v>0</v>
      </c>
      <c r="BG91" s="1129">
        <v>0</v>
      </c>
      <c r="BH91" s="1129">
        <v>0</v>
      </c>
      <c r="BI91" s="1981"/>
      <c r="BJ91" s="971"/>
      <c r="BK91" s="971"/>
      <c r="BL91" s="1246"/>
      <c r="BM91" s="1247" t="s">
        <v>1768</v>
      </c>
    </row>
    <row r="92" spans="1:65" s="1247" customFormat="1" ht="66" customHeight="1">
      <c r="A92" s="1272">
        <v>2000</v>
      </c>
      <c r="B92" s="971" t="s">
        <v>119</v>
      </c>
      <c r="C92" s="1272">
        <v>2500</v>
      </c>
      <c r="D92" s="971" t="s">
        <v>452</v>
      </c>
      <c r="E92" s="971">
        <v>2540</v>
      </c>
      <c r="F92" s="971" t="s">
        <v>790</v>
      </c>
      <c r="G92" s="971">
        <v>2540</v>
      </c>
      <c r="H92" s="971" t="s">
        <v>790</v>
      </c>
      <c r="I92" s="1273" t="s">
        <v>7323</v>
      </c>
      <c r="J92" s="971" t="s">
        <v>239</v>
      </c>
      <c r="K92" s="971" t="s">
        <v>1768</v>
      </c>
      <c r="L92" s="971" t="s">
        <v>3420</v>
      </c>
      <c r="M92" s="971" t="s">
        <v>1768</v>
      </c>
      <c r="N92" s="971" t="s">
        <v>179</v>
      </c>
      <c r="O92" s="971" t="s">
        <v>1769</v>
      </c>
      <c r="P92" s="971" t="s">
        <v>6663</v>
      </c>
      <c r="Q92" s="971" t="s">
        <v>7261</v>
      </c>
      <c r="R92" s="971" t="s">
        <v>4329</v>
      </c>
      <c r="S92" s="1274">
        <v>1</v>
      </c>
      <c r="T92" s="971" t="s">
        <v>242</v>
      </c>
      <c r="U92" s="1275">
        <v>8.1</v>
      </c>
      <c r="V92" s="1275">
        <v>106.5</v>
      </c>
      <c r="W92" s="1275">
        <v>809.29838571428581</v>
      </c>
      <c r="X92" s="1275">
        <v>1065</v>
      </c>
      <c r="Y92" s="1275">
        <v>1980.7983857142858</v>
      </c>
      <c r="Z92" s="1129">
        <v>8.1</v>
      </c>
      <c r="AA92" s="1129">
        <v>106.5</v>
      </c>
      <c r="AB92" s="1129">
        <v>809.29838571428581</v>
      </c>
      <c r="AC92" s="1129">
        <v>1065</v>
      </c>
      <c r="AD92" s="1098">
        <v>1980.7983857142858</v>
      </c>
      <c r="AE92" s="1135">
        <v>0.5</v>
      </c>
      <c r="AF92" s="1129">
        <v>0.5</v>
      </c>
      <c r="AG92" s="1127">
        <v>1</v>
      </c>
      <c r="AH92" s="1127">
        <v>0</v>
      </c>
      <c r="AI92" s="1127">
        <v>0</v>
      </c>
      <c r="AJ92" s="1127">
        <v>1</v>
      </c>
      <c r="AK92" s="1129">
        <v>1980.7983857142858</v>
      </c>
      <c r="AL92" s="1129">
        <v>0</v>
      </c>
      <c r="AM92" s="1129">
        <v>0</v>
      </c>
      <c r="AN92" s="1129">
        <v>1980.7983857142858</v>
      </c>
      <c r="AO92" s="1129" t="s">
        <v>131</v>
      </c>
      <c r="AP92" s="1129" t="s">
        <v>96</v>
      </c>
      <c r="AQ92" s="1157">
        <v>2014</v>
      </c>
      <c r="AR92" s="1129" t="s">
        <v>87</v>
      </c>
      <c r="AS92" s="1127">
        <v>0.5</v>
      </c>
      <c r="AT92" s="1127">
        <v>0.5</v>
      </c>
      <c r="AU92" s="1127"/>
      <c r="AV92" s="1127"/>
      <c r="AW92" s="1127"/>
      <c r="AX92" s="1127"/>
      <c r="AY92" s="1127"/>
      <c r="AZ92" s="1127"/>
      <c r="BA92" s="1129">
        <v>990.39919285714291</v>
      </c>
      <c r="BB92" s="1129">
        <v>990.39919285714291</v>
      </c>
      <c r="BC92" s="1129">
        <v>0</v>
      </c>
      <c r="BD92" s="1129">
        <v>0</v>
      </c>
      <c r="BE92" s="1129">
        <v>0</v>
      </c>
      <c r="BF92" s="1129">
        <v>0</v>
      </c>
      <c r="BG92" s="1129">
        <v>0</v>
      </c>
      <c r="BH92" s="1129">
        <v>0</v>
      </c>
      <c r="BI92" s="1981"/>
      <c r="BJ92" s="971"/>
      <c r="BK92" s="971"/>
      <c r="BL92" s="1246"/>
      <c r="BM92" s="1247" t="s">
        <v>1768</v>
      </c>
    </row>
    <row r="93" spans="1:65" s="1247" customFormat="1" ht="66" customHeight="1">
      <c r="A93" s="1272">
        <v>2000</v>
      </c>
      <c r="B93" s="971" t="s">
        <v>119</v>
      </c>
      <c r="C93" s="1272">
        <v>2500</v>
      </c>
      <c r="D93" s="971" t="s">
        <v>452</v>
      </c>
      <c r="E93" s="971">
        <v>2540</v>
      </c>
      <c r="F93" s="971" t="s">
        <v>790</v>
      </c>
      <c r="G93" s="971">
        <v>2540</v>
      </c>
      <c r="H93" s="971" t="s">
        <v>790</v>
      </c>
      <c r="I93" s="1273" t="s">
        <v>7324</v>
      </c>
      <c r="J93" s="971" t="s">
        <v>2143</v>
      </c>
      <c r="K93" s="971" t="s">
        <v>1768</v>
      </c>
      <c r="L93" s="971" t="s">
        <v>3420</v>
      </c>
      <c r="M93" s="971" t="s">
        <v>1768</v>
      </c>
      <c r="N93" s="971" t="s">
        <v>179</v>
      </c>
      <c r="O93" s="971" t="s">
        <v>1769</v>
      </c>
      <c r="P93" s="971" t="s">
        <v>6663</v>
      </c>
      <c r="Q93" s="971" t="s">
        <v>7325</v>
      </c>
      <c r="R93" s="971" t="s">
        <v>4331</v>
      </c>
      <c r="S93" s="1274">
        <v>1</v>
      </c>
      <c r="T93" s="971" t="s">
        <v>242</v>
      </c>
      <c r="U93" s="1275">
        <v>8.1</v>
      </c>
      <c r="V93" s="1275">
        <v>106.5</v>
      </c>
      <c r="W93" s="1275">
        <v>809.29838571428581</v>
      </c>
      <c r="X93" s="1275">
        <v>1065</v>
      </c>
      <c r="Y93" s="1275">
        <v>1980.7983857142858</v>
      </c>
      <c r="Z93" s="1129">
        <v>8.1</v>
      </c>
      <c r="AA93" s="1129">
        <v>106.5</v>
      </c>
      <c r="AB93" s="1129">
        <v>809.29838571428581</v>
      </c>
      <c r="AC93" s="1129">
        <v>1065</v>
      </c>
      <c r="AD93" s="1098">
        <v>1980.7983857142858</v>
      </c>
      <c r="AE93" s="1135">
        <v>0.5</v>
      </c>
      <c r="AF93" s="1129">
        <v>0.5</v>
      </c>
      <c r="AG93" s="1127">
        <v>1</v>
      </c>
      <c r="AH93" s="1127">
        <v>0</v>
      </c>
      <c r="AI93" s="1127">
        <v>0</v>
      </c>
      <c r="AJ93" s="1127">
        <v>1</v>
      </c>
      <c r="AK93" s="1129">
        <v>1980.7983857142858</v>
      </c>
      <c r="AL93" s="1129">
        <v>0</v>
      </c>
      <c r="AM93" s="1129">
        <v>0</v>
      </c>
      <c r="AN93" s="1129">
        <v>1980.7983857142858</v>
      </c>
      <c r="AO93" s="1129" t="s">
        <v>131</v>
      </c>
      <c r="AP93" s="1129" t="s">
        <v>96</v>
      </c>
      <c r="AQ93" s="1157">
        <v>2014</v>
      </c>
      <c r="AR93" s="1129" t="s">
        <v>87</v>
      </c>
      <c r="AS93" s="1127">
        <v>0.5</v>
      </c>
      <c r="AT93" s="1127">
        <v>0.5</v>
      </c>
      <c r="AU93" s="1127"/>
      <c r="AV93" s="1127"/>
      <c r="AW93" s="1127"/>
      <c r="AX93" s="1127"/>
      <c r="AY93" s="1127"/>
      <c r="AZ93" s="1127"/>
      <c r="BA93" s="1129">
        <v>990.39919285714291</v>
      </c>
      <c r="BB93" s="1129">
        <v>990.39919285714291</v>
      </c>
      <c r="BC93" s="1129">
        <v>0</v>
      </c>
      <c r="BD93" s="1129">
        <v>0</v>
      </c>
      <c r="BE93" s="1129">
        <v>0</v>
      </c>
      <c r="BF93" s="1129">
        <v>0</v>
      </c>
      <c r="BG93" s="1129">
        <v>0</v>
      </c>
      <c r="BH93" s="1129">
        <v>0</v>
      </c>
      <c r="BI93" s="1981"/>
      <c r="BJ93" s="971"/>
      <c r="BK93" s="971"/>
      <c r="BL93" s="1246"/>
      <c r="BM93" s="1247" t="s">
        <v>1768</v>
      </c>
    </row>
    <row r="94" spans="1:65" s="1247" customFormat="1" ht="66" customHeight="1">
      <c r="A94" s="1272">
        <v>2000</v>
      </c>
      <c r="B94" s="971" t="s">
        <v>119</v>
      </c>
      <c r="C94" s="1272">
        <v>2500</v>
      </c>
      <c r="D94" s="971" t="s">
        <v>452</v>
      </c>
      <c r="E94" s="971">
        <v>2540</v>
      </c>
      <c r="F94" s="971" t="s">
        <v>790</v>
      </c>
      <c r="G94" s="971">
        <v>2540</v>
      </c>
      <c r="H94" s="971" t="s">
        <v>790</v>
      </c>
      <c r="I94" s="1273" t="s">
        <v>7326</v>
      </c>
      <c r="J94" s="971" t="s">
        <v>239</v>
      </c>
      <c r="K94" s="971" t="s">
        <v>1768</v>
      </c>
      <c r="L94" s="971" t="s">
        <v>3420</v>
      </c>
      <c r="M94" s="971" t="s">
        <v>1768</v>
      </c>
      <c r="N94" s="971" t="s">
        <v>179</v>
      </c>
      <c r="O94" s="971" t="s">
        <v>1769</v>
      </c>
      <c r="P94" s="971" t="s">
        <v>6663</v>
      </c>
      <c r="Q94" s="971" t="s">
        <v>7261</v>
      </c>
      <c r="R94" s="971" t="s">
        <v>4333</v>
      </c>
      <c r="S94" s="1274">
        <v>1</v>
      </c>
      <c r="T94" s="971" t="s">
        <v>242</v>
      </c>
      <c r="U94" s="1275">
        <v>8.1</v>
      </c>
      <c r="V94" s="1275">
        <v>106.5</v>
      </c>
      <c r="W94" s="1275">
        <v>809.29838571428581</v>
      </c>
      <c r="X94" s="1275">
        <v>1065</v>
      </c>
      <c r="Y94" s="1275">
        <v>1980.7983857142858</v>
      </c>
      <c r="Z94" s="1129">
        <v>8.1</v>
      </c>
      <c r="AA94" s="1129">
        <v>106.5</v>
      </c>
      <c r="AB94" s="1129">
        <v>809.29838571428581</v>
      </c>
      <c r="AC94" s="1129">
        <v>1065</v>
      </c>
      <c r="AD94" s="1098">
        <v>1980.7983857142858</v>
      </c>
      <c r="AE94" s="1135">
        <v>0.5</v>
      </c>
      <c r="AF94" s="1129">
        <v>0.5</v>
      </c>
      <c r="AG94" s="1127">
        <v>1</v>
      </c>
      <c r="AH94" s="1127">
        <v>0</v>
      </c>
      <c r="AI94" s="1127">
        <v>0</v>
      </c>
      <c r="AJ94" s="1127">
        <v>1</v>
      </c>
      <c r="AK94" s="1129">
        <v>1980.7983857142858</v>
      </c>
      <c r="AL94" s="1129">
        <v>0</v>
      </c>
      <c r="AM94" s="1129">
        <v>0</v>
      </c>
      <c r="AN94" s="1129">
        <v>1980.7983857142858</v>
      </c>
      <c r="AO94" s="1129" t="s">
        <v>131</v>
      </c>
      <c r="AP94" s="1129" t="s">
        <v>96</v>
      </c>
      <c r="AQ94" s="1157">
        <v>2014</v>
      </c>
      <c r="AR94" s="1129" t="s">
        <v>87</v>
      </c>
      <c r="AS94" s="1127">
        <v>0.5</v>
      </c>
      <c r="AT94" s="1127">
        <v>0.5</v>
      </c>
      <c r="AU94" s="1127"/>
      <c r="AV94" s="1127"/>
      <c r="AW94" s="1127"/>
      <c r="AX94" s="1127"/>
      <c r="AY94" s="1127"/>
      <c r="AZ94" s="1127"/>
      <c r="BA94" s="1129">
        <v>990.39919285714291</v>
      </c>
      <c r="BB94" s="1129">
        <v>990.39919285714291</v>
      </c>
      <c r="BC94" s="1129">
        <v>0</v>
      </c>
      <c r="BD94" s="1129">
        <v>0</v>
      </c>
      <c r="BE94" s="1129">
        <v>0</v>
      </c>
      <c r="BF94" s="1129">
        <v>0</v>
      </c>
      <c r="BG94" s="1129">
        <v>0</v>
      </c>
      <c r="BH94" s="1129">
        <v>0</v>
      </c>
      <c r="BI94" s="1981"/>
      <c r="BJ94" s="971"/>
      <c r="BK94" s="971"/>
      <c r="BL94" s="1246"/>
      <c r="BM94" s="1247" t="s">
        <v>1768</v>
      </c>
    </row>
    <row r="95" spans="1:65" s="1247" customFormat="1" ht="66" customHeight="1">
      <c r="A95" s="1272">
        <v>2000</v>
      </c>
      <c r="B95" s="971" t="s">
        <v>119</v>
      </c>
      <c r="C95" s="1272">
        <v>2500</v>
      </c>
      <c r="D95" s="971" t="s">
        <v>452</v>
      </c>
      <c r="E95" s="971">
        <v>2540</v>
      </c>
      <c r="F95" s="971" t="s">
        <v>790</v>
      </c>
      <c r="G95" s="971">
        <v>2540</v>
      </c>
      <c r="H95" s="971" t="s">
        <v>790</v>
      </c>
      <c r="I95" s="1273" t="s">
        <v>810</v>
      </c>
      <c r="J95" s="971" t="s">
        <v>686</v>
      </c>
      <c r="K95" s="971" t="s">
        <v>687</v>
      </c>
      <c r="L95" s="971" t="s">
        <v>2915</v>
      </c>
      <c r="M95" s="971" t="s">
        <v>811</v>
      </c>
      <c r="N95" s="971" t="s">
        <v>179</v>
      </c>
      <c r="O95" s="971" t="s">
        <v>688</v>
      </c>
      <c r="P95" s="971"/>
      <c r="Q95" s="971" t="s">
        <v>812</v>
      </c>
      <c r="R95" s="971" t="s">
        <v>813</v>
      </c>
      <c r="S95" s="1274">
        <v>1</v>
      </c>
      <c r="T95" s="971" t="s">
        <v>242</v>
      </c>
      <c r="U95" s="1275">
        <v>2</v>
      </c>
      <c r="V95" s="1275">
        <v>30</v>
      </c>
      <c r="W95" s="1275">
        <v>199.82676190476192</v>
      </c>
      <c r="X95" s="1275">
        <v>300</v>
      </c>
      <c r="Y95" s="1275">
        <v>529.82676190476195</v>
      </c>
      <c r="Z95" s="1129">
        <v>2</v>
      </c>
      <c r="AA95" s="1129">
        <v>30</v>
      </c>
      <c r="AB95" s="1129">
        <v>199.82676190476192</v>
      </c>
      <c r="AC95" s="1129">
        <v>300</v>
      </c>
      <c r="AD95" s="1098">
        <v>529.82676190476195</v>
      </c>
      <c r="AE95" s="1135">
        <v>0.5</v>
      </c>
      <c r="AF95" s="1129">
        <v>0.5</v>
      </c>
      <c r="AG95" s="1127">
        <v>1</v>
      </c>
      <c r="AH95" s="1127">
        <v>0</v>
      </c>
      <c r="AI95" s="1127">
        <v>0</v>
      </c>
      <c r="AJ95" s="1127">
        <v>1</v>
      </c>
      <c r="AK95" s="1129">
        <v>529.82676190476195</v>
      </c>
      <c r="AL95" s="1129">
        <v>0</v>
      </c>
      <c r="AM95" s="1129">
        <v>0</v>
      </c>
      <c r="AN95" s="1129">
        <v>529.82676190476195</v>
      </c>
      <c r="AO95" s="1129" t="s">
        <v>131</v>
      </c>
      <c r="AP95" s="1129" t="s">
        <v>96</v>
      </c>
      <c r="AQ95" s="1157">
        <v>2014</v>
      </c>
      <c r="AR95" s="1129" t="s">
        <v>87</v>
      </c>
      <c r="AS95" s="1127">
        <v>0.33333333333333331</v>
      </c>
      <c r="AT95" s="1127">
        <v>0.33333333333333331</v>
      </c>
      <c r="AU95" s="1127">
        <v>0.33333333333333331</v>
      </c>
      <c r="AV95" s="1127"/>
      <c r="AW95" s="1127"/>
      <c r="AX95" s="1127"/>
      <c r="AY95" s="1127"/>
      <c r="AZ95" s="1127"/>
      <c r="BA95" s="1129">
        <v>176.60892063492065</v>
      </c>
      <c r="BB95" s="1129">
        <v>176.60892063492065</v>
      </c>
      <c r="BC95" s="1129">
        <v>176.60892063492065</v>
      </c>
      <c r="BD95" s="1129">
        <v>0</v>
      </c>
      <c r="BE95" s="1129">
        <v>0</v>
      </c>
      <c r="BF95" s="1129">
        <v>0</v>
      </c>
      <c r="BG95" s="1129">
        <v>0</v>
      </c>
      <c r="BH95" s="1129">
        <v>0</v>
      </c>
      <c r="BI95" s="1981"/>
      <c r="BJ95" s="971"/>
      <c r="BK95" s="971"/>
      <c r="BL95" s="1246"/>
      <c r="BM95" s="1247" t="s">
        <v>687</v>
      </c>
    </row>
    <row r="96" spans="1:65" s="1247" customFormat="1" ht="66" customHeight="1">
      <c r="A96" s="1272">
        <v>2000</v>
      </c>
      <c r="B96" s="971" t="s">
        <v>119</v>
      </c>
      <c r="C96" s="1272">
        <v>2500</v>
      </c>
      <c r="D96" s="971" t="s">
        <v>452</v>
      </c>
      <c r="E96" s="971">
        <v>2540</v>
      </c>
      <c r="F96" s="971" t="s">
        <v>790</v>
      </c>
      <c r="G96" s="971">
        <v>2540</v>
      </c>
      <c r="H96" s="971" t="s">
        <v>790</v>
      </c>
      <c r="I96" s="1273" t="s">
        <v>7327</v>
      </c>
      <c r="J96" s="971" t="s">
        <v>686</v>
      </c>
      <c r="K96" s="971" t="s">
        <v>2123</v>
      </c>
      <c r="L96" s="971" t="s">
        <v>2124</v>
      </c>
      <c r="M96" s="971" t="s">
        <v>2123</v>
      </c>
      <c r="N96" s="971" t="s">
        <v>179</v>
      </c>
      <c r="O96" s="971" t="s">
        <v>2124</v>
      </c>
      <c r="P96" s="971" t="s">
        <v>7266</v>
      </c>
      <c r="Q96" s="971" t="s">
        <v>7328</v>
      </c>
      <c r="R96" s="971" t="s">
        <v>4339</v>
      </c>
      <c r="S96" s="1274">
        <v>1</v>
      </c>
      <c r="T96" s="971" t="s">
        <v>242</v>
      </c>
      <c r="U96" s="1275">
        <v>19.2</v>
      </c>
      <c r="V96" s="1275">
        <v>213</v>
      </c>
      <c r="W96" s="1275">
        <v>1918.3369142857146</v>
      </c>
      <c r="X96" s="1275">
        <v>2130</v>
      </c>
      <c r="Y96" s="1275">
        <v>4261.3369142857146</v>
      </c>
      <c r="Z96" s="1129">
        <v>19.2</v>
      </c>
      <c r="AA96" s="1129">
        <v>213</v>
      </c>
      <c r="AB96" s="1129">
        <v>1918.3369142857146</v>
      </c>
      <c r="AC96" s="1129">
        <v>2130</v>
      </c>
      <c r="AD96" s="1098">
        <v>4261.3369142857146</v>
      </c>
      <c r="AE96" s="1135">
        <v>1</v>
      </c>
      <c r="AF96" s="1129">
        <v>1</v>
      </c>
      <c r="AG96" s="1127">
        <v>1</v>
      </c>
      <c r="AH96" s="1127">
        <v>0</v>
      </c>
      <c r="AI96" s="1127">
        <v>0</v>
      </c>
      <c r="AJ96" s="1127">
        <v>1</v>
      </c>
      <c r="AK96" s="1129">
        <v>4261.3369142857146</v>
      </c>
      <c r="AL96" s="1129">
        <v>0</v>
      </c>
      <c r="AM96" s="1129">
        <v>0</v>
      </c>
      <c r="AN96" s="1129">
        <v>4261.3369142857146</v>
      </c>
      <c r="AO96" s="1129" t="s">
        <v>131</v>
      </c>
      <c r="AP96" s="1129" t="s">
        <v>96</v>
      </c>
      <c r="AQ96" s="1157">
        <v>2014</v>
      </c>
      <c r="AR96" s="1129" t="s">
        <v>87</v>
      </c>
      <c r="AS96" s="1127">
        <v>0.33333333333333331</v>
      </c>
      <c r="AT96" s="1127"/>
      <c r="AU96" s="1127">
        <v>0.33333333333333331</v>
      </c>
      <c r="AV96" s="1127"/>
      <c r="AW96" s="1127"/>
      <c r="AX96" s="1127"/>
      <c r="AY96" s="1127"/>
      <c r="AZ96" s="1127">
        <v>0.33333333333333331</v>
      </c>
      <c r="BA96" s="1129">
        <v>1420.4456380952381</v>
      </c>
      <c r="BB96" s="1129">
        <v>0</v>
      </c>
      <c r="BC96" s="1129">
        <v>1420.4456380952381</v>
      </c>
      <c r="BD96" s="1129">
        <v>0</v>
      </c>
      <c r="BE96" s="1129">
        <v>0</v>
      </c>
      <c r="BF96" s="1129">
        <v>0</v>
      </c>
      <c r="BG96" s="1129">
        <v>0</v>
      </c>
      <c r="BH96" s="1129">
        <v>1420.4456380952381</v>
      </c>
      <c r="BI96" s="1981"/>
      <c r="BJ96" s="971"/>
      <c r="BK96" s="971"/>
      <c r="BL96" s="1246"/>
      <c r="BM96" s="1247" t="s">
        <v>2123</v>
      </c>
    </row>
    <row r="97" spans="1:65" s="1247" customFormat="1" ht="66" customHeight="1">
      <c r="A97" s="1272">
        <v>2000</v>
      </c>
      <c r="B97" s="971" t="s">
        <v>119</v>
      </c>
      <c r="C97" s="1272">
        <v>2500</v>
      </c>
      <c r="D97" s="971" t="s">
        <v>452</v>
      </c>
      <c r="E97" s="971">
        <v>2540</v>
      </c>
      <c r="F97" s="971" t="s">
        <v>790</v>
      </c>
      <c r="G97" s="971">
        <v>2540</v>
      </c>
      <c r="H97" s="971" t="s">
        <v>790</v>
      </c>
      <c r="I97" s="1273" t="s">
        <v>7329</v>
      </c>
      <c r="J97" s="971" t="s">
        <v>686</v>
      </c>
      <c r="K97" s="971" t="s">
        <v>2123</v>
      </c>
      <c r="L97" s="971" t="s">
        <v>2124</v>
      </c>
      <c r="M97" s="971" t="s">
        <v>2123</v>
      </c>
      <c r="N97" s="971" t="s">
        <v>179</v>
      </c>
      <c r="O97" s="971" t="s">
        <v>2124</v>
      </c>
      <c r="P97" s="971" t="s">
        <v>7266</v>
      </c>
      <c r="Q97" s="971" t="s">
        <v>7330</v>
      </c>
      <c r="R97" s="971" t="s">
        <v>4346</v>
      </c>
      <c r="S97" s="1274">
        <v>1</v>
      </c>
      <c r="T97" s="971" t="s">
        <v>242</v>
      </c>
      <c r="U97" s="1275">
        <v>19.2</v>
      </c>
      <c r="V97" s="1275">
        <v>213</v>
      </c>
      <c r="W97" s="1275">
        <v>1918.3369142857146</v>
      </c>
      <c r="X97" s="1275">
        <v>2130</v>
      </c>
      <c r="Y97" s="1275">
        <v>4261.3369142857146</v>
      </c>
      <c r="Z97" s="1129">
        <v>19.2</v>
      </c>
      <c r="AA97" s="1129">
        <v>213</v>
      </c>
      <c r="AB97" s="1129">
        <v>1918.3369142857146</v>
      </c>
      <c r="AC97" s="1129">
        <v>2130</v>
      </c>
      <c r="AD97" s="1098">
        <v>4261.3369142857146</v>
      </c>
      <c r="AE97" s="1135">
        <v>1</v>
      </c>
      <c r="AF97" s="1129">
        <v>1</v>
      </c>
      <c r="AG97" s="1127">
        <v>1</v>
      </c>
      <c r="AH97" s="1127">
        <v>0</v>
      </c>
      <c r="AI97" s="1127">
        <v>0</v>
      </c>
      <c r="AJ97" s="1127">
        <v>1</v>
      </c>
      <c r="AK97" s="1129">
        <v>4261.3369142857146</v>
      </c>
      <c r="AL97" s="1129">
        <v>0</v>
      </c>
      <c r="AM97" s="1129">
        <v>0</v>
      </c>
      <c r="AN97" s="1129">
        <v>4261.3369142857146</v>
      </c>
      <c r="AO97" s="1129" t="s">
        <v>131</v>
      </c>
      <c r="AP97" s="1129" t="s">
        <v>96</v>
      </c>
      <c r="AQ97" s="1157">
        <v>2014</v>
      </c>
      <c r="AR97" s="1129" t="s">
        <v>87</v>
      </c>
      <c r="AS97" s="1127">
        <v>0.33333333333333331</v>
      </c>
      <c r="AT97" s="1127"/>
      <c r="AU97" s="1127">
        <v>0.33333333333333331</v>
      </c>
      <c r="AV97" s="1127"/>
      <c r="AW97" s="1127"/>
      <c r="AX97" s="1127"/>
      <c r="AY97" s="1127"/>
      <c r="AZ97" s="1127">
        <v>0.33333333333333331</v>
      </c>
      <c r="BA97" s="1129">
        <v>1420.4456380952381</v>
      </c>
      <c r="BB97" s="1129">
        <v>0</v>
      </c>
      <c r="BC97" s="1129">
        <v>1420.4456380952381</v>
      </c>
      <c r="BD97" s="1129">
        <v>0</v>
      </c>
      <c r="BE97" s="1129">
        <v>0</v>
      </c>
      <c r="BF97" s="1129">
        <v>0</v>
      </c>
      <c r="BG97" s="1129">
        <v>0</v>
      </c>
      <c r="BH97" s="1129">
        <v>1420.4456380952381</v>
      </c>
      <c r="BI97" s="1981"/>
      <c r="BJ97" s="971"/>
      <c r="BK97" s="971"/>
      <c r="BL97" s="1246"/>
      <c r="BM97" s="1247" t="s">
        <v>2123</v>
      </c>
    </row>
    <row r="98" spans="1:65" s="1247" customFormat="1" ht="66" customHeight="1">
      <c r="A98" s="1272">
        <v>2000</v>
      </c>
      <c r="B98" s="971" t="s">
        <v>119</v>
      </c>
      <c r="C98" s="1272">
        <v>2600</v>
      </c>
      <c r="D98" s="971" t="s">
        <v>838</v>
      </c>
      <c r="E98" s="971" t="s">
        <v>839</v>
      </c>
      <c r="F98" s="971" t="s">
        <v>840</v>
      </c>
      <c r="G98" s="971" t="s">
        <v>4356</v>
      </c>
      <c r="H98" s="971" t="s">
        <v>840</v>
      </c>
      <c r="I98" s="1273" t="s">
        <v>7331</v>
      </c>
      <c r="J98" s="971" t="s">
        <v>2143</v>
      </c>
      <c r="K98" s="971" t="s">
        <v>1768</v>
      </c>
      <c r="L98" s="971" t="s">
        <v>3420</v>
      </c>
      <c r="M98" s="971" t="s">
        <v>1768</v>
      </c>
      <c r="N98" s="971" t="s">
        <v>179</v>
      </c>
      <c r="O98" s="971" t="s">
        <v>1769</v>
      </c>
      <c r="P98" s="971" t="s">
        <v>6663</v>
      </c>
      <c r="Q98" s="971" t="s">
        <v>7332</v>
      </c>
      <c r="R98" s="971" t="s">
        <v>4357</v>
      </c>
      <c r="S98" s="1274">
        <v>1</v>
      </c>
      <c r="T98" s="971" t="s">
        <v>242</v>
      </c>
      <c r="U98" s="1275">
        <v>8.1</v>
      </c>
      <c r="V98" s="1275">
        <v>106.5</v>
      </c>
      <c r="W98" s="1275">
        <v>809.29838571428581</v>
      </c>
      <c r="X98" s="1275">
        <v>1065</v>
      </c>
      <c r="Y98" s="1275">
        <v>1980.7983857142858</v>
      </c>
      <c r="Z98" s="1129">
        <v>8.1</v>
      </c>
      <c r="AA98" s="1129">
        <v>106.5</v>
      </c>
      <c r="AB98" s="1129">
        <v>809.29838571428581</v>
      </c>
      <c r="AC98" s="1129">
        <v>1065</v>
      </c>
      <c r="AD98" s="1098">
        <v>1980.7983857142858</v>
      </c>
      <c r="AE98" s="1135">
        <v>0.5</v>
      </c>
      <c r="AF98" s="1129">
        <v>0.5</v>
      </c>
      <c r="AG98" s="1127">
        <v>1</v>
      </c>
      <c r="AH98" s="1127">
        <v>0</v>
      </c>
      <c r="AI98" s="1127">
        <v>0</v>
      </c>
      <c r="AJ98" s="1127">
        <v>1</v>
      </c>
      <c r="AK98" s="1129">
        <v>1980.7983857142858</v>
      </c>
      <c r="AL98" s="1129">
        <v>0</v>
      </c>
      <c r="AM98" s="1129">
        <v>0</v>
      </c>
      <c r="AN98" s="1129">
        <v>1980.7983857142858</v>
      </c>
      <c r="AO98" s="1129" t="s">
        <v>131</v>
      </c>
      <c r="AP98" s="1129" t="s">
        <v>96</v>
      </c>
      <c r="AQ98" s="1157">
        <v>2014</v>
      </c>
      <c r="AR98" s="1129" t="s">
        <v>87</v>
      </c>
      <c r="AS98" s="1127">
        <v>0.33333333333333331</v>
      </c>
      <c r="AT98" s="1127"/>
      <c r="AU98" s="1127">
        <v>0.33333333333333331</v>
      </c>
      <c r="AV98" s="1127"/>
      <c r="AW98" s="1127"/>
      <c r="AX98" s="1127"/>
      <c r="AY98" s="1127"/>
      <c r="AZ98" s="1127">
        <v>0.33333333333333331</v>
      </c>
      <c r="BA98" s="1129">
        <v>660.26612857142857</v>
      </c>
      <c r="BB98" s="1129">
        <v>0</v>
      </c>
      <c r="BC98" s="1129">
        <v>660.26612857142857</v>
      </c>
      <c r="BD98" s="1129">
        <v>0</v>
      </c>
      <c r="BE98" s="1129">
        <v>0</v>
      </c>
      <c r="BF98" s="1129">
        <v>0</v>
      </c>
      <c r="BG98" s="1129">
        <v>0</v>
      </c>
      <c r="BH98" s="1129">
        <v>660.26612857142857</v>
      </c>
      <c r="BI98" s="1981"/>
      <c r="BJ98" s="971"/>
      <c r="BK98" s="971"/>
      <c r="BL98" s="1246"/>
      <c r="BM98" s="1247" t="s">
        <v>1768</v>
      </c>
    </row>
    <row r="99" spans="1:65" s="1247" customFormat="1" ht="66" customHeight="1">
      <c r="A99" s="1272">
        <v>2000</v>
      </c>
      <c r="B99" s="971" t="s">
        <v>119</v>
      </c>
      <c r="C99" s="1272">
        <v>2600</v>
      </c>
      <c r="D99" s="971" t="s">
        <v>838</v>
      </c>
      <c r="E99" s="971" t="s">
        <v>839</v>
      </c>
      <c r="F99" s="971" t="s">
        <v>840</v>
      </c>
      <c r="G99" s="971" t="s">
        <v>4356</v>
      </c>
      <c r="H99" s="971" t="s">
        <v>840</v>
      </c>
      <c r="I99" s="1273" t="s">
        <v>7333</v>
      </c>
      <c r="J99" s="971" t="s">
        <v>2143</v>
      </c>
      <c r="K99" s="971" t="s">
        <v>1768</v>
      </c>
      <c r="L99" s="971" t="s">
        <v>3420</v>
      </c>
      <c r="M99" s="971" t="s">
        <v>1768</v>
      </c>
      <c r="N99" s="971" t="s">
        <v>179</v>
      </c>
      <c r="O99" s="971" t="s">
        <v>1769</v>
      </c>
      <c r="P99" s="971" t="s">
        <v>6663</v>
      </c>
      <c r="Q99" s="971" t="s">
        <v>7332</v>
      </c>
      <c r="R99" s="971" t="s">
        <v>4360</v>
      </c>
      <c r="S99" s="1274">
        <v>1</v>
      </c>
      <c r="T99" s="971" t="s">
        <v>242</v>
      </c>
      <c r="U99" s="1275">
        <v>8.1</v>
      </c>
      <c r="V99" s="1275">
        <v>106.5</v>
      </c>
      <c r="W99" s="1275">
        <v>809.29838571428581</v>
      </c>
      <c r="X99" s="1275">
        <v>1065</v>
      </c>
      <c r="Y99" s="1275">
        <v>1980.7983857142858</v>
      </c>
      <c r="Z99" s="1129">
        <v>8.1</v>
      </c>
      <c r="AA99" s="1129">
        <v>106.5</v>
      </c>
      <c r="AB99" s="1129">
        <v>809.29838571428581</v>
      </c>
      <c r="AC99" s="1129">
        <v>1065</v>
      </c>
      <c r="AD99" s="1098">
        <v>1980.7983857142858</v>
      </c>
      <c r="AE99" s="1135">
        <v>0.5</v>
      </c>
      <c r="AF99" s="1129">
        <v>0.5</v>
      </c>
      <c r="AG99" s="1127">
        <v>1</v>
      </c>
      <c r="AH99" s="1127">
        <v>0</v>
      </c>
      <c r="AI99" s="1127">
        <v>0</v>
      </c>
      <c r="AJ99" s="1127">
        <v>1</v>
      </c>
      <c r="AK99" s="1129">
        <v>1980.7983857142858</v>
      </c>
      <c r="AL99" s="1129">
        <v>0</v>
      </c>
      <c r="AM99" s="1129">
        <v>0</v>
      </c>
      <c r="AN99" s="1129">
        <v>1980.7983857142858</v>
      </c>
      <c r="AO99" s="1129" t="s">
        <v>131</v>
      </c>
      <c r="AP99" s="1129" t="s">
        <v>96</v>
      </c>
      <c r="AQ99" s="1157">
        <v>2014</v>
      </c>
      <c r="AR99" s="1129" t="s">
        <v>87</v>
      </c>
      <c r="AS99" s="1127">
        <v>0.33333333333333331</v>
      </c>
      <c r="AT99" s="1127"/>
      <c r="AU99" s="1127">
        <v>0.33333333333333331</v>
      </c>
      <c r="AV99" s="1127"/>
      <c r="AW99" s="1127"/>
      <c r="AX99" s="1127"/>
      <c r="AY99" s="1127"/>
      <c r="AZ99" s="1127">
        <v>0.33333333333333331</v>
      </c>
      <c r="BA99" s="1129">
        <v>660.26612857142857</v>
      </c>
      <c r="BB99" s="1129">
        <v>0</v>
      </c>
      <c r="BC99" s="1129">
        <v>660.26612857142857</v>
      </c>
      <c r="BD99" s="1129">
        <v>0</v>
      </c>
      <c r="BE99" s="1129">
        <v>0</v>
      </c>
      <c r="BF99" s="1129">
        <v>0</v>
      </c>
      <c r="BG99" s="1129">
        <v>0</v>
      </c>
      <c r="BH99" s="1129">
        <v>660.26612857142857</v>
      </c>
      <c r="BI99" s="1981"/>
      <c r="BJ99" s="971"/>
      <c r="BK99" s="971"/>
      <c r="BL99" s="1246"/>
      <c r="BM99" s="1247" t="s">
        <v>1768</v>
      </c>
    </row>
    <row r="100" spans="1:65" s="1247" customFormat="1" ht="66" customHeight="1">
      <c r="A100" s="1272">
        <v>2000</v>
      </c>
      <c r="B100" s="971" t="s">
        <v>119</v>
      </c>
      <c r="C100" s="1272">
        <v>2600</v>
      </c>
      <c r="D100" s="971" t="s">
        <v>838</v>
      </c>
      <c r="E100" s="971" t="s">
        <v>839</v>
      </c>
      <c r="F100" s="971" t="s">
        <v>840</v>
      </c>
      <c r="G100" s="971" t="s">
        <v>841</v>
      </c>
      <c r="H100" s="971" t="s">
        <v>842</v>
      </c>
      <c r="I100" s="1273" t="s">
        <v>7334</v>
      </c>
      <c r="J100" s="971" t="s">
        <v>868</v>
      </c>
      <c r="K100" s="971" t="s">
        <v>1768</v>
      </c>
      <c r="L100" s="971" t="s">
        <v>3420</v>
      </c>
      <c r="M100" s="971" t="s">
        <v>1768</v>
      </c>
      <c r="N100" s="971" t="s">
        <v>179</v>
      </c>
      <c r="O100" s="971" t="s">
        <v>1769</v>
      </c>
      <c r="P100" s="971" t="s">
        <v>7335</v>
      </c>
      <c r="Q100" s="971" t="s">
        <v>7336</v>
      </c>
      <c r="R100" s="971" t="s">
        <v>866</v>
      </c>
      <c r="S100" s="1274">
        <v>1</v>
      </c>
      <c r="T100" s="971" t="s">
        <v>242</v>
      </c>
      <c r="U100" s="1275">
        <v>8.1</v>
      </c>
      <c r="V100" s="1275">
        <v>106.5</v>
      </c>
      <c r="W100" s="1275">
        <v>809.29838571428581</v>
      </c>
      <c r="X100" s="1275">
        <v>1065</v>
      </c>
      <c r="Y100" s="1275">
        <v>1980.7983857142858</v>
      </c>
      <c r="Z100" s="1129">
        <v>8.1</v>
      </c>
      <c r="AA100" s="1129">
        <v>106.5</v>
      </c>
      <c r="AB100" s="1129">
        <v>809.29838571428581</v>
      </c>
      <c r="AC100" s="1129">
        <v>1065</v>
      </c>
      <c r="AD100" s="1098">
        <v>1980.7983857142858</v>
      </c>
      <c r="AE100" s="1135">
        <v>0.5</v>
      </c>
      <c r="AF100" s="1129">
        <v>0.5</v>
      </c>
      <c r="AG100" s="1127">
        <v>1</v>
      </c>
      <c r="AH100" s="1127">
        <v>0</v>
      </c>
      <c r="AI100" s="1127">
        <v>0</v>
      </c>
      <c r="AJ100" s="1127">
        <v>1</v>
      </c>
      <c r="AK100" s="1129">
        <v>1980.7983857142858</v>
      </c>
      <c r="AL100" s="1129">
        <v>0</v>
      </c>
      <c r="AM100" s="1129">
        <v>0</v>
      </c>
      <c r="AN100" s="1129">
        <v>1980.7983857142858</v>
      </c>
      <c r="AO100" s="1129" t="s">
        <v>131</v>
      </c>
      <c r="AP100" s="1129" t="s">
        <v>96</v>
      </c>
      <c r="AQ100" s="1157">
        <v>2014</v>
      </c>
      <c r="AR100" s="1129" t="s">
        <v>87</v>
      </c>
      <c r="AS100" s="1127">
        <v>0.5</v>
      </c>
      <c r="AT100" s="1127">
        <v>0.5</v>
      </c>
      <c r="AU100" s="1127"/>
      <c r="AV100" s="1127"/>
      <c r="AW100" s="1127"/>
      <c r="AX100" s="1127"/>
      <c r="AY100" s="1127"/>
      <c r="AZ100" s="1127"/>
      <c r="BA100" s="1129">
        <v>990.39919285714291</v>
      </c>
      <c r="BB100" s="1129">
        <v>990.39919285714291</v>
      </c>
      <c r="BC100" s="1129">
        <v>0</v>
      </c>
      <c r="BD100" s="1129">
        <v>0</v>
      </c>
      <c r="BE100" s="1129">
        <v>0</v>
      </c>
      <c r="BF100" s="1129">
        <v>0</v>
      </c>
      <c r="BG100" s="1129">
        <v>0</v>
      </c>
      <c r="BH100" s="1129">
        <v>0</v>
      </c>
      <c r="BI100" s="1981"/>
      <c r="BJ100" s="971"/>
      <c r="BK100" s="971"/>
      <c r="BL100" s="1246"/>
      <c r="BM100" s="1247" t="s">
        <v>1768</v>
      </c>
    </row>
    <row r="101" spans="1:65" s="1247" customFormat="1" ht="66" customHeight="1">
      <c r="A101" s="1272">
        <v>2000</v>
      </c>
      <c r="B101" s="971" t="s">
        <v>119</v>
      </c>
      <c r="C101" s="1272">
        <v>2600</v>
      </c>
      <c r="D101" s="971" t="s">
        <v>838</v>
      </c>
      <c r="E101" s="971" t="s">
        <v>839</v>
      </c>
      <c r="F101" s="971" t="s">
        <v>840</v>
      </c>
      <c r="G101" s="971" t="s">
        <v>841</v>
      </c>
      <c r="H101" s="971" t="s">
        <v>842</v>
      </c>
      <c r="I101" s="1273" t="s">
        <v>7337</v>
      </c>
      <c r="J101" s="971" t="s">
        <v>868</v>
      </c>
      <c r="K101" s="971" t="s">
        <v>1768</v>
      </c>
      <c r="L101" s="971" t="s">
        <v>3420</v>
      </c>
      <c r="M101" s="971" t="s">
        <v>1768</v>
      </c>
      <c r="N101" s="971" t="s">
        <v>179</v>
      </c>
      <c r="O101" s="971" t="s">
        <v>1769</v>
      </c>
      <c r="P101" s="971" t="s">
        <v>7335</v>
      </c>
      <c r="Q101" s="971" t="s">
        <v>7338</v>
      </c>
      <c r="R101" s="971" t="s">
        <v>864</v>
      </c>
      <c r="S101" s="1274">
        <v>1</v>
      </c>
      <c r="T101" s="971" t="s">
        <v>242</v>
      </c>
      <c r="U101" s="1275">
        <v>8.1</v>
      </c>
      <c r="V101" s="1275">
        <v>106.5</v>
      </c>
      <c r="W101" s="1275">
        <v>809.29838571428581</v>
      </c>
      <c r="X101" s="1275">
        <v>1065</v>
      </c>
      <c r="Y101" s="1275">
        <v>1980.7983857142858</v>
      </c>
      <c r="Z101" s="1129">
        <v>8.1</v>
      </c>
      <c r="AA101" s="1129">
        <v>106.5</v>
      </c>
      <c r="AB101" s="1129">
        <v>809.29838571428581</v>
      </c>
      <c r="AC101" s="1129">
        <v>1065</v>
      </c>
      <c r="AD101" s="1098">
        <v>1980.7983857142858</v>
      </c>
      <c r="AE101" s="1135">
        <v>0.5</v>
      </c>
      <c r="AF101" s="1129">
        <v>0.5</v>
      </c>
      <c r="AG101" s="1127">
        <v>1</v>
      </c>
      <c r="AH101" s="1127">
        <v>0</v>
      </c>
      <c r="AI101" s="1127">
        <v>0</v>
      </c>
      <c r="AJ101" s="1127">
        <v>1</v>
      </c>
      <c r="AK101" s="1129">
        <v>1980.7983857142858</v>
      </c>
      <c r="AL101" s="1129">
        <v>0</v>
      </c>
      <c r="AM101" s="1129">
        <v>0</v>
      </c>
      <c r="AN101" s="1129">
        <v>1980.7983857142858</v>
      </c>
      <c r="AO101" s="1129" t="s">
        <v>131</v>
      </c>
      <c r="AP101" s="1129" t="s">
        <v>96</v>
      </c>
      <c r="AQ101" s="1157">
        <v>2014</v>
      </c>
      <c r="AR101" s="1129" t="s">
        <v>87</v>
      </c>
      <c r="AS101" s="1127">
        <v>0.5</v>
      </c>
      <c r="AT101" s="1127">
        <v>0.5</v>
      </c>
      <c r="AU101" s="1127"/>
      <c r="AV101" s="1127"/>
      <c r="AW101" s="1127"/>
      <c r="AX101" s="1127"/>
      <c r="AY101" s="1127"/>
      <c r="AZ101" s="1127"/>
      <c r="BA101" s="1129">
        <v>990.39919285714291</v>
      </c>
      <c r="BB101" s="1129">
        <v>990.39919285714291</v>
      </c>
      <c r="BC101" s="1129">
        <v>0</v>
      </c>
      <c r="BD101" s="1129">
        <v>0</v>
      </c>
      <c r="BE101" s="1129">
        <v>0</v>
      </c>
      <c r="BF101" s="1129">
        <v>0</v>
      </c>
      <c r="BG101" s="1129">
        <v>0</v>
      </c>
      <c r="BH101" s="1129">
        <v>0</v>
      </c>
      <c r="BI101" s="1981"/>
      <c r="BJ101" s="971"/>
      <c r="BK101" s="971"/>
      <c r="BL101" s="1246"/>
      <c r="BM101" s="1247" t="s">
        <v>1768</v>
      </c>
    </row>
    <row r="102" spans="1:65" s="1247" customFormat="1" ht="66" customHeight="1">
      <c r="A102" s="1272">
        <v>2000</v>
      </c>
      <c r="B102" s="971" t="s">
        <v>119</v>
      </c>
      <c r="C102" s="1272">
        <v>2600</v>
      </c>
      <c r="D102" s="971" t="s">
        <v>838</v>
      </c>
      <c r="E102" s="971" t="s">
        <v>839</v>
      </c>
      <c r="F102" s="971" t="s">
        <v>840</v>
      </c>
      <c r="G102" s="971" t="s">
        <v>841</v>
      </c>
      <c r="H102" s="971" t="s">
        <v>842</v>
      </c>
      <c r="I102" s="1273" t="s">
        <v>7339</v>
      </c>
      <c r="J102" s="971" t="s">
        <v>2143</v>
      </c>
      <c r="K102" s="971" t="s">
        <v>1768</v>
      </c>
      <c r="L102" s="971" t="s">
        <v>3420</v>
      </c>
      <c r="M102" s="971" t="s">
        <v>1768</v>
      </c>
      <c r="N102" s="971" t="s">
        <v>179</v>
      </c>
      <c r="O102" s="971" t="s">
        <v>1769</v>
      </c>
      <c r="P102" s="971" t="s">
        <v>6663</v>
      </c>
      <c r="Q102" s="971" t="s">
        <v>7340</v>
      </c>
      <c r="R102" s="971" t="s">
        <v>4366</v>
      </c>
      <c r="S102" s="1274">
        <v>1</v>
      </c>
      <c r="T102" s="971" t="s">
        <v>242</v>
      </c>
      <c r="U102" s="1275">
        <v>8.1</v>
      </c>
      <c r="V102" s="1275">
        <v>106.5</v>
      </c>
      <c r="W102" s="1275">
        <v>809.29838571428581</v>
      </c>
      <c r="X102" s="1275">
        <v>1065</v>
      </c>
      <c r="Y102" s="1275">
        <v>1980.7983857142858</v>
      </c>
      <c r="Z102" s="1129">
        <v>8.1</v>
      </c>
      <c r="AA102" s="1129">
        <v>106.5</v>
      </c>
      <c r="AB102" s="1129">
        <v>809.29838571428581</v>
      </c>
      <c r="AC102" s="1129">
        <v>1065</v>
      </c>
      <c r="AD102" s="1098">
        <v>1980.7983857142858</v>
      </c>
      <c r="AE102" s="1135">
        <v>0.5</v>
      </c>
      <c r="AF102" s="1129">
        <v>0.5</v>
      </c>
      <c r="AG102" s="1127">
        <v>1</v>
      </c>
      <c r="AH102" s="1127">
        <v>0</v>
      </c>
      <c r="AI102" s="1127">
        <v>0</v>
      </c>
      <c r="AJ102" s="1127">
        <v>1</v>
      </c>
      <c r="AK102" s="1129">
        <v>1980.7983857142858</v>
      </c>
      <c r="AL102" s="1129">
        <v>0</v>
      </c>
      <c r="AM102" s="1129">
        <v>0</v>
      </c>
      <c r="AN102" s="1129">
        <v>1980.7983857142858</v>
      </c>
      <c r="AO102" s="1129" t="s">
        <v>131</v>
      </c>
      <c r="AP102" s="1129" t="s">
        <v>96</v>
      </c>
      <c r="AQ102" s="1157">
        <v>2014</v>
      </c>
      <c r="AR102" s="1129" t="s">
        <v>87</v>
      </c>
      <c r="AS102" s="1127">
        <v>0.5</v>
      </c>
      <c r="AT102" s="1127">
        <v>0.5</v>
      </c>
      <c r="AU102" s="1127"/>
      <c r="AV102" s="1127"/>
      <c r="AW102" s="1127"/>
      <c r="AX102" s="1127"/>
      <c r="AY102" s="1127"/>
      <c r="AZ102" s="1127"/>
      <c r="BA102" s="1129">
        <v>990.39919285714291</v>
      </c>
      <c r="BB102" s="1129">
        <v>990.39919285714291</v>
      </c>
      <c r="BC102" s="1129">
        <v>0</v>
      </c>
      <c r="BD102" s="1129">
        <v>0</v>
      </c>
      <c r="BE102" s="1129">
        <v>0</v>
      </c>
      <c r="BF102" s="1129">
        <v>0</v>
      </c>
      <c r="BG102" s="1129">
        <v>0</v>
      </c>
      <c r="BH102" s="1129">
        <v>0</v>
      </c>
      <c r="BI102" s="1981"/>
      <c r="BJ102" s="971"/>
      <c r="BK102" s="971"/>
      <c r="BL102" s="1246"/>
      <c r="BM102" s="1247" t="s">
        <v>1768</v>
      </c>
    </row>
    <row r="103" spans="1:65" s="1247" customFormat="1" ht="66" customHeight="1">
      <c r="A103" s="1272">
        <v>2000</v>
      </c>
      <c r="B103" s="971" t="s">
        <v>119</v>
      </c>
      <c r="C103" s="1272">
        <v>2600</v>
      </c>
      <c r="D103" s="971" t="s">
        <v>838</v>
      </c>
      <c r="E103" s="971" t="s">
        <v>839</v>
      </c>
      <c r="F103" s="971" t="s">
        <v>840</v>
      </c>
      <c r="G103" s="971" t="s">
        <v>841</v>
      </c>
      <c r="H103" s="971" t="s">
        <v>842</v>
      </c>
      <c r="I103" s="1273" t="s">
        <v>7341</v>
      </c>
      <c r="J103" s="971" t="s">
        <v>2143</v>
      </c>
      <c r="K103" s="971" t="s">
        <v>1768</v>
      </c>
      <c r="L103" s="971" t="s">
        <v>3420</v>
      </c>
      <c r="M103" s="971" t="s">
        <v>1768</v>
      </c>
      <c r="N103" s="971" t="s">
        <v>179</v>
      </c>
      <c r="O103" s="971" t="s">
        <v>1769</v>
      </c>
      <c r="P103" s="971" t="s">
        <v>6663</v>
      </c>
      <c r="Q103" s="971" t="s">
        <v>7342</v>
      </c>
      <c r="R103" s="971" t="s">
        <v>4368</v>
      </c>
      <c r="S103" s="1274">
        <v>1</v>
      </c>
      <c r="T103" s="971" t="s">
        <v>242</v>
      </c>
      <c r="U103" s="1275">
        <v>8.1</v>
      </c>
      <c r="V103" s="1275">
        <v>106.5</v>
      </c>
      <c r="W103" s="1275">
        <v>809.29838571428581</v>
      </c>
      <c r="X103" s="1275">
        <v>1065</v>
      </c>
      <c r="Y103" s="1275">
        <v>1980.7983857142858</v>
      </c>
      <c r="Z103" s="1129">
        <v>8.1</v>
      </c>
      <c r="AA103" s="1129">
        <v>106.5</v>
      </c>
      <c r="AB103" s="1129">
        <v>809.29838571428581</v>
      </c>
      <c r="AC103" s="1129">
        <v>1065</v>
      </c>
      <c r="AD103" s="1098">
        <v>1980.7983857142858</v>
      </c>
      <c r="AE103" s="1135">
        <v>0.5</v>
      </c>
      <c r="AF103" s="1129">
        <v>0.5</v>
      </c>
      <c r="AG103" s="1127">
        <v>1</v>
      </c>
      <c r="AH103" s="1127">
        <v>0</v>
      </c>
      <c r="AI103" s="1127">
        <v>0</v>
      </c>
      <c r="AJ103" s="1127">
        <v>1</v>
      </c>
      <c r="AK103" s="1129">
        <v>1980.7983857142858</v>
      </c>
      <c r="AL103" s="1129">
        <v>0</v>
      </c>
      <c r="AM103" s="1129">
        <v>0</v>
      </c>
      <c r="AN103" s="1129">
        <v>1980.7983857142858</v>
      </c>
      <c r="AO103" s="1129" t="s">
        <v>131</v>
      </c>
      <c r="AP103" s="1129" t="s">
        <v>96</v>
      </c>
      <c r="AQ103" s="1157">
        <v>2014</v>
      </c>
      <c r="AR103" s="1129" t="s">
        <v>87</v>
      </c>
      <c r="AS103" s="1127">
        <v>0.5</v>
      </c>
      <c r="AT103" s="1127">
        <v>0.5</v>
      </c>
      <c r="AU103" s="1127"/>
      <c r="AV103" s="1127"/>
      <c r="AW103" s="1127"/>
      <c r="AX103" s="1127"/>
      <c r="AY103" s="1127"/>
      <c r="AZ103" s="1127"/>
      <c r="BA103" s="1129">
        <v>990.39919285714291</v>
      </c>
      <c r="BB103" s="1129">
        <v>990.39919285714291</v>
      </c>
      <c r="BC103" s="1129">
        <v>0</v>
      </c>
      <c r="BD103" s="1129">
        <v>0</v>
      </c>
      <c r="BE103" s="1129">
        <v>0</v>
      </c>
      <c r="BF103" s="1129">
        <v>0</v>
      </c>
      <c r="BG103" s="1129">
        <v>0</v>
      </c>
      <c r="BH103" s="1129">
        <v>0</v>
      </c>
      <c r="BI103" s="1981"/>
      <c r="BJ103" s="971"/>
      <c r="BK103" s="971"/>
      <c r="BL103" s="1246"/>
      <c r="BM103" s="1247" t="s">
        <v>1768</v>
      </c>
    </row>
    <row r="104" spans="1:65" s="1247" customFormat="1" ht="66" customHeight="1">
      <c r="A104" s="1272">
        <v>2000</v>
      </c>
      <c r="B104" s="971" t="s">
        <v>119</v>
      </c>
      <c r="C104" s="1272">
        <v>2600</v>
      </c>
      <c r="D104" s="971" t="s">
        <v>838</v>
      </c>
      <c r="E104" s="971" t="s">
        <v>839</v>
      </c>
      <c r="F104" s="971" t="s">
        <v>840</v>
      </c>
      <c r="G104" s="971" t="s">
        <v>841</v>
      </c>
      <c r="H104" s="971" t="s">
        <v>842</v>
      </c>
      <c r="I104" s="1273" t="s">
        <v>7343</v>
      </c>
      <c r="J104" s="971" t="s">
        <v>2143</v>
      </c>
      <c r="K104" s="971" t="s">
        <v>1768</v>
      </c>
      <c r="L104" s="971" t="s">
        <v>3420</v>
      </c>
      <c r="M104" s="971" t="s">
        <v>1768</v>
      </c>
      <c r="N104" s="971" t="s">
        <v>179</v>
      </c>
      <c r="O104" s="971" t="s">
        <v>1769</v>
      </c>
      <c r="P104" s="971" t="s">
        <v>6663</v>
      </c>
      <c r="Q104" s="971" t="s">
        <v>7344</v>
      </c>
      <c r="R104" s="971" t="s">
        <v>4370</v>
      </c>
      <c r="S104" s="1274">
        <v>1</v>
      </c>
      <c r="T104" s="971" t="s">
        <v>242</v>
      </c>
      <c r="U104" s="1275">
        <v>8.1</v>
      </c>
      <c r="V104" s="1275">
        <v>106.5</v>
      </c>
      <c r="W104" s="1275">
        <v>809.29838571428581</v>
      </c>
      <c r="X104" s="1275">
        <v>1065</v>
      </c>
      <c r="Y104" s="1275">
        <v>1980.7983857142858</v>
      </c>
      <c r="Z104" s="1129">
        <v>8.1</v>
      </c>
      <c r="AA104" s="1129">
        <v>106.5</v>
      </c>
      <c r="AB104" s="1129">
        <v>809.29838571428581</v>
      </c>
      <c r="AC104" s="1129">
        <v>1065</v>
      </c>
      <c r="AD104" s="1098">
        <v>1980.7983857142858</v>
      </c>
      <c r="AE104" s="1135">
        <v>0.5</v>
      </c>
      <c r="AF104" s="1129">
        <v>0.5</v>
      </c>
      <c r="AG104" s="1127">
        <v>1</v>
      </c>
      <c r="AH104" s="1127">
        <v>0</v>
      </c>
      <c r="AI104" s="1127">
        <v>0</v>
      </c>
      <c r="AJ104" s="1127">
        <v>1</v>
      </c>
      <c r="AK104" s="1129">
        <v>1980.7983857142858</v>
      </c>
      <c r="AL104" s="1129">
        <v>0</v>
      </c>
      <c r="AM104" s="1129">
        <v>0</v>
      </c>
      <c r="AN104" s="1129">
        <v>1980.7983857142858</v>
      </c>
      <c r="AO104" s="1129" t="s">
        <v>131</v>
      </c>
      <c r="AP104" s="1129" t="s">
        <v>96</v>
      </c>
      <c r="AQ104" s="1157">
        <v>2014</v>
      </c>
      <c r="AR104" s="1129" t="s">
        <v>87</v>
      </c>
      <c r="AS104" s="1127">
        <v>0.5</v>
      </c>
      <c r="AT104" s="1127">
        <v>0.5</v>
      </c>
      <c r="AU104" s="1127"/>
      <c r="AV104" s="1127"/>
      <c r="AW104" s="1127"/>
      <c r="AX104" s="1127"/>
      <c r="AY104" s="1127"/>
      <c r="AZ104" s="1127"/>
      <c r="BA104" s="1129">
        <v>990.39919285714291</v>
      </c>
      <c r="BB104" s="1129">
        <v>990.39919285714291</v>
      </c>
      <c r="BC104" s="1129">
        <v>0</v>
      </c>
      <c r="BD104" s="1129">
        <v>0</v>
      </c>
      <c r="BE104" s="1129">
        <v>0</v>
      </c>
      <c r="BF104" s="1129">
        <v>0</v>
      </c>
      <c r="BG104" s="1129">
        <v>0</v>
      </c>
      <c r="BH104" s="1129">
        <v>0</v>
      </c>
      <c r="BI104" s="1981"/>
      <c r="BJ104" s="971"/>
      <c r="BK104" s="971"/>
      <c r="BL104" s="1246"/>
      <c r="BM104" s="1247" t="s">
        <v>1768</v>
      </c>
    </row>
    <row r="105" spans="1:65" s="1247" customFormat="1" ht="66" customHeight="1">
      <c r="A105" s="1272">
        <v>2000</v>
      </c>
      <c r="B105" s="971" t="s">
        <v>119</v>
      </c>
      <c r="C105" s="1272">
        <v>2600</v>
      </c>
      <c r="D105" s="971" t="s">
        <v>838</v>
      </c>
      <c r="E105" s="971" t="s">
        <v>839</v>
      </c>
      <c r="F105" s="971" t="s">
        <v>840</v>
      </c>
      <c r="G105" s="971" t="s">
        <v>841</v>
      </c>
      <c r="H105" s="971" t="s">
        <v>842</v>
      </c>
      <c r="I105" s="1273" t="s">
        <v>7345</v>
      </c>
      <c r="J105" s="971" t="s">
        <v>2143</v>
      </c>
      <c r="K105" s="971" t="s">
        <v>1768</v>
      </c>
      <c r="L105" s="971" t="s">
        <v>3420</v>
      </c>
      <c r="M105" s="971" t="s">
        <v>1768</v>
      </c>
      <c r="N105" s="971" t="s">
        <v>179</v>
      </c>
      <c r="O105" s="971" t="s">
        <v>1769</v>
      </c>
      <c r="P105" s="971" t="s">
        <v>6663</v>
      </c>
      <c r="Q105" s="971" t="s">
        <v>7346</v>
      </c>
      <c r="R105" s="971" t="s">
        <v>4372</v>
      </c>
      <c r="S105" s="1274">
        <v>1</v>
      </c>
      <c r="T105" s="971" t="s">
        <v>242</v>
      </c>
      <c r="U105" s="1275">
        <v>8.1</v>
      </c>
      <c r="V105" s="1275">
        <v>106.5</v>
      </c>
      <c r="W105" s="1275">
        <v>809.29838571428581</v>
      </c>
      <c r="X105" s="1275">
        <v>1065</v>
      </c>
      <c r="Y105" s="1275">
        <v>1980.7983857142858</v>
      </c>
      <c r="Z105" s="1129">
        <v>8.1</v>
      </c>
      <c r="AA105" s="1129">
        <v>106.5</v>
      </c>
      <c r="AB105" s="1129">
        <v>809.29838571428581</v>
      </c>
      <c r="AC105" s="1129">
        <v>1065</v>
      </c>
      <c r="AD105" s="1098">
        <v>1980.7983857142858</v>
      </c>
      <c r="AE105" s="1135">
        <v>0.5</v>
      </c>
      <c r="AF105" s="1129">
        <v>0.5</v>
      </c>
      <c r="AG105" s="1127">
        <v>1</v>
      </c>
      <c r="AH105" s="1127">
        <v>0</v>
      </c>
      <c r="AI105" s="1127">
        <v>0</v>
      </c>
      <c r="AJ105" s="1127">
        <v>1</v>
      </c>
      <c r="AK105" s="1129">
        <v>1980.7983857142858</v>
      </c>
      <c r="AL105" s="1129">
        <v>0</v>
      </c>
      <c r="AM105" s="1129">
        <v>0</v>
      </c>
      <c r="AN105" s="1129">
        <v>1980.7983857142858</v>
      </c>
      <c r="AO105" s="1129" t="s">
        <v>131</v>
      </c>
      <c r="AP105" s="1129" t="s">
        <v>96</v>
      </c>
      <c r="AQ105" s="1157">
        <v>2014</v>
      </c>
      <c r="AR105" s="1129" t="s">
        <v>87</v>
      </c>
      <c r="AS105" s="1127">
        <v>0.5</v>
      </c>
      <c r="AT105" s="1127">
        <v>0.5</v>
      </c>
      <c r="AU105" s="1127"/>
      <c r="AV105" s="1127"/>
      <c r="AW105" s="1127"/>
      <c r="AX105" s="1127"/>
      <c r="AY105" s="1127"/>
      <c r="AZ105" s="1127"/>
      <c r="BA105" s="1129">
        <v>990.39919285714291</v>
      </c>
      <c r="BB105" s="1129">
        <v>990.39919285714291</v>
      </c>
      <c r="BC105" s="1129">
        <v>0</v>
      </c>
      <c r="BD105" s="1129">
        <v>0</v>
      </c>
      <c r="BE105" s="1129">
        <v>0</v>
      </c>
      <c r="BF105" s="1129">
        <v>0</v>
      </c>
      <c r="BG105" s="1129">
        <v>0</v>
      </c>
      <c r="BH105" s="1129">
        <v>0</v>
      </c>
      <c r="BI105" s="1981"/>
      <c r="BJ105" s="971"/>
      <c r="BK105" s="971"/>
      <c r="BL105" s="1246"/>
      <c r="BM105" s="1247" t="s">
        <v>1768</v>
      </c>
    </row>
    <row r="106" spans="1:65" s="1247" customFormat="1" ht="66" customHeight="1">
      <c r="A106" s="1272">
        <v>2000</v>
      </c>
      <c r="B106" s="971" t="s">
        <v>119</v>
      </c>
      <c r="C106" s="1272">
        <v>2600</v>
      </c>
      <c r="D106" s="971" t="s">
        <v>838</v>
      </c>
      <c r="E106" s="971" t="s">
        <v>839</v>
      </c>
      <c r="F106" s="971" t="s">
        <v>840</v>
      </c>
      <c r="G106" s="971" t="s">
        <v>841</v>
      </c>
      <c r="H106" s="971" t="s">
        <v>842</v>
      </c>
      <c r="I106" s="1273" t="s">
        <v>7347</v>
      </c>
      <c r="J106" s="971" t="s">
        <v>2143</v>
      </c>
      <c r="K106" s="971" t="s">
        <v>1768</v>
      </c>
      <c r="L106" s="971" t="s">
        <v>3420</v>
      </c>
      <c r="M106" s="971" t="s">
        <v>1768</v>
      </c>
      <c r="N106" s="971" t="s">
        <v>179</v>
      </c>
      <c r="O106" s="971" t="s">
        <v>1769</v>
      </c>
      <c r="P106" s="971" t="s">
        <v>6663</v>
      </c>
      <c r="Q106" s="971" t="s">
        <v>7348</v>
      </c>
      <c r="R106" s="971" t="s">
        <v>4374</v>
      </c>
      <c r="S106" s="1274">
        <v>1</v>
      </c>
      <c r="T106" s="971" t="s">
        <v>242</v>
      </c>
      <c r="U106" s="1275">
        <v>8.1</v>
      </c>
      <c r="V106" s="1275">
        <v>106.5</v>
      </c>
      <c r="W106" s="1275">
        <v>809.29838571428581</v>
      </c>
      <c r="X106" s="1275">
        <v>1065</v>
      </c>
      <c r="Y106" s="1275">
        <v>1980.7983857142858</v>
      </c>
      <c r="Z106" s="1129">
        <v>8.1</v>
      </c>
      <c r="AA106" s="1129">
        <v>106.5</v>
      </c>
      <c r="AB106" s="1129">
        <v>809.29838571428581</v>
      </c>
      <c r="AC106" s="1129">
        <v>1065</v>
      </c>
      <c r="AD106" s="1098">
        <v>1980.7983857142858</v>
      </c>
      <c r="AE106" s="1135">
        <v>0.5</v>
      </c>
      <c r="AF106" s="1129">
        <v>0.5</v>
      </c>
      <c r="AG106" s="1127">
        <v>1</v>
      </c>
      <c r="AH106" s="1127">
        <v>0</v>
      </c>
      <c r="AI106" s="1127">
        <v>0</v>
      </c>
      <c r="AJ106" s="1127">
        <v>1</v>
      </c>
      <c r="AK106" s="1129">
        <v>1980.7983857142858</v>
      </c>
      <c r="AL106" s="1129">
        <v>0</v>
      </c>
      <c r="AM106" s="1129">
        <v>0</v>
      </c>
      <c r="AN106" s="1129">
        <v>1980.7983857142858</v>
      </c>
      <c r="AO106" s="1129" t="s">
        <v>131</v>
      </c>
      <c r="AP106" s="1129" t="s">
        <v>96</v>
      </c>
      <c r="AQ106" s="1157">
        <v>2014</v>
      </c>
      <c r="AR106" s="1129" t="s">
        <v>87</v>
      </c>
      <c r="AS106" s="1127">
        <v>0.5</v>
      </c>
      <c r="AT106" s="1127">
        <v>0.5</v>
      </c>
      <c r="AU106" s="1127"/>
      <c r="AV106" s="1127"/>
      <c r="AW106" s="1127"/>
      <c r="AX106" s="1127"/>
      <c r="AY106" s="1127"/>
      <c r="AZ106" s="1127"/>
      <c r="BA106" s="1129">
        <v>990.39919285714291</v>
      </c>
      <c r="BB106" s="1129">
        <v>990.39919285714291</v>
      </c>
      <c r="BC106" s="1129">
        <v>0</v>
      </c>
      <c r="BD106" s="1129">
        <v>0</v>
      </c>
      <c r="BE106" s="1129">
        <v>0</v>
      </c>
      <c r="BF106" s="1129">
        <v>0</v>
      </c>
      <c r="BG106" s="1129">
        <v>0</v>
      </c>
      <c r="BH106" s="1129">
        <v>0</v>
      </c>
      <c r="BI106" s="1981"/>
      <c r="BJ106" s="971"/>
      <c r="BK106" s="971"/>
      <c r="BL106" s="1246"/>
      <c r="BM106" s="1247" t="s">
        <v>1768</v>
      </c>
    </row>
    <row r="107" spans="1:65" s="1247" customFormat="1" ht="66" customHeight="1">
      <c r="A107" s="1272">
        <v>2000</v>
      </c>
      <c r="B107" s="971" t="s">
        <v>119</v>
      </c>
      <c r="C107" s="1272">
        <v>2600</v>
      </c>
      <c r="D107" s="971" t="s">
        <v>838</v>
      </c>
      <c r="E107" s="971" t="s">
        <v>839</v>
      </c>
      <c r="F107" s="971" t="s">
        <v>840</v>
      </c>
      <c r="G107" s="971" t="s">
        <v>841</v>
      </c>
      <c r="H107" s="971" t="s">
        <v>842</v>
      </c>
      <c r="I107" s="1273" t="s">
        <v>7349</v>
      </c>
      <c r="J107" s="971" t="s">
        <v>2143</v>
      </c>
      <c r="K107" s="971" t="s">
        <v>1768</v>
      </c>
      <c r="L107" s="971" t="s">
        <v>3420</v>
      </c>
      <c r="M107" s="971" t="s">
        <v>1768</v>
      </c>
      <c r="N107" s="971" t="s">
        <v>179</v>
      </c>
      <c r="O107" s="971" t="s">
        <v>1769</v>
      </c>
      <c r="P107" s="971" t="s">
        <v>6663</v>
      </c>
      <c r="Q107" s="971" t="s">
        <v>7350</v>
      </c>
      <c r="R107" s="971" t="s">
        <v>4376</v>
      </c>
      <c r="S107" s="1274">
        <v>1</v>
      </c>
      <c r="T107" s="971" t="s">
        <v>242</v>
      </c>
      <c r="U107" s="1275">
        <v>8.1</v>
      </c>
      <c r="V107" s="1275">
        <v>106.5</v>
      </c>
      <c r="W107" s="1275">
        <v>809.29838571428581</v>
      </c>
      <c r="X107" s="1275">
        <v>1065</v>
      </c>
      <c r="Y107" s="1275">
        <v>1980.7983857142858</v>
      </c>
      <c r="Z107" s="1129">
        <v>8.1</v>
      </c>
      <c r="AA107" s="1129">
        <v>106.5</v>
      </c>
      <c r="AB107" s="1129">
        <v>809.29838571428581</v>
      </c>
      <c r="AC107" s="1129">
        <v>1065</v>
      </c>
      <c r="AD107" s="1098">
        <v>1980.7983857142858</v>
      </c>
      <c r="AE107" s="1135">
        <v>0.5</v>
      </c>
      <c r="AF107" s="1129">
        <v>0.5</v>
      </c>
      <c r="AG107" s="1127">
        <v>1</v>
      </c>
      <c r="AH107" s="1127">
        <v>0</v>
      </c>
      <c r="AI107" s="1127">
        <v>0</v>
      </c>
      <c r="AJ107" s="1127">
        <v>1</v>
      </c>
      <c r="AK107" s="1129">
        <v>1980.7983857142858</v>
      </c>
      <c r="AL107" s="1129">
        <v>0</v>
      </c>
      <c r="AM107" s="1129">
        <v>0</v>
      </c>
      <c r="AN107" s="1129">
        <v>1980.7983857142858</v>
      </c>
      <c r="AO107" s="1129" t="s">
        <v>131</v>
      </c>
      <c r="AP107" s="1129" t="s">
        <v>96</v>
      </c>
      <c r="AQ107" s="1157">
        <v>2014</v>
      </c>
      <c r="AR107" s="1129" t="s">
        <v>87</v>
      </c>
      <c r="AS107" s="1127">
        <v>0.5</v>
      </c>
      <c r="AT107" s="1127">
        <v>0.5</v>
      </c>
      <c r="AU107" s="1127"/>
      <c r="AV107" s="1127"/>
      <c r="AW107" s="1127"/>
      <c r="AX107" s="1127"/>
      <c r="AY107" s="1127"/>
      <c r="AZ107" s="1127"/>
      <c r="BA107" s="1129">
        <v>990.39919285714291</v>
      </c>
      <c r="BB107" s="1129">
        <v>990.39919285714291</v>
      </c>
      <c r="BC107" s="1129">
        <v>0</v>
      </c>
      <c r="BD107" s="1129">
        <v>0</v>
      </c>
      <c r="BE107" s="1129">
        <v>0</v>
      </c>
      <c r="BF107" s="1129">
        <v>0</v>
      </c>
      <c r="BG107" s="1129">
        <v>0</v>
      </c>
      <c r="BH107" s="1129">
        <v>0</v>
      </c>
      <c r="BI107" s="1981"/>
      <c r="BJ107" s="971"/>
      <c r="BK107" s="971"/>
      <c r="BL107" s="1246"/>
      <c r="BM107" s="1247" t="s">
        <v>1768</v>
      </c>
    </row>
    <row r="108" spans="1:65" s="1247" customFormat="1" ht="66" customHeight="1">
      <c r="A108" s="1272">
        <v>2000</v>
      </c>
      <c r="B108" s="971" t="s">
        <v>119</v>
      </c>
      <c r="C108" s="1272">
        <v>2600</v>
      </c>
      <c r="D108" s="971" t="s">
        <v>838</v>
      </c>
      <c r="E108" s="971" t="s">
        <v>839</v>
      </c>
      <c r="F108" s="971" t="s">
        <v>840</v>
      </c>
      <c r="G108" s="971" t="s">
        <v>879</v>
      </c>
      <c r="H108" s="971" t="s">
        <v>880</v>
      </c>
      <c r="I108" s="1273" t="s">
        <v>7351</v>
      </c>
      <c r="J108" s="971" t="s">
        <v>868</v>
      </c>
      <c r="K108" s="971" t="s">
        <v>1768</v>
      </c>
      <c r="L108" s="971" t="s">
        <v>3420</v>
      </c>
      <c r="M108" s="971" t="s">
        <v>1768</v>
      </c>
      <c r="N108" s="971" t="s">
        <v>179</v>
      </c>
      <c r="O108" s="971" t="s">
        <v>1769</v>
      </c>
      <c r="P108" s="971" t="s">
        <v>7335</v>
      </c>
      <c r="Q108" s="971" t="s">
        <v>7352</v>
      </c>
      <c r="R108" s="971" t="s">
        <v>895</v>
      </c>
      <c r="S108" s="1274">
        <v>1</v>
      </c>
      <c r="T108" s="971" t="s">
        <v>242</v>
      </c>
      <c r="U108" s="1275">
        <v>8.1</v>
      </c>
      <c r="V108" s="1275">
        <v>106.5</v>
      </c>
      <c r="W108" s="1275">
        <v>809.29838571428581</v>
      </c>
      <c r="X108" s="1275">
        <v>1065</v>
      </c>
      <c r="Y108" s="1275">
        <v>1980.7983857142858</v>
      </c>
      <c r="Z108" s="1129">
        <v>8.1</v>
      </c>
      <c r="AA108" s="1129">
        <v>106.5</v>
      </c>
      <c r="AB108" s="1129">
        <v>809.29838571428581</v>
      </c>
      <c r="AC108" s="1129">
        <v>1065</v>
      </c>
      <c r="AD108" s="1098">
        <v>1980.7983857142858</v>
      </c>
      <c r="AE108" s="1135">
        <v>0.5</v>
      </c>
      <c r="AF108" s="1129">
        <v>0.5</v>
      </c>
      <c r="AG108" s="1127">
        <v>1</v>
      </c>
      <c r="AH108" s="1127">
        <v>0</v>
      </c>
      <c r="AI108" s="1127">
        <v>0</v>
      </c>
      <c r="AJ108" s="1127">
        <v>1</v>
      </c>
      <c r="AK108" s="1129">
        <v>1980.7983857142858</v>
      </c>
      <c r="AL108" s="1129">
        <v>0</v>
      </c>
      <c r="AM108" s="1129">
        <v>0</v>
      </c>
      <c r="AN108" s="1129">
        <v>1980.7983857142858</v>
      </c>
      <c r="AO108" s="1129" t="s">
        <v>131</v>
      </c>
      <c r="AP108" s="1129" t="s">
        <v>96</v>
      </c>
      <c r="AQ108" s="1157">
        <v>2014</v>
      </c>
      <c r="AR108" s="1129" t="s">
        <v>87</v>
      </c>
      <c r="AS108" s="1127">
        <v>0.5</v>
      </c>
      <c r="AT108" s="1127">
        <v>0.5</v>
      </c>
      <c r="AU108" s="1127"/>
      <c r="AV108" s="1127"/>
      <c r="AW108" s="1127"/>
      <c r="AX108" s="1127"/>
      <c r="AY108" s="1127"/>
      <c r="AZ108" s="1127"/>
      <c r="BA108" s="1129">
        <v>990.39919285714291</v>
      </c>
      <c r="BB108" s="1129">
        <v>990.39919285714291</v>
      </c>
      <c r="BC108" s="1129">
        <v>0</v>
      </c>
      <c r="BD108" s="1129">
        <v>0</v>
      </c>
      <c r="BE108" s="1129">
        <v>0</v>
      </c>
      <c r="BF108" s="1129">
        <v>0</v>
      </c>
      <c r="BG108" s="1129">
        <v>0</v>
      </c>
      <c r="BH108" s="1129">
        <v>0</v>
      </c>
      <c r="BI108" s="1981"/>
      <c r="BJ108" s="971"/>
      <c r="BK108" s="971"/>
      <c r="BL108" s="1246"/>
      <c r="BM108" s="1247" t="s">
        <v>1768</v>
      </c>
    </row>
    <row r="109" spans="1:65" s="1247" customFormat="1" ht="66" customHeight="1">
      <c r="A109" s="1272">
        <v>2000</v>
      </c>
      <c r="B109" s="971" t="s">
        <v>119</v>
      </c>
      <c r="C109" s="1272">
        <v>2600</v>
      </c>
      <c r="D109" s="971" t="s">
        <v>838</v>
      </c>
      <c r="E109" s="971" t="s">
        <v>839</v>
      </c>
      <c r="F109" s="971" t="s">
        <v>840</v>
      </c>
      <c r="G109" s="971" t="s">
        <v>879</v>
      </c>
      <c r="H109" s="971" t="s">
        <v>880</v>
      </c>
      <c r="I109" s="1273" t="s">
        <v>7353</v>
      </c>
      <c r="J109" s="971" t="s">
        <v>7354</v>
      </c>
      <c r="K109" s="971" t="s">
        <v>2123</v>
      </c>
      <c r="L109" s="971" t="s">
        <v>2124</v>
      </c>
      <c r="M109" s="971" t="s">
        <v>2123</v>
      </c>
      <c r="N109" s="971" t="s">
        <v>179</v>
      </c>
      <c r="O109" s="971" t="s">
        <v>2124</v>
      </c>
      <c r="P109" s="971" t="s">
        <v>7355</v>
      </c>
      <c r="Q109" s="971" t="s">
        <v>7356</v>
      </c>
      <c r="R109" s="971" t="s">
        <v>4385</v>
      </c>
      <c r="S109" s="1274">
        <v>1</v>
      </c>
      <c r="T109" s="971" t="s">
        <v>242</v>
      </c>
      <c r="U109" s="1275">
        <v>19.2</v>
      </c>
      <c r="V109" s="1275">
        <v>213</v>
      </c>
      <c r="W109" s="1275">
        <v>1918.3369142857146</v>
      </c>
      <c r="X109" s="1275">
        <v>2130</v>
      </c>
      <c r="Y109" s="1275">
        <v>4261.3369142857146</v>
      </c>
      <c r="Z109" s="1129">
        <v>19.2</v>
      </c>
      <c r="AA109" s="1129">
        <v>213</v>
      </c>
      <c r="AB109" s="1129">
        <v>1918.3369142857146</v>
      </c>
      <c r="AC109" s="1129">
        <v>2130</v>
      </c>
      <c r="AD109" s="1098">
        <v>4261.3369142857146</v>
      </c>
      <c r="AE109" s="1135">
        <v>1</v>
      </c>
      <c r="AF109" s="1129">
        <v>1</v>
      </c>
      <c r="AG109" s="1127">
        <v>1</v>
      </c>
      <c r="AH109" s="1127">
        <v>0</v>
      </c>
      <c r="AI109" s="1127">
        <v>0</v>
      </c>
      <c r="AJ109" s="1127">
        <v>1</v>
      </c>
      <c r="AK109" s="1129">
        <v>4261.3369142857146</v>
      </c>
      <c r="AL109" s="1129">
        <v>0</v>
      </c>
      <c r="AM109" s="1129">
        <v>0</v>
      </c>
      <c r="AN109" s="1129">
        <v>4261.3369142857146</v>
      </c>
      <c r="AO109" s="1129" t="s">
        <v>131</v>
      </c>
      <c r="AP109" s="1129" t="s">
        <v>96</v>
      </c>
      <c r="AQ109" s="1157">
        <v>2014</v>
      </c>
      <c r="AR109" s="1129" t="s">
        <v>87</v>
      </c>
      <c r="AS109" s="1127">
        <v>0.5</v>
      </c>
      <c r="AT109" s="1127">
        <v>0.5</v>
      </c>
      <c r="AU109" s="1127"/>
      <c r="AV109" s="1127"/>
      <c r="AW109" s="1127"/>
      <c r="AX109" s="1127"/>
      <c r="AY109" s="1127"/>
      <c r="AZ109" s="1127"/>
      <c r="BA109" s="1129">
        <v>2130.6684571428573</v>
      </c>
      <c r="BB109" s="1129">
        <v>2130.6684571428573</v>
      </c>
      <c r="BC109" s="1129">
        <v>0</v>
      </c>
      <c r="BD109" s="1129">
        <v>0</v>
      </c>
      <c r="BE109" s="1129">
        <v>0</v>
      </c>
      <c r="BF109" s="1129">
        <v>0</v>
      </c>
      <c r="BG109" s="1129">
        <v>0</v>
      </c>
      <c r="BH109" s="1129">
        <v>0</v>
      </c>
      <c r="BI109" s="1981"/>
      <c r="BJ109" s="971"/>
      <c r="BK109" s="971"/>
      <c r="BL109" s="1246"/>
      <c r="BM109" s="1247" t="s">
        <v>2123</v>
      </c>
    </row>
    <row r="110" spans="1:65" s="1247" customFormat="1" ht="66" customHeight="1">
      <c r="A110" s="1272">
        <v>2000</v>
      </c>
      <c r="B110" s="971" t="s">
        <v>119</v>
      </c>
      <c r="C110" s="1272">
        <v>2600</v>
      </c>
      <c r="D110" s="971" t="s">
        <v>838</v>
      </c>
      <c r="E110" s="971" t="s">
        <v>839</v>
      </c>
      <c r="F110" s="971" t="s">
        <v>840</v>
      </c>
      <c r="G110" s="971" t="s">
        <v>879</v>
      </c>
      <c r="H110" s="971" t="s">
        <v>880</v>
      </c>
      <c r="I110" s="1273" t="s">
        <v>7357</v>
      </c>
      <c r="J110" s="971" t="s">
        <v>7354</v>
      </c>
      <c r="K110" s="971" t="s">
        <v>2123</v>
      </c>
      <c r="L110" s="971" t="s">
        <v>2124</v>
      </c>
      <c r="M110" s="971" t="s">
        <v>2123</v>
      </c>
      <c r="N110" s="971" t="s">
        <v>179</v>
      </c>
      <c r="O110" s="971" t="s">
        <v>2124</v>
      </c>
      <c r="P110" s="971" t="s">
        <v>7355</v>
      </c>
      <c r="Q110" s="971" t="s">
        <v>7356</v>
      </c>
      <c r="R110" s="971" t="s">
        <v>4388</v>
      </c>
      <c r="S110" s="1274">
        <v>1</v>
      </c>
      <c r="T110" s="971" t="s">
        <v>242</v>
      </c>
      <c r="U110" s="1275">
        <v>19.2</v>
      </c>
      <c r="V110" s="1275">
        <v>213</v>
      </c>
      <c r="W110" s="1275">
        <v>1918.3369142857146</v>
      </c>
      <c r="X110" s="1275">
        <v>2130</v>
      </c>
      <c r="Y110" s="1275">
        <v>4261.3369142857146</v>
      </c>
      <c r="Z110" s="1129">
        <v>19.2</v>
      </c>
      <c r="AA110" s="1129">
        <v>213</v>
      </c>
      <c r="AB110" s="1129">
        <v>1918.3369142857146</v>
      </c>
      <c r="AC110" s="1129">
        <v>2130</v>
      </c>
      <c r="AD110" s="1098">
        <v>4261.3369142857146</v>
      </c>
      <c r="AE110" s="1135">
        <v>1</v>
      </c>
      <c r="AF110" s="1129">
        <v>1</v>
      </c>
      <c r="AG110" s="1127">
        <v>1</v>
      </c>
      <c r="AH110" s="1127">
        <v>0</v>
      </c>
      <c r="AI110" s="1127">
        <v>0</v>
      </c>
      <c r="AJ110" s="1127">
        <v>1</v>
      </c>
      <c r="AK110" s="1129">
        <v>4261.3369142857146</v>
      </c>
      <c r="AL110" s="1129">
        <v>0</v>
      </c>
      <c r="AM110" s="1129">
        <v>0</v>
      </c>
      <c r="AN110" s="1129">
        <v>4261.3369142857146</v>
      </c>
      <c r="AO110" s="1129" t="s">
        <v>131</v>
      </c>
      <c r="AP110" s="1129" t="s">
        <v>96</v>
      </c>
      <c r="AQ110" s="1157">
        <v>2014</v>
      </c>
      <c r="AR110" s="1129" t="s">
        <v>87</v>
      </c>
      <c r="AS110" s="1127">
        <v>0.5</v>
      </c>
      <c r="AT110" s="1127">
        <v>0.5</v>
      </c>
      <c r="AU110" s="1127"/>
      <c r="AV110" s="1127"/>
      <c r="AW110" s="1127"/>
      <c r="AX110" s="1127"/>
      <c r="AY110" s="1127"/>
      <c r="AZ110" s="1127"/>
      <c r="BA110" s="1129">
        <v>2130.6684571428573</v>
      </c>
      <c r="BB110" s="1129">
        <v>2130.6684571428573</v>
      </c>
      <c r="BC110" s="1129">
        <v>0</v>
      </c>
      <c r="BD110" s="1129">
        <v>0</v>
      </c>
      <c r="BE110" s="1129">
        <v>0</v>
      </c>
      <c r="BF110" s="1129">
        <v>0</v>
      </c>
      <c r="BG110" s="1129">
        <v>0</v>
      </c>
      <c r="BH110" s="1129">
        <v>0</v>
      </c>
      <c r="BI110" s="1981"/>
      <c r="BJ110" s="971"/>
      <c r="BK110" s="971"/>
      <c r="BL110" s="1246"/>
      <c r="BM110" s="1247" t="s">
        <v>2123</v>
      </c>
    </row>
    <row r="111" spans="1:65" s="1247" customFormat="1" ht="66" customHeight="1">
      <c r="A111" s="1272">
        <v>2000</v>
      </c>
      <c r="B111" s="971" t="s">
        <v>119</v>
      </c>
      <c r="C111" s="1272">
        <v>2600</v>
      </c>
      <c r="D111" s="971" t="s">
        <v>838</v>
      </c>
      <c r="E111" s="971" t="s">
        <v>839</v>
      </c>
      <c r="F111" s="971" t="s">
        <v>840</v>
      </c>
      <c r="G111" s="971" t="s">
        <v>879</v>
      </c>
      <c r="H111" s="971" t="s">
        <v>880</v>
      </c>
      <c r="I111" s="1273" t="s">
        <v>7358</v>
      </c>
      <c r="J111" s="971" t="s">
        <v>2143</v>
      </c>
      <c r="K111" s="971" t="s">
        <v>1768</v>
      </c>
      <c r="L111" s="971" t="s">
        <v>3420</v>
      </c>
      <c r="M111" s="971" t="s">
        <v>1768</v>
      </c>
      <c r="N111" s="971" t="s">
        <v>179</v>
      </c>
      <c r="O111" s="971" t="s">
        <v>1769</v>
      </c>
      <c r="P111" s="971" t="s">
        <v>6663</v>
      </c>
      <c r="Q111" s="971" t="s">
        <v>7359</v>
      </c>
      <c r="R111" s="971" t="s">
        <v>4389</v>
      </c>
      <c r="S111" s="1274">
        <v>1</v>
      </c>
      <c r="T111" s="971" t="s">
        <v>242</v>
      </c>
      <c r="U111" s="1275">
        <v>8.1</v>
      </c>
      <c r="V111" s="1275">
        <v>106.5</v>
      </c>
      <c r="W111" s="1275">
        <v>809.29838571428581</v>
      </c>
      <c r="X111" s="1275">
        <v>1065</v>
      </c>
      <c r="Y111" s="1275">
        <v>1980.7983857142858</v>
      </c>
      <c r="Z111" s="1129">
        <v>8.1</v>
      </c>
      <c r="AA111" s="1129">
        <v>106.5</v>
      </c>
      <c r="AB111" s="1129">
        <v>809.29838571428581</v>
      </c>
      <c r="AC111" s="1129">
        <v>1065</v>
      </c>
      <c r="AD111" s="1098">
        <v>1980.7983857142858</v>
      </c>
      <c r="AE111" s="1135">
        <v>0.5</v>
      </c>
      <c r="AF111" s="1129">
        <v>0.5</v>
      </c>
      <c r="AG111" s="1127">
        <v>1</v>
      </c>
      <c r="AH111" s="1127">
        <v>0</v>
      </c>
      <c r="AI111" s="1127">
        <v>0</v>
      </c>
      <c r="AJ111" s="1127">
        <v>1</v>
      </c>
      <c r="AK111" s="1129">
        <v>1980.7983857142858</v>
      </c>
      <c r="AL111" s="1129">
        <v>0</v>
      </c>
      <c r="AM111" s="1129">
        <v>0</v>
      </c>
      <c r="AN111" s="1129">
        <v>1980.7983857142858</v>
      </c>
      <c r="AO111" s="1129" t="s">
        <v>131</v>
      </c>
      <c r="AP111" s="1129" t="s">
        <v>96</v>
      </c>
      <c r="AQ111" s="1157">
        <v>2014</v>
      </c>
      <c r="AR111" s="1129" t="s">
        <v>87</v>
      </c>
      <c r="AS111" s="1127">
        <v>0.5</v>
      </c>
      <c r="AT111" s="1127">
        <v>0.5</v>
      </c>
      <c r="AU111" s="1127"/>
      <c r="AV111" s="1127"/>
      <c r="AW111" s="1127"/>
      <c r="AX111" s="1127"/>
      <c r="AY111" s="1127"/>
      <c r="AZ111" s="1127"/>
      <c r="BA111" s="1129">
        <v>990.39919285714291</v>
      </c>
      <c r="BB111" s="1129">
        <v>990.39919285714291</v>
      </c>
      <c r="BC111" s="1129">
        <v>0</v>
      </c>
      <c r="BD111" s="1129">
        <v>0</v>
      </c>
      <c r="BE111" s="1129">
        <v>0</v>
      </c>
      <c r="BF111" s="1129">
        <v>0</v>
      </c>
      <c r="BG111" s="1129">
        <v>0</v>
      </c>
      <c r="BH111" s="1129">
        <v>0</v>
      </c>
      <c r="BI111" s="1981"/>
      <c r="BJ111" s="971"/>
      <c r="BK111" s="971"/>
      <c r="BL111" s="1246"/>
      <c r="BM111" s="1247" t="s">
        <v>1768</v>
      </c>
    </row>
    <row r="112" spans="1:65" s="1247" customFormat="1" ht="66" customHeight="1">
      <c r="A112" s="1272">
        <v>2000</v>
      </c>
      <c r="B112" s="971" t="s">
        <v>119</v>
      </c>
      <c r="C112" s="1272">
        <v>2600</v>
      </c>
      <c r="D112" s="971" t="s">
        <v>838</v>
      </c>
      <c r="E112" s="971" t="s">
        <v>839</v>
      </c>
      <c r="F112" s="971" t="s">
        <v>840</v>
      </c>
      <c r="G112" s="971" t="s">
        <v>879</v>
      </c>
      <c r="H112" s="971" t="s">
        <v>880</v>
      </c>
      <c r="I112" s="1273" t="s">
        <v>7360</v>
      </c>
      <c r="J112" s="971" t="s">
        <v>2143</v>
      </c>
      <c r="K112" s="971" t="s">
        <v>1768</v>
      </c>
      <c r="L112" s="971" t="s">
        <v>3420</v>
      </c>
      <c r="M112" s="971" t="s">
        <v>1768</v>
      </c>
      <c r="N112" s="971" t="s">
        <v>179</v>
      </c>
      <c r="O112" s="971" t="s">
        <v>1769</v>
      </c>
      <c r="P112" s="971" t="s">
        <v>6663</v>
      </c>
      <c r="Q112" s="971" t="s">
        <v>7359</v>
      </c>
      <c r="R112" s="971" t="s">
        <v>4391</v>
      </c>
      <c r="S112" s="1274">
        <v>1</v>
      </c>
      <c r="T112" s="971" t="s">
        <v>242</v>
      </c>
      <c r="U112" s="1275">
        <v>8.1</v>
      </c>
      <c r="V112" s="1275">
        <v>106.5</v>
      </c>
      <c r="W112" s="1275">
        <v>809.29838571428581</v>
      </c>
      <c r="X112" s="1275">
        <v>1065</v>
      </c>
      <c r="Y112" s="1275">
        <v>1980.7983857142858</v>
      </c>
      <c r="Z112" s="1129">
        <v>8.1</v>
      </c>
      <c r="AA112" s="1129">
        <v>106.5</v>
      </c>
      <c r="AB112" s="1129">
        <v>809.29838571428581</v>
      </c>
      <c r="AC112" s="1129">
        <v>1065</v>
      </c>
      <c r="AD112" s="1098">
        <v>1980.7983857142858</v>
      </c>
      <c r="AE112" s="1135">
        <v>0.5</v>
      </c>
      <c r="AF112" s="1129">
        <v>0.5</v>
      </c>
      <c r="AG112" s="1127">
        <v>1</v>
      </c>
      <c r="AH112" s="1127">
        <v>0</v>
      </c>
      <c r="AI112" s="1127">
        <v>0</v>
      </c>
      <c r="AJ112" s="1127">
        <v>1</v>
      </c>
      <c r="AK112" s="1129">
        <v>1980.7983857142858</v>
      </c>
      <c r="AL112" s="1129">
        <v>0</v>
      </c>
      <c r="AM112" s="1129">
        <v>0</v>
      </c>
      <c r="AN112" s="1129">
        <v>1980.7983857142858</v>
      </c>
      <c r="AO112" s="1129" t="s">
        <v>131</v>
      </c>
      <c r="AP112" s="1129" t="s">
        <v>96</v>
      </c>
      <c r="AQ112" s="1157">
        <v>2014</v>
      </c>
      <c r="AR112" s="1129" t="s">
        <v>87</v>
      </c>
      <c r="AS112" s="1127">
        <v>0.5</v>
      </c>
      <c r="AT112" s="1127">
        <v>0.5</v>
      </c>
      <c r="AU112" s="1127"/>
      <c r="AV112" s="1127"/>
      <c r="AW112" s="1127"/>
      <c r="AX112" s="1127"/>
      <c r="AY112" s="1127"/>
      <c r="AZ112" s="1127"/>
      <c r="BA112" s="1129">
        <v>990.39919285714291</v>
      </c>
      <c r="BB112" s="1129">
        <v>990.39919285714291</v>
      </c>
      <c r="BC112" s="1129">
        <v>0</v>
      </c>
      <c r="BD112" s="1129">
        <v>0</v>
      </c>
      <c r="BE112" s="1129">
        <v>0</v>
      </c>
      <c r="BF112" s="1129">
        <v>0</v>
      </c>
      <c r="BG112" s="1129">
        <v>0</v>
      </c>
      <c r="BH112" s="1129">
        <v>0</v>
      </c>
      <c r="BI112" s="1981"/>
      <c r="BJ112" s="971"/>
      <c r="BK112" s="971"/>
      <c r="BL112" s="1246"/>
      <c r="BM112" s="1247" t="s">
        <v>1768</v>
      </c>
    </row>
    <row r="113" spans="1:65" s="1247" customFormat="1" ht="66" customHeight="1">
      <c r="A113" s="1272">
        <v>2000</v>
      </c>
      <c r="B113" s="971" t="s">
        <v>119</v>
      </c>
      <c r="C113" s="1272">
        <v>2600</v>
      </c>
      <c r="D113" s="971" t="s">
        <v>838</v>
      </c>
      <c r="E113" s="971" t="s">
        <v>839</v>
      </c>
      <c r="F113" s="971" t="s">
        <v>840</v>
      </c>
      <c r="G113" s="971" t="s">
        <v>4395</v>
      </c>
      <c r="H113" s="971" t="s">
        <v>701</v>
      </c>
      <c r="I113" s="1273" t="s">
        <v>7361</v>
      </c>
      <c r="J113" s="971" t="s">
        <v>2212</v>
      </c>
      <c r="K113" s="971" t="s">
        <v>2123</v>
      </c>
      <c r="L113" s="971" t="s">
        <v>2124</v>
      </c>
      <c r="M113" s="971" t="s">
        <v>2123</v>
      </c>
      <c r="N113" s="971" t="s">
        <v>179</v>
      </c>
      <c r="O113" s="971" t="s">
        <v>2124</v>
      </c>
      <c r="P113" s="971" t="s">
        <v>6600</v>
      </c>
      <c r="Q113" s="971" t="s">
        <v>7362</v>
      </c>
      <c r="R113" s="971" t="s">
        <v>4396</v>
      </c>
      <c r="S113" s="1274">
        <v>1</v>
      </c>
      <c r="T113" s="971" t="s">
        <v>242</v>
      </c>
      <c r="U113" s="1275">
        <v>19.2</v>
      </c>
      <c r="V113" s="1275">
        <v>213</v>
      </c>
      <c r="W113" s="1275">
        <v>1918.3369142857146</v>
      </c>
      <c r="X113" s="1275">
        <v>2130</v>
      </c>
      <c r="Y113" s="1275">
        <v>4261.3369142857146</v>
      </c>
      <c r="Z113" s="1129">
        <v>19.2</v>
      </c>
      <c r="AA113" s="1129">
        <v>213</v>
      </c>
      <c r="AB113" s="1129">
        <v>1918.3369142857146</v>
      </c>
      <c r="AC113" s="1129">
        <v>2130</v>
      </c>
      <c r="AD113" s="1098">
        <v>4261.3369142857146</v>
      </c>
      <c r="AE113" s="1135">
        <v>1</v>
      </c>
      <c r="AF113" s="1129">
        <v>1</v>
      </c>
      <c r="AG113" s="1127">
        <v>1</v>
      </c>
      <c r="AH113" s="1127">
        <v>0</v>
      </c>
      <c r="AI113" s="1127">
        <v>0</v>
      </c>
      <c r="AJ113" s="1127">
        <v>1</v>
      </c>
      <c r="AK113" s="1129">
        <v>4261.3369142857146</v>
      </c>
      <c r="AL113" s="1129">
        <v>0</v>
      </c>
      <c r="AM113" s="1129">
        <v>0</v>
      </c>
      <c r="AN113" s="1129">
        <v>4261.3369142857146</v>
      </c>
      <c r="AO113" s="1129" t="s">
        <v>131</v>
      </c>
      <c r="AP113" s="1129" t="s">
        <v>96</v>
      </c>
      <c r="AQ113" s="1157">
        <v>2014</v>
      </c>
      <c r="AR113" s="1129" t="s">
        <v>87</v>
      </c>
      <c r="AS113" s="1127">
        <v>0.33333333333333331</v>
      </c>
      <c r="AT113" s="1127"/>
      <c r="AU113" s="1127">
        <v>0.33333333333333331</v>
      </c>
      <c r="AV113" s="1127"/>
      <c r="AW113" s="1127"/>
      <c r="AX113" s="1127"/>
      <c r="AY113" s="1127"/>
      <c r="AZ113" s="1127">
        <v>0.33333333333333331</v>
      </c>
      <c r="BA113" s="1129">
        <v>1420.4456380952381</v>
      </c>
      <c r="BB113" s="1129">
        <v>0</v>
      </c>
      <c r="BC113" s="1129">
        <v>1420.4456380952381</v>
      </c>
      <c r="BD113" s="1129">
        <v>0</v>
      </c>
      <c r="BE113" s="1129">
        <v>0</v>
      </c>
      <c r="BF113" s="1129">
        <v>0</v>
      </c>
      <c r="BG113" s="1129">
        <v>0</v>
      </c>
      <c r="BH113" s="1129">
        <v>1420.4456380952381</v>
      </c>
      <c r="BI113" s="1981"/>
      <c r="BJ113" s="971"/>
      <c r="BK113" s="971"/>
      <c r="BL113" s="1246"/>
      <c r="BM113" s="1247" t="s">
        <v>2123</v>
      </c>
    </row>
    <row r="114" spans="1:65" s="1247" customFormat="1" ht="66" customHeight="1">
      <c r="A114" s="1272">
        <v>2000</v>
      </c>
      <c r="B114" s="971" t="s">
        <v>119</v>
      </c>
      <c r="C114" s="1272">
        <v>2600</v>
      </c>
      <c r="D114" s="971" t="s">
        <v>838</v>
      </c>
      <c r="E114" s="971" t="s">
        <v>839</v>
      </c>
      <c r="F114" s="971" t="s">
        <v>840</v>
      </c>
      <c r="G114" s="971" t="s">
        <v>4395</v>
      </c>
      <c r="H114" s="971" t="s">
        <v>701</v>
      </c>
      <c r="I114" s="1273" t="s">
        <v>7363</v>
      </c>
      <c r="J114" s="971" t="s">
        <v>2212</v>
      </c>
      <c r="K114" s="971" t="s">
        <v>2123</v>
      </c>
      <c r="L114" s="971" t="s">
        <v>2124</v>
      </c>
      <c r="M114" s="971" t="s">
        <v>2123</v>
      </c>
      <c r="N114" s="971" t="s">
        <v>179</v>
      </c>
      <c r="O114" s="971" t="s">
        <v>2124</v>
      </c>
      <c r="P114" s="971" t="s">
        <v>6600</v>
      </c>
      <c r="Q114" s="971" t="s">
        <v>7362</v>
      </c>
      <c r="R114" s="971" t="s">
        <v>4398</v>
      </c>
      <c r="S114" s="1274">
        <v>1</v>
      </c>
      <c r="T114" s="971" t="s">
        <v>242</v>
      </c>
      <c r="U114" s="1275">
        <v>19.2</v>
      </c>
      <c r="V114" s="1275">
        <v>213</v>
      </c>
      <c r="W114" s="1275">
        <v>1918.3369142857146</v>
      </c>
      <c r="X114" s="1275">
        <v>2130</v>
      </c>
      <c r="Y114" s="1275">
        <v>4261.3369142857146</v>
      </c>
      <c r="Z114" s="1129">
        <v>19.2</v>
      </c>
      <c r="AA114" s="1129">
        <v>213</v>
      </c>
      <c r="AB114" s="1129">
        <v>1918.3369142857146</v>
      </c>
      <c r="AC114" s="1129">
        <v>2130</v>
      </c>
      <c r="AD114" s="1098">
        <v>4261.3369142857146</v>
      </c>
      <c r="AE114" s="1135">
        <v>1</v>
      </c>
      <c r="AF114" s="1129">
        <v>1</v>
      </c>
      <c r="AG114" s="1127">
        <v>1</v>
      </c>
      <c r="AH114" s="1127">
        <v>0</v>
      </c>
      <c r="AI114" s="1127">
        <v>0</v>
      </c>
      <c r="AJ114" s="1127">
        <v>1</v>
      </c>
      <c r="AK114" s="1129">
        <v>4261.3369142857146</v>
      </c>
      <c r="AL114" s="1129">
        <v>0</v>
      </c>
      <c r="AM114" s="1129">
        <v>0</v>
      </c>
      <c r="AN114" s="1129">
        <v>4261.3369142857146</v>
      </c>
      <c r="AO114" s="1129" t="s">
        <v>131</v>
      </c>
      <c r="AP114" s="1129" t="s">
        <v>96</v>
      </c>
      <c r="AQ114" s="1157">
        <v>2014</v>
      </c>
      <c r="AR114" s="1129" t="s">
        <v>87</v>
      </c>
      <c r="AS114" s="1127">
        <v>0.33333333333333331</v>
      </c>
      <c r="AT114" s="1127"/>
      <c r="AU114" s="1127">
        <v>0.33333333333333331</v>
      </c>
      <c r="AV114" s="1127"/>
      <c r="AW114" s="1127"/>
      <c r="AX114" s="1127"/>
      <c r="AY114" s="1127"/>
      <c r="AZ114" s="1127">
        <v>0.33333333333333331</v>
      </c>
      <c r="BA114" s="1129">
        <v>1420.4456380952381</v>
      </c>
      <c r="BB114" s="1129">
        <v>0</v>
      </c>
      <c r="BC114" s="1129">
        <v>1420.4456380952381</v>
      </c>
      <c r="BD114" s="1129">
        <v>0</v>
      </c>
      <c r="BE114" s="1129">
        <v>0</v>
      </c>
      <c r="BF114" s="1129">
        <v>0</v>
      </c>
      <c r="BG114" s="1129">
        <v>0</v>
      </c>
      <c r="BH114" s="1129">
        <v>1420.4456380952381</v>
      </c>
      <c r="BI114" s="1981"/>
      <c r="BJ114" s="971"/>
      <c r="BK114" s="971"/>
      <c r="BL114" s="1246"/>
      <c r="BM114" s="1247" t="s">
        <v>2123</v>
      </c>
    </row>
    <row r="115" spans="1:65" s="1247" customFormat="1" ht="66" customHeight="1">
      <c r="A115" s="1272">
        <v>2000</v>
      </c>
      <c r="B115" s="971" t="s">
        <v>119</v>
      </c>
      <c r="C115" s="1272">
        <v>2600</v>
      </c>
      <c r="D115" s="971" t="s">
        <v>838</v>
      </c>
      <c r="E115" s="971" t="s">
        <v>839</v>
      </c>
      <c r="F115" s="971" t="s">
        <v>840</v>
      </c>
      <c r="G115" s="971" t="s">
        <v>4395</v>
      </c>
      <c r="H115" s="971" t="s">
        <v>701</v>
      </c>
      <c r="I115" s="1273" t="s">
        <v>7364</v>
      </c>
      <c r="J115" s="971" t="s">
        <v>2212</v>
      </c>
      <c r="K115" s="971" t="s">
        <v>2123</v>
      </c>
      <c r="L115" s="971" t="s">
        <v>2124</v>
      </c>
      <c r="M115" s="971" t="s">
        <v>2123</v>
      </c>
      <c r="N115" s="971" t="s">
        <v>179</v>
      </c>
      <c r="O115" s="971" t="s">
        <v>2124</v>
      </c>
      <c r="P115" s="971" t="s">
        <v>6600</v>
      </c>
      <c r="Q115" s="971" t="s">
        <v>7362</v>
      </c>
      <c r="R115" s="971" t="s">
        <v>4399</v>
      </c>
      <c r="S115" s="1274">
        <v>1</v>
      </c>
      <c r="T115" s="971" t="s">
        <v>242</v>
      </c>
      <c r="U115" s="1275">
        <v>19.2</v>
      </c>
      <c r="V115" s="1275">
        <v>213</v>
      </c>
      <c r="W115" s="1275">
        <v>1918.3369142857146</v>
      </c>
      <c r="X115" s="1275">
        <v>2130</v>
      </c>
      <c r="Y115" s="1275">
        <v>4261.3369142857146</v>
      </c>
      <c r="Z115" s="1129">
        <v>19.2</v>
      </c>
      <c r="AA115" s="1129">
        <v>213</v>
      </c>
      <c r="AB115" s="1129">
        <v>1918.3369142857146</v>
      </c>
      <c r="AC115" s="1129">
        <v>2130</v>
      </c>
      <c r="AD115" s="1098">
        <v>4261.3369142857146</v>
      </c>
      <c r="AE115" s="1135">
        <v>1</v>
      </c>
      <c r="AF115" s="1129">
        <v>1</v>
      </c>
      <c r="AG115" s="1127">
        <v>1</v>
      </c>
      <c r="AH115" s="1127">
        <v>0</v>
      </c>
      <c r="AI115" s="1127">
        <v>0</v>
      </c>
      <c r="AJ115" s="1127">
        <v>1</v>
      </c>
      <c r="AK115" s="1129">
        <v>4261.3369142857146</v>
      </c>
      <c r="AL115" s="1129">
        <v>0</v>
      </c>
      <c r="AM115" s="1129">
        <v>0</v>
      </c>
      <c r="AN115" s="1129">
        <v>4261.3369142857146</v>
      </c>
      <c r="AO115" s="1129" t="s">
        <v>131</v>
      </c>
      <c r="AP115" s="1129" t="s">
        <v>96</v>
      </c>
      <c r="AQ115" s="1157">
        <v>2014</v>
      </c>
      <c r="AR115" s="1129" t="s">
        <v>87</v>
      </c>
      <c r="AS115" s="1127">
        <v>0.33333333333333331</v>
      </c>
      <c r="AT115" s="1127"/>
      <c r="AU115" s="1127">
        <v>0.33333333333333331</v>
      </c>
      <c r="AV115" s="1127"/>
      <c r="AW115" s="1127"/>
      <c r="AX115" s="1127"/>
      <c r="AY115" s="1127"/>
      <c r="AZ115" s="1127">
        <v>0.33333333333333331</v>
      </c>
      <c r="BA115" s="1129">
        <v>1420.4456380952381</v>
      </c>
      <c r="BB115" s="1129">
        <v>0</v>
      </c>
      <c r="BC115" s="1129">
        <v>1420.4456380952381</v>
      </c>
      <c r="BD115" s="1129">
        <v>0</v>
      </c>
      <c r="BE115" s="1129">
        <v>0</v>
      </c>
      <c r="BF115" s="1129">
        <v>0</v>
      </c>
      <c r="BG115" s="1129">
        <v>0</v>
      </c>
      <c r="BH115" s="1129">
        <v>1420.4456380952381</v>
      </c>
      <c r="BI115" s="1981"/>
      <c r="BJ115" s="971"/>
      <c r="BK115" s="971"/>
      <c r="BL115" s="1246"/>
      <c r="BM115" s="1247" t="s">
        <v>2123</v>
      </c>
    </row>
    <row r="116" spans="1:65" s="1247" customFormat="1" ht="66" customHeight="1">
      <c r="A116" s="1272">
        <v>2000</v>
      </c>
      <c r="B116" s="971" t="s">
        <v>119</v>
      </c>
      <c r="C116" s="1272">
        <v>2600</v>
      </c>
      <c r="D116" s="971" t="s">
        <v>838</v>
      </c>
      <c r="E116" s="971" t="s">
        <v>839</v>
      </c>
      <c r="F116" s="971" t="s">
        <v>840</v>
      </c>
      <c r="G116" s="971" t="s">
        <v>4395</v>
      </c>
      <c r="H116" s="971" t="s">
        <v>701</v>
      </c>
      <c r="I116" s="1273" t="s">
        <v>7365</v>
      </c>
      <c r="J116" s="971" t="s">
        <v>2212</v>
      </c>
      <c r="K116" s="971" t="s">
        <v>2123</v>
      </c>
      <c r="L116" s="971" t="s">
        <v>2124</v>
      </c>
      <c r="M116" s="971" t="s">
        <v>2123</v>
      </c>
      <c r="N116" s="971" t="s">
        <v>179</v>
      </c>
      <c r="O116" s="971" t="s">
        <v>2124</v>
      </c>
      <c r="P116" s="971" t="s">
        <v>6600</v>
      </c>
      <c r="Q116" s="971" t="s">
        <v>7362</v>
      </c>
      <c r="R116" s="971" t="s">
        <v>4400</v>
      </c>
      <c r="S116" s="1274">
        <v>1</v>
      </c>
      <c r="T116" s="971" t="s">
        <v>242</v>
      </c>
      <c r="U116" s="1275">
        <v>19.2</v>
      </c>
      <c r="V116" s="1275">
        <v>213</v>
      </c>
      <c r="W116" s="1275">
        <v>1918.3369142857146</v>
      </c>
      <c r="X116" s="1275">
        <v>2130</v>
      </c>
      <c r="Y116" s="1275">
        <v>4261.3369142857146</v>
      </c>
      <c r="Z116" s="1129">
        <v>19.2</v>
      </c>
      <c r="AA116" s="1129">
        <v>213</v>
      </c>
      <c r="AB116" s="1129">
        <v>1918.3369142857146</v>
      </c>
      <c r="AC116" s="1129">
        <v>2130</v>
      </c>
      <c r="AD116" s="1098">
        <v>4261.3369142857146</v>
      </c>
      <c r="AE116" s="1135">
        <v>1</v>
      </c>
      <c r="AF116" s="1129">
        <v>1</v>
      </c>
      <c r="AG116" s="1127">
        <v>1</v>
      </c>
      <c r="AH116" s="1127">
        <v>0</v>
      </c>
      <c r="AI116" s="1127">
        <v>0</v>
      </c>
      <c r="AJ116" s="1127">
        <v>1</v>
      </c>
      <c r="AK116" s="1129">
        <v>4261.3369142857146</v>
      </c>
      <c r="AL116" s="1129">
        <v>0</v>
      </c>
      <c r="AM116" s="1129">
        <v>0</v>
      </c>
      <c r="AN116" s="1129">
        <v>4261.3369142857146</v>
      </c>
      <c r="AO116" s="1129" t="s">
        <v>131</v>
      </c>
      <c r="AP116" s="1129" t="s">
        <v>96</v>
      </c>
      <c r="AQ116" s="1157">
        <v>2014</v>
      </c>
      <c r="AR116" s="1129" t="s">
        <v>87</v>
      </c>
      <c r="AS116" s="1127">
        <v>0.33333333333333331</v>
      </c>
      <c r="AT116" s="1127"/>
      <c r="AU116" s="1127">
        <v>0.33333333333333331</v>
      </c>
      <c r="AV116" s="1127"/>
      <c r="AW116" s="1127"/>
      <c r="AX116" s="1127"/>
      <c r="AY116" s="1127"/>
      <c r="AZ116" s="1127">
        <v>0.33333333333333331</v>
      </c>
      <c r="BA116" s="1129">
        <v>1420.4456380952381</v>
      </c>
      <c r="BB116" s="1129">
        <v>0</v>
      </c>
      <c r="BC116" s="1129">
        <v>1420.4456380952381</v>
      </c>
      <c r="BD116" s="1129">
        <v>0</v>
      </c>
      <c r="BE116" s="1129">
        <v>0</v>
      </c>
      <c r="BF116" s="1129">
        <v>0</v>
      </c>
      <c r="BG116" s="1129">
        <v>0</v>
      </c>
      <c r="BH116" s="1129">
        <v>1420.4456380952381</v>
      </c>
      <c r="BI116" s="1981"/>
      <c r="BJ116" s="971"/>
      <c r="BK116" s="971"/>
      <c r="BL116" s="1246"/>
      <c r="BM116" s="1247" t="s">
        <v>2123</v>
      </c>
    </row>
    <row r="117" spans="1:65" s="1247" customFormat="1" ht="66" customHeight="1">
      <c r="A117" s="1272">
        <v>2000</v>
      </c>
      <c r="B117" s="971" t="s">
        <v>119</v>
      </c>
      <c r="C117" s="1272">
        <v>2600</v>
      </c>
      <c r="D117" s="971" t="s">
        <v>838</v>
      </c>
      <c r="E117" s="971" t="s">
        <v>839</v>
      </c>
      <c r="F117" s="971" t="s">
        <v>840</v>
      </c>
      <c r="G117" s="971" t="s">
        <v>4395</v>
      </c>
      <c r="H117" s="971" t="s">
        <v>701</v>
      </c>
      <c r="I117" s="1273" t="s">
        <v>7366</v>
      </c>
      <c r="J117" s="971" t="s">
        <v>2212</v>
      </c>
      <c r="K117" s="971" t="s">
        <v>2123</v>
      </c>
      <c r="L117" s="971" t="s">
        <v>2124</v>
      </c>
      <c r="M117" s="971" t="s">
        <v>2123</v>
      </c>
      <c r="N117" s="971" t="s">
        <v>179</v>
      </c>
      <c r="O117" s="971" t="s">
        <v>2124</v>
      </c>
      <c r="P117" s="971" t="s">
        <v>6600</v>
      </c>
      <c r="Q117" s="971" t="s">
        <v>7362</v>
      </c>
      <c r="R117" s="971" t="s">
        <v>4401</v>
      </c>
      <c r="S117" s="1274">
        <v>1</v>
      </c>
      <c r="T117" s="971" t="s">
        <v>242</v>
      </c>
      <c r="U117" s="1275">
        <v>19.2</v>
      </c>
      <c r="V117" s="1275">
        <v>213</v>
      </c>
      <c r="W117" s="1275">
        <v>1918.3369142857146</v>
      </c>
      <c r="X117" s="1275">
        <v>2130</v>
      </c>
      <c r="Y117" s="1275">
        <v>4261.3369142857146</v>
      </c>
      <c r="Z117" s="1129">
        <v>19.2</v>
      </c>
      <c r="AA117" s="1129">
        <v>213</v>
      </c>
      <c r="AB117" s="1129">
        <v>1918.3369142857146</v>
      </c>
      <c r="AC117" s="1129">
        <v>2130</v>
      </c>
      <c r="AD117" s="1098">
        <v>4261.3369142857146</v>
      </c>
      <c r="AE117" s="1135">
        <v>1</v>
      </c>
      <c r="AF117" s="1129">
        <v>1</v>
      </c>
      <c r="AG117" s="1127">
        <v>1</v>
      </c>
      <c r="AH117" s="1127">
        <v>0</v>
      </c>
      <c r="AI117" s="1127">
        <v>0</v>
      </c>
      <c r="AJ117" s="1127">
        <v>1</v>
      </c>
      <c r="AK117" s="1129">
        <v>4261.3369142857146</v>
      </c>
      <c r="AL117" s="1129">
        <v>0</v>
      </c>
      <c r="AM117" s="1129">
        <v>0</v>
      </c>
      <c r="AN117" s="1129">
        <v>4261.3369142857146</v>
      </c>
      <c r="AO117" s="1129" t="s">
        <v>131</v>
      </c>
      <c r="AP117" s="1129" t="s">
        <v>96</v>
      </c>
      <c r="AQ117" s="1157">
        <v>2014</v>
      </c>
      <c r="AR117" s="1129" t="s">
        <v>87</v>
      </c>
      <c r="AS117" s="1127">
        <v>0.33333333333333331</v>
      </c>
      <c r="AT117" s="1127"/>
      <c r="AU117" s="1127">
        <v>0.33333333333333331</v>
      </c>
      <c r="AV117" s="1127"/>
      <c r="AW117" s="1127"/>
      <c r="AX117" s="1127"/>
      <c r="AY117" s="1127"/>
      <c r="AZ117" s="1127">
        <v>0.33333333333333331</v>
      </c>
      <c r="BA117" s="1129">
        <v>1420.4456380952381</v>
      </c>
      <c r="BB117" s="1129">
        <v>0</v>
      </c>
      <c r="BC117" s="1129">
        <v>1420.4456380952381</v>
      </c>
      <c r="BD117" s="1129">
        <v>0</v>
      </c>
      <c r="BE117" s="1129">
        <v>0</v>
      </c>
      <c r="BF117" s="1129">
        <v>0</v>
      </c>
      <c r="BG117" s="1129">
        <v>0</v>
      </c>
      <c r="BH117" s="1129">
        <v>1420.4456380952381</v>
      </c>
      <c r="BI117" s="1981"/>
      <c r="BJ117" s="971"/>
      <c r="BK117" s="971"/>
      <c r="BL117" s="1246"/>
      <c r="BM117" s="1247" t="s">
        <v>2123</v>
      </c>
    </row>
    <row r="118" spans="1:65" s="1247" customFormat="1" ht="66" customHeight="1">
      <c r="A118" s="1272">
        <v>2000</v>
      </c>
      <c r="B118" s="971" t="s">
        <v>119</v>
      </c>
      <c r="C118" s="1272">
        <v>2600</v>
      </c>
      <c r="D118" s="971" t="s">
        <v>838</v>
      </c>
      <c r="E118" s="971" t="s">
        <v>839</v>
      </c>
      <c r="F118" s="971" t="s">
        <v>840</v>
      </c>
      <c r="G118" s="971" t="s">
        <v>4395</v>
      </c>
      <c r="H118" s="971" t="s">
        <v>701</v>
      </c>
      <c r="I118" s="1273" t="s">
        <v>7367</v>
      </c>
      <c r="J118" s="971" t="s">
        <v>2212</v>
      </c>
      <c r="K118" s="971" t="s">
        <v>2123</v>
      </c>
      <c r="L118" s="971" t="s">
        <v>2124</v>
      </c>
      <c r="M118" s="971" t="s">
        <v>2123</v>
      </c>
      <c r="N118" s="971" t="s">
        <v>179</v>
      </c>
      <c r="O118" s="971" t="s">
        <v>2124</v>
      </c>
      <c r="P118" s="971" t="s">
        <v>6600</v>
      </c>
      <c r="Q118" s="971" t="s">
        <v>7362</v>
      </c>
      <c r="R118" s="971" t="s">
        <v>4402</v>
      </c>
      <c r="S118" s="1274">
        <v>1</v>
      </c>
      <c r="T118" s="971" t="s">
        <v>242</v>
      </c>
      <c r="U118" s="1275">
        <v>19.2</v>
      </c>
      <c r="V118" s="1275">
        <v>213</v>
      </c>
      <c r="W118" s="1275">
        <v>1918.3369142857146</v>
      </c>
      <c r="X118" s="1275">
        <v>2130</v>
      </c>
      <c r="Y118" s="1275">
        <v>4261.3369142857146</v>
      </c>
      <c r="Z118" s="1129">
        <v>19.2</v>
      </c>
      <c r="AA118" s="1129">
        <v>213</v>
      </c>
      <c r="AB118" s="1129">
        <v>1918.3369142857146</v>
      </c>
      <c r="AC118" s="1129">
        <v>2130</v>
      </c>
      <c r="AD118" s="1098">
        <v>4261.3369142857146</v>
      </c>
      <c r="AE118" s="1135">
        <v>1</v>
      </c>
      <c r="AF118" s="1129">
        <v>1</v>
      </c>
      <c r="AG118" s="1127">
        <v>1</v>
      </c>
      <c r="AH118" s="1127">
        <v>0</v>
      </c>
      <c r="AI118" s="1127">
        <v>0</v>
      </c>
      <c r="AJ118" s="1127">
        <v>1</v>
      </c>
      <c r="AK118" s="1129">
        <v>4261.3369142857146</v>
      </c>
      <c r="AL118" s="1129">
        <v>0</v>
      </c>
      <c r="AM118" s="1129">
        <v>0</v>
      </c>
      <c r="AN118" s="1129">
        <v>4261.3369142857146</v>
      </c>
      <c r="AO118" s="1129" t="s">
        <v>131</v>
      </c>
      <c r="AP118" s="1129" t="s">
        <v>96</v>
      </c>
      <c r="AQ118" s="1157">
        <v>2014</v>
      </c>
      <c r="AR118" s="1129" t="s">
        <v>87</v>
      </c>
      <c r="AS118" s="1127">
        <v>0.33333333333333331</v>
      </c>
      <c r="AT118" s="1127"/>
      <c r="AU118" s="1127">
        <v>0.33333333333333331</v>
      </c>
      <c r="AV118" s="1127"/>
      <c r="AW118" s="1127"/>
      <c r="AX118" s="1127"/>
      <c r="AY118" s="1127"/>
      <c r="AZ118" s="1127">
        <v>0.33333333333333331</v>
      </c>
      <c r="BA118" s="1129">
        <v>1420.4456380952381</v>
      </c>
      <c r="BB118" s="1129">
        <v>0</v>
      </c>
      <c r="BC118" s="1129">
        <v>1420.4456380952381</v>
      </c>
      <c r="BD118" s="1129">
        <v>0</v>
      </c>
      <c r="BE118" s="1129">
        <v>0</v>
      </c>
      <c r="BF118" s="1129">
        <v>0</v>
      </c>
      <c r="BG118" s="1129">
        <v>0</v>
      </c>
      <c r="BH118" s="1129">
        <v>1420.4456380952381</v>
      </c>
      <c r="BI118" s="1981"/>
      <c r="BJ118" s="971"/>
      <c r="BK118" s="971"/>
      <c r="BL118" s="1246"/>
      <c r="BM118" s="1247" t="s">
        <v>2123</v>
      </c>
    </row>
    <row r="119" spans="1:65" s="1247" customFormat="1" ht="66" customHeight="1">
      <c r="A119" s="1272">
        <v>2000</v>
      </c>
      <c r="B119" s="971" t="s">
        <v>119</v>
      </c>
      <c r="C119" s="1272">
        <v>2600</v>
      </c>
      <c r="D119" s="971" t="s">
        <v>838</v>
      </c>
      <c r="E119" s="971" t="s">
        <v>839</v>
      </c>
      <c r="F119" s="971" t="s">
        <v>840</v>
      </c>
      <c r="G119" s="971" t="s">
        <v>4395</v>
      </c>
      <c r="H119" s="971" t="s">
        <v>701</v>
      </c>
      <c r="I119" s="1273" t="s">
        <v>7368</v>
      </c>
      <c r="J119" s="971" t="s">
        <v>2212</v>
      </c>
      <c r="K119" s="971" t="s">
        <v>2123</v>
      </c>
      <c r="L119" s="971" t="s">
        <v>2124</v>
      </c>
      <c r="M119" s="971" t="s">
        <v>2123</v>
      </c>
      <c r="N119" s="971" t="s">
        <v>179</v>
      </c>
      <c r="O119" s="971" t="s">
        <v>2124</v>
      </c>
      <c r="P119" s="971" t="s">
        <v>6600</v>
      </c>
      <c r="Q119" s="971" t="s">
        <v>7362</v>
      </c>
      <c r="R119" s="971" t="s">
        <v>4403</v>
      </c>
      <c r="S119" s="1274">
        <v>1</v>
      </c>
      <c r="T119" s="971" t="s">
        <v>242</v>
      </c>
      <c r="U119" s="1275">
        <v>19.2</v>
      </c>
      <c r="V119" s="1275">
        <v>213</v>
      </c>
      <c r="W119" s="1275">
        <v>1918.3369142857146</v>
      </c>
      <c r="X119" s="1275">
        <v>2130</v>
      </c>
      <c r="Y119" s="1275">
        <v>4261.3369142857146</v>
      </c>
      <c r="Z119" s="1129">
        <v>19.2</v>
      </c>
      <c r="AA119" s="1129">
        <v>213</v>
      </c>
      <c r="AB119" s="1129">
        <v>1918.3369142857146</v>
      </c>
      <c r="AC119" s="1129">
        <v>2130</v>
      </c>
      <c r="AD119" s="1098">
        <v>4261.3369142857146</v>
      </c>
      <c r="AE119" s="1135">
        <v>1</v>
      </c>
      <c r="AF119" s="1129">
        <v>1</v>
      </c>
      <c r="AG119" s="1127">
        <v>1</v>
      </c>
      <c r="AH119" s="1127">
        <v>0</v>
      </c>
      <c r="AI119" s="1127">
        <v>0</v>
      </c>
      <c r="AJ119" s="1127">
        <v>1</v>
      </c>
      <c r="AK119" s="1129">
        <v>4261.3369142857146</v>
      </c>
      <c r="AL119" s="1129">
        <v>0</v>
      </c>
      <c r="AM119" s="1129">
        <v>0</v>
      </c>
      <c r="AN119" s="1129">
        <v>4261.3369142857146</v>
      </c>
      <c r="AO119" s="1129" t="s">
        <v>131</v>
      </c>
      <c r="AP119" s="1129" t="s">
        <v>96</v>
      </c>
      <c r="AQ119" s="1157">
        <v>2014</v>
      </c>
      <c r="AR119" s="1129" t="s">
        <v>87</v>
      </c>
      <c r="AS119" s="1127">
        <v>0.33333333333333331</v>
      </c>
      <c r="AT119" s="1127"/>
      <c r="AU119" s="1127">
        <v>0.33333333333333331</v>
      </c>
      <c r="AV119" s="1127"/>
      <c r="AW119" s="1127"/>
      <c r="AX119" s="1127"/>
      <c r="AY119" s="1127"/>
      <c r="AZ119" s="1127">
        <v>0.33333333333333331</v>
      </c>
      <c r="BA119" s="1129">
        <v>1420.4456380952381</v>
      </c>
      <c r="BB119" s="1129">
        <v>0</v>
      </c>
      <c r="BC119" s="1129">
        <v>1420.4456380952381</v>
      </c>
      <c r="BD119" s="1129">
        <v>0</v>
      </c>
      <c r="BE119" s="1129">
        <v>0</v>
      </c>
      <c r="BF119" s="1129">
        <v>0</v>
      </c>
      <c r="BG119" s="1129">
        <v>0</v>
      </c>
      <c r="BH119" s="1129">
        <v>1420.4456380952381</v>
      </c>
      <c r="BI119" s="1981"/>
      <c r="BJ119" s="971"/>
      <c r="BK119" s="971"/>
      <c r="BL119" s="1246"/>
      <c r="BM119" s="1247" t="s">
        <v>2123</v>
      </c>
    </row>
    <row r="120" spans="1:65" s="1247" customFormat="1" ht="66" customHeight="1">
      <c r="A120" s="1272">
        <v>2000</v>
      </c>
      <c r="B120" s="971" t="s">
        <v>119</v>
      </c>
      <c r="C120" s="1272">
        <v>2700</v>
      </c>
      <c r="D120" s="971" t="s">
        <v>912</v>
      </c>
      <c r="E120" s="971" t="s">
        <v>922</v>
      </c>
      <c r="F120" s="971" t="s">
        <v>923</v>
      </c>
      <c r="G120" s="971" t="s">
        <v>929</v>
      </c>
      <c r="H120" s="971" t="s">
        <v>923</v>
      </c>
      <c r="I120" s="1273" t="s">
        <v>7369</v>
      </c>
      <c r="J120" s="971" t="s">
        <v>2143</v>
      </c>
      <c r="K120" s="971" t="s">
        <v>1768</v>
      </c>
      <c r="L120" s="971" t="s">
        <v>3420</v>
      </c>
      <c r="M120" s="971" t="s">
        <v>1768</v>
      </c>
      <c r="N120" s="971" t="s">
        <v>179</v>
      </c>
      <c r="O120" s="971" t="s">
        <v>1769</v>
      </c>
      <c r="P120" s="971" t="s">
        <v>6663</v>
      </c>
      <c r="Q120" s="971" t="s">
        <v>7370</v>
      </c>
      <c r="R120" s="971" t="s">
        <v>4404</v>
      </c>
      <c r="S120" s="1274">
        <v>1</v>
      </c>
      <c r="T120" s="971" t="s">
        <v>242</v>
      </c>
      <c r="U120" s="1275">
        <v>8.1</v>
      </c>
      <c r="V120" s="1275">
        <v>106.5</v>
      </c>
      <c r="W120" s="1275">
        <v>809.29838571428581</v>
      </c>
      <c r="X120" s="1275">
        <v>1065</v>
      </c>
      <c r="Y120" s="1275">
        <v>1980.7983857142858</v>
      </c>
      <c r="Z120" s="1129">
        <v>8.1</v>
      </c>
      <c r="AA120" s="1129">
        <v>106.5</v>
      </c>
      <c r="AB120" s="1129">
        <v>809.29838571428581</v>
      </c>
      <c r="AC120" s="1129">
        <v>1065</v>
      </c>
      <c r="AD120" s="1098">
        <v>1980.7983857142858</v>
      </c>
      <c r="AE120" s="1135">
        <v>0.5</v>
      </c>
      <c r="AF120" s="1129">
        <v>0.5</v>
      </c>
      <c r="AG120" s="1127">
        <v>1</v>
      </c>
      <c r="AH120" s="1127">
        <v>0</v>
      </c>
      <c r="AI120" s="1127">
        <v>0</v>
      </c>
      <c r="AJ120" s="1127">
        <v>1</v>
      </c>
      <c r="AK120" s="1129">
        <v>1980.7983857142858</v>
      </c>
      <c r="AL120" s="1129">
        <v>0</v>
      </c>
      <c r="AM120" s="1129">
        <v>0</v>
      </c>
      <c r="AN120" s="1129">
        <v>1980.7983857142858</v>
      </c>
      <c r="AO120" s="1129" t="s">
        <v>131</v>
      </c>
      <c r="AP120" s="1129" t="s">
        <v>96</v>
      </c>
      <c r="AQ120" s="1157">
        <v>2014</v>
      </c>
      <c r="AR120" s="1129" t="s">
        <v>87</v>
      </c>
      <c r="AS120" s="1127">
        <v>0.33333333333333331</v>
      </c>
      <c r="AT120" s="1127"/>
      <c r="AU120" s="1127">
        <v>0.33333333333333331</v>
      </c>
      <c r="AV120" s="1127"/>
      <c r="AW120" s="1127"/>
      <c r="AX120" s="1127"/>
      <c r="AY120" s="1127"/>
      <c r="AZ120" s="1127">
        <v>0.33333333333333331</v>
      </c>
      <c r="BA120" s="1129">
        <v>660.26612857142857</v>
      </c>
      <c r="BB120" s="1129">
        <v>0</v>
      </c>
      <c r="BC120" s="1129">
        <v>660.26612857142857</v>
      </c>
      <c r="BD120" s="1129">
        <v>0</v>
      </c>
      <c r="BE120" s="1129">
        <v>0</v>
      </c>
      <c r="BF120" s="1129">
        <v>0</v>
      </c>
      <c r="BG120" s="1129">
        <v>0</v>
      </c>
      <c r="BH120" s="1129">
        <v>660.26612857142857</v>
      </c>
      <c r="BI120" s="1981"/>
      <c r="BJ120" s="971"/>
      <c r="BK120" s="971"/>
      <c r="BL120" s="1246"/>
      <c r="BM120" s="1247" t="s">
        <v>1768</v>
      </c>
    </row>
    <row r="121" spans="1:65" s="1247" customFormat="1" ht="66" customHeight="1">
      <c r="A121" s="1272">
        <v>2000</v>
      </c>
      <c r="B121" s="971" t="s">
        <v>119</v>
      </c>
      <c r="C121" s="1272">
        <v>2700</v>
      </c>
      <c r="D121" s="971" t="s">
        <v>912</v>
      </c>
      <c r="E121" s="971" t="s">
        <v>922</v>
      </c>
      <c r="F121" s="971" t="s">
        <v>923</v>
      </c>
      <c r="G121" s="971" t="s">
        <v>929</v>
      </c>
      <c r="H121" s="971" t="s">
        <v>923</v>
      </c>
      <c r="I121" s="1273" t="s">
        <v>7371</v>
      </c>
      <c r="J121" s="971" t="s">
        <v>2143</v>
      </c>
      <c r="K121" s="971" t="s">
        <v>1768</v>
      </c>
      <c r="L121" s="971" t="s">
        <v>3420</v>
      </c>
      <c r="M121" s="971" t="s">
        <v>1768</v>
      </c>
      <c r="N121" s="971" t="s">
        <v>179</v>
      </c>
      <c r="O121" s="971" t="s">
        <v>1769</v>
      </c>
      <c r="P121" s="971" t="s">
        <v>6663</v>
      </c>
      <c r="Q121" s="971" t="s">
        <v>7370</v>
      </c>
      <c r="R121" s="971" t="s">
        <v>4406</v>
      </c>
      <c r="S121" s="1274">
        <v>1</v>
      </c>
      <c r="T121" s="971" t="s">
        <v>242</v>
      </c>
      <c r="U121" s="1275">
        <v>8.1</v>
      </c>
      <c r="V121" s="1275">
        <v>106.5</v>
      </c>
      <c r="W121" s="1275">
        <v>809.29838571428581</v>
      </c>
      <c r="X121" s="1275">
        <v>1065</v>
      </c>
      <c r="Y121" s="1275">
        <v>1980.7983857142858</v>
      </c>
      <c r="Z121" s="1129">
        <v>8.1</v>
      </c>
      <c r="AA121" s="1129">
        <v>106.5</v>
      </c>
      <c r="AB121" s="1129">
        <v>809.29838571428581</v>
      </c>
      <c r="AC121" s="1129">
        <v>1065</v>
      </c>
      <c r="AD121" s="1098">
        <v>1980.7983857142858</v>
      </c>
      <c r="AE121" s="1135">
        <v>0.5</v>
      </c>
      <c r="AF121" s="1129">
        <v>0.5</v>
      </c>
      <c r="AG121" s="1127">
        <v>1</v>
      </c>
      <c r="AH121" s="1127">
        <v>0</v>
      </c>
      <c r="AI121" s="1127">
        <v>0</v>
      </c>
      <c r="AJ121" s="1127">
        <v>1</v>
      </c>
      <c r="AK121" s="1129">
        <v>1980.7983857142858</v>
      </c>
      <c r="AL121" s="1129">
        <v>0</v>
      </c>
      <c r="AM121" s="1129">
        <v>0</v>
      </c>
      <c r="AN121" s="1129">
        <v>1980.7983857142858</v>
      </c>
      <c r="AO121" s="1129" t="s">
        <v>131</v>
      </c>
      <c r="AP121" s="1129" t="s">
        <v>96</v>
      </c>
      <c r="AQ121" s="1157">
        <v>2014</v>
      </c>
      <c r="AR121" s="1129" t="s">
        <v>87</v>
      </c>
      <c r="AS121" s="1127">
        <v>0.33333333333333331</v>
      </c>
      <c r="AT121" s="1127"/>
      <c r="AU121" s="1127">
        <v>0.33333333333333331</v>
      </c>
      <c r="AV121" s="1127"/>
      <c r="AW121" s="1127"/>
      <c r="AX121" s="1127"/>
      <c r="AY121" s="1127"/>
      <c r="AZ121" s="1127">
        <v>0.33333333333333331</v>
      </c>
      <c r="BA121" s="1129">
        <v>660.26612857142857</v>
      </c>
      <c r="BB121" s="1129">
        <v>0</v>
      </c>
      <c r="BC121" s="1129">
        <v>660.26612857142857</v>
      </c>
      <c r="BD121" s="1129">
        <v>0</v>
      </c>
      <c r="BE121" s="1129">
        <v>0</v>
      </c>
      <c r="BF121" s="1129">
        <v>0</v>
      </c>
      <c r="BG121" s="1129">
        <v>0</v>
      </c>
      <c r="BH121" s="1129">
        <v>660.26612857142857</v>
      </c>
      <c r="BI121" s="1981"/>
      <c r="BJ121" s="971"/>
      <c r="BK121" s="971"/>
      <c r="BL121" s="1246"/>
      <c r="BM121" s="1247" t="s">
        <v>1768</v>
      </c>
    </row>
    <row r="122" spans="1:65" s="1247" customFormat="1" ht="66" customHeight="1">
      <c r="A122" s="1272">
        <v>2000</v>
      </c>
      <c r="B122" s="971" t="s">
        <v>119</v>
      </c>
      <c r="C122" s="1272">
        <v>2700</v>
      </c>
      <c r="D122" s="971" t="s">
        <v>912</v>
      </c>
      <c r="E122" s="971" t="s">
        <v>922</v>
      </c>
      <c r="F122" s="971" t="s">
        <v>923</v>
      </c>
      <c r="G122" s="971" t="s">
        <v>929</v>
      </c>
      <c r="H122" s="971" t="s">
        <v>923</v>
      </c>
      <c r="I122" s="1273" t="s">
        <v>7372</v>
      </c>
      <c r="J122" s="971" t="s">
        <v>2143</v>
      </c>
      <c r="K122" s="971" t="s">
        <v>1768</v>
      </c>
      <c r="L122" s="971" t="s">
        <v>3420</v>
      </c>
      <c r="M122" s="971" t="s">
        <v>1768</v>
      </c>
      <c r="N122" s="971" t="s">
        <v>179</v>
      </c>
      <c r="O122" s="971" t="s">
        <v>1769</v>
      </c>
      <c r="P122" s="971" t="s">
        <v>6663</v>
      </c>
      <c r="Q122" s="971" t="s">
        <v>7373</v>
      </c>
      <c r="R122" s="971" t="s">
        <v>4407</v>
      </c>
      <c r="S122" s="1274">
        <v>1</v>
      </c>
      <c r="T122" s="971" t="s">
        <v>242</v>
      </c>
      <c r="U122" s="1275">
        <v>8.1</v>
      </c>
      <c r="V122" s="1275">
        <v>106.5</v>
      </c>
      <c r="W122" s="1275">
        <v>809.29838571428581</v>
      </c>
      <c r="X122" s="1275">
        <v>1065</v>
      </c>
      <c r="Y122" s="1275">
        <v>1980.7983857142858</v>
      </c>
      <c r="Z122" s="1129">
        <v>8.1</v>
      </c>
      <c r="AA122" s="1129">
        <v>106.5</v>
      </c>
      <c r="AB122" s="1129">
        <v>809.29838571428581</v>
      </c>
      <c r="AC122" s="1129">
        <v>1065</v>
      </c>
      <c r="AD122" s="1098">
        <v>1980.7983857142858</v>
      </c>
      <c r="AE122" s="1135">
        <v>0.5</v>
      </c>
      <c r="AF122" s="1129">
        <v>0.5</v>
      </c>
      <c r="AG122" s="1127">
        <v>1</v>
      </c>
      <c r="AH122" s="1127">
        <v>0</v>
      </c>
      <c r="AI122" s="1127">
        <v>0</v>
      </c>
      <c r="AJ122" s="1127">
        <v>1</v>
      </c>
      <c r="AK122" s="1129">
        <v>1980.7983857142858</v>
      </c>
      <c r="AL122" s="1129">
        <v>0</v>
      </c>
      <c r="AM122" s="1129">
        <v>0</v>
      </c>
      <c r="AN122" s="1129">
        <v>1980.7983857142858</v>
      </c>
      <c r="AO122" s="1129" t="s">
        <v>131</v>
      </c>
      <c r="AP122" s="1129" t="s">
        <v>96</v>
      </c>
      <c r="AQ122" s="1157">
        <v>2014</v>
      </c>
      <c r="AR122" s="1129" t="s">
        <v>87</v>
      </c>
      <c r="AS122" s="1127">
        <v>0.33333333333333331</v>
      </c>
      <c r="AT122" s="1127"/>
      <c r="AU122" s="1127">
        <v>0.33333333333333331</v>
      </c>
      <c r="AV122" s="1127"/>
      <c r="AW122" s="1127"/>
      <c r="AX122" s="1127"/>
      <c r="AY122" s="1127"/>
      <c r="AZ122" s="1127">
        <v>0.33333333333333331</v>
      </c>
      <c r="BA122" s="1129">
        <v>660.26612857142857</v>
      </c>
      <c r="BB122" s="1129">
        <v>0</v>
      </c>
      <c r="BC122" s="1129">
        <v>660.26612857142857</v>
      </c>
      <c r="BD122" s="1129">
        <v>0</v>
      </c>
      <c r="BE122" s="1129">
        <v>0</v>
      </c>
      <c r="BF122" s="1129">
        <v>0</v>
      </c>
      <c r="BG122" s="1129">
        <v>0</v>
      </c>
      <c r="BH122" s="1129">
        <v>660.26612857142857</v>
      </c>
      <c r="BI122" s="1981"/>
      <c r="BJ122" s="971"/>
      <c r="BK122" s="971"/>
      <c r="BL122" s="1246"/>
      <c r="BM122" s="1247" t="s">
        <v>1768</v>
      </c>
    </row>
    <row r="123" spans="1:65" s="1247" customFormat="1" ht="66" customHeight="1">
      <c r="A123" s="1272">
        <v>2000</v>
      </c>
      <c r="B123" s="971" t="s">
        <v>119</v>
      </c>
      <c r="C123" s="1272">
        <v>2700</v>
      </c>
      <c r="D123" s="971" t="s">
        <v>912</v>
      </c>
      <c r="E123" s="971" t="s">
        <v>922</v>
      </c>
      <c r="F123" s="971" t="s">
        <v>923</v>
      </c>
      <c r="G123" s="971" t="s">
        <v>929</v>
      </c>
      <c r="H123" s="971" t="s">
        <v>923</v>
      </c>
      <c r="I123" s="1273" t="s">
        <v>7374</v>
      </c>
      <c r="J123" s="971" t="s">
        <v>2143</v>
      </c>
      <c r="K123" s="971" t="s">
        <v>1768</v>
      </c>
      <c r="L123" s="971" t="s">
        <v>3420</v>
      </c>
      <c r="M123" s="971" t="s">
        <v>1768</v>
      </c>
      <c r="N123" s="971" t="s">
        <v>179</v>
      </c>
      <c r="O123" s="971" t="s">
        <v>1769</v>
      </c>
      <c r="P123" s="971" t="s">
        <v>6663</v>
      </c>
      <c r="Q123" s="971" t="s">
        <v>7375</v>
      </c>
      <c r="R123" s="971" t="s">
        <v>4409</v>
      </c>
      <c r="S123" s="1274">
        <v>1</v>
      </c>
      <c r="T123" s="971" t="s">
        <v>242</v>
      </c>
      <c r="U123" s="1275">
        <v>8.1</v>
      </c>
      <c r="V123" s="1275">
        <v>106.5</v>
      </c>
      <c r="W123" s="1275">
        <v>809.29838571428581</v>
      </c>
      <c r="X123" s="1275">
        <v>1065</v>
      </c>
      <c r="Y123" s="1275">
        <v>1980.7983857142858</v>
      </c>
      <c r="Z123" s="1129">
        <v>8.1</v>
      </c>
      <c r="AA123" s="1129">
        <v>106.5</v>
      </c>
      <c r="AB123" s="1129">
        <v>809.29838571428581</v>
      </c>
      <c r="AC123" s="1129">
        <v>1065</v>
      </c>
      <c r="AD123" s="1098">
        <v>1980.7983857142858</v>
      </c>
      <c r="AE123" s="1135">
        <v>0.5</v>
      </c>
      <c r="AF123" s="1129">
        <v>0.5</v>
      </c>
      <c r="AG123" s="1127">
        <v>1</v>
      </c>
      <c r="AH123" s="1127">
        <v>0</v>
      </c>
      <c r="AI123" s="1127">
        <v>0</v>
      </c>
      <c r="AJ123" s="1127">
        <v>1</v>
      </c>
      <c r="AK123" s="1129">
        <v>1980.7983857142858</v>
      </c>
      <c r="AL123" s="1129">
        <v>0</v>
      </c>
      <c r="AM123" s="1129">
        <v>0</v>
      </c>
      <c r="AN123" s="1129">
        <v>1980.7983857142858</v>
      </c>
      <c r="AO123" s="1129" t="s">
        <v>131</v>
      </c>
      <c r="AP123" s="1129" t="s">
        <v>96</v>
      </c>
      <c r="AQ123" s="1157">
        <v>2014</v>
      </c>
      <c r="AR123" s="1129" t="s">
        <v>87</v>
      </c>
      <c r="AS123" s="1127">
        <v>0.33333333333333331</v>
      </c>
      <c r="AT123" s="1127"/>
      <c r="AU123" s="1127">
        <v>0.33333333333333331</v>
      </c>
      <c r="AV123" s="1127"/>
      <c r="AW123" s="1127"/>
      <c r="AX123" s="1127"/>
      <c r="AY123" s="1127"/>
      <c r="AZ123" s="1127">
        <v>0.33333333333333331</v>
      </c>
      <c r="BA123" s="1129">
        <v>660.26612857142857</v>
      </c>
      <c r="BB123" s="1129">
        <v>0</v>
      </c>
      <c r="BC123" s="1129">
        <v>660.26612857142857</v>
      </c>
      <c r="BD123" s="1129">
        <v>0</v>
      </c>
      <c r="BE123" s="1129">
        <v>0</v>
      </c>
      <c r="BF123" s="1129">
        <v>0</v>
      </c>
      <c r="BG123" s="1129">
        <v>0</v>
      </c>
      <c r="BH123" s="1129">
        <v>660.26612857142857</v>
      </c>
      <c r="BI123" s="1981"/>
      <c r="BJ123" s="971"/>
      <c r="BK123" s="971"/>
      <c r="BL123" s="1246"/>
      <c r="BM123" s="1247" t="s">
        <v>1768</v>
      </c>
    </row>
    <row r="124" spans="1:65" s="1247" customFormat="1" ht="66" customHeight="1">
      <c r="A124" s="1272">
        <v>2000</v>
      </c>
      <c r="B124" s="971" t="s">
        <v>119</v>
      </c>
      <c r="C124" s="1272">
        <v>2700</v>
      </c>
      <c r="D124" s="971" t="s">
        <v>912</v>
      </c>
      <c r="E124" s="971" t="s">
        <v>922</v>
      </c>
      <c r="F124" s="971" t="s">
        <v>923</v>
      </c>
      <c r="G124" s="971" t="s">
        <v>929</v>
      </c>
      <c r="H124" s="971" t="s">
        <v>923</v>
      </c>
      <c r="I124" s="1273" t="s">
        <v>7376</v>
      </c>
      <c r="J124" s="971" t="s">
        <v>2143</v>
      </c>
      <c r="K124" s="971" t="s">
        <v>1768</v>
      </c>
      <c r="L124" s="971" t="s">
        <v>3420</v>
      </c>
      <c r="M124" s="971" t="s">
        <v>1768</v>
      </c>
      <c r="N124" s="971" t="s">
        <v>179</v>
      </c>
      <c r="O124" s="971" t="s">
        <v>1769</v>
      </c>
      <c r="P124" s="971" t="s">
        <v>6663</v>
      </c>
      <c r="Q124" s="971" t="s">
        <v>7377</v>
      </c>
      <c r="R124" s="971" t="s">
        <v>4411</v>
      </c>
      <c r="S124" s="1274">
        <v>1</v>
      </c>
      <c r="T124" s="971" t="s">
        <v>242</v>
      </c>
      <c r="U124" s="1275">
        <v>8.1</v>
      </c>
      <c r="V124" s="1275">
        <v>106.5</v>
      </c>
      <c r="W124" s="1275">
        <v>809.29838571428581</v>
      </c>
      <c r="X124" s="1275">
        <v>1065</v>
      </c>
      <c r="Y124" s="1275">
        <v>1980.7983857142858</v>
      </c>
      <c r="Z124" s="1129">
        <v>8.1</v>
      </c>
      <c r="AA124" s="1129">
        <v>106.5</v>
      </c>
      <c r="AB124" s="1129">
        <v>809.29838571428581</v>
      </c>
      <c r="AC124" s="1129">
        <v>1065</v>
      </c>
      <c r="AD124" s="1098">
        <v>1980.7983857142858</v>
      </c>
      <c r="AE124" s="1135">
        <v>0.5</v>
      </c>
      <c r="AF124" s="1129">
        <v>0.5</v>
      </c>
      <c r="AG124" s="1127">
        <v>1</v>
      </c>
      <c r="AH124" s="1127">
        <v>0</v>
      </c>
      <c r="AI124" s="1127">
        <v>0</v>
      </c>
      <c r="AJ124" s="1127">
        <v>1</v>
      </c>
      <c r="AK124" s="1129">
        <v>1980.7983857142858</v>
      </c>
      <c r="AL124" s="1129">
        <v>0</v>
      </c>
      <c r="AM124" s="1129">
        <v>0</v>
      </c>
      <c r="AN124" s="1129">
        <v>1980.7983857142858</v>
      </c>
      <c r="AO124" s="1129" t="s">
        <v>131</v>
      </c>
      <c r="AP124" s="1129" t="s">
        <v>96</v>
      </c>
      <c r="AQ124" s="1157">
        <v>2014</v>
      </c>
      <c r="AR124" s="1129" t="s">
        <v>87</v>
      </c>
      <c r="AS124" s="1127">
        <v>0.33333333333333331</v>
      </c>
      <c r="AT124" s="1127"/>
      <c r="AU124" s="1127">
        <v>0.33333333333333331</v>
      </c>
      <c r="AV124" s="1127"/>
      <c r="AW124" s="1127"/>
      <c r="AX124" s="1127"/>
      <c r="AY124" s="1127"/>
      <c r="AZ124" s="1127">
        <v>0.33333333333333331</v>
      </c>
      <c r="BA124" s="1129">
        <v>660.26612857142857</v>
      </c>
      <c r="BB124" s="1129">
        <v>0</v>
      </c>
      <c r="BC124" s="1129">
        <v>660.26612857142857</v>
      </c>
      <c r="BD124" s="1129">
        <v>0</v>
      </c>
      <c r="BE124" s="1129">
        <v>0</v>
      </c>
      <c r="BF124" s="1129">
        <v>0</v>
      </c>
      <c r="BG124" s="1129">
        <v>0</v>
      </c>
      <c r="BH124" s="1129">
        <v>660.26612857142857</v>
      </c>
      <c r="BI124" s="1981"/>
      <c r="BJ124" s="971"/>
      <c r="BK124" s="971"/>
      <c r="BL124" s="1246"/>
      <c r="BM124" s="1247" t="s">
        <v>1768</v>
      </c>
    </row>
    <row r="125" spans="1:65" s="1247" customFormat="1" ht="66" customHeight="1">
      <c r="A125" s="1272">
        <v>2000</v>
      </c>
      <c r="B125" s="971" t="s">
        <v>119</v>
      </c>
      <c r="C125" s="1272">
        <v>2700</v>
      </c>
      <c r="D125" s="971" t="s">
        <v>912</v>
      </c>
      <c r="E125" s="971" t="s">
        <v>922</v>
      </c>
      <c r="F125" s="971" t="s">
        <v>923</v>
      </c>
      <c r="G125" s="971" t="s">
        <v>929</v>
      </c>
      <c r="H125" s="971" t="s">
        <v>923</v>
      </c>
      <c r="I125" s="1273" t="s">
        <v>7378</v>
      </c>
      <c r="J125" s="971" t="s">
        <v>2143</v>
      </c>
      <c r="K125" s="971" t="s">
        <v>1768</v>
      </c>
      <c r="L125" s="971" t="s">
        <v>3420</v>
      </c>
      <c r="M125" s="971" t="s">
        <v>1768</v>
      </c>
      <c r="N125" s="971" t="s">
        <v>179</v>
      </c>
      <c r="O125" s="971" t="s">
        <v>1769</v>
      </c>
      <c r="P125" s="971" t="s">
        <v>6663</v>
      </c>
      <c r="Q125" s="971" t="s">
        <v>7379</v>
      </c>
      <c r="R125" s="971" t="s">
        <v>4413</v>
      </c>
      <c r="S125" s="1274">
        <v>1</v>
      </c>
      <c r="T125" s="971" t="s">
        <v>242</v>
      </c>
      <c r="U125" s="1275">
        <v>8.1</v>
      </c>
      <c r="V125" s="1275">
        <v>106.5</v>
      </c>
      <c r="W125" s="1275">
        <v>809.29838571428581</v>
      </c>
      <c r="X125" s="1275">
        <v>1065</v>
      </c>
      <c r="Y125" s="1275">
        <v>1980.7983857142858</v>
      </c>
      <c r="Z125" s="1129">
        <v>8.1</v>
      </c>
      <c r="AA125" s="1129">
        <v>106.5</v>
      </c>
      <c r="AB125" s="1129">
        <v>809.29838571428581</v>
      </c>
      <c r="AC125" s="1129">
        <v>1065</v>
      </c>
      <c r="AD125" s="1098">
        <v>1980.7983857142858</v>
      </c>
      <c r="AE125" s="1135">
        <v>0.5</v>
      </c>
      <c r="AF125" s="1129">
        <v>0.5</v>
      </c>
      <c r="AG125" s="1127">
        <v>1</v>
      </c>
      <c r="AH125" s="1127">
        <v>0</v>
      </c>
      <c r="AI125" s="1127">
        <v>0</v>
      </c>
      <c r="AJ125" s="1127">
        <v>1</v>
      </c>
      <c r="AK125" s="1129">
        <v>1980.7983857142858</v>
      </c>
      <c r="AL125" s="1129">
        <v>0</v>
      </c>
      <c r="AM125" s="1129">
        <v>0</v>
      </c>
      <c r="AN125" s="1129">
        <v>1980.7983857142858</v>
      </c>
      <c r="AO125" s="1129" t="s">
        <v>131</v>
      </c>
      <c r="AP125" s="1129" t="s">
        <v>96</v>
      </c>
      <c r="AQ125" s="1157">
        <v>2014</v>
      </c>
      <c r="AR125" s="1129" t="s">
        <v>87</v>
      </c>
      <c r="AS125" s="1127">
        <v>0.33333333333333331</v>
      </c>
      <c r="AT125" s="1127"/>
      <c r="AU125" s="1127">
        <v>0.33333333333333331</v>
      </c>
      <c r="AV125" s="1127"/>
      <c r="AW125" s="1127"/>
      <c r="AX125" s="1127"/>
      <c r="AY125" s="1127"/>
      <c r="AZ125" s="1127">
        <v>0.33333333333333331</v>
      </c>
      <c r="BA125" s="1129">
        <v>660.26612857142857</v>
      </c>
      <c r="BB125" s="1129">
        <v>0</v>
      </c>
      <c r="BC125" s="1129">
        <v>660.26612857142857</v>
      </c>
      <c r="BD125" s="1129">
        <v>0</v>
      </c>
      <c r="BE125" s="1129">
        <v>0</v>
      </c>
      <c r="BF125" s="1129">
        <v>0</v>
      </c>
      <c r="BG125" s="1129">
        <v>0</v>
      </c>
      <c r="BH125" s="1129">
        <v>660.26612857142857</v>
      </c>
      <c r="BI125" s="1981"/>
      <c r="BJ125" s="971"/>
      <c r="BK125" s="971"/>
      <c r="BL125" s="1246"/>
      <c r="BM125" s="1247" t="s">
        <v>1768</v>
      </c>
    </row>
    <row r="126" spans="1:65" s="1247" customFormat="1" ht="66" customHeight="1">
      <c r="A126" s="1272">
        <v>2000</v>
      </c>
      <c r="B126" s="971" t="s">
        <v>119</v>
      </c>
      <c r="C126" s="1272">
        <v>2700</v>
      </c>
      <c r="D126" s="971" t="s">
        <v>912</v>
      </c>
      <c r="E126" s="971" t="s">
        <v>922</v>
      </c>
      <c r="F126" s="971" t="s">
        <v>923</v>
      </c>
      <c r="G126" s="971" t="s">
        <v>929</v>
      </c>
      <c r="H126" s="971" t="s">
        <v>923</v>
      </c>
      <c r="I126" s="1273" t="s">
        <v>7380</v>
      </c>
      <c r="J126" s="971" t="s">
        <v>2143</v>
      </c>
      <c r="K126" s="971" t="s">
        <v>1768</v>
      </c>
      <c r="L126" s="971" t="s">
        <v>3420</v>
      </c>
      <c r="M126" s="971" t="s">
        <v>1768</v>
      </c>
      <c r="N126" s="971" t="s">
        <v>179</v>
      </c>
      <c r="O126" s="971" t="s">
        <v>1769</v>
      </c>
      <c r="P126" s="971" t="s">
        <v>6663</v>
      </c>
      <c r="Q126" s="971" t="s">
        <v>7381</v>
      </c>
      <c r="R126" s="971" t="s">
        <v>4416</v>
      </c>
      <c r="S126" s="1274">
        <v>1</v>
      </c>
      <c r="T126" s="971" t="s">
        <v>242</v>
      </c>
      <c r="U126" s="1275">
        <v>8.1</v>
      </c>
      <c r="V126" s="1275">
        <v>106.5</v>
      </c>
      <c r="W126" s="1275">
        <v>809.29838571428581</v>
      </c>
      <c r="X126" s="1275">
        <v>1065</v>
      </c>
      <c r="Y126" s="1275">
        <v>1980.7983857142858</v>
      </c>
      <c r="Z126" s="1129">
        <v>8.1</v>
      </c>
      <c r="AA126" s="1129">
        <v>106.5</v>
      </c>
      <c r="AB126" s="1129">
        <v>809.29838571428581</v>
      </c>
      <c r="AC126" s="1129">
        <v>1065</v>
      </c>
      <c r="AD126" s="1098">
        <v>1980.7983857142858</v>
      </c>
      <c r="AE126" s="1135">
        <v>0.5</v>
      </c>
      <c r="AF126" s="1129">
        <v>0.5</v>
      </c>
      <c r="AG126" s="1127">
        <v>1</v>
      </c>
      <c r="AH126" s="1127">
        <v>0</v>
      </c>
      <c r="AI126" s="1127">
        <v>0</v>
      </c>
      <c r="AJ126" s="1127">
        <v>1</v>
      </c>
      <c r="AK126" s="1129">
        <v>1980.7983857142858</v>
      </c>
      <c r="AL126" s="1129">
        <v>0</v>
      </c>
      <c r="AM126" s="1129">
        <v>0</v>
      </c>
      <c r="AN126" s="1129">
        <v>1980.7983857142858</v>
      </c>
      <c r="AO126" s="1129" t="s">
        <v>131</v>
      </c>
      <c r="AP126" s="1129" t="s">
        <v>96</v>
      </c>
      <c r="AQ126" s="1157">
        <v>2014</v>
      </c>
      <c r="AR126" s="1129" t="s">
        <v>87</v>
      </c>
      <c r="AS126" s="1127">
        <v>0.33333333333333331</v>
      </c>
      <c r="AT126" s="1127"/>
      <c r="AU126" s="1127">
        <v>0.33333333333333331</v>
      </c>
      <c r="AV126" s="1127"/>
      <c r="AW126" s="1127"/>
      <c r="AX126" s="1127"/>
      <c r="AY126" s="1127"/>
      <c r="AZ126" s="1127">
        <v>0.33333333333333331</v>
      </c>
      <c r="BA126" s="1129">
        <v>660.26612857142857</v>
      </c>
      <c r="BB126" s="1129">
        <v>0</v>
      </c>
      <c r="BC126" s="1129">
        <v>660.26612857142857</v>
      </c>
      <c r="BD126" s="1129">
        <v>0</v>
      </c>
      <c r="BE126" s="1129">
        <v>0</v>
      </c>
      <c r="BF126" s="1129">
        <v>0</v>
      </c>
      <c r="BG126" s="1129">
        <v>0</v>
      </c>
      <c r="BH126" s="1129">
        <v>660.26612857142857</v>
      </c>
      <c r="BI126" s="1981"/>
      <c r="BJ126" s="971"/>
      <c r="BK126" s="971"/>
      <c r="BL126" s="1246"/>
      <c r="BM126" s="1247" t="s">
        <v>1768</v>
      </c>
    </row>
    <row r="127" spans="1:65" s="1247" customFormat="1" ht="66" customHeight="1">
      <c r="A127" s="1272">
        <v>2000</v>
      </c>
      <c r="B127" s="971" t="s">
        <v>119</v>
      </c>
      <c r="C127" s="1272">
        <v>2700</v>
      </c>
      <c r="D127" s="971" t="s">
        <v>912</v>
      </c>
      <c r="E127" s="971" t="s">
        <v>922</v>
      </c>
      <c r="F127" s="971" t="s">
        <v>923</v>
      </c>
      <c r="G127" s="971" t="s">
        <v>929</v>
      </c>
      <c r="H127" s="971" t="s">
        <v>923</v>
      </c>
      <c r="I127" s="1273" t="s">
        <v>7382</v>
      </c>
      <c r="J127" s="971" t="s">
        <v>2143</v>
      </c>
      <c r="K127" s="971" t="s">
        <v>1768</v>
      </c>
      <c r="L127" s="971" t="s">
        <v>3420</v>
      </c>
      <c r="M127" s="971" t="s">
        <v>1768</v>
      </c>
      <c r="N127" s="971" t="s">
        <v>179</v>
      </c>
      <c r="O127" s="971" t="s">
        <v>1769</v>
      </c>
      <c r="P127" s="971" t="s">
        <v>6663</v>
      </c>
      <c r="Q127" s="971" t="s">
        <v>7383</v>
      </c>
      <c r="R127" s="971" t="s">
        <v>4418</v>
      </c>
      <c r="S127" s="1274">
        <v>1</v>
      </c>
      <c r="T127" s="971" t="s">
        <v>242</v>
      </c>
      <c r="U127" s="1275">
        <v>8.1</v>
      </c>
      <c r="V127" s="1275">
        <v>106.5</v>
      </c>
      <c r="W127" s="1275">
        <v>809.29838571428581</v>
      </c>
      <c r="X127" s="1275">
        <v>1065</v>
      </c>
      <c r="Y127" s="1275">
        <v>1980.7983857142858</v>
      </c>
      <c r="Z127" s="1129">
        <v>8.1</v>
      </c>
      <c r="AA127" s="1129">
        <v>106.5</v>
      </c>
      <c r="AB127" s="1129">
        <v>809.29838571428581</v>
      </c>
      <c r="AC127" s="1129">
        <v>1065</v>
      </c>
      <c r="AD127" s="1098">
        <v>1980.7983857142858</v>
      </c>
      <c r="AE127" s="1135">
        <v>0.5</v>
      </c>
      <c r="AF127" s="1129">
        <v>0.5</v>
      </c>
      <c r="AG127" s="1127">
        <v>1</v>
      </c>
      <c r="AH127" s="1127">
        <v>0</v>
      </c>
      <c r="AI127" s="1127">
        <v>0</v>
      </c>
      <c r="AJ127" s="1127">
        <v>1</v>
      </c>
      <c r="AK127" s="1129">
        <v>1980.7983857142858</v>
      </c>
      <c r="AL127" s="1129">
        <v>0</v>
      </c>
      <c r="AM127" s="1129">
        <v>0</v>
      </c>
      <c r="AN127" s="1129">
        <v>1980.7983857142858</v>
      </c>
      <c r="AO127" s="1129" t="s">
        <v>131</v>
      </c>
      <c r="AP127" s="1129" t="s">
        <v>96</v>
      </c>
      <c r="AQ127" s="1157">
        <v>2014</v>
      </c>
      <c r="AR127" s="1129" t="s">
        <v>87</v>
      </c>
      <c r="AS127" s="1127">
        <v>0.33333333333333331</v>
      </c>
      <c r="AT127" s="1127"/>
      <c r="AU127" s="1127">
        <v>0.33333333333333331</v>
      </c>
      <c r="AV127" s="1127"/>
      <c r="AW127" s="1127"/>
      <c r="AX127" s="1127"/>
      <c r="AY127" s="1127"/>
      <c r="AZ127" s="1127">
        <v>0.33333333333333331</v>
      </c>
      <c r="BA127" s="1129">
        <v>660.26612857142857</v>
      </c>
      <c r="BB127" s="1129">
        <v>0</v>
      </c>
      <c r="BC127" s="1129">
        <v>660.26612857142857</v>
      </c>
      <c r="BD127" s="1129">
        <v>0</v>
      </c>
      <c r="BE127" s="1129">
        <v>0</v>
      </c>
      <c r="BF127" s="1129">
        <v>0</v>
      </c>
      <c r="BG127" s="1129">
        <v>0</v>
      </c>
      <c r="BH127" s="1129">
        <v>660.26612857142857</v>
      </c>
      <c r="BI127" s="1981"/>
      <c r="BJ127" s="971"/>
      <c r="BK127" s="971"/>
      <c r="BL127" s="1246"/>
      <c r="BM127" s="1247" t="s">
        <v>1768</v>
      </c>
    </row>
    <row r="128" spans="1:65" s="1247" customFormat="1" ht="66" customHeight="1">
      <c r="A128" s="1272">
        <v>2000</v>
      </c>
      <c r="B128" s="971" t="s">
        <v>119</v>
      </c>
      <c r="C128" s="1272">
        <v>2700</v>
      </c>
      <c r="D128" s="971" t="s">
        <v>912</v>
      </c>
      <c r="E128" s="971" t="s">
        <v>922</v>
      </c>
      <c r="F128" s="971" t="s">
        <v>923</v>
      </c>
      <c r="G128" s="971" t="s">
        <v>929</v>
      </c>
      <c r="H128" s="971" t="s">
        <v>923</v>
      </c>
      <c r="I128" s="1273" t="s">
        <v>7384</v>
      </c>
      <c r="J128" s="971" t="s">
        <v>2143</v>
      </c>
      <c r="K128" s="971" t="s">
        <v>1768</v>
      </c>
      <c r="L128" s="971" t="s">
        <v>3420</v>
      </c>
      <c r="M128" s="971" t="s">
        <v>1768</v>
      </c>
      <c r="N128" s="971" t="s">
        <v>179</v>
      </c>
      <c r="O128" s="971" t="s">
        <v>1769</v>
      </c>
      <c r="P128" s="971" t="s">
        <v>6663</v>
      </c>
      <c r="Q128" s="971" t="s">
        <v>7385</v>
      </c>
      <c r="R128" s="971" t="s">
        <v>4420</v>
      </c>
      <c r="S128" s="1274">
        <v>1</v>
      </c>
      <c r="T128" s="971" t="s">
        <v>242</v>
      </c>
      <c r="U128" s="1275">
        <v>8.1</v>
      </c>
      <c r="V128" s="1275">
        <v>106.5</v>
      </c>
      <c r="W128" s="1275">
        <v>809.29838571428581</v>
      </c>
      <c r="X128" s="1275">
        <v>1065</v>
      </c>
      <c r="Y128" s="1275">
        <v>1980.7983857142858</v>
      </c>
      <c r="Z128" s="1129">
        <v>8.1</v>
      </c>
      <c r="AA128" s="1129">
        <v>106.5</v>
      </c>
      <c r="AB128" s="1129">
        <v>809.29838571428581</v>
      </c>
      <c r="AC128" s="1129">
        <v>1065</v>
      </c>
      <c r="AD128" s="1098">
        <v>1980.7983857142858</v>
      </c>
      <c r="AE128" s="1135">
        <v>0.5</v>
      </c>
      <c r="AF128" s="1129">
        <v>0.5</v>
      </c>
      <c r="AG128" s="1127">
        <v>1</v>
      </c>
      <c r="AH128" s="1127">
        <v>0</v>
      </c>
      <c r="AI128" s="1127">
        <v>0</v>
      </c>
      <c r="AJ128" s="1127">
        <v>1</v>
      </c>
      <c r="AK128" s="1129">
        <v>1980.7983857142858</v>
      </c>
      <c r="AL128" s="1129">
        <v>0</v>
      </c>
      <c r="AM128" s="1129">
        <v>0</v>
      </c>
      <c r="AN128" s="1129">
        <v>1980.7983857142858</v>
      </c>
      <c r="AO128" s="1129" t="s">
        <v>131</v>
      </c>
      <c r="AP128" s="1129" t="s">
        <v>96</v>
      </c>
      <c r="AQ128" s="1157">
        <v>2014</v>
      </c>
      <c r="AR128" s="1129" t="s">
        <v>87</v>
      </c>
      <c r="AS128" s="1127">
        <v>0.33333333333333331</v>
      </c>
      <c r="AT128" s="1127"/>
      <c r="AU128" s="1127">
        <v>0.33333333333333331</v>
      </c>
      <c r="AV128" s="1127"/>
      <c r="AW128" s="1127"/>
      <c r="AX128" s="1127"/>
      <c r="AY128" s="1127"/>
      <c r="AZ128" s="1127">
        <v>0.33333333333333331</v>
      </c>
      <c r="BA128" s="1129">
        <v>660.26612857142857</v>
      </c>
      <c r="BB128" s="1129">
        <v>0</v>
      </c>
      <c r="BC128" s="1129">
        <v>660.26612857142857</v>
      </c>
      <c r="BD128" s="1129">
        <v>0</v>
      </c>
      <c r="BE128" s="1129">
        <v>0</v>
      </c>
      <c r="BF128" s="1129">
        <v>0</v>
      </c>
      <c r="BG128" s="1129">
        <v>0</v>
      </c>
      <c r="BH128" s="1129">
        <v>660.26612857142857</v>
      </c>
      <c r="BI128" s="1981"/>
      <c r="BJ128" s="971"/>
      <c r="BK128" s="971"/>
      <c r="BL128" s="1246"/>
      <c r="BM128" s="1247" t="s">
        <v>1768</v>
      </c>
    </row>
    <row r="129" spans="1:65" s="1247" customFormat="1" ht="66" customHeight="1">
      <c r="A129" s="1272">
        <v>2000</v>
      </c>
      <c r="B129" s="971" t="s">
        <v>119</v>
      </c>
      <c r="C129" s="1272">
        <v>2700</v>
      </c>
      <c r="D129" s="971" t="s">
        <v>912</v>
      </c>
      <c r="E129" s="971" t="s">
        <v>922</v>
      </c>
      <c r="F129" s="971" t="s">
        <v>923</v>
      </c>
      <c r="G129" s="971" t="s">
        <v>929</v>
      </c>
      <c r="H129" s="971" t="s">
        <v>923</v>
      </c>
      <c r="I129" s="1273" t="s">
        <v>7386</v>
      </c>
      <c r="J129" s="971" t="s">
        <v>2143</v>
      </c>
      <c r="K129" s="971" t="s">
        <v>1768</v>
      </c>
      <c r="L129" s="971" t="s">
        <v>3420</v>
      </c>
      <c r="M129" s="971" t="s">
        <v>1768</v>
      </c>
      <c r="N129" s="971" t="s">
        <v>179</v>
      </c>
      <c r="O129" s="971" t="s">
        <v>1769</v>
      </c>
      <c r="P129" s="971" t="s">
        <v>6663</v>
      </c>
      <c r="Q129" s="971" t="s">
        <v>7387</v>
      </c>
      <c r="R129" s="971" t="s">
        <v>4422</v>
      </c>
      <c r="S129" s="1274">
        <v>1</v>
      </c>
      <c r="T129" s="971" t="s">
        <v>242</v>
      </c>
      <c r="U129" s="1275">
        <v>8.1</v>
      </c>
      <c r="V129" s="1275">
        <v>106.5</v>
      </c>
      <c r="W129" s="1275">
        <v>809.29838571428581</v>
      </c>
      <c r="X129" s="1275">
        <v>1065</v>
      </c>
      <c r="Y129" s="1275">
        <v>1980.7983857142858</v>
      </c>
      <c r="Z129" s="1129">
        <v>8.1</v>
      </c>
      <c r="AA129" s="1129">
        <v>106.5</v>
      </c>
      <c r="AB129" s="1129">
        <v>809.29838571428581</v>
      </c>
      <c r="AC129" s="1129">
        <v>1065</v>
      </c>
      <c r="AD129" s="1098">
        <v>1980.7983857142858</v>
      </c>
      <c r="AE129" s="1135">
        <v>0.5</v>
      </c>
      <c r="AF129" s="1129">
        <v>0.5</v>
      </c>
      <c r="AG129" s="1127">
        <v>1</v>
      </c>
      <c r="AH129" s="1127">
        <v>0</v>
      </c>
      <c r="AI129" s="1127">
        <v>0</v>
      </c>
      <c r="AJ129" s="1127">
        <v>1</v>
      </c>
      <c r="AK129" s="1129">
        <v>1980.7983857142858</v>
      </c>
      <c r="AL129" s="1129">
        <v>0</v>
      </c>
      <c r="AM129" s="1129">
        <v>0</v>
      </c>
      <c r="AN129" s="1129">
        <v>1980.7983857142858</v>
      </c>
      <c r="AO129" s="1129" t="s">
        <v>131</v>
      </c>
      <c r="AP129" s="1129" t="s">
        <v>96</v>
      </c>
      <c r="AQ129" s="1157">
        <v>2014</v>
      </c>
      <c r="AR129" s="1129" t="s">
        <v>87</v>
      </c>
      <c r="AS129" s="1127">
        <v>0.33333333333333331</v>
      </c>
      <c r="AT129" s="1127"/>
      <c r="AU129" s="1127">
        <v>0.33333333333333331</v>
      </c>
      <c r="AV129" s="1127"/>
      <c r="AW129" s="1127"/>
      <c r="AX129" s="1127"/>
      <c r="AY129" s="1127"/>
      <c r="AZ129" s="1127">
        <v>0.33333333333333331</v>
      </c>
      <c r="BA129" s="1129">
        <v>660.26612857142857</v>
      </c>
      <c r="BB129" s="1129">
        <v>0</v>
      </c>
      <c r="BC129" s="1129">
        <v>660.26612857142857</v>
      </c>
      <c r="BD129" s="1129">
        <v>0</v>
      </c>
      <c r="BE129" s="1129">
        <v>0</v>
      </c>
      <c r="BF129" s="1129">
        <v>0</v>
      </c>
      <c r="BG129" s="1129">
        <v>0</v>
      </c>
      <c r="BH129" s="1129">
        <v>660.26612857142857</v>
      </c>
      <c r="BI129" s="1981"/>
      <c r="BJ129" s="971"/>
      <c r="BK129" s="971"/>
      <c r="BL129" s="1246"/>
      <c r="BM129" s="1247" t="s">
        <v>1768</v>
      </c>
    </row>
    <row r="130" spans="1:65" s="1247" customFormat="1" ht="66" customHeight="1">
      <c r="A130" s="1272">
        <v>2000</v>
      </c>
      <c r="B130" s="971" t="s">
        <v>119</v>
      </c>
      <c r="C130" s="1272">
        <v>2700</v>
      </c>
      <c r="D130" s="971" t="s">
        <v>912</v>
      </c>
      <c r="E130" s="971" t="s">
        <v>922</v>
      </c>
      <c r="F130" s="971" t="s">
        <v>923</v>
      </c>
      <c r="G130" s="971" t="s">
        <v>929</v>
      </c>
      <c r="H130" s="971" t="s">
        <v>923</v>
      </c>
      <c r="I130" s="1273" t="s">
        <v>7388</v>
      </c>
      <c r="J130" s="971" t="s">
        <v>2143</v>
      </c>
      <c r="K130" s="971" t="s">
        <v>1768</v>
      </c>
      <c r="L130" s="971" t="s">
        <v>3420</v>
      </c>
      <c r="M130" s="971" t="s">
        <v>1768</v>
      </c>
      <c r="N130" s="971" t="s">
        <v>179</v>
      </c>
      <c r="O130" s="971" t="s">
        <v>1769</v>
      </c>
      <c r="P130" s="971" t="s">
        <v>6663</v>
      </c>
      <c r="Q130" s="971" t="s">
        <v>7389</v>
      </c>
      <c r="R130" s="971" t="s">
        <v>4427</v>
      </c>
      <c r="S130" s="1274">
        <v>1</v>
      </c>
      <c r="T130" s="971" t="s">
        <v>242</v>
      </c>
      <c r="U130" s="1275">
        <v>8.1</v>
      </c>
      <c r="V130" s="1275">
        <v>106.5</v>
      </c>
      <c r="W130" s="1275">
        <v>809.29838571428581</v>
      </c>
      <c r="X130" s="1275">
        <v>1065</v>
      </c>
      <c r="Y130" s="1275">
        <v>1980.7983857142858</v>
      </c>
      <c r="Z130" s="1129">
        <v>8.1</v>
      </c>
      <c r="AA130" s="1129">
        <v>106.5</v>
      </c>
      <c r="AB130" s="1129">
        <v>809.29838571428581</v>
      </c>
      <c r="AC130" s="1129">
        <v>1065</v>
      </c>
      <c r="AD130" s="1098">
        <v>1980.7983857142858</v>
      </c>
      <c r="AE130" s="1135">
        <v>0.5</v>
      </c>
      <c r="AF130" s="1129">
        <v>0.5</v>
      </c>
      <c r="AG130" s="1127">
        <v>1</v>
      </c>
      <c r="AH130" s="1127">
        <v>0</v>
      </c>
      <c r="AI130" s="1127">
        <v>0</v>
      </c>
      <c r="AJ130" s="1127">
        <v>1</v>
      </c>
      <c r="AK130" s="1129">
        <v>1980.7983857142858</v>
      </c>
      <c r="AL130" s="1129">
        <v>0</v>
      </c>
      <c r="AM130" s="1129">
        <v>0</v>
      </c>
      <c r="AN130" s="1129">
        <v>1980.7983857142858</v>
      </c>
      <c r="AO130" s="1129" t="s">
        <v>131</v>
      </c>
      <c r="AP130" s="1129" t="s">
        <v>96</v>
      </c>
      <c r="AQ130" s="1157">
        <v>2014</v>
      </c>
      <c r="AR130" s="1129" t="s">
        <v>87</v>
      </c>
      <c r="AS130" s="1127">
        <v>0.5</v>
      </c>
      <c r="AT130" s="1127">
        <v>0.5</v>
      </c>
      <c r="AU130" s="1127"/>
      <c r="AV130" s="1127"/>
      <c r="AW130" s="1127"/>
      <c r="AX130" s="1127"/>
      <c r="AY130" s="1127"/>
      <c r="AZ130" s="1127"/>
      <c r="BA130" s="1129">
        <v>990.39919285714291</v>
      </c>
      <c r="BB130" s="1129">
        <v>990.39919285714291</v>
      </c>
      <c r="BC130" s="1129">
        <v>0</v>
      </c>
      <c r="BD130" s="1129">
        <v>0</v>
      </c>
      <c r="BE130" s="1129">
        <v>0</v>
      </c>
      <c r="BF130" s="1129">
        <v>0</v>
      </c>
      <c r="BG130" s="1129">
        <v>0</v>
      </c>
      <c r="BH130" s="1129">
        <v>0</v>
      </c>
      <c r="BI130" s="1981"/>
      <c r="BJ130" s="971"/>
      <c r="BK130" s="971"/>
      <c r="BL130" s="1246"/>
      <c r="BM130" s="1247" t="s">
        <v>1768</v>
      </c>
    </row>
    <row r="131" spans="1:65" s="1247" customFormat="1" ht="66" customHeight="1">
      <c r="A131" s="1272">
        <v>2000</v>
      </c>
      <c r="B131" s="971" t="s">
        <v>119</v>
      </c>
      <c r="C131" s="1272">
        <v>2700</v>
      </c>
      <c r="D131" s="971" t="s">
        <v>912</v>
      </c>
      <c r="E131" s="971" t="s">
        <v>922</v>
      </c>
      <c r="F131" s="971" t="s">
        <v>923</v>
      </c>
      <c r="G131" s="971" t="s">
        <v>929</v>
      </c>
      <c r="H131" s="971" t="s">
        <v>923</v>
      </c>
      <c r="I131" s="1273" t="s">
        <v>7390</v>
      </c>
      <c r="J131" s="971" t="s">
        <v>239</v>
      </c>
      <c r="K131" s="971" t="s">
        <v>1768</v>
      </c>
      <c r="L131" s="971" t="s">
        <v>3420</v>
      </c>
      <c r="M131" s="971" t="s">
        <v>1768</v>
      </c>
      <c r="N131" s="971" t="s">
        <v>179</v>
      </c>
      <c r="O131" s="971" t="s">
        <v>1769</v>
      </c>
      <c r="P131" s="971" t="s">
        <v>6663</v>
      </c>
      <c r="Q131" s="971" t="s">
        <v>7261</v>
      </c>
      <c r="R131" s="971" t="s">
        <v>4429</v>
      </c>
      <c r="S131" s="1274">
        <v>1</v>
      </c>
      <c r="T131" s="971" t="s">
        <v>242</v>
      </c>
      <c r="U131" s="1275">
        <v>8.1</v>
      </c>
      <c r="V131" s="1275">
        <v>106.5</v>
      </c>
      <c r="W131" s="1275">
        <v>809.29838571428581</v>
      </c>
      <c r="X131" s="1275">
        <v>1065</v>
      </c>
      <c r="Y131" s="1275">
        <v>1980.7983857142858</v>
      </c>
      <c r="Z131" s="1129">
        <v>8.1</v>
      </c>
      <c r="AA131" s="1129">
        <v>106.5</v>
      </c>
      <c r="AB131" s="1129">
        <v>809.29838571428581</v>
      </c>
      <c r="AC131" s="1129">
        <v>1065</v>
      </c>
      <c r="AD131" s="1098">
        <v>1980.7983857142858</v>
      </c>
      <c r="AE131" s="1135">
        <v>0.5</v>
      </c>
      <c r="AF131" s="1129">
        <v>0.5</v>
      </c>
      <c r="AG131" s="1127">
        <v>1</v>
      </c>
      <c r="AH131" s="1127">
        <v>0</v>
      </c>
      <c r="AI131" s="1127">
        <v>0</v>
      </c>
      <c r="AJ131" s="1127">
        <v>1</v>
      </c>
      <c r="AK131" s="1129">
        <v>1980.7983857142858</v>
      </c>
      <c r="AL131" s="1129">
        <v>0</v>
      </c>
      <c r="AM131" s="1129">
        <v>0</v>
      </c>
      <c r="AN131" s="1129">
        <v>1980.7983857142858</v>
      </c>
      <c r="AO131" s="1129" t="s">
        <v>131</v>
      </c>
      <c r="AP131" s="1129" t="s">
        <v>96</v>
      </c>
      <c r="AQ131" s="1157">
        <v>2014</v>
      </c>
      <c r="AR131" s="1129" t="s">
        <v>87</v>
      </c>
      <c r="AS131" s="1127">
        <v>0.5</v>
      </c>
      <c r="AT131" s="1127">
        <v>0.5</v>
      </c>
      <c r="AU131" s="1127"/>
      <c r="AV131" s="1127"/>
      <c r="AW131" s="1127"/>
      <c r="AX131" s="1127"/>
      <c r="AY131" s="1127"/>
      <c r="AZ131" s="1127"/>
      <c r="BA131" s="1129">
        <v>990.39919285714291</v>
      </c>
      <c r="BB131" s="1129">
        <v>990.39919285714291</v>
      </c>
      <c r="BC131" s="1129">
        <v>0</v>
      </c>
      <c r="BD131" s="1129">
        <v>0</v>
      </c>
      <c r="BE131" s="1129">
        <v>0</v>
      </c>
      <c r="BF131" s="1129">
        <v>0</v>
      </c>
      <c r="BG131" s="1129">
        <v>0</v>
      </c>
      <c r="BH131" s="1129">
        <v>0</v>
      </c>
      <c r="BI131" s="1981"/>
      <c r="BJ131" s="971"/>
      <c r="BK131" s="971"/>
      <c r="BL131" s="1246"/>
      <c r="BM131" s="1247" t="s">
        <v>1768</v>
      </c>
    </row>
    <row r="132" spans="1:65" s="1247" customFormat="1" ht="66" customHeight="1">
      <c r="A132" s="1272">
        <v>2000</v>
      </c>
      <c r="B132" s="971" t="s">
        <v>119</v>
      </c>
      <c r="C132" s="1272">
        <v>2700</v>
      </c>
      <c r="D132" s="971" t="s">
        <v>912</v>
      </c>
      <c r="E132" s="971" t="s">
        <v>922</v>
      </c>
      <c r="F132" s="971" t="s">
        <v>923</v>
      </c>
      <c r="G132" s="971" t="s">
        <v>929</v>
      </c>
      <c r="H132" s="971" t="s">
        <v>923</v>
      </c>
      <c r="I132" s="1273" t="s">
        <v>7391</v>
      </c>
      <c r="J132" s="971" t="s">
        <v>2143</v>
      </c>
      <c r="K132" s="971" t="s">
        <v>1768</v>
      </c>
      <c r="L132" s="971" t="s">
        <v>3420</v>
      </c>
      <c r="M132" s="971" t="s">
        <v>1768</v>
      </c>
      <c r="N132" s="971" t="s">
        <v>179</v>
      </c>
      <c r="O132" s="971" t="s">
        <v>1769</v>
      </c>
      <c r="P132" s="971" t="s">
        <v>6663</v>
      </c>
      <c r="Q132" s="971" t="s">
        <v>7392</v>
      </c>
      <c r="R132" s="971" t="s">
        <v>4431</v>
      </c>
      <c r="S132" s="1274">
        <v>1</v>
      </c>
      <c r="T132" s="971" t="s">
        <v>242</v>
      </c>
      <c r="U132" s="1275">
        <v>8.1</v>
      </c>
      <c r="V132" s="1275">
        <v>106.5</v>
      </c>
      <c r="W132" s="1275">
        <v>809.29838571428581</v>
      </c>
      <c r="X132" s="1275">
        <v>1065</v>
      </c>
      <c r="Y132" s="1275">
        <v>1980.7983857142858</v>
      </c>
      <c r="Z132" s="1129">
        <v>8.1</v>
      </c>
      <c r="AA132" s="1129">
        <v>106.5</v>
      </c>
      <c r="AB132" s="1129">
        <v>809.29838571428581</v>
      </c>
      <c r="AC132" s="1129">
        <v>1065</v>
      </c>
      <c r="AD132" s="1098">
        <v>1980.7983857142858</v>
      </c>
      <c r="AE132" s="1135">
        <v>0.5</v>
      </c>
      <c r="AF132" s="1129">
        <v>0.5</v>
      </c>
      <c r="AG132" s="1127">
        <v>1</v>
      </c>
      <c r="AH132" s="1127">
        <v>0</v>
      </c>
      <c r="AI132" s="1127">
        <v>0</v>
      </c>
      <c r="AJ132" s="1127">
        <v>1</v>
      </c>
      <c r="AK132" s="1129">
        <v>1980.7983857142858</v>
      </c>
      <c r="AL132" s="1129">
        <v>0</v>
      </c>
      <c r="AM132" s="1129">
        <v>0</v>
      </c>
      <c r="AN132" s="1129">
        <v>1980.7983857142858</v>
      </c>
      <c r="AO132" s="1129" t="s">
        <v>131</v>
      </c>
      <c r="AP132" s="1129" t="s">
        <v>96</v>
      </c>
      <c r="AQ132" s="1157">
        <v>2014</v>
      </c>
      <c r="AR132" s="1129" t="s">
        <v>87</v>
      </c>
      <c r="AS132" s="1127">
        <v>0.5</v>
      </c>
      <c r="AT132" s="1127">
        <v>0.5</v>
      </c>
      <c r="AU132" s="1127"/>
      <c r="AV132" s="1127"/>
      <c r="AW132" s="1127"/>
      <c r="AX132" s="1127"/>
      <c r="AY132" s="1127"/>
      <c r="AZ132" s="1127"/>
      <c r="BA132" s="1129">
        <v>990.39919285714291</v>
      </c>
      <c r="BB132" s="1129">
        <v>990.39919285714291</v>
      </c>
      <c r="BC132" s="1129">
        <v>0</v>
      </c>
      <c r="BD132" s="1129">
        <v>0</v>
      </c>
      <c r="BE132" s="1129">
        <v>0</v>
      </c>
      <c r="BF132" s="1129">
        <v>0</v>
      </c>
      <c r="BG132" s="1129">
        <v>0</v>
      </c>
      <c r="BH132" s="1129">
        <v>0</v>
      </c>
      <c r="BI132" s="1981"/>
      <c r="BJ132" s="971"/>
      <c r="BK132" s="971"/>
      <c r="BL132" s="1246"/>
      <c r="BM132" s="1247" t="s">
        <v>1768</v>
      </c>
    </row>
    <row r="133" spans="1:65" s="1247" customFormat="1" ht="66" customHeight="1">
      <c r="A133" s="1272">
        <v>2000</v>
      </c>
      <c r="B133" s="971" t="s">
        <v>119</v>
      </c>
      <c r="C133" s="1272">
        <v>2700</v>
      </c>
      <c r="D133" s="971" t="s">
        <v>912</v>
      </c>
      <c r="E133" s="971" t="s">
        <v>922</v>
      </c>
      <c r="F133" s="971" t="s">
        <v>923</v>
      </c>
      <c r="G133" s="971" t="s">
        <v>929</v>
      </c>
      <c r="H133" s="971" t="s">
        <v>923</v>
      </c>
      <c r="I133" s="1273" t="s">
        <v>7393</v>
      </c>
      <c r="J133" s="971" t="s">
        <v>239</v>
      </c>
      <c r="K133" s="971" t="s">
        <v>1768</v>
      </c>
      <c r="L133" s="971" t="s">
        <v>3420</v>
      </c>
      <c r="M133" s="971" t="s">
        <v>1768</v>
      </c>
      <c r="N133" s="971" t="s">
        <v>179</v>
      </c>
      <c r="O133" s="971" t="s">
        <v>1769</v>
      </c>
      <c r="P133" s="971" t="s">
        <v>6663</v>
      </c>
      <c r="Q133" s="971" t="s">
        <v>7261</v>
      </c>
      <c r="R133" s="971" t="s">
        <v>4433</v>
      </c>
      <c r="S133" s="1274">
        <v>1</v>
      </c>
      <c r="T133" s="971" t="s">
        <v>242</v>
      </c>
      <c r="U133" s="1275">
        <v>8.1</v>
      </c>
      <c r="V133" s="1275">
        <v>106.5</v>
      </c>
      <c r="W133" s="1275">
        <v>809.29838571428581</v>
      </c>
      <c r="X133" s="1275">
        <v>1065</v>
      </c>
      <c r="Y133" s="1275">
        <v>1980.7983857142858</v>
      </c>
      <c r="Z133" s="1129">
        <v>8.1</v>
      </c>
      <c r="AA133" s="1129">
        <v>106.5</v>
      </c>
      <c r="AB133" s="1129">
        <v>809.29838571428581</v>
      </c>
      <c r="AC133" s="1129">
        <v>1065</v>
      </c>
      <c r="AD133" s="1098">
        <v>1980.7983857142858</v>
      </c>
      <c r="AE133" s="1135">
        <v>0.5</v>
      </c>
      <c r="AF133" s="1129">
        <v>0.5</v>
      </c>
      <c r="AG133" s="1127">
        <v>1</v>
      </c>
      <c r="AH133" s="1127">
        <v>0</v>
      </c>
      <c r="AI133" s="1127">
        <v>0</v>
      </c>
      <c r="AJ133" s="1127">
        <v>1</v>
      </c>
      <c r="AK133" s="1129">
        <v>1980.7983857142858</v>
      </c>
      <c r="AL133" s="1129">
        <v>0</v>
      </c>
      <c r="AM133" s="1129">
        <v>0</v>
      </c>
      <c r="AN133" s="1129">
        <v>1980.7983857142858</v>
      </c>
      <c r="AO133" s="1129" t="s">
        <v>131</v>
      </c>
      <c r="AP133" s="1129" t="s">
        <v>96</v>
      </c>
      <c r="AQ133" s="1157">
        <v>2014</v>
      </c>
      <c r="AR133" s="1129" t="s">
        <v>87</v>
      </c>
      <c r="AS133" s="1127">
        <v>0.5</v>
      </c>
      <c r="AT133" s="1127">
        <v>0.5</v>
      </c>
      <c r="AU133" s="1127"/>
      <c r="AV133" s="1127"/>
      <c r="AW133" s="1127"/>
      <c r="AX133" s="1127"/>
      <c r="AY133" s="1127"/>
      <c r="AZ133" s="1127"/>
      <c r="BA133" s="1129">
        <v>990.39919285714291</v>
      </c>
      <c r="BB133" s="1129">
        <v>990.39919285714291</v>
      </c>
      <c r="BC133" s="1129">
        <v>0</v>
      </c>
      <c r="BD133" s="1129">
        <v>0</v>
      </c>
      <c r="BE133" s="1129">
        <v>0</v>
      </c>
      <c r="BF133" s="1129">
        <v>0</v>
      </c>
      <c r="BG133" s="1129">
        <v>0</v>
      </c>
      <c r="BH133" s="1129">
        <v>0</v>
      </c>
      <c r="BI133" s="1981"/>
      <c r="BJ133" s="971"/>
      <c r="BK133" s="971"/>
      <c r="BL133" s="1246"/>
      <c r="BM133" s="1247" t="s">
        <v>1768</v>
      </c>
    </row>
    <row r="134" spans="1:65" s="1247" customFormat="1" ht="66" customHeight="1">
      <c r="A134" s="1272">
        <v>2000</v>
      </c>
      <c r="B134" s="971" t="s">
        <v>119</v>
      </c>
      <c r="C134" s="1272">
        <v>2700</v>
      </c>
      <c r="D134" s="971" t="s">
        <v>912</v>
      </c>
      <c r="E134" s="971" t="s">
        <v>966</v>
      </c>
      <c r="F134" s="971" t="s">
        <v>958</v>
      </c>
      <c r="G134" s="971" t="s">
        <v>975</v>
      </c>
      <c r="H134" s="971" t="s">
        <v>968</v>
      </c>
      <c r="I134" s="1273" t="s">
        <v>7394</v>
      </c>
      <c r="J134" s="971" t="s">
        <v>2143</v>
      </c>
      <c r="K134" s="971" t="s">
        <v>1768</v>
      </c>
      <c r="L134" s="971" t="s">
        <v>3420</v>
      </c>
      <c r="M134" s="971" t="s">
        <v>1768</v>
      </c>
      <c r="N134" s="971" t="s">
        <v>179</v>
      </c>
      <c r="O134" s="971" t="s">
        <v>1769</v>
      </c>
      <c r="P134" s="971" t="s">
        <v>6663</v>
      </c>
      <c r="Q134" s="971" t="s">
        <v>7395</v>
      </c>
      <c r="R134" s="971" t="s">
        <v>4441</v>
      </c>
      <c r="S134" s="1274">
        <v>1</v>
      </c>
      <c r="T134" s="971" t="s">
        <v>242</v>
      </c>
      <c r="U134" s="1275">
        <v>8.1</v>
      </c>
      <c r="V134" s="1275">
        <v>106.5</v>
      </c>
      <c r="W134" s="1275">
        <v>809.29838571428581</v>
      </c>
      <c r="X134" s="1275">
        <v>1065</v>
      </c>
      <c r="Y134" s="1275">
        <v>1980.7983857142858</v>
      </c>
      <c r="Z134" s="1129">
        <v>8.1</v>
      </c>
      <c r="AA134" s="1129">
        <v>106.5</v>
      </c>
      <c r="AB134" s="1129">
        <v>809.29838571428581</v>
      </c>
      <c r="AC134" s="1129">
        <v>1065</v>
      </c>
      <c r="AD134" s="1098">
        <v>1980.7983857142858</v>
      </c>
      <c r="AE134" s="1135">
        <v>0.5</v>
      </c>
      <c r="AF134" s="1129">
        <v>0.5</v>
      </c>
      <c r="AG134" s="1127">
        <v>1</v>
      </c>
      <c r="AH134" s="1127">
        <v>0</v>
      </c>
      <c r="AI134" s="1127">
        <v>0</v>
      </c>
      <c r="AJ134" s="1127">
        <v>1</v>
      </c>
      <c r="AK134" s="1129">
        <v>1980.7983857142858</v>
      </c>
      <c r="AL134" s="1129">
        <v>0</v>
      </c>
      <c r="AM134" s="1129">
        <v>0</v>
      </c>
      <c r="AN134" s="1129">
        <v>1980.7983857142858</v>
      </c>
      <c r="AO134" s="1129" t="s">
        <v>131</v>
      </c>
      <c r="AP134" s="1129" t="s">
        <v>96</v>
      </c>
      <c r="AQ134" s="1157">
        <v>2014</v>
      </c>
      <c r="AR134" s="1129" t="s">
        <v>87</v>
      </c>
      <c r="AS134" s="1127">
        <v>0.33333333333333331</v>
      </c>
      <c r="AT134" s="1127"/>
      <c r="AU134" s="1127">
        <v>0.33333333333333331</v>
      </c>
      <c r="AV134" s="1127"/>
      <c r="AW134" s="1127"/>
      <c r="AX134" s="1127"/>
      <c r="AY134" s="1127"/>
      <c r="AZ134" s="1127">
        <v>0.33333333333333331</v>
      </c>
      <c r="BA134" s="1129">
        <v>660.26612857142857</v>
      </c>
      <c r="BB134" s="1129">
        <v>0</v>
      </c>
      <c r="BC134" s="1129">
        <v>660.26612857142857</v>
      </c>
      <c r="BD134" s="1129">
        <v>0</v>
      </c>
      <c r="BE134" s="1129">
        <v>0</v>
      </c>
      <c r="BF134" s="1129">
        <v>0</v>
      </c>
      <c r="BG134" s="1129">
        <v>0</v>
      </c>
      <c r="BH134" s="1129">
        <v>660.26612857142857</v>
      </c>
      <c r="BI134" s="1981"/>
      <c r="BJ134" s="971"/>
      <c r="BK134" s="971"/>
      <c r="BL134" s="1246"/>
      <c r="BM134" s="1247" t="s">
        <v>1768</v>
      </c>
    </row>
    <row r="135" spans="1:65" s="1247" customFormat="1" ht="66" customHeight="1">
      <c r="A135" s="1272">
        <v>2000</v>
      </c>
      <c r="B135" s="971" t="s">
        <v>119</v>
      </c>
      <c r="C135" s="1272">
        <v>2700</v>
      </c>
      <c r="D135" s="971" t="s">
        <v>912</v>
      </c>
      <c r="E135" s="971" t="s">
        <v>966</v>
      </c>
      <c r="F135" s="971" t="s">
        <v>958</v>
      </c>
      <c r="G135" s="971" t="s">
        <v>975</v>
      </c>
      <c r="H135" s="971" t="s">
        <v>968</v>
      </c>
      <c r="I135" s="1273" t="s">
        <v>7396</v>
      </c>
      <c r="J135" s="971" t="s">
        <v>2143</v>
      </c>
      <c r="K135" s="971" t="s">
        <v>1768</v>
      </c>
      <c r="L135" s="971" t="s">
        <v>3420</v>
      </c>
      <c r="M135" s="971" t="s">
        <v>1768</v>
      </c>
      <c r="N135" s="971" t="s">
        <v>179</v>
      </c>
      <c r="O135" s="971" t="s">
        <v>1769</v>
      </c>
      <c r="P135" s="971" t="s">
        <v>6663</v>
      </c>
      <c r="Q135" s="971" t="s">
        <v>7397</v>
      </c>
      <c r="R135" s="971" t="s">
        <v>4443</v>
      </c>
      <c r="S135" s="1274">
        <v>1</v>
      </c>
      <c r="T135" s="971" t="s">
        <v>242</v>
      </c>
      <c r="U135" s="1275">
        <v>8.1</v>
      </c>
      <c r="V135" s="1275">
        <v>106.5</v>
      </c>
      <c r="W135" s="1275">
        <v>809.29838571428581</v>
      </c>
      <c r="X135" s="1275">
        <v>1065</v>
      </c>
      <c r="Y135" s="1275">
        <v>1980.7983857142858</v>
      </c>
      <c r="Z135" s="1129">
        <v>8.1</v>
      </c>
      <c r="AA135" s="1129">
        <v>106.5</v>
      </c>
      <c r="AB135" s="1129">
        <v>809.29838571428581</v>
      </c>
      <c r="AC135" s="1129">
        <v>1065</v>
      </c>
      <c r="AD135" s="1098">
        <v>1980.7983857142858</v>
      </c>
      <c r="AE135" s="1135">
        <v>0.5</v>
      </c>
      <c r="AF135" s="1129">
        <v>0.5</v>
      </c>
      <c r="AG135" s="1127">
        <v>1</v>
      </c>
      <c r="AH135" s="1127">
        <v>0</v>
      </c>
      <c r="AI135" s="1127">
        <v>0</v>
      </c>
      <c r="AJ135" s="1127">
        <v>1</v>
      </c>
      <c r="AK135" s="1129">
        <v>1980.7983857142858</v>
      </c>
      <c r="AL135" s="1129">
        <v>0</v>
      </c>
      <c r="AM135" s="1129">
        <v>0</v>
      </c>
      <c r="AN135" s="1129">
        <v>1980.7983857142858</v>
      </c>
      <c r="AO135" s="1129" t="s">
        <v>131</v>
      </c>
      <c r="AP135" s="1129" t="s">
        <v>96</v>
      </c>
      <c r="AQ135" s="1157">
        <v>2014</v>
      </c>
      <c r="AR135" s="1129" t="s">
        <v>87</v>
      </c>
      <c r="AS135" s="1127">
        <v>0.33333333333333331</v>
      </c>
      <c r="AT135" s="1127"/>
      <c r="AU135" s="1127">
        <v>0.33333333333333331</v>
      </c>
      <c r="AV135" s="1127"/>
      <c r="AW135" s="1127"/>
      <c r="AX135" s="1127"/>
      <c r="AY135" s="1127"/>
      <c r="AZ135" s="1127">
        <v>0.33333333333333331</v>
      </c>
      <c r="BA135" s="1129">
        <v>660.26612857142857</v>
      </c>
      <c r="BB135" s="1129">
        <v>0</v>
      </c>
      <c r="BC135" s="1129">
        <v>660.26612857142857</v>
      </c>
      <c r="BD135" s="1129">
        <v>0</v>
      </c>
      <c r="BE135" s="1129">
        <v>0</v>
      </c>
      <c r="BF135" s="1129">
        <v>0</v>
      </c>
      <c r="BG135" s="1129">
        <v>0</v>
      </c>
      <c r="BH135" s="1129">
        <v>660.26612857142857</v>
      </c>
      <c r="BI135" s="1981"/>
      <c r="BJ135" s="971"/>
      <c r="BK135" s="971"/>
      <c r="BL135" s="1246"/>
      <c r="BM135" s="1247" t="s">
        <v>1768</v>
      </c>
    </row>
    <row r="136" spans="1:65" s="1247" customFormat="1" ht="66" customHeight="1">
      <c r="A136" s="1272">
        <v>2000</v>
      </c>
      <c r="B136" s="971" t="s">
        <v>119</v>
      </c>
      <c r="C136" s="1272">
        <v>2700</v>
      </c>
      <c r="D136" s="971" t="s">
        <v>912</v>
      </c>
      <c r="E136" s="971" t="s">
        <v>966</v>
      </c>
      <c r="F136" s="971" t="s">
        <v>958</v>
      </c>
      <c r="G136" s="971" t="s">
        <v>975</v>
      </c>
      <c r="H136" s="971" t="s">
        <v>968</v>
      </c>
      <c r="I136" s="1273" t="s">
        <v>7398</v>
      </c>
      <c r="J136" s="971" t="s">
        <v>7249</v>
      </c>
      <c r="K136" s="971" t="s">
        <v>2123</v>
      </c>
      <c r="L136" s="971" t="s">
        <v>2124</v>
      </c>
      <c r="M136" s="971" t="s">
        <v>2123</v>
      </c>
      <c r="N136" s="971" t="s">
        <v>179</v>
      </c>
      <c r="O136" s="971" t="s">
        <v>2124</v>
      </c>
      <c r="P136" s="971" t="s">
        <v>2214</v>
      </c>
      <c r="Q136" s="971" t="s">
        <v>7399</v>
      </c>
      <c r="R136" s="971" t="s">
        <v>4445</v>
      </c>
      <c r="S136" s="1274">
        <v>1</v>
      </c>
      <c r="T136" s="971" t="s">
        <v>242</v>
      </c>
      <c r="U136" s="1275">
        <v>19.2</v>
      </c>
      <c r="V136" s="1275">
        <v>213</v>
      </c>
      <c r="W136" s="1275">
        <v>1918.3369142857146</v>
      </c>
      <c r="X136" s="1275">
        <v>2130</v>
      </c>
      <c r="Y136" s="1275">
        <v>4261.3369142857146</v>
      </c>
      <c r="Z136" s="1129">
        <v>19.2</v>
      </c>
      <c r="AA136" s="1129">
        <v>213</v>
      </c>
      <c r="AB136" s="1129">
        <v>1918.3369142857146</v>
      </c>
      <c r="AC136" s="1129">
        <v>2130</v>
      </c>
      <c r="AD136" s="1098">
        <v>4261.3369142857146</v>
      </c>
      <c r="AE136" s="1135">
        <v>1</v>
      </c>
      <c r="AF136" s="1129">
        <v>1</v>
      </c>
      <c r="AG136" s="1127">
        <v>1</v>
      </c>
      <c r="AH136" s="1127">
        <v>0</v>
      </c>
      <c r="AI136" s="1127">
        <v>0</v>
      </c>
      <c r="AJ136" s="1127">
        <v>1</v>
      </c>
      <c r="AK136" s="1129">
        <v>4261.3369142857146</v>
      </c>
      <c r="AL136" s="1129">
        <v>0</v>
      </c>
      <c r="AM136" s="1129">
        <v>0</v>
      </c>
      <c r="AN136" s="1129">
        <v>4261.3369142857146</v>
      </c>
      <c r="AO136" s="1129" t="s">
        <v>131</v>
      </c>
      <c r="AP136" s="1129" t="s">
        <v>96</v>
      </c>
      <c r="AQ136" s="1157">
        <v>2014</v>
      </c>
      <c r="AR136" s="1129" t="s">
        <v>87</v>
      </c>
      <c r="AS136" s="1127">
        <v>0.33333333333333331</v>
      </c>
      <c r="AT136" s="1127"/>
      <c r="AU136" s="1127">
        <v>0.33333333333333331</v>
      </c>
      <c r="AV136" s="1127"/>
      <c r="AW136" s="1127"/>
      <c r="AX136" s="1127"/>
      <c r="AY136" s="1127"/>
      <c r="AZ136" s="1127">
        <v>0.33333333333333331</v>
      </c>
      <c r="BA136" s="1129">
        <v>1420.4456380952381</v>
      </c>
      <c r="BB136" s="1129">
        <v>0</v>
      </c>
      <c r="BC136" s="1129">
        <v>1420.4456380952381</v>
      </c>
      <c r="BD136" s="1129">
        <v>0</v>
      </c>
      <c r="BE136" s="1129">
        <v>0</v>
      </c>
      <c r="BF136" s="1129">
        <v>0</v>
      </c>
      <c r="BG136" s="1129">
        <v>0</v>
      </c>
      <c r="BH136" s="1129">
        <v>1420.4456380952381</v>
      </c>
      <c r="BI136" s="1981"/>
      <c r="BJ136" s="971"/>
      <c r="BK136" s="971"/>
      <c r="BL136" s="1246"/>
      <c r="BM136" s="1247" t="s">
        <v>2123</v>
      </c>
    </row>
    <row r="137" spans="1:65" s="1247" customFormat="1" ht="66" customHeight="1">
      <c r="A137" s="1272">
        <v>2000</v>
      </c>
      <c r="B137" s="971" t="s">
        <v>119</v>
      </c>
      <c r="C137" s="1272">
        <v>2700</v>
      </c>
      <c r="D137" s="971" t="s">
        <v>912</v>
      </c>
      <c r="E137" s="971" t="s">
        <v>966</v>
      </c>
      <c r="F137" s="971" t="s">
        <v>958</v>
      </c>
      <c r="G137" s="971" t="s">
        <v>1002</v>
      </c>
      <c r="H137" s="971" t="s">
        <v>998</v>
      </c>
      <c r="I137" s="1273" t="s">
        <v>7400</v>
      </c>
      <c r="J137" s="971" t="s">
        <v>2143</v>
      </c>
      <c r="K137" s="971" t="s">
        <v>1768</v>
      </c>
      <c r="L137" s="971" t="s">
        <v>3420</v>
      </c>
      <c r="M137" s="971" t="s">
        <v>1768</v>
      </c>
      <c r="N137" s="971" t="s">
        <v>179</v>
      </c>
      <c r="O137" s="971" t="s">
        <v>1769</v>
      </c>
      <c r="P137" s="971" t="s">
        <v>6663</v>
      </c>
      <c r="Q137" s="971" t="s">
        <v>7401</v>
      </c>
      <c r="R137" s="971" t="s">
        <v>4449</v>
      </c>
      <c r="S137" s="1274">
        <v>1</v>
      </c>
      <c r="T137" s="971" t="s">
        <v>242</v>
      </c>
      <c r="U137" s="1275">
        <v>8.1</v>
      </c>
      <c r="V137" s="1275">
        <v>106.5</v>
      </c>
      <c r="W137" s="1275">
        <v>809.29838571428581</v>
      </c>
      <c r="X137" s="1275">
        <v>1065</v>
      </c>
      <c r="Y137" s="1275">
        <v>1980.7983857142858</v>
      </c>
      <c r="Z137" s="1129">
        <v>8.1</v>
      </c>
      <c r="AA137" s="1129">
        <v>106.5</v>
      </c>
      <c r="AB137" s="1129">
        <v>809.29838571428581</v>
      </c>
      <c r="AC137" s="1129">
        <v>1065</v>
      </c>
      <c r="AD137" s="1098">
        <v>1980.7983857142858</v>
      </c>
      <c r="AE137" s="1135">
        <v>0.5</v>
      </c>
      <c r="AF137" s="1129">
        <v>0.5</v>
      </c>
      <c r="AG137" s="1127">
        <v>1</v>
      </c>
      <c r="AH137" s="1127">
        <v>0</v>
      </c>
      <c r="AI137" s="1127">
        <v>0</v>
      </c>
      <c r="AJ137" s="1127">
        <v>1</v>
      </c>
      <c r="AK137" s="1129">
        <v>1980.7983857142858</v>
      </c>
      <c r="AL137" s="1129">
        <v>0</v>
      </c>
      <c r="AM137" s="1129">
        <v>0</v>
      </c>
      <c r="AN137" s="1129">
        <v>1980.7983857142858</v>
      </c>
      <c r="AO137" s="1129" t="s">
        <v>131</v>
      </c>
      <c r="AP137" s="1129" t="s">
        <v>96</v>
      </c>
      <c r="AQ137" s="1157">
        <v>2014</v>
      </c>
      <c r="AR137" s="1129" t="s">
        <v>87</v>
      </c>
      <c r="AS137" s="1127">
        <v>0.5</v>
      </c>
      <c r="AT137" s="1127">
        <v>0.5</v>
      </c>
      <c r="AU137" s="1127"/>
      <c r="AV137" s="1127"/>
      <c r="AW137" s="1127"/>
      <c r="AX137" s="1127"/>
      <c r="AY137" s="1127"/>
      <c r="AZ137" s="1127"/>
      <c r="BA137" s="1129">
        <v>990.39919285714291</v>
      </c>
      <c r="BB137" s="1129">
        <v>990.39919285714291</v>
      </c>
      <c r="BC137" s="1129">
        <v>0</v>
      </c>
      <c r="BD137" s="1129">
        <v>0</v>
      </c>
      <c r="BE137" s="1129">
        <v>0</v>
      </c>
      <c r="BF137" s="1129">
        <v>0</v>
      </c>
      <c r="BG137" s="1129">
        <v>0</v>
      </c>
      <c r="BH137" s="1129">
        <v>0</v>
      </c>
      <c r="BI137" s="1981"/>
      <c r="BJ137" s="971"/>
      <c r="BK137" s="971"/>
      <c r="BL137" s="1246"/>
      <c r="BM137" s="1247" t="s">
        <v>1768</v>
      </c>
    </row>
    <row r="138" spans="1:65" s="1247" customFormat="1" ht="66" customHeight="1">
      <c r="A138" s="1272">
        <v>2000</v>
      </c>
      <c r="B138" s="971" t="s">
        <v>119</v>
      </c>
      <c r="C138" s="1272">
        <v>2700</v>
      </c>
      <c r="D138" s="971" t="s">
        <v>912</v>
      </c>
      <c r="E138" s="971" t="s">
        <v>966</v>
      </c>
      <c r="F138" s="971" t="s">
        <v>958</v>
      </c>
      <c r="G138" s="971" t="s">
        <v>1002</v>
      </c>
      <c r="H138" s="971" t="s">
        <v>998</v>
      </c>
      <c r="I138" s="1273" t="s">
        <v>7402</v>
      </c>
      <c r="J138" s="971" t="s">
        <v>239</v>
      </c>
      <c r="K138" s="971" t="s">
        <v>1768</v>
      </c>
      <c r="L138" s="971" t="s">
        <v>3420</v>
      </c>
      <c r="M138" s="971" t="s">
        <v>1768</v>
      </c>
      <c r="N138" s="971" t="s">
        <v>179</v>
      </c>
      <c r="O138" s="971" t="s">
        <v>1769</v>
      </c>
      <c r="P138" s="971" t="s">
        <v>6663</v>
      </c>
      <c r="Q138" s="971" t="s">
        <v>7261</v>
      </c>
      <c r="R138" s="971" t="s">
        <v>4451</v>
      </c>
      <c r="S138" s="1274">
        <v>1</v>
      </c>
      <c r="T138" s="971" t="s">
        <v>242</v>
      </c>
      <c r="U138" s="1275">
        <v>8.1</v>
      </c>
      <c r="V138" s="1275">
        <v>106.5</v>
      </c>
      <c r="W138" s="1275">
        <v>809.29838571428581</v>
      </c>
      <c r="X138" s="1275">
        <v>1065</v>
      </c>
      <c r="Y138" s="1275">
        <v>1980.7983857142858</v>
      </c>
      <c r="Z138" s="1129">
        <v>8.1</v>
      </c>
      <c r="AA138" s="1129">
        <v>106.5</v>
      </c>
      <c r="AB138" s="1129">
        <v>809.29838571428581</v>
      </c>
      <c r="AC138" s="1129">
        <v>1065</v>
      </c>
      <c r="AD138" s="1098">
        <v>1980.7983857142858</v>
      </c>
      <c r="AE138" s="1135">
        <v>0.5</v>
      </c>
      <c r="AF138" s="1129">
        <v>0.5</v>
      </c>
      <c r="AG138" s="1127">
        <v>1</v>
      </c>
      <c r="AH138" s="1127">
        <v>0</v>
      </c>
      <c r="AI138" s="1127">
        <v>0</v>
      </c>
      <c r="AJ138" s="1127">
        <v>1</v>
      </c>
      <c r="AK138" s="1129">
        <v>1980.7983857142858</v>
      </c>
      <c r="AL138" s="1129">
        <v>0</v>
      </c>
      <c r="AM138" s="1129">
        <v>0</v>
      </c>
      <c r="AN138" s="1129">
        <v>1980.7983857142858</v>
      </c>
      <c r="AO138" s="1129" t="s">
        <v>131</v>
      </c>
      <c r="AP138" s="1129" t="s">
        <v>96</v>
      </c>
      <c r="AQ138" s="1157">
        <v>2014</v>
      </c>
      <c r="AR138" s="1129" t="s">
        <v>87</v>
      </c>
      <c r="AS138" s="1127">
        <v>0.5</v>
      </c>
      <c r="AT138" s="1127">
        <v>0.5</v>
      </c>
      <c r="AU138" s="1127"/>
      <c r="AV138" s="1127"/>
      <c r="AW138" s="1127"/>
      <c r="AX138" s="1127"/>
      <c r="AY138" s="1127"/>
      <c r="AZ138" s="1127"/>
      <c r="BA138" s="1129">
        <v>990.39919285714291</v>
      </c>
      <c r="BB138" s="1129">
        <v>990.39919285714291</v>
      </c>
      <c r="BC138" s="1129">
        <v>0</v>
      </c>
      <c r="BD138" s="1129">
        <v>0</v>
      </c>
      <c r="BE138" s="1129">
        <v>0</v>
      </c>
      <c r="BF138" s="1129">
        <v>0</v>
      </c>
      <c r="BG138" s="1129">
        <v>0</v>
      </c>
      <c r="BH138" s="1129">
        <v>0</v>
      </c>
      <c r="BI138" s="1981"/>
      <c r="BJ138" s="971"/>
      <c r="BK138" s="971"/>
      <c r="BL138" s="1246"/>
      <c r="BM138" s="1247" t="s">
        <v>1768</v>
      </c>
    </row>
    <row r="139" spans="1:65" s="1247" customFormat="1" ht="66" customHeight="1">
      <c r="A139" s="1272">
        <v>2000</v>
      </c>
      <c r="B139" s="971" t="s">
        <v>119</v>
      </c>
      <c r="C139" s="1272">
        <v>2700</v>
      </c>
      <c r="D139" s="971" t="s">
        <v>912</v>
      </c>
      <c r="E139" s="971" t="s">
        <v>966</v>
      </c>
      <c r="F139" s="971" t="s">
        <v>958</v>
      </c>
      <c r="G139" s="971" t="s">
        <v>1002</v>
      </c>
      <c r="H139" s="971" t="s">
        <v>998</v>
      </c>
      <c r="I139" s="1273" t="s">
        <v>7403</v>
      </c>
      <c r="J139" s="971" t="s">
        <v>2143</v>
      </c>
      <c r="K139" s="971" t="s">
        <v>1768</v>
      </c>
      <c r="L139" s="971" t="s">
        <v>3420</v>
      </c>
      <c r="M139" s="971" t="s">
        <v>1768</v>
      </c>
      <c r="N139" s="971" t="s">
        <v>179</v>
      </c>
      <c r="O139" s="971" t="s">
        <v>1769</v>
      </c>
      <c r="P139" s="971" t="s">
        <v>6663</v>
      </c>
      <c r="Q139" s="971" t="s">
        <v>7404</v>
      </c>
      <c r="R139" s="971" t="s">
        <v>4453</v>
      </c>
      <c r="S139" s="1274">
        <v>1</v>
      </c>
      <c r="T139" s="971" t="s">
        <v>242</v>
      </c>
      <c r="U139" s="1275">
        <v>8.1</v>
      </c>
      <c r="V139" s="1275">
        <v>106.5</v>
      </c>
      <c r="W139" s="1275">
        <v>809.29838571428581</v>
      </c>
      <c r="X139" s="1275">
        <v>1065</v>
      </c>
      <c r="Y139" s="1275">
        <v>1980.7983857142858</v>
      </c>
      <c r="Z139" s="1129">
        <v>8.1</v>
      </c>
      <c r="AA139" s="1129">
        <v>106.5</v>
      </c>
      <c r="AB139" s="1129">
        <v>809.29838571428581</v>
      </c>
      <c r="AC139" s="1129">
        <v>1065</v>
      </c>
      <c r="AD139" s="1098">
        <v>1980.7983857142858</v>
      </c>
      <c r="AE139" s="1135">
        <v>0.5</v>
      </c>
      <c r="AF139" s="1129">
        <v>0.5</v>
      </c>
      <c r="AG139" s="1127">
        <v>1</v>
      </c>
      <c r="AH139" s="1127">
        <v>0</v>
      </c>
      <c r="AI139" s="1127">
        <v>0</v>
      </c>
      <c r="AJ139" s="1127">
        <v>1</v>
      </c>
      <c r="AK139" s="1129">
        <v>1980.7983857142858</v>
      </c>
      <c r="AL139" s="1129">
        <v>0</v>
      </c>
      <c r="AM139" s="1129">
        <v>0</v>
      </c>
      <c r="AN139" s="1129">
        <v>1980.7983857142858</v>
      </c>
      <c r="AO139" s="1129" t="s">
        <v>131</v>
      </c>
      <c r="AP139" s="1129" t="s">
        <v>96</v>
      </c>
      <c r="AQ139" s="1157">
        <v>2014</v>
      </c>
      <c r="AR139" s="1129" t="s">
        <v>87</v>
      </c>
      <c r="AS139" s="1127">
        <v>0.5</v>
      </c>
      <c r="AT139" s="1127">
        <v>0.5</v>
      </c>
      <c r="AU139" s="1127"/>
      <c r="AV139" s="1127"/>
      <c r="AW139" s="1127"/>
      <c r="AX139" s="1127"/>
      <c r="AY139" s="1127"/>
      <c r="AZ139" s="1127"/>
      <c r="BA139" s="1129">
        <v>990.39919285714291</v>
      </c>
      <c r="BB139" s="1129">
        <v>990.39919285714291</v>
      </c>
      <c r="BC139" s="1129">
        <v>0</v>
      </c>
      <c r="BD139" s="1129">
        <v>0</v>
      </c>
      <c r="BE139" s="1129">
        <v>0</v>
      </c>
      <c r="BF139" s="1129">
        <v>0</v>
      </c>
      <c r="BG139" s="1129">
        <v>0</v>
      </c>
      <c r="BH139" s="1129">
        <v>0</v>
      </c>
      <c r="BI139" s="1981"/>
      <c r="BJ139" s="971"/>
      <c r="BK139" s="971"/>
      <c r="BL139" s="1246"/>
      <c r="BM139" s="1247" t="s">
        <v>1768</v>
      </c>
    </row>
    <row r="140" spans="1:65" s="1247" customFormat="1" ht="66" customHeight="1">
      <c r="A140" s="1272">
        <v>2000</v>
      </c>
      <c r="B140" s="971" t="s">
        <v>119</v>
      </c>
      <c r="C140" s="1272">
        <v>2700</v>
      </c>
      <c r="D140" s="971" t="s">
        <v>912</v>
      </c>
      <c r="E140" s="971" t="s">
        <v>966</v>
      </c>
      <c r="F140" s="971" t="s">
        <v>958</v>
      </c>
      <c r="G140" s="971" t="s">
        <v>1002</v>
      </c>
      <c r="H140" s="971" t="s">
        <v>998</v>
      </c>
      <c r="I140" s="1273" t="s">
        <v>7405</v>
      </c>
      <c r="J140" s="971" t="s">
        <v>239</v>
      </c>
      <c r="K140" s="971" t="s">
        <v>1768</v>
      </c>
      <c r="L140" s="971" t="s">
        <v>3420</v>
      </c>
      <c r="M140" s="971" t="s">
        <v>1768</v>
      </c>
      <c r="N140" s="971" t="s">
        <v>179</v>
      </c>
      <c r="O140" s="971" t="s">
        <v>1769</v>
      </c>
      <c r="P140" s="971" t="s">
        <v>6663</v>
      </c>
      <c r="Q140" s="971" t="s">
        <v>7261</v>
      </c>
      <c r="R140" s="971" t="s">
        <v>4455</v>
      </c>
      <c r="S140" s="1274">
        <v>1</v>
      </c>
      <c r="T140" s="971" t="s">
        <v>242</v>
      </c>
      <c r="U140" s="1275">
        <v>8.1</v>
      </c>
      <c r="V140" s="1275">
        <v>106.5</v>
      </c>
      <c r="W140" s="1275">
        <v>809.29838571428581</v>
      </c>
      <c r="X140" s="1275">
        <v>1065</v>
      </c>
      <c r="Y140" s="1275">
        <v>1980.7983857142858</v>
      </c>
      <c r="Z140" s="1129">
        <v>8.1</v>
      </c>
      <c r="AA140" s="1129">
        <v>106.5</v>
      </c>
      <c r="AB140" s="1129">
        <v>809.29838571428581</v>
      </c>
      <c r="AC140" s="1129">
        <v>1065</v>
      </c>
      <c r="AD140" s="1098">
        <v>1980.7983857142858</v>
      </c>
      <c r="AE140" s="1135">
        <v>0.5</v>
      </c>
      <c r="AF140" s="1129">
        <v>0.5</v>
      </c>
      <c r="AG140" s="1127">
        <v>1</v>
      </c>
      <c r="AH140" s="1127">
        <v>0</v>
      </c>
      <c r="AI140" s="1127">
        <v>0</v>
      </c>
      <c r="AJ140" s="1127">
        <v>1</v>
      </c>
      <c r="AK140" s="1129">
        <v>1980.7983857142858</v>
      </c>
      <c r="AL140" s="1129">
        <v>0</v>
      </c>
      <c r="AM140" s="1129">
        <v>0</v>
      </c>
      <c r="AN140" s="1129">
        <v>1980.7983857142858</v>
      </c>
      <c r="AO140" s="1129" t="s">
        <v>131</v>
      </c>
      <c r="AP140" s="1129" t="s">
        <v>96</v>
      </c>
      <c r="AQ140" s="1157">
        <v>2014</v>
      </c>
      <c r="AR140" s="1129" t="s">
        <v>87</v>
      </c>
      <c r="AS140" s="1127">
        <v>0.5</v>
      </c>
      <c r="AT140" s="1127">
        <v>0.5</v>
      </c>
      <c r="AU140" s="1127"/>
      <c r="AV140" s="1127"/>
      <c r="AW140" s="1127"/>
      <c r="AX140" s="1127"/>
      <c r="AY140" s="1127"/>
      <c r="AZ140" s="1127"/>
      <c r="BA140" s="1129">
        <v>990.39919285714291</v>
      </c>
      <c r="BB140" s="1129">
        <v>990.39919285714291</v>
      </c>
      <c r="BC140" s="1129">
        <v>0</v>
      </c>
      <c r="BD140" s="1129">
        <v>0</v>
      </c>
      <c r="BE140" s="1129">
        <v>0</v>
      </c>
      <c r="BF140" s="1129">
        <v>0</v>
      </c>
      <c r="BG140" s="1129">
        <v>0</v>
      </c>
      <c r="BH140" s="1129">
        <v>0</v>
      </c>
      <c r="BI140" s="1981"/>
      <c r="BJ140" s="971"/>
      <c r="BK140" s="971"/>
      <c r="BL140" s="1246"/>
      <c r="BM140" s="1247" t="s">
        <v>1768</v>
      </c>
    </row>
    <row r="141" spans="1:65" s="1247" customFormat="1" ht="66" customHeight="1">
      <c r="A141" s="1272">
        <v>4000</v>
      </c>
      <c r="B141" s="971" t="s">
        <v>1316</v>
      </c>
      <c r="C141" s="1272">
        <v>4300</v>
      </c>
      <c r="D141" s="971" t="s">
        <v>222</v>
      </c>
      <c r="E141" s="971" t="s">
        <v>1471</v>
      </c>
      <c r="F141" s="971" t="s">
        <v>1466</v>
      </c>
      <c r="G141" s="971" t="s">
        <v>4806</v>
      </c>
      <c r="H141" s="971" t="s">
        <v>1467</v>
      </c>
      <c r="I141" s="1273" t="s">
        <v>7406</v>
      </c>
      <c r="J141" s="971" t="s">
        <v>7407</v>
      </c>
      <c r="K141" s="971" t="s">
        <v>2120</v>
      </c>
      <c r="L141" s="971" t="s">
        <v>2121</v>
      </c>
      <c r="M141" s="971" t="s">
        <v>2120</v>
      </c>
      <c r="N141" s="971" t="s">
        <v>179</v>
      </c>
      <c r="O141" s="971" t="s">
        <v>2121</v>
      </c>
      <c r="P141" s="971" t="s">
        <v>7408</v>
      </c>
      <c r="Q141" s="971" t="s">
        <v>7409</v>
      </c>
      <c r="R141" s="971" t="s">
        <v>4807</v>
      </c>
      <c r="S141" s="1274">
        <v>1</v>
      </c>
      <c r="T141" s="971" t="s">
        <v>242</v>
      </c>
      <c r="U141" s="1275">
        <v>168</v>
      </c>
      <c r="V141" s="1275">
        <v>2220</v>
      </c>
      <c r="W141" s="1275">
        <v>16785.448</v>
      </c>
      <c r="X141" s="1275">
        <v>22200</v>
      </c>
      <c r="Y141" s="1275">
        <v>41205.448000000004</v>
      </c>
      <c r="Z141" s="1129">
        <v>168</v>
      </c>
      <c r="AA141" s="1129">
        <v>2220</v>
      </c>
      <c r="AB141" s="1129">
        <v>16785.448</v>
      </c>
      <c r="AC141" s="1129">
        <v>22200</v>
      </c>
      <c r="AD141" s="1098">
        <v>41205.448000000004</v>
      </c>
      <c r="AE141" s="1237">
        <v>56</v>
      </c>
      <c r="AF141" s="1133">
        <v>56</v>
      </c>
      <c r="AG141" s="1127">
        <v>1</v>
      </c>
      <c r="AH141" s="1127">
        <v>0</v>
      </c>
      <c r="AI141" s="1127">
        <v>0</v>
      </c>
      <c r="AJ141" s="1127">
        <v>1</v>
      </c>
      <c r="AK141" s="1129">
        <v>41205.448000000004</v>
      </c>
      <c r="AL141" s="1129">
        <v>0</v>
      </c>
      <c r="AM141" s="1129">
        <v>0</v>
      </c>
      <c r="AN141" s="1129">
        <v>41205.448000000004</v>
      </c>
      <c r="AO141" s="1129" t="s">
        <v>85</v>
      </c>
      <c r="AP141" s="1129" t="s">
        <v>96</v>
      </c>
      <c r="AQ141" s="1157">
        <v>2014</v>
      </c>
      <c r="AR141" s="1129" t="s">
        <v>87</v>
      </c>
      <c r="AS141" s="1127">
        <v>0.33333333333333331</v>
      </c>
      <c r="AT141" s="1127"/>
      <c r="AU141" s="1127">
        <v>0.33333333333333331</v>
      </c>
      <c r="AV141" s="1127"/>
      <c r="AW141" s="1127"/>
      <c r="AX141" s="1127"/>
      <c r="AY141" s="1127"/>
      <c r="AZ141" s="1127">
        <v>0.33333333333333331</v>
      </c>
      <c r="BA141" s="1129">
        <v>13735.149333333335</v>
      </c>
      <c r="BB141" s="1129">
        <v>0</v>
      </c>
      <c r="BC141" s="1129">
        <v>13735.149333333335</v>
      </c>
      <c r="BD141" s="1129">
        <v>0</v>
      </c>
      <c r="BE141" s="1129">
        <v>0</v>
      </c>
      <c r="BF141" s="1129">
        <v>0</v>
      </c>
      <c r="BG141" s="1129">
        <v>0</v>
      </c>
      <c r="BH141" s="1129">
        <v>13735.149333333335</v>
      </c>
      <c r="BI141" s="1981"/>
      <c r="BJ141" s="971"/>
      <c r="BK141" s="971"/>
      <c r="BL141" s="1246"/>
      <c r="BM141" s="1247" t="s">
        <v>2120</v>
      </c>
    </row>
    <row r="142" spans="1:65" s="1247" customFormat="1" ht="66" customHeight="1">
      <c r="A142" s="1272">
        <v>4000</v>
      </c>
      <c r="B142" s="971" t="s">
        <v>1316</v>
      </c>
      <c r="C142" s="1272">
        <v>4300</v>
      </c>
      <c r="D142" s="971" t="s">
        <v>222</v>
      </c>
      <c r="E142" s="971" t="s">
        <v>1471</v>
      </c>
      <c r="F142" s="971" t="s">
        <v>1466</v>
      </c>
      <c r="G142" s="971" t="s">
        <v>4806</v>
      </c>
      <c r="H142" s="971" t="s">
        <v>1467</v>
      </c>
      <c r="I142" s="1273" t="s">
        <v>7410</v>
      </c>
      <c r="J142" s="971" t="s">
        <v>7407</v>
      </c>
      <c r="K142" s="971" t="s">
        <v>2120</v>
      </c>
      <c r="L142" s="971" t="s">
        <v>2121</v>
      </c>
      <c r="M142" s="971" t="s">
        <v>2120</v>
      </c>
      <c r="N142" s="971" t="s">
        <v>179</v>
      </c>
      <c r="O142" s="971" t="s">
        <v>2121</v>
      </c>
      <c r="P142" s="971" t="s">
        <v>7408</v>
      </c>
      <c r="Q142" s="971" t="s">
        <v>7411</v>
      </c>
      <c r="R142" s="971" t="s">
        <v>4816</v>
      </c>
      <c r="S142" s="1274">
        <v>1</v>
      </c>
      <c r="T142" s="971" t="s">
        <v>242</v>
      </c>
      <c r="U142" s="1275">
        <v>168</v>
      </c>
      <c r="V142" s="1275">
        <v>2220</v>
      </c>
      <c r="W142" s="1275">
        <v>16785.448</v>
      </c>
      <c r="X142" s="1275">
        <v>22200</v>
      </c>
      <c r="Y142" s="1275">
        <v>41205.448000000004</v>
      </c>
      <c r="Z142" s="1129">
        <v>168</v>
      </c>
      <c r="AA142" s="1129">
        <v>2220</v>
      </c>
      <c r="AB142" s="1129">
        <v>16785.448</v>
      </c>
      <c r="AC142" s="1129">
        <v>22200</v>
      </c>
      <c r="AD142" s="1098">
        <v>41205.448000000004</v>
      </c>
      <c r="AE142" s="1237">
        <v>56</v>
      </c>
      <c r="AF142" s="1133">
        <v>56</v>
      </c>
      <c r="AG142" s="1127">
        <v>1</v>
      </c>
      <c r="AH142" s="1127">
        <v>0</v>
      </c>
      <c r="AI142" s="1127">
        <v>0</v>
      </c>
      <c r="AJ142" s="1127">
        <v>1</v>
      </c>
      <c r="AK142" s="1129">
        <v>41205.448000000004</v>
      </c>
      <c r="AL142" s="1129">
        <v>0</v>
      </c>
      <c r="AM142" s="1129">
        <v>0</v>
      </c>
      <c r="AN142" s="1129">
        <v>41205.448000000004</v>
      </c>
      <c r="AO142" s="1129" t="s">
        <v>85</v>
      </c>
      <c r="AP142" s="1129" t="s">
        <v>96</v>
      </c>
      <c r="AQ142" s="1157">
        <v>2014</v>
      </c>
      <c r="AR142" s="1129" t="s">
        <v>87</v>
      </c>
      <c r="AS142" s="1127">
        <v>0.33333333333333331</v>
      </c>
      <c r="AT142" s="1127"/>
      <c r="AU142" s="1127">
        <v>0.33333333333333331</v>
      </c>
      <c r="AV142" s="1127"/>
      <c r="AW142" s="1127"/>
      <c r="AX142" s="1127"/>
      <c r="AY142" s="1127"/>
      <c r="AZ142" s="1127">
        <v>0.33333333333333331</v>
      </c>
      <c r="BA142" s="1129">
        <v>13735.149333333335</v>
      </c>
      <c r="BB142" s="1129">
        <v>0</v>
      </c>
      <c r="BC142" s="1129">
        <v>13735.149333333335</v>
      </c>
      <c r="BD142" s="1129">
        <v>0</v>
      </c>
      <c r="BE142" s="1129">
        <v>0</v>
      </c>
      <c r="BF142" s="1129">
        <v>0</v>
      </c>
      <c r="BG142" s="1129">
        <v>0</v>
      </c>
      <c r="BH142" s="1129">
        <v>13735.149333333335</v>
      </c>
      <c r="BI142" s="1981"/>
      <c r="BJ142" s="971"/>
      <c r="BK142" s="971"/>
      <c r="BL142" s="1246"/>
      <c r="BM142" s="1247" t="s">
        <v>2120</v>
      </c>
    </row>
    <row r="143" spans="1:65" s="1247" customFormat="1" ht="82.5" customHeight="1">
      <c r="A143" s="1272">
        <v>4000</v>
      </c>
      <c r="B143" s="971" t="s">
        <v>1316</v>
      </c>
      <c r="C143" s="1272">
        <v>4300</v>
      </c>
      <c r="D143" s="971" t="s">
        <v>222</v>
      </c>
      <c r="E143" s="971" t="s">
        <v>1471</v>
      </c>
      <c r="F143" s="971" t="s">
        <v>1466</v>
      </c>
      <c r="G143" s="971" t="s">
        <v>4806</v>
      </c>
      <c r="H143" s="971" t="s">
        <v>1467</v>
      </c>
      <c r="I143" s="1273" t="s">
        <v>7412</v>
      </c>
      <c r="J143" s="971" t="s">
        <v>7407</v>
      </c>
      <c r="K143" s="971" t="s">
        <v>2120</v>
      </c>
      <c r="L143" s="971" t="s">
        <v>2121</v>
      </c>
      <c r="M143" s="971" t="s">
        <v>2120</v>
      </c>
      <c r="N143" s="971" t="s">
        <v>179</v>
      </c>
      <c r="O143" s="971" t="s">
        <v>2121</v>
      </c>
      <c r="P143" s="971" t="s">
        <v>7408</v>
      </c>
      <c r="Q143" s="971" t="s">
        <v>7413</v>
      </c>
      <c r="R143" s="971" t="s">
        <v>4823</v>
      </c>
      <c r="S143" s="1274">
        <v>1</v>
      </c>
      <c r="T143" s="971" t="s">
        <v>242</v>
      </c>
      <c r="U143" s="1275">
        <v>168</v>
      </c>
      <c r="V143" s="1275">
        <v>2220</v>
      </c>
      <c r="W143" s="1275">
        <v>16785.448</v>
      </c>
      <c r="X143" s="1275">
        <v>22200</v>
      </c>
      <c r="Y143" s="1275">
        <v>41205.448000000004</v>
      </c>
      <c r="Z143" s="1129">
        <v>168</v>
      </c>
      <c r="AA143" s="1129">
        <v>2220</v>
      </c>
      <c r="AB143" s="1129">
        <v>16785.448</v>
      </c>
      <c r="AC143" s="1129">
        <v>22200</v>
      </c>
      <c r="AD143" s="1098">
        <v>41205.448000000004</v>
      </c>
      <c r="AE143" s="1237">
        <v>56</v>
      </c>
      <c r="AF143" s="1133">
        <v>56</v>
      </c>
      <c r="AG143" s="1127">
        <v>1</v>
      </c>
      <c r="AH143" s="1127">
        <v>0</v>
      </c>
      <c r="AI143" s="1127">
        <v>0</v>
      </c>
      <c r="AJ143" s="1127">
        <v>1</v>
      </c>
      <c r="AK143" s="1129">
        <v>41205.448000000004</v>
      </c>
      <c r="AL143" s="1129">
        <v>0</v>
      </c>
      <c r="AM143" s="1129">
        <v>0</v>
      </c>
      <c r="AN143" s="1129">
        <v>41205.448000000004</v>
      </c>
      <c r="AO143" s="1129" t="s">
        <v>85</v>
      </c>
      <c r="AP143" s="1129" t="s">
        <v>96</v>
      </c>
      <c r="AQ143" s="1157">
        <v>2014</v>
      </c>
      <c r="AR143" s="1129" t="s">
        <v>87</v>
      </c>
      <c r="AS143" s="1127">
        <v>0.33333333333333331</v>
      </c>
      <c r="AT143" s="1127"/>
      <c r="AU143" s="1127">
        <v>0.33333333333333331</v>
      </c>
      <c r="AV143" s="1127"/>
      <c r="AW143" s="1127"/>
      <c r="AX143" s="1127"/>
      <c r="AY143" s="1127"/>
      <c r="AZ143" s="1127">
        <v>0.33333333333333331</v>
      </c>
      <c r="BA143" s="1129">
        <v>13735.149333333335</v>
      </c>
      <c r="BB143" s="1129">
        <v>0</v>
      </c>
      <c r="BC143" s="1129">
        <v>13735.149333333335</v>
      </c>
      <c r="BD143" s="1129">
        <v>0</v>
      </c>
      <c r="BE143" s="1129">
        <v>0</v>
      </c>
      <c r="BF143" s="1129">
        <v>0</v>
      </c>
      <c r="BG143" s="1129">
        <v>0</v>
      </c>
      <c r="BH143" s="1129">
        <v>13735.149333333335</v>
      </c>
      <c r="BI143" s="1981"/>
      <c r="BJ143" s="971"/>
      <c r="BK143" s="971"/>
      <c r="BL143" s="1246"/>
      <c r="BM143" s="1247" t="s">
        <v>2120</v>
      </c>
    </row>
    <row r="144" spans="1:65" s="1247" customFormat="1" ht="66" customHeight="1">
      <c r="A144" s="1272">
        <v>4000</v>
      </c>
      <c r="B144" s="971" t="s">
        <v>1316</v>
      </c>
      <c r="C144" s="1272">
        <v>4300</v>
      </c>
      <c r="D144" s="971" t="s">
        <v>222</v>
      </c>
      <c r="E144" s="971" t="s">
        <v>1471</v>
      </c>
      <c r="F144" s="971" t="s">
        <v>1466</v>
      </c>
      <c r="G144" s="971" t="s">
        <v>4806</v>
      </c>
      <c r="H144" s="971" t="s">
        <v>1467</v>
      </c>
      <c r="I144" s="1273" t="s">
        <v>7414</v>
      </c>
      <c r="J144" s="971" t="s">
        <v>7407</v>
      </c>
      <c r="K144" s="971" t="s">
        <v>2120</v>
      </c>
      <c r="L144" s="971" t="s">
        <v>2121</v>
      </c>
      <c r="M144" s="971" t="s">
        <v>2120</v>
      </c>
      <c r="N144" s="971" t="s">
        <v>179</v>
      </c>
      <c r="O144" s="971" t="s">
        <v>2121</v>
      </c>
      <c r="P144" s="971" t="s">
        <v>7408</v>
      </c>
      <c r="Q144" s="971" t="s">
        <v>7415</v>
      </c>
      <c r="R144" s="971" t="s">
        <v>4825</v>
      </c>
      <c r="S144" s="1274">
        <v>1</v>
      </c>
      <c r="T144" s="971" t="s">
        <v>242</v>
      </c>
      <c r="U144" s="1275">
        <v>168</v>
      </c>
      <c r="V144" s="1275">
        <v>2220</v>
      </c>
      <c r="W144" s="1275">
        <v>16785.448</v>
      </c>
      <c r="X144" s="1275">
        <v>22200</v>
      </c>
      <c r="Y144" s="1275">
        <v>41205.448000000004</v>
      </c>
      <c r="Z144" s="1129">
        <v>168</v>
      </c>
      <c r="AA144" s="1129">
        <v>2220</v>
      </c>
      <c r="AB144" s="1129">
        <v>16785.448</v>
      </c>
      <c r="AC144" s="1129">
        <v>22200</v>
      </c>
      <c r="AD144" s="1098">
        <v>41205.448000000004</v>
      </c>
      <c r="AE144" s="1237">
        <v>56</v>
      </c>
      <c r="AF144" s="1133">
        <v>56</v>
      </c>
      <c r="AG144" s="1127">
        <v>1</v>
      </c>
      <c r="AH144" s="1127">
        <v>0</v>
      </c>
      <c r="AI144" s="1127">
        <v>0</v>
      </c>
      <c r="AJ144" s="1127">
        <v>1</v>
      </c>
      <c r="AK144" s="1129">
        <v>41205.448000000004</v>
      </c>
      <c r="AL144" s="1129">
        <v>0</v>
      </c>
      <c r="AM144" s="1129">
        <v>0</v>
      </c>
      <c r="AN144" s="1129">
        <v>41205.448000000004</v>
      </c>
      <c r="AO144" s="1129" t="s">
        <v>85</v>
      </c>
      <c r="AP144" s="1129" t="s">
        <v>96</v>
      </c>
      <c r="AQ144" s="1157">
        <v>2014</v>
      </c>
      <c r="AR144" s="1129" t="s">
        <v>87</v>
      </c>
      <c r="AS144" s="1127">
        <v>0.33333333333333331</v>
      </c>
      <c r="AT144" s="1127"/>
      <c r="AU144" s="1127">
        <v>0.33333333333333331</v>
      </c>
      <c r="AV144" s="1127"/>
      <c r="AW144" s="1127"/>
      <c r="AX144" s="1127"/>
      <c r="AY144" s="1127"/>
      <c r="AZ144" s="1127">
        <v>0.33333333333333331</v>
      </c>
      <c r="BA144" s="1129">
        <v>13735.149333333335</v>
      </c>
      <c r="BB144" s="1129">
        <v>0</v>
      </c>
      <c r="BC144" s="1129">
        <v>13735.149333333335</v>
      </c>
      <c r="BD144" s="1129">
        <v>0</v>
      </c>
      <c r="BE144" s="1129">
        <v>0</v>
      </c>
      <c r="BF144" s="1129">
        <v>0</v>
      </c>
      <c r="BG144" s="1129">
        <v>0</v>
      </c>
      <c r="BH144" s="1129">
        <v>13735.149333333335</v>
      </c>
      <c r="BI144" s="1981"/>
      <c r="BJ144" s="971"/>
      <c r="BK144" s="971"/>
      <c r="BL144" s="1246"/>
      <c r="BM144" s="1247" t="s">
        <v>2120</v>
      </c>
    </row>
    <row r="145" spans="1:65" s="1247" customFormat="1" ht="66" customHeight="1">
      <c r="A145" s="1272">
        <v>4000</v>
      </c>
      <c r="B145" s="971" t="s">
        <v>1316</v>
      </c>
      <c r="C145" s="1272">
        <v>4300</v>
      </c>
      <c r="D145" s="971" t="s">
        <v>222</v>
      </c>
      <c r="E145" s="971" t="s">
        <v>1471</v>
      </c>
      <c r="F145" s="971" t="s">
        <v>1466</v>
      </c>
      <c r="G145" s="971" t="s">
        <v>4806</v>
      </c>
      <c r="H145" s="971" t="s">
        <v>1467</v>
      </c>
      <c r="I145" s="1273" t="s">
        <v>7416</v>
      </c>
      <c r="J145" s="971" t="s">
        <v>7407</v>
      </c>
      <c r="K145" s="971" t="s">
        <v>2120</v>
      </c>
      <c r="L145" s="971" t="s">
        <v>2121</v>
      </c>
      <c r="M145" s="971" t="s">
        <v>2120</v>
      </c>
      <c r="N145" s="971" t="s">
        <v>179</v>
      </c>
      <c r="O145" s="971" t="s">
        <v>2121</v>
      </c>
      <c r="P145" s="971" t="s">
        <v>7408</v>
      </c>
      <c r="Q145" s="971" t="s">
        <v>7417</v>
      </c>
      <c r="R145" s="971" t="s">
        <v>4827</v>
      </c>
      <c r="S145" s="1274">
        <v>1</v>
      </c>
      <c r="T145" s="971" t="s">
        <v>242</v>
      </c>
      <c r="U145" s="1275">
        <v>168</v>
      </c>
      <c r="V145" s="1275">
        <v>2220</v>
      </c>
      <c r="W145" s="1275">
        <v>16785.448</v>
      </c>
      <c r="X145" s="1275">
        <v>22200</v>
      </c>
      <c r="Y145" s="1275">
        <v>41205.448000000004</v>
      </c>
      <c r="Z145" s="1129">
        <v>168</v>
      </c>
      <c r="AA145" s="1129">
        <v>2220</v>
      </c>
      <c r="AB145" s="1129">
        <v>16785.448</v>
      </c>
      <c r="AC145" s="1129">
        <v>22200</v>
      </c>
      <c r="AD145" s="1098">
        <v>41205.448000000004</v>
      </c>
      <c r="AE145" s="1237">
        <v>56</v>
      </c>
      <c r="AF145" s="1133">
        <v>56</v>
      </c>
      <c r="AG145" s="1127">
        <v>1</v>
      </c>
      <c r="AH145" s="1127">
        <v>0</v>
      </c>
      <c r="AI145" s="1127">
        <v>0</v>
      </c>
      <c r="AJ145" s="1127">
        <v>1</v>
      </c>
      <c r="AK145" s="1129">
        <v>41205.448000000004</v>
      </c>
      <c r="AL145" s="1129">
        <v>0</v>
      </c>
      <c r="AM145" s="1129">
        <v>0</v>
      </c>
      <c r="AN145" s="1129">
        <v>41205.448000000004</v>
      </c>
      <c r="AO145" s="1129" t="s">
        <v>85</v>
      </c>
      <c r="AP145" s="1129" t="s">
        <v>96</v>
      </c>
      <c r="AQ145" s="1157">
        <v>2014</v>
      </c>
      <c r="AR145" s="1129" t="s">
        <v>87</v>
      </c>
      <c r="AS145" s="1127">
        <v>0.33333333333333331</v>
      </c>
      <c r="AT145" s="1127"/>
      <c r="AU145" s="1127">
        <v>0.33333333333333331</v>
      </c>
      <c r="AV145" s="1127"/>
      <c r="AW145" s="1127"/>
      <c r="AX145" s="1127"/>
      <c r="AY145" s="1127"/>
      <c r="AZ145" s="1127">
        <v>0.33333333333333331</v>
      </c>
      <c r="BA145" s="1129">
        <v>13735.149333333335</v>
      </c>
      <c r="BB145" s="1129">
        <v>0</v>
      </c>
      <c r="BC145" s="1129">
        <v>13735.149333333335</v>
      </c>
      <c r="BD145" s="1129">
        <v>0</v>
      </c>
      <c r="BE145" s="1129">
        <v>0</v>
      </c>
      <c r="BF145" s="1129">
        <v>0</v>
      </c>
      <c r="BG145" s="1129">
        <v>0</v>
      </c>
      <c r="BH145" s="1129">
        <v>13735.149333333335</v>
      </c>
      <c r="BI145" s="1981"/>
      <c r="BJ145" s="971"/>
      <c r="BK145" s="971"/>
      <c r="BL145" s="1246"/>
      <c r="BM145" s="1247" t="s">
        <v>2120</v>
      </c>
    </row>
    <row r="146" spans="1:65" s="1247" customFormat="1" ht="82.5" customHeight="1">
      <c r="A146" s="1272">
        <v>4000</v>
      </c>
      <c r="B146" s="971" t="s">
        <v>1316</v>
      </c>
      <c r="C146" s="1272">
        <v>4300</v>
      </c>
      <c r="D146" s="971" t="s">
        <v>222</v>
      </c>
      <c r="E146" s="971" t="s">
        <v>1471</v>
      </c>
      <c r="F146" s="971" t="s">
        <v>1466</v>
      </c>
      <c r="G146" s="971" t="s">
        <v>4806</v>
      </c>
      <c r="H146" s="971" t="s">
        <v>1467</v>
      </c>
      <c r="I146" s="1273" t="s">
        <v>7418</v>
      </c>
      <c r="J146" s="971" t="s">
        <v>7407</v>
      </c>
      <c r="K146" s="971" t="s">
        <v>2120</v>
      </c>
      <c r="L146" s="971" t="s">
        <v>2121</v>
      </c>
      <c r="M146" s="971" t="s">
        <v>2120</v>
      </c>
      <c r="N146" s="971" t="s">
        <v>179</v>
      </c>
      <c r="O146" s="971" t="s">
        <v>2121</v>
      </c>
      <c r="P146" s="971" t="s">
        <v>7408</v>
      </c>
      <c r="Q146" s="971" t="s">
        <v>7419</v>
      </c>
      <c r="R146" s="971" t="s">
        <v>4829</v>
      </c>
      <c r="S146" s="1274">
        <v>1</v>
      </c>
      <c r="T146" s="971" t="s">
        <v>242</v>
      </c>
      <c r="U146" s="1275">
        <v>168</v>
      </c>
      <c r="V146" s="1275">
        <v>2220</v>
      </c>
      <c r="W146" s="1275">
        <v>16785.448</v>
      </c>
      <c r="X146" s="1275">
        <v>22200</v>
      </c>
      <c r="Y146" s="1275">
        <v>41205.448000000004</v>
      </c>
      <c r="Z146" s="1129">
        <v>168</v>
      </c>
      <c r="AA146" s="1129">
        <v>2220</v>
      </c>
      <c r="AB146" s="1129">
        <v>16785.448</v>
      </c>
      <c r="AC146" s="1129">
        <v>22200</v>
      </c>
      <c r="AD146" s="1098">
        <v>41205.448000000004</v>
      </c>
      <c r="AE146" s="1237">
        <v>56</v>
      </c>
      <c r="AF146" s="1133">
        <v>56</v>
      </c>
      <c r="AG146" s="1127">
        <v>1</v>
      </c>
      <c r="AH146" s="1127">
        <v>0</v>
      </c>
      <c r="AI146" s="1127">
        <v>0</v>
      </c>
      <c r="AJ146" s="1127">
        <v>1</v>
      </c>
      <c r="AK146" s="1129">
        <v>41205.448000000004</v>
      </c>
      <c r="AL146" s="1129">
        <v>0</v>
      </c>
      <c r="AM146" s="1129">
        <v>0</v>
      </c>
      <c r="AN146" s="1129">
        <v>41205.448000000004</v>
      </c>
      <c r="AO146" s="1129" t="s">
        <v>85</v>
      </c>
      <c r="AP146" s="1129" t="s">
        <v>96</v>
      </c>
      <c r="AQ146" s="1157">
        <v>2014</v>
      </c>
      <c r="AR146" s="1129" t="s">
        <v>87</v>
      </c>
      <c r="AS146" s="1127">
        <v>0.33333333333333331</v>
      </c>
      <c r="AT146" s="1127"/>
      <c r="AU146" s="1127">
        <v>0.33333333333333331</v>
      </c>
      <c r="AV146" s="1127"/>
      <c r="AW146" s="1127"/>
      <c r="AX146" s="1127"/>
      <c r="AY146" s="1127"/>
      <c r="AZ146" s="1127">
        <v>0.33333333333333331</v>
      </c>
      <c r="BA146" s="1129">
        <v>13735.149333333335</v>
      </c>
      <c r="BB146" s="1129">
        <v>0</v>
      </c>
      <c r="BC146" s="1129">
        <v>13735.149333333335</v>
      </c>
      <c r="BD146" s="1129">
        <v>0</v>
      </c>
      <c r="BE146" s="1129">
        <v>0</v>
      </c>
      <c r="BF146" s="1129">
        <v>0</v>
      </c>
      <c r="BG146" s="1129">
        <v>0</v>
      </c>
      <c r="BH146" s="1129">
        <v>13735.149333333335</v>
      </c>
      <c r="BI146" s="1981"/>
      <c r="BJ146" s="971"/>
      <c r="BK146" s="971"/>
      <c r="BL146" s="1246"/>
      <c r="BM146" s="1247" t="s">
        <v>2120</v>
      </c>
    </row>
    <row r="147" spans="1:65" s="1247" customFormat="1" ht="49.5" customHeight="1">
      <c r="A147" s="1272">
        <v>4000</v>
      </c>
      <c r="B147" s="971" t="s">
        <v>1316</v>
      </c>
      <c r="C147" s="1272">
        <v>4300</v>
      </c>
      <c r="D147" s="971" t="s">
        <v>222</v>
      </c>
      <c r="E147" s="971" t="s">
        <v>1471</v>
      </c>
      <c r="F147" s="971" t="s">
        <v>1466</v>
      </c>
      <c r="G147" s="971" t="s">
        <v>4806</v>
      </c>
      <c r="H147" s="971" t="s">
        <v>1467</v>
      </c>
      <c r="I147" s="1273" t="s">
        <v>7420</v>
      </c>
      <c r="J147" s="971" t="s">
        <v>7249</v>
      </c>
      <c r="K147" s="971" t="s">
        <v>2120</v>
      </c>
      <c r="L147" s="971" t="s">
        <v>2121</v>
      </c>
      <c r="M147" s="971" t="s">
        <v>2120</v>
      </c>
      <c r="N147" s="971" t="s">
        <v>179</v>
      </c>
      <c r="O147" s="971" t="s">
        <v>2121</v>
      </c>
      <c r="P147" s="971" t="s">
        <v>2214</v>
      </c>
      <c r="Q147" s="971" t="s">
        <v>7421</v>
      </c>
      <c r="R147" s="971" t="s">
        <v>4846</v>
      </c>
      <c r="S147" s="1274">
        <v>1</v>
      </c>
      <c r="T147" s="971" t="s">
        <v>242</v>
      </c>
      <c r="U147" s="1275">
        <v>168</v>
      </c>
      <c r="V147" s="1275">
        <v>2220</v>
      </c>
      <c r="W147" s="1275">
        <v>16785.448</v>
      </c>
      <c r="X147" s="1275">
        <v>22200</v>
      </c>
      <c r="Y147" s="1275">
        <v>41205.448000000004</v>
      </c>
      <c r="Z147" s="1129">
        <v>168</v>
      </c>
      <c r="AA147" s="1129">
        <v>2220</v>
      </c>
      <c r="AB147" s="1129">
        <v>16785.448</v>
      </c>
      <c r="AC147" s="1129">
        <v>22200</v>
      </c>
      <c r="AD147" s="1098">
        <v>41205.448000000004</v>
      </c>
      <c r="AE147" s="1237">
        <v>56</v>
      </c>
      <c r="AF147" s="1133">
        <v>56</v>
      </c>
      <c r="AG147" s="1127">
        <v>1</v>
      </c>
      <c r="AH147" s="1127">
        <v>0</v>
      </c>
      <c r="AI147" s="1127">
        <v>0</v>
      </c>
      <c r="AJ147" s="1127">
        <v>1</v>
      </c>
      <c r="AK147" s="1129">
        <v>41205.448000000004</v>
      </c>
      <c r="AL147" s="1129">
        <v>0</v>
      </c>
      <c r="AM147" s="1129">
        <v>0</v>
      </c>
      <c r="AN147" s="1129">
        <v>41205.448000000004</v>
      </c>
      <c r="AO147" s="1129" t="s">
        <v>85</v>
      </c>
      <c r="AP147" s="1129" t="s">
        <v>96</v>
      </c>
      <c r="AQ147" s="1157">
        <v>2014</v>
      </c>
      <c r="AR147" s="1129" t="s">
        <v>87</v>
      </c>
      <c r="AS147" s="1127">
        <v>0.33333333333333331</v>
      </c>
      <c r="AT147" s="1127"/>
      <c r="AU147" s="1127">
        <v>0.33333333333333331</v>
      </c>
      <c r="AV147" s="1127"/>
      <c r="AW147" s="1127"/>
      <c r="AX147" s="1127"/>
      <c r="AY147" s="1127"/>
      <c r="AZ147" s="1127">
        <v>0.33333333333333331</v>
      </c>
      <c r="BA147" s="1129">
        <v>13735.149333333335</v>
      </c>
      <c r="BB147" s="1129">
        <v>0</v>
      </c>
      <c r="BC147" s="1129">
        <v>13735.149333333335</v>
      </c>
      <c r="BD147" s="1129">
        <v>0</v>
      </c>
      <c r="BE147" s="1129">
        <v>0</v>
      </c>
      <c r="BF147" s="1129">
        <v>0</v>
      </c>
      <c r="BG147" s="1129">
        <v>0</v>
      </c>
      <c r="BH147" s="1129">
        <v>13735.149333333335</v>
      </c>
      <c r="BI147" s="1981"/>
      <c r="BJ147" s="971"/>
      <c r="BK147" s="971"/>
      <c r="BL147" s="1246"/>
      <c r="BM147" s="1247" t="s">
        <v>2120</v>
      </c>
    </row>
    <row r="148" spans="1:65" s="1247" customFormat="1" ht="49.5" customHeight="1">
      <c r="A148" s="1272">
        <v>4000</v>
      </c>
      <c r="B148" s="971" t="s">
        <v>1316</v>
      </c>
      <c r="C148" s="1272">
        <v>4300</v>
      </c>
      <c r="D148" s="971" t="s">
        <v>222</v>
      </c>
      <c r="E148" s="971" t="s">
        <v>1471</v>
      </c>
      <c r="F148" s="971" t="s">
        <v>1466</v>
      </c>
      <c r="G148" s="971" t="s">
        <v>4806</v>
      </c>
      <c r="H148" s="971" t="s">
        <v>1467</v>
      </c>
      <c r="I148" s="1273" t="s">
        <v>7422</v>
      </c>
      <c r="J148" s="971" t="s">
        <v>7249</v>
      </c>
      <c r="K148" s="971" t="s">
        <v>2120</v>
      </c>
      <c r="L148" s="971" t="s">
        <v>2121</v>
      </c>
      <c r="M148" s="971" t="s">
        <v>2120</v>
      </c>
      <c r="N148" s="971" t="s">
        <v>179</v>
      </c>
      <c r="O148" s="971" t="s">
        <v>2121</v>
      </c>
      <c r="P148" s="971" t="s">
        <v>2214</v>
      </c>
      <c r="Q148" s="971" t="s">
        <v>7423</v>
      </c>
      <c r="R148" s="971" t="s">
        <v>4852</v>
      </c>
      <c r="S148" s="1274">
        <v>1</v>
      </c>
      <c r="T148" s="971" t="s">
        <v>242</v>
      </c>
      <c r="U148" s="1275">
        <v>168</v>
      </c>
      <c r="V148" s="1275">
        <v>2220</v>
      </c>
      <c r="W148" s="1275">
        <v>16785.448</v>
      </c>
      <c r="X148" s="1275">
        <v>22200</v>
      </c>
      <c r="Y148" s="1275">
        <v>41205.448000000004</v>
      </c>
      <c r="Z148" s="1129">
        <v>168</v>
      </c>
      <c r="AA148" s="1129">
        <v>2220</v>
      </c>
      <c r="AB148" s="1129">
        <v>16785.448</v>
      </c>
      <c r="AC148" s="1129">
        <v>22200</v>
      </c>
      <c r="AD148" s="1098">
        <v>41205.448000000004</v>
      </c>
      <c r="AE148" s="1237">
        <v>56</v>
      </c>
      <c r="AF148" s="1133">
        <v>56</v>
      </c>
      <c r="AG148" s="1127">
        <v>1</v>
      </c>
      <c r="AH148" s="1127">
        <v>0</v>
      </c>
      <c r="AI148" s="1127">
        <v>0</v>
      </c>
      <c r="AJ148" s="1127">
        <v>1</v>
      </c>
      <c r="AK148" s="1129">
        <v>41205.448000000004</v>
      </c>
      <c r="AL148" s="1129">
        <v>0</v>
      </c>
      <c r="AM148" s="1129">
        <v>0</v>
      </c>
      <c r="AN148" s="1129">
        <v>41205.448000000004</v>
      </c>
      <c r="AO148" s="1129" t="s">
        <v>85</v>
      </c>
      <c r="AP148" s="1129" t="s">
        <v>96</v>
      </c>
      <c r="AQ148" s="1157">
        <v>2014</v>
      </c>
      <c r="AR148" s="1129" t="s">
        <v>87</v>
      </c>
      <c r="AS148" s="1127">
        <v>0.33333333333333331</v>
      </c>
      <c r="AT148" s="1127"/>
      <c r="AU148" s="1127">
        <v>0.33333333333333331</v>
      </c>
      <c r="AV148" s="1127"/>
      <c r="AW148" s="1127"/>
      <c r="AX148" s="1127"/>
      <c r="AY148" s="1127"/>
      <c r="AZ148" s="1127">
        <v>0.33333333333333331</v>
      </c>
      <c r="BA148" s="1129">
        <v>13735.149333333335</v>
      </c>
      <c r="BB148" s="1129">
        <v>0</v>
      </c>
      <c r="BC148" s="1129">
        <v>13735.149333333335</v>
      </c>
      <c r="BD148" s="1129">
        <v>0</v>
      </c>
      <c r="BE148" s="1129">
        <v>0</v>
      </c>
      <c r="BF148" s="1129">
        <v>0</v>
      </c>
      <c r="BG148" s="1129">
        <v>0</v>
      </c>
      <c r="BH148" s="1129">
        <v>13735.149333333335</v>
      </c>
      <c r="BI148" s="1981"/>
      <c r="BJ148" s="971"/>
      <c r="BK148" s="971"/>
      <c r="BL148" s="1246"/>
      <c r="BM148" s="1247" t="s">
        <v>2120</v>
      </c>
    </row>
    <row r="149" spans="1:65" s="1247" customFormat="1" ht="49.5" customHeight="1">
      <c r="A149" s="1272">
        <v>4000</v>
      </c>
      <c r="B149" s="971" t="s">
        <v>1316</v>
      </c>
      <c r="C149" s="1272">
        <v>4300</v>
      </c>
      <c r="D149" s="971" t="s">
        <v>222</v>
      </c>
      <c r="E149" s="971" t="s">
        <v>1471</v>
      </c>
      <c r="F149" s="971" t="s">
        <v>1466</v>
      </c>
      <c r="G149" s="971" t="s">
        <v>4806</v>
      </c>
      <c r="H149" s="971" t="s">
        <v>1467</v>
      </c>
      <c r="I149" s="1273" t="s">
        <v>7424</v>
      </c>
      <c r="J149" s="971" t="s">
        <v>7249</v>
      </c>
      <c r="K149" s="971" t="s">
        <v>2120</v>
      </c>
      <c r="L149" s="971" t="s">
        <v>2121</v>
      </c>
      <c r="M149" s="971" t="s">
        <v>2120</v>
      </c>
      <c r="N149" s="971" t="s">
        <v>179</v>
      </c>
      <c r="O149" s="971" t="s">
        <v>2121</v>
      </c>
      <c r="P149" s="971" t="s">
        <v>2214</v>
      </c>
      <c r="Q149" s="971" t="s">
        <v>7425</v>
      </c>
      <c r="R149" s="971" t="s">
        <v>4858</v>
      </c>
      <c r="S149" s="1274">
        <v>1</v>
      </c>
      <c r="T149" s="971" t="s">
        <v>242</v>
      </c>
      <c r="U149" s="1275">
        <v>168</v>
      </c>
      <c r="V149" s="1275">
        <v>2220</v>
      </c>
      <c r="W149" s="1275">
        <v>16785.448</v>
      </c>
      <c r="X149" s="1275">
        <v>22200</v>
      </c>
      <c r="Y149" s="1275">
        <v>41205.448000000004</v>
      </c>
      <c r="Z149" s="1129">
        <v>168</v>
      </c>
      <c r="AA149" s="1129">
        <v>2220</v>
      </c>
      <c r="AB149" s="1129">
        <v>16785.448</v>
      </c>
      <c r="AC149" s="1129">
        <v>22200</v>
      </c>
      <c r="AD149" s="1098">
        <v>41205.448000000004</v>
      </c>
      <c r="AE149" s="1237">
        <v>56</v>
      </c>
      <c r="AF149" s="1133">
        <v>56</v>
      </c>
      <c r="AG149" s="1127">
        <v>1</v>
      </c>
      <c r="AH149" s="1127">
        <v>0</v>
      </c>
      <c r="AI149" s="1127">
        <v>0</v>
      </c>
      <c r="AJ149" s="1127">
        <v>1</v>
      </c>
      <c r="AK149" s="1129">
        <v>41205.448000000004</v>
      </c>
      <c r="AL149" s="1129">
        <v>0</v>
      </c>
      <c r="AM149" s="1129">
        <v>0</v>
      </c>
      <c r="AN149" s="1129">
        <v>41205.448000000004</v>
      </c>
      <c r="AO149" s="1129" t="s">
        <v>85</v>
      </c>
      <c r="AP149" s="1129" t="s">
        <v>96</v>
      </c>
      <c r="AQ149" s="1157">
        <v>2014</v>
      </c>
      <c r="AR149" s="1129" t="s">
        <v>87</v>
      </c>
      <c r="AS149" s="1127">
        <v>0.33333333333333331</v>
      </c>
      <c r="AT149" s="1127"/>
      <c r="AU149" s="1127">
        <v>0.33333333333333331</v>
      </c>
      <c r="AV149" s="1127"/>
      <c r="AW149" s="1127"/>
      <c r="AX149" s="1127"/>
      <c r="AY149" s="1127"/>
      <c r="AZ149" s="1127">
        <v>0.33333333333333331</v>
      </c>
      <c r="BA149" s="1129">
        <v>13735.149333333335</v>
      </c>
      <c r="BB149" s="1129">
        <v>0</v>
      </c>
      <c r="BC149" s="1129">
        <v>13735.149333333335</v>
      </c>
      <c r="BD149" s="1129">
        <v>0</v>
      </c>
      <c r="BE149" s="1129">
        <v>0</v>
      </c>
      <c r="BF149" s="1129">
        <v>0</v>
      </c>
      <c r="BG149" s="1129">
        <v>0</v>
      </c>
      <c r="BH149" s="1129">
        <v>13735.149333333335</v>
      </c>
      <c r="BI149" s="1981"/>
      <c r="BJ149" s="971"/>
      <c r="BK149" s="971"/>
      <c r="BL149" s="1246"/>
      <c r="BM149" s="1247" t="s">
        <v>2120</v>
      </c>
    </row>
    <row r="150" spans="1:65" s="1247" customFormat="1" ht="49.5" customHeight="1">
      <c r="A150" s="1272">
        <v>4000</v>
      </c>
      <c r="B150" s="971" t="s">
        <v>1316</v>
      </c>
      <c r="C150" s="1272">
        <v>4300</v>
      </c>
      <c r="D150" s="971" t="s">
        <v>222</v>
      </c>
      <c r="E150" s="971" t="s">
        <v>1471</v>
      </c>
      <c r="F150" s="971" t="s">
        <v>1466</v>
      </c>
      <c r="G150" s="971" t="s">
        <v>4806</v>
      </c>
      <c r="H150" s="971" t="s">
        <v>1467</v>
      </c>
      <c r="I150" s="1273" t="s">
        <v>7426</v>
      </c>
      <c r="J150" s="971" t="s">
        <v>7249</v>
      </c>
      <c r="K150" s="971" t="s">
        <v>2120</v>
      </c>
      <c r="L150" s="971" t="s">
        <v>2121</v>
      </c>
      <c r="M150" s="971" t="s">
        <v>2120</v>
      </c>
      <c r="N150" s="971" t="s">
        <v>179</v>
      </c>
      <c r="O150" s="971" t="s">
        <v>2121</v>
      </c>
      <c r="P150" s="971" t="s">
        <v>2214</v>
      </c>
      <c r="Q150" s="971" t="s">
        <v>7427</v>
      </c>
      <c r="R150" s="971" t="s">
        <v>4860</v>
      </c>
      <c r="S150" s="1274">
        <v>1</v>
      </c>
      <c r="T150" s="971" t="s">
        <v>242</v>
      </c>
      <c r="U150" s="1275">
        <v>168</v>
      </c>
      <c r="V150" s="1275">
        <v>2220</v>
      </c>
      <c r="W150" s="1275">
        <v>16785.448</v>
      </c>
      <c r="X150" s="1275">
        <v>22200</v>
      </c>
      <c r="Y150" s="1275">
        <v>41205.448000000004</v>
      </c>
      <c r="Z150" s="1129">
        <v>168</v>
      </c>
      <c r="AA150" s="1129">
        <v>2220</v>
      </c>
      <c r="AB150" s="1129">
        <v>16785.448</v>
      </c>
      <c r="AC150" s="1129">
        <v>22200</v>
      </c>
      <c r="AD150" s="1098">
        <v>41205.448000000004</v>
      </c>
      <c r="AE150" s="1237">
        <v>56</v>
      </c>
      <c r="AF150" s="1133">
        <v>56</v>
      </c>
      <c r="AG150" s="1127">
        <v>1</v>
      </c>
      <c r="AH150" s="1127">
        <v>0</v>
      </c>
      <c r="AI150" s="1127">
        <v>0</v>
      </c>
      <c r="AJ150" s="1127">
        <v>1</v>
      </c>
      <c r="AK150" s="1129">
        <v>41205.448000000004</v>
      </c>
      <c r="AL150" s="1129">
        <v>0</v>
      </c>
      <c r="AM150" s="1129">
        <v>0</v>
      </c>
      <c r="AN150" s="1129">
        <v>41205.448000000004</v>
      </c>
      <c r="AO150" s="1129" t="s">
        <v>85</v>
      </c>
      <c r="AP150" s="1129" t="s">
        <v>96</v>
      </c>
      <c r="AQ150" s="1157">
        <v>2014</v>
      </c>
      <c r="AR150" s="1129" t="s">
        <v>87</v>
      </c>
      <c r="AS150" s="1127">
        <v>0.33333333333333331</v>
      </c>
      <c r="AT150" s="1127"/>
      <c r="AU150" s="1127">
        <v>0.33333333333333331</v>
      </c>
      <c r="AV150" s="1127"/>
      <c r="AW150" s="1127"/>
      <c r="AX150" s="1127"/>
      <c r="AY150" s="1127"/>
      <c r="AZ150" s="1127">
        <v>0.33333333333333331</v>
      </c>
      <c r="BA150" s="1129">
        <v>13735.149333333335</v>
      </c>
      <c r="BB150" s="1129">
        <v>0</v>
      </c>
      <c r="BC150" s="1129">
        <v>13735.149333333335</v>
      </c>
      <c r="BD150" s="1129">
        <v>0</v>
      </c>
      <c r="BE150" s="1129">
        <v>0</v>
      </c>
      <c r="BF150" s="1129">
        <v>0</v>
      </c>
      <c r="BG150" s="1129">
        <v>0</v>
      </c>
      <c r="BH150" s="1129">
        <v>13735.149333333335</v>
      </c>
      <c r="BI150" s="1981"/>
      <c r="BJ150" s="971"/>
      <c r="BK150" s="971"/>
      <c r="BL150" s="1246"/>
      <c r="BM150" s="1247" t="s">
        <v>2120</v>
      </c>
    </row>
    <row r="151" spans="1:65" s="1247" customFormat="1" ht="66" customHeight="1">
      <c r="A151" s="1272">
        <v>4000</v>
      </c>
      <c r="B151" s="971" t="s">
        <v>1316</v>
      </c>
      <c r="C151" s="1272">
        <v>4300</v>
      </c>
      <c r="D151" s="971" t="s">
        <v>222</v>
      </c>
      <c r="E151" s="971" t="s">
        <v>1471</v>
      </c>
      <c r="F151" s="971" t="s">
        <v>1466</v>
      </c>
      <c r="G151" s="971">
        <v>4381</v>
      </c>
      <c r="H151" s="971" t="s">
        <v>1467</v>
      </c>
      <c r="I151" s="1273"/>
      <c r="J151" s="971" t="s">
        <v>7407</v>
      </c>
      <c r="K151" s="971" t="s">
        <v>2120</v>
      </c>
      <c r="L151" s="971" t="s">
        <v>2121</v>
      </c>
      <c r="M151" s="971" t="s">
        <v>2120</v>
      </c>
      <c r="N151" s="971" t="s">
        <v>179</v>
      </c>
      <c r="O151" s="971" t="s">
        <v>2121</v>
      </c>
      <c r="P151" s="971" t="s">
        <v>7408</v>
      </c>
      <c r="Q151" s="971" t="s">
        <v>7428</v>
      </c>
      <c r="R151" s="971"/>
      <c r="S151" s="1274">
        <v>1</v>
      </c>
      <c r="T151" s="971" t="s">
        <v>242</v>
      </c>
      <c r="U151" s="1275">
        <v>168</v>
      </c>
      <c r="V151" s="1275">
        <v>2220</v>
      </c>
      <c r="W151" s="1275">
        <v>16785.448</v>
      </c>
      <c r="X151" s="1275">
        <v>22200</v>
      </c>
      <c r="Y151" s="1275">
        <v>41205.448000000004</v>
      </c>
      <c r="Z151" s="1129">
        <v>168</v>
      </c>
      <c r="AA151" s="1129">
        <v>2220</v>
      </c>
      <c r="AB151" s="1129">
        <v>16785.448</v>
      </c>
      <c r="AC151" s="1129">
        <v>22200</v>
      </c>
      <c r="AD151" s="1098">
        <v>41205.448000000004</v>
      </c>
      <c r="AE151" s="1237">
        <v>56</v>
      </c>
      <c r="AF151" s="1133">
        <v>56</v>
      </c>
      <c r="AG151" s="1127">
        <v>1</v>
      </c>
      <c r="AH151" s="1127">
        <v>0</v>
      </c>
      <c r="AI151" s="1127">
        <v>0</v>
      </c>
      <c r="AJ151" s="1127">
        <v>1</v>
      </c>
      <c r="AK151" s="1129">
        <v>41205.448000000004</v>
      </c>
      <c r="AL151" s="1129">
        <v>0</v>
      </c>
      <c r="AM151" s="1129">
        <v>0</v>
      </c>
      <c r="AN151" s="1129">
        <v>41205.448000000004</v>
      </c>
      <c r="AO151" s="1129" t="s">
        <v>85</v>
      </c>
      <c r="AP151" s="1129" t="s">
        <v>96</v>
      </c>
      <c r="AQ151" s="1157" t="s">
        <v>107</v>
      </c>
      <c r="AR151" s="1129" t="s">
        <v>87</v>
      </c>
      <c r="AS151" s="1127">
        <v>0.33333333333333331</v>
      </c>
      <c r="AT151" s="1127"/>
      <c r="AU151" s="1127">
        <v>0.33333333333333331</v>
      </c>
      <c r="AV151" s="1127"/>
      <c r="AW151" s="1127"/>
      <c r="AX151" s="1127"/>
      <c r="AY151" s="1127"/>
      <c r="AZ151" s="1127">
        <v>0.33333333333333331</v>
      </c>
      <c r="BA151" s="1129">
        <v>13735.149333333335</v>
      </c>
      <c r="BB151" s="1129">
        <v>0</v>
      </c>
      <c r="BC151" s="1129">
        <v>13735.149333333335</v>
      </c>
      <c r="BD151" s="1129">
        <v>0</v>
      </c>
      <c r="BE151" s="1129">
        <v>0</v>
      </c>
      <c r="BF151" s="1129">
        <v>0</v>
      </c>
      <c r="BG151" s="1129">
        <v>0</v>
      </c>
      <c r="BH151" s="1129">
        <v>13735.149333333335</v>
      </c>
      <c r="BI151" s="1981"/>
      <c r="BJ151" s="971"/>
      <c r="BK151" s="971"/>
      <c r="BL151" s="1246"/>
      <c r="BM151" s="1247" t="s">
        <v>2120</v>
      </c>
    </row>
    <row r="152" spans="1:65" s="1247" customFormat="1" ht="49.5" customHeight="1">
      <c r="A152" s="1272">
        <v>4000</v>
      </c>
      <c r="B152" s="971" t="s">
        <v>1316</v>
      </c>
      <c r="C152" s="1272">
        <v>4300</v>
      </c>
      <c r="D152" s="971" t="s">
        <v>222</v>
      </c>
      <c r="E152" s="971" t="s">
        <v>1471</v>
      </c>
      <c r="F152" s="971" t="s">
        <v>1466</v>
      </c>
      <c r="G152" s="971">
        <v>4381</v>
      </c>
      <c r="H152" s="971" t="s">
        <v>1467</v>
      </c>
      <c r="I152" s="1273"/>
      <c r="J152" s="971" t="s">
        <v>7249</v>
      </c>
      <c r="K152" s="971" t="s">
        <v>2120</v>
      </c>
      <c r="L152" s="971" t="s">
        <v>2121</v>
      </c>
      <c r="M152" s="971" t="s">
        <v>2120</v>
      </c>
      <c r="N152" s="971" t="s">
        <v>179</v>
      </c>
      <c r="O152" s="971" t="s">
        <v>2121</v>
      </c>
      <c r="P152" s="971" t="s">
        <v>2214</v>
      </c>
      <c r="Q152" s="971" t="s">
        <v>7429</v>
      </c>
      <c r="R152" s="971"/>
      <c r="S152" s="1274">
        <v>1</v>
      </c>
      <c r="T152" s="971" t="s">
        <v>242</v>
      </c>
      <c r="U152" s="1275">
        <v>168</v>
      </c>
      <c r="V152" s="1275">
        <v>2220</v>
      </c>
      <c r="W152" s="1275">
        <v>16785.448</v>
      </c>
      <c r="X152" s="1275">
        <v>22200</v>
      </c>
      <c r="Y152" s="1275">
        <v>41205.448000000004</v>
      </c>
      <c r="Z152" s="1129">
        <v>168</v>
      </c>
      <c r="AA152" s="1129">
        <v>2220</v>
      </c>
      <c r="AB152" s="1129">
        <v>16785.448</v>
      </c>
      <c r="AC152" s="1129">
        <v>22200</v>
      </c>
      <c r="AD152" s="1098">
        <v>41205.448000000004</v>
      </c>
      <c r="AE152" s="1237">
        <v>56</v>
      </c>
      <c r="AF152" s="1133">
        <v>56</v>
      </c>
      <c r="AG152" s="1127">
        <v>1</v>
      </c>
      <c r="AH152" s="1127">
        <v>0</v>
      </c>
      <c r="AI152" s="1127">
        <v>0</v>
      </c>
      <c r="AJ152" s="1127">
        <v>1</v>
      </c>
      <c r="AK152" s="1129">
        <v>41205.448000000004</v>
      </c>
      <c r="AL152" s="1129">
        <v>0</v>
      </c>
      <c r="AM152" s="1129">
        <v>0</v>
      </c>
      <c r="AN152" s="1129">
        <v>41205.448000000004</v>
      </c>
      <c r="AO152" s="1129" t="s">
        <v>85</v>
      </c>
      <c r="AP152" s="1129" t="s">
        <v>96</v>
      </c>
      <c r="AQ152" s="1157" t="s">
        <v>107</v>
      </c>
      <c r="AR152" s="1129" t="s">
        <v>87</v>
      </c>
      <c r="AS152" s="1127">
        <v>0.33333333333333331</v>
      </c>
      <c r="AT152" s="1127"/>
      <c r="AU152" s="1127">
        <v>0.33333333333333331</v>
      </c>
      <c r="AV152" s="1127"/>
      <c r="AW152" s="1127"/>
      <c r="AX152" s="1127"/>
      <c r="AY152" s="1127"/>
      <c r="AZ152" s="1127">
        <v>0.33333333333333331</v>
      </c>
      <c r="BA152" s="1129">
        <v>13735.149333333335</v>
      </c>
      <c r="BB152" s="1129">
        <v>0</v>
      </c>
      <c r="BC152" s="1129">
        <v>13735.149333333335</v>
      </c>
      <c r="BD152" s="1129">
        <v>0</v>
      </c>
      <c r="BE152" s="1129">
        <v>0</v>
      </c>
      <c r="BF152" s="1129">
        <v>0</v>
      </c>
      <c r="BG152" s="1129">
        <v>0</v>
      </c>
      <c r="BH152" s="1129">
        <v>13735.149333333335</v>
      </c>
      <c r="BI152" s="1981"/>
      <c r="BJ152" s="971"/>
      <c r="BK152" s="971"/>
      <c r="BL152" s="1246"/>
      <c r="BM152" s="1247" t="s">
        <v>2120</v>
      </c>
    </row>
    <row r="153" spans="1:65" s="1247" customFormat="1" ht="82.5" customHeight="1">
      <c r="A153" s="1272">
        <v>4000</v>
      </c>
      <c r="B153" s="971" t="s">
        <v>1316</v>
      </c>
      <c r="C153" s="1272">
        <v>4300</v>
      </c>
      <c r="D153" s="971" t="s">
        <v>222</v>
      </c>
      <c r="E153" s="971" t="s">
        <v>1471</v>
      </c>
      <c r="F153" s="971" t="s">
        <v>1466</v>
      </c>
      <c r="G153" s="971">
        <v>4381</v>
      </c>
      <c r="H153" s="971" t="s">
        <v>1467</v>
      </c>
      <c r="I153" s="1273"/>
      <c r="J153" s="971" t="s">
        <v>7407</v>
      </c>
      <c r="K153" s="971" t="s">
        <v>2120</v>
      </c>
      <c r="L153" s="971" t="s">
        <v>2121</v>
      </c>
      <c r="M153" s="971" t="s">
        <v>2120</v>
      </c>
      <c r="N153" s="971" t="s">
        <v>179</v>
      </c>
      <c r="O153" s="971" t="s">
        <v>2121</v>
      </c>
      <c r="P153" s="971" t="s">
        <v>7408</v>
      </c>
      <c r="Q153" s="971" t="s">
        <v>7430</v>
      </c>
      <c r="R153" s="971"/>
      <c r="S153" s="1274">
        <v>1</v>
      </c>
      <c r="T153" s="971" t="s">
        <v>242</v>
      </c>
      <c r="U153" s="1275">
        <v>168</v>
      </c>
      <c r="V153" s="1275">
        <v>2220</v>
      </c>
      <c r="W153" s="1275">
        <v>16785.448</v>
      </c>
      <c r="X153" s="1275">
        <v>22200</v>
      </c>
      <c r="Y153" s="1275">
        <v>41205.448000000004</v>
      </c>
      <c r="Z153" s="1129">
        <v>168</v>
      </c>
      <c r="AA153" s="1129">
        <v>2220</v>
      </c>
      <c r="AB153" s="1129">
        <v>16785.448</v>
      </c>
      <c r="AC153" s="1129">
        <v>22200</v>
      </c>
      <c r="AD153" s="1098">
        <v>41205.448000000004</v>
      </c>
      <c r="AE153" s="1237">
        <v>56</v>
      </c>
      <c r="AF153" s="1133">
        <v>56</v>
      </c>
      <c r="AG153" s="1127">
        <v>1</v>
      </c>
      <c r="AH153" s="1127">
        <v>0</v>
      </c>
      <c r="AI153" s="1127">
        <v>0</v>
      </c>
      <c r="AJ153" s="1127">
        <v>1</v>
      </c>
      <c r="AK153" s="1129">
        <v>41205.448000000004</v>
      </c>
      <c r="AL153" s="1129">
        <v>0</v>
      </c>
      <c r="AM153" s="1129">
        <v>0</v>
      </c>
      <c r="AN153" s="1129">
        <v>41205.448000000004</v>
      </c>
      <c r="AO153" s="1129" t="s">
        <v>85</v>
      </c>
      <c r="AP153" s="1129" t="s">
        <v>96</v>
      </c>
      <c r="AQ153" s="1157" t="s">
        <v>107</v>
      </c>
      <c r="AR153" s="1129" t="s">
        <v>87</v>
      </c>
      <c r="AS153" s="1127">
        <v>0.33333333333333331</v>
      </c>
      <c r="AT153" s="1127"/>
      <c r="AU153" s="1127">
        <v>0.33333333333333331</v>
      </c>
      <c r="AV153" s="1127"/>
      <c r="AW153" s="1127"/>
      <c r="AX153" s="1127"/>
      <c r="AY153" s="1127"/>
      <c r="AZ153" s="1127">
        <v>0.33333333333333331</v>
      </c>
      <c r="BA153" s="1129">
        <v>13735.149333333335</v>
      </c>
      <c r="BB153" s="1129">
        <v>0</v>
      </c>
      <c r="BC153" s="1129">
        <v>13735.149333333335</v>
      </c>
      <c r="BD153" s="1129">
        <v>0</v>
      </c>
      <c r="BE153" s="1129">
        <v>0</v>
      </c>
      <c r="BF153" s="1129">
        <v>0</v>
      </c>
      <c r="BG153" s="1129">
        <v>0</v>
      </c>
      <c r="BH153" s="1129">
        <v>13735.149333333335</v>
      </c>
      <c r="BI153" s="1981"/>
      <c r="BJ153" s="971"/>
      <c r="BK153" s="971"/>
      <c r="BL153" s="1246"/>
      <c r="BM153" s="1247" t="s">
        <v>2120</v>
      </c>
    </row>
    <row r="154" spans="1:65" s="1247" customFormat="1" ht="66" customHeight="1">
      <c r="A154" s="1272">
        <v>4000</v>
      </c>
      <c r="B154" s="971" t="s">
        <v>1316</v>
      </c>
      <c r="C154" s="1272">
        <v>4300</v>
      </c>
      <c r="D154" s="971" t="s">
        <v>222</v>
      </c>
      <c r="E154" s="971" t="s">
        <v>1471</v>
      </c>
      <c r="F154" s="971" t="s">
        <v>1466</v>
      </c>
      <c r="G154" s="971">
        <v>4381</v>
      </c>
      <c r="H154" s="971" t="s">
        <v>1467</v>
      </c>
      <c r="I154" s="1273"/>
      <c r="J154" s="971" t="s">
        <v>7249</v>
      </c>
      <c r="K154" s="971" t="s">
        <v>2120</v>
      </c>
      <c r="L154" s="971" t="s">
        <v>2121</v>
      </c>
      <c r="M154" s="971" t="s">
        <v>2120</v>
      </c>
      <c r="N154" s="971" t="s">
        <v>179</v>
      </c>
      <c r="O154" s="971" t="s">
        <v>2121</v>
      </c>
      <c r="P154" s="971" t="s">
        <v>2214</v>
      </c>
      <c r="Q154" s="971" t="s">
        <v>7431</v>
      </c>
      <c r="R154" s="971"/>
      <c r="S154" s="1274">
        <v>1</v>
      </c>
      <c r="T154" s="971" t="s">
        <v>242</v>
      </c>
      <c r="U154" s="1275">
        <v>168</v>
      </c>
      <c r="V154" s="1275">
        <v>2220</v>
      </c>
      <c r="W154" s="1275">
        <v>16785.448</v>
      </c>
      <c r="X154" s="1275">
        <v>22200</v>
      </c>
      <c r="Y154" s="1275">
        <v>41205.448000000004</v>
      </c>
      <c r="Z154" s="1129">
        <v>168</v>
      </c>
      <c r="AA154" s="1129">
        <v>2220</v>
      </c>
      <c r="AB154" s="1129">
        <v>16785.448</v>
      </c>
      <c r="AC154" s="1129">
        <v>22200</v>
      </c>
      <c r="AD154" s="1098">
        <v>41205.448000000004</v>
      </c>
      <c r="AE154" s="1237">
        <v>56</v>
      </c>
      <c r="AF154" s="1133">
        <v>56</v>
      </c>
      <c r="AG154" s="1127">
        <v>1</v>
      </c>
      <c r="AH154" s="1127">
        <v>0</v>
      </c>
      <c r="AI154" s="1127">
        <v>0</v>
      </c>
      <c r="AJ154" s="1127">
        <v>1</v>
      </c>
      <c r="AK154" s="1129">
        <v>41205.448000000004</v>
      </c>
      <c r="AL154" s="1129">
        <v>0</v>
      </c>
      <c r="AM154" s="1129">
        <v>0</v>
      </c>
      <c r="AN154" s="1129">
        <v>41205.448000000004</v>
      </c>
      <c r="AO154" s="1129" t="s">
        <v>85</v>
      </c>
      <c r="AP154" s="1129" t="s">
        <v>96</v>
      </c>
      <c r="AQ154" s="1157" t="s">
        <v>107</v>
      </c>
      <c r="AR154" s="1129" t="s">
        <v>87</v>
      </c>
      <c r="AS154" s="1127">
        <v>0.33333333333333331</v>
      </c>
      <c r="AT154" s="1127"/>
      <c r="AU154" s="1127">
        <v>0.33333333333333331</v>
      </c>
      <c r="AV154" s="1127"/>
      <c r="AW154" s="1127"/>
      <c r="AX154" s="1127"/>
      <c r="AY154" s="1127"/>
      <c r="AZ154" s="1127">
        <v>0.33333333333333331</v>
      </c>
      <c r="BA154" s="1129">
        <v>13735.149333333335</v>
      </c>
      <c r="BB154" s="1129">
        <v>0</v>
      </c>
      <c r="BC154" s="1129">
        <v>13735.149333333335</v>
      </c>
      <c r="BD154" s="1129">
        <v>0</v>
      </c>
      <c r="BE154" s="1129">
        <v>0</v>
      </c>
      <c r="BF154" s="1129">
        <v>0</v>
      </c>
      <c r="BG154" s="1129">
        <v>0</v>
      </c>
      <c r="BH154" s="1129">
        <v>13735.149333333335</v>
      </c>
      <c r="BI154" s="1981"/>
      <c r="BJ154" s="971"/>
      <c r="BK154" s="971"/>
      <c r="BL154" s="1246"/>
      <c r="BM154" s="1247" t="s">
        <v>2120</v>
      </c>
    </row>
    <row r="155" spans="1:65" s="1247" customFormat="1" ht="49.5" customHeight="1">
      <c r="A155" s="1272">
        <v>4000</v>
      </c>
      <c r="B155" s="971" t="s">
        <v>1316</v>
      </c>
      <c r="C155" s="1272">
        <v>4300</v>
      </c>
      <c r="D155" s="971" t="s">
        <v>222</v>
      </c>
      <c r="E155" s="971" t="s">
        <v>1471</v>
      </c>
      <c r="F155" s="971" t="s">
        <v>1466</v>
      </c>
      <c r="G155" s="971">
        <v>4381</v>
      </c>
      <c r="H155" s="971" t="s">
        <v>1467</v>
      </c>
      <c r="I155" s="1273"/>
      <c r="J155" s="971" t="s">
        <v>7407</v>
      </c>
      <c r="K155" s="971" t="s">
        <v>2120</v>
      </c>
      <c r="L155" s="971" t="s">
        <v>2121</v>
      </c>
      <c r="M155" s="971" t="s">
        <v>2120</v>
      </c>
      <c r="N155" s="971" t="s">
        <v>179</v>
      </c>
      <c r="O155" s="971" t="s">
        <v>2121</v>
      </c>
      <c r="P155" s="971" t="s">
        <v>7408</v>
      </c>
      <c r="Q155" s="971" t="s">
        <v>7432</v>
      </c>
      <c r="R155" s="971"/>
      <c r="S155" s="1274">
        <v>1</v>
      </c>
      <c r="T155" s="971" t="s">
        <v>242</v>
      </c>
      <c r="U155" s="1275">
        <v>168</v>
      </c>
      <c r="V155" s="1275">
        <v>2220</v>
      </c>
      <c r="W155" s="1275">
        <v>16785.448</v>
      </c>
      <c r="X155" s="1275">
        <v>22200</v>
      </c>
      <c r="Y155" s="1275">
        <v>41205.448000000004</v>
      </c>
      <c r="Z155" s="1129">
        <v>168</v>
      </c>
      <c r="AA155" s="1129">
        <v>2220</v>
      </c>
      <c r="AB155" s="1129">
        <v>16785.448</v>
      </c>
      <c r="AC155" s="1129">
        <v>22200</v>
      </c>
      <c r="AD155" s="1098">
        <v>41205.448000000004</v>
      </c>
      <c r="AE155" s="1237">
        <v>56</v>
      </c>
      <c r="AF155" s="1133">
        <v>56</v>
      </c>
      <c r="AG155" s="1127">
        <v>1</v>
      </c>
      <c r="AH155" s="1127">
        <v>0</v>
      </c>
      <c r="AI155" s="1127">
        <v>0</v>
      </c>
      <c r="AJ155" s="1127">
        <v>1</v>
      </c>
      <c r="AK155" s="1129">
        <v>41205.448000000004</v>
      </c>
      <c r="AL155" s="1129">
        <v>0</v>
      </c>
      <c r="AM155" s="1129">
        <v>0</v>
      </c>
      <c r="AN155" s="1129">
        <v>41205.448000000004</v>
      </c>
      <c r="AO155" s="1129" t="s">
        <v>85</v>
      </c>
      <c r="AP155" s="1129" t="s">
        <v>96</v>
      </c>
      <c r="AQ155" s="1157" t="s">
        <v>107</v>
      </c>
      <c r="AR155" s="1129" t="s">
        <v>87</v>
      </c>
      <c r="AS155" s="1127">
        <v>0.33333333333333331</v>
      </c>
      <c r="AT155" s="1127"/>
      <c r="AU155" s="1127">
        <v>0.33333333333333331</v>
      </c>
      <c r="AV155" s="1127"/>
      <c r="AW155" s="1127"/>
      <c r="AX155" s="1127"/>
      <c r="AY155" s="1127"/>
      <c r="AZ155" s="1127">
        <v>0.33333333333333331</v>
      </c>
      <c r="BA155" s="1129">
        <v>13735.149333333335</v>
      </c>
      <c r="BB155" s="1129">
        <v>0</v>
      </c>
      <c r="BC155" s="1129">
        <v>13735.149333333335</v>
      </c>
      <c r="BD155" s="1129">
        <v>0</v>
      </c>
      <c r="BE155" s="1129">
        <v>0</v>
      </c>
      <c r="BF155" s="1129">
        <v>0</v>
      </c>
      <c r="BG155" s="1129">
        <v>0</v>
      </c>
      <c r="BH155" s="1129">
        <v>13735.149333333335</v>
      </c>
      <c r="BI155" s="1981"/>
      <c r="BJ155" s="971"/>
      <c r="BK155" s="971"/>
      <c r="BL155" s="1246"/>
      <c r="BM155" s="1247" t="s">
        <v>2120</v>
      </c>
    </row>
    <row r="156" spans="1:65" s="1247" customFormat="1" ht="66" customHeight="1">
      <c r="A156" s="1272">
        <v>4000</v>
      </c>
      <c r="B156" s="971" t="s">
        <v>1316</v>
      </c>
      <c r="C156" s="1272">
        <v>4300</v>
      </c>
      <c r="D156" s="971" t="s">
        <v>222</v>
      </c>
      <c r="E156" s="971" t="s">
        <v>1471</v>
      </c>
      <c r="F156" s="971" t="s">
        <v>1466</v>
      </c>
      <c r="G156" s="971">
        <v>4382</v>
      </c>
      <c r="H156" s="971" t="s">
        <v>1502</v>
      </c>
      <c r="I156" s="1273" t="s">
        <v>7433</v>
      </c>
      <c r="J156" s="971" t="s">
        <v>7249</v>
      </c>
      <c r="K156" s="971" t="s">
        <v>2120</v>
      </c>
      <c r="L156" s="971" t="s">
        <v>2121</v>
      </c>
      <c r="M156" s="971" t="s">
        <v>2120</v>
      </c>
      <c r="N156" s="971" t="s">
        <v>179</v>
      </c>
      <c r="O156" s="971" t="s">
        <v>2121</v>
      </c>
      <c r="P156" s="971" t="s">
        <v>2214</v>
      </c>
      <c r="Q156" s="971" t="s">
        <v>7434</v>
      </c>
      <c r="R156" s="971" t="s">
        <v>4864</v>
      </c>
      <c r="S156" s="1274">
        <v>1</v>
      </c>
      <c r="T156" s="971" t="s">
        <v>242</v>
      </c>
      <c r="U156" s="1275">
        <v>168</v>
      </c>
      <c r="V156" s="1275">
        <v>2220</v>
      </c>
      <c r="W156" s="1275">
        <v>16785.448</v>
      </c>
      <c r="X156" s="1275">
        <v>22200</v>
      </c>
      <c r="Y156" s="1275">
        <v>41205.448000000004</v>
      </c>
      <c r="Z156" s="1129">
        <v>168</v>
      </c>
      <c r="AA156" s="1129">
        <v>2220</v>
      </c>
      <c r="AB156" s="1129">
        <v>16785.448</v>
      </c>
      <c r="AC156" s="1129">
        <v>22200</v>
      </c>
      <c r="AD156" s="1098">
        <v>41205.448000000004</v>
      </c>
      <c r="AE156" s="1237">
        <v>56</v>
      </c>
      <c r="AF156" s="1133">
        <v>56</v>
      </c>
      <c r="AG156" s="1127">
        <v>1</v>
      </c>
      <c r="AH156" s="1127">
        <v>0</v>
      </c>
      <c r="AI156" s="1127">
        <v>0</v>
      </c>
      <c r="AJ156" s="1127">
        <v>1</v>
      </c>
      <c r="AK156" s="1129">
        <v>41205.448000000004</v>
      </c>
      <c r="AL156" s="1129">
        <v>0</v>
      </c>
      <c r="AM156" s="1129">
        <v>0</v>
      </c>
      <c r="AN156" s="1129">
        <v>41205.448000000004</v>
      </c>
      <c r="AO156" s="1129" t="s">
        <v>85</v>
      </c>
      <c r="AP156" s="1129" t="s">
        <v>96</v>
      </c>
      <c r="AQ156" s="1157">
        <v>2014</v>
      </c>
      <c r="AR156" s="1129" t="s">
        <v>87</v>
      </c>
      <c r="AS156" s="1127">
        <v>0.33333333333333331</v>
      </c>
      <c r="AT156" s="1127"/>
      <c r="AU156" s="1127">
        <v>0.33333333333333331</v>
      </c>
      <c r="AV156" s="1127"/>
      <c r="AW156" s="1127"/>
      <c r="AX156" s="1127"/>
      <c r="AY156" s="1127"/>
      <c r="AZ156" s="1127">
        <v>0.33333333333333331</v>
      </c>
      <c r="BA156" s="1129">
        <v>13735.149333333335</v>
      </c>
      <c r="BB156" s="1129">
        <v>0</v>
      </c>
      <c r="BC156" s="1129">
        <v>13735.149333333335</v>
      </c>
      <c r="BD156" s="1129">
        <v>0</v>
      </c>
      <c r="BE156" s="1129">
        <v>0</v>
      </c>
      <c r="BF156" s="1129">
        <v>0</v>
      </c>
      <c r="BG156" s="1129">
        <v>0</v>
      </c>
      <c r="BH156" s="1129">
        <v>13735.149333333335</v>
      </c>
      <c r="BI156" s="1981"/>
      <c r="BJ156" s="971"/>
      <c r="BK156" s="971"/>
      <c r="BL156" s="1246"/>
      <c r="BM156" s="1247" t="s">
        <v>2120</v>
      </c>
    </row>
    <row r="157" spans="1:65" s="1247" customFormat="1" ht="49.5" customHeight="1">
      <c r="A157" s="1272">
        <v>4000</v>
      </c>
      <c r="B157" s="971" t="s">
        <v>1316</v>
      </c>
      <c r="C157" s="1272">
        <v>4300</v>
      </c>
      <c r="D157" s="971" t="s">
        <v>222</v>
      </c>
      <c r="E157" s="971" t="s">
        <v>1471</v>
      </c>
      <c r="F157" s="971" t="s">
        <v>1466</v>
      </c>
      <c r="G157" s="971">
        <v>4385</v>
      </c>
      <c r="H157" s="971" t="s">
        <v>1484</v>
      </c>
      <c r="I157" s="1273" t="s">
        <v>7435</v>
      </c>
      <c r="J157" s="971" t="s">
        <v>2143</v>
      </c>
      <c r="K157" s="971" t="s">
        <v>1768</v>
      </c>
      <c r="L157" s="971" t="s">
        <v>3420</v>
      </c>
      <c r="M157" s="971" t="s">
        <v>1768</v>
      </c>
      <c r="N157" s="971" t="s">
        <v>179</v>
      </c>
      <c r="O157" s="971" t="s">
        <v>1769</v>
      </c>
      <c r="P157" s="971" t="s">
        <v>6663</v>
      </c>
      <c r="Q157" s="971" t="s">
        <v>7436</v>
      </c>
      <c r="R157" s="971" t="s">
        <v>4872</v>
      </c>
      <c r="S157" s="1274">
        <v>1</v>
      </c>
      <c r="T157" s="971" t="s">
        <v>242</v>
      </c>
      <c r="U157" s="1275">
        <v>8.1</v>
      </c>
      <c r="V157" s="1275">
        <v>106.5</v>
      </c>
      <c r="W157" s="1275">
        <v>809.29838571428581</v>
      </c>
      <c r="X157" s="1275">
        <v>1065</v>
      </c>
      <c r="Y157" s="1275">
        <v>1980.7983857142858</v>
      </c>
      <c r="Z157" s="1129">
        <v>8.1</v>
      </c>
      <c r="AA157" s="1129">
        <v>106.5</v>
      </c>
      <c r="AB157" s="1129">
        <v>809.29838571428581</v>
      </c>
      <c r="AC157" s="1129">
        <v>1065</v>
      </c>
      <c r="AD157" s="1098">
        <v>1980.7983857142858</v>
      </c>
      <c r="AE157" s="1237">
        <v>0.5</v>
      </c>
      <c r="AF157" s="1133">
        <v>0.5</v>
      </c>
      <c r="AG157" s="1127">
        <v>1</v>
      </c>
      <c r="AH157" s="1127">
        <v>0</v>
      </c>
      <c r="AI157" s="1127">
        <v>0</v>
      </c>
      <c r="AJ157" s="1127">
        <v>1</v>
      </c>
      <c r="AK157" s="1129">
        <v>1980.7983857142858</v>
      </c>
      <c r="AL157" s="1129">
        <v>0</v>
      </c>
      <c r="AM157" s="1129">
        <v>0</v>
      </c>
      <c r="AN157" s="1129">
        <v>1980.7983857142858</v>
      </c>
      <c r="AO157" s="1129" t="s">
        <v>85</v>
      </c>
      <c r="AP157" s="1129" t="s">
        <v>96</v>
      </c>
      <c r="AQ157" s="1157">
        <v>2014</v>
      </c>
      <c r="AR157" s="1129" t="s">
        <v>87</v>
      </c>
      <c r="AS157" s="1127">
        <v>0.33333333333333331</v>
      </c>
      <c r="AT157" s="1127"/>
      <c r="AU157" s="1127">
        <v>0.33333333333333331</v>
      </c>
      <c r="AV157" s="1127"/>
      <c r="AW157" s="1127"/>
      <c r="AX157" s="1127"/>
      <c r="AY157" s="1127"/>
      <c r="AZ157" s="1127">
        <v>0.33333333333333331</v>
      </c>
      <c r="BA157" s="1129">
        <v>660.26612857142857</v>
      </c>
      <c r="BB157" s="1129">
        <v>0</v>
      </c>
      <c r="BC157" s="1129">
        <v>660.26612857142857</v>
      </c>
      <c r="BD157" s="1129">
        <v>0</v>
      </c>
      <c r="BE157" s="1129">
        <v>0</v>
      </c>
      <c r="BF157" s="1129">
        <v>0</v>
      </c>
      <c r="BG157" s="1129">
        <v>0</v>
      </c>
      <c r="BH157" s="1129">
        <v>660.26612857142857</v>
      </c>
      <c r="BI157" s="1981"/>
      <c r="BJ157" s="971"/>
      <c r="BK157" s="971"/>
      <c r="BL157" s="1246"/>
      <c r="BM157" s="1247" t="s">
        <v>1768</v>
      </c>
    </row>
    <row r="158" spans="1:65" s="1247" customFormat="1" ht="49.5" customHeight="1">
      <c r="A158" s="1272">
        <v>4000</v>
      </c>
      <c r="B158" s="971" t="s">
        <v>1316</v>
      </c>
      <c r="C158" s="1272">
        <v>4300</v>
      </c>
      <c r="D158" s="971" t="s">
        <v>222</v>
      </c>
      <c r="E158" s="971" t="s">
        <v>1471</v>
      </c>
      <c r="F158" s="971" t="s">
        <v>1466</v>
      </c>
      <c r="G158" s="971">
        <v>4385</v>
      </c>
      <c r="H158" s="971" t="s">
        <v>1484</v>
      </c>
      <c r="I158" s="1273" t="s">
        <v>7437</v>
      </c>
      <c r="J158" s="971" t="s">
        <v>2143</v>
      </c>
      <c r="K158" s="971" t="s">
        <v>1768</v>
      </c>
      <c r="L158" s="971" t="s">
        <v>3420</v>
      </c>
      <c r="M158" s="971" t="s">
        <v>1768</v>
      </c>
      <c r="N158" s="971" t="s">
        <v>179</v>
      </c>
      <c r="O158" s="971" t="s">
        <v>1769</v>
      </c>
      <c r="P158" s="971" t="s">
        <v>6663</v>
      </c>
      <c r="Q158" s="971" t="s">
        <v>7436</v>
      </c>
      <c r="R158" s="971" t="s">
        <v>4875</v>
      </c>
      <c r="S158" s="1274">
        <v>1</v>
      </c>
      <c r="T158" s="971" t="s">
        <v>242</v>
      </c>
      <c r="U158" s="1275">
        <v>8.1</v>
      </c>
      <c r="V158" s="1275">
        <v>106.5</v>
      </c>
      <c r="W158" s="1275">
        <v>809.29838571428581</v>
      </c>
      <c r="X158" s="1275">
        <v>1065</v>
      </c>
      <c r="Y158" s="1275">
        <v>1980.7983857142858</v>
      </c>
      <c r="Z158" s="1129">
        <v>8.1</v>
      </c>
      <c r="AA158" s="1129">
        <v>106.5</v>
      </c>
      <c r="AB158" s="1129">
        <v>809.29838571428581</v>
      </c>
      <c r="AC158" s="1129">
        <v>1065</v>
      </c>
      <c r="AD158" s="1098">
        <v>1980.7983857142858</v>
      </c>
      <c r="AE158" s="1237">
        <v>0.5</v>
      </c>
      <c r="AF158" s="1133">
        <v>0.5</v>
      </c>
      <c r="AG158" s="1127">
        <v>1</v>
      </c>
      <c r="AH158" s="1127">
        <v>0</v>
      </c>
      <c r="AI158" s="1127">
        <v>0</v>
      </c>
      <c r="AJ158" s="1127">
        <v>1</v>
      </c>
      <c r="AK158" s="1129">
        <v>1980.7983857142858</v>
      </c>
      <c r="AL158" s="1129">
        <v>0</v>
      </c>
      <c r="AM158" s="1129">
        <v>0</v>
      </c>
      <c r="AN158" s="1129">
        <v>1980.7983857142858</v>
      </c>
      <c r="AO158" s="1129" t="s">
        <v>85</v>
      </c>
      <c r="AP158" s="1129" t="s">
        <v>96</v>
      </c>
      <c r="AQ158" s="1157">
        <v>2014</v>
      </c>
      <c r="AR158" s="1129" t="s">
        <v>87</v>
      </c>
      <c r="AS158" s="1127">
        <v>0.33333333333333331</v>
      </c>
      <c r="AT158" s="1127"/>
      <c r="AU158" s="1127">
        <v>0.33333333333333331</v>
      </c>
      <c r="AV158" s="1127"/>
      <c r="AW158" s="1127"/>
      <c r="AX158" s="1127"/>
      <c r="AY158" s="1127"/>
      <c r="AZ158" s="1127">
        <v>0.33333333333333331</v>
      </c>
      <c r="BA158" s="1129">
        <v>660.26612857142857</v>
      </c>
      <c r="BB158" s="1129">
        <v>0</v>
      </c>
      <c r="BC158" s="1129">
        <v>660.26612857142857</v>
      </c>
      <c r="BD158" s="1129">
        <v>0</v>
      </c>
      <c r="BE158" s="1129">
        <v>0</v>
      </c>
      <c r="BF158" s="1129">
        <v>0</v>
      </c>
      <c r="BG158" s="1129">
        <v>0</v>
      </c>
      <c r="BH158" s="1129">
        <v>660.26612857142857</v>
      </c>
      <c r="BI158" s="1981"/>
      <c r="BJ158" s="971"/>
      <c r="BK158" s="971"/>
      <c r="BL158" s="1246"/>
      <c r="BM158" s="1247" t="s">
        <v>1768</v>
      </c>
    </row>
    <row r="159" spans="1:65" s="1247" customFormat="1" ht="66" customHeight="1">
      <c r="A159" s="1272">
        <v>4000</v>
      </c>
      <c r="B159" s="971" t="s">
        <v>1316</v>
      </c>
      <c r="C159" s="1272">
        <v>4400</v>
      </c>
      <c r="D159" s="971" t="s">
        <v>451</v>
      </c>
      <c r="E159" s="971" t="s">
        <v>1513</v>
      </c>
      <c r="F159" s="971" t="s">
        <v>1511</v>
      </c>
      <c r="G159" s="971" t="s">
        <v>1514</v>
      </c>
      <c r="H159" s="971" t="s">
        <v>1515</v>
      </c>
      <c r="I159" s="1273" t="s">
        <v>7438</v>
      </c>
      <c r="J159" s="971" t="s">
        <v>2143</v>
      </c>
      <c r="K159" s="971" t="s">
        <v>1768</v>
      </c>
      <c r="L159" s="971" t="s">
        <v>3420</v>
      </c>
      <c r="M159" s="971" t="s">
        <v>1768</v>
      </c>
      <c r="N159" s="971" t="s">
        <v>179</v>
      </c>
      <c r="O159" s="971" t="s">
        <v>1769</v>
      </c>
      <c r="P159" s="971" t="s">
        <v>6663</v>
      </c>
      <c r="Q159" s="971" t="s">
        <v>7439</v>
      </c>
      <c r="R159" s="971" t="s">
        <v>4876</v>
      </c>
      <c r="S159" s="1274">
        <v>1</v>
      </c>
      <c r="T159" s="971" t="s">
        <v>242</v>
      </c>
      <c r="U159" s="1275">
        <v>8.1</v>
      </c>
      <c r="V159" s="1275">
        <v>106.5</v>
      </c>
      <c r="W159" s="1275">
        <v>809.29838571428581</v>
      </c>
      <c r="X159" s="1275">
        <v>1065</v>
      </c>
      <c r="Y159" s="1275">
        <v>1980.7983857142858</v>
      </c>
      <c r="Z159" s="1129">
        <v>8.1</v>
      </c>
      <c r="AA159" s="1129">
        <v>106.5</v>
      </c>
      <c r="AB159" s="1129">
        <v>809.29838571428581</v>
      </c>
      <c r="AC159" s="1129">
        <v>1065</v>
      </c>
      <c r="AD159" s="1098">
        <v>1980.7983857142858</v>
      </c>
      <c r="AE159" s="1237">
        <v>0.5</v>
      </c>
      <c r="AF159" s="1133">
        <v>0.5</v>
      </c>
      <c r="AG159" s="1127">
        <v>1</v>
      </c>
      <c r="AH159" s="1127">
        <v>0</v>
      </c>
      <c r="AI159" s="1127">
        <v>0</v>
      </c>
      <c r="AJ159" s="1127">
        <v>1</v>
      </c>
      <c r="AK159" s="1129">
        <v>1980.7983857142858</v>
      </c>
      <c r="AL159" s="1129">
        <v>0</v>
      </c>
      <c r="AM159" s="1129">
        <v>0</v>
      </c>
      <c r="AN159" s="1129">
        <v>1980.7983857142858</v>
      </c>
      <c r="AO159" s="1129" t="s">
        <v>85</v>
      </c>
      <c r="AP159" s="1129" t="s">
        <v>96</v>
      </c>
      <c r="AQ159" s="1157">
        <v>2014</v>
      </c>
      <c r="AR159" s="1129" t="s">
        <v>87</v>
      </c>
      <c r="AS159" s="1127">
        <v>0.33333333333333331</v>
      </c>
      <c r="AT159" s="1127"/>
      <c r="AU159" s="1127">
        <v>0.33333333333333331</v>
      </c>
      <c r="AV159" s="1127"/>
      <c r="AW159" s="1127"/>
      <c r="AX159" s="1127"/>
      <c r="AY159" s="1127"/>
      <c r="AZ159" s="1127">
        <v>0.33333333333333331</v>
      </c>
      <c r="BA159" s="1129">
        <v>660.26612857142857</v>
      </c>
      <c r="BB159" s="1129">
        <v>0</v>
      </c>
      <c r="BC159" s="1129">
        <v>660.26612857142857</v>
      </c>
      <c r="BD159" s="1129">
        <v>0</v>
      </c>
      <c r="BE159" s="1129">
        <v>0</v>
      </c>
      <c r="BF159" s="1129">
        <v>0</v>
      </c>
      <c r="BG159" s="1129">
        <v>0</v>
      </c>
      <c r="BH159" s="1129">
        <v>660.26612857142857</v>
      </c>
      <c r="BI159" s="1981"/>
      <c r="BJ159" s="971"/>
      <c r="BK159" s="971"/>
      <c r="BL159" s="1246"/>
      <c r="BM159" s="1247" t="s">
        <v>1768</v>
      </c>
    </row>
    <row r="160" spans="1:65" s="1247" customFormat="1" ht="49.5" customHeight="1">
      <c r="A160" s="1272">
        <v>4000</v>
      </c>
      <c r="B160" s="971" t="s">
        <v>1316</v>
      </c>
      <c r="C160" s="1272">
        <v>4400</v>
      </c>
      <c r="D160" s="971" t="s">
        <v>451</v>
      </c>
      <c r="E160" s="971" t="s">
        <v>1513</v>
      </c>
      <c r="F160" s="971" t="s">
        <v>1511</v>
      </c>
      <c r="G160" s="971" t="s">
        <v>1514</v>
      </c>
      <c r="H160" s="971" t="s">
        <v>1515</v>
      </c>
      <c r="I160" s="1273" t="s">
        <v>7440</v>
      </c>
      <c r="J160" s="971" t="s">
        <v>239</v>
      </c>
      <c r="K160" s="971" t="s">
        <v>1768</v>
      </c>
      <c r="L160" s="971" t="s">
        <v>3420</v>
      </c>
      <c r="M160" s="971" t="s">
        <v>1768</v>
      </c>
      <c r="N160" s="971" t="s">
        <v>179</v>
      </c>
      <c r="O160" s="971" t="s">
        <v>1769</v>
      </c>
      <c r="P160" s="971" t="s">
        <v>6663</v>
      </c>
      <c r="Q160" s="971" t="s">
        <v>7257</v>
      </c>
      <c r="R160" s="971" t="s">
        <v>4879</v>
      </c>
      <c r="S160" s="1274">
        <v>1</v>
      </c>
      <c r="T160" s="971" t="s">
        <v>242</v>
      </c>
      <c r="U160" s="1275">
        <v>8.1</v>
      </c>
      <c r="V160" s="1275">
        <v>106.5</v>
      </c>
      <c r="W160" s="1275">
        <v>809.29838571428581</v>
      </c>
      <c r="X160" s="1275">
        <v>1065</v>
      </c>
      <c r="Y160" s="1275">
        <v>1980.7983857142858</v>
      </c>
      <c r="Z160" s="1129">
        <v>8.1</v>
      </c>
      <c r="AA160" s="1129">
        <v>106.5</v>
      </c>
      <c r="AB160" s="1129">
        <v>809.29838571428581</v>
      </c>
      <c r="AC160" s="1129">
        <v>1065</v>
      </c>
      <c r="AD160" s="1098">
        <v>1980.7983857142858</v>
      </c>
      <c r="AE160" s="1237">
        <v>0.5</v>
      </c>
      <c r="AF160" s="1133">
        <v>0.5</v>
      </c>
      <c r="AG160" s="1127">
        <v>1</v>
      </c>
      <c r="AH160" s="1127">
        <v>0</v>
      </c>
      <c r="AI160" s="1127">
        <v>0</v>
      </c>
      <c r="AJ160" s="1127">
        <v>1</v>
      </c>
      <c r="AK160" s="1129">
        <v>1980.7983857142858</v>
      </c>
      <c r="AL160" s="1129">
        <v>0</v>
      </c>
      <c r="AM160" s="1129">
        <v>0</v>
      </c>
      <c r="AN160" s="1129">
        <v>1980.7983857142858</v>
      </c>
      <c r="AO160" s="1129" t="s">
        <v>85</v>
      </c>
      <c r="AP160" s="1129" t="s">
        <v>96</v>
      </c>
      <c r="AQ160" s="1157">
        <v>2014</v>
      </c>
      <c r="AR160" s="1129" t="s">
        <v>87</v>
      </c>
      <c r="AS160" s="1127">
        <v>0.33333333333333331</v>
      </c>
      <c r="AT160" s="1127"/>
      <c r="AU160" s="1127">
        <v>0.33333333333333331</v>
      </c>
      <c r="AV160" s="1127"/>
      <c r="AW160" s="1127"/>
      <c r="AX160" s="1127"/>
      <c r="AY160" s="1127"/>
      <c r="AZ160" s="1127">
        <v>0.33333333333333331</v>
      </c>
      <c r="BA160" s="1129">
        <v>660.26612857142857</v>
      </c>
      <c r="BB160" s="1129">
        <v>0</v>
      </c>
      <c r="BC160" s="1129">
        <v>660.26612857142857</v>
      </c>
      <c r="BD160" s="1129">
        <v>0</v>
      </c>
      <c r="BE160" s="1129">
        <v>0</v>
      </c>
      <c r="BF160" s="1129">
        <v>0</v>
      </c>
      <c r="BG160" s="1129">
        <v>0</v>
      </c>
      <c r="BH160" s="1129">
        <v>660.26612857142857</v>
      </c>
      <c r="BI160" s="1981"/>
      <c r="BJ160" s="971"/>
      <c r="BK160" s="971"/>
      <c r="BL160" s="1246"/>
      <c r="BM160" s="1247" t="s">
        <v>1768</v>
      </c>
    </row>
    <row r="161" spans="1:65" s="1247" customFormat="1" ht="49.5" customHeight="1">
      <c r="A161" s="1272">
        <v>4000</v>
      </c>
      <c r="B161" s="971" t="s">
        <v>1316</v>
      </c>
      <c r="C161" s="1272">
        <v>4400</v>
      </c>
      <c r="D161" s="971" t="s">
        <v>451</v>
      </c>
      <c r="E161" s="971" t="s">
        <v>1513</v>
      </c>
      <c r="F161" s="971" t="s">
        <v>1511</v>
      </c>
      <c r="G161" s="971" t="s">
        <v>4883</v>
      </c>
      <c r="H161" s="971" t="s">
        <v>3574</v>
      </c>
      <c r="I161" s="1273" t="s">
        <v>7441</v>
      </c>
      <c r="J161" s="971" t="s">
        <v>7442</v>
      </c>
      <c r="K161" s="971" t="s">
        <v>2123</v>
      </c>
      <c r="L161" s="971" t="s">
        <v>2124</v>
      </c>
      <c r="M161" s="971" t="s">
        <v>2123</v>
      </c>
      <c r="N161" s="971" t="s">
        <v>179</v>
      </c>
      <c r="O161" s="971" t="s">
        <v>2124</v>
      </c>
      <c r="P161" s="971" t="s">
        <v>7443</v>
      </c>
      <c r="Q161" s="971" t="s">
        <v>7444</v>
      </c>
      <c r="R161" s="971" t="s">
        <v>4884</v>
      </c>
      <c r="S161" s="1274">
        <v>1</v>
      </c>
      <c r="T161" s="971" t="s">
        <v>242</v>
      </c>
      <c r="U161" s="1275">
        <v>19.2</v>
      </c>
      <c r="V161" s="1275">
        <v>213</v>
      </c>
      <c r="W161" s="1275">
        <v>1918.3369142857146</v>
      </c>
      <c r="X161" s="1275">
        <v>2130</v>
      </c>
      <c r="Y161" s="1275">
        <v>4261.3369142857146</v>
      </c>
      <c r="Z161" s="1129">
        <v>19.2</v>
      </c>
      <c r="AA161" s="1129">
        <v>213</v>
      </c>
      <c r="AB161" s="1129">
        <v>1918.3369142857146</v>
      </c>
      <c r="AC161" s="1129">
        <v>2130</v>
      </c>
      <c r="AD161" s="1098">
        <v>4261.3369142857146</v>
      </c>
      <c r="AE161" s="1237">
        <v>1</v>
      </c>
      <c r="AF161" s="1133">
        <v>1</v>
      </c>
      <c r="AG161" s="1127">
        <v>1</v>
      </c>
      <c r="AH161" s="1127">
        <v>0</v>
      </c>
      <c r="AI161" s="1127">
        <v>0</v>
      </c>
      <c r="AJ161" s="1127">
        <v>1</v>
      </c>
      <c r="AK161" s="1129">
        <v>4261.3369142857146</v>
      </c>
      <c r="AL161" s="1129">
        <v>0</v>
      </c>
      <c r="AM161" s="1129">
        <v>0</v>
      </c>
      <c r="AN161" s="1129">
        <v>4261.3369142857146</v>
      </c>
      <c r="AO161" s="1129" t="s">
        <v>85</v>
      </c>
      <c r="AP161" s="1129" t="s">
        <v>96</v>
      </c>
      <c r="AQ161" s="1157">
        <v>2014</v>
      </c>
      <c r="AR161" s="1129" t="s">
        <v>87</v>
      </c>
      <c r="AS161" s="1127">
        <v>0.33333333333333331</v>
      </c>
      <c r="AT161" s="1127"/>
      <c r="AU161" s="1127">
        <v>0.33333333333333331</v>
      </c>
      <c r="AV161" s="1127"/>
      <c r="AW161" s="1127"/>
      <c r="AX161" s="1127"/>
      <c r="AY161" s="1127"/>
      <c r="AZ161" s="1127">
        <v>0.33333333333333331</v>
      </c>
      <c r="BA161" s="1129">
        <v>1420.4456380952381</v>
      </c>
      <c r="BB161" s="1129">
        <v>0</v>
      </c>
      <c r="BC161" s="1129">
        <v>1420.4456380952381</v>
      </c>
      <c r="BD161" s="1129">
        <v>0</v>
      </c>
      <c r="BE161" s="1129">
        <v>0</v>
      </c>
      <c r="BF161" s="1129">
        <v>0</v>
      </c>
      <c r="BG161" s="1129">
        <v>0</v>
      </c>
      <c r="BH161" s="1129">
        <v>1420.4456380952381</v>
      </c>
      <c r="BI161" s="1981"/>
      <c r="BJ161" s="971"/>
      <c r="BK161" s="971"/>
      <c r="BL161" s="1246"/>
      <c r="BM161" s="1247" t="s">
        <v>2123</v>
      </c>
    </row>
    <row r="162" spans="1:65" s="1247" customFormat="1" ht="49.5" customHeight="1">
      <c r="A162" s="1272">
        <v>4000</v>
      </c>
      <c r="B162" s="971" t="s">
        <v>1316</v>
      </c>
      <c r="C162" s="1272">
        <v>4400</v>
      </c>
      <c r="D162" s="971" t="s">
        <v>451</v>
      </c>
      <c r="E162" s="971" t="s">
        <v>1513</v>
      </c>
      <c r="F162" s="971" t="s">
        <v>1511</v>
      </c>
      <c r="G162" s="971" t="s">
        <v>4883</v>
      </c>
      <c r="H162" s="971" t="s">
        <v>3574</v>
      </c>
      <c r="I162" s="1273" t="s">
        <v>7445</v>
      </c>
      <c r="J162" s="971" t="s">
        <v>7442</v>
      </c>
      <c r="K162" s="971" t="s">
        <v>2123</v>
      </c>
      <c r="L162" s="971" t="s">
        <v>2124</v>
      </c>
      <c r="M162" s="971" t="s">
        <v>2123</v>
      </c>
      <c r="N162" s="971" t="s">
        <v>179</v>
      </c>
      <c r="O162" s="971" t="s">
        <v>2124</v>
      </c>
      <c r="P162" s="971" t="s">
        <v>7446</v>
      </c>
      <c r="Q162" s="971" t="s">
        <v>7447</v>
      </c>
      <c r="R162" s="971" t="s">
        <v>4889</v>
      </c>
      <c r="S162" s="1274">
        <v>1</v>
      </c>
      <c r="T162" s="971" t="s">
        <v>242</v>
      </c>
      <c r="U162" s="1275">
        <v>19.2</v>
      </c>
      <c r="V162" s="1275">
        <v>213</v>
      </c>
      <c r="W162" s="1275">
        <v>1918.3369142857146</v>
      </c>
      <c r="X162" s="1275">
        <v>2130</v>
      </c>
      <c r="Y162" s="1275">
        <v>4261.3369142857146</v>
      </c>
      <c r="Z162" s="1129">
        <v>19.2</v>
      </c>
      <c r="AA162" s="1129">
        <v>213</v>
      </c>
      <c r="AB162" s="1129">
        <v>1918.3369142857146</v>
      </c>
      <c r="AC162" s="1129">
        <v>2130</v>
      </c>
      <c r="AD162" s="1098">
        <v>4261.3369142857146</v>
      </c>
      <c r="AE162" s="1237">
        <v>1</v>
      </c>
      <c r="AF162" s="1133">
        <v>1</v>
      </c>
      <c r="AG162" s="1127">
        <v>1</v>
      </c>
      <c r="AH162" s="1127">
        <v>0</v>
      </c>
      <c r="AI162" s="1127">
        <v>0</v>
      </c>
      <c r="AJ162" s="1127">
        <v>1</v>
      </c>
      <c r="AK162" s="1129">
        <v>4261.3369142857146</v>
      </c>
      <c r="AL162" s="1129">
        <v>0</v>
      </c>
      <c r="AM162" s="1129">
        <v>0</v>
      </c>
      <c r="AN162" s="1129">
        <v>4261.3369142857146</v>
      </c>
      <c r="AO162" s="1129" t="s">
        <v>85</v>
      </c>
      <c r="AP162" s="1129" t="s">
        <v>96</v>
      </c>
      <c r="AQ162" s="1157">
        <v>2014</v>
      </c>
      <c r="AR162" s="1129" t="s">
        <v>87</v>
      </c>
      <c r="AS162" s="1127">
        <v>0.33333333333333331</v>
      </c>
      <c r="AT162" s="1127"/>
      <c r="AU162" s="1127">
        <v>0.33333333333333331</v>
      </c>
      <c r="AV162" s="1127"/>
      <c r="AW162" s="1127"/>
      <c r="AX162" s="1127"/>
      <c r="AY162" s="1127"/>
      <c r="AZ162" s="1127">
        <v>0.33333333333333331</v>
      </c>
      <c r="BA162" s="1129">
        <v>1420.4456380952381</v>
      </c>
      <c r="BB162" s="1129">
        <v>0</v>
      </c>
      <c r="BC162" s="1129">
        <v>1420.4456380952381</v>
      </c>
      <c r="BD162" s="1129">
        <v>0</v>
      </c>
      <c r="BE162" s="1129">
        <v>0</v>
      </c>
      <c r="BF162" s="1129">
        <v>0</v>
      </c>
      <c r="BG162" s="1129">
        <v>0</v>
      </c>
      <c r="BH162" s="1129">
        <v>1420.4456380952381</v>
      </c>
      <c r="BI162" s="1981"/>
      <c r="BJ162" s="971"/>
      <c r="BK162" s="971"/>
      <c r="BL162" s="1246"/>
      <c r="BM162" s="1247" t="s">
        <v>2123</v>
      </c>
    </row>
    <row r="163" spans="1:65" s="1247" customFormat="1" ht="49.5" customHeight="1">
      <c r="A163" s="1272">
        <v>4000</v>
      </c>
      <c r="B163" s="971" t="s">
        <v>1316</v>
      </c>
      <c r="C163" s="1272">
        <v>4400</v>
      </c>
      <c r="D163" s="971" t="s">
        <v>451</v>
      </c>
      <c r="E163" s="971" t="s">
        <v>1513</v>
      </c>
      <c r="F163" s="971" t="s">
        <v>1511</v>
      </c>
      <c r="G163" s="971" t="s">
        <v>4883</v>
      </c>
      <c r="H163" s="971" t="s">
        <v>3574</v>
      </c>
      <c r="I163" s="1273" t="s">
        <v>7448</v>
      </c>
      <c r="J163" s="971" t="s">
        <v>7442</v>
      </c>
      <c r="K163" s="971" t="s">
        <v>2123</v>
      </c>
      <c r="L163" s="971" t="s">
        <v>2124</v>
      </c>
      <c r="M163" s="971" t="s">
        <v>2123</v>
      </c>
      <c r="N163" s="971" t="s">
        <v>179</v>
      </c>
      <c r="O163" s="971" t="s">
        <v>2124</v>
      </c>
      <c r="P163" s="971" t="s">
        <v>7446</v>
      </c>
      <c r="Q163" s="971" t="s">
        <v>7449</v>
      </c>
      <c r="R163" s="971" t="s">
        <v>4892</v>
      </c>
      <c r="S163" s="1274">
        <v>1</v>
      </c>
      <c r="T163" s="971" t="s">
        <v>242</v>
      </c>
      <c r="U163" s="1275">
        <v>19.2</v>
      </c>
      <c r="V163" s="1275">
        <v>213</v>
      </c>
      <c r="W163" s="1275">
        <v>1918.3369142857146</v>
      </c>
      <c r="X163" s="1275">
        <v>2130</v>
      </c>
      <c r="Y163" s="1275">
        <v>4261.3369142857146</v>
      </c>
      <c r="Z163" s="1129">
        <v>19.2</v>
      </c>
      <c r="AA163" s="1129">
        <v>213</v>
      </c>
      <c r="AB163" s="1129">
        <v>1918.3369142857146</v>
      </c>
      <c r="AC163" s="1129">
        <v>2130</v>
      </c>
      <c r="AD163" s="1098">
        <v>4261.3369142857146</v>
      </c>
      <c r="AE163" s="1237">
        <v>1</v>
      </c>
      <c r="AF163" s="1133">
        <v>1</v>
      </c>
      <c r="AG163" s="1127">
        <v>1</v>
      </c>
      <c r="AH163" s="1127">
        <v>0</v>
      </c>
      <c r="AI163" s="1127">
        <v>0</v>
      </c>
      <c r="AJ163" s="1127">
        <v>1</v>
      </c>
      <c r="AK163" s="1129">
        <v>4261.3369142857146</v>
      </c>
      <c r="AL163" s="1129">
        <v>0</v>
      </c>
      <c r="AM163" s="1129">
        <v>0</v>
      </c>
      <c r="AN163" s="1129">
        <v>4261.3369142857146</v>
      </c>
      <c r="AO163" s="1129" t="s">
        <v>85</v>
      </c>
      <c r="AP163" s="1129" t="s">
        <v>96</v>
      </c>
      <c r="AQ163" s="1157">
        <v>2014</v>
      </c>
      <c r="AR163" s="1129" t="s">
        <v>87</v>
      </c>
      <c r="AS163" s="1127">
        <v>0.33333333333333331</v>
      </c>
      <c r="AT163" s="1127"/>
      <c r="AU163" s="1127">
        <v>0.33333333333333331</v>
      </c>
      <c r="AV163" s="1127"/>
      <c r="AW163" s="1127"/>
      <c r="AX163" s="1127"/>
      <c r="AY163" s="1127"/>
      <c r="AZ163" s="1127">
        <v>0.33333333333333331</v>
      </c>
      <c r="BA163" s="1129">
        <v>1420.4456380952381</v>
      </c>
      <c r="BB163" s="1129">
        <v>0</v>
      </c>
      <c r="BC163" s="1129">
        <v>1420.4456380952381</v>
      </c>
      <c r="BD163" s="1129">
        <v>0</v>
      </c>
      <c r="BE163" s="1129">
        <v>0</v>
      </c>
      <c r="BF163" s="1129">
        <v>0</v>
      </c>
      <c r="BG163" s="1129">
        <v>0</v>
      </c>
      <c r="BH163" s="1129">
        <v>1420.4456380952381</v>
      </c>
      <c r="BI163" s="1981"/>
      <c r="BJ163" s="971"/>
      <c r="BK163" s="971"/>
      <c r="BL163" s="1246"/>
      <c r="BM163" s="1247" t="s">
        <v>2123</v>
      </c>
    </row>
    <row r="164" spans="1:65" s="1247" customFormat="1" ht="49.5" customHeight="1">
      <c r="A164" s="1272">
        <v>4000</v>
      </c>
      <c r="B164" s="971" t="s">
        <v>1316</v>
      </c>
      <c r="C164" s="1272">
        <v>4500</v>
      </c>
      <c r="D164" s="971" t="s">
        <v>452</v>
      </c>
      <c r="E164" s="971" t="s">
        <v>1546</v>
      </c>
      <c r="F164" s="971" t="s">
        <v>454</v>
      </c>
      <c r="G164" s="971" t="s">
        <v>4901</v>
      </c>
      <c r="H164" s="971" t="s">
        <v>454</v>
      </c>
      <c r="I164" s="1273" t="s">
        <v>7450</v>
      </c>
      <c r="J164" s="971" t="s">
        <v>2143</v>
      </c>
      <c r="K164" s="971" t="s">
        <v>1768</v>
      </c>
      <c r="L164" s="971" t="s">
        <v>3420</v>
      </c>
      <c r="M164" s="971" t="s">
        <v>1768</v>
      </c>
      <c r="N164" s="971" t="s">
        <v>179</v>
      </c>
      <c r="O164" s="971" t="s">
        <v>1769</v>
      </c>
      <c r="P164" s="971" t="s">
        <v>6663</v>
      </c>
      <c r="Q164" s="971" t="s">
        <v>7253</v>
      </c>
      <c r="R164" s="971" t="s">
        <v>4902</v>
      </c>
      <c r="S164" s="1274">
        <v>1</v>
      </c>
      <c r="T164" s="971" t="s">
        <v>242</v>
      </c>
      <c r="U164" s="1275">
        <v>8.1</v>
      </c>
      <c r="V164" s="1275">
        <v>106.5</v>
      </c>
      <c r="W164" s="1275">
        <v>809.29838571428581</v>
      </c>
      <c r="X164" s="1275">
        <v>1065</v>
      </c>
      <c r="Y164" s="1275">
        <v>1980.7983857142858</v>
      </c>
      <c r="Z164" s="1129">
        <v>8.1</v>
      </c>
      <c r="AA164" s="1129">
        <v>106.5</v>
      </c>
      <c r="AB164" s="1129">
        <v>809.29838571428581</v>
      </c>
      <c r="AC164" s="1129">
        <v>1065</v>
      </c>
      <c r="AD164" s="1098">
        <v>1980.7983857142858</v>
      </c>
      <c r="AE164" s="1237">
        <v>0.5</v>
      </c>
      <c r="AF164" s="1133">
        <v>0.5</v>
      </c>
      <c r="AG164" s="1127">
        <v>1</v>
      </c>
      <c r="AH164" s="1127">
        <v>0</v>
      </c>
      <c r="AI164" s="1127">
        <v>0</v>
      </c>
      <c r="AJ164" s="1127">
        <v>1</v>
      </c>
      <c r="AK164" s="1129">
        <v>1980.7983857142858</v>
      </c>
      <c r="AL164" s="1129">
        <v>0</v>
      </c>
      <c r="AM164" s="1129">
        <v>0</v>
      </c>
      <c r="AN164" s="1129">
        <v>1980.7983857142858</v>
      </c>
      <c r="AO164" s="1129" t="s">
        <v>85</v>
      </c>
      <c r="AP164" s="1129" t="s">
        <v>96</v>
      </c>
      <c r="AQ164" s="1157">
        <v>2014</v>
      </c>
      <c r="AR164" s="1129" t="s">
        <v>87</v>
      </c>
      <c r="AS164" s="1127">
        <v>0.5</v>
      </c>
      <c r="AT164" s="1127">
        <v>0.5</v>
      </c>
      <c r="AU164" s="1127"/>
      <c r="AV164" s="1127"/>
      <c r="AW164" s="1127"/>
      <c r="AX164" s="1127"/>
      <c r="AY164" s="1127"/>
      <c r="AZ164" s="1127"/>
      <c r="BA164" s="1129">
        <v>990.39919285714291</v>
      </c>
      <c r="BB164" s="1129">
        <v>990.39919285714291</v>
      </c>
      <c r="BC164" s="1129">
        <v>0</v>
      </c>
      <c r="BD164" s="1129">
        <v>0</v>
      </c>
      <c r="BE164" s="1129">
        <v>0</v>
      </c>
      <c r="BF164" s="1129">
        <v>0</v>
      </c>
      <c r="BG164" s="1129">
        <v>0</v>
      </c>
      <c r="BH164" s="1129">
        <v>0</v>
      </c>
      <c r="BI164" s="1981"/>
      <c r="BJ164" s="971"/>
      <c r="BK164" s="971"/>
      <c r="BL164" s="1246"/>
      <c r="BM164" s="1247" t="s">
        <v>1768</v>
      </c>
    </row>
    <row r="165" spans="1:65" s="1247" customFormat="1" ht="49.5" customHeight="1">
      <c r="A165" s="1272">
        <v>4000</v>
      </c>
      <c r="B165" s="971" t="s">
        <v>1316</v>
      </c>
      <c r="C165" s="1272">
        <v>4500</v>
      </c>
      <c r="D165" s="971" t="s">
        <v>452</v>
      </c>
      <c r="E165" s="971" t="s">
        <v>1546</v>
      </c>
      <c r="F165" s="971" t="s">
        <v>454</v>
      </c>
      <c r="G165" s="971" t="s">
        <v>4904</v>
      </c>
      <c r="H165" s="971" t="s">
        <v>565</v>
      </c>
      <c r="I165" s="1273" t="s">
        <v>7451</v>
      </c>
      <c r="J165" s="971" t="s">
        <v>7452</v>
      </c>
      <c r="K165" s="971" t="s">
        <v>1768</v>
      </c>
      <c r="L165" s="971" t="s">
        <v>3420</v>
      </c>
      <c r="M165" s="971" t="s">
        <v>1768</v>
      </c>
      <c r="N165" s="971" t="s">
        <v>179</v>
      </c>
      <c r="O165" s="971" t="s">
        <v>1769</v>
      </c>
      <c r="P165" s="971" t="s">
        <v>7453</v>
      </c>
      <c r="Q165" s="971" t="s">
        <v>7454</v>
      </c>
      <c r="R165" s="971" t="s">
        <v>4905</v>
      </c>
      <c r="S165" s="1274">
        <v>1</v>
      </c>
      <c r="T165" s="971" t="s">
        <v>242</v>
      </c>
      <c r="U165" s="1275">
        <v>8.1</v>
      </c>
      <c r="V165" s="1275">
        <v>106.5</v>
      </c>
      <c r="W165" s="1275">
        <v>809.29838571428581</v>
      </c>
      <c r="X165" s="1275">
        <v>1065</v>
      </c>
      <c r="Y165" s="1275">
        <v>1980.7983857142858</v>
      </c>
      <c r="Z165" s="1129">
        <v>8.1</v>
      </c>
      <c r="AA165" s="1129">
        <v>106.5</v>
      </c>
      <c r="AB165" s="1129">
        <v>809.29838571428581</v>
      </c>
      <c r="AC165" s="1129">
        <v>1065</v>
      </c>
      <c r="AD165" s="1098">
        <v>1980.7983857142858</v>
      </c>
      <c r="AE165" s="1237">
        <v>0.5</v>
      </c>
      <c r="AF165" s="1133">
        <v>0.5</v>
      </c>
      <c r="AG165" s="1127">
        <v>1</v>
      </c>
      <c r="AH165" s="1127">
        <v>0</v>
      </c>
      <c r="AI165" s="1127">
        <v>0</v>
      </c>
      <c r="AJ165" s="1127">
        <v>1</v>
      </c>
      <c r="AK165" s="1129">
        <v>1980.7983857142858</v>
      </c>
      <c r="AL165" s="1129">
        <v>0</v>
      </c>
      <c r="AM165" s="1129">
        <v>0</v>
      </c>
      <c r="AN165" s="1129">
        <v>1980.7983857142858</v>
      </c>
      <c r="AO165" s="1129" t="s">
        <v>85</v>
      </c>
      <c r="AP165" s="1129" t="s">
        <v>96</v>
      </c>
      <c r="AQ165" s="1157">
        <v>2014</v>
      </c>
      <c r="AR165" s="1129" t="s">
        <v>87</v>
      </c>
      <c r="AS165" s="1127">
        <v>0.33333333333333331</v>
      </c>
      <c r="AT165" s="1127"/>
      <c r="AU165" s="1127">
        <v>0.33333333333333331</v>
      </c>
      <c r="AV165" s="1127"/>
      <c r="AW165" s="1127"/>
      <c r="AX165" s="1127"/>
      <c r="AY165" s="1127"/>
      <c r="AZ165" s="1127">
        <v>0.33333333333333331</v>
      </c>
      <c r="BA165" s="1129">
        <v>660.26612857142857</v>
      </c>
      <c r="BB165" s="1129">
        <v>0</v>
      </c>
      <c r="BC165" s="1129">
        <v>660.26612857142857</v>
      </c>
      <c r="BD165" s="1129">
        <v>0</v>
      </c>
      <c r="BE165" s="1129">
        <v>0</v>
      </c>
      <c r="BF165" s="1129">
        <v>0</v>
      </c>
      <c r="BG165" s="1129">
        <v>0</v>
      </c>
      <c r="BH165" s="1129">
        <v>660.26612857142857</v>
      </c>
      <c r="BI165" s="1981"/>
      <c r="BJ165" s="971"/>
      <c r="BK165" s="971"/>
      <c r="BL165" s="1246"/>
      <c r="BM165" s="1247" t="s">
        <v>1768</v>
      </c>
    </row>
    <row r="166" spans="1:65" s="1247" customFormat="1" ht="49.5" customHeight="1">
      <c r="A166" s="1272">
        <v>4000</v>
      </c>
      <c r="B166" s="971" t="s">
        <v>1316</v>
      </c>
      <c r="C166" s="1272">
        <v>4500</v>
      </c>
      <c r="D166" s="971" t="s">
        <v>452</v>
      </c>
      <c r="E166" s="971" t="s">
        <v>1546</v>
      </c>
      <c r="F166" s="971" t="s">
        <v>454</v>
      </c>
      <c r="G166" s="971" t="s">
        <v>4904</v>
      </c>
      <c r="H166" s="971" t="s">
        <v>565</v>
      </c>
      <c r="I166" s="1273" t="s">
        <v>7455</v>
      </c>
      <c r="J166" s="971" t="s">
        <v>7452</v>
      </c>
      <c r="K166" s="971" t="s">
        <v>1768</v>
      </c>
      <c r="L166" s="971" t="s">
        <v>3420</v>
      </c>
      <c r="M166" s="971" t="s">
        <v>1768</v>
      </c>
      <c r="N166" s="971" t="s">
        <v>179</v>
      </c>
      <c r="O166" s="971" t="s">
        <v>1769</v>
      </c>
      <c r="P166" s="971" t="s">
        <v>7453</v>
      </c>
      <c r="Q166" s="971" t="s">
        <v>7454</v>
      </c>
      <c r="R166" s="971" t="s">
        <v>4911</v>
      </c>
      <c r="S166" s="1274">
        <v>1</v>
      </c>
      <c r="T166" s="971" t="s">
        <v>242</v>
      </c>
      <c r="U166" s="1275">
        <v>8.1</v>
      </c>
      <c r="V166" s="1275">
        <v>106.5</v>
      </c>
      <c r="W166" s="1275">
        <v>809.29838571428581</v>
      </c>
      <c r="X166" s="1275">
        <v>1065</v>
      </c>
      <c r="Y166" s="1275">
        <v>1980.7983857142858</v>
      </c>
      <c r="Z166" s="1129">
        <v>8.1</v>
      </c>
      <c r="AA166" s="1129">
        <v>106.5</v>
      </c>
      <c r="AB166" s="1129">
        <v>809.29838571428581</v>
      </c>
      <c r="AC166" s="1129">
        <v>1065</v>
      </c>
      <c r="AD166" s="1098">
        <v>1980.7983857142858</v>
      </c>
      <c r="AE166" s="1237">
        <v>0.5</v>
      </c>
      <c r="AF166" s="1133">
        <v>0.5</v>
      </c>
      <c r="AG166" s="1127">
        <v>1</v>
      </c>
      <c r="AH166" s="1127">
        <v>0</v>
      </c>
      <c r="AI166" s="1127">
        <v>0</v>
      </c>
      <c r="AJ166" s="1127">
        <v>1</v>
      </c>
      <c r="AK166" s="1129">
        <v>1980.7983857142858</v>
      </c>
      <c r="AL166" s="1129">
        <v>0</v>
      </c>
      <c r="AM166" s="1129">
        <v>0</v>
      </c>
      <c r="AN166" s="1129">
        <v>1980.7983857142858</v>
      </c>
      <c r="AO166" s="1129" t="s">
        <v>85</v>
      </c>
      <c r="AP166" s="1129" t="s">
        <v>96</v>
      </c>
      <c r="AQ166" s="1157">
        <v>2014</v>
      </c>
      <c r="AR166" s="1129" t="s">
        <v>87</v>
      </c>
      <c r="AS166" s="1127">
        <v>0.33333333333333331</v>
      </c>
      <c r="AT166" s="1127"/>
      <c r="AU166" s="1127">
        <v>0.33333333333333331</v>
      </c>
      <c r="AV166" s="1127"/>
      <c r="AW166" s="1127"/>
      <c r="AX166" s="1127"/>
      <c r="AY166" s="1127"/>
      <c r="AZ166" s="1127">
        <v>0.33333333333333331</v>
      </c>
      <c r="BA166" s="1129">
        <v>660.26612857142857</v>
      </c>
      <c r="BB166" s="1129">
        <v>0</v>
      </c>
      <c r="BC166" s="1129">
        <v>660.26612857142857</v>
      </c>
      <c r="BD166" s="1129">
        <v>0</v>
      </c>
      <c r="BE166" s="1129">
        <v>0</v>
      </c>
      <c r="BF166" s="1129">
        <v>0</v>
      </c>
      <c r="BG166" s="1129">
        <v>0</v>
      </c>
      <c r="BH166" s="1129">
        <v>660.26612857142857</v>
      </c>
      <c r="BI166" s="1981"/>
      <c r="BJ166" s="971"/>
      <c r="BK166" s="971"/>
      <c r="BL166" s="1246"/>
      <c r="BM166" s="1247" t="s">
        <v>1768</v>
      </c>
    </row>
    <row r="167" spans="1:65" s="1247" customFormat="1" ht="49.5" customHeight="1">
      <c r="A167" s="1272">
        <v>4000</v>
      </c>
      <c r="B167" s="971" t="s">
        <v>1316</v>
      </c>
      <c r="C167" s="1272">
        <v>4500</v>
      </c>
      <c r="D167" s="971" t="s">
        <v>452</v>
      </c>
      <c r="E167" s="971" t="s">
        <v>1546</v>
      </c>
      <c r="F167" s="971" t="s">
        <v>454</v>
      </c>
      <c r="G167" s="971" t="s">
        <v>4904</v>
      </c>
      <c r="H167" s="971" t="s">
        <v>565</v>
      </c>
      <c r="I167" s="1273" t="s">
        <v>7456</v>
      </c>
      <c r="J167" s="971" t="s">
        <v>7452</v>
      </c>
      <c r="K167" s="971" t="s">
        <v>1768</v>
      </c>
      <c r="L167" s="971" t="s">
        <v>3420</v>
      </c>
      <c r="M167" s="971" t="s">
        <v>1768</v>
      </c>
      <c r="N167" s="971" t="s">
        <v>179</v>
      </c>
      <c r="O167" s="971" t="s">
        <v>1769</v>
      </c>
      <c r="P167" s="971" t="s">
        <v>7453</v>
      </c>
      <c r="Q167" s="971" t="s">
        <v>7457</v>
      </c>
      <c r="R167" s="971" t="s">
        <v>4912</v>
      </c>
      <c r="S167" s="1274">
        <v>1</v>
      </c>
      <c r="T167" s="971" t="s">
        <v>242</v>
      </c>
      <c r="U167" s="1275">
        <v>8.1</v>
      </c>
      <c r="V167" s="1275">
        <v>106.5</v>
      </c>
      <c r="W167" s="1275">
        <v>809.29838571428581</v>
      </c>
      <c r="X167" s="1275">
        <v>1065</v>
      </c>
      <c r="Y167" s="1275">
        <v>1980.7983857142858</v>
      </c>
      <c r="Z167" s="1129">
        <v>8.1</v>
      </c>
      <c r="AA167" s="1129">
        <v>106.5</v>
      </c>
      <c r="AB167" s="1129">
        <v>809.29838571428581</v>
      </c>
      <c r="AC167" s="1129">
        <v>1065</v>
      </c>
      <c r="AD167" s="1098">
        <v>1980.7983857142858</v>
      </c>
      <c r="AE167" s="1237">
        <v>0.5</v>
      </c>
      <c r="AF167" s="1133">
        <v>0.5</v>
      </c>
      <c r="AG167" s="1127">
        <v>1</v>
      </c>
      <c r="AH167" s="1127">
        <v>0</v>
      </c>
      <c r="AI167" s="1127">
        <v>0</v>
      </c>
      <c r="AJ167" s="1127">
        <v>1</v>
      </c>
      <c r="AK167" s="1129">
        <v>1980.7983857142858</v>
      </c>
      <c r="AL167" s="1129">
        <v>0</v>
      </c>
      <c r="AM167" s="1129">
        <v>0</v>
      </c>
      <c r="AN167" s="1129">
        <v>1980.7983857142858</v>
      </c>
      <c r="AO167" s="1129" t="s">
        <v>85</v>
      </c>
      <c r="AP167" s="1129" t="s">
        <v>96</v>
      </c>
      <c r="AQ167" s="1157">
        <v>2014</v>
      </c>
      <c r="AR167" s="1129" t="s">
        <v>87</v>
      </c>
      <c r="AS167" s="1127">
        <v>0.33333333333333331</v>
      </c>
      <c r="AT167" s="1127"/>
      <c r="AU167" s="1127">
        <v>0.33333333333333331</v>
      </c>
      <c r="AV167" s="1127"/>
      <c r="AW167" s="1127"/>
      <c r="AX167" s="1127"/>
      <c r="AY167" s="1127"/>
      <c r="AZ167" s="1127">
        <v>0.33333333333333331</v>
      </c>
      <c r="BA167" s="1129">
        <v>660.26612857142857</v>
      </c>
      <c r="BB167" s="1129">
        <v>0</v>
      </c>
      <c r="BC167" s="1129">
        <v>660.26612857142857</v>
      </c>
      <c r="BD167" s="1129">
        <v>0</v>
      </c>
      <c r="BE167" s="1129">
        <v>0</v>
      </c>
      <c r="BF167" s="1129">
        <v>0</v>
      </c>
      <c r="BG167" s="1129">
        <v>0</v>
      </c>
      <c r="BH167" s="1129">
        <v>660.26612857142857</v>
      </c>
      <c r="BI167" s="1981"/>
      <c r="BJ167" s="971"/>
      <c r="BK167" s="971"/>
      <c r="BL167" s="1246"/>
      <c r="BM167" s="1247" t="s">
        <v>1768</v>
      </c>
    </row>
    <row r="168" spans="1:65" s="1247" customFormat="1" ht="49.5" customHeight="1">
      <c r="A168" s="1272">
        <v>4000</v>
      </c>
      <c r="B168" s="971" t="s">
        <v>1316</v>
      </c>
      <c r="C168" s="1272">
        <v>4500</v>
      </c>
      <c r="D168" s="971" t="s">
        <v>452</v>
      </c>
      <c r="E168" s="971" t="s">
        <v>1546</v>
      </c>
      <c r="F168" s="971" t="s">
        <v>454</v>
      </c>
      <c r="G168" s="971" t="s">
        <v>4904</v>
      </c>
      <c r="H168" s="971" t="s">
        <v>565</v>
      </c>
      <c r="I168" s="1273" t="s">
        <v>7458</v>
      </c>
      <c r="J168" s="971" t="s">
        <v>7452</v>
      </c>
      <c r="K168" s="971" t="s">
        <v>1768</v>
      </c>
      <c r="L168" s="971" t="s">
        <v>3420</v>
      </c>
      <c r="M168" s="971" t="s">
        <v>1768</v>
      </c>
      <c r="N168" s="971" t="s">
        <v>179</v>
      </c>
      <c r="O168" s="971" t="s">
        <v>1769</v>
      </c>
      <c r="P168" s="971" t="s">
        <v>7453</v>
      </c>
      <c r="Q168" s="971" t="s">
        <v>7459</v>
      </c>
      <c r="R168" s="971" t="s">
        <v>4916</v>
      </c>
      <c r="S168" s="1274">
        <v>1</v>
      </c>
      <c r="T168" s="971" t="s">
        <v>242</v>
      </c>
      <c r="U168" s="1275">
        <v>8.1</v>
      </c>
      <c r="V168" s="1275">
        <v>106.5</v>
      </c>
      <c r="W168" s="1275">
        <v>809.29838571428581</v>
      </c>
      <c r="X168" s="1275">
        <v>1065</v>
      </c>
      <c r="Y168" s="1275">
        <v>1980.7983857142858</v>
      </c>
      <c r="Z168" s="1129">
        <v>8.1</v>
      </c>
      <c r="AA168" s="1129">
        <v>106.5</v>
      </c>
      <c r="AB168" s="1129">
        <v>809.29838571428581</v>
      </c>
      <c r="AC168" s="1129">
        <v>1065</v>
      </c>
      <c r="AD168" s="1098">
        <v>1980.7983857142858</v>
      </c>
      <c r="AE168" s="1237">
        <v>0.5</v>
      </c>
      <c r="AF168" s="1133">
        <v>0.5</v>
      </c>
      <c r="AG168" s="1127">
        <v>1</v>
      </c>
      <c r="AH168" s="1127">
        <v>0</v>
      </c>
      <c r="AI168" s="1127">
        <v>0</v>
      </c>
      <c r="AJ168" s="1127">
        <v>1</v>
      </c>
      <c r="AK168" s="1129">
        <v>1980.7983857142858</v>
      </c>
      <c r="AL168" s="1129">
        <v>0</v>
      </c>
      <c r="AM168" s="1129">
        <v>0</v>
      </c>
      <c r="AN168" s="1129">
        <v>1980.7983857142858</v>
      </c>
      <c r="AO168" s="1129" t="s">
        <v>85</v>
      </c>
      <c r="AP168" s="1129" t="s">
        <v>96</v>
      </c>
      <c r="AQ168" s="1157">
        <v>2014</v>
      </c>
      <c r="AR168" s="1129" t="s">
        <v>87</v>
      </c>
      <c r="AS168" s="1127">
        <v>0.33333333333333331</v>
      </c>
      <c r="AT168" s="1127"/>
      <c r="AU168" s="1127">
        <v>0.33333333333333331</v>
      </c>
      <c r="AV168" s="1127"/>
      <c r="AW168" s="1127"/>
      <c r="AX168" s="1127"/>
      <c r="AY168" s="1127"/>
      <c r="AZ168" s="1127">
        <v>0.33333333333333331</v>
      </c>
      <c r="BA168" s="1129">
        <v>660.26612857142857</v>
      </c>
      <c r="BB168" s="1129">
        <v>0</v>
      </c>
      <c r="BC168" s="1129">
        <v>660.26612857142857</v>
      </c>
      <c r="BD168" s="1129">
        <v>0</v>
      </c>
      <c r="BE168" s="1129">
        <v>0</v>
      </c>
      <c r="BF168" s="1129">
        <v>0</v>
      </c>
      <c r="BG168" s="1129">
        <v>0</v>
      </c>
      <c r="BH168" s="1129">
        <v>660.26612857142857</v>
      </c>
      <c r="BI168" s="1981"/>
      <c r="BJ168" s="971"/>
      <c r="BK168" s="971"/>
      <c r="BL168" s="1246"/>
      <c r="BM168" s="1247" t="s">
        <v>1768</v>
      </c>
    </row>
    <row r="169" spans="1:65" s="1247" customFormat="1" ht="49.5" customHeight="1">
      <c r="A169" s="1272">
        <v>4000</v>
      </c>
      <c r="B169" s="971" t="s">
        <v>1316</v>
      </c>
      <c r="C169" s="1272">
        <v>4500</v>
      </c>
      <c r="D169" s="971" t="s">
        <v>452</v>
      </c>
      <c r="E169" s="971" t="s">
        <v>1546</v>
      </c>
      <c r="F169" s="971" t="s">
        <v>454</v>
      </c>
      <c r="G169" s="971" t="s">
        <v>4904</v>
      </c>
      <c r="H169" s="971" t="s">
        <v>565</v>
      </c>
      <c r="I169" s="1273" t="s">
        <v>7460</v>
      </c>
      <c r="J169" s="971" t="s">
        <v>7452</v>
      </c>
      <c r="K169" s="971" t="s">
        <v>1768</v>
      </c>
      <c r="L169" s="971" t="s">
        <v>3420</v>
      </c>
      <c r="M169" s="971" t="s">
        <v>1768</v>
      </c>
      <c r="N169" s="971" t="s">
        <v>179</v>
      </c>
      <c r="O169" s="971" t="s">
        <v>1769</v>
      </c>
      <c r="P169" s="971" t="s">
        <v>7453</v>
      </c>
      <c r="Q169" s="971" t="s">
        <v>7459</v>
      </c>
      <c r="R169" s="971" t="s">
        <v>4919</v>
      </c>
      <c r="S169" s="1274">
        <v>1</v>
      </c>
      <c r="T169" s="971" t="s">
        <v>242</v>
      </c>
      <c r="U169" s="1275">
        <v>8.1</v>
      </c>
      <c r="V169" s="1275">
        <v>106.5</v>
      </c>
      <c r="W169" s="1275">
        <v>809.29838571428581</v>
      </c>
      <c r="X169" s="1275">
        <v>1065</v>
      </c>
      <c r="Y169" s="1275">
        <v>1980.7983857142858</v>
      </c>
      <c r="Z169" s="1129">
        <v>8.1</v>
      </c>
      <c r="AA169" s="1129">
        <v>106.5</v>
      </c>
      <c r="AB169" s="1129">
        <v>809.29838571428581</v>
      </c>
      <c r="AC169" s="1129">
        <v>1065</v>
      </c>
      <c r="AD169" s="1098">
        <v>1980.7983857142858</v>
      </c>
      <c r="AE169" s="1237">
        <v>0.5</v>
      </c>
      <c r="AF169" s="1133">
        <v>0.5</v>
      </c>
      <c r="AG169" s="1127">
        <v>1</v>
      </c>
      <c r="AH169" s="1127">
        <v>0</v>
      </c>
      <c r="AI169" s="1127">
        <v>0</v>
      </c>
      <c r="AJ169" s="1127">
        <v>1</v>
      </c>
      <c r="AK169" s="1129">
        <v>1980.7983857142858</v>
      </c>
      <c r="AL169" s="1129">
        <v>0</v>
      </c>
      <c r="AM169" s="1129">
        <v>0</v>
      </c>
      <c r="AN169" s="1129">
        <v>1980.7983857142858</v>
      </c>
      <c r="AO169" s="1129" t="s">
        <v>85</v>
      </c>
      <c r="AP169" s="1129" t="s">
        <v>96</v>
      </c>
      <c r="AQ169" s="1157">
        <v>2014</v>
      </c>
      <c r="AR169" s="1129" t="s">
        <v>87</v>
      </c>
      <c r="AS169" s="1127">
        <v>0.33333333333333331</v>
      </c>
      <c r="AT169" s="1127"/>
      <c r="AU169" s="1127">
        <v>0.33333333333333331</v>
      </c>
      <c r="AV169" s="1127"/>
      <c r="AW169" s="1127"/>
      <c r="AX169" s="1127"/>
      <c r="AY169" s="1127"/>
      <c r="AZ169" s="1127">
        <v>0.33333333333333331</v>
      </c>
      <c r="BA169" s="1129">
        <v>660.26612857142857</v>
      </c>
      <c r="BB169" s="1129">
        <v>0</v>
      </c>
      <c r="BC169" s="1129">
        <v>660.26612857142857</v>
      </c>
      <c r="BD169" s="1129">
        <v>0</v>
      </c>
      <c r="BE169" s="1129">
        <v>0</v>
      </c>
      <c r="BF169" s="1129">
        <v>0</v>
      </c>
      <c r="BG169" s="1129">
        <v>0</v>
      </c>
      <c r="BH169" s="1129">
        <v>660.26612857142857</v>
      </c>
      <c r="BI169" s="1981"/>
      <c r="BJ169" s="971"/>
      <c r="BK169" s="971"/>
      <c r="BL169" s="1246"/>
      <c r="BM169" s="1247" t="s">
        <v>1768</v>
      </c>
    </row>
    <row r="170" spans="1:65" s="1247" customFormat="1" ht="49.5" customHeight="1">
      <c r="A170" s="1272">
        <v>4000</v>
      </c>
      <c r="B170" s="971" t="s">
        <v>1316</v>
      </c>
      <c r="C170" s="1272">
        <v>4500</v>
      </c>
      <c r="D170" s="971" t="s">
        <v>452</v>
      </c>
      <c r="E170" s="971" t="s">
        <v>1546</v>
      </c>
      <c r="F170" s="971" t="s">
        <v>454</v>
      </c>
      <c r="G170" s="971" t="s">
        <v>4904</v>
      </c>
      <c r="H170" s="971" t="s">
        <v>565</v>
      </c>
      <c r="I170" s="1273" t="s">
        <v>7461</v>
      </c>
      <c r="J170" s="971" t="s">
        <v>7452</v>
      </c>
      <c r="K170" s="971" t="s">
        <v>1768</v>
      </c>
      <c r="L170" s="971" t="s">
        <v>3420</v>
      </c>
      <c r="M170" s="971" t="s">
        <v>1768</v>
      </c>
      <c r="N170" s="971" t="s">
        <v>179</v>
      </c>
      <c r="O170" s="971" t="s">
        <v>1769</v>
      </c>
      <c r="P170" s="971" t="s">
        <v>7453</v>
      </c>
      <c r="Q170" s="971" t="s">
        <v>7459</v>
      </c>
      <c r="R170" s="971" t="s">
        <v>4920</v>
      </c>
      <c r="S170" s="1274">
        <v>1</v>
      </c>
      <c r="T170" s="971" t="s">
        <v>242</v>
      </c>
      <c r="U170" s="1275">
        <v>8.1</v>
      </c>
      <c r="V170" s="1275">
        <v>106.5</v>
      </c>
      <c r="W170" s="1275">
        <v>809.29838571428581</v>
      </c>
      <c r="X170" s="1275">
        <v>1065</v>
      </c>
      <c r="Y170" s="1275">
        <v>1980.7983857142858</v>
      </c>
      <c r="Z170" s="1129">
        <v>8.1</v>
      </c>
      <c r="AA170" s="1129">
        <v>106.5</v>
      </c>
      <c r="AB170" s="1129">
        <v>809.29838571428581</v>
      </c>
      <c r="AC170" s="1129">
        <v>1065</v>
      </c>
      <c r="AD170" s="1098">
        <v>1980.7983857142858</v>
      </c>
      <c r="AE170" s="1237">
        <v>0.5</v>
      </c>
      <c r="AF170" s="1133">
        <v>0.5</v>
      </c>
      <c r="AG170" s="1127">
        <v>1</v>
      </c>
      <c r="AH170" s="1127">
        <v>0</v>
      </c>
      <c r="AI170" s="1127">
        <v>0</v>
      </c>
      <c r="AJ170" s="1127">
        <v>1</v>
      </c>
      <c r="AK170" s="1129">
        <v>1980.7983857142858</v>
      </c>
      <c r="AL170" s="1129">
        <v>0</v>
      </c>
      <c r="AM170" s="1129">
        <v>0</v>
      </c>
      <c r="AN170" s="1129">
        <v>1980.7983857142858</v>
      </c>
      <c r="AO170" s="1129" t="s">
        <v>85</v>
      </c>
      <c r="AP170" s="1129" t="s">
        <v>96</v>
      </c>
      <c r="AQ170" s="1157">
        <v>2014</v>
      </c>
      <c r="AR170" s="1129" t="s">
        <v>87</v>
      </c>
      <c r="AS170" s="1127">
        <v>0.33333333333333331</v>
      </c>
      <c r="AT170" s="1127"/>
      <c r="AU170" s="1127">
        <v>0.33333333333333331</v>
      </c>
      <c r="AV170" s="1127"/>
      <c r="AW170" s="1127"/>
      <c r="AX170" s="1127"/>
      <c r="AY170" s="1127"/>
      <c r="AZ170" s="1127">
        <v>0.33333333333333331</v>
      </c>
      <c r="BA170" s="1129">
        <v>660.26612857142857</v>
      </c>
      <c r="BB170" s="1129">
        <v>0</v>
      </c>
      <c r="BC170" s="1129">
        <v>660.26612857142857</v>
      </c>
      <c r="BD170" s="1129">
        <v>0</v>
      </c>
      <c r="BE170" s="1129">
        <v>0</v>
      </c>
      <c r="BF170" s="1129">
        <v>0</v>
      </c>
      <c r="BG170" s="1129">
        <v>0</v>
      </c>
      <c r="BH170" s="1129">
        <v>660.26612857142857</v>
      </c>
      <c r="BI170" s="1981"/>
      <c r="BJ170" s="971"/>
      <c r="BK170" s="971"/>
      <c r="BL170" s="1246"/>
      <c r="BM170" s="1247" t="s">
        <v>1768</v>
      </c>
    </row>
    <row r="171" spans="1:65" s="1247" customFormat="1" ht="49.5" customHeight="1">
      <c r="A171" s="1272">
        <v>4000</v>
      </c>
      <c r="B171" s="971" t="s">
        <v>1316</v>
      </c>
      <c r="C171" s="1272">
        <v>4500</v>
      </c>
      <c r="D171" s="971" t="s">
        <v>452</v>
      </c>
      <c r="E171" s="971" t="s">
        <v>1546</v>
      </c>
      <c r="F171" s="971" t="s">
        <v>454</v>
      </c>
      <c r="G171" s="971" t="s">
        <v>4904</v>
      </c>
      <c r="H171" s="971" t="s">
        <v>565</v>
      </c>
      <c r="I171" s="1273" t="s">
        <v>7462</v>
      </c>
      <c r="J171" s="971" t="s">
        <v>7452</v>
      </c>
      <c r="K171" s="971" t="s">
        <v>1768</v>
      </c>
      <c r="L171" s="971" t="s">
        <v>3420</v>
      </c>
      <c r="M171" s="971" t="s">
        <v>1768</v>
      </c>
      <c r="N171" s="971" t="s">
        <v>179</v>
      </c>
      <c r="O171" s="971" t="s">
        <v>1769</v>
      </c>
      <c r="P171" s="971" t="s">
        <v>7453</v>
      </c>
      <c r="Q171" s="971" t="s">
        <v>7463</v>
      </c>
      <c r="R171" s="971" t="s">
        <v>4921</v>
      </c>
      <c r="S171" s="1274">
        <v>1</v>
      </c>
      <c r="T171" s="971" t="s">
        <v>242</v>
      </c>
      <c r="U171" s="1275">
        <v>8.1</v>
      </c>
      <c r="V171" s="1275">
        <v>106.5</v>
      </c>
      <c r="W171" s="1275">
        <v>809.29838571428581</v>
      </c>
      <c r="X171" s="1275">
        <v>1065</v>
      </c>
      <c r="Y171" s="1275">
        <v>1980.7983857142858</v>
      </c>
      <c r="Z171" s="1129">
        <v>8.1</v>
      </c>
      <c r="AA171" s="1129">
        <v>106.5</v>
      </c>
      <c r="AB171" s="1129">
        <v>809.29838571428581</v>
      </c>
      <c r="AC171" s="1129">
        <v>1065</v>
      </c>
      <c r="AD171" s="1098">
        <v>1980.7983857142858</v>
      </c>
      <c r="AE171" s="1237">
        <v>0.5</v>
      </c>
      <c r="AF171" s="1133">
        <v>0.5</v>
      </c>
      <c r="AG171" s="1127">
        <v>1</v>
      </c>
      <c r="AH171" s="1127">
        <v>0</v>
      </c>
      <c r="AI171" s="1127">
        <v>0</v>
      </c>
      <c r="AJ171" s="1127">
        <v>1</v>
      </c>
      <c r="AK171" s="1129">
        <v>1980.7983857142858</v>
      </c>
      <c r="AL171" s="1129">
        <v>0</v>
      </c>
      <c r="AM171" s="1129">
        <v>0</v>
      </c>
      <c r="AN171" s="1129">
        <v>1980.7983857142858</v>
      </c>
      <c r="AO171" s="1129" t="s">
        <v>85</v>
      </c>
      <c r="AP171" s="1129" t="s">
        <v>96</v>
      </c>
      <c r="AQ171" s="1157">
        <v>2014</v>
      </c>
      <c r="AR171" s="1129" t="s">
        <v>87</v>
      </c>
      <c r="AS171" s="1127">
        <v>0.33333333333333331</v>
      </c>
      <c r="AT171" s="1127"/>
      <c r="AU171" s="1127">
        <v>0.33333333333333331</v>
      </c>
      <c r="AV171" s="1127"/>
      <c r="AW171" s="1127"/>
      <c r="AX171" s="1127"/>
      <c r="AY171" s="1127"/>
      <c r="AZ171" s="1127">
        <v>0.33333333333333331</v>
      </c>
      <c r="BA171" s="1129">
        <v>660.26612857142857</v>
      </c>
      <c r="BB171" s="1129">
        <v>0</v>
      </c>
      <c r="BC171" s="1129">
        <v>660.26612857142857</v>
      </c>
      <c r="BD171" s="1129">
        <v>0</v>
      </c>
      <c r="BE171" s="1129">
        <v>0</v>
      </c>
      <c r="BF171" s="1129">
        <v>0</v>
      </c>
      <c r="BG171" s="1129">
        <v>0</v>
      </c>
      <c r="BH171" s="1129">
        <v>660.26612857142857</v>
      </c>
      <c r="BI171" s="1981"/>
      <c r="BJ171" s="971"/>
      <c r="BK171" s="971"/>
      <c r="BL171" s="1246"/>
      <c r="BM171" s="1247" t="s">
        <v>1768</v>
      </c>
    </row>
    <row r="172" spans="1:65" s="1247" customFormat="1" ht="49.5" customHeight="1">
      <c r="A172" s="1272">
        <v>4000</v>
      </c>
      <c r="B172" s="971" t="s">
        <v>1316</v>
      </c>
      <c r="C172" s="1272">
        <v>4500</v>
      </c>
      <c r="D172" s="971" t="s">
        <v>452</v>
      </c>
      <c r="E172" s="971" t="s">
        <v>1546</v>
      </c>
      <c r="F172" s="971" t="s">
        <v>454</v>
      </c>
      <c r="G172" s="971" t="s">
        <v>4904</v>
      </c>
      <c r="H172" s="971" t="s">
        <v>565</v>
      </c>
      <c r="I172" s="1273" t="s">
        <v>7464</v>
      </c>
      <c r="J172" s="971" t="s">
        <v>7452</v>
      </c>
      <c r="K172" s="971" t="s">
        <v>1768</v>
      </c>
      <c r="L172" s="971" t="s">
        <v>3420</v>
      </c>
      <c r="M172" s="971" t="s">
        <v>1768</v>
      </c>
      <c r="N172" s="971" t="s">
        <v>179</v>
      </c>
      <c r="O172" s="971" t="s">
        <v>1769</v>
      </c>
      <c r="P172" s="971" t="s">
        <v>7453</v>
      </c>
      <c r="Q172" s="971" t="s">
        <v>7465</v>
      </c>
      <c r="R172" s="971" t="s">
        <v>4925</v>
      </c>
      <c r="S172" s="1274">
        <v>1</v>
      </c>
      <c r="T172" s="971" t="s">
        <v>242</v>
      </c>
      <c r="U172" s="1275">
        <v>8.1</v>
      </c>
      <c r="V172" s="1275">
        <v>106.5</v>
      </c>
      <c r="W172" s="1275">
        <v>809.29838571428581</v>
      </c>
      <c r="X172" s="1275">
        <v>1065</v>
      </c>
      <c r="Y172" s="1275">
        <v>1980.7983857142858</v>
      </c>
      <c r="Z172" s="1129">
        <v>8.1</v>
      </c>
      <c r="AA172" s="1129">
        <v>106.5</v>
      </c>
      <c r="AB172" s="1129">
        <v>809.29838571428581</v>
      </c>
      <c r="AC172" s="1129">
        <v>1065</v>
      </c>
      <c r="AD172" s="1098">
        <v>1980.7983857142858</v>
      </c>
      <c r="AE172" s="1237">
        <v>0.5</v>
      </c>
      <c r="AF172" s="1133">
        <v>0.5</v>
      </c>
      <c r="AG172" s="1127">
        <v>1</v>
      </c>
      <c r="AH172" s="1127">
        <v>0</v>
      </c>
      <c r="AI172" s="1127">
        <v>0</v>
      </c>
      <c r="AJ172" s="1127">
        <v>1</v>
      </c>
      <c r="AK172" s="1129">
        <v>1980.7983857142858</v>
      </c>
      <c r="AL172" s="1129">
        <v>0</v>
      </c>
      <c r="AM172" s="1129">
        <v>0</v>
      </c>
      <c r="AN172" s="1129">
        <v>1980.7983857142858</v>
      </c>
      <c r="AO172" s="1129" t="s">
        <v>85</v>
      </c>
      <c r="AP172" s="1129" t="s">
        <v>96</v>
      </c>
      <c r="AQ172" s="1157">
        <v>2014</v>
      </c>
      <c r="AR172" s="1129" t="s">
        <v>87</v>
      </c>
      <c r="AS172" s="1127">
        <v>0.33333333333333331</v>
      </c>
      <c r="AT172" s="1127"/>
      <c r="AU172" s="1127">
        <v>0.33333333333333331</v>
      </c>
      <c r="AV172" s="1127"/>
      <c r="AW172" s="1127"/>
      <c r="AX172" s="1127"/>
      <c r="AY172" s="1127"/>
      <c r="AZ172" s="1127">
        <v>0.33333333333333331</v>
      </c>
      <c r="BA172" s="1129">
        <v>660.26612857142857</v>
      </c>
      <c r="BB172" s="1129">
        <v>0</v>
      </c>
      <c r="BC172" s="1129">
        <v>660.26612857142857</v>
      </c>
      <c r="BD172" s="1129">
        <v>0</v>
      </c>
      <c r="BE172" s="1129">
        <v>0</v>
      </c>
      <c r="BF172" s="1129">
        <v>0</v>
      </c>
      <c r="BG172" s="1129">
        <v>0</v>
      </c>
      <c r="BH172" s="1129">
        <v>660.26612857142857</v>
      </c>
      <c r="BI172" s="1981"/>
      <c r="BJ172" s="971"/>
      <c r="BK172" s="971"/>
      <c r="BL172" s="1246"/>
      <c r="BM172" s="1247" t="s">
        <v>1768</v>
      </c>
    </row>
    <row r="173" spans="1:65" s="1247" customFormat="1" ht="49.5" customHeight="1">
      <c r="A173" s="1272">
        <v>4000</v>
      </c>
      <c r="B173" s="971" t="s">
        <v>1316</v>
      </c>
      <c r="C173" s="1272">
        <v>4500</v>
      </c>
      <c r="D173" s="971" t="s">
        <v>452</v>
      </c>
      <c r="E173" s="971" t="s">
        <v>1546</v>
      </c>
      <c r="F173" s="971" t="s">
        <v>454</v>
      </c>
      <c r="G173" s="971" t="s">
        <v>4904</v>
      </c>
      <c r="H173" s="971" t="s">
        <v>565</v>
      </c>
      <c r="I173" s="1273" t="s">
        <v>7466</v>
      </c>
      <c r="J173" s="971" t="s">
        <v>7452</v>
      </c>
      <c r="K173" s="971" t="s">
        <v>1768</v>
      </c>
      <c r="L173" s="971" t="s">
        <v>3420</v>
      </c>
      <c r="M173" s="971" t="s">
        <v>1768</v>
      </c>
      <c r="N173" s="971" t="s">
        <v>179</v>
      </c>
      <c r="O173" s="971" t="s">
        <v>1769</v>
      </c>
      <c r="P173" s="971" t="s">
        <v>7453</v>
      </c>
      <c r="Q173" s="971" t="s">
        <v>7467</v>
      </c>
      <c r="R173" s="971" t="s">
        <v>4928</v>
      </c>
      <c r="S173" s="1274">
        <v>1</v>
      </c>
      <c r="T173" s="971" t="s">
        <v>242</v>
      </c>
      <c r="U173" s="1275">
        <v>8.1</v>
      </c>
      <c r="V173" s="1275">
        <v>106.5</v>
      </c>
      <c r="W173" s="1275">
        <v>809.29838571428581</v>
      </c>
      <c r="X173" s="1275">
        <v>1065</v>
      </c>
      <c r="Y173" s="1275">
        <v>1980.7983857142858</v>
      </c>
      <c r="Z173" s="1129">
        <v>8.1</v>
      </c>
      <c r="AA173" s="1129">
        <v>106.5</v>
      </c>
      <c r="AB173" s="1129">
        <v>809.29838571428581</v>
      </c>
      <c r="AC173" s="1129">
        <v>1065</v>
      </c>
      <c r="AD173" s="1098">
        <v>1980.7983857142858</v>
      </c>
      <c r="AE173" s="1237">
        <v>0.5</v>
      </c>
      <c r="AF173" s="1133">
        <v>0.5</v>
      </c>
      <c r="AG173" s="1127">
        <v>1</v>
      </c>
      <c r="AH173" s="1127">
        <v>0</v>
      </c>
      <c r="AI173" s="1127">
        <v>0</v>
      </c>
      <c r="AJ173" s="1127">
        <v>1</v>
      </c>
      <c r="AK173" s="1129">
        <v>1980.7983857142858</v>
      </c>
      <c r="AL173" s="1129">
        <v>0</v>
      </c>
      <c r="AM173" s="1129">
        <v>0</v>
      </c>
      <c r="AN173" s="1129">
        <v>1980.7983857142858</v>
      </c>
      <c r="AO173" s="1129" t="s">
        <v>85</v>
      </c>
      <c r="AP173" s="1129" t="s">
        <v>96</v>
      </c>
      <c r="AQ173" s="1157">
        <v>2014</v>
      </c>
      <c r="AR173" s="1129" t="s">
        <v>87</v>
      </c>
      <c r="AS173" s="1127">
        <v>0.33333333333333331</v>
      </c>
      <c r="AT173" s="1127"/>
      <c r="AU173" s="1127">
        <v>0.33333333333333331</v>
      </c>
      <c r="AV173" s="1127"/>
      <c r="AW173" s="1127"/>
      <c r="AX173" s="1127"/>
      <c r="AY173" s="1127"/>
      <c r="AZ173" s="1127">
        <v>0.33333333333333331</v>
      </c>
      <c r="BA173" s="1129">
        <v>660.26612857142857</v>
      </c>
      <c r="BB173" s="1129">
        <v>0</v>
      </c>
      <c r="BC173" s="1129">
        <v>660.26612857142857</v>
      </c>
      <c r="BD173" s="1129">
        <v>0</v>
      </c>
      <c r="BE173" s="1129">
        <v>0</v>
      </c>
      <c r="BF173" s="1129">
        <v>0</v>
      </c>
      <c r="BG173" s="1129">
        <v>0</v>
      </c>
      <c r="BH173" s="1129">
        <v>660.26612857142857</v>
      </c>
      <c r="BI173" s="1981"/>
      <c r="BJ173" s="971"/>
      <c r="BK173" s="971"/>
      <c r="BL173" s="1246"/>
      <c r="BM173" s="1247" t="s">
        <v>1768</v>
      </c>
    </row>
    <row r="174" spans="1:65" s="1247" customFormat="1" ht="49.5" customHeight="1">
      <c r="A174" s="1272">
        <v>4000</v>
      </c>
      <c r="B174" s="971" t="s">
        <v>1316</v>
      </c>
      <c r="C174" s="1272">
        <v>4500</v>
      </c>
      <c r="D174" s="971" t="s">
        <v>452</v>
      </c>
      <c r="E174" s="971" t="s">
        <v>1546</v>
      </c>
      <c r="F174" s="971" t="s">
        <v>454</v>
      </c>
      <c r="G174" s="971" t="s">
        <v>4904</v>
      </c>
      <c r="H174" s="971" t="s">
        <v>565</v>
      </c>
      <c r="I174" s="1273" t="s">
        <v>7468</v>
      </c>
      <c r="J174" s="971" t="s">
        <v>7452</v>
      </c>
      <c r="K174" s="971" t="s">
        <v>1768</v>
      </c>
      <c r="L174" s="971" t="s">
        <v>3420</v>
      </c>
      <c r="M174" s="971" t="s">
        <v>1768</v>
      </c>
      <c r="N174" s="971" t="s">
        <v>179</v>
      </c>
      <c r="O174" s="971" t="s">
        <v>1769</v>
      </c>
      <c r="P174" s="971" t="s">
        <v>7453</v>
      </c>
      <c r="Q174" s="971" t="s">
        <v>7469</v>
      </c>
      <c r="R174" s="971" t="s">
        <v>4930</v>
      </c>
      <c r="S174" s="1274">
        <v>1</v>
      </c>
      <c r="T174" s="971" t="s">
        <v>242</v>
      </c>
      <c r="U174" s="1275">
        <v>8.1</v>
      </c>
      <c r="V174" s="1275">
        <v>106.5</v>
      </c>
      <c r="W174" s="1275">
        <v>809.29838571428581</v>
      </c>
      <c r="X174" s="1275">
        <v>1065</v>
      </c>
      <c r="Y174" s="1275">
        <v>1980.7983857142858</v>
      </c>
      <c r="Z174" s="1129">
        <v>8.1</v>
      </c>
      <c r="AA174" s="1129">
        <v>106.5</v>
      </c>
      <c r="AB174" s="1129">
        <v>809.29838571428581</v>
      </c>
      <c r="AC174" s="1129">
        <v>1065</v>
      </c>
      <c r="AD174" s="1098">
        <v>1980.7983857142858</v>
      </c>
      <c r="AE174" s="1237">
        <v>0.5</v>
      </c>
      <c r="AF174" s="1133">
        <v>0.5</v>
      </c>
      <c r="AG174" s="1127">
        <v>1</v>
      </c>
      <c r="AH174" s="1127">
        <v>0</v>
      </c>
      <c r="AI174" s="1127">
        <v>0</v>
      </c>
      <c r="AJ174" s="1127">
        <v>1</v>
      </c>
      <c r="AK174" s="1129">
        <v>1980.7983857142858</v>
      </c>
      <c r="AL174" s="1129">
        <v>0</v>
      </c>
      <c r="AM174" s="1129">
        <v>0</v>
      </c>
      <c r="AN174" s="1129">
        <v>1980.7983857142858</v>
      </c>
      <c r="AO174" s="1129" t="s">
        <v>85</v>
      </c>
      <c r="AP174" s="1129" t="s">
        <v>96</v>
      </c>
      <c r="AQ174" s="1157">
        <v>2014</v>
      </c>
      <c r="AR174" s="1129" t="s">
        <v>87</v>
      </c>
      <c r="AS174" s="1127">
        <v>0.33333333333333331</v>
      </c>
      <c r="AT174" s="1127"/>
      <c r="AU174" s="1127">
        <v>0.33333333333333331</v>
      </c>
      <c r="AV174" s="1127"/>
      <c r="AW174" s="1127"/>
      <c r="AX174" s="1127"/>
      <c r="AY174" s="1127"/>
      <c r="AZ174" s="1127">
        <v>0.33333333333333331</v>
      </c>
      <c r="BA174" s="1129">
        <v>660.26612857142857</v>
      </c>
      <c r="BB174" s="1129">
        <v>0</v>
      </c>
      <c r="BC174" s="1129">
        <v>660.26612857142857</v>
      </c>
      <c r="BD174" s="1129">
        <v>0</v>
      </c>
      <c r="BE174" s="1129">
        <v>0</v>
      </c>
      <c r="BF174" s="1129">
        <v>0</v>
      </c>
      <c r="BG174" s="1129">
        <v>0</v>
      </c>
      <c r="BH174" s="1129">
        <v>660.26612857142857</v>
      </c>
      <c r="BI174" s="1981"/>
      <c r="BJ174" s="971"/>
      <c r="BK174" s="971"/>
      <c r="BL174" s="1246"/>
      <c r="BM174" s="1247" t="s">
        <v>1768</v>
      </c>
    </row>
    <row r="175" spans="1:65" s="1247" customFormat="1" ht="49.5" customHeight="1">
      <c r="A175" s="1272">
        <v>4000</v>
      </c>
      <c r="B175" s="971" t="s">
        <v>1316</v>
      </c>
      <c r="C175" s="1272">
        <v>4500</v>
      </c>
      <c r="D175" s="971" t="s">
        <v>452</v>
      </c>
      <c r="E175" s="971" t="s">
        <v>1546</v>
      </c>
      <c r="F175" s="971" t="s">
        <v>454</v>
      </c>
      <c r="G175" s="971" t="s">
        <v>4904</v>
      </c>
      <c r="H175" s="971" t="s">
        <v>565</v>
      </c>
      <c r="I175" s="1273" t="s">
        <v>7470</v>
      </c>
      <c r="J175" s="971" t="s">
        <v>7452</v>
      </c>
      <c r="K175" s="971" t="s">
        <v>1768</v>
      </c>
      <c r="L175" s="971" t="s">
        <v>3420</v>
      </c>
      <c r="M175" s="971" t="s">
        <v>1768</v>
      </c>
      <c r="N175" s="971" t="s">
        <v>179</v>
      </c>
      <c r="O175" s="971" t="s">
        <v>1769</v>
      </c>
      <c r="P175" s="971" t="s">
        <v>7453</v>
      </c>
      <c r="Q175" s="971" t="s">
        <v>7471</v>
      </c>
      <c r="R175" s="971" t="s">
        <v>4933</v>
      </c>
      <c r="S175" s="1274">
        <v>1</v>
      </c>
      <c r="T175" s="971" t="s">
        <v>242</v>
      </c>
      <c r="U175" s="1275">
        <v>8.1</v>
      </c>
      <c r="V175" s="1275">
        <v>106.5</v>
      </c>
      <c r="W175" s="1275">
        <v>809.29838571428581</v>
      </c>
      <c r="X175" s="1275">
        <v>1065</v>
      </c>
      <c r="Y175" s="1275">
        <v>1980.7983857142858</v>
      </c>
      <c r="Z175" s="1129">
        <v>8.1</v>
      </c>
      <c r="AA175" s="1129">
        <v>106.5</v>
      </c>
      <c r="AB175" s="1129">
        <v>809.29838571428581</v>
      </c>
      <c r="AC175" s="1129">
        <v>1065</v>
      </c>
      <c r="AD175" s="1098">
        <v>1980.7983857142858</v>
      </c>
      <c r="AE175" s="1237">
        <v>0.5</v>
      </c>
      <c r="AF175" s="1133">
        <v>0.5</v>
      </c>
      <c r="AG175" s="1127">
        <v>1</v>
      </c>
      <c r="AH175" s="1127">
        <v>0</v>
      </c>
      <c r="AI175" s="1127">
        <v>0</v>
      </c>
      <c r="AJ175" s="1127">
        <v>1</v>
      </c>
      <c r="AK175" s="1129">
        <v>1980.7983857142858</v>
      </c>
      <c r="AL175" s="1129">
        <v>0</v>
      </c>
      <c r="AM175" s="1129">
        <v>0</v>
      </c>
      <c r="AN175" s="1129">
        <v>1980.7983857142858</v>
      </c>
      <c r="AO175" s="1129" t="s">
        <v>85</v>
      </c>
      <c r="AP175" s="1129" t="s">
        <v>96</v>
      </c>
      <c r="AQ175" s="1157">
        <v>2014</v>
      </c>
      <c r="AR175" s="1129" t="s">
        <v>87</v>
      </c>
      <c r="AS175" s="1127">
        <v>0.33333333333333331</v>
      </c>
      <c r="AT175" s="1127"/>
      <c r="AU175" s="1127">
        <v>0.33333333333333331</v>
      </c>
      <c r="AV175" s="1127"/>
      <c r="AW175" s="1127"/>
      <c r="AX175" s="1127"/>
      <c r="AY175" s="1127"/>
      <c r="AZ175" s="1127">
        <v>0.33333333333333331</v>
      </c>
      <c r="BA175" s="1129">
        <v>660.26612857142857</v>
      </c>
      <c r="BB175" s="1129">
        <v>0</v>
      </c>
      <c r="BC175" s="1129">
        <v>660.26612857142857</v>
      </c>
      <c r="BD175" s="1129">
        <v>0</v>
      </c>
      <c r="BE175" s="1129">
        <v>0</v>
      </c>
      <c r="BF175" s="1129">
        <v>0</v>
      </c>
      <c r="BG175" s="1129">
        <v>0</v>
      </c>
      <c r="BH175" s="1129">
        <v>660.26612857142857</v>
      </c>
      <c r="BI175" s="1981"/>
      <c r="BJ175" s="971"/>
      <c r="BK175" s="971"/>
      <c r="BL175" s="1246"/>
      <c r="BM175" s="1247" t="s">
        <v>1768</v>
      </c>
    </row>
    <row r="176" spans="1:65" s="1247" customFormat="1" ht="49.5" customHeight="1">
      <c r="A176" s="1272">
        <v>4000</v>
      </c>
      <c r="B176" s="971" t="s">
        <v>1316</v>
      </c>
      <c r="C176" s="1272">
        <v>4500</v>
      </c>
      <c r="D176" s="971" t="s">
        <v>452</v>
      </c>
      <c r="E176" s="971" t="s">
        <v>1546</v>
      </c>
      <c r="F176" s="971" t="s">
        <v>454</v>
      </c>
      <c r="G176" s="971" t="s">
        <v>4904</v>
      </c>
      <c r="H176" s="971" t="s">
        <v>565</v>
      </c>
      <c r="I176" s="1273" t="s">
        <v>7472</v>
      </c>
      <c r="J176" s="971" t="s">
        <v>7452</v>
      </c>
      <c r="K176" s="971" t="s">
        <v>1768</v>
      </c>
      <c r="L176" s="971" t="s">
        <v>3420</v>
      </c>
      <c r="M176" s="971" t="s">
        <v>1768</v>
      </c>
      <c r="N176" s="971" t="s">
        <v>179</v>
      </c>
      <c r="O176" s="971" t="s">
        <v>1769</v>
      </c>
      <c r="P176" s="971" t="s">
        <v>7453</v>
      </c>
      <c r="Q176" s="971" t="s">
        <v>7471</v>
      </c>
      <c r="R176" s="971" t="s">
        <v>4936</v>
      </c>
      <c r="S176" s="1274">
        <v>1</v>
      </c>
      <c r="T176" s="971" t="s">
        <v>242</v>
      </c>
      <c r="U176" s="1275">
        <v>8.1</v>
      </c>
      <c r="V176" s="1275">
        <v>106.5</v>
      </c>
      <c r="W176" s="1275">
        <v>809.29838571428581</v>
      </c>
      <c r="X176" s="1275">
        <v>1065</v>
      </c>
      <c r="Y176" s="1275">
        <v>1980.7983857142858</v>
      </c>
      <c r="Z176" s="1129">
        <v>8.1</v>
      </c>
      <c r="AA176" s="1129">
        <v>106.5</v>
      </c>
      <c r="AB176" s="1129">
        <v>809.29838571428581</v>
      </c>
      <c r="AC176" s="1129">
        <v>1065</v>
      </c>
      <c r="AD176" s="1098">
        <v>1980.7983857142858</v>
      </c>
      <c r="AE176" s="1237">
        <v>0.5</v>
      </c>
      <c r="AF176" s="1133">
        <v>0.5</v>
      </c>
      <c r="AG176" s="1127">
        <v>1</v>
      </c>
      <c r="AH176" s="1127">
        <v>0</v>
      </c>
      <c r="AI176" s="1127">
        <v>0</v>
      </c>
      <c r="AJ176" s="1127">
        <v>1</v>
      </c>
      <c r="AK176" s="1129">
        <v>1980.7983857142858</v>
      </c>
      <c r="AL176" s="1129">
        <v>0</v>
      </c>
      <c r="AM176" s="1129">
        <v>0</v>
      </c>
      <c r="AN176" s="1129">
        <v>1980.7983857142858</v>
      </c>
      <c r="AO176" s="1129" t="s">
        <v>85</v>
      </c>
      <c r="AP176" s="1129" t="s">
        <v>96</v>
      </c>
      <c r="AQ176" s="1157">
        <v>2014</v>
      </c>
      <c r="AR176" s="1129" t="s">
        <v>87</v>
      </c>
      <c r="AS176" s="1127">
        <v>0.33333333333333331</v>
      </c>
      <c r="AT176" s="1127"/>
      <c r="AU176" s="1127">
        <v>0.33333333333333331</v>
      </c>
      <c r="AV176" s="1127"/>
      <c r="AW176" s="1127"/>
      <c r="AX176" s="1127"/>
      <c r="AY176" s="1127"/>
      <c r="AZ176" s="1127">
        <v>0.33333333333333331</v>
      </c>
      <c r="BA176" s="1129">
        <v>660.26612857142857</v>
      </c>
      <c r="BB176" s="1129">
        <v>0</v>
      </c>
      <c r="BC176" s="1129">
        <v>660.26612857142857</v>
      </c>
      <c r="BD176" s="1129">
        <v>0</v>
      </c>
      <c r="BE176" s="1129">
        <v>0</v>
      </c>
      <c r="BF176" s="1129">
        <v>0</v>
      </c>
      <c r="BG176" s="1129">
        <v>0</v>
      </c>
      <c r="BH176" s="1129">
        <v>660.26612857142857</v>
      </c>
      <c r="BI176" s="1981"/>
      <c r="BJ176" s="971"/>
      <c r="BK176" s="971"/>
      <c r="BL176" s="1246"/>
      <c r="BM176" s="1247" t="s">
        <v>1768</v>
      </c>
    </row>
    <row r="177" spans="1:65" s="1247" customFormat="1" ht="49.5" customHeight="1">
      <c r="A177" s="1272">
        <v>4000</v>
      </c>
      <c r="B177" s="971" t="s">
        <v>1316</v>
      </c>
      <c r="C177" s="1272">
        <v>4500</v>
      </c>
      <c r="D177" s="971" t="s">
        <v>452</v>
      </c>
      <c r="E177" s="971" t="s">
        <v>1546</v>
      </c>
      <c r="F177" s="971" t="s">
        <v>454</v>
      </c>
      <c r="G177" s="971" t="s">
        <v>4904</v>
      </c>
      <c r="H177" s="971" t="s">
        <v>565</v>
      </c>
      <c r="I177" s="1273" t="s">
        <v>7473</v>
      </c>
      <c r="J177" s="971" t="s">
        <v>7452</v>
      </c>
      <c r="K177" s="971" t="s">
        <v>1768</v>
      </c>
      <c r="L177" s="971" t="s">
        <v>3420</v>
      </c>
      <c r="M177" s="971" t="s">
        <v>1768</v>
      </c>
      <c r="N177" s="971" t="s">
        <v>179</v>
      </c>
      <c r="O177" s="971" t="s">
        <v>1769</v>
      </c>
      <c r="P177" s="971" t="s">
        <v>7453</v>
      </c>
      <c r="Q177" s="971" t="s">
        <v>7474</v>
      </c>
      <c r="R177" s="971" t="s">
        <v>4937</v>
      </c>
      <c r="S177" s="1274">
        <v>1</v>
      </c>
      <c r="T177" s="971" t="s">
        <v>242</v>
      </c>
      <c r="U177" s="1275">
        <v>8.1</v>
      </c>
      <c r="V177" s="1275">
        <v>106.5</v>
      </c>
      <c r="W177" s="1275">
        <v>809.29838571428581</v>
      </c>
      <c r="X177" s="1275">
        <v>1065</v>
      </c>
      <c r="Y177" s="1275">
        <v>1980.7983857142858</v>
      </c>
      <c r="Z177" s="1129">
        <v>8.1</v>
      </c>
      <c r="AA177" s="1129">
        <v>106.5</v>
      </c>
      <c r="AB177" s="1129">
        <v>809.29838571428581</v>
      </c>
      <c r="AC177" s="1129">
        <v>1065</v>
      </c>
      <c r="AD177" s="1098">
        <v>1980.7983857142858</v>
      </c>
      <c r="AE177" s="1237">
        <v>0.5</v>
      </c>
      <c r="AF177" s="1133">
        <v>0.5</v>
      </c>
      <c r="AG177" s="1127">
        <v>1</v>
      </c>
      <c r="AH177" s="1127">
        <v>0</v>
      </c>
      <c r="AI177" s="1127">
        <v>0</v>
      </c>
      <c r="AJ177" s="1127">
        <v>1</v>
      </c>
      <c r="AK177" s="1129">
        <v>1980.7983857142858</v>
      </c>
      <c r="AL177" s="1129">
        <v>0</v>
      </c>
      <c r="AM177" s="1129">
        <v>0</v>
      </c>
      <c r="AN177" s="1129">
        <v>1980.7983857142858</v>
      </c>
      <c r="AO177" s="1129" t="s">
        <v>85</v>
      </c>
      <c r="AP177" s="1129" t="s">
        <v>96</v>
      </c>
      <c r="AQ177" s="1157">
        <v>2014</v>
      </c>
      <c r="AR177" s="1129" t="s">
        <v>87</v>
      </c>
      <c r="AS177" s="1127">
        <v>0.33333333333333331</v>
      </c>
      <c r="AT177" s="1127"/>
      <c r="AU177" s="1127">
        <v>0.33333333333333331</v>
      </c>
      <c r="AV177" s="1127"/>
      <c r="AW177" s="1127"/>
      <c r="AX177" s="1127"/>
      <c r="AY177" s="1127"/>
      <c r="AZ177" s="1127">
        <v>0.33333333333333331</v>
      </c>
      <c r="BA177" s="1129">
        <v>660.26612857142857</v>
      </c>
      <c r="BB177" s="1129">
        <v>0</v>
      </c>
      <c r="BC177" s="1129">
        <v>660.26612857142857</v>
      </c>
      <c r="BD177" s="1129">
        <v>0</v>
      </c>
      <c r="BE177" s="1129">
        <v>0</v>
      </c>
      <c r="BF177" s="1129">
        <v>0</v>
      </c>
      <c r="BG177" s="1129">
        <v>0</v>
      </c>
      <c r="BH177" s="1129">
        <v>660.26612857142857</v>
      </c>
      <c r="BI177" s="1981"/>
      <c r="BJ177" s="971"/>
      <c r="BK177" s="971"/>
      <c r="BL177" s="1246"/>
      <c r="BM177" s="1247" t="s">
        <v>1768</v>
      </c>
    </row>
    <row r="178" spans="1:65" s="1247" customFormat="1" ht="49.5" customHeight="1">
      <c r="A178" s="1272">
        <v>4000</v>
      </c>
      <c r="B178" s="971" t="s">
        <v>1316</v>
      </c>
      <c r="C178" s="1272">
        <v>4500</v>
      </c>
      <c r="D178" s="971" t="s">
        <v>452</v>
      </c>
      <c r="E178" s="971" t="s">
        <v>1546</v>
      </c>
      <c r="F178" s="971" t="s">
        <v>454</v>
      </c>
      <c r="G178" s="971" t="s">
        <v>4904</v>
      </c>
      <c r="H178" s="971" t="s">
        <v>565</v>
      </c>
      <c r="I178" s="1273" t="s">
        <v>7475</v>
      </c>
      <c r="J178" s="971" t="s">
        <v>7452</v>
      </c>
      <c r="K178" s="971" t="s">
        <v>1768</v>
      </c>
      <c r="L178" s="971" t="s">
        <v>3420</v>
      </c>
      <c r="M178" s="971" t="s">
        <v>1768</v>
      </c>
      <c r="N178" s="971" t="s">
        <v>179</v>
      </c>
      <c r="O178" s="971" t="s">
        <v>1769</v>
      </c>
      <c r="P178" s="971" t="s">
        <v>7453</v>
      </c>
      <c r="Q178" s="971" t="s">
        <v>7476</v>
      </c>
      <c r="R178" s="971" t="s">
        <v>4941</v>
      </c>
      <c r="S178" s="1274">
        <v>1</v>
      </c>
      <c r="T178" s="971" t="s">
        <v>242</v>
      </c>
      <c r="U178" s="1275">
        <v>8.1</v>
      </c>
      <c r="V178" s="1275">
        <v>106.5</v>
      </c>
      <c r="W178" s="1275">
        <v>809.29838571428581</v>
      </c>
      <c r="X178" s="1275">
        <v>1065</v>
      </c>
      <c r="Y178" s="1275">
        <v>1980.7983857142858</v>
      </c>
      <c r="Z178" s="1129">
        <v>8.1</v>
      </c>
      <c r="AA178" s="1129">
        <v>106.5</v>
      </c>
      <c r="AB178" s="1129">
        <v>809.29838571428581</v>
      </c>
      <c r="AC178" s="1129">
        <v>1065</v>
      </c>
      <c r="AD178" s="1098">
        <v>1980.7983857142858</v>
      </c>
      <c r="AE178" s="1237">
        <v>0.5</v>
      </c>
      <c r="AF178" s="1133">
        <v>0.5</v>
      </c>
      <c r="AG178" s="1127">
        <v>1</v>
      </c>
      <c r="AH178" s="1127">
        <v>0</v>
      </c>
      <c r="AI178" s="1127">
        <v>0</v>
      </c>
      <c r="AJ178" s="1127">
        <v>1</v>
      </c>
      <c r="AK178" s="1129">
        <v>1980.7983857142858</v>
      </c>
      <c r="AL178" s="1129">
        <v>0</v>
      </c>
      <c r="AM178" s="1129">
        <v>0</v>
      </c>
      <c r="AN178" s="1129">
        <v>1980.7983857142858</v>
      </c>
      <c r="AO178" s="1129" t="s">
        <v>85</v>
      </c>
      <c r="AP178" s="1129" t="s">
        <v>96</v>
      </c>
      <c r="AQ178" s="1157">
        <v>2014</v>
      </c>
      <c r="AR178" s="1129" t="s">
        <v>87</v>
      </c>
      <c r="AS178" s="1127">
        <v>0.33333333333333331</v>
      </c>
      <c r="AT178" s="1127"/>
      <c r="AU178" s="1127">
        <v>0.33333333333333331</v>
      </c>
      <c r="AV178" s="1127"/>
      <c r="AW178" s="1127"/>
      <c r="AX178" s="1127"/>
      <c r="AY178" s="1127"/>
      <c r="AZ178" s="1127">
        <v>0.33333333333333331</v>
      </c>
      <c r="BA178" s="1129">
        <v>660.26612857142857</v>
      </c>
      <c r="BB178" s="1129">
        <v>0</v>
      </c>
      <c r="BC178" s="1129">
        <v>660.26612857142857</v>
      </c>
      <c r="BD178" s="1129">
        <v>0</v>
      </c>
      <c r="BE178" s="1129">
        <v>0</v>
      </c>
      <c r="BF178" s="1129">
        <v>0</v>
      </c>
      <c r="BG178" s="1129">
        <v>0</v>
      </c>
      <c r="BH178" s="1129">
        <v>660.26612857142857</v>
      </c>
      <c r="BI178" s="1981"/>
      <c r="BJ178" s="971"/>
      <c r="BK178" s="971"/>
      <c r="BL178" s="1246"/>
      <c r="BM178" s="1247" t="s">
        <v>1768</v>
      </c>
    </row>
    <row r="179" spans="1:65" s="1247" customFormat="1" ht="49.5" customHeight="1">
      <c r="A179" s="1272">
        <v>4000</v>
      </c>
      <c r="B179" s="971" t="s">
        <v>1316</v>
      </c>
      <c r="C179" s="1272">
        <v>4500</v>
      </c>
      <c r="D179" s="971" t="s">
        <v>452</v>
      </c>
      <c r="E179" s="971" t="s">
        <v>1546</v>
      </c>
      <c r="F179" s="971" t="s">
        <v>454</v>
      </c>
      <c r="G179" s="971" t="s">
        <v>4904</v>
      </c>
      <c r="H179" s="971" t="s">
        <v>565</v>
      </c>
      <c r="I179" s="1273" t="s">
        <v>7477</v>
      </c>
      <c r="J179" s="971" t="s">
        <v>7452</v>
      </c>
      <c r="K179" s="971" t="s">
        <v>1768</v>
      </c>
      <c r="L179" s="971" t="s">
        <v>3420</v>
      </c>
      <c r="M179" s="971" t="s">
        <v>1768</v>
      </c>
      <c r="N179" s="971" t="s">
        <v>179</v>
      </c>
      <c r="O179" s="971" t="s">
        <v>1769</v>
      </c>
      <c r="P179" s="971" t="s">
        <v>7453</v>
      </c>
      <c r="Q179" s="971" t="s">
        <v>7478</v>
      </c>
      <c r="R179" s="971" t="s">
        <v>4943</v>
      </c>
      <c r="S179" s="1274">
        <v>1</v>
      </c>
      <c r="T179" s="971" t="s">
        <v>242</v>
      </c>
      <c r="U179" s="1275">
        <v>8.1</v>
      </c>
      <c r="V179" s="1275">
        <v>106.5</v>
      </c>
      <c r="W179" s="1275">
        <v>809.29838571428581</v>
      </c>
      <c r="X179" s="1275">
        <v>1065</v>
      </c>
      <c r="Y179" s="1275">
        <v>1980.7983857142858</v>
      </c>
      <c r="Z179" s="1129">
        <v>8.1</v>
      </c>
      <c r="AA179" s="1129">
        <v>106.5</v>
      </c>
      <c r="AB179" s="1129">
        <v>809.29838571428581</v>
      </c>
      <c r="AC179" s="1129">
        <v>1065</v>
      </c>
      <c r="AD179" s="1098">
        <v>1980.7983857142858</v>
      </c>
      <c r="AE179" s="1237">
        <v>0.5</v>
      </c>
      <c r="AF179" s="1133">
        <v>0.5</v>
      </c>
      <c r="AG179" s="1127">
        <v>1</v>
      </c>
      <c r="AH179" s="1127">
        <v>0</v>
      </c>
      <c r="AI179" s="1127">
        <v>0</v>
      </c>
      <c r="AJ179" s="1127">
        <v>1</v>
      </c>
      <c r="AK179" s="1129">
        <v>1980.7983857142858</v>
      </c>
      <c r="AL179" s="1129">
        <v>0</v>
      </c>
      <c r="AM179" s="1129">
        <v>0</v>
      </c>
      <c r="AN179" s="1129">
        <v>1980.7983857142858</v>
      </c>
      <c r="AO179" s="1129" t="s">
        <v>85</v>
      </c>
      <c r="AP179" s="1129" t="s">
        <v>96</v>
      </c>
      <c r="AQ179" s="1157">
        <v>2014</v>
      </c>
      <c r="AR179" s="1129" t="s">
        <v>87</v>
      </c>
      <c r="AS179" s="1127">
        <v>0.33333333333333331</v>
      </c>
      <c r="AT179" s="1127"/>
      <c r="AU179" s="1127">
        <v>0.33333333333333331</v>
      </c>
      <c r="AV179" s="1127"/>
      <c r="AW179" s="1127"/>
      <c r="AX179" s="1127"/>
      <c r="AY179" s="1127"/>
      <c r="AZ179" s="1127">
        <v>0.33333333333333331</v>
      </c>
      <c r="BA179" s="1129">
        <v>660.26612857142857</v>
      </c>
      <c r="BB179" s="1129">
        <v>0</v>
      </c>
      <c r="BC179" s="1129">
        <v>660.26612857142857</v>
      </c>
      <c r="BD179" s="1129">
        <v>0</v>
      </c>
      <c r="BE179" s="1129">
        <v>0</v>
      </c>
      <c r="BF179" s="1129">
        <v>0</v>
      </c>
      <c r="BG179" s="1129">
        <v>0</v>
      </c>
      <c r="BH179" s="1129">
        <v>660.26612857142857</v>
      </c>
      <c r="BI179" s="1981"/>
      <c r="BJ179" s="971"/>
      <c r="BK179" s="971"/>
      <c r="BL179" s="1246"/>
      <c r="BM179" s="1247" t="s">
        <v>1768</v>
      </c>
    </row>
    <row r="180" spans="1:65" s="1247" customFormat="1" ht="49.5" customHeight="1">
      <c r="A180" s="1272">
        <v>4000</v>
      </c>
      <c r="B180" s="971" t="s">
        <v>1316</v>
      </c>
      <c r="C180" s="1272">
        <v>4500</v>
      </c>
      <c r="D180" s="971" t="s">
        <v>452</v>
      </c>
      <c r="E180" s="971" t="s">
        <v>1546</v>
      </c>
      <c r="F180" s="971" t="s">
        <v>454</v>
      </c>
      <c r="G180" s="971" t="s">
        <v>4904</v>
      </c>
      <c r="H180" s="971" t="s">
        <v>565</v>
      </c>
      <c r="I180" s="1273" t="s">
        <v>7479</v>
      </c>
      <c r="J180" s="971" t="s">
        <v>7452</v>
      </c>
      <c r="K180" s="971" t="s">
        <v>1768</v>
      </c>
      <c r="L180" s="971" t="s">
        <v>3420</v>
      </c>
      <c r="M180" s="971" t="s">
        <v>1768</v>
      </c>
      <c r="N180" s="971" t="s">
        <v>179</v>
      </c>
      <c r="O180" s="971" t="s">
        <v>1769</v>
      </c>
      <c r="P180" s="971" t="s">
        <v>7453</v>
      </c>
      <c r="Q180" s="971" t="s">
        <v>7480</v>
      </c>
      <c r="R180" s="971" t="s">
        <v>4946</v>
      </c>
      <c r="S180" s="1274">
        <v>1</v>
      </c>
      <c r="T180" s="971" t="s">
        <v>242</v>
      </c>
      <c r="U180" s="1275">
        <v>8.1</v>
      </c>
      <c r="V180" s="1275">
        <v>106.5</v>
      </c>
      <c r="W180" s="1275">
        <v>809.29838571428581</v>
      </c>
      <c r="X180" s="1275">
        <v>1065</v>
      </c>
      <c r="Y180" s="1275">
        <v>1980.7983857142858</v>
      </c>
      <c r="Z180" s="1129">
        <v>8.1</v>
      </c>
      <c r="AA180" s="1129">
        <v>106.5</v>
      </c>
      <c r="AB180" s="1129">
        <v>809.29838571428581</v>
      </c>
      <c r="AC180" s="1129">
        <v>1065</v>
      </c>
      <c r="AD180" s="1098">
        <v>1980.7983857142858</v>
      </c>
      <c r="AE180" s="1237">
        <v>0.5</v>
      </c>
      <c r="AF180" s="1133">
        <v>0.5</v>
      </c>
      <c r="AG180" s="1127">
        <v>1</v>
      </c>
      <c r="AH180" s="1127">
        <v>0</v>
      </c>
      <c r="AI180" s="1127">
        <v>0</v>
      </c>
      <c r="AJ180" s="1127">
        <v>1</v>
      </c>
      <c r="AK180" s="1129">
        <v>1980.7983857142858</v>
      </c>
      <c r="AL180" s="1129">
        <v>0</v>
      </c>
      <c r="AM180" s="1129">
        <v>0</v>
      </c>
      <c r="AN180" s="1129">
        <v>1980.7983857142858</v>
      </c>
      <c r="AO180" s="1129" t="s">
        <v>85</v>
      </c>
      <c r="AP180" s="1129" t="s">
        <v>96</v>
      </c>
      <c r="AQ180" s="1157">
        <v>2014</v>
      </c>
      <c r="AR180" s="1129" t="s">
        <v>87</v>
      </c>
      <c r="AS180" s="1127">
        <v>0.33333333333333331</v>
      </c>
      <c r="AT180" s="1127"/>
      <c r="AU180" s="1127">
        <v>0.33333333333333331</v>
      </c>
      <c r="AV180" s="1127"/>
      <c r="AW180" s="1127"/>
      <c r="AX180" s="1127"/>
      <c r="AY180" s="1127"/>
      <c r="AZ180" s="1127">
        <v>0.33333333333333331</v>
      </c>
      <c r="BA180" s="1129">
        <v>660.26612857142857</v>
      </c>
      <c r="BB180" s="1129">
        <v>0</v>
      </c>
      <c r="BC180" s="1129">
        <v>660.26612857142857</v>
      </c>
      <c r="BD180" s="1129">
        <v>0</v>
      </c>
      <c r="BE180" s="1129">
        <v>0</v>
      </c>
      <c r="BF180" s="1129">
        <v>0</v>
      </c>
      <c r="BG180" s="1129">
        <v>0</v>
      </c>
      <c r="BH180" s="1129">
        <v>660.26612857142857</v>
      </c>
      <c r="BI180" s="1981"/>
      <c r="BJ180" s="971"/>
      <c r="BK180" s="971"/>
      <c r="BL180" s="1246"/>
      <c r="BM180" s="1247" t="s">
        <v>1768</v>
      </c>
    </row>
    <row r="181" spans="1:65" s="1247" customFormat="1" ht="49.5" customHeight="1">
      <c r="A181" s="1272">
        <v>4000</v>
      </c>
      <c r="B181" s="971" t="s">
        <v>1316</v>
      </c>
      <c r="C181" s="1272">
        <v>4500</v>
      </c>
      <c r="D181" s="971" t="s">
        <v>452</v>
      </c>
      <c r="E181" s="971" t="s">
        <v>1546</v>
      </c>
      <c r="F181" s="971" t="s">
        <v>454</v>
      </c>
      <c r="G181" s="971" t="s">
        <v>4904</v>
      </c>
      <c r="H181" s="971" t="s">
        <v>565</v>
      </c>
      <c r="I181" s="1273" t="s">
        <v>7481</v>
      </c>
      <c r="J181" s="971" t="s">
        <v>7452</v>
      </c>
      <c r="K181" s="971" t="s">
        <v>1768</v>
      </c>
      <c r="L181" s="971" t="s">
        <v>3420</v>
      </c>
      <c r="M181" s="971" t="s">
        <v>1768</v>
      </c>
      <c r="N181" s="971" t="s">
        <v>179</v>
      </c>
      <c r="O181" s="971" t="s">
        <v>1769</v>
      </c>
      <c r="P181" s="971" t="s">
        <v>7453</v>
      </c>
      <c r="Q181" s="971" t="s">
        <v>7482</v>
      </c>
      <c r="R181" s="971" t="s">
        <v>4949</v>
      </c>
      <c r="S181" s="1274">
        <v>1</v>
      </c>
      <c r="T181" s="971" t="s">
        <v>242</v>
      </c>
      <c r="U181" s="1275">
        <v>8.1</v>
      </c>
      <c r="V181" s="1275">
        <v>106.5</v>
      </c>
      <c r="W181" s="1275">
        <v>809.29838571428581</v>
      </c>
      <c r="X181" s="1275">
        <v>1065</v>
      </c>
      <c r="Y181" s="1275">
        <v>1980.7983857142858</v>
      </c>
      <c r="Z181" s="1129">
        <v>8.1</v>
      </c>
      <c r="AA181" s="1129">
        <v>106.5</v>
      </c>
      <c r="AB181" s="1129">
        <v>809.29838571428581</v>
      </c>
      <c r="AC181" s="1129">
        <v>1065</v>
      </c>
      <c r="AD181" s="1098">
        <v>1980.7983857142858</v>
      </c>
      <c r="AE181" s="1237">
        <v>0.5</v>
      </c>
      <c r="AF181" s="1133">
        <v>0.5</v>
      </c>
      <c r="AG181" s="1127">
        <v>1</v>
      </c>
      <c r="AH181" s="1127">
        <v>0</v>
      </c>
      <c r="AI181" s="1127">
        <v>0</v>
      </c>
      <c r="AJ181" s="1127">
        <v>1</v>
      </c>
      <c r="AK181" s="1129">
        <v>1980.7983857142858</v>
      </c>
      <c r="AL181" s="1129">
        <v>0</v>
      </c>
      <c r="AM181" s="1129">
        <v>0</v>
      </c>
      <c r="AN181" s="1129">
        <v>1980.7983857142858</v>
      </c>
      <c r="AO181" s="1129" t="s">
        <v>85</v>
      </c>
      <c r="AP181" s="1129" t="s">
        <v>96</v>
      </c>
      <c r="AQ181" s="1157">
        <v>2014</v>
      </c>
      <c r="AR181" s="1129" t="s">
        <v>87</v>
      </c>
      <c r="AS181" s="1127">
        <v>0.33333333333333331</v>
      </c>
      <c r="AT181" s="1127"/>
      <c r="AU181" s="1127">
        <v>0.33333333333333331</v>
      </c>
      <c r="AV181" s="1127"/>
      <c r="AW181" s="1127"/>
      <c r="AX181" s="1127"/>
      <c r="AY181" s="1127"/>
      <c r="AZ181" s="1127">
        <v>0.33333333333333331</v>
      </c>
      <c r="BA181" s="1129">
        <v>660.26612857142857</v>
      </c>
      <c r="BB181" s="1129">
        <v>0</v>
      </c>
      <c r="BC181" s="1129">
        <v>660.26612857142857</v>
      </c>
      <c r="BD181" s="1129">
        <v>0</v>
      </c>
      <c r="BE181" s="1129">
        <v>0</v>
      </c>
      <c r="BF181" s="1129">
        <v>0</v>
      </c>
      <c r="BG181" s="1129">
        <v>0</v>
      </c>
      <c r="BH181" s="1129">
        <v>660.26612857142857</v>
      </c>
      <c r="BI181" s="1981"/>
      <c r="BJ181" s="971"/>
      <c r="BK181" s="971"/>
      <c r="BL181" s="1246"/>
      <c r="BM181" s="1247" t="s">
        <v>1768</v>
      </c>
    </row>
    <row r="182" spans="1:65" s="1247" customFormat="1" ht="49.5" customHeight="1">
      <c r="A182" s="1272">
        <v>4000</v>
      </c>
      <c r="B182" s="971" t="s">
        <v>1316</v>
      </c>
      <c r="C182" s="1272">
        <v>4500</v>
      </c>
      <c r="D182" s="971" t="s">
        <v>452</v>
      </c>
      <c r="E182" s="971" t="s">
        <v>1546</v>
      </c>
      <c r="F182" s="971" t="s">
        <v>454</v>
      </c>
      <c r="G182" s="971" t="s">
        <v>4904</v>
      </c>
      <c r="H182" s="971" t="s">
        <v>565</v>
      </c>
      <c r="I182" s="1273" t="s">
        <v>7483</v>
      </c>
      <c r="J182" s="971" t="s">
        <v>7452</v>
      </c>
      <c r="K182" s="971" t="s">
        <v>1768</v>
      </c>
      <c r="L182" s="971" t="s">
        <v>3420</v>
      </c>
      <c r="M182" s="971" t="s">
        <v>1768</v>
      </c>
      <c r="N182" s="971" t="s">
        <v>179</v>
      </c>
      <c r="O182" s="971" t="s">
        <v>1769</v>
      </c>
      <c r="P182" s="971" t="s">
        <v>7453</v>
      </c>
      <c r="Q182" s="971" t="s">
        <v>7484</v>
      </c>
      <c r="R182" s="971" t="s">
        <v>4952</v>
      </c>
      <c r="S182" s="1274">
        <v>1</v>
      </c>
      <c r="T182" s="971" t="s">
        <v>242</v>
      </c>
      <c r="U182" s="1275">
        <v>8.1</v>
      </c>
      <c r="V182" s="1275">
        <v>106.5</v>
      </c>
      <c r="W182" s="1275">
        <v>809.29838571428581</v>
      </c>
      <c r="X182" s="1275">
        <v>1065</v>
      </c>
      <c r="Y182" s="1275">
        <v>1980.7983857142858</v>
      </c>
      <c r="Z182" s="1129">
        <v>8.1</v>
      </c>
      <c r="AA182" s="1129">
        <v>106.5</v>
      </c>
      <c r="AB182" s="1129">
        <v>809.29838571428581</v>
      </c>
      <c r="AC182" s="1129">
        <v>1065</v>
      </c>
      <c r="AD182" s="1098">
        <v>1980.7983857142858</v>
      </c>
      <c r="AE182" s="1237">
        <v>0.5</v>
      </c>
      <c r="AF182" s="1133">
        <v>0.5</v>
      </c>
      <c r="AG182" s="1127">
        <v>1</v>
      </c>
      <c r="AH182" s="1127">
        <v>0</v>
      </c>
      <c r="AI182" s="1127">
        <v>0</v>
      </c>
      <c r="AJ182" s="1127">
        <v>1</v>
      </c>
      <c r="AK182" s="1129">
        <v>1980.7983857142858</v>
      </c>
      <c r="AL182" s="1129">
        <v>0</v>
      </c>
      <c r="AM182" s="1129">
        <v>0</v>
      </c>
      <c r="AN182" s="1129">
        <v>1980.7983857142858</v>
      </c>
      <c r="AO182" s="1129" t="s">
        <v>85</v>
      </c>
      <c r="AP182" s="1129" t="s">
        <v>96</v>
      </c>
      <c r="AQ182" s="1157">
        <v>2014</v>
      </c>
      <c r="AR182" s="1129" t="s">
        <v>87</v>
      </c>
      <c r="AS182" s="1127">
        <v>0.33333333333333331</v>
      </c>
      <c r="AT182" s="1127"/>
      <c r="AU182" s="1127">
        <v>0.33333333333333331</v>
      </c>
      <c r="AV182" s="1127"/>
      <c r="AW182" s="1127"/>
      <c r="AX182" s="1127"/>
      <c r="AY182" s="1127"/>
      <c r="AZ182" s="1127">
        <v>0.33333333333333331</v>
      </c>
      <c r="BA182" s="1129">
        <v>660.26612857142857</v>
      </c>
      <c r="BB182" s="1129">
        <v>0</v>
      </c>
      <c r="BC182" s="1129">
        <v>660.26612857142857</v>
      </c>
      <c r="BD182" s="1129">
        <v>0</v>
      </c>
      <c r="BE182" s="1129">
        <v>0</v>
      </c>
      <c r="BF182" s="1129">
        <v>0</v>
      </c>
      <c r="BG182" s="1129">
        <v>0</v>
      </c>
      <c r="BH182" s="1129">
        <v>660.26612857142857</v>
      </c>
      <c r="BI182" s="1981"/>
      <c r="BJ182" s="971"/>
      <c r="BK182" s="971"/>
      <c r="BL182" s="1246"/>
      <c r="BM182" s="1247" t="s">
        <v>1768</v>
      </c>
    </row>
    <row r="183" spans="1:65" s="1247" customFormat="1" ht="49.5" customHeight="1">
      <c r="A183" s="1272">
        <v>4000</v>
      </c>
      <c r="B183" s="971" t="s">
        <v>1316</v>
      </c>
      <c r="C183" s="1272">
        <v>4500</v>
      </c>
      <c r="D183" s="971" t="s">
        <v>452</v>
      </c>
      <c r="E183" s="971" t="s">
        <v>1546</v>
      </c>
      <c r="F183" s="971" t="s">
        <v>454</v>
      </c>
      <c r="G183" s="971" t="s">
        <v>4904</v>
      </c>
      <c r="H183" s="971" t="s">
        <v>565</v>
      </c>
      <c r="I183" s="1273" t="s">
        <v>7485</v>
      </c>
      <c r="J183" s="971" t="s">
        <v>7452</v>
      </c>
      <c r="K183" s="971" t="s">
        <v>1768</v>
      </c>
      <c r="L183" s="971" t="s">
        <v>3420</v>
      </c>
      <c r="M183" s="971" t="s">
        <v>1768</v>
      </c>
      <c r="N183" s="971" t="s">
        <v>179</v>
      </c>
      <c r="O183" s="971" t="s">
        <v>1769</v>
      </c>
      <c r="P183" s="971" t="s">
        <v>7453</v>
      </c>
      <c r="Q183" s="971" t="s">
        <v>7484</v>
      </c>
      <c r="R183" s="971" t="s">
        <v>4956</v>
      </c>
      <c r="S183" s="1274">
        <v>1</v>
      </c>
      <c r="T183" s="971" t="s">
        <v>242</v>
      </c>
      <c r="U183" s="1275">
        <v>8.1</v>
      </c>
      <c r="V183" s="1275">
        <v>106.5</v>
      </c>
      <c r="W183" s="1275">
        <v>809.29838571428581</v>
      </c>
      <c r="X183" s="1275">
        <v>1065</v>
      </c>
      <c r="Y183" s="1275">
        <v>1980.7983857142858</v>
      </c>
      <c r="Z183" s="1129">
        <v>8.1</v>
      </c>
      <c r="AA183" s="1129">
        <v>106.5</v>
      </c>
      <c r="AB183" s="1129">
        <v>809.29838571428581</v>
      </c>
      <c r="AC183" s="1129">
        <v>1065</v>
      </c>
      <c r="AD183" s="1098">
        <v>1980.7983857142858</v>
      </c>
      <c r="AE183" s="1237">
        <v>0.5</v>
      </c>
      <c r="AF183" s="1133">
        <v>0.5</v>
      </c>
      <c r="AG183" s="1127">
        <v>1</v>
      </c>
      <c r="AH183" s="1127">
        <v>0</v>
      </c>
      <c r="AI183" s="1127">
        <v>0</v>
      </c>
      <c r="AJ183" s="1127">
        <v>1</v>
      </c>
      <c r="AK183" s="1129">
        <v>1980.7983857142858</v>
      </c>
      <c r="AL183" s="1129">
        <v>0</v>
      </c>
      <c r="AM183" s="1129">
        <v>0</v>
      </c>
      <c r="AN183" s="1129">
        <v>1980.7983857142858</v>
      </c>
      <c r="AO183" s="1129" t="s">
        <v>85</v>
      </c>
      <c r="AP183" s="1129" t="s">
        <v>96</v>
      </c>
      <c r="AQ183" s="1157">
        <v>2014</v>
      </c>
      <c r="AR183" s="1129" t="s">
        <v>87</v>
      </c>
      <c r="AS183" s="1127">
        <v>0.33333333333333331</v>
      </c>
      <c r="AT183" s="1127"/>
      <c r="AU183" s="1127">
        <v>0.33333333333333331</v>
      </c>
      <c r="AV183" s="1127"/>
      <c r="AW183" s="1127"/>
      <c r="AX183" s="1127"/>
      <c r="AY183" s="1127"/>
      <c r="AZ183" s="1127">
        <v>0.33333333333333331</v>
      </c>
      <c r="BA183" s="1129">
        <v>660.26612857142857</v>
      </c>
      <c r="BB183" s="1129">
        <v>0</v>
      </c>
      <c r="BC183" s="1129">
        <v>660.26612857142857</v>
      </c>
      <c r="BD183" s="1129">
        <v>0</v>
      </c>
      <c r="BE183" s="1129">
        <v>0</v>
      </c>
      <c r="BF183" s="1129">
        <v>0</v>
      </c>
      <c r="BG183" s="1129">
        <v>0</v>
      </c>
      <c r="BH183" s="1129">
        <v>660.26612857142857</v>
      </c>
      <c r="BI183" s="1981"/>
      <c r="BJ183" s="971"/>
      <c r="BK183" s="971"/>
      <c r="BL183" s="1246"/>
      <c r="BM183" s="1247" t="s">
        <v>1768</v>
      </c>
    </row>
    <row r="184" spans="1:65" s="1247" customFormat="1" ht="49.5" customHeight="1">
      <c r="A184" s="1272">
        <v>4000</v>
      </c>
      <c r="B184" s="971" t="s">
        <v>1316</v>
      </c>
      <c r="C184" s="1272">
        <v>4500</v>
      </c>
      <c r="D184" s="971" t="s">
        <v>452</v>
      </c>
      <c r="E184" s="971" t="s">
        <v>1546</v>
      </c>
      <c r="F184" s="971" t="s">
        <v>454</v>
      </c>
      <c r="G184" s="971" t="s">
        <v>4904</v>
      </c>
      <c r="H184" s="971" t="s">
        <v>565</v>
      </c>
      <c r="I184" s="1273" t="s">
        <v>7486</v>
      </c>
      <c r="J184" s="971" t="s">
        <v>7452</v>
      </c>
      <c r="K184" s="971" t="s">
        <v>1768</v>
      </c>
      <c r="L184" s="971" t="s">
        <v>3420</v>
      </c>
      <c r="M184" s="971" t="s">
        <v>1768</v>
      </c>
      <c r="N184" s="971" t="s">
        <v>179</v>
      </c>
      <c r="O184" s="971" t="s">
        <v>1769</v>
      </c>
      <c r="P184" s="971" t="s">
        <v>7453</v>
      </c>
      <c r="Q184" s="971" t="s">
        <v>7487</v>
      </c>
      <c r="R184" s="971" t="s">
        <v>4957</v>
      </c>
      <c r="S184" s="1274">
        <v>1</v>
      </c>
      <c r="T184" s="971" t="s">
        <v>242</v>
      </c>
      <c r="U184" s="1275">
        <v>8.1</v>
      </c>
      <c r="V184" s="1275">
        <v>106.5</v>
      </c>
      <c r="W184" s="1275">
        <v>809.29838571428581</v>
      </c>
      <c r="X184" s="1275">
        <v>1065</v>
      </c>
      <c r="Y184" s="1275">
        <v>1980.7983857142858</v>
      </c>
      <c r="Z184" s="1129">
        <v>8.1</v>
      </c>
      <c r="AA184" s="1129">
        <v>106.5</v>
      </c>
      <c r="AB184" s="1129">
        <v>809.29838571428581</v>
      </c>
      <c r="AC184" s="1129">
        <v>1065</v>
      </c>
      <c r="AD184" s="1098">
        <v>1980.7983857142858</v>
      </c>
      <c r="AE184" s="1237">
        <v>0.5</v>
      </c>
      <c r="AF184" s="1133">
        <v>0.5</v>
      </c>
      <c r="AG184" s="1127">
        <v>1</v>
      </c>
      <c r="AH184" s="1127">
        <v>0</v>
      </c>
      <c r="AI184" s="1127">
        <v>0</v>
      </c>
      <c r="AJ184" s="1127">
        <v>1</v>
      </c>
      <c r="AK184" s="1129">
        <v>1980.7983857142858</v>
      </c>
      <c r="AL184" s="1129">
        <v>0</v>
      </c>
      <c r="AM184" s="1129">
        <v>0</v>
      </c>
      <c r="AN184" s="1129">
        <v>1980.7983857142858</v>
      </c>
      <c r="AO184" s="1129" t="s">
        <v>85</v>
      </c>
      <c r="AP184" s="1129" t="s">
        <v>96</v>
      </c>
      <c r="AQ184" s="1157">
        <v>2014</v>
      </c>
      <c r="AR184" s="1129" t="s">
        <v>87</v>
      </c>
      <c r="AS184" s="1127">
        <v>0.33333333333333331</v>
      </c>
      <c r="AT184" s="1127"/>
      <c r="AU184" s="1127">
        <v>0.33333333333333331</v>
      </c>
      <c r="AV184" s="1127"/>
      <c r="AW184" s="1127"/>
      <c r="AX184" s="1127"/>
      <c r="AY184" s="1127"/>
      <c r="AZ184" s="1127">
        <v>0.33333333333333331</v>
      </c>
      <c r="BA184" s="1129">
        <v>660.26612857142857</v>
      </c>
      <c r="BB184" s="1129">
        <v>0</v>
      </c>
      <c r="BC184" s="1129">
        <v>660.26612857142857</v>
      </c>
      <c r="BD184" s="1129">
        <v>0</v>
      </c>
      <c r="BE184" s="1129">
        <v>0</v>
      </c>
      <c r="BF184" s="1129">
        <v>0</v>
      </c>
      <c r="BG184" s="1129">
        <v>0</v>
      </c>
      <c r="BH184" s="1129">
        <v>660.26612857142857</v>
      </c>
      <c r="BI184" s="1981"/>
      <c r="BJ184" s="971"/>
      <c r="BK184" s="971"/>
      <c r="BL184" s="1246"/>
      <c r="BM184" s="1247" t="s">
        <v>1768</v>
      </c>
    </row>
    <row r="185" spans="1:65" s="1247" customFormat="1" ht="49.5" customHeight="1">
      <c r="A185" s="1272">
        <v>4000</v>
      </c>
      <c r="B185" s="971" t="s">
        <v>1316</v>
      </c>
      <c r="C185" s="1272">
        <v>4500</v>
      </c>
      <c r="D185" s="971" t="s">
        <v>452</v>
      </c>
      <c r="E185" s="971" t="s">
        <v>1546</v>
      </c>
      <c r="F185" s="971" t="s">
        <v>454</v>
      </c>
      <c r="G185" s="971" t="s">
        <v>4904</v>
      </c>
      <c r="H185" s="971" t="s">
        <v>565</v>
      </c>
      <c r="I185" s="1273" t="s">
        <v>7488</v>
      </c>
      <c r="J185" s="971" t="s">
        <v>7452</v>
      </c>
      <c r="K185" s="971" t="s">
        <v>1768</v>
      </c>
      <c r="L185" s="971" t="s">
        <v>3420</v>
      </c>
      <c r="M185" s="971" t="s">
        <v>1768</v>
      </c>
      <c r="N185" s="971" t="s">
        <v>179</v>
      </c>
      <c r="O185" s="971" t="s">
        <v>1769</v>
      </c>
      <c r="P185" s="971" t="s">
        <v>7453</v>
      </c>
      <c r="Q185" s="971" t="s">
        <v>7489</v>
      </c>
      <c r="R185" s="971" t="s">
        <v>4959</v>
      </c>
      <c r="S185" s="1274">
        <v>1</v>
      </c>
      <c r="T185" s="971" t="s">
        <v>242</v>
      </c>
      <c r="U185" s="1275">
        <v>8.1</v>
      </c>
      <c r="V185" s="1275">
        <v>106.5</v>
      </c>
      <c r="W185" s="1275">
        <v>809.29838571428581</v>
      </c>
      <c r="X185" s="1275">
        <v>1065</v>
      </c>
      <c r="Y185" s="1275">
        <v>1980.7983857142858</v>
      </c>
      <c r="Z185" s="1129">
        <v>8.1</v>
      </c>
      <c r="AA185" s="1129">
        <v>106.5</v>
      </c>
      <c r="AB185" s="1129">
        <v>809.29838571428581</v>
      </c>
      <c r="AC185" s="1129">
        <v>1065</v>
      </c>
      <c r="AD185" s="1098">
        <v>1980.7983857142858</v>
      </c>
      <c r="AE185" s="1237">
        <v>0.5</v>
      </c>
      <c r="AF185" s="1133">
        <v>0.5</v>
      </c>
      <c r="AG185" s="1127">
        <v>1</v>
      </c>
      <c r="AH185" s="1127">
        <v>0</v>
      </c>
      <c r="AI185" s="1127">
        <v>0</v>
      </c>
      <c r="AJ185" s="1127">
        <v>1</v>
      </c>
      <c r="AK185" s="1129">
        <v>1980.7983857142858</v>
      </c>
      <c r="AL185" s="1129">
        <v>0</v>
      </c>
      <c r="AM185" s="1129">
        <v>0</v>
      </c>
      <c r="AN185" s="1129">
        <v>1980.7983857142858</v>
      </c>
      <c r="AO185" s="1129" t="s">
        <v>85</v>
      </c>
      <c r="AP185" s="1129" t="s">
        <v>96</v>
      </c>
      <c r="AQ185" s="1157">
        <v>2014</v>
      </c>
      <c r="AR185" s="1129" t="s">
        <v>87</v>
      </c>
      <c r="AS185" s="1127">
        <v>0.33333333333333331</v>
      </c>
      <c r="AT185" s="1127"/>
      <c r="AU185" s="1127">
        <v>0.33333333333333331</v>
      </c>
      <c r="AV185" s="1127"/>
      <c r="AW185" s="1127"/>
      <c r="AX185" s="1127"/>
      <c r="AY185" s="1127"/>
      <c r="AZ185" s="1127">
        <v>0.33333333333333331</v>
      </c>
      <c r="BA185" s="1129">
        <v>660.26612857142857</v>
      </c>
      <c r="BB185" s="1129">
        <v>0</v>
      </c>
      <c r="BC185" s="1129">
        <v>660.26612857142857</v>
      </c>
      <c r="BD185" s="1129">
        <v>0</v>
      </c>
      <c r="BE185" s="1129">
        <v>0</v>
      </c>
      <c r="BF185" s="1129">
        <v>0</v>
      </c>
      <c r="BG185" s="1129">
        <v>0</v>
      </c>
      <c r="BH185" s="1129">
        <v>660.26612857142857</v>
      </c>
      <c r="BI185" s="1981"/>
      <c r="BJ185" s="971"/>
      <c r="BK185" s="971"/>
      <c r="BL185" s="1246"/>
      <c r="BM185" s="1247" t="s">
        <v>1768</v>
      </c>
    </row>
    <row r="186" spans="1:65" s="1247" customFormat="1" ht="49.5" customHeight="1">
      <c r="A186" s="1272">
        <v>4000</v>
      </c>
      <c r="B186" s="971" t="s">
        <v>1316</v>
      </c>
      <c r="C186" s="1272">
        <v>4500</v>
      </c>
      <c r="D186" s="971" t="s">
        <v>452</v>
      </c>
      <c r="E186" s="971" t="s">
        <v>1546</v>
      </c>
      <c r="F186" s="971" t="s">
        <v>454</v>
      </c>
      <c r="G186" s="971" t="s">
        <v>4904</v>
      </c>
      <c r="H186" s="971" t="s">
        <v>565</v>
      </c>
      <c r="I186" s="1273" t="s">
        <v>7490</v>
      </c>
      <c r="J186" s="971" t="s">
        <v>7452</v>
      </c>
      <c r="K186" s="971" t="s">
        <v>1768</v>
      </c>
      <c r="L186" s="971" t="s">
        <v>3420</v>
      </c>
      <c r="M186" s="971" t="s">
        <v>1768</v>
      </c>
      <c r="N186" s="971" t="s">
        <v>179</v>
      </c>
      <c r="O186" s="971" t="s">
        <v>1769</v>
      </c>
      <c r="P186" s="971" t="s">
        <v>7453</v>
      </c>
      <c r="Q186" s="971" t="s">
        <v>7491</v>
      </c>
      <c r="R186" s="971" t="s">
        <v>4962</v>
      </c>
      <c r="S186" s="1274">
        <v>1</v>
      </c>
      <c r="T186" s="971" t="s">
        <v>242</v>
      </c>
      <c r="U186" s="1275">
        <v>8.1</v>
      </c>
      <c r="V186" s="1275">
        <v>106.5</v>
      </c>
      <c r="W186" s="1275">
        <v>809.29838571428581</v>
      </c>
      <c r="X186" s="1275">
        <v>1065</v>
      </c>
      <c r="Y186" s="1275">
        <v>1980.7983857142858</v>
      </c>
      <c r="Z186" s="1129">
        <v>8.1</v>
      </c>
      <c r="AA186" s="1129">
        <v>106.5</v>
      </c>
      <c r="AB186" s="1129">
        <v>809.29838571428581</v>
      </c>
      <c r="AC186" s="1129">
        <v>1065</v>
      </c>
      <c r="AD186" s="1098">
        <v>1980.7983857142858</v>
      </c>
      <c r="AE186" s="1237">
        <v>0.5</v>
      </c>
      <c r="AF186" s="1133">
        <v>0.5</v>
      </c>
      <c r="AG186" s="1127">
        <v>1</v>
      </c>
      <c r="AH186" s="1127">
        <v>0</v>
      </c>
      <c r="AI186" s="1127">
        <v>0</v>
      </c>
      <c r="AJ186" s="1127">
        <v>1</v>
      </c>
      <c r="AK186" s="1129">
        <v>1980.7983857142858</v>
      </c>
      <c r="AL186" s="1129">
        <v>0</v>
      </c>
      <c r="AM186" s="1129">
        <v>0</v>
      </c>
      <c r="AN186" s="1129">
        <v>1980.7983857142858</v>
      </c>
      <c r="AO186" s="1129" t="s">
        <v>85</v>
      </c>
      <c r="AP186" s="1129" t="s">
        <v>96</v>
      </c>
      <c r="AQ186" s="1157">
        <v>2014</v>
      </c>
      <c r="AR186" s="1129" t="s">
        <v>87</v>
      </c>
      <c r="AS186" s="1127">
        <v>0.33333333333333331</v>
      </c>
      <c r="AT186" s="1127"/>
      <c r="AU186" s="1127">
        <v>0.33333333333333331</v>
      </c>
      <c r="AV186" s="1127"/>
      <c r="AW186" s="1127"/>
      <c r="AX186" s="1127"/>
      <c r="AY186" s="1127"/>
      <c r="AZ186" s="1127">
        <v>0.33333333333333331</v>
      </c>
      <c r="BA186" s="1129">
        <v>660.26612857142857</v>
      </c>
      <c r="BB186" s="1129">
        <v>0</v>
      </c>
      <c r="BC186" s="1129">
        <v>660.26612857142857</v>
      </c>
      <c r="BD186" s="1129">
        <v>0</v>
      </c>
      <c r="BE186" s="1129">
        <v>0</v>
      </c>
      <c r="BF186" s="1129">
        <v>0</v>
      </c>
      <c r="BG186" s="1129">
        <v>0</v>
      </c>
      <c r="BH186" s="1129">
        <v>660.26612857142857</v>
      </c>
      <c r="BI186" s="1981"/>
      <c r="BJ186" s="971"/>
      <c r="BK186" s="971"/>
      <c r="BL186" s="1246"/>
      <c r="BM186" s="1247" t="s">
        <v>1768</v>
      </c>
    </row>
    <row r="187" spans="1:65" s="1247" customFormat="1" ht="49.5" customHeight="1">
      <c r="A187" s="1272">
        <v>4000</v>
      </c>
      <c r="B187" s="971" t="s">
        <v>1316</v>
      </c>
      <c r="C187" s="1272">
        <v>4500</v>
      </c>
      <c r="D187" s="971" t="s">
        <v>452</v>
      </c>
      <c r="E187" s="971" t="s">
        <v>1546</v>
      </c>
      <c r="F187" s="971" t="s">
        <v>454</v>
      </c>
      <c r="G187" s="971" t="s">
        <v>4904</v>
      </c>
      <c r="H187" s="971" t="s">
        <v>565</v>
      </c>
      <c r="I187" s="1273" t="s">
        <v>7492</v>
      </c>
      <c r="J187" s="971" t="s">
        <v>7452</v>
      </c>
      <c r="K187" s="971" t="s">
        <v>1768</v>
      </c>
      <c r="L187" s="971" t="s">
        <v>3420</v>
      </c>
      <c r="M187" s="971" t="s">
        <v>1768</v>
      </c>
      <c r="N187" s="971" t="s">
        <v>179</v>
      </c>
      <c r="O187" s="971" t="s">
        <v>1769</v>
      </c>
      <c r="P187" s="971" t="s">
        <v>7453</v>
      </c>
      <c r="Q187" s="971" t="s">
        <v>7493</v>
      </c>
      <c r="R187" s="971" t="s">
        <v>4964</v>
      </c>
      <c r="S187" s="1274">
        <v>1</v>
      </c>
      <c r="T187" s="971" t="s">
        <v>242</v>
      </c>
      <c r="U187" s="1275">
        <v>8.1</v>
      </c>
      <c r="V187" s="1275">
        <v>106.5</v>
      </c>
      <c r="W187" s="1275">
        <v>809.29838571428581</v>
      </c>
      <c r="X187" s="1275">
        <v>1065</v>
      </c>
      <c r="Y187" s="1275">
        <v>1980.7983857142858</v>
      </c>
      <c r="Z187" s="1129">
        <v>8.1</v>
      </c>
      <c r="AA187" s="1129">
        <v>106.5</v>
      </c>
      <c r="AB187" s="1129">
        <v>809.29838571428581</v>
      </c>
      <c r="AC187" s="1129">
        <v>1065</v>
      </c>
      <c r="AD187" s="1098">
        <v>1980.7983857142858</v>
      </c>
      <c r="AE187" s="1237">
        <v>0.5</v>
      </c>
      <c r="AF187" s="1133">
        <v>0.5</v>
      </c>
      <c r="AG187" s="1127">
        <v>1</v>
      </c>
      <c r="AH187" s="1127">
        <v>0</v>
      </c>
      <c r="AI187" s="1127">
        <v>0</v>
      </c>
      <c r="AJ187" s="1127">
        <v>1</v>
      </c>
      <c r="AK187" s="1129">
        <v>1980.7983857142858</v>
      </c>
      <c r="AL187" s="1129">
        <v>0</v>
      </c>
      <c r="AM187" s="1129">
        <v>0</v>
      </c>
      <c r="AN187" s="1129">
        <v>1980.7983857142858</v>
      </c>
      <c r="AO187" s="1129" t="s">
        <v>85</v>
      </c>
      <c r="AP187" s="1129" t="s">
        <v>96</v>
      </c>
      <c r="AQ187" s="1157">
        <v>2014</v>
      </c>
      <c r="AR187" s="1129" t="s">
        <v>87</v>
      </c>
      <c r="AS187" s="1127">
        <v>0.33333333333333331</v>
      </c>
      <c r="AT187" s="1127"/>
      <c r="AU187" s="1127">
        <v>0.33333333333333331</v>
      </c>
      <c r="AV187" s="1127"/>
      <c r="AW187" s="1127"/>
      <c r="AX187" s="1127"/>
      <c r="AY187" s="1127"/>
      <c r="AZ187" s="1127">
        <v>0.33333333333333331</v>
      </c>
      <c r="BA187" s="1129">
        <v>660.26612857142857</v>
      </c>
      <c r="BB187" s="1129">
        <v>0</v>
      </c>
      <c r="BC187" s="1129">
        <v>660.26612857142857</v>
      </c>
      <c r="BD187" s="1129">
        <v>0</v>
      </c>
      <c r="BE187" s="1129">
        <v>0</v>
      </c>
      <c r="BF187" s="1129">
        <v>0</v>
      </c>
      <c r="BG187" s="1129">
        <v>0</v>
      </c>
      <c r="BH187" s="1129">
        <v>660.26612857142857</v>
      </c>
      <c r="BI187" s="1981"/>
      <c r="BJ187" s="971"/>
      <c r="BK187" s="971"/>
      <c r="BL187" s="1246"/>
      <c r="BM187" s="1247" t="s">
        <v>1768</v>
      </c>
    </row>
    <row r="188" spans="1:65" s="1247" customFormat="1" ht="49.5" customHeight="1">
      <c r="A188" s="1272">
        <v>4000</v>
      </c>
      <c r="B188" s="971" t="s">
        <v>1316</v>
      </c>
      <c r="C188" s="1272">
        <v>4500</v>
      </c>
      <c r="D188" s="971" t="s">
        <v>452</v>
      </c>
      <c r="E188" s="971" t="s">
        <v>1546</v>
      </c>
      <c r="F188" s="971" t="s">
        <v>454</v>
      </c>
      <c r="G188" s="971" t="s">
        <v>4904</v>
      </c>
      <c r="H188" s="971" t="s">
        <v>565</v>
      </c>
      <c r="I188" s="1273" t="s">
        <v>7494</v>
      </c>
      <c r="J188" s="971" t="s">
        <v>7452</v>
      </c>
      <c r="K188" s="971" t="s">
        <v>1768</v>
      </c>
      <c r="L188" s="971" t="s">
        <v>3420</v>
      </c>
      <c r="M188" s="971" t="s">
        <v>1768</v>
      </c>
      <c r="N188" s="971" t="s">
        <v>179</v>
      </c>
      <c r="O188" s="971" t="s">
        <v>1769</v>
      </c>
      <c r="P188" s="971" t="s">
        <v>7453</v>
      </c>
      <c r="Q188" s="971" t="s">
        <v>7495</v>
      </c>
      <c r="R188" s="971" t="s">
        <v>4967</v>
      </c>
      <c r="S188" s="1274">
        <v>1</v>
      </c>
      <c r="T188" s="971" t="s">
        <v>242</v>
      </c>
      <c r="U188" s="1275">
        <v>8.1</v>
      </c>
      <c r="V188" s="1275">
        <v>106.5</v>
      </c>
      <c r="W188" s="1275">
        <v>809.29838571428581</v>
      </c>
      <c r="X188" s="1275">
        <v>1065</v>
      </c>
      <c r="Y188" s="1275">
        <v>1980.7983857142858</v>
      </c>
      <c r="Z188" s="1129">
        <v>8.1</v>
      </c>
      <c r="AA188" s="1129">
        <v>106.5</v>
      </c>
      <c r="AB188" s="1129">
        <v>809.29838571428581</v>
      </c>
      <c r="AC188" s="1129">
        <v>1065</v>
      </c>
      <c r="AD188" s="1098">
        <v>1980.7983857142858</v>
      </c>
      <c r="AE188" s="1237">
        <v>0.5</v>
      </c>
      <c r="AF188" s="1133">
        <v>0.5</v>
      </c>
      <c r="AG188" s="1127">
        <v>1</v>
      </c>
      <c r="AH188" s="1127">
        <v>0</v>
      </c>
      <c r="AI188" s="1127">
        <v>0</v>
      </c>
      <c r="AJ188" s="1127">
        <v>1</v>
      </c>
      <c r="AK188" s="1129">
        <v>1980.7983857142858</v>
      </c>
      <c r="AL188" s="1129">
        <v>0</v>
      </c>
      <c r="AM188" s="1129">
        <v>0</v>
      </c>
      <c r="AN188" s="1129">
        <v>1980.7983857142858</v>
      </c>
      <c r="AO188" s="1129" t="s">
        <v>85</v>
      </c>
      <c r="AP188" s="1129" t="s">
        <v>96</v>
      </c>
      <c r="AQ188" s="1157">
        <v>2014</v>
      </c>
      <c r="AR188" s="1129" t="s">
        <v>87</v>
      </c>
      <c r="AS188" s="1127">
        <v>0.33333333333333331</v>
      </c>
      <c r="AT188" s="1127"/>
      <c r="AU188" s="1127">
        <v>0.33333333333333331</v>
      </c>
      <c r="AV188" s="1127"/>
      <c r="AW188" s="1127"/>
      <c r="AX188" s="1127"/>
      <c r="AY188" s="1127"/>
      <c r="AZ188" s="1127">
        <v>0.33333333333333331</v>
      </c>
      <c r="BA188" s="1129">
        <v>660.26612857142857</v>
      </c>
      <c r="BB188" s="1129">
        <v>0</v>
      </c>
      <c r="BC188" s="1129">
        <v>660.26612857142857</v>
      </c>
      <c r="BD188" s="1129">
        <v>0</v>
      </c>
      <c r="BE188" s="1129">
        <v>0</v>
      </c>
      <c r="BF188" s="1129">
        <v>0</v>
      </c>
      <c r="BG188" s="1129">
        <v>0</v>
      </c>
      <c r="BH188" s="1129">
        <v>660.26612857142857</v>
      </c>
      <c r="BI188" s="1981"/>
      <c r="BJ188" s="971"/>
      <c r="BK188" s="971"/>
      <c r="BL188" s="1246"/>
      <c r="BM188" s="1247" t="s">
        <v>1768</v>
      </c>
    </row>
    <row r="189" spans="1:65" s="1247" customFormat="1" ht="49.5" customHeight="1">
      <c r="A189" s="1272">
        <v>4000</v>
      </c>
      <c r="B189" s="971" t="s">
        <v>1316</v>
      </c>
      <c r="C189" s="1272">
        <v>4500</v>
      </c>
      <c r="D189" s="971" t="s">
        <v>452</v>
      </c>
      <c r="E189" s="971" t="s">
        <v>1546</v>
      </c>
      <c r="F189" s="971" t="s">
        <v>454</v>
      </c>
      <c r="G189" s="971" t="s">
        <v>4904</v>
      </c>
      <c r="H189" s="971" t="s">
        <v>565</v>
      </c>
      <c r="I189" s="1273" t="s">
        <v>7496</v>
      </c>
      <c r="J189" s="971" t="s">
        <v>7452</v>
      </c>
      <c r="K189" s="971" t="s">
        <v>1768</v>
      </c>
      <c r="L189" s="971" t="s">
        <v>3420</v>
      </c>
      <c r="M189" s="971" t="s">
        <v>1768</v>
      </c>
      <c r="N189" s="971" t="s">
        <v>179</v>
      </c>
      <c r="O189" s="971" t="s">
        <v>1769</v>
      </c>
      <c r="P189" s="971" t="s">
        <v>6663</v>
      </c>
      <c r="Q189" s="971" t="s">
        <v>7497</v>
      </c>
      <c r="R189" s="971" t="s">
        <v>4971</v>
      </c>
      <c r="S189" s="1274">
        <v>1</v>
      </c>
      <c r="T189" s="971" t="s">
        <v>242</v>
      </c>
      <c r="U189" s="1275">
        <v>8.1</v>
      </c>
      <c r="V189" s="1275">
        <v>106.5</v>
      </c>
      <c r="W189" s="1275">
        <v>809.29838571428581</v>
      </c>
      <c r="X189" s="1275">
        <v>1065</v>
      </c>
      <c r="Y189" s="1275">
        <v>1980.7983857142858</v>
      </c>
      <c r="Z189" s="1129">
        <v>8.1</v>
      </c>
      <c r="AA189" s="1129">
        <v>106.5</v>
      </c>
      <c r="AB189" s="1129">
        <v>809.29838571428581</v>
      </c>
      <c r="AC189" s="1129">
        <v>1065</v>
      </c>
      <c r="AD189" s="1098">
        <v>1980.7983857142858</v>
      </c>
      <c r="AE189" s="1237">
        <v>0.5</v>
      </c>
      <c r="AF189" s="1133">
        <v>0.5</v>
      </c>
      <c r="AG189" s="1127">
        <v>1</v>
      </c>
      <c r="AH189" s="1127">
        <v>0</v>
      </c>
      <c r="AI189" s="1127">
        <v>0</v>
      </c>
      <c r="AJ189" s="1127">
        <v>1</v>
      </c>
      <c r="AK189" s="1129">
        <v>1980.7983857142858</v>
      </c>
      <c r="AL189" s="1129">
        <v>0</v>
      </c>
      <c r="AM189" s="1129">
        <v>0</v>
      </c>
      <c r="AN189" s="1129">
        <v>1980.7983857142858</v>
      </c>
      <c r="AO189" s="1129" t="s">
        <v>85</v>
      </c>
      <c r="AP189" s="1129" t="s">
        <v>96</v>
      </c>
      <c r="AQ189" s="1157">
        <v>2014</v>
      </c>
      <c r="AR189" s="1129" t="s">
        <v>87</v>
      </c>
      <c r="AS189" s="1127">
        <v>0.33333333333333331</v>
      </c>
      <c r="AT189" s="1127"/>
      <c r="AU189" s="1127">
        <v>0.33333333333333331</v>
      </c>
      <c r="AV189" s="1127"/>
      <c r="AW189" s="1127"/>
      <c r="AX189" s="1127"/>
      <c r="AY189" s="1127"/>
      <c r="AZ189" s="1127">
        <v>0.33333333333333331</v>
      </c>
      <c r="BA189" s="1129">
        <v>660.26612857142857</v>
      </c>
      <c r="BB189" s="1129">
        <v>0</v>
      </c>
      <c r="BC189" s="1129">
        <v>660.26612857142857</v>
      </c>
      <c r="BD189" s="1129">
        <v>0</v>
      </c>
      <c r="BE189" s="1129">
        <v>0</v>
      </c>
      <c r="BF189" s="1129">
        <v>0</v>
      </c>
      <c r="BG189" s="1129">
        <v>0</v>
      </c>
      <c r="BH189" s="1129">
        <v>660.26612857142857</v>
      </c>
      <c r="BI189" s="1981"/>
      <c r="BJ189" s="971"/>
      <c r="BK189" s="971"/>
      <c r="BL189" s="1246"/>
      <c r="BM189" s="1247" t="s">
        <v>1768</v>
      </c>
    </row>
    <row r="190" spans="1:65" s="1247" customFormat="1" ht="49.5" customHeight="1">
      <c r="A190" s="1272">
        <v>4000</v>
      </c>
      <c r="B190" s="971" t="s">
        <v>1316</v>
      </c>
      <c r="C190" s="1272">
        <v>4500</v>
      </c>
      <c r="D190" s="971" t="s">
        <v>452</v>
      </c>
      <c r="E190" s="971" t="s">
        <v>1546</v>
      </c>
      <c r="F190" s="971" t="s">
        <v>454</v>
      </c>
      <c r="G190" s="971" t="s">
        <v>4904</v>
      </c>
      <c r="H190" s="971" t="s">
        <v>565</v>
      </c>
      <c r="I190" s="1273" t="s">
        <v>7498</v>
      </c>
      <c r="J190" s="971" t="s">
        <v>7452</v>
      </c>
      <c r="K190" s="971" t="s">
        <v>1768</v>
      </c>
      <c r="L190" s="971" t="s">
        <v>3420</v>
      </c>
      <c r="M190" s="971" t="s">
        <v>1768</v>
      </c>
      <c r="N190" s="971" t="s">
        <v>179</v>
      </c>
      <c r="O190" s="971" t="s">
        <v>1769</v>
      </c>
      <c r="P190" s="971" t="s">
        <v>7453</v>
      </c>
      <c r="Q190" s="971" t="s">
        <v>7499</v>
      </c>
      <c r="R190" s="971" t="s">
        <v>4974</v>
      </c>
      <c r="S190" s="1274">
        <v>1</v>
      </c>
      <c r="T190" s="971" t="s">
        <v>242</v>
      </c>
      <c r="U190" s="1275">
        <v>8.1</v>
      </c>
      <c r="V190" s="1275">
        <v>106.5</v>
      </c>
      <c r="W190" s="1275">
        <v>809.29838571428581</v>
      </c>
      <c r="X190" s="1275">
        <v>1065</v>
      </c>
      <c r="Y190" s="1275">
        <v>1980.7983857142858</v>
      </c>
      <c r="Z190" s="1129">
        <v>8.1</v>
      </c>
      <c r="AA190" s="1129">
        <v>106.5</v>
      </c>
      <c r="AB190" s="1129">
        <v>809.29838571428581</v>
      </c>
      <c r="AC190" s="1129">
        <v>1065</v>
      </c>
      <c r="AD190" s="1098">
        <v>1980.7983857142858</v>
      </c>
      <c r="AE190" s="1237">
        <v>0.5</v>
      </c>
      <c r="AF190" s="1133">
        <v>0.5</v>
      </c>
      <c r="AG190" s="1127">
        <v>1</v>
      </c>
      <c r="AH190" s="1127">
        <v>0</v>
      </c>
      <c r="AI190" s="1127">
        <v>0</v>
      </c>
      <c r="AJ190" s="1127">
        <v>1</v>
      </c>
      <c r="AK190" s="1129">
        <v>1980.7983857142858</v>
      </c>
      <c r="AL190" s="1129">
        <v>0</v>
      </c>
      <c r="AM190" s="1129">
        <v>0</v>
      </c>
      <c r="AN190" s="1129">
        <v>1980.7983857142858</v>
      </c>
      <c r="AO190" s="1129" t="s">
        <v>85</v>
      </c>
      <c r="AP190" s="1129" t="s">
        <v>96</v>
      </c>
      <c r="AQ190" s="1157">
        <v>2014</v>
      </c>
      <c r="AR190" s="1129" t="s">
        <v>87</v>
      </c>
      <c r="AS190" s="1127">
        <v>0.33333333333333331</v>
      </c>
      <c r="AT190" s="1127"/>
      <c r="AU190" s="1127">
        <v>0.33333333333333331</v>
      </c>
      <c r="AV190" s="1127"/>
      <c r="AW190" s="1127"/>
      <c r="AX190" s="1127"/>
      <c r="AY190" s="1127"/>
      <c r="AZ190" s="1127">
        <v>0.33333333333333331</v>
      </c>
      <c r="BA190" s="1129">
        <v>660.26612857142857</v>
      </c>
      <c r="BB190" s="1129">
        <v>0</v>
      </c>
      <c r="BC190" s="1129">
        <v>660.26612857142857</v>
      </c>
      <c r="BD190" s="1129">
        <v>0</v>
      </c>
      <c r="BE190" s="1129">
        <v>0</v>
      </c>
      <c r="BF190" s="1129">
        <v>0</v>
      </c>
      <c r="BG190" s="1129">
        <v>0</v>
      </c>
      <c r="BH190" s="1129">
        <v>660.26612857142857</v>
      </c>
      <c r="BI190" s="1981"/>
      <c r="BJ190" s="971"/>
      <c r="BK190" s="971"/>
      <c r="BL190" s="1246"/>
      <c r="BM190" s="1247" t="s">
        <v>1768</v>
      </c>
    </row>
    <row r="191" spans="1:65" s="1247" customFormat="1" ht="49.5" customHeight="1">
      <c r="A191" s="1272">
        <v>4000</v>
      </c>
      <c r="B191" s="971" t="s">
        <v>1316</v>
      </c>
      <c r="C191" s="1272">
        <v>4500</v>
      </c>
      <c r="D191" s="971" t="s">
        <v>452</v>
      </c>
      <c r="E191" s="971" t="s">
        <v>1546</v>
      </c>
      <c r="F191" s="971" t="s">
        <v>454</v>
      </c>
      <c r="G191" s="971" t="s">
        <v>4904</v>
      </c>
      <c r="H191" s="971" t="s">
        <v>565</v>
      </c>
      <c r="I191" s="1273" t="s">
        <v>7500</v>
      </c>
      <c r="J191" s="971" t="s">
        <v>7452</v>
      </c>
      <c r="K191" s="971" t="s">
        <v>1768</v>
      </c>
      <c r="L191" s="971" t="s">
        <v>3420</v>
      </c>
      <c r="M191" s="971" t="s">
        <v>1768</v>
      </c>
      <c r="N191" s="971" t="s">
        <v>179</v>
      </c>
      <c r="O191" s="971" t="s">
        <v>1769</v>
      </c>
      <c r="P191" s="971" t="s">
        <v>7453</v>
      </c>
      <c r="Q191" s="971" t="s">
        <v>7501</v>
      </c>
      <c r="R191" s="971" t="s">
        <v>4978</v>
      </c>
      <c r="S191" s="1274">
        <v>1</v>
      </c>
      <c r="T191" s="971" t="s">
        <v>242</v>
      </c>
      <c r="U191" s="1275">
        <v>8.1</v>
      </c>
      <c r="V191" s="1275">
        <v>106.5</v>
      </c>
      <c r="W191" s="1275">
        <v>809.29838571428581</v>
      </c>
      <c r="X191" s="1275">
        <v>1065</v>
      </c>
      <c r="Y191" s="1275">
        <v>1980.7983857142858</v>
      </c>
      <c r="Z191" s="1129">
        <v>8.1</v>
      </c>
      <c r="AA191" s="1129">
        <v>106.5</v>
      </c>
      <c r="AB191" s="1129">
        <v>809.29838571428581</v>
      </c>
      <c r="AC191" s="1129">
        <v>1065</v>
      </c>
      <c r="AD191" s="1098">
        <v>1980.7983857142858</v>
      </c>
      <c r="AE191" s="1237">
        <v>0.5</v>
      </c>
      <c r="AF191" s="1133">
        <v>0.5</v>
      </c>
      <c r="AG191" s="1127">
        <v>1</v>
      </c>
      <c r="AH191" s="1127">
        <v>0</v>
      </c>
      <c r="AI191" s="1127">
        <v>0</v>
      </c>
      <c r="AJ191" s="1127">
        <v>1</v>
      </c>
      <c r="AK191" s="1129">
        <v>1980.7983857142858</v>
      </c>
      <c r="AL191" s="1129">
        <v>0</v>
      </c>
      <c r="AM191" s="1129">
        <v>0</v>
      </c>
      <c r="AN191" s="1129">
        <v>1980.7983857142858</v>
      </c>
      <c r="AO191" s="1129" t="s">
        <v>85</v>
      </c>
      <c r="AP191" s="1129" t="s">
        <v>96</v>
      </c>
      <c r="AQ191" s="1157">
        <v>2014</v>
      </c>
      <c r="AR191" s="1129" t="s">
        <v>87</v>
      </c>
      <c r="AS191" s="1127">
        <v>0.33333333333333331</v>
      </c>
      <c r="AT191" s="1127"/>
      <c r="AU191" s="1127">
        <v>0.33333333333333331</v>
      </c>
      <c r="AV191" s="1127"/>
      <c r="AW191" s="1127"/>
      <c r="AX191" s="1127"/>
      <c r="AY191" s="1127"/>
      <c r="AZ191" s="1127">
        <v>0.33333333333333331</v>
      </c>
      <c r="BA191" s="1129">
        <v>660.26612857142857</v>
      </c>
      <c r="BB191" s="1129">
        <v>0</v>
      </c>
      <c r="BC191" s="1129">
        <v>660.26612857142857</v>
      </c>
      <c r="BD191" s="1129">
        <v>0</v>
      </c>
      <c r="BE191" s="1129">
        <v>0</v>
      </c>
      <c r="BF191" s="1129">
        <v>0</v>
      </c>
      <c r="BG191" s="1129">
        <v>0</v>
      </c>
      <c r="BH191" s="1129">
        <v>660.26612857142857</v>
      </c>
      <c r="BI191" s="1981"/>
      <c r="BJ191" s="971"/>
      <c r="BK191" s="971"/>
      <c r="BL191" s="1246"/>
      <c r="BM191" s="1247" t="s">
        <v>1768</v>
      </c>
    </row>
    <row r="192" spans="1:65" s="1247" customFormat="1" ht="82.5" customHeight="1">
      <c r="A192" s="1272">
        <v>4000</v>
      </c>
      <c r="B192" s="971" t="s">
        <v>1316</v>
      </c>
      <c r="C192" s="1272">
        <v>4500</v>
      </c>
      <c r="D192" s="971" t="s">
        <v>452</v>
      </c>
      <c r="E192" s="971" t="s">
        <v>1546</v>
      </c>
      <c r="F192" s="971" t="s">
        <v>454</v>
      </c>
      <c r="G192" s="971" t="s">
        <v>4982</v>
      </c>
      <c r="H192" s="971" t="s">
        <v>514</v>
      </c>
      <c r="I192" s="1273" t="s">
        <v>7502</v>
      </c>
      <c r="J192" s="971" t="s">
        <v>2143</v>
      </c>
      <c r="K192" s="971" t="s">
        <v>1768</v>
      </c>
      <c r="L192" s="971" t="s">
        <v>3420</v>
      </c>
      <c r="M192" s="971" t="s">
        <v>1768</v>
      </c>
      <c r="N192" s="971" t="s">
        <v>179</v>
      </c>
      <c r="O192" s="971" t="s">
        <v>1769</v>
      </c>
      <c r="P192" s="971" t="s">
        <v>6663</v>
      </c>
      <c r="Q192" s="971" t="s">
        <v>7503</v>
      </c>
      <c r="R192" s="971" t="s">
        <v>4999</v>
      </c>
      <c r="S192" s="1274">
        <v>1</v>
      </c>
      <c r="T192" s="971" t="s">
        <v>242</v>
      </c>
      <c r="U192" s="1275">
        <v>8.1</v>
      </c>
      <c r="V192" s="1275">
        <v>106.5</v>
      </c>
      <c r="W192" s="1275">
        <v>809.29838571428581</v>
      </c>
      <c r="X192" s="1275">
        <v>1065</v>
      </c>
      <c r="Y192" s="1275">
        <v>1980.7983857142858</v>
      </c>
      <c r="Z192" s="1129">
        <v>8.1</v>
      </c>
      <c r="AA192" s="1129">
        <v>106.5</v>
      </c>
      <c r="AB192" s="1129">
        <v>809.29838571428581</v>
      </c>
      <c r="AC192" s="1129">
        <v>1065</v>
      </c>
      <c r="AD192" s="1098">
        <v>1980.7983857142858</v>
      </c>
      <c r="AE192" s="1237">
        <v>0.5</v>
      </c>
      <c r="AF192" s="1133">
        <v>0.5</v>
      </c>
      <c r="AG192" s="1127">
        <v>1</v>
      </c>
      <c r="AH192" s="1127">
        <v>0</v>
      </c>
      <c r="AI192" s="1127">
        <v>0</v>
      </c>
      <c r="AJ192" s="1127">
        <v>1</v>
      </c>
      <c r="AK192" s="1129">
        <v>1980.7983857142858</v>
      </c>
      <c r="AL192" s="1129">
        <v>0</v>
      </c>
      <c r="AM192" s="1129">
        <v>0</v>
      </c>
      <c r="AN192" s="1129">
        <v>1980.7983857142858</v>
      </c>
      <c r="AO192" s="1129" t="s">
        <v>85</v>
      </c>
      <c r="AP192" s="1129" t="s">
        <v>96</v>
      </c>
      <c r="AQ192" s="1157">
        <v>2014</v>
      </c>
      <c r="AR192" s="1129" t="s">
        <v>87</v>
      </c>
      <c r="AS192" s="1127">
        <v>0.33333333333333331</v>
      </c>
      <c r="AT192" s="1127"/>
      <c r="AU192" s="1127">
        <v>0.33333333333333331</v>
      </c>
      <c r="AV192" s="1127"/>
      <c r="AW192" s="1127"/>
      <c r="AX192" s="1127"/>
      <c r="AY192" s="1127"/>
      <c r="AZ192" s="1127">
        <v>0.33333333333333331</v>
      </c>
      <c r="BA192" s="1129">
        <v>660.26612857142857</v>
      </c>
      <c r="BB192" s="1129">
        <v>0</v>
      </c>
      <c r="BC192" s="1129">
        <v>660.26612857142857</v>
      </c>
      <c r="BD192" s="1129">
        <v>0</v>
      </c>
      <c r="BE192" s="1129">
        <v>0</v>
      </c>
      <c r="BF192" s="1129">
        <v>0</v>
      </c>
      <c r="BG192" s="1129">
        <v>0</v>
      </c>
      <c r="BH192" s="1129">
        <v>660.26612857142857</v>
      </c>
      <c r="BI192" s="1981"/>
      <c r="BJ192" s="971"/>
      <c r="BK192" s="971"/>
      <c r="BL192" s="1246"/>
      <c r="BM192" s="1247" t="s">
        <v>1768</v>
      </c>
    </row>
    <row r="193" spans="1:65" s="1247" customFormat="1" ht="49.5" customHeight="1">
      <c r="A193" s="1272">
        <v>4000</v>
      </c>
      <c r="B193" s="971" t="s">
        <v>1316</v>
      </c>
      <c r="C193" s="1272">
        <v>4500</v>
      </c>
      <c r="D193" s="971" t="s">
        <v>452</v>
      </c>
      <c r="E193" s="971" t="s">
        <v>1546</v>
      </c>
      <c r="F193" s="971" t="s">
        <v>454</v>
      </c>
      <c r="G193" s="971" t="s">
        <v>4982</v>
      </c>
      <c r="H193" s="971" t="s">
        <v>514</v>
      </c>
      <c r="I193" s="1273" t="s">
        <v>7504</v>
      </c>
      <c r="J193" s="971" t="s">
        <v>239</v>
      </c>
      <c r="K193" s="971" t="s">
        <v>1768</v>
      </c>
      <c r="L193" s="971" t="s">
        <v>3420</v>
      </c>
      <c r="M193" s="971" t="s">
        <v>1768</v>
      </c>
      <c r="N193" s="971" t="s">
        <v>179</v>
      </c>
      <c r="O193" s="971" t="s">
        <v>1769</v>
      </c>
      <c r="P193" s="971" t="s">
        <v>6663</v>
      </c>
      <c r="Q193" s="971" t="s">
        <v>7257</v>
      </c>
      <c r="R193" s="971" t="s">
        <v>5000</v>
      </c>
      <c r="S193" s="1274">
        <v>1</v>
      </c>
      <c r="T193" s="971" t="s">
        <v>242</v>
      </c>
      <c r="U193" s="1275">
        <v>8.1</v>
      </c>
      <c r="V193" s="1275">
        <v>106.5</v>
      </c>
      <c r="W193" s="1275">
        <v>809.29838571428581</v>
      </c>
      <c r="X193" s="1275">
        <v>1065</v>
      </c>
      <c r="Y193" s="1275">
        <v>1980.7983857142858</v>
      </c>
      <c r="Z193" s="1129">
        <v>8.1</v>
      </c>
      <c r="AA193" s="1129">
        <v>106.5</v>
      </c>
      <c r="AB193" s="1129">
        <v>809.29838571428581</v>
      </c>
      <c r="AC193" s="1129">
        <v>1065</v>
      </c>
      <c r="AD193" s="1098">
        <v>1980.7983857142858</v>
      </c>
      <c r="AE193" s="1237">
        <v>0.5</v>
      </c>
      <c r="AF193" s="1133">
        <v>0.5</v>
      </c>
      <c r="AG193" s="1127">
        <v>1</v>
      </c>
      <c r="AH193" s="1127">
        <v>0</v>
      </c>
      <c r="AI193" s="1127">
        <v>0</v>
      </c>
      <c r="AJ193" s="1127">
        <v>1</v>
      </c>
      <c r="AK193" s="1129">
        <v>1980.7983857142858</v>
      </c>
      <c r="AL193" s="1129">
        <v>0</v>
      </c>
      <c r="AM193" s="1129">
        <v>0</v>
      </c>
      <c r="AN193" s="1129">
        <v>1980.7983857142858</v>
      </c>
      <c r="AO193" s="1129" t="s">
        <v>85</v>
      </c>
      <c r="AP193" s="1129" t="s">
        <v>96</v>
      </c>
      <c r="AQ193" s="1157">
        <v>2014</v>
      </c>
      <c r="AR193" s="1129" t="s">
        <v>87</v>
      </c>
      <c r="AS193" s="1127">
        <v>0.33333333333333331</v>
      </c>
      <c r="AT193" s="1127"/>
      <c r="AU193" s="1127">
        <v>0.33333333333333331</v>
      </c>
      <c r="AV193" s="1127"/>
      <c r="AW193" s="1127"/>
      <c r="AX193" s="1127"/>
      <c r="AY193" s="1127"/>
      <c r="AZ193" s="1127">
        <v>0.33333333333333331</v>
      </c>
      <c r="BA193" s="1129">
        <v>660.26612857142857</v>
      </c>
      <c r="BB193" s="1129">
        <v>0</v>
      </c>
      <c r="BC193" s="1129">
        <v>660.26612857142857</v>
      </c>
      <c r="BD193" s="1129">
        <v>0</v>
      </c>
      <c r="BE193" s="1129">
        <v>0</v>
      </c>
      <c r="BF193" s="1129">
        <v>0</v>
      </c>
      <c r="BG193" s="1129">
        <v>0</v>
      </c>
      <c r="BH193" s="1129">
        <v>660.26612857142857</v>
      </c>
      <c r="BI193" s="1981"/>
      <c r="BJ193" s="971"/>
      <c r="BK193" s="971"/>
      <c r="BL193" s="1246"/>
      <c r="BM193" s="1247" t="s">
        <v>1768</v>
      </c>
    </row>
    <row r="194" spans="1:65" s="1247" customFormat="1" ht="66" customHeight="1">
      <c r="A194" s="1272">
        <v>4000</v>
      </c>
      <c r="B194" s="971" t="s">
        <v>1316</v>
      </c>
      <c r="C194" s="1272">
        <v>4500</v>
      </c>
      <c r="D194" s="971" t="s">
        <v>452</v>
      </c>
      <c r="E194" s="971" t="s">
        <v>1546</v>
      </c>
      <c r="F194" s="971" t="s">
        <v>454</v>
      </c>
      <c r="G194" s="971" t="s">
        <v>4982</v>
      </c>
      <c r="H194" s="971" t="s">
        <v>514</v>
      </c>
      <c r="I194" s="1273" t="s">
        <v>7505</v>
      </c>
      <c r="J194" s="971" t="s">
        <v>2143</v>
      </c>
      <c r="K194" s="971" t="s">
        <v>1768</v>
      </c>
      <c r="L194" s="971" t="s">
        <v>3420</v>
      </c>
      <c r="M194" s="971" t="s">
        <v>1768</v>
      </c>
      <c r="N194" s="971" t="s">
        <v>179</v>
      </c>
      <c r="O194" s="971" t="s">
        <v>1769</v>
      </c>
      <c r="P194" s="971" t="s">
        <v>6663</v>
      </c>
      <c r="Q194" s="971" t="s">
        <v>7506</v>
      </c>
      <c r="R194" s="971" t="s">
        <v>5002</v>
      </c>
      <c r="S194" s="1274">
        <v>1</v>
      </c>
      <c r="T194" s="971" t="s">
        <v>242</v>
      </c>
      <c r="U194" s="1275">
        <v>8.1</v>
      </c>
      <c r="V194" s="1275">
        <v>106.5</v>
      </c>
      <c r="W194" s="1275">
        <v>809.29838571428581</v>
      </c>
      <c r="X194" s="1275">
        <v>1065</v>
      </c>
      <c r="Y194" s="1275">
        <v>1980.7983857142858</v>
      </c>
      <c r="Z194" s="1129">
        <v>8.1</v>
      </c>
      <c r="AA194" s="1129">
        <v>106.5</v>
      </c>
      <c r="AB194" s="1129">
        <v>809.29838571428581</v>
      </c>
      <c r="AC194" s="1129">
        <v>1065</v>
      </c>
      <c r="AD194" s="1098">
        <v>1980.7983857142858</v>
      </c>
      <c r="AE194" s="1237">
        <v>0.5</v>
      </c>
      <c r="AF194" s="1133">
        <v>0.5</v>
      </c>
      <c r="AG194" s="1127">
        <v>1</v>
      </c>
      <c r="AH194" s="1127">
        <v>0</v>
      </c>
      <c r="AI194" s="1127">
        <v>0</v>
      </c>
      <c r="AJ194" s="1127">
        <v>1</v>
      </c>
      <c r="AK194" s="1129">
        <v>1980.7983857142858</v>
      </c>
      <c r="AL194" s="1129">
        <v>0</v>
      </c>
      <c r="AM194" s="1129">
        <v>0</v>
      </c>
      <c r="AN194" s="1129">
        <v>1980.7983857142858</v>
      </c>
      <c r="AO194" s="1129" t="s">
        <v>85</v>
      </c>
      <c r="AP194" s="1129" t="s">
        <v>96</v>
      </c>
      <c r="AQ194" s="1157">
        <v>2014</v>
      </c>
      <c r="AR194" s="1129" t="s">
        <v>87</v>
      </c>
      <c r="AS194" s="1127">
        <v>0.5</v>
      </c>
      <c r="AT194" s="1127">
        <v>0.5</v>
      </c>
      <c r="AU194" s="1127"/>
      <c r="AV194" s="1127"/>
      <c r="AW194" s="1127"/>
      <c r="AX194" s="1127"/>
      <c r="AY194" s="1127"/>
      <c r="AZ194" s="1127"/>
      <c r="BA194" s="1129">
        <v>990.39919285714291</v>
      </c>
      <c r="BB194" s="1129">
        <v>990.39919285714291</v>
      </c>
      <c r="BC194" s="1129">
        <v>0</v>
      </c>
      <c r="BD194" s="1129">
        <v>0</v>
      </c>
      <c r="BE194" s="1129">
        <v>0</v>
      </c>
      <c r="BF194" s="1129">
        <v>0</v>
      </c>
      <c r="BG194" s="1129">
        <v>0</v>
      </c>
      <c r="BH194" s="1129">
        <v>0</v>
      </c>
      <c r="BI194" s="1981"/>
      <c r="BJ194" s="971"/>
      <c r="BK194" s="971"/>
      <c r="BL194" s="1246"/>
      <c r="BM194" s="1247" t="s">
        <v>1768</v>
      </c>
    </row>
    <row r="195" spans="1:65" s="1247" customFormat="1" ht="49.5" customHeight="1">
      <c r="A195" s="1272">
        <v>4000</v>
      </c>
      <c r="B195" s="971" t="s">
        <v>1316</v>
      </c>
      <c r="C195" s="1272">
        <v>4500</v>
      </c>
      <c r="D195" s="971" t="s">
        <v>452</v>
      </c>
      <c r="E195" s="971" t="s">
        <v>1546</v>
      </c>
      <c r="F195" s="971" t="s">
        <v>454</v>
      </c>
      <c r="G195" s="971" t="s">
        <v>4982</v>
      </c>
      <c r="H195" s="971" t="s">
        <v>514</v>
      </c>
      <c r="I195" s="1273" t="s">
        <v>7507</v>
      </c>
      <c r="J195" s="971" t="s">
        <v>239</v>
      </c>
      <c r="K195" s="971" t="s">
        <v>1768</v>
      </c>
      <c r="L195" s="971" t="s">
        <v>3420</v>
      </c>
      <c r="M195" s="971" t="s">
        <v>1768</v>
      </c>
      <c r="N195" s="971" t="s">
        <v>179</v>
      </c>
      <c r="O195" s="971" t="s">
        <v>1769</v>
      </c>
      <c r="P195" s="971" t="s">
        <v>6663</v>
      </c>
      <c r="Q195" s="971" t="s">
        <v>7261</v>
      </c>
      <c r="R195" s="971" t="s">
        <v>5004</v>
      </c>
      <c r="S195" s="1274">
        <v>1</v>
      </c>
      <c r="T195" s="971" t="s">
        <v>242</v>
      </c>
      <c r="U195" s="1275">
        <v>8.1</v>
      </c>
      <c r="V195" s="1275">
        <v>106.5</v>
      </c>
      <c r="W195" s="1275">
        <v>809.29838571428581</v>
      </c>
      <c r="X195" s="1275">
        <v>1065</v>
      </c>
      <c r="Y195" s="1275">
        <v>1980.7983857142858</v>
      </c>
      <c r="Z195" s="1129">
        <v>8.1</v>
      </c>
      <c r="AA195" s="1129">
        <v>106.5</v>
      </c>
      <c r="AB195" s="1129">
        <v>809.29838571428581</v>
      </c>
      <c r="AC195" s="1129">
        <v>1065</v>
      </c>
      <c r="AD195" s="1098">
        <v>1980.7983857142858</v>
      </c>
      <c r="AE195" s="1237">
        <v>0.5</v>
      </c>
      <c r="AF195" s="1133">
        <v>0.5</v>
      </c>
      <c r="AG195" s="1127">
        <v>1</v>
      </c>
      <c r="AH195" s="1127">
        <v>0</v>
      </c>
      <c r="AI195" s="1127">
        <v>0</v>
      </c>
      <c r="AJ195" s="1127">
        <v>1</v>
      </c>
      <c r="AK195" s="1129">
        <v>1980.7983857142858</v>
      </c>
      <c r="AL195" s="1129">
        <v>0</v>
      </c>
      <c r="AM195" s="1129">
        <v>0</v>
      </c>
      <c r="AN195" s="1129">
        <v>1980.7983857142858</v>
      </c>
      <c r="AO195" s="1129" t="s">
        <v>85</v>
      </c>
      <c r="AP195" s="1129" t="s">
        <v>96</v>
      </c>
      <c r="AQ195" s="1157">
        <v>2014</v>
      </c>
      <c r="AR195" s="1129" t="s">
        <v>87</v>
      </c>
      <c r="AS195" s="1127">
        <v>0.5</v>
      </c>
      <c r="AT195" s="1127">
        <v>0.5</v>
      </c>
      <c r="AU195" s="1127"/>
      <c r="AV195" s="1127"/>
      <c r="AW195" s="1127"/>
      <c r="AX195" s="1127"/>
      <c r="AY195" s="1127"/>
      <c r="AZ195" s="1127"/>
      <c r="BA195" s="1129">
        <v>990.39919285714291</v>
      </c>
      <c r="BB195" s="1129">
        <v>990.39919285714291</v>
      </c>
      <c r="BC195" s="1129">
        <v>0</v>
      </c>
      <c r="BD195" s="1129">
        <v>0</v>
      </c>
      <c r="BE195" s="1129">
        <v>0</v>
      </c>
      <c r="BF195" s="1129">
        <v>0</v>
      </c>
      <c r="BG195" s="1129">
        <v>0</v>
      </c>
      <c r="BH195" s="1129">
        <v>0</v>
      </c>
      <c r="BI195" s="1981"/>
      <c r="BJ195" s="971"/>
      <c r="BK195" s="971"/>
      <c r="BL195" s="1246"/>
      <c r="BM195" s="1247" t="s">
        <v>1768</v>
      </c>
    </row>
    <row r="196" spans="1:65" s="1247" customFormat="1" ht="66" customHeight="1">
      <c r="A196" s="1272">
        <v>4000</v>
      </c>
      <c r="B196" s="971" t="s">
        <v>1316</v>
      </c>
      <c r="C196" s="1272">
        <v>4500</v>
      </c>
      <c r="D196" s="971" t="s">
        <v>452</v>
      </c>
      <c r="E196" s="971" t="s">
        <v>1546</v>
      </c>
      <c r="F196" s="971" t="s">
        <v>454</v>
      </c>
      <c r="G196" s="971" t="s">
        <v>4982</v>
      </c>
      <c r="H196" s="971" t="s">
        <v>514</v>
      </c>
      <c r="I196" s="1273" t="s">
        <v>7508</v>
      </c>
      <c r="J196" s="971" t="s">
        <v>2143</v>
      </c>
      <c r="K196" s="971" t="s">
        <v>1768</v>
      </c>
      <c r="L196" s="971" t="s">
        <v>3420</v>
      </c>
      <c r="M196" s="971" t="s">
        <v>1768</v>
      </c>
      <c r="N196" s="971" t="s">
        <v>179</v>
      </c>
      <c r="O196" s="971" t="s">
        <v>1769</v>
      </c>
      <c r="P196" s="971" t="s">
        <v>6663</v>
      </c>
      <c r="Q196" s="971" t="s">
        <v>7509</v>
      </c>
      <c r="R196" s="971" t="s">
        <v>5006</v>
      </c>
      <c r="S196" s="1274">
        <v>1</v>
      </c>
      <c r="T196" s="971" t="s">
        <v>242</v>
      </c>
      <c r="U196" s="1275">
        <v>8.1</v>
      </c>
      <c r="V196" s="1275">
        <v>106.5</v>
      </c>
      <c r="W196" s="1275">
        <v>809.29838571428581</v>
      </c>
      <c r="X196" s="1275">
        <v>1065</v>
      </c>
      <c r="Y196" s="1275">
        <v>1980.7983857142858</v>
      </c>
      <c r="Z196" s="1129">
        <v>8.1</v>
      </c>
      <c r="AA196" s="1129">
        <v>106.5</v>
      </c>
      <c r="AB196" s="1129">
        <v>809.29838571428581</v>
      </c>
      <c r="AC196" s="1129">
        <v>1065</v>
      </c>
      <c r="AD196" s="1098">
        <v>1980.7983857142858</v>
      </c>
      <c r="AE196" s="1237">
        <v>0.5</v>
      </c>
      <c r="AF196" s="1133">
        <v>0.5</v>
      </c>
      <c r="AG196" s="1127">
        <v>1</v>
      </c>
      <c r="AH196" s="1127">
        <v>0</v>
      </c>
      <c r="AI196" s="1127">
        <v>0</v>
      </c>
      <c r="AJ196" s="1127">
        <v>1</v>
      </c>
      <c r="AK196" s="1129">
        <v>1980.7983857142858</v>
      </c>
      <c r="AL196" s="1129">
        <v>0</v>
      </c>
      <c r="AM196" s="1129">
        <v>0</v>
      </c>
      <c r="AN196" s="1129">
        <v>1980.7983857142858</v>
      </c>
      <c r="AO196" s="1129" t="s">
        <v>85</v>
      </c>
      <c r="AP196" s="1129" t="s">
        <v>96</v>
      </c>
      <c r="AQ196" s="1157">
        <v>2014</v>
      </c>
      <c r="AR196" s="1129" t="s">
        <v>87</v>
      </c>
      <c r="AS196" s="1127">
        <v>0.5</v>
      </c>
      <c r="AT196" s="1127">
        <v>0.5</v>
      </c>
      <c r="AU196" s="1127"/>
      <c r="AV196" s="1127"/>
      <c r="AW196" s="1127"/>
      <c r="AX196" s="1127"/>
      <c r="AY196" s="1127"/>
      <c r="AZ196" s="1127"/>
      <c r="BA196" s="1129">
        <v>990.39919285714291</v>
      </c>
      <c r="BB196" s="1129">
        <v>990.39919285714291</v>
      </c>
      <c r="BC196" s="1129">
        <v>0</v>
      </c>
      <c r="BD196" s="1129">
        <v>0</v>
      </c>
      <c r="BE196" s="1129">
        <v>0</v>
      </c>
      <c r="BF196" s="1129">
        <v>0</v>
      </c>
      <c r="BG196" s="1129">
        <v>0</v>
      </c>
      <c r="BH196" s="1129">
        <v>0</v>
      </c>
      <c r="BI196" s="1981"/>
      <c r="BJ196" s="971"/>
      <c r="BK196" s="971"/>
      <c r="BL196" s="1246"/>
      <c r="BM196" s="1247" t="s">
        <v>1768</v>
      </c>
    </row>
    <row r="197" spans="1:65" s="1247" customFormat="1" ht="49.5" customHeight="1">
      <c r="A197" s="1272">
        <v>4000</v>
      </c>
      <c r="B197" s="971" t="s">
        <v>1316</v>
      </c>
      <c r="C197" s="1272">
        <v>4500</v>
      </c>
      <c r="D197" s="971" t="s">
        <v>452</v>
      </c>
      <c r="E197" s="971" t="s">
        <v>1546</v>
      </c>
      <c r="F197" s="971" t="s">
        <v>454</v>
      </c>
      <c r="G197" s="971" t="s">
        <v>4982</v>
      </c>
      <c r="H197" s="971" t="s">
        <v>514</v>
      </c>
      <c r="I197" s="1273" t="s">
        <v>7510</v>
      </c>
      <c r="J197" s="971" t="s">
        <v>239</v>
      </c>
      <c r="K197" s="971" t="s">
        <v>1768</v>
      </c>
      <c r="L197" s="971" t="s">
        <v>3420</v>
      </c>
      <c r="M197" s="971" t="s">
        <v>1768</v>
      </c>
      <c r="N197" s="971" t="s">
        <v>179</v>
      </c>
      <c r="O197" s="971" t="s">
        <v>1769</v>
      </c>
      <c r="P197" s="971" t="s">
        <v>6663</v>
      </c>
      <c r="Q197" s="971" t="s">
        <v>7261</v>
      </c>
      <c r="R197" s="971" t="s">
        <v>5008</v>
      </c>
      <c r="S197" s="1274">
        <v>1</v>
      </c>
      <c r="T197" s="971" t="s">
        <v>242</v>
      </c>
      <c r="U197" s="1275">
        <v>8.1</v>
      </c>
      <c r="V197" s="1275">
        <v>106.5</v>
      </c>
      <c r="W197" s="1275">
        <v>809.29838571428581</v>
      </c>
      <c r="X197" s="1275">
        <v>1065</v>
      </c>
      <c r="Y197" s="1275">
        <v>1980.7983857142858</v>
      </c>
      <c r="Z197" s="1129">
        <v>8.1</v>
      </c>
      <c r="AA197" s="1129">
        <v>106.5</v>
      </c>
      <c r="AB197" s="1129">
        <v>809.29838571428581</v>
      </c>
      <c r="AC197" s="1129">
        <v>1065</v>
      </c>
      <c r="AD197" s="1098">
        <v>1980.7983857142858</v>
      </c>
      <c r="AE197" s="1237">
        <v>0.5</v>
      </c>
      <c r="AF197" s="1133">
        <v>0.5</v>
      </c>
      <c r="AG197" s="1127">
        <v>1</v>
      </c>
      <c r="AH197" s="1127">
        <v>0</v>
      </c>
      <c r="AI197" s="1127">
        <v>0</v>
      </c>
      <c r="AJ197" s="1127">
        <v>1</v>
      </c>
      <c r="AK197" s="1129">
        <v>1980.7983857142858</v>
      </c>
      <c r="AL197" s="1129">
        <v>0</v>
      </c>
      <c r="AM197" s="1129">
        <v>0</v>
      </c>
      <c r="AN197" s="1129">
        <v>1980.7983857142858</v>
      </c>
      <c r="AO197" s="1129" t="s">
        <v>85</v>
      </c>
      <c r="AP197" s="1129" t="s">
        <v>96</v>
      </c>
      <c r="AQ197" s="1157">
        <v>2014</v>
      </c>
      <c r="AR197" s="1129" t="s">
        <v>87</v>
      </c>
      <c r="AS197" s="1127">
        <v>0.5</v>
      </c>
      <c r="AT197" s="1127">
        <v>0.5</v>
      </c>
      <c r="AU197" s="1127"/>
      <c r="AV197" s="1127"/>
      <c r="AW197" s="1127"/>
      <c r="AX197" s="1127"/>
      <c r="AY197" s="1127"/>
      <c r="AZ197" s="1127"/>
      <c r="BA197" s="1129">
        <v>990.39919285714291</v>
      </c>
      <c r="BB197" s="1129">
        <v>990.39919285714291</v>
      </c>
      <c r="BC197" s="1129">
        <v>0</v>
      </c>
      <c r="BD197" s="1129">
        <v>0</v>
      </c>
      <c r="BE197" s="1129">
        <v>0</v>
      </c>
      <c r="BF197" s="1129">
        <v>0</v>
      </c>
      <c r="BG197" s="1129">
        <v>0</v>
      </c>
      <c r="BH197" s="1129">
        <v>0</v>
      </c>
      <c r="BI197" s="1981"/>
      <c r="BJ197" s="971"/>
      <c r="BK197" s="971"/>
      <c r="BL197" s="1246"/>
      <c r="BM197" s="1247" t="s">
        <v>1768</v>
      </c>
    </row>
    <row r="198" spans="1:65" s="1247" customFormat="1" ht="66" customHeight="1">
      <c r="A198" s="1272">
        <v>4000</v>
      </c>
      <c r="B198" s="971" t="s">
        <v>1316</v>
      </c>
      <c r="C198" s="1272">
        <v>4500</v>
      </c>
      <c r="D198" s="971" t="s">
        <v>452</v>
      </c>
      <c r="E198" s="971" t="s">
        <v>1546</v>
      </c>
      <c r="F198" s="971" t="s">
        <v>454</v>
      </c>
      <c r="G198" s="971" t="s">
        <v>4982</v>
      </c>
      <c r="H198" s="971" t="s">
        <v>514</v>
      </c>
      <c r="I198" s="1273" t="s">
        <v>7511</v>
      </c>
      <c r="J198" s="971" t="s">
        <v>686</v>
      </c>
      <c r="K198" s="971" t="s">
        <v>2123</v>
      </c>
      <c r="L198" s="971" t="s">
        <v>2124</v>
      </c>
      <c r="M198" s="971" t="s">
        <v>2123</v>
      </c>
      <c r="N198" s="971" t="s">
        <v>179</v>
      </c>
      <c r="O198" s="971" t="s">
        <v>2124</v>
      </c>
      <c r="P198" s="971" t="s">
        <v>7266</v>
      </c>
      <c r="Q198" s="971" t="s">
        <v>7267</v>
      </c>
      <c r="R198" s="971" t="s">
        <v>5010</v>
      </c>
      <c r="S198" s="1274">
        <v>1</v>
      </c>
      <c r="T198" s="971" t="s">
        <v>242</v>
      </c>
      <c r="U198" s="1275">
        <v>19.2</v>
      </c>
      <c r="V198" s="1275">
        <v>213</v>
      </c>
      <c r="W198" s="1275">
        <v>1918.3369142857146</v>
      </c>
      <c r="X198" s="1275">
        <v>2130</v>
      </c>
      <c r="Y198" s="1275">
        <v>4261.3369142857146</v>
      </c>
      <c r="Z198" s="1129">
        <v>19.2</v>
      </c>
      <c r="AA198" s="1129">
        <v>213</v>
      </c>
      <c r="AB198" s="1129">
        <v>1918.3369142857146</v>
      </c>
      <c r="AC198" s="1129">
        <v>2130</v>
      </c>
      <c r="AD198" s="1098">
        <v>4261.3369142857146</v>
      </c>
      <c r="AE198" s="1237">
        <v>1</v>
      </c>
      <c r="AF198" s="1133">
        <v>1</v>
      </c>
      <c r="AG198" s="1127">
        <v>1</v>
      </c>
      <c r="AH198" s="1127">
        <v>0</v>
      </c>
      <c r="AI198" s="1127">
        <v>0</v>
      </c>
      <c r="AJ198" s="1127">
        <v>1</v>
      </c>
      <c r="AK198" s="1129">
        <v>4261.3369142857146</v>
      </c>
      <c r="AL198" s="1129">
        <v>0</v>
      </c>
      <c r="AM198" s="1129">
        <v>0</v>
      </c>
      <c r="AN198" s="1129">
        <v>4261.3369142857146</v>
      </c>
      <c r="AO198" s="1129" t="s">
        <v>85</v>
      </c>
      <c r="AP198" s="1129" t="s">
        <v>96</v>
      </c>
      <c r="AQ198" s="1157">
        <v>2014</v>
      </c>
      <c r="AR198" s="1129" t="s">
        <v>87</v>
      </c>
      <c r="AS198" s="1127">
        <v>0.33333333333333331</v>
      </c>
      <c r="AT198" s="1127"/>
      <c r="AU198" s="1127">
        <v>0.33333333333333331</v>
      </c>
      <c r="AV198" s="1127"/>
      <c r="AW198" s="1127"/>
      <c r="AX198" s="1127"/>
      <c r="AY198" s="1127"/>
      <c r="AZ198" s="1127">
        <v>0.33333333333333331</v>
      </c>
      <c r="BA198" s="1129">
        <v>1420.4456380952381</v>
      </c>
      <c r="BB198" s="1129">
        <v>0</v>
      </c>
      <c r="BC198" s="1129">
        <v>1420.4456380952381</v>
      </c>
      <c r="BD198" s="1129">
        <v>0</v>
      </c>
      <c r="BE198" s="1129">
        <v>0</v>
      </c>
      <c r="BF198" s="1129">
        <v>0</v>
      </c>
      <c r="BG198" s="1129">
        <v>0</v>
      </c>
      <c r="BH198" s="1129">
        <v>1420.4456380952381</v>
      </c>
      <c r="BI198" s="1981"/>
      <c r="BJ198" s="971"/>
      <c r="BK198" s="971"/>
      <c r="BL198" s="1246"/>
      <c r="BM198" s="1247" t="s">
        <v>2123</v>
      </c>
    </row>
    <row r="199" spans="1:65" s="1247" customFormat="1" ht="49.5" customHeight="1">
      <c r="A199" s="1272">
        <v>4000</v>
      </c>
      <c r="B199" s="971" t="s">
        <v>1316</v>
      </c>
      <c r="C199" s="1272">
        <v>4500</v>
      </c>
      <c r="D199" s="971" t="s">
        <v>452</v>
      </c>
      <c r="E199" s="971" t="s">
        <v>1692</v>
      </c>
      <c r="F199" s="971" t="s">
        <v>605</v>
      </c>
      <c r="G199" s="971" t="s">
        <v>5012</v>
      </c>
      <c r="H199" s="971" t="s">
        <v>621</v>
      </c>
      <c r="I199" s="1273" t="s">
        <v>7512</v>
      </c>
      <c r="J199" s="971" t="s">
        <v>2143</v>
      </c>
      <c r="K199" s="971" t="s">
        <v>1768</v>
      </c>
      <c r="L199" s="971" t="s">
        <v>3420</v>
      </c>
      <c r="M199" s="971" t="s">
        <v>1768</v>
      </c>
      <c r="N199" s="971" t="s">
        <v>179</v>
      </c>
      <c r="O199" s="971" t="s">
        <v>1769</v>
      </c>
      <c r="P199" s="971" t="s">
        <v>6663</v>
      </c>
      <c r="Q199" s="971" t="s">
        <v>7513</v>
      </c>
      <c r="R199" s="971" t="s">
        <v>5013</v>
      </c>
      <c r="S199" s="1274">
        <v>1</v>
      </c>
      <c r="T199" s="971" t="s">
        <v>242</v>
      </c>
      <c r="U199" s="1275">
        <v>8.1</v>
      </c>
      <c r="V199" s="1275">
        <v>106.5</v>
      </c>
      <c r="W199" s="1275">
        <v>809.29838571428581</v>
      </c>
      <c r="X199" s="1275">
        <v>1065</v>
      </c>
      <c r="Y199" s="1275">
        <v>1980.7983857142858</v>
      </c>
      <c r="Z199" s="1129">
        <v>8.1</v>
      </c>
      <c r="AA199" s="1129">
        <v>106.5</v>
      </c>
      <c r="AB199" s="1129">
        <v>809.29838571428581</v>
      </c>
      <c r="AC199" s="1129">
        <v>1065</v>
      </c>
      <c r="AD199" s="1098">
        <v>1980.7983857142858</v>
      </c>
      <c r="AE199" s="1237">
        <v>0.5</v>
      </c>
      <c r="AF199" s="1133">
        <v>0.5</v>
      </c>
      <c r="AG199" s="1127">
        <v>1</v>
      </c>
      <c r="AH199" s="1127">
        <v>0</v>
      </c>
      <c r="AI199" s="1127">
        <v>0</v>
      </c>
      <c r="AJ199" s="1127">
        <v>1</v>
      </c>
      <c r="AK199" s="1129">
        <v>1980.7983857142858</v>
      </c>
      <c r="AL199" s="1129">
        <v>0</v>
      </c>
      <c r="AM199" s="1129">
        <v>0</v>
      </c>
      <c r="AN199" s="1129">
        <v>1980.7983857142858</v>
      </c>
      <c r="AO199" s="1129" t="s">
        <v>85</v>
      </c>
      <c r="AP199" s="1129" t="s">
        <v>96</v>
      </c>
      <c r="AQ199" s="1157">
        <v>2014</v>
      </c>
      <c r="AR199" s="1129" t="s">
        <v>87</v>
      </c>
      <c r="AS199" s="1127">
        <v>0.5</v>
      </c>
      <c r="AT199" s="1127">
        <v>0.5</v>
      </c>
      <c r="AU199" s="1127"/>
      <c r="AV199" s="1127"/>
      <c r="AW199" s="1127"/>
      <c r="AX199" s="1127"/>
      <c r="AY199" s="1127"/>
      <c r="AZ199" s="1127"/>
      <c r="BA199" s="1129">
        <v>990.39919285714291</v>
      </c>
      <c r="BB199" s="1129">
        <v>990.39919285714291</v>
      </c>
      <c r="BC199" s="1129">
        <v>0</v>
      </c>
      <c r="BD199" s="1129">
        <v>0</v>
      </c>
      <c r="BE199" s="1129">
        <v>0</v>
      </c>
      <c r="BF199" s="1129">
        <v>0</v>
      </c>
      <c r="BG199" s="1129">
        <v>0</v>
      </c>
      <c r="BH199" s="1129">
        <v>0</v>
      </c>
      <c r="BI199" s="1981"/>
      <c r="BJ199" s="971"/>
      <c r="BK199" s="971"/>
      <c r="BL199" s="1246"/>
      <c r="BM199" s="1247" t="s">
        <v>1768</v>
      </c>
    </row>
    <row r="200" spans="1:65" s="1247" customFormat="1" ht="49.5" customHeight="1">
      <c r="A200" s="1272">
        <v>4000</v>
      </c>
      <c r="B200" s="971" t="s">
        <v>1316</v>
      </c>
      <c r="C200" s="1272">
        <v>4500</v>
      </c>
      <c r="D200" s="971" t="s">
        <v>452</v>
      </c>
      <c r="E200" s="971" t="s">
        <v>1692</v>
      </c>
      <c r="F200" s="971" t="s">
        <v>605</v>
      </c>
      <c r="G200" s="971" t="s">
        <v>5012</v>
      </c>
      <c r="H200" s="971" t="s">
        <v>621</v>
      </c>
      <c r="I200" s="1273" t="s">
        <v>7514</v>
      </c>
      <c r="J200" s="971" t="s">
        <v>239</v>
      </c>
      <c r="K200" s="971" t="s">
        <v>1768</v>
      </c>
      <c r="L200" s="971" t="s">
        <v>3420</v>
      </c>
      <c r="M200" s="971" t="s">
        <v>1768</v>
      </c>
      <c r="N200" s="971" t="s">
        <v>179</v>
      </c>
      <c r="O200" s="971" t="s">
        <v>1769</v>
      </c>
      <c r="P200" s="971" t="s">
        <v>6663</v>
      </c>
      <c r="Q200" s="971" t="s">
        <v>7261</v>
      </c>
      <c r="R200" s="971" t="s">
        <v>5015</v>
      </c>
      <c r="S200" s="1274">
        <v>1</v>
      </c>
      <c r="T200" s="971" t="s">
        <v>242</v>
      </c>
      <c r="U200" s="1275">
        <v>8.1</v>
      </c>
      <c r="V200" s="1275">
        <v>106.5</v>
      </c>
      <c r="W200" s="1275">
        <v>809.29838571428581</v>
      </c>
      <c r="X200" s="1275">
        <v>1065</v>
      </c>
      <c r="Y200" s="1275">
        <v>1980.7983857142858</v>
      </c>
      <c r="Z200" s="1129">
        <v>8.1</v>
      </c>
      <c r="AA200" s="1129">
        <v>106.5</v>
      </c>
      <c r="AB200" s="1129">
        <v>809.29838571428581</v>
      </c>
      <c r="AC200" s="1129">
        <v>1065</v>
      </c>
      <c r="AD200" s="1098">
        <v>1980.7983857142858</v>
      </c>
      <c r="AE200" s="1237">
        <v>0.5</v>
      </c>
      <c r="AF200" s="1133">
        <v>0.5</v>
      </c>
      <c r="AG200" s="1127">
        <v>1</v>
      </c>
      <c r="AH200" s="1127">
        <v>0</v>
      </c>
      <c r="AI200" s="1127">
        <v>0</v>
      </c>
      <c r="AJ200" s="1127">
        <v>1</v>
      </c>
      <c r="AK200" s="1129">
        <v>1980.7983857142858</v>
      </c>
      <c r="AL200" s="1129">
        <v>0</v>
      </c>
      <c r="AM200" s="1129">
        <v>0</v>
      </c>
      <c r="AN200" s="1129">
        <v>1980.7983857142858</v>
      </c>
      <c r="AO200" s="1129" t="s">
        <v>85</v>
      </c>
      <c r="AP200" s="1129" t="s">
        <v>96</v>
      </c>
      <c r="AQ200" s="1157">
        <v>2014</v>
      </c>
      <c r="AR200" s="1129" t="s">
        <v>87</v>
      </c>
      <c r="AS200" s="1127">
        <v>0.5</v>
      </c>
      <c r="AT200" s="1127">
        <v>0.5</v>
      </c>
      <c r="AU200" s="1127"/>
      <c r="AV200" s="1127"/>
      <c r="AW200" s="1127"/>
      <c r="AX200" s="1127"/>
      <c r="AY200" s="1127"/>
      <c r="AZ200" s="1127"/>
      <c r="BA200" s="1129">
        <v>990.39919285714291</v>
      </c>
      <c r="BB200" s="1129">
        <v>990.39919285714291</v>
      </c>
      <c r="BC200" s="1129">
        <v>0</v>
      </c>
      <c r="BD200" s="1129">
        <v>0</v>
      </c>
      <c r="BE200" s="1129">
        <v>0</v>
      </c>
      <c r="BF200" s="1129">
        <v>0</v>
      </c>
      <c r="BG200" s="1129">
        <v>0</v>
      </c>
      <c r="BH200" s="1129">
        <v>0</v>
      </c>
      <c r="BI200" s="1981"/>
      <c r="BJ200" s="971"/>
      <c r="BK200" s="971"/>
      <c r="BL200" s="1246"/>
      <c r="BM200" s="1247" t="s">
        <v>1768</v>
      </c>
    </row>
    <row r="201" spans="1:65" s="1247" customFormat="1" ht="49.5" customHeight="1">
      <c r="A201" s="1272">
        <v>4000</v>
      </c>
      <c r="B201" s="971" t="s">
        <v>1316</v>
      </c>
      <c r="C201" s="1272">
        <v>4500</v>
      </c>
      <c r="D201" s="971" t="s">
        <v>452</v>
      </c>
      <c r="E201" s="971" t="s">
        <v>1692</v>
      </c>
      <c r="F201" s="971" t="s">
        <v>605</v>
      </c>
      <c r="G201" s="971" t="s">
        <v>5012</v>
      </c>
      <c r="H201" s="971" t="s">
        <v>621</v>
      </c>
      <c r="I201" s="1273" t="s">
        <v>7515</v>
      </c>
      <c r="J201" s="971" t="s">
        <v>2143</v>
      </c>
      <c r="K201" s="971" t="s">
        <v>1768</v>
      </c>
      <c r="L201" s="971" t="s">
        <v>3420</v>
      </c>
      <c r="M201" s="971" t="s">
        <v>1768</v>
      </c>
      <c r="N201" s="971" t="s">
        <v>179</v>
      </c>
      <c r="O201" s="971" t="s">
        <v>1769</v>
      </c>
      <c r="P201" s="971" t="s">
        <v>6663</v>
      </c>
      <c r="Q201" s="971" t="s">
        <v>7516</v>
      </c>
      <c r="R201" s="971" t="s">
        <v>5017</v>
      </c>
      <c r="S201" s="1274">
        <v>1</v>
      </c>
      <c r="T201" s="971" t="s">
        <v>242</v>
      </c>
      <c r="U201" s="1275">
        <v>8.1</v>
      </c>
      <c r="V201" s="1275">
        <v>106.5</v>
      </c>
      <c r="W201" s="1275">
        <v>809.29838571428581</v>
      </c>
      <c r="X201" s="1275">
        <v>1065</v>
      </c>
      <c r="Y201" s="1275">
        <v>1980.7983857142858</v>
      </c>
      <c r="Z201" s="1129">
        <v>8.1</v>
      </c>
      <c r="AA201" s="1129">
        <v>106.5</v>
      </c>
      <c r="AB201" s="1129">
        <v>809.29838571428581</v>
      </c>
      <c r="AC201" s="1129">
        <v>1065</v>
      </c>
      <c r="AD201" s="1098">
        <v>1980.7983857142858</v>
      </c>
      <c r="AE201" s="1237">
        <v>0.5</v>
      </c>
      <c r="AF201" s="1133">
        <v>0.5</v>
      </c>
      <c r="AG201" s="1127">
        <v>1</v>
      </c>
      <c r="AH201" s="1127">
        <v>0</v>
      </c>
      <c r="AI201" s="1127">
        <v>0</v>
      </c>
      <c r="AJ201" s="1127">
        <v>1</v>
      </c>
      <c r="AK201" s="1129">
        <v>1980.7983857142858</v>
      </c>
      <c r="AL201" s="1129">
        <v>0</v>
      </c>
      <c r="AM201" s="1129">
        <v>0</v>
      </c>
      <c r="AN201" s="1129">
        <v>1980.7983857142858</v>
      </c>
      <c r="AO201" s="1129" t="s">
        <v>85</v>
      </c>
      <c r="AP201" s="1129" t="s">
        <v>96</v>
      </c>
      <c r="AQ201" s="1157">
        <v>2014</v>
      </c>
      <c r="AR201" s="1129" t="s">
        <v>87</v>
      </c>
      <c r="AS201" s="1127">
        <v>0.5</v>
      </c>
      <c r="AT201" s="1127">
        <v>0.5</v>
      </c>
      <c r="AU201" s="1127"/>
      <c r="AV201" s="1127"/>
      <c r="AW201" s="1127"/>
      <c r="AX201" s="1127"/>
      <c r="AY201" s="1127"/>
      <c r="AZ201" s="1127"/>
      <c r="BA201" s="1129">
        <v>990.39919285714291</v>
      </c>
      <c r="BB201" s="1129">
        <v>990.39919285714291</v>
      </c>
      <c r="BC201" s="1129">
        <v>0</v>
      </c>
      <c r="BD201" s="1129">
        <v>0</v>
      </c>
      <c r="BE201" s="1129">
        <v>0</v>
      </c>
      <c r="BF201" s="1129">
        <v>0</v>
      </c>
      <c r="BG201" s="1129">
        <v>0</v>
      </c>
      <c r="BH201" s="1129">
        <v>0</v>
      </c>
      <c r="BI201" s="1981"/>
      <c r="BJ201" s="971"/>
      <c r="BK201" s="971"/>
      <c r="BL201" s="1246"/>
      <c r="BM201" s="1247" t="s">
        <v>1768</v>
      </c>
    </row>
    <row r="202" spans="1:65" s="1247" customFormat="1" ht="49.5" customHeight="1">
      <c r="A202" s="1272">
        <v>4000</v>
      </c>
      <c r="B202" s="971" t="s">
        <v>1316</v>
      </c>
      <c r="C202" s="1272">
        <v>4500</v>
      </c>
      <c r="D202" s="971" t="s">
        <v>452</v>
      </c>
      <c r="E202" s="971" t="s">
        <v>1692</v>
      </c>
      <c r="F202" s="971" t="s">
        <v>605</v>
      </c>
      <c r="G202" s="971" t="s">
        <v>5012</v>
      </c>
      <c r="H202" s="971" t="s">
        <v>621</v>
      </c>
      <c r="I202" s="1273" t="s">
        <v>7517</v>
      </c>
      <c r="J202" s="971" t="s">
        <v>239</v>
      </c>
      <c r="K202" s="971" t="s">
        <v>1768</v>
      </c>
      <c r="L202" s="971" t="s">
        <v>3420</v>
      </c>
      <c r="M202" s="971" t="s">
        <v>1768</v>
      </c>
      <c r="N202" s="971" t="s">
        <v>179</v>
      </c>
      <c r="O202" s="971" t="s">
        <v>1769</v>
      </c>
      <c r="P202" s="971" t="s">
        <v>6663</v>
      </c>
      <c r="Q202" s="971" t="s">
        <v>7261</v>
      </c>
      <c r="R202" s="971" t="s">
        <v>5019</v>
      </c>
      <c r="S202" s="1274">
        <v>1</v>
      </c>
      <c r="T202" s="971" t="s">
        <v>242</v>
      </c>
      <c r="U202" s="1275">
        <v>8.1</v>
      </c>
      <c r="V202" s="1275">
        <v>106.5</v>
      </c>
      <c r="W202" s="1275">
        <v>809.29838571428581</v>
      </c>
      <c r="X202" s="1275">
        <v>1065</v>
      </c>
      <c r="Y202" s="1275">
        <v>1980.7983857142858</v>
      </c>
      <c r="Z202" s="1129">
        <v>8.1</v>
      </c>
      <c r="AA202" s="1129">
        <v>106.5</v>
      </c>
      <c r="AB202" s="1129">
        <v>809.29838571428581</v>
      </c>
      <c r="AC202" s="1129">
        <v>1065</v>
      </c>
      <c r="AD202" s="1098">
        <v>1980.7983857142858</v>
      </c>
      <c r="AE202" s="1237">
        <v>0.5</v>
      </c>
      <c r="AF202" s="1133">
        <v>0.5</v>
      </c>
      <c r="AG202" s="1127">
        <v>1</v>
      </c>
      <c r="AH202" s="1127">
        <v>0</v>
      </c>
      <c r="AI202" s="1127">
        <v>0</v>
      </c>
      <c r="AJ202" s="1127">
        <v>1</v>
      </c>
      <c r="AK202" s="1129">
        <v>1980.7983857142858</v>
      </c>
      <c r="AL202" s="1129">
        <v>0</v>
      </c>
      <c r="AM202" s="1129">
        <v>0</v>
      </c>
      <c r="AN202" s="1129">
        <v>1980.7983857142858</v>
      </c>
      <c r="AO202" s="1129" t="s">
        <v>85</v>
      </c>
      <c r="AP202" s="1129" t="s">
        <v>96</v>
      </c>
      <c r="AQ202" s="1157">
        <v>2014</v>
      </c>
      <c r="AR202" s="1129" t="s">
        <v>87</v>
      </c>
      <c r="AS202" s="1127">
        <v>0.5</v>
      </c>
      <c r="AT202" s="1127">
        <v>0.5</v>
      </c>
      <c r="AU202" s="1127"/>
      <c r="AV202" s="1127"/>
      <c r="AW202" s="1127"/>
      <c r="AX202" s="1127"/>
      <c r="AY202" s="1127"/>
      <c r="AZ202" s="1127"/>
      <c r="BA202" s="1129">
        <v>990.39919285714291</v>
      </c>
      <c r="BB202" s="1129">
        <v>990.39919285714291</v>
      </c>
      <c r="BC202" s="1129">
        <v>0</v>
      </c>
      <c r="BD202" s="1129">
        <v>0</v>
      </c>
      <c r="BE202" s="1129">
        <v>0</v>
      </c>
      <c r="BF202" s="1129">
        <v>0</v>
      </c>
      <c r="BG202" s="1129">
        <v>0</v>
      </c>
      <c r="BH202" s="1129">
        <v>0</v>
      </c>
      <c r="BI202" s="1981"/>
      <c r="BJ202" s="971"/>
      <c r="BK202" s="971"/>
      <c r="BL202" s="1246"/>
      <c r="BM202" s="1247" t="s">
        <v>1768</v>
      </c>
    </row>
    <row r="203" spans="1:65" s="1247" customFormat="1" ht="49.5" customHeight="1">
      <c r="A203" s="1272">
        <v>4000</v>
      </c>
      <c r="B203" s="971" t="s">
        <v>1316</v>
      </c>
      <c r="C203" s="1272">
        <v>4500</v>
      </c>
      <c r="D203" s="971" t="s">
        <v>452</v>
      </c>
      <c r="E203" s="971" t="s">
        <v>1692</v>
      </c>
      <c r="F203" s="971" t="s">
        <v>605</v>
      </c>
      <c r="G203" s="971" t="s">
        <v>5012</v>
      </c>
      <c r="H203" s="971" t="s">
        <v>621</v>
      </c>
      <c r="I203" s="1273" t="s">
        <v>7518</v>
      </c>
      <c r="J203" s="971" t="s">
        <v>2143</v>
      </c>
      <c r="K203" s="971" t="s">
        <v>1768</v>
      </c>
      <c r="L203" s="971" t="s">
        <v>3420</v>
      </c>
      <c r="M203" s="971" t="s">
        <v>1768</v>
      </c>
      <c r="N203" s="971" t="s">
        <v>179</v>
      </c>
      <c r="O203" s="971" t="s">
        <v>1769</v>
      </c>
      <c r="P203" s="971" t="s">
        <v>6663</v>
      </c>
      <c r="Q203" s="971" t="s">
        <v>7519</v>
      </c>
      <c r="R203" s="971" t="s">
        <v>5021</v>
      </c>
      <c r="S203" s="1274">
        <v>1</v>
      </c>
      <c r="T203" s="971" t="s">
        <v>242</v>
      </c>
      <c r="U203" s="1275">
        <v>8.1</v>
      </c>
      <c r="V203" s="1275">
        <v>106.5</v>
      </c>
      <c r="W203" s="1275">
        <v>809.29838571428581</v>
      </c>
      <c r="X203" s="1275">
        <v>1065</v>
      </c>
      <c r="Y203" s="1275">
        <v>1980.7983857142858</v>
      </c>
      <c r="Z203" s="1129">
        <v>8.1</v>
      </c>
      <c r="AA203" s="1129">
        <v>106.5</v>
      </c>
      <c r="AB203" s="1129">
        <v>809.29838571428581</v>
      </c>
      <c r="AC203" s="1129">
        <v>1065</v>
      </c>
      <c r="AD203" s="1098">
        <v>1980.7983857142858</v>
      </c>
      <c r="AE203" s="1237">
        <v>0.5</v>
      </c>
      <c r="AF203" s="1133">
        <v>0.5</v>
      </c>
      <c r="AG203" s="1127">
        <v>1</v>
      </c>
      <c r="AH203" s="1127">
        <v>0</v>
      </c>
      <c r="AI203" s="1127">
        <v>0</v>
      </c>
      <c r="AJ203" s="1127">
        <v>1</v>
      </c>
      <c r="AK203" s="1129">
        <v>1980.7983857142858</v>
      </c>
      <c r="AL203" s="1129">
        <v>0</v>
      </c>
      <c r="AM203" s="1129">
        <v>0</v>
      </c>
      <c r="AN203" s="1129">
        <v>1980.7983857142858</v>
      </c>
      <c r="AO203" s="1129" t="s">
        <v>85</v>
      </c>
      <c r="AP203" s="1129" t="s">
        <v>96</v>
      </c>
      <c r="AQ203" s="1157">
        <v>2014</v>
      </c>
      <c r="AR203" s="1129" t="s">
        <v>87</v>
      </c>
      <c r="AS203" s="1127">
        <v>0.5</v>
      </c>
      <c r="AT203" s="1127">
        <v>0.5</v>
      </c>
      <c r="AU203" s="1127"/>
      <c r="AV203" s="1127"/>
      <c r="AW203" s="1127"/>
      <c r="AX203" s="1127"/>
      <c r="AY203" s="1127"/>
      <c r="AZ203" s="1127"/>
      <c r="BA203" s="1129">
        <v>990.39919285714291</v>
      </c>
      <c r="BB203" s="1129">
        <v>990.39919285714291</v>
      </c>
      <c r="BC203" s="1129">
        <v>0</v>
      </c>
      <c r="BD203" s="1129">
        <v>0</v>
      </c>
      <c r="BE203" s="1129">
        <v>0</v>
      </c>
      <c r="BF203" s="1129">
        <v>0</v>
      </c>
      <c r="BG203" s="1129">
        <v>0</v>
      </c>
      <c r="BH203" s="1129">
        <v>0</v>
      </c>
      <c r="BI203" s="1981"/>
      <c r="BJ203" s="971"/>
      <c r="BK203" s="971"/>
      <c r="BL203" s="1246"/>
      <c r="BM203" s="1247" t="s">
        <v>1768</v>
      </c>
    </row>
    <row r="204" spans="1:65" s="1247" customFormat="1" ht="49.5" customHeight="1">
      <c r="A204" s="1272">
        <v>4000</v>
      </c>
      <c r="B204" s="971" t="s">
        <v>1316</v>
      </c>
      <c r="C204" s="1272">
        <v>4500</v>
      </c>
      <c r="D204" s="971" t="s">
        <v>452</v>
      </c>
      <c r="E204" s="971" t="s">
        <v>1692</v>
      </c>
      <c r="F204" s="971" t="s">
        <v>605</v>
      </c>
      <c r="G204" s="971" t="s">
        <v>5012</v>
      </c>
      <c r="H204" s="971" t="s">
        <v>621</v>
      </c>
      <c r="I204" s="1273" t="s">
        <v>7520</v>
      </c>
      <c r="J204" s="971" t="s">
        <v>239</v>
      </c>
      <c r="K204" s="971" t="s">
        <v>1768</v>
      </c>
      <c r="L204" s="971" t="s">
        <v>3420</v>
      </c>
      <c r="M204" s="971" t="s">
        <v>1768</v>
      </c>
      <c r="N204" s="971" t="s">
        <v>179</v>
      </c>
      <c r="O204" s="971" t="s">
        <v>1769</v>
      </c>
      <c r="P204" s="971" t="s">
        <v>6663</v>
      </c>
      <c r="Q204" s="971" t="s">
        <v>7261</v>
      </c>
      <c r="R204" s="971" t="s">
        <v>5023</v>
      </c>
      <c r="S204" s="1274">
        <v>1</v>
      </c>
      <c r="T204" s="971" t="s">
        <v>242</v>
      </c>
      <c r="U204" s="1275">
        <v>8.1</v>
      </c>
      <c r="V204" s="1275">
        <v>106.5</v>
      </c>
      <c r="W204" s="1275">
        <v>809.29838571428581</v>
      </c>
      <c r="X204" s="1275">
        <v>1065</v>
      </c>
      <c r="Y204" s="1275">
        <v>1980.7983857142858</v>
      </c>
      <c r="Z204" s="1129">
        <v>8.1</v>
      </c>
      <c r="AA204" s="1129">
        <v>106.5</v>
      </c>
      <c r="AB204" s="1129">
        <v>809.29838571428581</v>
      </c>
      <c r="AC204" s="1129">
        <v>1065</v>
      </c>
      <c r="AD204" s="1098">
        <v>1980.7983857142858</v>
      </c>
      <c r="AE204" s="1237">
        <v>0.5</v>
      </c>
      <c r="AF204" s="1133">
        <v>0.5</v>
      </c>
      <c r="AG204" s="1127">
        <v>1</v>
      </c>
      <c r="AH204" s="1127">
        <v>0</v>
      </c>
      <c r="AI204" s="1127">
        <v>0</v>
      </c>
      <c r="AJ204" s="1127">
        <v>1</v>
      </c>
      <c r="AK204" s="1129">
        <v>1980.7983857142858</v>
      </c>
      <c r="AL204" s="1129">
        <v>0</v>
      </c>
      <c r="AM204" s="1129">
        <v>0</v>
      </c>
      <c r="AN204" s="1129">
        <v>1980.7983857142858</v>
      </c>
      <c r="AO204" s="1129" t="s">
        <v>85</v>
      </c>
      <c r="AP204" s="1129" t="s">
        <v>96</v>
      </c>
      <c r="AQ204" s="1157">
        <v>2014</v>
      </c>
      <c r="AR204" s="1129" t="s">
        <v>87</v>
      </c>
      <c r="AS204" s="1127">
        <v>0.5</v>
      </c>
      <c r="AT204" s="1127">
        <v>0.5</v>
      </c>
      <c r="AU204" s="1127"/>
      <c r="AV204" s="1127"/>
      <c r="AW204" s="1127"/>
      <c r="AX204" s="1127"/>
      <c r="AY204" s="1127"/>
      <c r="AZ204" s="1127"/>
      <c r="BA204" s="1129">
        <v>990.39919285714291</v>
      </c>
      <c r="BB204" s="1129">
        <v>990.39919285714291</v>
      </c>
      <c r="BC204" s="1129">
        <v>0</v>
      </c>
      <c r="BD204" s="1129">
        <v>0</v>
      </c>
      <c r="BE204" s="1129">
        <v>0</v>
      </c>
      <c r="BF204" s="1129">
        <v>0</v>
      </c>
      <c r="BG204" s="1129">
        <v>0</v>
      </c>
      <c r="BH204" s="1129">
        <v>0</v>
      </c>
      <c r="BI204" s="1981"/>
      <c r="BJ204" s="971"/>
      <c r="BK204" s="971"/>
      <c r="BL204" s="1246"/>
      <c r="BM204" s="1247" t="s">
        <v>1768</v>
      </c>
    </row>
    <row r="205" spans="1:65" s="1247" customFormat="1" ht="49.5" customHeight="1">
      <c r="A205" s="1272">
        <v>4000</v>
      </c>
      <c r="B205" s="971" t="s">
        <v>1316</v>
      </c>
      <c r="C205" s="1272">
        <v>4500</v>
      </c>
      <c r="D205" s="971" t="s">
        <v>452</v>
      </c>
      <c r="E205" s="971" t="s">
        <v>1692</v>
      </c>
      <c r="F205" s="971" t="s">
        <v>605</v>
      </c>
      <c r="G205" s="971" t="s">
        <v>5012</v>
      </c>
      <c r="H205" s="971" t="s">
        <v>621</v>
      </c>
      <c r="I205" s="1273" t="s">
        <v>7521</v>
      </c>
      <c r="J205" s="971" t="s">
        <v>2143</v>
      </c>
      <c r="K205" s="971" t="s">
        <v>1768</v>
      </c>
      <c r="L205" s="971" t="s">
        <v>3420</v>
      </c>
      <c r="M205" s="971" t="s">
        <v>1768</v>
      </c>
      <c r="N205" s="971" t="s">
        <v>179</v>
      </c>
      <c r="O205" s="971" t="s">
        <v>1769</v>
      </c>
      <c r="P205" s="971" t="s">
        <v>6663</v>
      </c>
      <c r="Q205" s="971" t="s">
        <v>7522</v>
      </c>
      <c r="R205" s="971" t="s">
        <v>5026</v>
      </c>
      <c r="S205" s="1274">
        <v>1</v>
      </c>
      <c r="T205" s="971" t="s">
        <v>242</v>
      </c>
      <c r="U205" s="1275">
        <v>8.1</v>
      </c>
      <c r="V205" s="1275">
        <v>106.5</v>
      </c>
      <c r="W205" s="1275">
        <v>809.29838571428581</v>
      </c>
      <c r="X205" s="1275">
        <v>1065</v>
      </c>
      <c r="Y205" s="1275">
        <v>1980.7983857142858</v>
      </c>
      <c r="Z205" s="1129">
        <v>8.1</v>
      </c>
      <c r="AA205" s="1129">
        <v>106.5</v>
      </c>
      <c r="AB205" s="1129">
        <v>809.29838571428581</v>
      </c>
      <c r="AC205" s="1129">
        <v>1065</v>
      </c>
      <c r="AD205" s="1098">
        <v>1980.7983857142858</v>
      </c>
      <c r="AE205" s="1237">
        <v>0.5</v>
      </c>
      <c r="AF205" s="1133">
        <v>0.5</v>
      </c>
      <c r="AG205" s="1127">
        <v>1</v>
      </c>
      <c r="AH205" s="1127">
        <v>0</v>
      </c>
      <c r="AI205" s="1127">
        <v>0</v>
      </c>
      <c r="AJ205" s="1127">
        <v>1</v>
      </c>
      <c r="AK205" s="1129">
        <v>1980.7983857142858</v>
      </c>
      <c r="AL205" s="1129">
        <v>0</v>
      </c>
      <c r="AM205" s="1129">
        <v>0</v>
      </c>
      <c r="AN205" s="1129">
        <v>1980.7983857142858</v>
      </c>
      <c r="AO205" s="1129" t="s">
        <v>85</v>
      </c>
      <c r="AP205" s="1129" t="s">
        <v>96</v>
      </c>
      <c r="AQ205" s="1157">
        <v>2014</v>
      </c>
      <c r="AR205" s="1129" t="s">
        <v>87</v>
      </c>
      <c r="AS205" s="1127">
        <v>0.5</v>
      </c>
      <c r="AT205" s="1127">
        <v>0.5</v>
      </c>
      <c r="AU205" s="1127"/>
      <c r="AV205" s="1127"/>
      <c r="AW205" s="1127"/>
      <c r="AX205" s="1127"/>
      <c r="AY205" s="1127"/>
      <c r="AZ205" s="1127"/>
      <c r="BA205" s="1129">
        <v>990.39919285714291</v>
      </c>
      <c r="BB205" s="1129">
        <v>990.39919285714291</v>
      </c>
      <c r="BC205" s="1129">
        <v>0</v>
      </c>
      <c r="BD205" s="1129">
        <v>0</v>
      </c>
      <c r="BE205" s="1129">
        <v>0</v>
      </c>
      <c r="BF205" s="1129">
        <v>0</v>
      </c>
      <c r="BG205" s="1129">
        <v>0</v>
      </c>
      <c r="BH205" s="1129">
        <v>0</v>
      </c>
      <c r="BI205" s="1981"/>
      <c r="BJ205" s="971"/>
      <c r="BK205" s="971"/>
      <c r="BL205" s="1246"/>
      <c r="BM205" s="1247" t="s">
        <v>1768</v>
      </c>
    </row>
    <row r="206" spans="1:65" s="1247" customFormat="1" ht="49.5" customHeight="1">
      <c r="A206" s="1272">
        <v>4000</v>
      </c>
      <c r="B206" s="971" t="s">
        <v>1316</v>
      </c>
      <c r="C206" s="1272">
        <v>4500</v>
      </c>
      <c r="D206" s="971" t="s">
        <v>452</v>
      </c>
      <c r="E206" s="971" t="s">
        <v>1692</v>
      </c>
      <c r="F206" s="971" t="s">
        <v>605</v>
      </c>
      <c r="G206" s="971" t="s">
        <v>5012</v>
      </c>
      <c r="H206" s="971" t="s">
        <v>621</v>
      </c>
      <c r="I206" s="1273" t="s">
        <v>7523</v>
      </c>
      <c r="J206" s="971" t="s">
        <v>239</v>
      </c>
      <c r="K206" s="971" t="s">
        <v>1768</v>
      </c>
      <c r="L206" s="971" t="s">
        <v>3420</v>
      </c>
      <c r="M206" s="971" t="s">
        <v>1768</v>
      </c>
      <c r="N206" s="971" t="s">
        <v>179</v>
      </c>
      <c r="O206" s="971" t="s">
        <v>1769</v>
      </c>
      <c r="P206" s="971" t="s">
        <v>6663</v>
      </c>
      <c r="Q206" s="971" t="s">
        <v>7261</v>
      </c>
      <c r="R206" s="971" t="s">
        <v>5027</v>
      </c>
      <c r="S206" s="1274">
        <v>1</v>
      </c>
      <c r="T206" s="971" t="s">
        <v>242</v>
      </c>
      <c r="U206" s="1275">
        <v>8.1</v>
      </c>
      <c r="V206" s="1275">
        <v>106.5</v>
      </c>
      <c r="W206" s="1275">
        <v>809.29838571428581</v>
      </c>
      <c r="X206" s="1275">
        <v>1065</v>
      </c>
      <c r="Y206" s="1275">
        <v>1980.7983857142858</v>
      </c>
      <c r="Z206" s="1129">
        <v>8.1</v>
      </c>
      <c r="AA206" s="1129">
        <v>106.5</v>
      </c>
      <c r="AB206" s="1129">
        <v>809.29838571428581</v>
      </c>
      <c r="AC206" s="1129">
        <v>1065</v>
      </c>
      <c r="AD206" s="1098">
        <v>1980.7983857142858</v>
      </c>
      <c r="AE206" s="1237">
        <v>0.5</v>
      </c>
      <c r="AF206" s="1133">
        <v>0.5</v>
      </c>
      <c r="AG206" s="1127">
        <v>1</v>
      </c>
      <c r="AH206" s="1127">
        <v>0</v>
      </c>
      <c r="AI206" s="1127">
        <v>0</v>
      </c>
      <c r="AJ206" s="1127">
        <v>1</v>
      </c>
      <c r="AK206" s="1129">
        <v>1980.7983857142858</v>
      </c>
      <c r="AL206" s="1129">
        <v>0</v>
      </c>
      <c r="AM206" s="1129">
        <v>0</v>
      </c>
      <c r="AN206" s="1129">
        <v>1980.7983857142858</v>
      </c>
      <c r="AO206" s="1129" t="s">
        <v>85</v>
      </c>
      <c r="AP206" s="1129" t="s">
        <v>96</v>
      </c>
      <c r="AQ206" s="1157">
        <v>2014</v>
      </c>
      <c r="AR206" s="1129" t="s">
        <v>87</v>
      </c>
      <c r="AS206" s="1127">
        <v>0.5</v>
      </c>
      <c r="AT206" s="1127">
        <v>0.5</v>
      </c>
      <c r="AU206" s="1127"/>
      <c r="AV206" s="1127"/>
      <c r="AW206" s="1127"/>
      <c r="AX206" s="1127"/>
      <c r="AY206" s="1127"/>
      <c r="AZ206" s="1127"/>
      <c r="BA206" s="1129">
        <v>990.39919285714291</v>
      </c>
      <c r="BB206" s="1129">
        <v>990.39919285714291</v>
      </c>
      <c r="BC206" s="1129">
        <v>0</v>
      </c>
      <c r="BD206" s="1129">
        <v>0</v>
      </c>
      <c r="BE206" s="1129">
        <v>0</v>
      </c>
      <c r="BF206" s="1129">
        <v>0</v>
      </c>
      <c r="BG206" s="1129">
        <v>0</v>
      </c>
      <c r="BH206" s="1129">
        <v>0</v>
      </c>
      <c r="BI206" s="1981"/>
      <c r="BJ206" s="971"/>
      <c r="BK206" s="971"/>
      <c r="BL206" s="1246"/>
      <c r="BM206" s="1247" t="s">
        <v>1768</v>
      </c>
    </row>
    <row r="207" spans="1:65" s="1247" customFormat="1" ht="49.5" customHeight="1">
      <c r="A207" s="1272">
        <v>4000</v>
      </c>
      <c r="B207" s="971" t="s">
        <v>1316</v>
      </c>
      <c r="C207" s="1272">
        <v>4500</v>
      </c>
      <c r="D207" s="971" t="s">
        <v>452</v>
      </c>
      <c r="E207" s="971" t="s">
        <v>1692</v>
      </c>
      <c r="F207" s="971" t="s">
        <v>605</v>
      </c>
      <c r="G207" s="971" t="s">
        <v>5012</v>
      </c>
      <c r="H207" s="971" t="s">
        <v>621</v>
      </c>
      <c r="I207" s="1273" t="s">
        <v>7524</v>
      </c>
      <c r="J207" s="971" t="s">
        <v>2143</v>
      </c>
      <c r="K207" s="971" t="s">
        <v>1768</v>
      </c>
      <c r="L207" s="971" t="s">
        <v>3420</v>
      </c>
      <c r="M207" s="971" t="s">
        <v>1768</v>
      </c>
      <c r="N207" s="971" t="s">
        <v>179</v>
      </c>
      <c r="O207" s="971" t="s">
        <v>1769</v>
      </c>
      <c r="P207" s="971" t="s">
        <v>6663</v>
      </c>
      <c r="Q207" s="971" t="s">
        <v>7525</v>
      </c>
      <c r="R207" s="971" t="s">
        <v>5029</v>
      </c>
      <c r="S207" s="1274">
        <v>1</v>
      </c>
      <c r="T207" s="971" t="s">
        <v>242</v>
      </c>
      <c r="U207" s="1275">
        <v>8.1</v>
      </c>
      <c r="V207" s="1275">
        <v>106.5</v>
      </c>
      <c r="W207" s="1275">
        <v>809.29838571428581</v>
      </c>
      <c r="X207" s="1275">
        <v>1065</v>
      </c>
      <c r="Y207" s="1275">
        <v>1980.7983857142858</v>
      </c>
      <c r="Z207" s="1129">
        <v>8.1</v>
      </c>
      <c r="AA207" s="1129">
        <v>106.5</v>
      </c>
      <c r="AB207" s="1129">
        <v>809.29838571428581</v>
      </c>
      <c r="AC207" s="1129">
        <v>1065</v>
      </c>
      <c r="AD207" s="1098">
        <v>1980.7983857142858</v>
      </c>
      <c r="AE207" s="1237">
        <v>0.5</v>
      </c>
      <c r="AF207" s="1133">
        <v>0.5</v>
      </c>
      <c r="AG207" s="1127">
        <v>1</v>
      </c>
      <c r="AH207" s="1127">
        <v>0</v>
      </c>
      <c r="AI207" s="1127">
        <v>0</v>
      </c>
      <c r="AJ207" s="1127">
        <v>1</v>
      </c>
      <c r="AK207" s="1129">
        <v>1980.7983857142858</v>
      </c>
      <c r="AL207" s="1129">
        <v>0</v>
      </c>
      <c r="AM207" s="1129">
        <v>0</v>
      </c>
      <c r="AN207" s="1129">
        <v>1980.7983857142858</v>
      </c>
      <c r="AO207" s="1129" t="s">
        <v>85</v>
      </c>
      <c r="AP207" s="1129" t="s">
        <v>96</v>
      </c>
      <c r="AQ207" s="1157">
        <v>2014</v>
      </c>
      <c r="AR207" s="1129" t="s">
        <v>87</v>
      </c>
      <c r="AS207" s="1127">
        <v>0.5</v>
      </c>
      <c r="AT207" s="1127">
        <v>0.5</v>
      </c>
      <c r="AU207" s="1127"/>
      <c r="AV207" s="1127"/>
      <c r="AW207" s="1127"/>
      <c r="AX207" s="1127"/>
      <c r="AY207" s="1127"/>
      <c r="AZ207" s="1127"/>
      <c r="BA207" s="1129">
        <v>990.39919285714291</v>
      </c>
      <c r="BB207" s="1129">
        <v>990.39919285714291</v>
      </c>
      <c r="BC207" s="1129">
        <v>0</v>
      </c>
      <c r="BD207" s="1129">
        <v>0</v>
      </c>
      <c r="BE207" s="1129">
        <v>0</v>
      </c>
      <c r="BF207" s="1129">
        <v>0</v>
      </c>
      <c r="BG207" s="1129">
        <v>0</v>
      </c>
      <c r="BH207" s="1129">
        <v>0</v>
      </c>
      <c r="BI207" s="1981"/>
      <c r="BJ207" s="971"/>
      <c r="BK207" s="971"/>
      <c r="BL207" s="1246"/>
      <c r="BM207" s="1247" t="s">
        <v>1768</v>
      </c>
    </row>
    <row r="208" spans="1:65" s="1247" customFormat="1" ht="49.5" customHeight="1">
      <c r="A208" s="1272">
        <v>4000</v>
      </c>
      <c r="B208" s="971" t="s">
        <v>1316</v>
      </c>
      <c r="C208" s="1272">
        <v>4500</v>
      </c>
      <c r="D208" s="971" t="s">
        <v>452</v>
      </c>
      <c r="E208" s="971" t="s">
        <v>1692</v>
      </c>
      <c r="F208" s="971" t="s">
        <v>605</v>
      </c>
      <c r="G208" s="971" t="s">
        <v>5012</v>
      </c>
      <c r="H208" s="971" t="s">
        <v>621</v>
      </c>
      <c r="I208" s="1273" t="s">
        <v>7526</v>
      </c>
      <c r="J208" s="971" t="s">
        <v>239</v>
      </c>
      <c r="K208" s="971" t="s">
        <v>1768</v>
      </c>
      <c r="L208" s="971" t="s">
        <v>3420</v>
      </c>
      <c r="M208" s="971" t="s">
        <v>1768</v>
      </c>
      <c r="N208" s="971" t="s">
        <v>179</v>
      </c>
      <c r="O208" s="971" t="s">
        <v>1769</v>
      </c>
      <c r="P208" s="971" t="s">
        <v>6663</v>
      </c>
      <c r="Q208" s="971" t="s">
        <v>7261</v>
      </c>
      <c r="R208" s="971" t="s">
        <v>5031</v>
      </c>
      <c r="S208" s="1274">
        <v>1</v>
      </c>
      <c r="T208" s="971" t="s">
        <v>242</v>
      </c>
      <c r="U208" s="1275">
        <v>8.1</v>
      </c>
      <c r="V208" s="1275">
        <v>106.5</v>
      </c>
      <c r="W208" s="1275">
        <v>809.29838571428581</v>
      </c>
      <c r="X208" s="1275">
        <v>1065</v>
      </c>
      <c r="Y208" s="1275">
        <v>1980.7983857142858</v>
      </c>
      <c r="Z208" s="1129">
        <v>8.1</v>
      </c>
      <c r="AA208" s="1129">
        <v>106.5</v>
      </c>
      <c r="AB208" s="1129">
        <v>809.29838571428581</v>
      </c>
      <c r="AC208" s="1129">
        <v>1065</v>
      </c>
      <c r="AD208" s="1098">
        <v>1980.7983857142858</v>
      </c>
      <c r="AE208" s="1237">
        <v>0.5</v>
      </c>
      <c r="AF208" s="1133">
        <v>0.5</v>
      </c>
      <c r="AG208" s="1127">
        <v>1</v>
      </c>
      <c r="AH208" s="1127">
        <v>0</v>
      </c>
      <c r="AI208" s="1127">
        <v>0</v>
      </c>
      <c r="AJ208" s="1127">
        <v>1</v>
      </c>
      <c r="AK208" s="1129">
        <v>1980.7983857142858</v>
      </c>
      <c r="AL208" s="1129">
        <v>0</v>
      </c>
      <c r="AM208" s="1129">
        <v>0</v>
      </c>
      <c r="AN208" s="1129">
        <v>1980.7983857142858</v>
      </c>
      <c r="AO208" s="1129" t="s">
        <v>85</v>
      </c>
      <c r="AP208" s="1129" t="s">
        <v>96</v>
      </c>
      <c r="AQ208" s="1157">
        <v>2014</v>
      </c>
      <c r="AR208" s="1129" t="s">
        <v>87</v>
      </c>
      <c r="AS208" s="1127">
        <v>0.5</v>
      </c>
      <c r="AT208" s="1127">
        <v>0.5</v>
      </c>
      <c r="AU208" s="1127"/>
      <c r="AV208" s="1127"/>
      <c r="AW208" s="1127"/>
      <c r="AX208" s="1127"/>
      <c r="AY208" s="1127"/>
      <c r="AZ208" s="1127"/>
      <c r="BA208" s="1129">
        <v>990.39919285714291</v>
      </c>
      <c r="BB208" s="1129">
        <v>990.39919285714291</v>
      </c>
      <c r="BC208" s="1129">
        <v>0</v>
      </c>
      <c r="BD208" s="1129">
        <v>0</v>
      </c>
      <c r="BE208" s="1129">
        <v>0</v>
      </c>
      <c r="BF208" s="1129">
        <v>0</v>
      </c>
      <c r="BG208" s="1129">
        <v>0</v>
      </c>
      <c r="BH208" s="1129">
        <v>0</v>
      </c>
      <c r="BI208" s="1981"/>
      <c r="BJ208" s="971"/>
      <c r="BK208" s="971"/>
      <c r="BL208" s="1246"/>
      <c r="BM208" s="1247" t="s">
        <v>1768</v>
      </c>
    </row>
    <row r="209" spans="1:65" s="1247" customFormat="1" ht="49.5" customHeight="1">
      <c r="A209" s="1272">
        <v>4000</v>
      </c>
      <c r="B209" s="971" t="s">
        <v>1316</v>
      </c>
      <c r="C209" s="1272">
        <v>4500</v>
      </c>
      <c r="D209" s="971" t="s">
        <v>452</v>
      </c>
      <c r="E209" s="971" t="s">
        <v>1692</v>
      </c>
      <c r="F209" s="971" t="s">
        <v>605</v>
      </c>
      <c r="G209" s="971" t="s">
        <v>5012</v>
      </c>
      <c r="H209" s="971" t="s">
        <v>621</v>
      </c>
      <c r="I209" s="1273" t="s">
        <v>7527</v>
      </c>
      <c r="J209" s="971" t="s">
        <v>2143</v>
      </c>
      <c r="K209" s="971" t="s">
        <v>1768</v>
      </c>
      <c r="L209" s="971" t="s">
        <v>3420</v>
      </c>
      <c r="M209" s="971" t="s">
        <v>1768</v>
      </c>
      <c r="N209" s="971" t="s">
        <v>179</v>
      </c>
      <c r="O209" s="971" t="s">
        <v>1769</v>
      </c>
      <c r="P209" s="971" t="s">
        <v>6663</v>
      </c>
      <c r="Q209" s="971" t="s">
        <v>7528</v>
      </c>
      <c r="R209" s="971" t="s">
        <v>5033</v>
      </c>
      <c r="S209" s="1274">
        <v>1</v>
      </c>
      <c r="T209" s="971" t="s">
        <v>242</v>
      </c>
      <c r="U209" s="1275">
        <v>8.1</v>
      </c>
      <c r="V209" s="1275">
        <v>106.5</v>
      </c>
      <c r="W209" s="1275">
        <v>809.29838571428581</v>
      </c>
      <c r="X209" s="1275">
        <v>1065</v>
      </c>
      <c r="Y209" s="1275">
        <v>1980.7983857142858</v>
      </c>
      <c r="Z209" s="1129">
        <v>8.1</v>
      </c>
      <c r="AA209" s="1129">
        <v>106.5</v>
      </c>
      <c r="AB209" s="1129">
        <v>809.29838571428581</v>
      </c>
      <c r="AC209" s="1129">
        <v>1065</v>
      </c>
      <c r="AD209" s="1098">
        <v>1980.7983857142858</v>
      </c>
      <c r="AE209" s="1237">
        <v>0.5</v>
      </c>
      <c r="AF209" s="1133">
        <v>0.5</v>
      </c>
      <c r="AG209" s="1127">
        <v>1</v>
      </c>
      <c r="AH209" s="1127">
        <v>0</v>
      </c>
      <c r="AI209" s="1127">
        <v>0</v>
      </c>
      <c r="AJ209" s="1127">
        <v>1</v>
      </c>
      <c r="AK209" s="1129">
        <v>1980.7983857142858</v>
      </c>
      <c r="AL209" s="1129">
        <v>0</v>
      </c>
      <c r="AM209" s="1129">
        <v>0</v>
      </c>
      <c r="AN209" s="1129">
        <v>1980.7983857142858</v>
      </c>
      <c r="AO209" s="1129" t="s">
        <v>85</v>
      </c>
      <c r="AP209" s="1129" t="s">
        <v>96</v>
      </c>
      <c r="AQ209" s="1157">
        <v>2014</v>
      </c>
      <c r="AR209" s="1129" t="s">
        <v>87</v>
      </c>
      <c r="AS209" s="1127">
        <v>0.5</v>
      </c>
      <c r="AT209" s="1127">
        <v>0.5</v>
      </c>
      <c r="AU209" s="1127"/>
      <c r="AV209" s="1127"/>
      <c r="AW209" s="1127"/>
      <c r="AX209" s="1127"/>
      <c r="AY209" s="1127"/>
      <c r="AZ209" s="1127"/>
      <c r="BA209" s="1129">
        <v>990.39919285714291</v>
      </c>
      <c r="BB209" s="1129">
        <v>990.39919285714291</v>
      </c>
      <c r="BC209" s="1129">
        <v>0</v>
      </c>
      <c r="BD209" s="1129">
        <v>0</v>
      </c>
      <c r="BE209" s="1129">
        <v>0</v>
      </c>
      <c r="BF209" s="1129">
        <v>0</v>
      </c>
      <c r="BG209" s="1129">
        <v>0</v>
      </c>
      <c r="BH209" s="1129">
        <v>0</v>
      </c>
      <c r="BI209" s="1981"/>
      <c r="BJ209" s="971"/>
      <c r="BK209" s="971"/>
      <c r="BL209" s="1246"/>
      <c r="BM209" s="1247" t="s">
        <v>1768</v>
      </c>
    </row>
    <row r="210" spans="1:65" s="1247" customFormat="1" ht="49.5" customHeight="1">
      <c r="A210" s="1272">
        <v>4000</v>
      </c>
      <c r="B210" s="971" t="s">
        <v>1316</v>
      </c>
      <c r="C210" s="1272">
        <v>4500</v>
      </c>
      <c r="D210" s="971" t="s">
        <v>452</v>
      </c>
      <c r="E210" s="971" t="s">
        <v>1692</v>
      </c>
      <c r="F210" s="971" t="s">
        <v>605</v>
      </c>
      <c r="G210" s="971" t="s">
        <v>5012</v>
      </c>
      <c r="H210" s="971" t="s">
        <v>621</v>
      </c>
      <c r="I210" s="1273" t="s">
        <v>7529</v>
      </c>
      <c r="J210" s="971" t="s">
        <v>239</v>
      </c>
      <c r="K210" s="971" t="s">
        <v>1768</v>
      </c>
      <c r="L210" s="971" t="s">
        <v>3420</v>
      </c>
      <c r="M210" s="971" t="s">
        <v>1768</v>
      </c>
      <c r="N210" s="971" t="s">
        <v>179</v>
      </c>
      <c r="O210" s="971" t="s">
        <v>1769</v>
      </c>
      <c r="P210" s="971" t="s">
        <v>6663</v>
      </c>
      <c r="Q210" s="971" t="s">
        <v>7261</v>
      </c>
      <c r="R210" s="971" t="s">
        <v>5035</v>
      </c>
      <c r="S210" s="1274">
        <v>1</v>
      </c>
      <c r="T210" s="971" t="s">
        <v>242</v>
      </c>
      <c r="U210" s="1275">
        <v>8.1</v>
      </c>
      <c r="V210" s="1275">
        <v>106.5</v>
      </c>
      <c r="W210" s="1275">
        <v>809.29838571428581</v>
      </c>
      <c r="X210" s="1275">
        <v>1065</v>
      </c>
      <c r="Y210" s="1275">
        <v>1980.7983857142858</v>
      </c>
      <c r="Z210" s="1129">
        <v>8.1</v>
      </c>
      <c r="AA210" s="1129">
        <v>106.5</v>
      </c>
      <c r="AB210" s="1129">
        <v>809.29838571428581</v>
      </c>
      <c r="AC210" s="1129">
        <v>1065</v>
      </c>
      <c r="AD210" s="1098">
        <v>1980.7983857142858</v>
      </c>
      <c r="AE210" s="1237">
        <v>0.5</v>
      </c>
      <c r="AF210" s="1133">
        <v>0.5</v>
      </c>
      <c r="AG210" s="1127">
        <v>1</v>
      </c>
      <c r="AH210" s="1127">
        <v>0</v>
      </c>
      <c r="AI210" s="1127">
        <v>0</v>
      </c>
      <c r="AJ210" s="1127">
        <v>1</v>
      </c>
      <c r="AK210" s="1129">
        <v>1980.7983857142858</v>
      </c>
      <c r="AL210" s="1129">
        <v>0</v>
      </c>
      <c r="AM210" s="1129">
        <v>0</v>
      </c>
      <c r="AN210" s="1129">
        <v>1980.7983857142858</v>
      </c>
      <c r="AO210" s="1129" t="s">
        <v>85</v>
      </c>
      <c r="AP210" s="1129" t="s">
        <v>96</v>
      </c>
      <c r="AQ210" s="1157">
        <v>2014</v>
      </c>
      <c r="AR210" s="1129" t="s">
        <v>87</v>
      </c>
      <c r="AS210" s="1127">
        <v>0.5</v>
      </c>
      <c r="AT210" s="1127">
        <v>0.5</v>
      </c>
      <c r="AU210" s="1127"/>
      <c r="AV210" s="1127"/>
      <c r="AW210" s="1127"/>
      <c r="AX210" s="1127"/>
      <c r="AY210" s="1127"/>
      <c r="AZ210" s="1127"/>
      <c r="BA210" s="1129">
        <v>990.39919285714291</v>
      </c>
      <c r="BB210" s="1129">
        <v>990.39919285714291</v>
      </c>
      <c r="BC210" s="1129">
        <v>0</v>
      </c>
      <c r="BD210" s="1129">
        <v>0</v>
      </c>
      <c r="BE210" s="1129">
        <v>0</v>
      </c>
      <c r="BF210" s="1129">
        <v>0</v>
      </c>
      <c r="BG210" s="1129">
        <v>0</v>
      </c>
      <c r="BH210" s="1129">
        <v>0</v>
      </c>
      <c r="BI210" s="1981"/>
      <c r="BJ210" s="971"/>
      <c r="BK210" s="971"/>
      <c r="BL210" s="1246"/>
      <c r="BM210" s="1247" t="s">
        <v>1768</v>
      </c>
    </row>
    <row r="211" spans="1:65" s="1247" customFormat="1" ht="82.5" customHeight="1">
      <c r="A211" s="1272">
        <v>4000</v>
      </c>
      <c r="B211" s="971" t="s">
        <v>1316</v>
      </c>
      <c r="C211" s="1272">
        <v>4500</v>
      </c>
      <c r="D211" s="971" t="s">
        <v>452</v>
      </c>
      <c r="E211" s="971" t="s">
        <v>1692</v>
      </c>
      <c r="F211" s="971" t="s">
        <v>605</v>
      </c>
      <c r="G211" s="971" t="s">
        <v>5012</v>
      </c>
      <c r="H211" s="971" t="s">
        <v>621</v>
      </c>
      <c r="I211" s="1273" t="s">
        <v>7530</v>
      </c>
      <c r="J211" s="971" t="s">
        <v>2143</v>
      </c>
      <c r="K211" s="971" t="s">
        <v>1768</v>
      </c>
      <c r="L211" s="971" t="s">
        <v>3420</v>
      </c>
      <c r="M211" s="971" t="s">
        <v>1768</v>
      </c>
      <c r="N211" s="971" t="s">
        <v>179</v>
      </c>
      <c r="O211" s="971" t="s">
        <v>1769</v>
      </c>
      <c r="P211" s="971" t="s">
        <v>6663</v>
      </c>
      <c r="Q211" s="971" t="s">
        <v>7531</v>
      </c>
      <c r="R211" s="971" t="s">
        <v>5037</v>
      </c>
      <c r="S211" s="1274">
        <v>1</v>
      </c>
      <c r="T211" s="971" t="s">
        <v>242</v>
      </c>
      <c r="U211" s="1275">
        <v>8.1</v>
      </c>
      <c r="V211" s="1275">
        <v>106.5</v>
      </c>
      <c r="W211" s="1275">
        <v>809.29838571428581</v>
      </c>
      <c r="X211" s="1275">
        <v>1065</v>
      </c>
      <c r="Y211" s="1275">
        <v>1980.7983857142858</v>
      </c>
      <c r="Z211" s="1129">
        <v>8.1</v>
      </c>
      <c r="AA211" s="1129">
        <v>106.5</v>
      </c>
      <c r="AB211" s="1129">
        <v>809.29838571428581</v>
      </c>
      <c r="AC211" s="1129">
        <v>1065</v>
      </c>
      <c r="AD211" s="1098">
        <v>1980.7983857142858</v>
      </c>
      <c r="AE211" s="1237">
        <v>0.5</v>
      </c>
      <c r="AF211" s="1133">
        <v>0.5</v>
      </c>
      <c r="AG211" s="1127">
        <v>1</v>
      </c>
      <c r="AH211" s="1127">
        <v>0</v>
      </c>
      <c r="AI211" s="1127">
        <v>0</v>
      </c>
      <c r="AJ211" s="1127">
        <v>1</v>
      </c>
      <c r="AK211" s="1129">
        <v>1980.7983857142858</v>
      </c>
      <c r="AL211" s="1129">
        <v>0</v>
      </c>
      <c r="AM211" s="1129">
        <v>0</v>
      </c>
      <c r="AN211" s="1129">
        <v>1980.7983857142858</v>
      </c>
      <c r="AO211" s="1129" t="s">
        <v>85</v>
      </c>
      <c r="AP211" s="1129" t="s">
        <v>96</v>
      </c>
      <c r="AQ211" s="1157">
        <v>2014</v>
      </c>
      <c r="AR211" s="1129" t="s">
        <v>87</v>
      </c>
      <c r="AS211" s="1127">
        <v>0.33333333333333331</v>
      </c>
      <c r="AT211" s="1127"/>
      <c r="AU211" s="1127">
        <v>0.33333333333333331</v>
      </c>
      <c r="AV211" s="1127"/>
      <c r="AW211" s="1127"/>
      <c r="AX211" s="1127"/>
      <c r="AY211" s="1127"/>
      <c r="AZ211" s="1127">
        <v>0.33333333333333331</v>
      </c>
      <c r="BA211" s="1129">
        <v>660.26612857142857</v>
      </c>
      <c r="BB211" s="1129">
        <v>0</v>
      </c>
      <c r="BC211" s="1129">
        <v>660.26612857142857</v>
      </c>
      <c r="BD211" s="1129">
        <v>0</v>
      </c>
      <c r="BE211" s="1129">
        <v>0</v>
      </c>
      <c r="BF211" s="1129">
        <v>0</v>
      </c>
      <c r="BG211" s="1129">
        <v>0</v>
      </c>
      <c r="BH211" s="1129">
        <v>660.26612857142857</v>
      </c>
      <c r="BI211" s="1981"/>
      <c r="BJ211" s="971"/>
      <c r="BK211" s="971"/>
      <c r="BL211" s="1246"/>
      <c r="BM211" s="1247" t="s">
        <v>1768</v>
      </c>
    </row>
    <row r="212" spans="1:65" s="1247" customFormat="1" ht="49.5" customHeight="1">
      <c r="A212" s="1272">
        <v>4000</v>
      </c>
      <c r="B212" s="971" t="s">
        <v>1316</v>
      </c>
      <c r="C212" s="1272">
        <v>4500</v>
      </c>
      <c r="D212" s="971" t="s">
        <v>452</v>
      </c>
      <c r="E212" s="971" t="s">
        <v>1692</v>
      </c>
      <c r="F212" s="971" t="s">
        <v>605</v>
      </c>
      <c r="G212" s="971" t="s">
        <v>5012</v>
      </c>
      <c r="H212" s="971" t="s">
        <v>621</v>
      </c>
      <c r="I212" s="1273" t="s">
        <v>7532</v>
      </c>
      <c r="J212" s="971" t="s">
        <v>239</v>
      </c>
      <c r="K212" s="971" t="s">
        <v>1768</v>
      </c>
      <c r="L212" s="971" t="s">
        <v>3420</v>
      </c>
      <c r="M212" s="971" t="s">
        <v>1768</v>
      </c>
      <c r="N212" s="971" t="s">
        <v>179</v>
      </c>
      <c r="O212" s="971" t="s">
        <v>1769</v>
      </c>
      <c r="P212" s="971" t="s">
        <v>6663</v>
      </c>
      <c r="Q212" s="971" t="s">
        <v>7257</v>
      </c>
      <c r="R212" s="971" t="s">
        <v>5038</v>
      </c>
      <c r="S212" s="1274">
        <v>1</v>
      </c>
      <c r="T212" s="971" t="s">
        <v>242</v>
      </c>
      <c r="U212" s="1275">
        <v>8.1</v>
      </c>
      <c r="V212" s="1275">
        <v>106.5</v>
      </c>
      <c r="W212" s="1275">
        <v>809.29838571428581</v>
      </c>
      <c r="X212" s="1275">
        <v>1065</v>
      </c>
      <c r="Y212" s="1275">
        <v>1980.7983857142858</v>
      </c>
      <c r="Z212" s="1129">
        <v>8.1</v>
      </c>
      <c r="AA212" s="1129">
        <v>106.5</v>
      </c>
      <c r="AB212" s="1129">
        <v>809.29838571428581</v>
      </c>
      <c r="AC212" s="1129">
        <v>1065</v>
      </c>
      <c r="AD212" s="1098">
        <v>1980.7983857142858</v>
      </c>
      <c r="AE212" s="1237">
        <v>0.5</v>
      </c>
      <c r="AF212" s="1133">
        <v>0.5</v>
      </c>
      <c r="AG212" s="1127">
        <v>1</v>
      </c>
      <c r="AH212" s="1127">
        <v>0</v>
      </c>
      <c r="AI212" s="1127">
        <v>0</v>
      </c>
      <c r="AJ212" s="1127">
        <v>1</v>
      </c>
      <c r="AK212" s="1129">
        <v>1980.7983857142858</v>
      </c>
      <c r="AL212" s="1129">
        <v>0</v>
      </c>
      <c r="AM212" s="1129">
        <v>0</v>
      </c>
      <c r="AN212" s="1129">
        <v>1980.7983857142858</v>
      </c>
      <c r="AO212" s="1129" t="s">
        <v>85</v>
      </c>
      <c r="AP212" s="1129" t="s">
        <v>96</v>
      </c>
      <c r="AQ212" s="1157">
        <v>2014</v>
      </c>
      <c r="AR212" s="1129" t="s">
        <v>87</v>
      </c>
      <c r="AS212" s="1127">
        <v>0.33333333333333331</v>
      </c>
      <c r="AT212" s="1127"/>
      <c r="AU212" s="1127">
        <v>0.33333333333333331</v>
      </c>
      <c r="AV212" s="1127"/>
      <c r="AW212" s="1127"/>
      <c r="AX212" s="1127"/>
      <c r="AY212" s="1127"/>
      <c r="AZ212" s="1127">
        <v>0.33333333333333331</v>
      </c>
      <c r="BA212" s="1129">
        <v>660.26612857142857</v>
      </c>
      <c r="BB212" s="1129">
        <v>0</v>
      </c>
      <c r="BC212" s="1129">
        <v>660.26612857142857</v>
      </c>
      <c r="BD212" s="1129">
        <v>0</v>
      </c>
      <c r="BE212" s="1129">
        <v>0</v>
      </c>
      <c r="BF212" s="1129">
        <v>0</v>
      </c>
      <c r="BG212" s="1129">
        <v>0</v>
      </c>
      <c r="BH212" s="1129">
        <v>660.26612857142857</v>
      </c>
      <c r="BI212" s="1981"/>
      <c r="BJ212" s="971"/>
      <c r="BK212" s="971"/>
      <c r="BL212" s="1246"/>
      <c r="BM212" s="1247" t="s">
        <v>1768</v>
      </c>
    </row>
    <row r="213" spans="1:65" s="1247" customFormat="1" ht="82.5" customHeight="1">
      <c r="A213" s="1272">
        <v>4000</v>
      </c>
      <c r="B213" s="971" t="s">
        <v>1316</v>
      </c>
      <c r="C213" s="1272">
        <v>4500</v>
      </c>
      <c r="D213" s="971" t="s">
        <v>452</v>
      </c>
      <c r="E213" s="971" t="s">
        <v>1692</v>
      </c>
      <c r="F213" s="971" t="s">
        <v>605</v>
      </c>
      <c r="G213" s="971" t="s">
        <v>6609</v>
      </c>
      <c r="H213" s="971" t="s">
        <v>621</v>
      </c>
      <c r="I213" s="1273"/>
      <c r="J213" s="971" t="s">
        <v>2143</v>
      </c>
      <c r="K213" s="971" t="s">
        <v>1768</v>
      </c>
      <c r="L213" s="971" t="s">
        <v>3420</v>
      </c>
      <c r="M213" s="971" t="s">
        <v>1768</v>
      </c>
      <c r="N213" s="971" t="s">
        <v>179</v>
      </c>
      <c r="O213" s="971" t="s">
        <v>1769</v>
      </c>
      <c r="P213" s="971" t="s">
        <v>6663</v>
      </c>
      <c r="Q213" s="971" t="s">
        <v>7533</v>
      </c>
      <c r="R213" s="971"/>
      <c r="S213" s="1274">
        <v>1</v>
      </c>
      <c r="T213" s="971" t="s">
        <v>242</v>
      </c>
      <c r="U213" s="1275">
        <v>8.1</v>
      </c>
      <c r="V213" s="1275">
        <v>106.5</v>
      </c>
      <c r="W213" s="1275">
        <v>809.29838571428581</v>
      </c>
      <c r="X213" s="1275">
        <v>1065</v>
      </c>
      <c r="Y213" s="1275">
        <v>1980.7983857142858</v>
      </c>
      <c r="Z213" s="1129">
        <v>8.1</v>
      </c>
      <c r="AA213" s="1129">
        <v>106.5</v>
      </c>
      <c r="AB213" s="1129">
        <v>809.29838571428581</v>
      </c>
      <c r="AC213" s="1129">
        <v>1065</v>
      </c>
      <c r="AD213" s="1098">
        <v>1980.7983857142858</v>
      </c>
      <c r="AE213" s="1135">
        <v>0.5</v>
      </c>
      <c r="AF213" s="1129">
        <v>0.5</v>
      </c>
      <c r="AG213" s="1127">
        <v>1</v>
      </c>
      <c r="AH213" s="1127">
        <v>0</v>
      </c>
      <c r="AI213" s="1127">
        <v>0</v>
      </c>
      <c r="AJ213" s="1127">
        <v>1</v>
      </c>
      <c r="AK213" s="1129">
        <v>1980.7983857142858</v>
      </c>
      <c r="AL213" s="1129">
        <v>0</v>
      </c>
      <c r="AM213" s="1129">
        <v>0</v>
      </c>
      <c r="AN213" s="1129">
        <v>1980.7983857142858</v>
      </c>
      <c r="AO213" s="1129" t="s">
        <v>85</v>
      </c>
      <c r="AP213" s="1129" t="s">
        <v>96</v>
      </c>
      <c r="AQ213" s="1157" t="s">
        <v>107</v>
      </c>
      <c r="AR213" s="1129" t="s">
        <v>87</v>
      </c>
      <c r="AS213" s="1127">
        <v>0.33333333333333331</v>
      </c>
      <c r="AT213" s="1127"/>
      <c r="AU213" s="1127">
        <v>0.33333333333333331</v>
      </c>
      <c r="AV213" s="1127"/>
      <c r="AW213" s="1127"/>
      <c r="AX213" s="1127"/>
      <c r="AY213" s="1127"/>
      <c r="AZ213" s="1127">
        <v>0.33333333333333331</v>
      </c>
      <c r="BA213" s="1129">
        <v>660.26612857142857</v>
      </c>
      <c r="BB213" s="1129">
        <v>0</v>
      </c>
      <c r="BC213" s="1129">
        <v>660.26612857142857</v>
      </c>
      <c r="BD213" s="1129">
        <v>0</v>
      </c>
      <c r="BE213" s="1129">
        <v>0</v>
      </c>
      <c r="BF213" s="1129">
        <v>0</v>
      </c>
      <c r="BG213" s="1129">
        <v>0</v>
      </c>
      <c r="BH213" s="1129">
        <v>660.26612857142857</v>
      </c>
      <c r="BI213" s="1981"/>
      <c r="BJ213" s="971"/>
      <c r="BK213" s="971"/>
      <c r="BL213" s="1246"/>
      <c r="BM213" s="1247" t="s">
        <v>1768</v>
      </c>
    </row>
    <row r="214" spans="1:65" s="1247" customFormat="1" ht="82.5" customHeight="1">
      <c r="A214" s="1272">
        <v>4000</v>
      </c>
      <c r="B214" s="971" t="s">
        <v>1316</v>
      </c>
      <c r="C214" s="1272">
        <v>4500</v>
      </c>
      <c r="D214" s="971" t="s">
        <v>452</v>
      </c>
      <c r="E214" s="971" t="s">
        <v>1692</v>
      </c>
      <c r="F214" s="971" t="s">
        <v>605</v>
      </c>
      <c r="G214" s="971" t="s">
        <v>5043</v>
      </c>
      <c r="H214" s="971" t="s">
        <v>684</v>
      </c>
      <c r="I214" s="1273" t="s">
        <v>7534</v>
      </c>
      <c r="J214" s="971" t="s">
        <v>686</v>
      </c>
      <c r="K214" s="971" t="s">
        <v>2123</v>
      </c>
      <c r="L214" s="971" t="s">
        <v>2124</v>
      </c>
      <c r="M214" s="971" t="s">
        <v>2123</v>
      </c>
      <c r="N214" s="971" t="s">
        <v>179</v>
      </c>
      <c r="O214" s="971" t="s">
        <v>2124</v>
      </c>
      <c r="P214" s="971" t="s">
        <v>7266</v>
      </c>
      <c r="Q214" s="971" t="s">
        <v>7535</v>
      </c>
      <c r="R214" s="971" t="s">
        <v>5044</v>
      </c>
      <c r="S214" s="1274">
        <v>1</v>
      </c>
      <c r="T214" s="971" t="s">
        <v>242</v>
      </c>
      <c r="U214" s="1275">
        <v>19.2</v>
      </c>
      <c r="V214" s="1275">
        <v>213</v>
      </c>
      <c r="W214" s="1275">
        <v>1918.3369142857146</v>
      </c>
      <c r="X214" s="1275">
        <v>2130</v>
      </c>
      <c r="Y214" s="1275">
        <v>4261.3369142857146</v>
      </c>
      <c r="Z214" s="1129">
        <v>19.2</v>
      </c>
      <c r="AA214" s="1129">
        <v>213</v>
      </c>
      <c r="AB214" s="1129">
        <v>1918.3369142857146</v>
      </c>
      <c r="AC214" s="1129">
        <v>2130</v>
      </c>
      <c r="AD214" s="1098">
        <v>4261.3369142857146</v>
      </c>
      <c r="AE214" s="1237">
        <v>1</v>
      </c>
      <c r="AF214" s="1133">
        <v>1</v>
      </c>
      <c r="AG214" s="1127">
        <v>1</v>
      </c>
      <c r="AH214" s="1127">
        <v>0</v>
      </c>
      <c r="AI214" s="1127">
        <v>0</v>
      </c>
      <c r="AJ214" s="1127">
        <v>1</v>
      </c>
      <c r="AK214" s="1129">
        <v>4261.3369142857146</v>
      </c>
      <c r="AL214" s="1129">
        <v>0</v>
      </c>
      <c r="AM214" s="1129">
        <v>0</v>
      </c>
      <c r="AN214" s="1129">
        <v>4261.3369142857146</v>
      </c>
      <c r="AO214" s="1129" t="s">
        <v>85</v>
      </c>
      <c r="AP214" s="1129" t="s">
        <v>96</v>
      </c>
      <c r="AQ214" s="1157">
        <v>2014</v>
      </c>
      <c r="AR214" s="1129" t="s">
        <v>87</v>
      </c>
      <c r="AS214" s="1127">
        <v>0.33333333333333331</v>
      </c>
      <c r="AT214" s="1127"/>
      <c r="AU214" s="1127">
        <v>0.33333333333333331</v>
      </c>
      <c r="AV214" s="1127"/>
      <c r="AW214" s="1127"/>
      <c r="AX214" s="1127"/>
      <c r="AY214" s="1127"/>
      <c r="AZ214" s="1127">
        <v>0.33333333333333331</v>
      </c>
      <c r="BA214" s="1129">
        <v>1420.4456380952381</v>
      </c>
      <c r="BB214" s="1129">
        <v>0</v>
      </c>
      <c r="BC214" s="1129">
        <v>1420.4456380952381</v>
      </c>
      <c r="BD214" s="1129">
        <v>0</v>
      </c>
      <c r="BE214" s="1129">
        <v>0</v>
      </c>
      <c r="BF214" s="1129">
        <v>0</v>
      </c>
      <c r="BG214" s="1129">
        <v>0</v>
      </c>
      <c r="BH214" s="1129">
        <v>1420.4456380952381</v>
      </c>
      <c r="BI214" s="1981"/>
      <c r="BJ214" s="971"/>
      <c r="BK214" s="971"/>
      <c r="BL214" s="1246"/>
      <c r="BM214" s="1247" t="s">
        <v>2123</v>
      </c>
    </row>
    <row r="215" spans="1:65" s="1247" customFormat="1" ht="66" customHeight="1">
      <c r="A215" s="1272">
        <v>4000</v>
      </c>
      <c r="B215" s="971" t="s">
        <v>1316</v>
      </c>
      <c r="C215" s="1272">
        <v>4500</v>
      </c>
      <c r="D215" s="971" t="s">
        <v>452</v>
      </c>
      <c r="E215" s="971" t="s">
        <v>1692</v>
      </c>
      <c r="F215" s="971" t="s">
        <v>605</v>
      </c>
      <c r="G215" s="971" t="s">
        <v>5043</v>
      </c>
      <c r="H215" s="971" t="s">
        <v>684</v>
      </c>
      <c r="I215" s="1273" t="s">
        <v>1772</v>
      </c>
      <c r="J215" s="971" t="s">
        <v>686</v>
      </c>
      <c r="K215" s="971" t="s">
        <v>687</v>
      </c>
      <c r="L215" s="971" t="s">
        <v>2915</v>
      </c>
      <c r="M215" s="971" t="s">
        <v>811</v>
      </c>
      <c r="N215" s="971" t="s">
        <v>179</v>
      </c>
      <c r="O215" s="971" t="s">
        <v>688</v>
      </c>
      <c r="P215" s="971"/>
      <c r="Q215" s="971" t="s">
        <v>1773</v>
      </c>
      <c r="R215" s="971" t="s">
        <v>1774</v>
      </c>
      <c r="S215" s="1274">
        <v>1</v>
      </c>
      <c r="T215" s="971" t="s">
        <v>242</v>
      </c>
      <c r="U215" s="1275">
        <v>2</v>
      </c>
      <c r="V215" s="1275">
        <v>30</v>
      </c>
      <c r="W215" s="1275">
        <v>199.82676190476192</v>
      </c>
      <c r="X215" s="1275">
        <v>300</v>
      </c>
      <c r="Y215" s="1275">
        <v>529.82676190476195</v>
      </c>
      <c r="Z215" s="1129">
        <v>2</v>
      </c>
      <c r="AA215" s="1129">
        <v>30</v>
      </c>
      <c r="AB215" s="1129">
        <v>199.82676190476192</v>
      </c>
      <c r="AC215" s="1129">
        <v>300</v>
      </c>
      <c r="AD215" s="1098">
        <v>529.82676190476195</v>
      </c>
      <c r="AE215" s="1237">
        <v>0.5</v>
      </c>
      <c r="AF215" s="1133">
        <v>0.5</v>
      </c>
      <c r="AG215" s="1127">
        <v>1</v>
      </c>
      <c r="AH215" s="1127">
        <v>0</v>
      </c>
      <c r="AI215" s="1127">
        <v>0</v>
      </c>
      <c r="AJ215" s="1127">
        <v>1</v>
      </c>
      <c r="AK215" s="1129">
        <v>529.82676190476195</v>
      </c>
      <c r="AL215" s="1129">
        <v>0</v>
      </c>
      <c r="AM215" s="1129">
        <v>0</v>
      </c>
      <c r="AN215" s="1129">
        <v>529.82676190476195</v>
      </c>
      <c r="AO215" s="1129" t="s">
        <v>85</v>
      </c>
      <c r="AP215" s="1129" t="s">
        <v>96</v>
      </c>
      <c r="AQ215" s="1157">
        <v>2014</v>
      </c>
      <c r="AR215" s="1129" t="s">
        <v>87</v>
      </c>
      <c r="AS215" s="1127">
        <v>0.33333333333333331</v>
      </c>
      <c r="AT215" s="1127">
        <v>0.33333333333333331</v>
      </c>
      <c r="AU215" s="1127">
        <v>0.33333333333333331</v>
      </c>
      <c r="AV215" s="1127"/>
      <c r="AW215" s="1127"/>
      <c r="AX215" s="1127"/>
      <c r="AY215" s="1127"/>
      <c r="AZ215" s="1127"/>
      <c r="BA215" s="1129">
        <v>176.60892063492065</v>
      </c>
      <c r="BB215" s="1129">
        <v>176.60892063492065</v>
      </c>
      <c r="BC215" s="1129">
        <v>176.60892063492065</v>
      </c>
      <c r="BD215" s="1129">
        <v>0</v>
      </c>
      <c r="BE215" s="1129">
        <v>0</v>
      </c>
      <c r="BF215" s="1129">
        <v>0</v>
      </c>
      <c r="BG215" s="1129">
        <v>0</v>
      </c>
      <c r="BH215" s="1129">
        <v>0</v>
      </c>
      <c r="BI215" s="1981"/>
      <c r="BJ215" s="971"/>
      <c r="BK215" s="971"/>
      <c r="BL215" s="1246"/>
      <c r="BM215" s="1247" t="s">
        <v>687</v>
      </c>
    </row>
    <row r="216" spans="1:65" s="1247" customFormat="1" ht="66" customHeight="1">
      <c r="A216" s="1272">
        <v>4000</v>
      </c>
      <c r="B216" s="971" t="s">
        <v>1316</v>
      </c>
      <c r="C216" s="1272">
        <v>4500</v>
      </c>
      <c r="D216" s="971" t="s">
        <v>452</v>
      </c>
      <c r="E216" s="971" t="s">
        <v>1692</v>
      </c>
      <c r="F216" s="971" t="s">
        <v>605</v>
      </c>
      <c r="G216" s="971" t="s">
        <v>5043</v>
      </c>
      <c r="H216" s="971" t="s">
        <v>684</v>
      </c>
      <c r="I216" s="1273" t="s">
        <v>7536</v>
      </c>
      <c r="J216" s="971" t="s">
        <v>686</v>
      </c>
      <c r="K216" s="971" t="s">
        <v>2123</v>
      </c>
      <c r="L216" s="971" t="s">
        <v>2124</v>
      </c>
      <c r="M216" s="971" t="s">
        <v>2123</v>
      </c>
      <c r="N216" s="971" t="s">
        <v>179</v>
      </c>
      <c r="O216" s="971" t="s">
        <v>2124</v>
      </c>
      <c r="P216" s="971" t="s">
        <v>7266</v>
      </c>
      <c r="Q216" s="971" t="s">
        <v>7537</v>
      </c>
      <c r="R216" s="971" t="s">
        <v>5058</v>
      </c>
      <c r="S216" s="1274">
        <v>1</v>
      </c>
      <c r="T216" s="971" t="s">
        <v>242</v>
      </c>
      <c r="U216" s="1275">
        <v>19.2</v>
      </c>
      <c r="V216" s="1275">
        <v>213</v>
      </c>
      <c r="W216" s="1275">
        <v>1918.3369142857146</v>
      </c>
      <c r="X216" s="1275">
        <v>2130</v>
      </c>
      <c r="Y216" s="1275">
        <v>4261.3369142857146</v>
      </c>
      <c r="Z216" s="1129">
        <v>19.2</v>
      </c>
      <c r="AA216" s="1129">
        <v>213</v>
      </c>
      <c r="AB216" s="1129">
        <v>1918.3369142857146</v>
      </c>
      <c r="AC216" s="1129">
        <v>2130</v>
      </c>
      <c r="AD216" s="1098">
        <v>4261.3369142857146</v>
      </c>
      <c r="AE216" s="1237">
        <v>1</v>
      </c>
      <c r="AF216" s="1133">
        <v>1</v>
      </c>
      <c r="AG216" s="1127">
        <v>1</v>
      </c>
      <c r="AH216" s="1127">
        <v>0</v>
      </c>
      <c r="AI216" s="1127">
        <v>0</v>
      </c>
      <c r="AJ216" s="1127">
        <v>1</v>
      </c>
      <c r="AK216" s="1129">
        <v>4261.3369142857146</v>
      </c>
      <c r="AL216" s="1129">
        <v>0</v>
      </c>
      <c r="AM216" s="1129">
        <v>0</v>
      </c>
      <c r="AN216" s="1129">
        <v>4261.3369142857146</v>
      </c>
      <c r="AO216" s="1129" t="s">
        <v>85</v>
      </c>
      <c r="AP216" s="1129" t="s">
        <v>96</v>
      </c>
      <c r="AQ216" s="1157">
        <v>2014</v>
      </c>
      <c r="AR216" s="1129" t="s">
        <v>87</v>
      </c>
      <c r="AS216" s="1127">
        <v>0.33333333333333331</v>
      </c>
      <c r="AT216" s="1127"/>
      <c r="AU216" s="1127">
        <v>0.33333333333333331</v>
      </c>
      <c r="AV216" s="1127"/>
      <c r="AW216" s="1127"/>
      <c r="AX216" s="1127"/>
      <c r="AY216" s="1127"/>
      <c r="AZ216" s="1127">
        <v>0.33333333333333331</v>
      </c>
      <c r="BA216" s="1129">
        <v>1420.4456380952381</v>
      </c>
      <c r="BB216" s="1129">
        <v>0</v>
      </c>
      <c r="BC216" s="1129">
        <v>1420.4456380952381</v>
      </c>
      <c r="BD216" s="1129">
        <v>0</v>
      </c>
      <c r="BE216" s="1129">
        <v>0</v>
      </c>
      <c r="BF216" s="1129">
        <v>0</v>
      </c>
      <c r="BG216" s="1129">
        <v>0</v>
      </c>
      <c r="BH216" s="1129">
        <v>1420.4456380952381</v>
      </c>
      <c r="BI216" s="1981"/>
      <c r="BJ216" s="971"/>
      <c r="BK216" s="971"/>
      <c r="BL216" s="1246"/>
      <c r="BM216" s="1247" t="s">
        <v>2123</v>
      </c>
    </row>
    <row r="217" spans="1:65" s="1247" customFormat="1" ht="66" customHeight="1">
      <c r="A217" s="1272">
        <v>4000</v>
      </c>
      <c r="B217" s="971" t="s">
        <v>1316</v>
      </c>
      <c r="C217" s="1272">
        <v>4500</v>
      </c>
      <c r="D217" s="971" t="s">
        <v>452</v>
      </c>
      <c r="E217" s="971" t="s">
        <v>1692</v>
      </c>
      <c r="F217" s="971" t="s">
        <v>605</v>
      </c>
      <c r="G217" s="971" t="s">
        <v>5043</v>
      </c>
      <c r="H217" s="971" t="s">
        <v>684</v>
      </c>
      <c r="I217" s="1273" t="s">
        <v>7538</v>
      </c>
      <c r="J217" s="971" t="s">
        <v>686</v>
      </c>
      <c r="K217" s="971" t="s">
        <v>2123</v>
      </c>
      <c r="L217" s="971" t="s">
        <v>2124</v>
      </c>
      <c r="M217" s="971" t="s">
        <v>2123</v>
      </c>
      <c r="N217" s="971" t="s">
        <v>179</v>
      </c>
      <c r="O217" s="971" t="s">
        <v>2124</v>
      </c>
      <c r="P217" s="971" t="s">
        <v>7266</v>
      </c>
      <c r="Q217" s="971" t="s">
        <v>7539</v>
      </c>
      <c r="R217" s="971" t="s">
        <v>5064</v>
      </c>
      <c r="S217" s="1274">
        <v>1</v>
      </c>
      <c r="T217" s="971" t="s">
        <v>242</v>
      </c>
      <c r="U217" s="1275">
        <v>19.2</v>
      </c>
      <c r="V217" s="1275">
        <v>213</v>
      </c>
      <c r="W217" s="1275">
        <v>1918.3369142857146</v>
      </c>
      <c r="X217" s="1275">
        <v>2130</v>
      </c>
      <c r="Y217" s="1275">
        <v>4261.3369142857146</v>
      </c>
      <c r="Z217" s="1129">
        <v>19.2</v>
      </c>
      <c r="AA217" s="1129">
        <v>213</v>
      </c>
      <c r="AB217" s="1129">
        <v>1918.3369142857146</v>
      </c>
      <c r="AC217" s="1129">
        <v>2130</v>
      </c>
      <c r="AD217" s="1098">
        <v>4261.3369142857146</v>
      </c>
      <c r="AE217" s="1237">
        <v>1</v>
      </c>
      <c r="AF217" s="1133">
        <v>1</v>
      </c>
      <c r="AG217" s="1127">
        <v>1</v>
      </c>
      <c r="AH217" s="1127">
        <v>0</v>
      </c>
      <c r="AI217" s="1127">
        <v>0</v>
      </c>
      <c r="AJ217" s="1127">
        <v>1</v>
      </c>
      <c r="AK217" s="1129">
        <v>4261.3369142857146</v>
      </c>
      <c r="AL217" s="1129">
        <v>0</v>
      </c>
      <c r="AM217" s="1129">
        <v>0</v>
      </c>
      <c r="AN217" s="1129">
        <v>4261.3369142857146</v>
      </c>
      <c r="AO217" s="1129" t="s">
        <v>85</v>
      </c>
      <c r="AP217" s="1129" t="s">
        <v>96</v>
      </c>
      <c r="AQ217" s="1157">
        <v>2014</v>
      </c>
      <c r="AR217" s="1129" t="s">
        <v>87</v>
      </c>
      <c r="AS217" s="1127">
        <v>0.33333333333333331</v>
      </c>
      <c r="AT217" s="1127"/>
      <c r="AU217" s="1127">
        <v>0.33333333333333331</v>
      </c>
      <c r="AV217" s="1127"/>
      <c r="AW217" s="1127"/>
      <c r="AX217" s="1127"/>
      <c r="AY217" s="1127"/>
      <c r="AZ217" s="1127">
        <v>0.33333333333333331</v>
      </c>
      <c r="BA217" s="1129">
        <v>1420.4456380952381</v>
      </c>
      <c r="BB217" s="1129">
        <v>0</v>
      </c>
      <c r="BC217" s="1129">
        <v>1420.4456380952381</v>
      </c>
      <c r="BD217" s="1129">
        <v>0</v>
      </c>
      <c r="BE217" s="1129">
        <v>0</v>
      </c>
      <c r="BF217" s="1129">
        <v>0</v>
      </c>
      <c r="BG217" s="1129">
        <v>0</v>
      </c>
      <c r="BH217" s="1129">
        <v>1420.4456380952381</v>
      </c>
      <c r="BI217" s="1981"/>
      <c r="BJ217" s="971"/>
      <c r="BK217" s="971"/>
      <c r="BL217" s="1246"/>
      <c r="BM217" s="1247" t="s">
        <v>2123</v>
      </c>
    </row>
    <row r="218" spans="1:65" s="1247" customFormat="1" ht="49.5" customHeight="1">
      <c r="A218" s="1272">
        <v>4000</v>
      </c>
      <c r="B218" s="971" t="s">
        <v>1316</v>
      </c>
      <c r="C218" s="1272">
        <v>4500</v>
      </c>
      <c r="D218" s="971" t="s">
        <v>452</v>
      </c>
      <c r="E218" s="971" t="s">
        <v>1692</v>
      </c>
      <c r="F218" s="971" t="s">
        <v>605</v>
      </c>
      <c r="G218" s="971" t="s">
        <v>5043</v>
      </c>
      <c r="H218" s="971" t="s">
        <v>684</v>
      </c>
      <c r="I218" s="1273" t="s">
        <v>1775</v>
      </c>
      <c r="J218" s="971" t="s">
        <v>239</v>
      </c>
      <c r="K218" s="971" t="s">
        <v>687</v>
      </c>
      <c r="L218" s="971" t="s">
        <v>2915</v>
      </c>
      <c r="M218" s="971" t="s">
        <v>811</v>
      </c>
      <c r="N218" s="971" t="s">
        <v>179</v>
      </c>
      <c r="O218" s="971" t="s">
        <v>688</v>
      </c>
      <c r="P218" s="971"/>
      <c r="Q218" s="971" t="s">
        <v>1776</v>
      </c>
      <c r="R218" s="971" t="s">
        <v>1777</v>
      </c>
      <c r="S218" s="1274">
        <v>1</v>
      </c>
      <c r="T218" s="971" t="s">
        <v>242</v>
      </c>
      <c r="U218" s="1275">
        <v>2</v>
      </c>
      <c r="V218" s="1275">
        <v>30</v>
      </c>
      <c r="W218" s="1275">
        <v>199.82676190476192</v>
      </c>
      <c r="X218" s="1275">
        <v>300</v>
      </c>
      <c r="Y218" s="1275">
        <v>529.82676190476195</v>
      </c>
      <c r="Z218" s="1129">
        <v>2</v>
      </c>
      <c r="AA218" s="1129">
        <v>30</v>
      </c>
      <c r="AB218" s="1129">
        <v>199.82676190476192</v>
      </c>
      <c r="AC218" s="1129">
        <v>300</v>
      </c>
      <c r="AD218" s="1098">
        <v>529.82676190476195</v>
      </c>
      <c r="AE218" s="1237">
        <v>0.5</v>
      </c>
      <c r="AF218" s="1133">
        <v>0.5</v>
      </c>
      <c r="AG218" s="1127">
        <v>1</v>
      </c>
      <c r="AH218" s="1127">
        <v>0</v>
      </c>
      <c r="AI218" s="1127">
        <v>0</v>
      </c>
      <c r="AJ218" s="1127">
        <v>1</v>
      </c>
      <c r="AK218" s="1129">
        <v>529.82676190476195</v>
      </c>
      <c r="AL218" s="1129">
        <v>0</v>
      </c>
      <c r="AM218" s="1129">
        <v>0</v>
      </c>
      <c r="AN218" s="1129">
        <v>529.82676190476195</v>
      </c>
      <c r="AO218" s="1129" t="s">
        <v>85</v>
      </c>
      <c r="AP218" s="1129" t="s">
        <v>96</v>
      </c>
      <c r="AQ218" s="1157">
        <v>2014</v>
      </c>
      <c r="AR218" s="1129" t="s">
        <v>87</v>
      </c>
      <c r="AS218" s="1127">
        <v>0.33333333333333331</v>
      </c>
      <c r="AT218" s="1127">
        <v>0.33333333333333331</v>
      </c>
      <c r="AU218" s="1127">
        <v>0.33333333333333331</v>
      </c>
      <c r="AV218" s="1127"/>
      <c r="AW218" s="1127"/>
      <c r="AX218" s="1127"/>
      <c r="AY218" s="1127"/>
      <c r="AZ218" s="1127"/>
      <c r="BA218" s="1129">
        <v>176.60892063492065</v>
      </c>
      <c r="BB218" s="1129">
        <v>176.60892063492065</v>
      </c>
      <c r="BC218" s="1129">
        <v>176.60892063492065</v>
      </c>
      <c r="BD218" s="1129">
        <v>0</v>
      </c>
      <c r="BE218" s="1129">
        <v>0</v>
      </c>
      <c r="BF218" s="1129">
        <v>0</v>
      </c>
      <c r="BG218" s="1129">
        <v>0</v>
      </c>
      <c r="BH218" s="1129">
        <v>0</v>
      </c>
      <c r="BI218" s="1981"/>
      <c r="BJ218" s="971"/>
      <c r="BK218" s="971"/>
      <c r="BL218" s="1246"/>
      <c r="BM218" s="1247" t="s">
        <v>687</v>
      </c>
    </row>
    <row r="219" spans="1:65" s="1247" customFormat="1" ht="49.5" customHeight="1">
      <c r="A219" s="1272">
        <v>4000</v>
      </c>
      <c r="B219" s="971" t="s">
        <v>1316</v>
      </c>
      <c r="C219" s="1272">
        <v>4500</v>
      </c>
      <c r="D219" s="971" t="s">
        <v>452</v>
      </c>
      <c r="E219" s="971" t="s">
        <v>1692</v>
      </c>
      <c r="F219" s="971" t="s">
        <v>605</v>
      </c>
      <c r="G219" s="971" t="s">
        <v>5043</v>
      </c>
      <c r="H219" s="971" t="s">
        <v>684</v>
      </c>
      <c r="I219" s="1273" t="s">
        <v>7540</v>
      </c>
      <c r="J219" s="971" t="s">
        <v>239</v>
      </c>
      <c r="K219" s="971" t="s">
        <v>1768</v>
      </c>
      <c r="L219" s="971" t="s">
        <v>3420</v>
      </c>
      <c r="M219" s="971" t="s">
        <v>1768</v>
      </c>
      <c r="N219" s="971" t="s">
        <v>179</v>
      </c>
      <c r="O219" s="971" t="s">
        <v>1769</v>
      </c>
      <c r="P219" s="971" t="s">
        <v>6663</v>
      </c>
      <c r="Q219" s="971" t="s">
        <v>7541</v>
      </c>
      <c r="R219" s="971" t="s">
        <v>5074</v>
      </c>
      <c r="S219" s="1274">
        <v>1</v>
      </c>
      <c r="T219" s="971" t="s">
        <v>242</v>
      </c>
      <c r="U219" s="1275">
        <v>8.1</v>
      </c>
      <c r="V219" s="1275">
        <v>106.5</v>
      </c>
      <c r="W219" s="1275">
        <v>809.29838571428581</v>
      </c>
      <c r="X219" s="1275">
        <v>1065</v>
      </c>
      <c r="Y219" s="1275">
        <v>1980.7983857142858</v>
      </c>
      <c r="Z219" s="1129">
        <v>8.1</v>
      </c>
      <c r="AA219" s="1129">
        <v>106.5</v>
      </c>
      <c r="AB219" s="1129">
        <v>809.29838571428581</v>
      </c>
      <c r="AC219" s="1129">
        <v>1065</v>
      </c>
      <c r="AD219" s="1098">
        <v>1980.7983857142858</v>
      </c>
      <c r="AE219" s="1237">
        <v>0.5</v>
      </c>
      <c r="AF219" s="1133">
        <v>0.5</v>
      </c>
      <c r="AG219" s="1127">
        <v>1</v>
      </c>
      <c r="AH219" s="1127">
        <v>0</v>
      </c>
      <c r="AI219" s="1127">
        <v>0</v>
      </c>
      <c r="AJ219" s="1127">
        <v>1</v>
      </c>
      <c r="AK219" s="1129">
        <v>1980.7983857142858</v>
      </c>
      <c r="AL219" s="1129">
        <v>0</v>
      </c>
      <c r="AM219" s="1129">
        <v>0</v>
      </c>
      <c r="AN219" s="1129">
        <v>1980.7983857142858</v>
      </c>
      <c r="AO219" s="1129" t="s">
        <v>85</v>
      </c>
      <c r="AP219" s="1129" t="s">
        <v>96</v>
      </c>
      <c r="AQ219" s="1157">
        <v>2014</v>
      </c>
      <c r="AR219" s="1129" t="s">
        <v>87</v>
      </c>
      <c r="AS219" s="1127">
        <v>0.33333333333333331</v>
      </c>
      <c r="AT219" s="1127"/>
      <c r="AU219" s="1127">
        <v>0.33333333333333331</v>
      </c>
      <c r="AV219" s="1127"/>
      <c r="AW219" s="1127"/>
      <c r="AX219" s="1127"/>
      <c r="AY219" s="1127"/>
      <c r="AZ219" s="1127">
        <v>0.33333333333333331</v>
      </c>
      <c r="BA219" s="1129">
        <v>660.26612857142857</v>
      </c>
      <c r="BB219" s="1129">
        <v>0</v>
      </c>
      <c r="BC219" s="1129">
        <v>660.26612857142857</v>
      </c>
      <c r="BD219" s="1129">
        <v>0</v>
      </c>
      <c r="BE219" s="1129">
        <v>0</v>
      </c>
      <c r="BF219" s="1129">
        <v>0</v>
      </c>
      <c r="BG219" s="1129">
        <v>0</v>
      </c>
      <c r="BH219" s="1129">
        <v>660.26612857142857</v>
      </c>
      <c r="BI219" s="1981"/>
      <c r="BJ219" s="971"/>
      <c r="BK219" s="971"/>
      <c r="BL219" s="1246"/>
      <c r="BM219" s="1247" t="s">
        <v>1768</v>
      </c>
    </row>
    <row r="220" spans="1:65" s="1247" customFormat="1" ht="49.5" customHeight="1">
      <c r="A220" s="1272">
        <v>4000</v>
      </c>
      <c r="B220" s="971" t="s">
        <v>1316</v>
      </c>
      <c r="C220" s="1272">
        <v>4500</v>
      </c>
      <c r="D220" s="971" t="s">
        <v>452</v>
      </c>
      <c r="E220" s="971" t="s">
        <v>1692</v>
      </c>
      <c r="F220" s="971" t="s">
        <v>605</v>
      </c>
      <c r="G220" s="971" t="s">
        <v>5043</v>
      </c>
      <c r="H220" s="971" t="s">
        <v>684</v>
      </c>
      <c r="I220" s="1273" t="s">
        <v>7542</v>
      </c>
      <c r="J220" s="971" t="s">
        <v>686</v>
      </c>
      <c r="K220" s="971" t="s">
        <v>2123</v>
      </c>
      <c r="L220" s="971" t="s">
        <v>2124</v>
      </c>
      <c r="M220" s="971" t="s">
        <v>2123</v>
      </c>
      <c r="N220" s="971" t="s">
        <v>179</v>
      </c>
      <c r="O220" s="971" t="s">
        <v>2124</v>
      </c>
      <c r="P220" s="971" t="s">
        <v>7266</v>
      </c>
      <c r="Q220" s="971" t="s">
        <v>7543</v>
      </c>
      <c r="R220" s="971" t="s">
        <v>5077</v>
      </c>
      <c r="S220" s="1274">
        <v>1</v>
      </c>
      <c r="T220" s="971" t="s">
        <v>242</v>
      </c>
      <c r="U220" s="1275">
        <v>19.2</v>
      </c>
      <c r="V220" s="1275">
        <v>213</v>
      </c>
      <c r="W220" s="1275">
        <v>1918.3369142857146</v>
      </c>
      <c r="X220" s="1275">
        <v>2130</v>
      </c>
      <c r="Y220" s="1275">
        <v>4261.3369142857146</v>
      </c>
      <c r="Z220" s="1129">
        <v>19.2</v>
      </c>
      <c r="AA220" s="1129">
        <v>213</v>
      </c>
      <c r="AB220" s="1129">
        <v>1918.3369142857146</v>
      </c>
      <c r="AC220" s="1129">
        <v>2130</v>
      </c>
      <c r="AD220" s="1098">
        <v>4261.3369142857146</v>
      </c>
      <c r="AE220" s="1237">
        <v>1</v>
      </c>
      <c r="AF220" s="1133">
        <v>1</v>
      </c>
      <c r="AG220" s="1127">
        <v>1</v>
      </c>
      <c r="AH220" s="1127">
        <v>0</v>
      </c>
      <c r="AI220" s="1127">
        <v>0</v>
      </c>
      <c r="AJ220" s="1127">
        <v>1</v>
      </c>
      <c r="AK220" s="1129">
        <v>4261.3369142857146</v>
      </c>
      <c r="AL220" s="1129">
        <v>0</v>
      </c>
      <c r="AM220" s="1129">
        <v>0</v>
      </c>
      <c r="AN220" s="1129">
        <v>4261.3369142857146</v>
      </c>
      <c r="AO220" s="1129" t="s">
        <v>85</v>
      </c>
      <c r="AP220" s="1129" t="s">
        <v>96</v>
      </c>
      <c r="AQ220" s="1157">
        <v>2014</v>
      </c>
      <c r="AR220" s="1129" t="s">
        <v>87</v>
      </c>
      <c r="AS220" s="1127">
        <v>0.33333333333333331</v>
      </c>
      <c r="AT220" s="1127"/>
      <c r="AU220" s="1127">
        <v>0.33333333333333331</v>
      </c>
      <c r="AV220" s="1127"/>
      <c r="AW220" s="1127"/>
      <c r="AX220" s="1127"/>
      <c r="AY220" s="1127"/>
      <c r="AZ220" s="1127">
        <v>0.33333333333333331</v>
      </c>
      <c r="BA220" s="1129">
        <v>1420.4456380952381</v>
      </c>
      <c r="BB220" s="1129">
        <v>0</v>
      </c>
      <c r="BC220" s="1129">
        <v>1420.4456380952381</v>
      </c>
      <c r="BD220" s="1129">
        <v>0</v>
      </c>
      <c r="BE220" s="1129">
        <v>0</v>
      </c>
      <c r="BF220" s="1129">
        <v>0</v>
      </c>
      <c r="BG220" s="1129">
        <v>0</v>
      </c>
      <c r="BH220" s="1129">
        <v>1420.4456380952381</v>
      </c>
      <c r="BI220" s="1981"/>
      <c r="BJ220" s="971"/>
      <c r="BK220" s="971"/>
      <c r="BL220" s="1246"/>
      <c r="BM220" s="1247" t="s">
        <v>2123</v>
      </c>
    </row>
    <row r="221" spans="1:65" s="1247" customFormat="1" ht="115.5" customHeight="1">
      <c r="A221" s="1272">
        <v>4000</v>
      </c>
      <c r="B221" s="971" t="s">
        <v>1316</v>
      </c>
      <c r="C221" s="1272">
        <v>4500</v>
      </c>
      <c r="D221" s="971" t="s">
        <v>452</v>
      </c>
      <c r="E221" s="971" t="s">
        <v>1692</v>
      </c>
      <c r="F221" s="971" t="s">
        <v>605</v>
      </c>
      <c r="G221" s="971" t="s">
        <v>5043</v>
      </c>
      <c r="H221" s="971" t="s">
        <v>684</v>
      </c>
      <c r="I221" s="1273" t="s">
        <v>7544</v>
      </c>
      <c r="J221" s="971" t="s">
        <v>686</v>
      </c>
      <c r="K221" s="971" t="s">
        <v>2123</v>
      </c>
      <c r="L221" s="971" t="s">
        <v>2124</v>
      </c>
      <c r="M221" s="971" t="s">
        <v>2123</v>
      </c>
      <c r="N221" s="971" t="s">
        <v>179</v>
      </c>
      <c r="O221" s="971" t="s">
        <v>2124</v>
      </c>
      <c r="P221" s="971" t="s">
        <v>7266</v>
      </c>
      <c r="Q221" s="971" t="s">
        <v>7545</v>
      </c>
      <c r="R221" s="971" t="s">
        <v>5079</v>
      </c>
      <c r="S221" s="1274">
        <v>1</v>
      </c>
      <c r="T221" s="971" t="s">
        <v>242</v>
      </c>
      <c r="U221" s="1275">
        <v>19.2</v>
      </c>
      <c r="V221" s="1275">
        <v>213</v>
      </c>
      <c r="W221" s="1275">
        <v>1918.3369142857146</v>
      </c>
      <c r="X221" s="1275">
        <v>2130</v>
      </c>
      <c r="Y221" s="1275">
        <v>4261.3369142857146</v>
      </c>
      <c r="Z221" s="1129">
        <v>19.2</v>
      </c>
      <c r="AA221" s="1129">
        <v>213</v>
      </c>
      <c r="AB221" s="1129">
        <v>1918.3369142857146</v>
      </c>
      <c r="AC221" s="1129">
        <v>2130</v>
      </c>
      <c r="AD221" s="1098">
        <v>4261.3369142857146</v>
      </c>
      <c r="AE221" s="1237">
        <v>1</v>
      </c>
      <c r="AF221" s="1133">
        <v>1</v>
      </c>
      <c r="AG221" s="1127">
        <v>1</v>
      </c>
      <c r="AH221" s="1127">
        <v>0</v>
      </c>
      <c r="AI221" s="1127">
        <v>0</v>
      </c>
      <c r="AJ221" s="1127">
        <v>1</v>
      </c>
      <c r="AK221" s="1129">
        <v>4261.3369142857146</v>
      </c>
      <c r="AL221" s="1129">
        <v>0</v>
      </c>
      <c r="AM221" s="1129">
        <v>0</v>
      </c>
      <c r="AN221" s="1129">
        <v>4261.3369142857146</v>
      </c>
      <c r="AO221" s="1129" t="s">
        <v>85</v>
      </c>
      <c r="AP221" s="1129" t="s">
        <v>96</v>
      </c>
      <c r="AQ221" s="1157">
        <v>2014</v>
      </c>
      <c r="AR221" s="1129" t="s">
        <v>87</v>
      </c>
      <c r="AS221" s="1127">
        <v>0.33333333333333331</v>
      </c>
      <c r="AT221" s="1127"/>
      <c r="AU221" s="1127">
        <v>0.33333333333333331</v>
      </c>
      <c r="AV221" s="1127"/>
      <c r="AW221" s="1127"/>
      <c r="AX221" s="1127"/>
      <c r="AY221" s="1127"/>
      <c r="AZ221" s="1127">
        <v>0.33333333333333331</v>
      </c>
      <c r="BA221" s="1129">
        <v>1420.4456380952381</v>
      </c>
      <c r="BB221" s="1129">
        <v>0</v>
      </c>
      <c r="BC221" s="1129">
        <v>1420.4456380952381</v>
      </c>
      <c r="BD221" s="1129">
        <v>0</v>
      </c>
      <c r="BE221" s="1129">
        <v>0</v>
      </c>
      <c r="BF221" s="1129">
        <v>0</v>
      </c>
      <c r="BG221" s="1129">
        <v>0</v>
      </c>
      <c r="BH221" s="1129">
        <v>1420.4456380952381</v>
      </c>
      <c r="BI221" s="1981"/>
      <c r="BJ221" s="971"/>
      <c r="BK221" s="971"/>
      <c r="BL221" s="1246"/>
      <c r="BM221" s="1247" t="s">
        <v>2123</v>
      </c>
    </row>
    <row r="222" spans="1:65" s="1247" customFormat="1" ht="66" customHeight="1">
      <c r="A222" s="1272">
        <v>4000</v>
      </c>
      <c r="B222" s="971" t="s">
        <v>1316</v>
      </c>
      <c r="C222" s="1272">
        <v>4500</v>
      </c>
      <c r="D222" s="971" t="s">
        <v>452</v>
      </c>
      <c r="E222" s="971" t="s">
        <v>1692</v>
      </c>
      <c r="F222" s="971" t="s">
        <v>605</v>
      </c>
      <c r="G222" s="971" t="s">
        <v>5043</v>
      </c>
      <c r="H222" s="971" t="s">
        <v>684</v>
      </c>
      <c r="I222" s="1273" t="s">
        <v>7546</v>
      </c>
      <c r="J222" s="971" t="s">
        <v>686</v>
      </c>
      <c r="K222" s="971" t="s">
        <v>2123</v>
      </c>
      <c r="L222" s="971" t="s">
        <v>2124</v>
      </c>
      <c r="M222" s="971" t="s">
        <v>2123</v>
      </c>
      <c r="N222" s="971" t="s">
        <v>179</v>
      </c>
      <c r="O222" s="971" t="s">
        <v>2124</v>
      </c>
      <c r="P222" s="971" t="s">
        <v>7266</v>
      </c>
      <c r="Q222" s="971" t="s">
        <v>7547</v>
      </c>
      <c r="R222" s="971" t="s">
        <v>5087</v>
      </c>
      <c r="S222" s="1274">
        <v>1</v>
      </c>
      <c r="T222" s="971" t="s">
        <v>242</v>
      </c>
      <c r="U222" s="1275">
        <v>19.2</v>
      </c>
      <c r="V222" s="1275">
        <v>213</v>
      </c>
      <c r="W222" s="1275">
        <v>1918.3369142857146</v>
      </c>
      <c r="X222" s="1275">
        <v>2130</v>
      </c>
      <c r="Y222" s="1275">
        <v>4261.3369142857146</v>
      </c>
      <c r="Z222" s="1129">
        <v>19.2</v>
      </c>
      <c r="AA222" s="1129">
        <v>213</v>
      </c>
      <c r="AB222" s="1129">
        <v>1918.3369142857146</v>
      </c>
      <c r="AC222" s="1129">
        <v>2130</v>
      </c>
      <c r="AD222" s="1098">
        <v>4261.3369142857146</v>
      </c>
      <c r="AE222" s="1237">
        <v>1</v>
      </c>
      <c r="AF222" s="1133">
        <v>1</v>
      </c>
      <c r="AG222" s="1127">
        <v>1</v>
      </c>
      <c r="AH222" s="1127">
        <v>0</v>
      </c>
      <c r="AI222" s="1127">
        <v>0</v>
      </c>
      <c r="AJ222" s="1127">
        <v>1</v>
      </c>
      <c r="AK222" s="1129">
        <v>4261.3369142857146</v>
      </c>
      <c r="AL222" s="1129">
        <v>0</v>
      </c>
      <c r="AM222" s="1129">
        <v>0</v>
      </c>
      <c r="AN222" s="1129">
        <v>4261.3369142857146</v>
      </c>
      <c r="AO222" s="1129" t="s">
        <v>85</v>
      </c>
      <c r="AP222" s="1129" t="s">
        <v>96</v>
      </c>
      <c r="AQ222" s="1157">
        <v>2014</v>
      </c>
      <c r="AR222" s="1129" t="s">
        <v>87</v>
      </c>
      <c r="AS222" s="1127">
        <v>0.33333333333333331</v>
      </c>
      <c r="AT222" s="1127"/>
      <c r="AU222" s="1127">
        <v>0.33333333333333331</v>
      </c>
      <c r="AV222" s="1127"/>
      <c r="AW222" s="1127"/>
      <c r="AX222" s="1127"/>
      <c r="AY222" s="1127"/>
      <c r="AZ222" s="1127">
        <v>0.33333333333333331</v>
      </c>
      <c r="BA222" s="1129">
        <v>1420.4456380952381</v>
      </c>
      <c r="BB222" s="1129">
        <v>0</v>
      </c>
      <c r="BC222" s="1129">
        <v>1420.4456380952381</v>
      </c>
      <c r="BD222" s="1129">
        <v>0</v>
      </c>
      <c r="BE222" s="1129">
        <v>0</v>
      </c>
      <c r="BF222" s="1129">
        <v>0</v>
      </c>
      <c r="BG222" s="1129">
        <v>0</v>
      </c>
      <c r="BH222" s="1129">
        <v>1420.4456380952381</v>
      </c>
      <c r="BI222" s="1981"/>
      <c r="BJ222" s="971"/>
      <c r="BK222" s="971"/>
      <c r="BL222" s="1246"/>
      <c r="BM222" s="1247" t="s">
        <v>2123</v>
      </c>
    </row>
    <row r="223" spans="1:65" s="1247" customFormat="1" ht="66" customHeight="1">
      <c r="A223" s="1272">
        <v>4000</v>
      </c>
      <c r="B223" s="971" t="s">
        <v>1316</v>
      </c>
      <c r="C223" s="1272">
        <v>4500</v>
      </c>
      <c r="D223" s="971" t="s">
        <v>452</v>
      </c>
      <c r="E223" s="971" t="s">
        <v>1692</v>
      </c>
      <c r="F223" s="971" t="s">
        <v>605</v>
      </c>
      <c r="G223" s="971" t="s">
        <v>5043</v>
      </c>
      <c r="H223" s="971" t="s">
        <v>684</v>
      </c>
      <c r="I223" s="1273" t="s">
        <v>7548</v>
      </c>
      <c r="J223" s="971" t="s">
        <v>686</v>
      </c>
      <c r="K223" s="971" t="s">
        <v>2123</v>
      </c>
      <c r="L223" s="971" t="s">
        <v>2124</v>
      </c>
      <c r="M223" s="971" t="s">
        <v>2123</v>
      </c>
      <c r="N223" s="971" t="s">
        <v>179</v>
      </c>
      <c r="O223" s="971" t="s">
        <v>2124</v>
      </c>
      <c r="P223" s="971" t="s">
        <v>7266</v>
      </c>
      <c r="Q223" s="971" t="s">
        <v>7549</v>
      </c>
      <c r="R223" s="971" t="s">
        <v>5094</v>
      </c>
      <c r="S223" s="1274">
        <v>1</v>
      </c>
      <c r="T223" s="971" t="s">
        <v>242</v>
      </c>
      <c r="U223" s="1275">
        <v>19.2</v>
      </c>
      <c r="V223" s="1275">
        <v>213</v>
      </c>
      <c r="W223" s="1275">
        <v>1918.3369142857146</v>
      </c>
      <c r="X223" s="1275">
        <v>2130</v>
      </c>
      <c r="Y223" s="1275">
        <v>4261.3369142857146</v>
      </c>
      <c r="Z223" s="1129">
        <v>19.2</v>
      </c>
      <c r="AA223" s="1129">
        <v>213</v>
      </c>
      <c r="AB223" s="1129">
        <v>1918.3369142857146</v>
      </c>
      <c r="AC223" s="1129">
        <v>2130</v>
      </c>
      <c r="AD223" s="1098">
        <v>4261.3369142857146</v>
      </c>
      <c r="AE223" s="1237">
        <v>1</v>
      </c>
      <c r="AF223" s="1133">
        <v>1</v>
      </c>
      <c r="AG223" s="1127">
        <v>1</v>
      </c>
      <c r="AH223" s="1127">
        <v>0</v>
      </c>
      <c r="AI223" s="1127">
        <v>0</v>
      </c>
      <c r="AJ223" s="1127">
        <v>1</v>
      </c>
      <c r="AK223" s="1129">
        <v>4261.3369142857146</v>
      </c>
      <c r="AL223" s="1129">
        <v>0</v>
      </c>
      <c r="AM223" s="1129">
        <v>0</v>
      </c>
      <c r="AN223" s="1129">
        <v>4261.3369142857146</v>
      </c>
      <c r="AO223" s="1129" t="s">
        <v>85</v>
      </c>
      <c r="AP223" s="1129" t="s">
        <v>96</v>
      </c>
      <c r="AQ223" s="1157">
        <v>2014</v>
      </c>
      <c r="AR223" s="1129" t="s">
        <v>87</v>
      </c>
      <c r="AS223" s="1127">
        <v>0.33333333333333331</v>
      </c>
      <c r="AT223" s="1127"/>
      <c r="AU223" s="1127">
        <v>0.33333333333333331</v>
      </c>
      <c r="AV223" s="1127"/>
      <c r="AW223" s="1127"/>
      <c r="AX223" s="1127"/>
      <c r="AY223" s="1127"/>
      <c r="AZ223" s="1127">
        <v>0.33333333333333331</v>
      </c>
      <c r="BA223" s="1129">
        <v>1420.4456380952381</v>
      </c>
      <c r="BB223" s="1129">
        <v>0</v>
      </c>
      <c r="BC223" s="1129">
        <v>1420.4456380952381</v>
      </c>
      <c r="BD223" s="1129">
        <v>0</v>
      </c>
      <c r="BE223" s="1129">
        <v>0</v>
      </c>
      <c r="BF223" s="1129">
        <v>0</v>
      </c>
      <c r="BG223" s="1129">
        <v>0</v>
      </c>
      <c r="BH223" s="1129">
        <v>1420.4456380952381</v>
      </c>
      <c r="BI223" s="1981"/>
      <c r="BJ223" s="971"/>
      <c r="BK223" s="971"/>
      <c r="BL223" s="1246"/>
      <c r="BM223" s="1247" t="s">
        <v>2123</v>
      </c>
    </row>
    <row r="224" spans="1:65" s="1247" customFormat="1" ht="66" customHeight="1">
      <c r="A224" s="1272">
        <v>4000</v>
      </c>
      <c r="B224" s="971" t="s">
        <v>1316</v>
      </c>
      <c r="C224" s="1272">
        <v>4500</v>
      </c>
      <c r="D224" s="971" t="s">
        <v>452</v>
      </c>
      <c r="E224" s="971" t="s">
        <v>1692</v>
      </c>
      <c r="F224" s="971" t="s">
        <v>605</v>
      </c>
      <c r="G224" s="971" t="s">
        <v>5043</v>
      </c>
      <c r="H224" s="971" t="s">
        <v>684</v>
      </c>
      <c r="I224" s="1273" t="s">
        <v>7550</v>
      </c>
      <c r="J224" s="971" t="s">
        <v>686</v>
      </c>
      <c r="K224" s="971" t="s">
        <v>2123</v>
      </c>
      <c r="L224" s="971" t="s">
        <v>2124</v>
      </c>
      <c r="M224" s="971" t="s">
        <v>2123</v>
      </c>
      <c r="N224" s="971" t="s">
        <v>179</v>
      </c>
      <c r="O224" s="971" t="s">
        <v>2124</v>
      </c>
      <c r="P224" s="971" t="s">
        <v>7266</v>
      </c>
      <c r="Q224" s="971" t="s">
        <v>7551</v>
      </c>
      <c r="R224" s="971" t="s">
        <v>5100</v>
      </c>
      <c r="S224" s="1274">
        <v>1</v>
      </c>
      <c r="T224" s="971" t="s">
        <v>242</v>
      </c>
      <c r="U224" s="1275">
        <v>19.2</v>
      </c>
      <c r="V224" s="1275">
        <v>213</v>
      </c>
      <c r="W224" s="1275">
        <v>1918.3369142857146</v>
      </c>
      <c r="X224" s="1275">
        <v>2130</v>
      </c>
      <c r="Y224" s="1275">
        <v>4261.3369142857146</v>
      </c>
      <c r="Z224" s="1129">
        <v>19.2</v>
      </c>
      <c r="AA224" s="1129">
        <v>213</v>
      </c>
      <c r="AB224" s="1129">
        <v>1918.3369142857146</v>
      </c>
      <c r="AC224" s="1129">
        <v>2130</v>
      </c>
      <c r="AD224" s="1098">
        <v>4261.3369142857146</v>
      </c>
      <c r="AE224" s="1237">
        <v>1</v>
      </c>
      <c r="AF224" s="1133">
        <v>1</v>
      </c>
      <c r="AG224" s="1127">
        <v>1</v>
      </c>
      <c r="AH224" s="1127">
        <v>0</v>
      </c>
      <c r="AI224" s="1127">
        <v>0</v>
      </c>
      <c r="AJ224" s="1127">
        <v>1</v>
      </c>
      <c r="AK224" s="1129">
        <v>4261.3369142857146</v>
      </c>
      <c r="AL224" s="1129">
        <v>0</v>
      </c>
      <c r="AM224" s="1129">
        <v>0</v>
      </c>
      <c r="AN224" s="1129">
        <v>4261.3369142857146</v>
      </c>
      <c r="AO224" s="1129" t="s">
        <v>85</v>
      </c>
      <c r="AP224" s="1129" t="s">
        <v>96</v>
      </c>
      <c r="AQ224" s="1157">
        <v>2014</v>
      </c>
      <c r="AR224" s="1129" t="s">
        <v>87</v>
      </c>
      <c r="AS224" s="1127">
        <v>0.33333333333333331</v>
      </c>
      <c r="AT224" s="1127"/>
      <c r="AU224" s="1127">
        <v>0.33333333333333331</v>
      </c>
      <c r="AV224" s="1127"/>
      <c r="AW224" s="1127"/>
      <c r="AX224" s="1127"/>
      <c r="AY224" s="1127"/>
      <c r="AZ224" s="1127">
        <v>0.33333333333333331</v>
      </c>
      <c r="BA224" s="1129">
        <v>1420.4456380952381</v>
      </c>
      <c r="BB224" s="1129">
        <v>0</v>
      </c>
      <c r="BC224" s="1129">
        <v>1420.4456380952381</v>
      </c>
      <c r="BD224" s="1129">
        <v>0</v>
      </c>
      <c r="BE224" s="1129">
        <v>0</v>
      </c>
      <c r="BF224" s="1129">
        <v>0</v>
      </c>
      <c r="BG224" s="1129">
        <v>0</v>
      </c>
      <c r="BH224" s="1129">
        <v>1420.4456380952381</v>
      </c>
      <c r="BI224" s="1981"/>
      <c r="BJ224" s="971"/>
      <c r="BK224" s="971"/>
      <c r="BL224" s="1246"/>
      <c r="BM224" s="1247" t="s">
        <v>2123</v>
      </c>
    </row>
    <row r="225" spans="1:65" s="1247" customFormat="1" ht="49.5" customHeight="1">
      <c r="A225" s="1272">
        <v>4000</v>
      </c>
      <c r="B225" s="971" t="s">
        <v>1316</v>
      </c>
      <c r="C225" s="1272">
        <v>4500</v>
      </c>
      <c r="D225" s="971" t="s">
        <v>452</v>
      </c>
      <c r="E225" s="971" t="s">
        <v>1692</v>
      </c>
      <c r="F225" s="971" t="s">
        <v>605</v>
      </c>
      <c r="G225" s="971" t="s">
        <v>5043</v>
      </c>
      <c r="H225" s="971" t="s">
        <v>684</v>
      </c>
      <c r="I225" s="1273" t="s">
        <v>7552</v>
      </c>
      <c r="J225" s="971" t="s">
        <v>686</v>
      </c>
      <c r="K225" s="971" t="s">
        <v>2123</v>
      </c>
      <c r="L225" s="971" t="s">
        <v>2124</v>
      </c>
      <c r="M225" s="971" t="s">
        <v>2123</v>
      </c>
      <c r="N225" s="971" t="s">
        <v>179</v>
      </c>
      <c r="O225" s="971" t="s">
        <v>2124</v>
      </c>
      <c r="P225" s="971" t="s">
        <v>7266</v>
      </c>
      <c r="Q225" s="971" t="s">
        <v>7553</v>
      </c>
      <c r="R225" s="971" t="s">
        <v>5105</v>
      </c>
      <c r="S225" s="1274">
        <v>1</v>
      </c>
      <c r="T225" s="971" t="s">
        <v>242</v>
      </c>
      <c r="U225" s="1275">
        <v>19.2</v>
      </c>
      <c r="V225" s="1275">
        <v>213</v>
      </c>
      <c r="W225" s="1275">
        <v>1918.3369142857146</v>
      </c>
      <c r="X225" s="1275">
        <v>2130</v>
      </c>
      <c r="Y225" s="1275">
        <v>4261.3369142857146</v>
      </c>
      <c r="Z225" s="1129">
        <v>19.2</v>
      </c>
      <c r="AA225" s="1129">
        <v>213</v>
      </c>
      <c r="AB225" s="1129">
        <v>1918.3369142857146</v>
      </c>
      <c r="AC225" s="1129">
        <v>2130</v>
      </c>
      <c r="AD225" s="1098">
        <v>4261.3369142857146</v>
      </c>
      <c r="AE225" s="1237">
        <v>1</v>
      </c>
      <c r="AF225" s="1133">
        <v>1</v>
      </c>
      <c r="AG225" s="1127">
        <v>1</v>
      </c>
      <c r="AH225" s="1127">
        <v>0</v>
      </c>
      <c r="AI225" s="1127">
        <v>0</v>
      </c>
      <c r="AJ225" s="1127">
        <v>1</v>
      </c>
      <c r="AK225" s="1129">
        <v>4261.3369142857146</v>
      </c>
      <c r="AL225" s="1129">
        <v>0</v>
      </c>
      <c r="AM225" s="1129">
        <v>0</v>
      </c>
      <c r="AN225" s="1129">
        <v>4261.3369142857146</v>
      </c>
      <c r="AO225" s="1129" t="s">
        <v>85</v>
      </c>
      <c r="AP225" s="1129" t="s">
        <v>96</v>
      </c>
      <c r="AQ225" s="1157">
        <v>2014</v>
      </c>
      <c r="AR225" s="1129" t="s">
        <v>87</v>
      </c>
      <c r="AS225" s="1127">
        <v>0.33333333333333331</v>
      </c>
      <c r="AT225" s="1127"/>
      <c r="AU225" s="1127">
        <v>0.33333333333333331</v>
      </c>
      <c r="AV225" s="1127"/>
      <c r="AW225" s="1127"/>
      <c r="AX225" s="1127"/>
      <c r="AY225" s="1127"/>
      <c r="AZ225" s="1127">
        <v>0.33333333333333331</v>
      </c>
      <c r="BA225" s="1129">
        <v>1420.4456380952381</v>
      </c>
      <c r="BB225" s="1129">
        <v>0</v>
      </c>
      <c r="BC225" s="1129">
        <v>1420.4456380952381</v>
      </c>
      <c r="BD225" s="1129">
        <v>0</v>
      </c>
      <c r="BE225" s="1129">
        <v>0</v>
      </c>
      <c r="BF225" s="1129">
        <v>0</v>
      </c>
      <c r="BG225" s="1129">
        <v>0</v>
      </c>
      <c r="BH225" s="1129">
        <v>1420.4456380952381</v>
      </c>
      <c r="BI225" s="1981"/>
      <c r="BJ225" s="971"/>
      <c r="BK225" s="971"/>
      <c r="BL225" s="1246"/>
      <c r="BM225" s="1247" t="s">
        <v>2123</v>
      </c>
    </row>
    <row r="226" spans="1:65" s="1247" customFormat="1" ht="66" customHeight="1">
      <c r="A226" s="1272">
        <v>4000</v>
      </c>
      <c r="B226" s="971" t="s">
        <v>1316</v>
      </c>
      <c r="C226" s="1272">
        <v>4500</v>
      </c>
      <c r="D226" s="971" t="s">
        <v>452</v>
      </c>
      <c r="E226" s="971" t="s">
        <v>1692</v>
      </c>
      <c r="F226" s="971" t="s">
        <v>605</v>
      </c>
      <c r="G226" s="971" t="s">
        <v>5043</v>
      </c>
      <c r="H226" s="971" t="s">
        <v>684</v>
      </c>
      <c r="I226" s="1273" t="s">
        <v>7554</v>
      </c>
      <c r="J226" s="971" t="s">
        <v>686</v>
      </c>
      <c r="K226" s="971" t="s">
        <v>2123</v>
      </c>
      <c r="L226" s="971" t="s">
        <v>2124</v>
      </c>
      <c r="M226" s="971" t="s">
        <v>2123</v>
      </c>
      <c r="N226" s="971" t="s">
        <v>179</v>
      </c>
      <c r="O226" s="971" t="s">
        <v>2124</v>
      </c>
      <c r="P226" s="971" t="s">
        <v>7266</v>
      </c>
      <c r="Q226" s="971" t="s">
        <v>7555</v>
      </c>
      <c r="R226" s="971" t="s">
        <v>5107</v>
      </c>
      <c r="S226" s="1274">
        <v>1</v>
      </c>
      <c r="T226" s="971" t="s">
        <v>242</v>
      </c>
      <c r="U226" s="1275">
        <v>19.2</v>
      </c>
      <c r="V226" s="1275">
        <v>213</v>
      </c>
      <c r="W226" s="1275">
        <v>1918.3369142857146</v>
      </c>
      <c r="X226" s="1275">
        <v>2130</v>
      </c>
      <c r="Y226" s="1275">
        <v>4261.3369142857146</v>
      </c>
      <c r="Z226" s="1129">
        <v>19.2</v>
      </c>
      <c r="AA226" s="1129">
        <v>213</v>
      </c>
      <c r="AB226" s="1129">
        <v>1918.3369142857146</v>
      </c>
      <c r="AC226" s="1129">
        <v>2130</v>
      </c>
      <c r="AD226" s="1098">
        <v>4261.3369142857146</v>
      </c>
      <c r="AE226" s="1237">
        <v>1</v>
      </c>
      <c r="AF226" s="1133">
        <v>1</v>
      </c>
      <c r="AG226" s="1127">
        <v>1</v>
      </c>
      <c r="AH226" s="1127">
        <v>0</v>
      </c>
      <c r="AI226" s="1127">
        <v>0</v>
      </c>
      <c r="AJ226" s="1127">
        <v>1</v>
      </c>
      <c r="AK226" s="1129">
        <v>4261.3369142857146</v>
      </c>
      <c r="AL226" s="1129">
        <v>0</v>
      </c>
      <c r="AM226" s="1129">
        <v>0</v>
      </c>
      <c r="AN226" s="1129">
        <v>4261.3369142857146</v>
      </c>
      <c r="AO226" s="1129" t="s">
        <v>85</v>
      </c>
      <c r="AP226" s="1129" t="s">
        <v>96</v>
      </c>
      <c r="AQ226" s="1157">
        <v>2014</v>
      </c>
      <c r="AR226" s="1129" t="s">
        <v>87</v>
      </c>
      <c r="AS226" s="1127">
        <v>0.33333333333333331</v>
      </c>
      <c r="AT226" s="1127"/>
      <c r="AU226" s="1127">
        <v>0.33333333333333331</v>
      </c>
      <c r="AV226" s="1127"/>
      <c r="AW226" s="1127"/>
      <c r="AX226" s="1127"/>
      <c r="AY226" s="1127"/>
      <c r="AZ226" s="1127">
        <v>0.33333333333333331</v>
      </c>
      <c r="BA226" s="1129">
        <v>1420.4456380952381</v>
      </c>
      <c r="BB226" s="1129">
        <v>0</v>
      </c>
      <c r="BC226" s="1129">
        <v>1420.4456380952381</v>
      </c>
      <c r="BD226" s="1129">
        <v>0</v>
      </c>
      <c r="BE226" s="1129">
        <v>0</v>
      </c>
      <c r="BF226" s="1129">
        <v>0</v>
      </c>
      <c r="BG226" s="1129">
        <v>0</v>
      </c>
      <c r="BH226" s="1129">
        <v>1420.4456380952381</v>
      </c>
      <c r="BI226" s="1981"/>
      <c r="BJ226" s="971"/>
      <c r="BK226" s="971"/>
      <c r="BL226" s="1246"/>
      <c r="BM226" s="1247" t="s">
        <v>2123</v>
      </c>
    </row>
    <row r="227" spans="1:65" s="1247" customFormat="1" ht="66" customHeight="1">
      <c r="A227" s="1272">
        <v>4000</v>
      </c>
      <c r="B227" s="971" t="s">
        <v>1316</v>
      </c>
      <c r="C227" s="1272">
        <v>4500</v>
      </c>
      <c r="D227" s="971" t="s">
        <v>452</v>
      </c>
      <c r="E227" s="971" t="s">
        <v>1692</v>
      </c>
      <c r="F227" s="971" t="s">
        <v>605</v>
      </c>
      <c r="G227" s="971" t="s">
        <v>5043</v>
      </c>
      <c r="H227" s="971" t="s">
        <v>684</v>
      </c>
      <c r="I227" s="1273" t="s">
        <v>7556</v>
      </c>
      <c r="J227" s="971" t="s">
        <v>686</v>
      </c>
      <c r="K227" s="971" t="s">
        <v>2123</v>
      </c>
      <c r="L227" s="971" t="s">
        <v>2124</v>
      </c>
      <c r="M227" s="971" t="s">
        <v>2123</v>
      </c>
      <c r="N227" s="971" t="s">
        <v>179</v>
      </c>
      <c r="O227" s="971" t="s">
        <v>2124</v>
      </c>
      <c r="P227" s="971" t="s">
        <v>7266</v>
      </c>
      <c r="Q227" s="971" t="s">
        <v>7283</v>
      </c>
      <c r="R227" s="971" t="s">
        <v>5113</v>
      </c>
      <c r="S227" s="1274">
        <v>1</v>
      </c>
      <c r="T227" s="971" t="s">
        <v>242</v>
      </c>
      <c r="U227" s="1275">
        <v>19.2</v>
      </c>
      <c r="V227" s="1275">
        <v>213</v>
      </c>
      <c r="W227" s="1275">
        <v>1918.3369142857146</v>
      </c>
      <c r="X227" s="1275">
        <v>2130</v>
      </c>
      <c r="Y227" s="1275">
        <v>4261.3369142857146</v>
      </c>
      <c r="Z227" s="1129">
        <v>19.2</v>
      </c>
      <c r="AA227" s="1129">
        <v>213</v>
      </c>
      <c r="AB227" s="1129">
        <v>1918.3369142857146</v>
      </c>
      <c r="AC227" s="1129">
        <v>2130</v>
      </c>
      <c r="AD227" s="1098">
        <v>4261.3369142857146</v>
      </c>
      <c r="AE227" s="1237">
        <v>1</v>
      </c>
      <c r="AF227" s="1133">
        <v>1</v>
      </c>
      <c r="AG227" s="1127">
        <v>1</v>
      </c>
      <c r="AH227" s="1127">
        <v>0</v>
      </c>
      <c r="AI227" s="1127">
        <v>0</v>
      </c>
      <c r="AJ227" s="1127">
        <v>1</v>
      </c>
      <c r="AK227" s="1129">
        <v>4261.3369142857146</v>
      </c>
      <c r="AL227" s="1129">
        <v>0</v>
      </c>
      <c r="AM227" s="1129">
        <v>0</v>
      </c>
      <c r="AN227" s="1129">
        <v>4261.3369142857146</v>
      </c>
      <c r="AO227" s="1129" t="s">
        <v>85</v>
      </c>
      <c r="AP227" s="1129" t="s">
        <v>96</v>
      </c>
      <c r="AQ227" s="1157">
        <v>2014</v>
      </c>
      <c r="AR227" s="1129" t="s">
        <v>87</v>
      </c>
      <c r="AS227" s="1127">
        <v>0.33333333333333331</v>
      </c>
      <c r="AT227" s="1127"/>
      <c r="AU227" s="1127">
        <v>0.33333333333333331</v>
      </c>
      <c r="AV227" s="1127"/>
      <c r="AW227" s="1127"/>
      <c r="AX227" s="1127"/>
      <c r="AY227" s="1127"/>
      <c r="AZ227" s="1127">
        <v>0.33333333333333331</v>
      </c>
      <c r="BA227" s="1129">
        <v>1420.4456380952381</v>
      </c>
      <c r="BB227" s="1129">
        <v>0</v>
      </c>
      <c r="BC227" s="1129">
        <v>1420.4456380952381</v>
      </c>
      <c r="BD227" s="1129">
        <v>0</v>
      </c>
      <c r="BE227" s="1129">
        <v>0</v>
      </c>
      <c r="BF227" s="1129">
        <v>0</v>
      </c>
      <c r="BG227" s="1129">
        <v>0</v>
      </c>
      <c r="BH227" s="1129">
        <v>1420.4456380952381</v>
      </c>
      <c r="BI227" s="1981"/>
      <c r="BJ227" s="971"/>
      <c r="BK227" s="971"/>
      <c r="BL227" s="1246"/>
      <c r="BM227" s="1247" t="s">
        <v>2123</v>
      </c>
    </row>
    <row r="228" spans="1:65" s="1247" customFormat="1" ht="66" customHeight="1">
      <c r="A228" s="1272">
        <v>4000</v>
      </c>
      <c r="B228" s="971" t="s">
        <v>1316</v>
      </c>
      <c r="C228" s="1272">
        <v>4500</v>
      </c>
      <c r="D228" s="971" t="s">
        <v>452</v>
      </c>
      <c r="E228" s="971" t="s">
        <v>1692</v>
      </c>
      <c r="F228" s="971" t="s">
        <v>605</v>
      </c>
      <c r="G228" s="971" t="s">
        <v>5043</v>
      </c>
      <c r="H228" s="971" t="s">
        <v>684</v>
      </c>
      <c r="I228" s="1273" t="s">
        <v>7557</v>
      </c>
      <c r="J228" s="971" t="s">
        <v>686</v>
      </c>
      <c r="K228" s="971" t="s">
        <v>2123</v>
      </c>
      <c r="L228" s="971" t="s">
        <v>2124</v>
      </c>
      <c r="M228" s="971" t="s">
        <v>2123</v>
      </c>
      <c r="N228" s="971" t="s">
        <v>179</v>
      </c>
      <c r="O228" s="971" t="s">
        <v>2124</v>
      </c>
      <c r="P228" s="971" t="s">
        <v>7266</v>
      </c>
      <c r="Q228" s="971" t="s">
        <v>7283</v>
      </c>
      <c r="R228" s="971" t="s">
        <v>5114</v>
      </c>
      <c r="S228" s="1274">
        <v>1</v>
      </c>
      <c r="T228" s="971" t="s">
        <v>242</v>
      </c>
      <c r="U228" s="1275">
        <v>19.2</v>
      </c>
      <c r="V228" s="1275">
        <v>213</v>
      </c>
      <c r="W228" s="1275">
        <v>1918.3369142857146</v>
      </c>
      <c r="X228" s="1275">
        <v>2130</v>
      </c>
      <c r="Y228" s="1275">
        <v>4261.3369142857146</v>
      </c>
      <c r="Z228" s="1129">
        <v>19.2</v>
      </c>
      <c r="AA228" s="1129">
        <v>213</v>
      </c>
      <c r="AB228" s="1129">
        <v>1918.3369142857146</v>
      </c>
      <c r="AC228" s="1129">
        <v>2130</v>
      </c>
      <c r="AD228" s="1098">
        <v>4261.3369142857146</v>
      </c>
      <c r="AE228" s="1237">
        <v>1</v>
      </c>
      <c r="AF228" s="1133">
        <v>1</v>
      </c>
      <c r="AG228" s="1127">
        <v>1</v>
      </c>
      <c r="AH228" s="1127">
        <v>0</v>
      </c>
      <c r="AI228" s="1127">
        <v>0</v>
      </c>
      <c r="AJ228" s="1127">
        <v>1</v>
      </c>
      <c r="AK228" s="1129">
        <v>4261.3369142857146</v>
      </c>
      <c r="AL228" s="1129">
        <v>0</v>
      </c>
      <c r="AM228" s="1129">
        <v>0</v>
      </c>
      <c r="AN228" s="1129">
        <v>4261.3369142857146</v>
      </c>
      <c r="AO228" s="1129" t="s">
        <v>85</v>
      </c>
      <c r="AP228" s="1129" t="s">
        <v>96</v>
      </c>
      <c r="AQ228" s="1157">
        <v>2014</v>
      </c>
      <c r="AR228" s="1129" t="s">
        <v>87</v>
      </c>
      <c r="AS228" s="1127">
        <v>0.33333333333333331</v>
      </c>
      <c r="AT228" s="1127"/>
      <c r="AU228" s="1127">
        <v>0.33333333333333331</v>
      </c>
      <c r="AV228" s="1127"/>
      <c r="AW228" s="1127"/>
      <c r="AX228" s="1127"/>
      <c r="AY228" s="1127"/>
      <c r="AZ228" s="1127">
        <v>0.33333333333333331</v>
      </c>
      <c r="BA228" s="1129">
        <v>1420.4456380952381</v>
      </c>
      <c r="BB228" s="1129">
        <v>0</v>
      </c>
      <c r="BC228" s="1129">
        <v>1420.4456380952381</v>
      </c>
      <c r="BD228" s="1129">
        <v>0</v>
      </c>
      <c r="BE228" s="1129">
        <v>0</v>
      </c>
      <c r="BF228" s="1129">
        <v>0</v>
      </c>
      <c r="BG228" s="1129">
        <v>0</v>
      </c>
      <c r="BH228" s="1129">
        <v>1420.4456380952381</v>
      </c>
      <c r="BI228" s="1981"/>
      <c r="BJ228" s="971"/>
      <c r="BK228" s="971"/>
      <c r="BL228" s="1246"/>
      <c r="BM228" s="1247" t="s">
        <v>2123</v>
      </c>
    </row>
    <row r="229" spans="1:65" s="1247" customFormat="1" ht="66" customHeight="1">
      <c r="A229" s="1272">
        <v>4000</v>
      </c>
      <c r="B229" s="971" t="s">
        <v>1316</v>
      </c>
      <c r="C229" s="1272">
        <v>4500</v>
      </c>
      <c r="D229" s="971" t="s">
        <v>452</v>
      </c>
      <c r="E229" s="971" t="s">
        <v>1692</v>
      </c>
      <c r="F229" s="971" t="s">
        <v>605</v>
      </c>
      <c r="G229" s="971" t="s">
        <v>5043</v>
      </c>
      <c r="H229" s="971" t="s">
        <v>684</v>
      </c>
      <c r="I229" s="1273" t="s">
        <v>7558</v>
      </c>
      <c r="J229" s="971" t="s">
        <v>686</v>
      </c>
      <c r="K229" s="971" t="s">
        <v>2123</v>
      </c>
      <c r="L229" s="971" t="s">
        <v>2124</v>
      </c>
      <c r="M229" s="971" t="s">
        <v>2123</v>
      </c>
      <c r="N229" s="971" t="s">
        <v>179</v>
      </c>
      <c r="O229" s="971" t="s">
        <v>2124</v>
      </c>
      <c r="P229" s="971" t="s">
        <v>7266</v>
      </c>
      <c r="Q229" s="971" t="s">
        <v>7559</v>
      </c>
      <c r="R229" s="971" t="s">
        <v>5115</v>
      </c>
      <c r="S229" s="1274">
        <v>1</v>
      </c>
      <c r="T229" s="971" t="s">
        <v>242</v>
      </c>
      <c r="U229" s="1275">
        <v>19.2</v>
      </c>
      <c r="V229" s="1275">
        <v>213</v>
      </c>
      <c r="W229" s="1275">
        <v>1918.3369142857146</v>
      </c>
      <c r="X229" s="1275">
        <v>2130</v>
      </c>
      <c r="Y229" s="1275">
        <v>4261.3369142857146</v>
      </c>
      <c r="Z229" s="1129">
        <v>19.2</v>
      </c>
      <c r="AA229" s="1129">
        <v>213</v>
      </c>
      <c r="AB229" s="1129">
        <v>1918.3369142857146</v>
      </c>
      <c r="AC229" s="1129">
        <v>2130</v>
      </c>
      <c r="AD229" s="1098">
        <v>4261.3369142857146</v>
      </c>
      <c r="AE229" s="1237">
        <v>1</v>
      </c>
      <c r="AF229" s="1133">
        <v>1</v>
      </c>
      <c r="AG229" s="1127">
        <v>1</v>
      </c>
      <c r="AH229" s="1127">
        <v>0</v>
      </c>
      <c r="AI229" s="1127">
        <v>0</v>
      </c>
      <c r="AJ229" s="1127">
        <v>1</v>
      </c>
      <c r="AK229" s="1129">
        <v>4261.3369142857146</v>
      </c>
      <c r="AL229" s="1129">
        <v>0</v>
      </c>
      <c r="AM229" s="1129">
        <v>0</v>
      </c>
      <c r="AN229" s="1129">
        <v>4261.3369142857146</v>
      </c>
      <c r="AO229" s="1129" t="s">
        <v>85</v>
      </c>
      <c r="AP229" s="1129" t="s">
        <v>96</v>
      </c>
      <c r="AQ229" s="1157">
        <v>2014</v>
      </c>
      <c r="AR229" s="1129" t="s">
        <v>87</v>
      </c>
      <c r="AS229" s="1127">
        <v>0.33333333333333331</v>
      </c>
      <c r="AT229" s="1127"/>
      <c r="AU229" s="1127">
        <v>0.33333333333333331</v>
      </c>
      <c r="AV229" s="1127"/>
      <c r="AW229" s="1127"/>
      <c r="AX229" s="1127"/>
      <c r="AY229" s="1127"/>
      <c r="AZ229" s="1127">
        <v>0.33333333333333331</v>
      </c>
      <c r="BA229" s="1129">
        <v>1420.4456380952381</v>
      </c>
      <c r="BB229" s="1129">
        <v>0</v>
      </c>
      <c r="BC229" s="1129">
        <v>1420.4456380952381</v>
      </c>
      <c r="BD229" s="1129">
        <v>0</v>
      </c>
      <c r="BE229" s="1129">
        <v>0</v>
      </c>
      <c r="BF229" s="1129">
        <v>0</v>
      </c>
      <c r="BG229" s="1129">
        <v>0</v>
      </c>
      <c r="BH229" s="1129">
        <v>1420.4456380952381</v>
      </c>
      <c r="BI229" s="1981"/>
      <c r="BJ229" s="971"/>
      <c r="BK229" s="971"/>
      <c r="BL229" s="1246"/>
      <c r="BM229" s="1247" t="s">
        <v>2123</v>
      </c>
    </row>
    <row r="230" spans="1:65" s="1247" customFormat="1" ht="49.5" customHeight="1">
      <c r="A230" s="1272">
        <v>4000</v>
      </c>
      <c r="B230" s="971" t="s">
        <v>1316</v>
      </c>
      <c r="C230" s="1272">
        <v>4500</v>
      </c>
      <c r="D230" s="971" t="s">
        <v>452</v>
      </c>
      <c r="E230" s="971" t="s">
        <v>1692</v>
      </c>
      <c r="F230" s="971" t="s">
        <v>605</v>
      </c>
      <c r="G230" s="971" t="s">
        <v>5043</v>
      </c>
      <c r="H230" s="971" t="s">
        <v>684</v>
      </c>
      <c r="I230" s="1273" t="s">
        <v>7560</v>
      </c>
      <c r="J230" s="971" t="s">
        <v>686</v>
      </c>
      <c r="K230" s="971" t="s">
        <v>2123</v>
      </c>
      <c r="L230" s="971" t="s">
        <v>2124</v>
      </c>
      <c r="M230" s="971" t="s">
        <v>2123</v>
      </c>
      <c r="N230" s="971" t="s">
        <v>179</v>
      </c>
      <c r="O230" s="971" t="s">
        <v>2124</v>
      </c>
      <c r="P230" s="971" t="s">
        <v>7266</v>
      </c>
      <c r="Q230" s="971" t="s">
        <v>689</v>
      </c>
      <c r="R230" s="971" t="s">
        <v>5116</v>
      </c>
      <c r="S230" s="1274">
        <v>1</v>
      </c>
      <c r="T230" s="971" t="s">
        <v>242</v>
      </c>
      <c r="U230" s="1275">
        <v>19.2</v>
      </c>
      <c r="V230" s="1275">
        <v>213</v>
      </c>
      <c r="W230" s="1275">
        <v>1918.3369142857146</v>
      </c>
      <c r="X230" s="1275">
        <v>2130</v>
      </c>
      <c r="Y230" s="1275">
        <v>4261.3369142857146</v>
      </c>
      <c r="Z230" s="1129">
        <v>19.2</v>
      </c>
      <c r="AA230" s="1129">
        <v>213</v>
      </c>
      <c r="AB230" s="1129">
        <v>1918.3369142857146</v>
      </c>
      <c r="AC230" s="1129">
        <v>2130</v>
      </c>
      <c r="AD230" s="1098">
        <v>4261.3369142857146</v>
      </c>
      <c r="AE230" s="1237">
        <v>1</v>
      </c>
      <c r="AF230" s="1133">
        <v>1</v>
      </c>
      <c r="AG230" s="1127">
        <v>1</v>
      </c>
      <c r="AH230" s="1127">
        <v>0</v>
      </c>
      <c r="AI230" s="1127">
        <v>0</v>
      </c>
      <c r="AJ230" s="1127">
        <v>1</v>
      </c>
      <c r="AK230" s="1129">
        <v>4261.3369142857146</v>
      </c>
      <c r="AL230" s="1129">
        <v>0</v>
      </c>
      <c r="AM230" s="1129">
        <v>0</v>
      </c>
      <c r="AN230" s="1129">
        <v>4261.3369142857146</v>
      </c>
      <c r="AO230" s="1129" t="s">
        <v>85</v>
      </c>
      <c r="AP230" s="1129" t="s">
        <v>96</v>
      </c>
      <c r="AQ230" s="1157">
        <v>2014</v>
      </c>
      <c r="AR230" s="1129" t="s">
        <v>87</v>
      </c>
      <c r="AS230" s="1127">
        <v>0.33333333333333331</v>
      </c>
      <c r="AT230" s="1127"/>
      <c r="AU230" s="1127">
        <v>0.33333333333333331</v>
      </c>
      <c r="AV230" s="1127"/>
      <c r="AW230" s="1127"/>
      <c r="AX230" s="1127"/>
      <c r="AY230" s="1127"/>
      <c r="AZ230" s="1127">
        <v>0.33333333333333331</v>
      </c>
      <c r="BA230" s="1129">
        <v>1420.4456380952381</v>
      </c>
      <c r="BB230" s="1129">
        <v>0</v>
      </c>
      <c r="BC230" s="1129">
        <v>1420.4456380952381</v>
      </c>
      <c r="BD230" s="1129">
        <v>0</v>
      </c>
      <c r="BE230" s="1129">
        <v>0</v>
      </c>
      <c r="BF230" s="1129">
        <v>0</v>
      </c>
      <c r="BG230" s="1129">
        <v>0</v>
      </c>
      <c r="BH230" s="1129">
        <v>1420.4456380952381</v>
      </c>
      <c r="BI230" s="1981"/>
      <c r="BJ230" s="971"/>
      <c r="BK230" s="971"/>
      <c r="BL230" s="1246"/>
      <c r="BM230" s="1247" t="s">
        <v>2123</v>
      </c>
    </row>
    <row r="231" spans="1:65" s="1247" customFormat="1" ht="66" customHeight="1">
      <c r="A231" s="1272">
        <v>4000</v>
      </c>
      <c r="B231" s="971" t="s">
        <v>1316</v>
      </c>
      <c r="C231" s="1272">
        <v>4500</v>
      </c>
      <c r="D231" s="971" t="s">
        <v>452</v>
      </c>
      <c r="E231" s="971" t="s">
        <v>1692</v>
      </c>
      <c r="F231" s="971" t="s">
        <v>605</v>
      </c>
      <c r="G231" s="971" t="s">
        <v>5043</v>
      </c>
      <c r="H231" s="971" t="s">
        <v>684</v>
      </c>
      <c r="I231" s="1273" t="s">
        <v>7561</v>
      </c>
      <c r="J231" s="971" t="s">
        <v>686</v>
      </c>
      <c r="K231" s="971" t="s">
        <v>2123</v>
      </c>
      <c r="L231" s="971" t="s">
        <v>2124</v>
      </c>
      <c r="M231" s="971" t="s">
        <v>2123</v>
      </c>
      <c r="N231" s="971" t="s">
        <v>179</v>
      </c>
      <c r="O231" s="971" t="s">
        <v>2124</v>
      </c>
      <c r="P231" s="971" t="s">
        <v>7266</v>
      </c>
      <c r="Q231" s="971" t="s">
        <v>7287</v>
      </c>
      <c r="R231" s="971" t="s">
        <v>5117</v>
      </c>
      <c r="S231" s="1274">
        <v>1</v>
      </c>
      <c r="T231" s="971" t="s">
        <v>242</v>
      </c>
      <c r="U231" s="1275">
        <v>19.2</v>
      </c>
      <c r="V231" s="1275">
        <v>213</v>
      </c>
      <c r="W231" s="1275">
        <v>1918.3369142857146</v>
      </c>
      <c r="X231" s="1275">
        <v>2130</v>
      </c>
      <c r="Y231" s="1275">
        <v>4261.3369142857146</v>
      </c>
      <c r="Z231" s="1129">
        <v>19.2</v>
      </c>
      <c r="AA231" s="1129">
        <v>213</v>
      </c>
      <c r="AB231" s="1129">
        <v>1918.3369142857146</v>
      </c>
      <c r="AC231" s="1129">
        <v>2130</v>
      </c>
      <c r="AD231" s="1098">
        <v>4261.3369142857146</v>
      </c>
      <c r="AE231" s="1237">
        <v>1</v>
      </c>
      <c r="AF231" s="1133">
        <v>1</v>
      </c>
      <c r="AG231" s="1127">
        <v>1</v>
      </c>
      <c r="AH231" s="1127">
        <v>0</v>
      </c>
      <c r="AI231" s="1127">
        <v>0</v>
      </c>
      <c r="AJ231" s="1127">
        <v>1</v>
      </c>
      <c r="AK231" s="1129">
        <v>4261.3369142857146</v>
      </c>
      <c r="AL231" s="1129">
        <v>0</v>
      </c>
      <c r="AM231" s="1129">
        <v>0</v>
      </c>
      <c r="AN231" s="1129">
        <v>4261.3369142857146</v>
      </c>
      <c r="AO231" s="1129" t="s">
        <v>85</v>
      </c>
      <c r="AP231" s="1129" t="s">
        <v>96</v>
      </c>
      <c r="AQ231" s="1157">
        <v>2014</v>
      </c>
      <c r="AR231" s="1129" t="s">
        <v>87</v>
      </c>
      <c r="AS231" s="1127">
        <v>0.33333333333333331</v>
      </c>
      <c r="AT231" s="1127"/>
      <c r="AU231" s="1127">
        <v>0.33333333333333331</v>
      </c>
      <c r="AV231" s="1127"/>
      <c r="AW231" s="1127"/>
      <c r="AX231" s="1127"/>
      <c r="AY231" s="1127"/>
      <c r="AZ231" s="1127">
        <v>0.33333333333333331</v>
      </c>
      <c r="BA231" s="1129">
        <v>1420.4456380952381</v>
      </c>
      <c r="BB231" s="1129">
        <v>0</v>
      </c>
      <c r="BC231" s="1129">
        <v>1420.4456380952381</v>
      </c>
      <c r="BD231" s="1129">
        <v>0</v>
      </c>
      <c r="BE231" s="1129">
        <v>0</v>
      </c>
      <c r="BF231" s="1129">
        <v>0</v>
      </c>
      <c r="BG231" s="1129">
        <v>0</v>
      </c>
      <c r="BH231" s="1129">
        <v>1420.4456380952381</v>
      </c>
      <c r="BI231" s="1981"/>
      <c r="BJ231" s="971"/>
      <c r="BK231" s="971"/>
      <c r="BL231" s="1246"/>
      <c r="BM231" s="1247" t="s">
        <v>2123</v>
      </c>
    </row>
    <row r="232" spans="1:65" s="1247" customFormat="1" ht="115.5" customHeight="1">
      <c r="A232" s="1272">
        <v>4000</v>
      </c>
      <c r="B232" s="971" t="s">
        <v>1316</v>
      </c>
      <c r="C232" s="1272">
        <v>4500</v>
      </c>
      <c r="D232" s="971" t="s">
        <v>452</v>
      </c>
      <c r="E232" s="971" t="s">
        <v>1692</v>
      </c>
      <c r="F232" s="971" t="s">
        <v>605</v>
      </c>
      <c r="G232" s="971" t="s">
        <v>5043</v>
      </c>
      <c r="H232" s="971" t="s">
        <v>684</v>
      </c>
      <c r="I232" s="1273" t="s">
        <v>7562</v>
      </c>
      <c r="J232" s="971" t="s">
        <v>686</v>
      </c>
      <c r="K232" s="971" t="s">
        <v>2123</v>
      </c>
      <c r="L232" s="971" t="s">
        <v>2124</v>
      </c>
      <c r="M232" s="971" t="s">
        <v>2123</v>
      </c>
      <c r="N232" s="971" t="s">
        <v>179</v>
      </c>
      <c r="O232" s="971" t="s">
        <v>2124</v>
      </c>
      <c r="P232" s="971" t="s">
        <v>7266</v>
      </c>
      <c r="Q232" s="971" t="s">
        <v>7563</v>
      </c>
      <c r="R232" s="971" t="s">
        <v>5118</v>
      </c>
      <c r="S232" s="1274">
        <v>1</v>
      </c>
      <c r="T232" s="971" t="s">
        <v>242</v>
      </c>
      <c r="U232" s="1275">
        <v>19.2</v>
      </c>
      <c r="V232" s="1275">
        <v>213</v>
      </c>
      <c r="W232" s="1275">
        <v>1918.3369142857146</v>
      </c>
      <c r="X232" s="1275">
        <v>2130</v>
      </c>
      <c r="Y232" s="1275">
        <v>4261.3369142857146</v>
      </c>
      <c r="Z232" s="1129">
        <v>19.2</v>
      </c>
      <c r="AA232" s="1129">
        <v>213</v>
      </c>
      <c r="AB232" s="1129">
        <v>1918.3369142857146</v>
      </c>
      <c r="AC232" s="1129">
        <v>2130</v>
      </c>
      <c r="AD232" s="1098">
        <v>4261.3369142857146</v>
      </c>
      <c r="AE232" s="1237">
        <v>1</v>
      </c>
      <c r="AF232" s="1133">
        <v>1</v>
      </c>
      <c r="AG232" s="1127">
        <v>1</v>
      </c>
      <c r="AH232" s="1127">
        <v>0</v>
      </c>
      <c r="AI232" s="1127">
        <v>0</v>
      </c>
      <c r="AJ232" s="1127">
        <v>1</v>
      </c>
      <c r="AK232" s="1129">
        <v>4261.3369142857146</v>
      </c>
      <c r="AL232" s="1129">
        <v>0</v>
      </c>
      <c r="AM232" s="1129">
        <v>0</v>
      </c>
      <c r="AN232" s="1129">
        <v>4261.3369142857146</v>
      </c>
      <c r="AO232" s="1129" t="s">
        <v>85</v>
      </c>
      <c r="AP232" s="1129" t="s">
        <v>96</v>
      </c>
      <c r="AQ232" s="1157">
        <v>2014</v>
      </c>
      <c r="AR232" s="1129" t="s">
        <v>87</v>
      </c>
      <c r="AS232" s="1127">
        <v>0.33333333333333331</v>
      </c>
      <c r="AT232" s="1127"/>
      <c r="AU232" s="1127">
        <v>0.33333333333333331</v>
      </c>
      <c r="AV232" s="1127"/>
      <c r="AW232" s="1127"/>
      <c r="AX232" s="1127"/>
      <c r="AY232" s="1127"/>
      <c r="AZ232" s="1127">
        <v>0.33333333333333331</v>
      </c>
      <c r="BA232" s="1129">
        <v>1420.4456380952381</v>
      </c>
      <c r="BB232" s="1129">
        <v>0</v>
      </c>
      <c r="BC232" s="1129">
        <v>1420.4456380952381</v>
      </c>
      <c r="BD232" s="1129">
        <v>0</v>
      </c>
      <c r="BE232" s="1129">
        <v>0</v>
      </c>
      <c r="BF232" s="1129">
        <v>0</v>
      </c>
      <c r="BG232" s="1129">
        <v>0</v>
      </c>
      <c r="BH232" s="1129">
        <v>1420.4456380952381</v>
      </c>
      <c r="BI232" s="1981"/>
      <c r="BJ232" s="971"/>
      <c r="BK232" s="971"/>
      <c r="BL232" s="1246"/>
      <c r="BM232" s="1247" t="s">
        <v>2123</v>
      </c>
    </row>
    <row r="233" spans="1:65" s="1247" customFormat="1" ht="115.5" customHeight="1">
      <c r="A233" s="1272">
        <v>4000</v>
      </c>
      <c r="B233" s="971" t="s">
        <v>1316</v>
      </c>
      <c r="C233" s="1272">
        <v>4500</v>
      </c>
      <c r="D233" s="971" t="s">
        <v>452</v>
      </c>
      <c r="E233" s="971" t="s">
        <v>1692</v>
      </c>
      <c r="F233" s="971" t="s">
        <v>605</v>
      </c>
      <c r="G233" s="971" t="s">
        <v>5043</v>
      </c>
      <c r="H233" s="971" t="s">
        <v>684</v>
      </c>
      <c r="I233" s="1273" t="s">
        <v>7564</v>
      </c>
      <c r="J233" s="971" t="s">
        <v>686</v>
      </c>
      <c r="K233" s="971" t="s">
        <v>2123</v>
      </c>
      <c r="L233" s="971" t="s">
        <v>2124</v>
      </c>
      <c r="M233" s="971" t="s">
        <v>2123</v>
      </c>
      <c r="N233" s="971" t="s">
        <v>179</v>
      </c>
      <c r="O233" s="971" t="s">
        <v>2124</v>
      </c>
      <c r="P233" s="971" t="s">
        <v>7266</v>
      </c>
      <c r="Q233" s="971" t="s">
        <v>7563</v>
      </c>
      <c r="R233" s="971" t="s">
        <v>5119</v>
      </c>
      <c r="S233" s="1274">
        <v>1</v>
      </c>
      <c r="T233" s="971" t="s">
        <v>242</v>
      </c>
      <c r="U233" s="1275">
        <v>19.2</v>
      </c>
      <c r="V233" s="1275">
        <v>213</v>
      </c>
      <c r="W233" s="1275">
        <v>1918.3369142857146</v>
      </c>
      <c r="X233" s="1275">
        <v>2130</v>
      </c>
      <c r="Y233" s="1275">
        <v>4261.3369142857146</v>
      </c>
      <c r="Z233" s="1129">
        <v>19.2</v>
      </c>
      <c r="AA233" s="1129">
        <v>213</v>
      </c>
      <c r="AB233" s="1129">
        <v>1918.3369142857146</v>
      </c>
      <c r="AC233" s="1129">
        <v>2130</v>
      </c>
      <c r="AD233" s="1098">
        <v>4261.3369142857146</v>
      </c>
      <c r="AE233" s="1237">
        <v>1</v>
      </c>
      <c r="AF233" s="1133">
        <v>1</v>
      </c>
      <c r="AG233" s="1127">
        <v>1</v>
      </c>
      <c r="AH233" s="1127">
        <v>0</v>
      </c>
      <c r="AI233" s="1127">
        <v>0</v>
      </c>
      <c r="AJ233" s="1127">
        <v>1</v>
      </c>
      <c r="AK233" s="1129">
        <v>4261.3369142857146</v>
      </c>
      <c r="AL233" s="1129">
        <v>0</v>
      </c>
      <c r="AM233" s="1129">
        <v>0</v>
      </c>
      <c r="AN233" s="1129">
        <v>4261.3369142857146</v>
      </c>
      <c r="AO233" s="1129" t="s">
        <v>85</v>
      </c>
      <c r="AP233" s="1129" t="s">
        <v>96</v>
      </c>
      <c r="AQ233" s="1157">
        <v>2014</v>
      </c>
      <c r="AR233" s="1129" t="s">
        <v>87</v>
      </c>
      <c r="AS233" s="1127">
        <v>0.33333333333333331</v>
      </c>
      <c r="AT233" s="1127"/>
      <c r="AU233" s="1127">
        <v>0.33333333333333331</v>
      </c>
      <c r="AV233" s="1127"/>
      <c r="AW233" s="1127"/>
      <c r="AX233" s="1127"/>
      <c r="AY233" s="1127"/>
      <c r="AZ233" s="1127">
        <v>0.33333333333333331</v>
      </c>
      <c r="BA233" s="1129">
        <v>1420.4456380952381</v>
      </c>
      <c r="BB233" s="1129">
        <v>0</v>
      </c>
      <c r="BC233" s="1129">
        <v>1420.4456380952381</v>
      </c>
      <c r="BD233" s="1129">
        <v>0</v>
      </c>
      <c r="BE233" s="1129">
        <v>0</v>
      </c>
      <c r="BF233" s="1129">
        <v>0</v>
      </c>
      <c r="BG233" s="1129">
        <v>0</v>
      </c>
      <c r="BH233" s="1129">
        <v>1420.4456380952381</v>
      </c>
      <c r="BI233" s="1981"/>
      <c r="BJ233" s="971"/>
      <c r="BK233" s="971"/>
      <c r="BL233" s="1246"/>
      <c r="BM233" s="1247" t="s">
        <v>2123</v>
      </c>
    </row>
    <row r="234" spans="1:65" s="1247" customFormat="1" ht="82.5" customHeight="1">
      <c r="A234" s="1272">
        <v>4000</v>
      </c>
      <c r="B234" s="971" t="s">
        <v>1316</v>
      </c>
      <c r="C234" s="1272">
        <v>4500</v>
      </c>
      <c r="D234" s="971" t="s">
        <v>452</v>
      </c>
      <c r="E234" s="971" t="s">
        <v>1692</v>
      </c>
      <c r="F234" s="971" t="s">
        <v>605</v>
      </c>
      <c r="G234" s="971" t="s">
        <v>5043</v>
      </c>
      <c r="H234" s="971" t="s">
        <v>684</v>
      </c>
      <c r="I234" s="1273" t="s">
        <v>7565</v>
      </c>
      <c r="J234" s="971" t="s">
        <v>686</v>
      </c>
      <c r="K234" s="971" t="s">
        <v>2123</v>
      </c>
      <c r="L234" s="971" t="s">
        <v>2124</v>
      </c>
      <c r="M234" s="971" t="s">
        <v>2123</v>
      </c>
      <c r="N234" s="971" t="s">
        <v>179</v>
      </c>
      <c r="O234" s="971" t="s">
        <v>2124</v>
      </c>
      <c r="P234" s="971" t="s">
        <v>7266</v>
      </c>
      <c r="Q234" s="971" t="s">
        <v>7566</v>
      </c>
      <c r="R234" s="971" t="s">
        <v>5120</v>
      </c>
      <c r="S234" s="1274">
        <v>1</v>
      </c>
      <c r="T234" s="971" t="s">
        <v>242</v>
      </c>
      <c r="U234" s="1275">
        <v>19.2</v>
      </c>
      <c r="V234" s="1275">
        <v>213</v>
      </c>
      <c r="W234" s="1275">
        <v>1918.3369142857146</v>
      </c>
      <c r="X234" s="1275">
        <v>2130</v>
      </c>
      <c r="Y234" s="1275">
        <v>4261.3369142857146</v>
      </c>
      <c r="Z234" s="1129">
        <v>19.2</v>
      </c>
      <c r="AA234" s="1129">
        <v>213</v>
      </c>
      <c r="AB234" s="1129">
        <v>1918.3369142857146</v>
      </c>
      <c r="AC234" s="1129">
        <v>2130</v>
      </c>
      <c r="AD234" s="1098">
        <v>4261.3369142857146</v>
      </c>
      <c r="AE234" s="1237">
        <v>1</v>
      </c>
      <c r="AF234" s="1133">
        <v>1</v>
      </c>
      <c r="AG234" s="1127">
        <v>1</v>
      </c>
      <c r="AH234" s="1127">
        <v>0</v>
      </c>
      <c r="AI234" s="1127">
        <v>0</v>
      </c>
      <c r="AJ234" s="1127">
        <v>1</v>
      </c>
      <c r="AK234" s="1129">
        <v>4261.3369142857146</v>
      </c>
      <c r="AL234" s="1129">
        <v>0</v>
      </c>
      <c r="AM234" s="1129">
        <v>0</v>
      </c>
      <c r="AN234" s="1129">
        <v>4261.3369142857146</v>
      </c>
      <c r="AO234" s="1129" t="s">
        <v>85</v>
      </c>
      <c r="AP234" s="1129" t="s">
        <v>96</v>
      </c>
      <c r="AQ234" s="1157">
        <v>2014</v>
      </c>
      <c r="AR234" s="1129" t="s">
        <v>87</v>
      </c>
      <c r="AS234" s="1127">
        <v>0.33333333333333331</v>
      </c>
      <c r="AT234" s="1127"/>
      <c r="AU234" s="1127">
        <v>0.33333333333333331</v>
      </c>
      <c r="AV234" s="1127"/>
      <c r="AW234" s="1127"/>
      <c r="AX234" s="1127"/>
      <c r="AY234" s="1127"/>
      <c r="AZ234" s="1127">
        <v>0.33333333333333331</v>
      </c>
      <c r="BA234" s="1129">
        <v>1420.4456380952381</v>
      </c>
      <c r="BB234" s="1129">
        <v>0</v>
      </c>
      <c r="BC234" s="1129">
        <v>1420.4456380952381</v>
      </c>
      <c r="BD234" s="1129">
        <v>0</v>
      </c>
      <c r="BE234" s="1129">
        <v>0</v>
      </c>
      <c r="BF234" s="1129">
        <v>0</v>
      </c>
      <c r="BG234" s="1129">
        <v>0</v>
      </c>
      <c r="BH234" s="1129">
        <v>1420.4456380952381</v>
      </c>
      <c r="BI234" s="1981"/>
      <c r="BJ234" s="971"/>
      <c r="BK234" s="971"/>
      <c r="BL234" s="1246"/>
      <c r="BM234" s="1247" t="s">
        <v>2123</v>
      </c>
    </row>
    <row r="235" spans="1:65" s="1247" customFormat="1" ht="66" customHeight="1">
      <c r="A235" s="1272">
        <v>4000</v>
      </c>
      <c r="B235" s="971" t="s">
        <v>1316</v>
      </c>
      <c r="C235" s="1272">
        <v>4500</v>
      </c>
      <c r="D235" s="971" t="s">
        <v>452</v>
      </c>
      <c r="E235" s="971" t="s">
        <v>1692</v>
      </c>
      <c r="F235" s="971" t="s">
        <v>605</v>
      </c>
      <c r="G235" s="971" t="s">
        <v>5043</v>
      </c>
      <c r="H235" s="971" t="s">
        <v>684</v>
      </c>
      <c r="I235" s="1273" t="s">
        <v>7567</v>
      </c>
      <c r="J235" s="971" t="s">
        <v>686</v>
      </c>
      <c r="K235" s="971" t="s">
        <v>2123</v>
      </c>
      <c r="L235" s="971" t="s">
        <v>2124</v>
      </c>
      <c r="M235" s="971" t="s">
        <v>2123</v>
      </c>
      <c r="N235" s="971" t="s">
        <v>179</v>
      </c>
      <c r="O235" s="971" t="s">
        <v>2124</v>
      </c>
      <c r="P235" s="971" t="s">
        <v>7266</v>
      </c>
      <c r="Q235" s="971" t="s">
        <v>7294</v>
      </c>
      <c r="R235" s="971" t="s">
        <v>5121</v>
      </c>
      <c r="S235" s="1274">
        <v>1</v>
      </c>
      <c r="T235" s="971" t="s">
        <v>242</v>
      </c>
      <c r="U235" s="1275">
        <v>19.2</v>
      </c>
      <c r="V235" s="1275">
        <v>213</v>
      </c>
      <c r="W235" s="1275">
        <v>1918.3369142857146</v>
      </c>
      <c r="X235" s="1275">
        <v>2130</v>
      </c>
      <c r="Y235" s="1275">
        <v>4261.3369142857146</v>
      </c>
      <c r="Z235" s="1129">
        <v>19.2</v>
      </c>
      <c r="AA235" s="1129">
        <v>213</v>
      </c>
      <c r="AB235" s="1129">
        <v>1918.3369142857146</v>
      </c>
      <c r="AC235" s="1129">
        <v>2130</v>
      </c>
      <c r="AD235" s="1098">
        <v>4261.3369142857146</v>
      </c>
      <c r="AE235" s="1237">
        <v>1</v>
      </c>
      <c r="AF235" s="1133">
        <v>1</v>
      </c>
      <c r="AG235" s="1127">
        <v>1</v>
      </c>
      <c r="AH235" s="1127">
        <v>0</v>
      </c>
      <c r="AI235" s="1127">
        <v>0</v>
      </c>
      <c r="AJ235" s="1127">
        <v>1</v>
      </c>
      <c r="AK235" s="1129">
        <v>4261.3369142857146</v>
      </c>
      <c r="AL235" s="1129">
        <v>0</v>
      </c>
      <c r="AM235" s="1129">
        <v>0</v>
      </c>
      <c r="AN235" s="1129">
        <v>4261.3369142857146</v>
      </c>
      <c r="AO235" s="1129" t="s">
        <v>85</v>
      </c>
      <c r="AP235" s="1129" t="s">
        <v>96</v>
      </c>
      <c r="AQ235" s="1157">
        <v>2014</v>
      </c>
      <c r="AR235" s="1129" t="s">
        <v>87</v>
      </c>
      <c r="AS235" s="1127">
        <v>0.33333333333333331</v>
      </c>
      <c r="AT235" s="1127"/>
      <c r="AU235" s="1127">
        <v>0.33333333333333331</v>
      </c>
      <c r="AV235" s="1127"/>
      <c r="AW235" s="1127"/>
      <c r="AX235" s="1127"/>
      <c r="AY235" s="1127"/>
      <c r="AZ235" s="1127">
        <v>0.33333333333333331</v>
      </c>
      <c r="BA235" s="1129">
        <v>1420.4456380952381</v>
      </c>
      <c r="BB235" s="1129">
        <v>0</v>
      </c>
      <c r="BC235" s="1129">
        <v>1420.4456380952381</v>
      </c>
      <c r="BD235" s="1129">
        <v>0</v>
      </c>
      <c r="BE235" s="1129">
        <v>0</v>
      </c>
      <c r="BF235" s="1129">
        <v>0</v>
      </c>
      <c r="BG235" s="1129">
        <v>0</v>
      </c>
      <c r="BH235" s="1129">
        <v>1420.4456380952381</v>
      </c>
      <c r="BI235" s="1981"/>
      <c r="BJ235" s="971"/>
      <c r="BK235" s="971"/>
      <c r="BL235" s="1246"/>
      <c r="BM235" s="1247" t="s">
        <v>2123</v>
      </c>
    </row>
    <row r="236" spans="1:65" s="1247" customFormat="1" ht="49.5" customHeight="1">
      <c r="A236" s="1272">
        <v>4000</v>
      </c>
      <c r="B236" s="971" t="s">
        <v>1316</v>
      </c>
      <c r="C236" s="1272">
        <v>4500</v>
      </c>
      <c r="D236" s="971" t="s">
        <v>452</v>
      </c>
      <c r="E236" s="971" t="s">
        <v>1692</v>
      </c>
      <c r="F236" s="971" t="s">
        <v>605</v>
      </c>
      <c r="G236" s="971" t="s">
        <v>5043</v>
      </c>
      <c r="H236" s="971" t="s">
        <v>684</v>
      </c>
      <c r="I236" s="1273" t="s">
        <v>7568</v>
      </c>
      <c r="J236" s="971" t="s">
        <v>686</v>
      </c>
      <c r="K236" s="971" t="s">
        <v>2123</v>
      </c>
      <c r="L236" s="971" t="s">
        <v>2124</v>
      </c>
      <c r="M236" s="971" t="s">
        <v>2123</v>
      </c>
      <c r="N236" s="971" t="s">
        <v>179</v>
      </c>
      <c r="O236" s="971" t="s">
        <v>2124</v>
      </c>
      <c r="P236" s="971" t="s">
        <v>7266</v>
      </c>
      <c r="Q236" s="971" t="s">
        <v>7296</v>
      </c>
      <c r="R236" s="971" t="s">
        <v>5122</v>
      </c>
      <c r="S236" s="1274">
        <v>1</v>
      </c>
      <c r="T236" s="971" t="s">
        <v>242</v>
      </c>
      <c r="U236" s="1275">
        <v>19.2</v>
      </c>
      <c r="V236" s="1275">
        <v>213</v>
      </c>
      <c r="W236" s="1275">
        <v>1918.3369142857146</v>
      </c>
      <c r="X236" s="1275">
        <v>2130</v>
      </c>
      <c r="Y236" s="1275">
        <v>4261.3369142857146</v>
      </c>
      <c r="Z236" s="1129">
        <v>19.2</v>
      </c>
      <c r="AA236" s="1129">
        <v>213</v>
      </c>
      <c r="AB236" s="1129">
        <v>1918.3369142857146</v>
      </c>
      <c r="AC236" s="1129">
        <v>2130</v>
      </c>
      <c r="AD236" s="1098">
        <v>4261.3369142857146</v>
      </c>
      <c r="AE236" s="1237">
        <v>1</v>
      </c>
      <c r="AF236" s="1133">
        <v>1</v>
      </c>
      <c r="AG236" s="1127">
        <v>1</v>
      </c>
      <c r="AH236" s="1127">
        <v>0</v>
      </c>
      <c r="AI236" s="1127">
        <v>0</v>
      </c>
      <c r="AJ236" s="1127">
        <v>1</v>
      </c>
      <c r="AK236" s="1129">
        <v>4261.3369142857146</v>
      </c>
      <c r="AL236" s="1129">
        <v>0</v>
      </c>
      <c r="AM236" s="1129">
        <v>0</v>
      </c>
      <c r="AN236" s="1129">
        <v>4261.3369142857146</v>
      </c>
      <c r="AO236" s="1129" t="s">
        <v>85</v>
      </c>
      <c r="AP236" s="1129" t="s">
        <v>96</v>
      </c>
      <c r="AQ236" s="1157">
        <v>2014</v>
      </c>
      <c r="AR236" s="1129" t="s">
        <v>87</v>
      </c>
      <c r="AS236" s="1127">
        <v>0.33333333333333331</v>
      </c>
      <c r="AT236" s="1127"/>
      <c r="AU236" s="1127">
        <v>0.33333333333333331</v>
      </c>
      <c r="AV236" s="1127"/>
      <c r="AW236" s="1127"/>
      <c r="AX236" s="1127"/>
      <c r="AY236" s="1127"/>
      <c r="AZ236" s="1127">
        <v>0.33333333333333331</v>
      </c>
      <c r="BA236" s="1129">
        <v>1420.4456380952381</v>
      </c>
      <c r="BB236" s="1129">
        <v>0</v>
      </c>
      <c r="BC236" s="1129">
        <v>1420.4456380952381</v>
      </c>
      <c r="BD236" s="1129">
        <v>0</v>
      </c>
      <c r="BE236" s="1129">
        <v>0</v>
      </c>
      <c r="BF236" s="1129">
        <v>0</v>
      </c>
      <c r="BG236" s="1129">
        <v>0</v>
      </c>
      <c r="BH236" s="1129">
        <v>1420.4456380952381</v>
      </c>
      <c r="BI236" s="1981"/>
      <c r="BJ236" s="971"/>
      <c r="BK236" s="971"/>
      <c r="BL236" s="1246"/>
      <c r="BM236" s="1247" t="s">
        <v>2123</v>
      </c>
    </row>
    <row r="237" spans="1:65" s="1247" customFormat="1" ht="49.5" customHeight="1">
      <c r="A237" s="1272">
        <v>4000</v>
      </c>
      <c r="B237" s="971" t="s">
        <v>1316</v>
      </c>
      <c r="C237" s="1272">
        <v>4500</v>
      </c>
      <c r="D237" s="971" t="s">
        <v>452</v>
      </c>
      <c r="E237" s="971" t="s">
        <v>1692</v>
      </c>
      <c r="F237" s="971" t="s">
        <v>605</v>
      </c>
      <c r="G237" s="971" t="s">
        <v>5043</v>
      </c>
      <c r="H237" s="971" t="s">
        <v>684</v>
      </c>
      <c r="I237" s="1273" t="s">
        <v>7569</v>
      </c>
      <c r="J237" s="971" t="s">
        <v>686</v>
      </c>
      <c r="K237" s="971" t="s">
        <v>2123</v>
      </c>
      <c r="L237" s="971" t="s">
        <v>2124</v>
      </c>
      <c r="M237" s="971" t="s">
        <v>2123</v>
      </c>
      <c r="N237" s="971" t="s">
        <v>179</v>
      </c>
      <c r="O237" s="971" t="s">
        <v>2124</v>
      </c>
      <c r="P237" s="971" t="s">
        <v>7266</v>
      </c>
      <c r="Q237" s="971" t="s">
        <v>7298</v>
      </c>
      <c r="R237" s="971" t="s">
        <v>5123</v>
      </c>
      <c r="S237" s="1274">
        <v>1</v>
      </c>
      <c r="T237" s="971" t="s">
        <v>242</v>
      </c>
      <c r="U237" s="1275">
        <v>19.2</v>
      </c>
      <c r="V237" s="1275">
        <v>213</v>
      </c>
      <c r="W237" s="1275">
        <v>1918.3369142857146</v>
      </c>
      <c r="X237" s="1275">
        <v>2130</v>
      </c>
      <c r="Y237" s="1275">
        <v>4261.3369142857146</v>
      </c>
      <c r="Z237" s="1129">
        <v>19.2</v>
      </c>
      <c r="AA237" s="1129">
        <v>213</v>
      </c>
      <c r="AB237" s="1129">
        <v>1918.3369142857146</v>
      </c>
      <c r="AC237" s="1129">
        <v>2130</v>
      </c>
      <c r="AD237" s="1098">
        <v>4261.3369142857146</v>
      </c>
      <c r="AE237" s="1237">
        <v>1</v>
      </c>
      <c r="AF237" s="1133">
        <v>1</v>
      </c>
      <c r="AG237" s="1127">
        <v>1</v>
      </c>
      <c r="AH237" s="1127">
        <v>0</v>
      </c>
      <c r="AI237" s="1127">
        <v>0</v>
      </c>
      <c r="AJ237" s="1127">
        <v>1</v>
      </c>
      <c r="AK237" s="1129">
        <v>4261.3369142857146</v>
      </c>
      <c r="AL237" s="1129">
        <v>0</v>
      </c>
      <c r="AM237" s="1129">
        <v>0</v>
      </c>
      <c r="AN237" s="1129">
        <v>4261.3369142857146</v>
      </c>
      <c r="AO237" s="1129" t="s">
        <v>85</v>
      </c>
      <c r="AP237" s="1129" t="s">
        <v>96</v>
      </c>
      <c r="AQ237" s="1157">
        <v>2014</v>
      </c>
      <c r="AR237" s="1129" t="s">
        <v>87</v>
      </c>
      <c r="AS237" s="1127">
        <v>0.33333333333333331</v>
      </c>
      <c r="AT237" s="1127"/>
      <c r="AU237" s="1127">
        <v>0.33333333333333331</v>
      </c>
      <c r="AV237" s="1127"/>
      <c r="AW237" s="1127"/>
      <c r="AX237" s="1127"/>
      <c r="AY237" s="1127"/>
      <c r="AZ237" s="1127">
        <v>0.33333333333333331</v>
      </c>
      <c r="BA237" s="1129">
        <v>1420.4456380952381</v>
      </c>
      <c r="BB237" s="1129">
        <v>0</v>
      </c>
      <c r="BC237" s="1129">
        <v>1420.4456380952381</v>
      </c>
      <c r="BD237" s="1129">
        <v>0</v>
      </c>
      <c r="BE237" s="1129">
        <v>0</v>
      </c>
      <c r="BF237" s="1129">
        <v>0</v>
      </c>
      <c r="BG237" s="1129">
        <v>0</v>
      </c>
      <c r="BH237" s="1129">
        <v>1420.4456380952381</v>
      </c>
      <c r="BI237" s="1981"/>
      <c r="BJ237" s="971"/>
      <c r="BK237" s="971"/>
      <c r="BL237" s="1246"/>
      <c r="BM237" s="1247" t="s">
        <v>2123</v>
      </c>
    </row>
    <row r="238" spans="1:65" s="1247" customFormat="1" ht="49.5" customHeight="1">
      <c r="A238" s="1272">
        <v>4000</v>
      </c>
      <c r="B238" s="971" t="s">
        <v>1316</v>
      </c>
      <c r="C238" s="1272">
        <v>4500</v>
      </c>
      <c r="D238" s="971" t="s">
        <v>452</v>
      </c>
      <c r="E238" s="971" t="s">
        <v>1692</v>
      </c>
      <c r="F238" s="971" t="s">
        <v>605</v>
      </c>
      <c r="G238" s="971" t="s">
        <v>5043</v>
      </c>
      <c r="H238" s="971" t="s">
        <v>684</v>
      </c>
      <c r="I238" s="1273" t="s">
        <v>7570</v>
      </c>
      <c r="J238" s="971" t="s">
        <v>686</v>
      </c>
      <c r="K238" s="971" t="s">
        <v>2123</v>
      </c>
      <c r="L238" s="971" t="s">
        <v>2124</v>
      </c>
      <c r="M238" s="971" t="s">
        <v>2123</v>
      </c>
      <c r="N238" s="971" t="s">
        <v>179</v>
      </c>
      <c r="O238" s="971" t="s">
        <v>2124</v>
      </c>
      <c r="P238" s="971" t="s">
        <v>7266</v>
      </c>
      <c r="Q238" s="971" t="s">
        <v>7571</v>
      </c>
      <c r="R238" s="971" t="s">
        <v>5124</v>
      </c>
      <c r="S238" s="1274">
        <v>1</v>
      </c>
      <c r="T238" s="971" t="s">
        <v>242</v>
      </c>
      <c r="U238" s="1275">
        <v>19.2</v>
      </c>
      <c r="V238" s="1275">
        <v>213</v>
      </c>
      <c r="W238" s="1275">
        <v>1918.3369142857146</v>
      </c>
      <c r="X238" s="1275">
        <v>2130</v>
      </c>
      <c r="Y238" s="1275">
        <v>4261.3369142857146</v>
      </c>
      <c r="Z238" s="1129">
        <v>19.2</v>
      </c>
      <c r="AA238" s="1129">
        <v>213</v>
      </c>
      <c r="AB238" s="1129">
        <v>1918.3369142857146</v>
      </c>
      <c r="AC238" s="1129">
        <v>2130</v>
      </c>
      <c r="AD238" s="1098">
        <v>4261.3369142857146</v>
      </c>
      <c r="AE238" s="1237">
        <v>1</v>
      </c>
      <c r="AF238" s="1133">
        <v>1</v>
      </c>
      <c r="AG238" s="1127">
        <v>1</v>
      </c>
      <c r="AH238" s="1127">
        <v>0</v>
      </c>
      <c r="AI238" s="1127">
        <v>0</v>
      </c>
      <c r="AJ238" s="1127">
        <v>1</v>
      </c>
      <c r="AK238" s="1129">
        <v>4261.3369142857146</v>
      </c>
      <c r="AL238" s="1129">
        <v>0</v>
      </c>
      <c r="AM238" s="1129">
        <v>0</v>
      </c>
      <c r="AN238" s="1129">
        <v>4261.3369142857146</v>
      </c>
      <c r="AO238" s="1129" t="s">
        <v>85</v>
      </c>
      <c r="AP238" s="1129" t="s">
        <v>96</v>
      </c>
      <c r="AQ238" s="1157">
        <v>2014</v>
      </c>
      <c r="AR238" s="1129" t="s">
        <v>87</v>
      </c>
      <c r="AS238" s="1127">
        <v>0.33333333333333331</v>
      </c>
      <c r="AT238" s="1127"/>
      <c r="AU238" s="1127">
        <v>0.33333333333333331</v>
      </c>
      <c r="AV238" s="1127"/>
      <c r="AW238" s="1127"/>
      <c r="AX238" s="1127"/>
      <c r="AY238" s="1127"/>
      <c r="AZ238" s="1127">
        <v>0.33333333333333331</v>
      </c>
      <c r="BA238" s="1129">
        <v>1420.4456380952381</v>
      </c>
      <c r="BB238" s="1129">
        <v>0</v>
      </c>
      <c r="BC238" s="1129">
        <v>1420.4456380952381</v>
      </c>
      <c r="BD238" s="1129">
        <v>0</v>
      </c>
      <c r="BE238" s="1129">
        <v>0</v>
      </c>
      <c r="BF238" s="1129">
        <v>0</v>
      </c>
      <c r="BG238" s="1129">
        <v>0</v>
      </c>
      <c r="BH238" s="1129">
        <v>1420.4456380952381</v>
      </c>
      <c r="BI238" s="1981"/>
      <c r="BJ238" s="971"/>
      <c r="BK238" s="971"/>
      <c r="BL238" s="1246"/>
      <c r="BM238" s="1247" t="s">
        <v>2123</v>
      </c>
    </row>
    <row r="239" spans="1:65" s="1247" customFormat="1" ht="49.5" customHeight="1">
      <c r="A239" s="1272">
        <v>4000</v>
      </c>
      <c r="B239" s="971" t="s">
        <v>1316</v>
      </c>
      <c r="C239" s="1272">
        <v>4500</v>
      </c>
      <c r="D239" s="971" t="s">
        <v>452</v>
      </c>
      <c r="E239" s="971" t="s">
        <v>1692</v>
      </c>
      <c r="F239" s="971" t="s">
        <v>605</v>
      </c>
      <c r="G239" s="971" t="s">
        <v>5043</v>
      </c>
      <c r="H239" s="971" t="s">
        <v>684</v>
      </c>
      <c r="I239" s="1273" t="s">
        <v>7572</v>
      </c>
      <c r="J239" s="971" t="s">
        <v>686</v>
      </c>
      <c r="K239" s="971" t="s">
        <v>2123</v>
      </c>
      <c r="L239" s="971" t="s">
        <v>2124</v>
      </c>
      <c r="M239" s="971" t="s">
        <v>2123</v>
      </c>
      <c r="N239" s="971" t="s">
        <v>179</v>
      </c>
      <c r="O239" s="971" t="s">
        <v>2124</v>
      </c>
      <c r="P239" s="971" t="s">
        <v>7266</v>
      </c>
      <c r="Q239" s="971" t="s">
        <v>7300</v>
      </c>
      <c r="R239" s="971" t="s">
        <v>5126</v>
      </c>
      <c r="S239" s="1274">
        <v>1</v>
      </c>
      <c r="T239" s="971" t="s">
        <v>242</v>
      </c>
      <c r="U239" s="1275">
        <v>19.2</v>
      </c>
      <c r="V239" s="1275">
        <v>213</v>
      </c>
      <c r="W239" s="1275">
        <v>1918.3369142857146</v>
      </c>
      <c r="X239" s="1275">
        <v>2130</v>
      </c>
      <c r="Y239" s="1275">
        <v>4261.3369142857146</v>
      </c>
      <c r="Z239" s="1129">
        <v>19.2</v>
      </c>
      <c r="AA239" s="1129">
        <v>213</v>
      </c>
      <c r="AB239" s="1129">
        <v>1918.3369142857146</v>
      </c>
      <c r="AC239" s="1129">
        <v>2130</v>
      </c>
      <c r="AD239" s="1098">
        <v>4261.3369142857146</v>
      </c>
      <c r="AE239" s="1237">
        <v>1</v>
      </c>
      <c r="AF239" s="1133">
        <v>1</v>
      </c>
      <c r="AG239" s="1127">
        <v>1</v>
      </c>
      <c r="AH239" s="1127">
        <v>0</v>
      </c>
      <c r="AI239" s="1127">
        <v>0</v>
      </c>
      <c r="AJ239" s="1127">
        <v>1</v>
      </c>
      <c r="AK239" s="1129">
        <v>4261.3369142857146</v>
      </c>
      <c r="AL239" s="1129">
        <v>0</v>
      </c>
      <c r="AM239" s="1129">
        <v>0</v>
      </c>
      <c r="AN239" s="1129">
        <v>4261.3369142857146</v>
      </c>
      <c r="AO239" s="1129" t="s">
        <v>85</v>
      </c>
      <c r="AP239" s="1129" t="s">
        <v>96</v>
      </c>
      <c r="AQ239" s="1157">
        <v>2014</v>
      </c>
      <c r="AR239" s="1129" t="s">
        <v>87</v>
      </c>
      <c r="AS239" s="1127">
        <v>0.33333333333333331</v>
      </c>
      <c r="AT239" s="1127"/>
      <c r="AU239" s="1127">
        <v>0.33333333333333331</v>
      </c>
      <c r="AV239" s="1127"/>
      <c r="AW239" s="1127"/>
      <c r="AX239" s="1127"/>
      <c r="AY239" s="1127"/>
      <c r="AZ239" s="1127">
        <v>0.33333333333333331</v>
      </c>
      <c r="BA239" s="1129">
        <v>1420.4456380952381</v>
      </c>
      <c r="BB239" s="1129">
        <v>0</v>
      </c>
      <c r="BC239" s="1129">
        <v>1420.4456380952381</v>
      </c>
      <c r="BD239" s="1129">
        <v>0</v>
      </c>
      <c r="BE239" s="1129">
        <v>0</v>
      </c>
      <c r="BF239" s="1129">
        <v>0</v>
      </c>
      <c r="BG239" s="1129">
        <v>0</v>
      </c>
      <c r="BH239" s="1129">
        <v>1420.4456380952381</v>
      </c>
      <c r="BI239" s="1981"/>
      <c r="BJ239" s="971"/>
      <c r="BK239" s="971"/>
      <c r="BL239" s="1246"/>
      <c r="BM239" s="1247" t="s">
        <v>2123</v>
      </c>
    </row>
    <row r="240" spans="1:65" s="1247" customFormat="1" ht="66" customHeight="1">
      <c r="A240" s="1272">
        <v>4000</v>
      </c>
      <c r="B240" s="971" t="s">
        <v>1316</v>
      </c>
      <c r="C240" s="1272">
        <v>4500</v>
      </c>
      <c r="D240" s="971" t="s">
        <v>452</v>
      </c>
      <c r="E240" s="971" t="s">
        <v>1692</v>
      </c>
      <c r="F240" s="971" t="s">
        <v>605</v>
      </c>
      <c r="G240" s="971" t="s">
        <v>5043</v>
      </c>
      <c r="H240" s="971" t="s">
        <v>684</v>
      </c>
      <c r="I240" s="1273" t="s">
        <v>7573</v>
      </c>
      <c r="J240" s="971" t="s">
        <v>686</v>
      </c>
      <c r="K240" s="971" t="s">
        <v>2123</v>
      </c>
      <c r="L240" s="971" t="s">
        <v>2124</v>
      </c>
      <c r="M240" s="971" t="s">
        <v>2123</v>
      </c>
      <c r="N240" s="971" t="s">
        <v>179</v>
      </c>
      <c r="O240" s="971" t="s">
        <v>2124</v>
      </c>
      <c r="P240" s="971" t="s">
        <v>7266</v>
      </c>
      <c r="Q240" s="971" t="s">
        <v>7574</v>
      </c>
      <c r="R240" s="971" t="s">
        <v>5127</v>
      </c>
      <c r="S240" s="1274">
        <v>1</v>
      </c>
      <c r="T240" s="971" t="s">
        <v>242</v>
      </c>
      <c r="U240" s="1275">
        <v>19.2</v>
      </c>
      <c r="V240" s="1275">
        <v>213</v>
      </c>
      <c r="W240" s="1275">
        <v>1918.3369142857146</v>
      </c>
      <c r="X240" s="1275">
        <v>2130</v>
      </c>
      <c r="Y240" s="1275">
        <v>4261.3369142857146</v>
      </c>
      <c r="Z240" s="1129">
        <v>19.2</v>
      </c>
      <c r="AA240" s="1129">
        <v>213</v>
      </c>
      <c r="AB240" s="1129">
        <v>1918.3369142857146</v>
      </c>
      <c r="AC240" s="1129">
        <v>2130</v>
      </c>
      <c r="AD240" s="1098">
        <v>4261.3369142857146</v>
      </c>
      <c r="AE240" s="1237">
        <v>1</v>
      </c>
      <c r="AF240" s="1133">
        <v>1</v>
      </c>
      <c r="AG240" s="1127">
        <v>1</v>
      </c>
      <c r="AH240" s="1127">
        <v>0</v>
      </c>
      <c r="AI240" s="1127">
        <v>0</v>
      </c>
      <c r="AJ240" s="1127">
        <v>1</v>
      </c>
      <c r="AK240" s="1129">
        <v>4261.3369142857146</v>
      </c>
      <c r="AL240" s="1129">
        <v>0</v>
      </c>
      <c r="AM240" s="1129">
        <v>0</v>
      </c>
      <c r="AN240" s="1129">
        <v>4261.3369142857146</v>
      </c>
      <c r="AO240" s="1129" t="s">
        <v>85</v>
      </c>
      <c r="AP240" s="1129" t="s">
        <v>96</v>
      </c>
      <c r="AQ240" s="1157">
        <v>2014</v>
      </c>
      <c r="AR240" s="1129" t="s">
        <v>87</v>
      </c>
      <c r="AS240" s="1127">
        <v>0.33333333333333331</v>
      </c>
      <c r="AT240" s="1127"/>
      <c r="AU240" s="1127">
        <v>0.33333333333333331</v>
      </c>
      <c r="AV240" s="1127"/>
      <c r="AW240" s="1127"/>
      <c r="AX240" s="1127"/>
      <c r="AY240" s="1127"/>
      <c r="AZ240" s="1127">
        <v>0.33333333333333331</v>
      </c>
      <c r="BA240" s="1129">
        <v>1420.4456380952381</v>
      </c>
      <c r="BB240" s="1129">
        <v>0</v>
      </c>
      <c r="BC240" s="1129">
        <v>1420.4456380952381</v>
      </c>
      <c r="BD240" s="1129">
        <v>0</v>
      </c>
      <c r="BE240" s="1129">
        <v>0</v>
      </c>
      <c r="BF240" s="1129">
        <v>0</v>
      </c>
      <c r="BG240" s="1129">
        <v>0</v>
      </c>
      <c r="BH240" s="1129">
        <v>1420.4456380952381</v>
      </c>
      <c r="BI240" s="1981"/>
      <c r="BJ240" s="971"/>
      <c r="BK240" s="971"/>
      <c r="BL240" s="1246"/>
      <c r="BM240" s="1247" t="s">
        <v>2123</v>
      </c>
    </row>
    <row r="241" spans="1:65" s="1247" customFormat="1" ht="66" customHeight="1">
      <c r="A241" s="1272">
        <v>4000</v>
      </c>
      <c r="B241" s="971" t="s">
        <v>1316</v>
      </c>
      <c r="C241" s="1272">
        <v>4500</v>
      </c>
      <c r="D241" s="971" t="s">
        <v>452</v>
      </c>
      <c r="E241" s="971" t="s">
        <v>1692</v>
      </c>
      <c r="F241" s="971" t="s">
        <v>605</v>
      </c>
      <c r="G241" s="971" t="s">
        <v>5043</v>
      </c>
      <c r="H241" s="971" t="s">
        <v>684</v>
      </c>
      <c r="I241" s="1273" t="s">
        <v>7575</v>
      </c>
      <c r="J241" s="971" t="s">
        <v>686</v>
      </c>
      <c r="K241" s="971" t="s">
        <v>2123</v>
      </c>
      <c r="L241" s="971" t="s">
        <v>2124</v>
      </c>
      <c r="M241" s="971" t="s">
        <v>2123</v>
      </c>
      <c r="N241" s="971" t="s">
        <v>179</v>
      </c>
      <c r="O241" s="971" t="s">
        <v>2124</v>
      </c>
      <c r="P241" s="971" t="s">
        <v>7266</v>
      </c>
      <c r="Q241" s="971" t="s">
        <v>7574</v>
      </c>
      <c r="R241" s="971" t="s">
        <v>5128</v>
      </c>
      <c r="S241" s="1274">
        <v>1</v>
      </c>
      <c r="T241" s="971" t="s">
        <v>242</v>
      </c>
      <c r="U241" s="1275">
        <v>19.2</v>
      </c>
      <c r="V241" s="1275">
        <v>213</v>
      </c>
      <c r="W241" s="1275">
        <v>1918.3369142857146</v>
      </c>
      <c r="X241" s="1275">
        <v>2130</v>
      </c>
      <c r="Y241" s="1275">
        <v>4261.3369142857146</v>
      </c>
      <c r="Z241" s="1129">
        <v>19.2</v>
      </c>
      <c r="AA241" s="1129">
        <v>213</v>
      </c>
      <c r="AB241" s="1129">
        <v>1918.3369142857146</v>
      </c>
      <c r="AC241" s="1129">
        <v>2130</v>
      </c>
      <c r="AD241" s="1098">
        <v>4261.3369142857146</v>
      </c>
      <c r="AE241" s="1237">
        <v>1</v>
      </c>
      <c r="AF241" s="1133">
        <v>1</v>
      </c>
      <c r="AG241" s="1127">
        <v>1</v>
      </c>
      <c r="AH241" s="1127">
        <v>0</v>
      </c>
      <c r="AI241" s="1127">
        <v>0</v>
      </c>
      <c r="AJ241" s="1127">
        <v>1</v>
      </c>
      <c r="AK241" s="1129">
        <v>4261.3369142857146</v>
      </c>
      <c r="AL241" s="1129">
        <v>0</v>
      </c>
      <c r="AM241" s="1129">
        <v>0</v>
      </c>
      <c r="AN241" s="1129">
        <v>4261.3369142857146</v>
      </c>
      <c r="AO241" s="1129" t="s">
        <v>85</v>
      </c>
      <c r="AP241" s="1129" t="s">
        <v>96</v>
      </c>
      <c r="AQ241" s="1157">
        <v>2014</v>
      </c>
      <c r="AR241" s="1129" t="s">
        <v>87</v>
      </c>
      <c r="AS241" s="1127">
        <v>0.33333333333333331</v>
      </c>
      <c r="AT241" s="1127"/>
      <c r="AU241" s="1127">
        <v>0.33333333333333331</v>
      </c>
      <c r="AV241" s="1127"/>
      <c r="AW241" s="1127"/>
      <c r="AX241" s="1127"/>
      <c r="AY241" s="1127"/>
      <c r="AZ241" s="1127">
        <v>0.33333333333333331</v>
      </c>
      <c r="BA241" s="1129">
        <v>1420.4456380952381</v>
      </c>
      <c r="BB241" s="1129">
        <v>0</v>
      </c>
      <c r="BC241" s="1129">
        <v>1420.4456380952381</v>
      </c>
      <c r="BD241" s="1129">
        <v>0</v>
      </c>
      <c r="BE241" s="1129">
        <v>0</v>
      </c>
      <c r="BF241" s="1129">
        <v>0</v>
      </c>
      <c r="BG241" s="1129">
        <v>0</v>
      </c>
      <c r="BH241" s="1129">
        <v>1420.4456380952381</v>
      </c>
      <c r="BI241" s="1981"/>
      <c r="BJ241" s="971"/>
      <c r="BK241" s="971"/>
      <c r="BL241" s="1246"/>
      <c r="BM241" s="1247" t="s">
        <v>2123</v>
      </c>
    </row>
    <row r="242" spans="1:65" s="1247" customFormat="1" ht="82.5" customHeight="1">
      <c r="A242" s="1272">
        <v>4000</v>
      </c>
      <c r="B242" s="971" t="s">
        <v>1316</v>
      </c>
      <c r="C242" s="1272">
        <v>4500</v>
      </c>
      <c r="D242" s="971" t="s">
        <v>452</v>
      </c>
      <c r="E242" s="971" t="s">
        <v>1692</v>
      </c>
      <c r="F242" s="971" t="s">
        <v>605</v>
      </c>
      <c r="G242" s="971" t="s">
        <v>5043</v>
      </c>
      <c r="H242" s="971" t="s">
        <v>684</v>
      </c>
      <c r="I242" s="1273" t="s">
        <v>7576</v>
      </c>
      <c r="J242" s="971" t="s">
        <v>686</v>
      </c>
      <c r="K242" s="971" t="s">
        <v>2123</v>
      </c>
      <c r="L242" s="971" t="s">
        <v>2124</v>
      </c>
      <c r="M242" s="971" t="s">
        <v>2123</v>
      </c>
      <c r="N242" s="971" t="s">
        <v>179</v>
      </c>
      <c r="O242" s="971" t="s">
        <v>2124</v>
      </c>
      <c r="P242" s="971" t="s">
        <v>7266</v>
      </c>
      <c r="Q242" s="971" t="s">
        <v>7577</v>
      </c>
      <c r="R242" s="971" t="s">
        <v>5129</v>
      </c>
      <c r="S242" s="1274">
        <v>1</v>
      </c>
      <c r="T242" s="971" t="s">
        <v>242</v>
      </c>
      <c r="U242" s="1275">
        <v>19.2</v>
      </c>
      <c r="V242" s="1275">
        <v>213</v>
      </c>
      <c r="W242" s="1275">
        <v>1918.3369142857146</v>
      </c>
      <c r="X242" s="1275">
        <v>2130</v>
      </c>
      <c r="Y242" s="1275">
        <v>4261.3369142857146</v>
      </c>
      <c r="Z242" s="1129">
        <v>19.2</v>
      </c>
      <c r="AA242" s="1129">
        <v>213</v>
      </c>
      <c r="AB242" s="1129">
        <v>1918.3369142857146</v>
      </c>
      <c r="AC242" s="1129">
        <v>2130</v>
      </c>
      <c r="AD242" s="1098">
        <v>4261.3369142857146</v>
      </c>
      <c r="AE242" s="1237">
        <v>1</v>
      </c>
      <c r="AF242" s="1133">
        <v>1</v>
      </c>
      <c r="AG242" s="1127">
        <v>1</v>
      </c>
      <c r="AH242" s="1127">
        <v>0</v>
      </c>
      <c r="AI242" s="1127">
        <v>0</v>
      </c>
      <c r="AJ242" s="1127">
        <v>1</v>
      </c>
      <c r="AK242" s="1129">
        <v>4261.3369142857146</v>
      </c>
      <c r="AL242" s="1129">
        <v>0</v>
      </c>
      <c r="AM242" s="1129">
        <v>0</v>
      </c>
      <c r="AN242" s="1129">
        <v>4261.3369142857146</v>
      </c>
      <c r="AO242" s="1129" t="s">
        <v>85</v>
      </c>
      <c r="AP242" s="1129" t="s">
        <v>96</v>
      </c>
      <c r="AQ242" s="1157">
        <v>2014</v>
      </c>
      <c r="AR242" s="1129" t="s">
        <v>87</v>
      </c>
      <c r="AS242" s="1127">
        <v>0.33333333333333331</v>
      </c>
      <c r="AT242" s="1127"/>
      <c r="AU242" s="1127">
        <v>0.33333333333333331</v>
      </c>
      <c r="AV242" s="1127"/>
      <c r="AW242" s="1127"/>
      <c r="AX242" s="1127"/>
      <c r="AY242" s="1127"/>
      <c r="AZ242" s="1127">
        <v>0.33333333333333331</v>
      </c>
      <c r="BA242" s="1129">
        <v>1420.4456380952381</v>
      </c>
      <c r="BB242" s="1129">
        <v>0</v>
      </c>
      <c r="BC242" s="1129">
        <v>1420.4456380952381</v>
      </c>
      <c r="BD242" s="1129">
        <v>0</v>
      </c>
      <c r="BE242" s="1129">
        <v>0</v>
      </c>
      <c r="BF242" s="1129">
        <v>0</v>
      </c>
      <c r="BG242" s="1129">
        <v>0</v>
      </c>
      <c r="BH242" s="1129">
        <v>1420.4456380952381</v>
      </c>
      <c r="BI242" s="1981"/>
      <c r="BJ242" s="971"/>
      <c r="BK242" s="971"/>
      <c r="BL242" s="1246"/>
      <c r="BM242" s="1247" t="s">
        <v>2123</v>
      </c>
    </row>
    <row r="243" spans="1:65" s="1247" customFormat="1" ht="66" customHeight="1">
      <c r="A243" s="1272">
        <v>4000</v>
      </c>
      <c r="B243" s="971" t="s">
        <v>1316</v>
      </c>
      <c r="C243" s="1272">
        <v>4500</v>
      </c>
      <c r="D243" s="971" t="s">
        <v>452</v>
      </c>
      <c r="E243" s="971" t="s">
        <v>1692</v>
      </c>
      <c r="F243" s="971" t="s">
        <v>605</v>
      </c>
      <c r="G243" s="971" t="s">
        <v>5043</v>
      </c>
      <c r="H243" s="971" t="s">
        <v>684</v>
      </c>
      <c r="I243" s="1273" t="s">
        <v>7578</v>
      </c>
      <c r="J243" s="971" t="s">
        <v>686</v>
      </c>
      <c r="K243" s="971" t="s">
        <v>2123</v>
      </c>
      <c r="L243" s="971" t="s">
        <v>2124</v>
      </c>
      <c r="M243" s="971" t="s">
        <v>2123</v>
      </c>
      <c r="N243" s="971" t="s">
        <v>179</v>
      </c>
      <c r="O243" s="971" t="s">
        <v>2124</v>
      </c>
      <c r="P243" s="971" t="s">
        <v>7266</v>
      </c>
      <c r="Q243" s="971" t="s">
        <v>7579</v>
      </c>
      <c r="R243" s="971" t="s">
        <v>5130</v>
      </c>
      <c r="S243" s="1274">
        <v>1</v>
      </c>
      <c r="T243" s="971" t="s">
        <v>242</v>
      </c>
      <c r="U243" s="1275">
        <v>19.2</v>
      </c>
      <c r="V243" s="1275">
        <v>213</v>
      </c>
      <c r="W243" s="1275">
        <v>1918.3369142857146</v>
      </c>
      <c r="X243" s="1275">
        <v>2130</v>
      </c>
      <c r="Y243" s="1275">
        <v>4261.3369142857146</v>
      </c>
      <c r="Z243" s="1129">
        <v>19.2</v>
      </c>
      <c r="AA243" s="1129">
        <v>213</v>
      </c>
      <c r="AB243" s="1129">
        <v>1918.3369142857146</v>
      </c>
      <c r="AC243" s="1129">
        <v>2130</v>
      </c>
      <c r="AD243" s="1098">
        <v>4261.3369142857146</v>
      </c>
      <c r="AE243" s="1237">
        <v>1</v>
      </c>
      <c r="AF243" s="1133">
        <v>1</v>
      </c>
      <c r="AG243" s="1127">
        <v>1</v>
      </c>
      <c r="AH243" s="1127">
        <v>0</v>
      </c>
      <c r="AI243" s="1127">
        <v>0</v>
      </c>
      <c r="AJ243" s="1127">
        <v>1</v>
      </c>
      <c r="AK243" s="1129">
        <v>4261.3369142857146</v>
      </c>
      <c r="AL243" s="1129">
        <v>0</v>
      </c>
      <c r="AM243" s="1129">
        <v>0</v>
      </c>
      <c r="AN243" s="1129">
        <v>4261.3369142857146</v>
      </c>
      <c r="AO243" s="1129" t="s">
        <v>85</v>
      </c>
      <c r="AP243" s="1129" t="s">
        <v>96</v>
      </c>
      <c r="AQ243" s="1157">
        <v>2014</v>
      </c>
      <c r="AR243" s="1129" t="s">
        <v>87</v>
      </c>
      <c r="AS243" s="1127">
        <v>0.33333333333333331</v>
      </c>
      <c r="AT243" s="1127"/>
      <c r="AU243" s="1127">
        <v>0.33333333333333331</v>
      </c>
      <c r="AV243" s="1127"/>
      <c r="AW243" s="1127"/>
      <c r="AX243" s="1127"/>
      <c r="AY243" s="1127"/>
      <c r="AZ243" s="1127">
        <v>0.33333333333333331</v>
      </c>
      <c r="BA243" s="1129">
        <v>1420.4456380952381</v>
      </c>
      <c r="BB243" s="1129">
        <v>0</v>
      </c>
      <c r="BC243" s="1129">
        <v>1420.4456380952381</v>
      </c>
      <c r="BD243" s="1129">
        <v>0</v>
      </c>
      <c r="BE243" s="1129">
        <v>0</v>
      </c>
      <c r="BF243" s="1129">
        <v>0</v>
      </c>
      <c r="BG243" s="1129">
        <v>0</v>
      </c>
      <c r="BH243" s="1129">
        <v>1420.4456380952381</v>
      </c>
      <c r="BI243" s="1981"/>
      <c r="BJ243" s="971"/>
      <c r="BK243" s="971"/>
      <c r="BL243" s="1246"/>
      <c r="BM243" s="1247" t="s">
        <v>2123</v>
      </c>
    </row>
    <row r="244" spans="1:65" s="1247" customFormat="1" ht="66" customHeight="1">
      <c r="A244" s="1272">
        <v>4000</v>
      </c>
      <c r="B244" s="971" t="s">
        <v>1316</v>
      </c>
      <c r="C244" s="1272">
        <v>4500</v>
      </c>
      <c r="D244" s="971" t="s">
        <v>452</v>
      </c>
      <c r="E244" s="971" t="s">
        <v>1692</v>
      </c>
      <c r="F244" s="971" t="s">
        <v>605</v>
      </c>
      <c r="G244" s="971" t="s">
        <v>5043</v>
      </c>
      <c r="H244" s="971" t="s">
        <v>684</v>
      </c>
      <c r="I244" s="1273" t="s">
        <v>7580</v>
      </c>
      <c r="J244" s="971" t="s">
        <v>686</v>
      </c>
      <c r="K244" s="971" t="s">
        <v>2123</v>
      </c>
      <c r="L244" s="971" t="s">
        <v>2124</v>
      </c>
      <c r="M244" s="971" t="s">
        <v>2123</v>
      </c>
      <c r="N244" s="971" t="s">
        <v>179</v>
      </c>
      <c r="O244" s="971" t="s">
        <v>2124</v>
      </c>
      <c r="P244" s="971" t="s">
        <v>7266</v>
      </c>
      <c r="Q244" s="971" t="s">
        <v>698</v>
      </c>
      <c r="R244" s="971" t="s">
        <v>5134</v>
      </c>
      <c r="S244" s="1274">
        <v>1</v>
      </c>
      <c r="T244" s="971" t="s">
        <v>242</v>
      </c>
      <c r="U244" s="1275">
        <v>19.2</v>
      </c>
      <c r="V244" s="1275">
        <v>213</v>
      </c>
      <c r="W244" s="1275">
        <v>1918.3369142857146</v>
      </c>
      <c r="X244" s="1275">
        <v>2130</v>
      </c>
      <c r="Y244" s="1275">
        <v>4261.3369142857146</v>
      </c>
      <c r="Z244" s="1129">
        <v>19.2</v>
      </c>
      <c r="AA244" s="1129">
        <v>213</v>
      </c>
      <c r="AB244" s="1129">
        <v>1918.3369142857146</v>
      </c>
      <c r="AC244" s="1129">
        <v>2130</v>
      </c>
      <c r="AD244" s="1098">
        <v>4261.3369142857146</v>
      </c>
      <c r="AE244" s="1237">
        <v>1</v>
      </c>
      <c r="AF244" s="1133">
        <v>1</v>
      </c>
      <c r="AG244" s="1127">
        <v>1</v>
      </c>
      <c r="AH244" s="1127">
        <v>0</v>
      </c>
      <c r="AI244" s="1127">
        <v>0</v>
      </c>
      <c r="AJ244" s="1127">
        <v>1</v>
      </c>
      <c r="AK244" s="1129">
        <v>4261.3369142857146</v>
      </c>
      <c r="AL244" s="1129">
        <v>0</v>
      </c>
      <c r="AM244" s="1129">
        <v>0</v>
      </c>
      <c r="AN244" s="1129">
        <v>4261.3369142857146</v>
      </c>
      <c r="AO244" s="1129" t="s">
        <v>85</v>
      </c>
      <c r="AP244" s="1129" t="s">
        <v>96</v>
      </c>
      <c r="AQ244" s="1157">
        <v>2014</v>
      </c>
      <c r="AR244" s="1129" t="s">
        <v>87</v>
      </c>
      <c r="AS244" s="1127">
        <v>0.33333333333333331</v>
      </c>
      <c r="AT244" s="1127"/>
      <c r="AU244" s="1127">
        <v>0.33333333333333331</v>
      </c>
      <c r="AV244" s="1127"/>
      <c r="AW244" s="1127"/>
      <c r="AX244" s="1127"/>
      <c r="AY244" s="1127"/>
      <c r="AZ244" s="1127">
        <v>0.33333333333333331</v>
      </c>
      <c r="BA244" s="1129">
        <v>1420.4456380952381</v>
      </c>
      <c r="BB244" s="1129">
        <v>0</v>
      </c>
      <c r="BC244" s="1129">
        <v>1420.4456380952381</v>
      </c>
      <c r="BD244" s="1129">
        <v>0</v>
      </c>
      <c r="BE244" s="1129">
        <v>0</v>
      </c>
      <c r="BF244" s="1129">
        <v>0</v>
      </c>
      <c r="BG244" s="1129">
        <v>0</v>
      </c>
      <c r="BH244" s="1129">
        <v>1420.4456380952381</v>
      </c>
      <c r="BI244" s="1981"/>
      <c r="BJ244" s="971"/>
      <c r="BK244" s="971"/>
      <c r="BL244" s="1246"/>
      <c r="BM244" s="1247" t="s">
        <v>2123</v>
      </c>
    </row>
    <row r="245" spans="1:65" s="1247" customFormat="1" ht="66" customHeight="1">
      <c r="A245" s="1272">
        <v>4000</v>
      </c>
      <c r="B245" s="971" t="s">
        <v>1316</v>
      </c>
      <c r="C245" s="1272">
        <v>4500</v>
      </c>
      <c r="D245" s="971" t="s">
        <v>452</v>
      </c>
      <c r="E245" s="971" t="s">
        <v>1692</v>
      </c>
      <c r="F245" s="971" t="s">
        <v>605</v>
      </c>
      <c r="G245" s="971" t="s">
        <v>5043</v>
      </c>
      <c r="H245" s="971" t="s">
        <v>684</v>
      </c>
      <c r="I245" s="1273" t="s">
        <v>7581</v>
      </c>
      <c r="J245" s="971" t="s">
        <v>686</v>
      </c>
      <c r="K245" s="971" t="s">
        <v>2123</v>
      </c>
      <c r="L245" s="971" t="s">
        <v>2124</v>
      </c>
      <c r="M245" s="971" t="s">
        <v>2123</v>
      </c>
      <c r="N245" s="971" t="s">
        <v>179</v>
      </c>
      <c r="O245" s="971" t="s">
        <v>2124</v>
      </c>
      <c r="P245" s="971" t="s">
        <v>7266</v>
      </c>
      <c r="Q245" s="971" t="s">
        <v>698</v>
      </c>
      <c r="R245" s="971" t="s">
        <v>5135</v>
      </c>
      <c r="S245" s="1274">
        <v>1</v>
      </c>
      <c r="T245" s="971" t="s">
        <v>242</v>
      </c>
      <c r="U245" s="1275">
        <v>19.2</v>
      </c>
      <c r="V245" s="1275">
        <v>213</v>
      </c>
      <c r="W245" s="1275">
        <v>1918.3369142857146</v>
      </c>
      <c r="X245" s="1275">
        <v>2130</v>
      </c>
      <c r="Y245" s="1275">
        <v>4261.3369142857146</v>
      </c>
      <c r="Z245" s="1129">
        <v>19.2</v>
      </c>
      <c r="AA245" s="1129">
        <v>213</v>
      </c>
      <c r="AB245" s="1129">
        <v>1918.3369142857146</v>
      </c>
      <c r="AC245" s="1129">
        <v>2130</v>
      </c>
      <c r="AD245" s="1098">
        <v>4261.3369142857146</v>
      </c>
      <c r="AE245" s="1237">
        <v>1</v>
      </c>
      <c r="AF245" s="1133">
        <v>1</v>
      </c>
      <c r="AG245" s="1127">
        <v>1</v>
      </c>
      <c r="AH245" s="1127">
        <v>0</v>
      </c>
      <c r="AI245" s="1127">
        <v>0</v>
      </c>
      <c r="AJ245" s="1127">
        <v>1</v>
      </c>
      <c r="AK245" s="1129">
        <v>4261.3369142857146</v>
      </c>
      <c r="AL245" s="1129">
        <v>0</v>
      </c>
      <c r="AM245" s="1129">
        <v>0</v>
      </c>
      <c r="AN245" s="1129">
        <v>4261.3369142857146</v>
      </c>
      <c r="AO245" s="1129" t="s">
        <v>85</v>
      </c>
      <c r="AP245" s="1129" t="s">
        <v>96</v>
      </c>
      <c r="AQ245" s="1157">
        <v>2014</v>
      </c>
      <c r="AR245" s="1129" t="s">
        <v>87</v>
      </c>
      <c r="AS245" s="1127">
        <v>0.33333333333333331</v>
      </c>
      <c r="AT245" s="1127"/>
      <c r="AU245" s="1127">
        <v>0.33333333333333331</v>
      </c>
      <c r="AV245" s="1127"/>
      <c r="AW245" s="1127"/>
      <c r="AX245" s="1127"/>
      <c r="AY245" s="1127"/>
      <c r="AZ245" s="1127">
        <v>0.33333333333333331</v>
      </c>
      <c r="BA245" s="1129">
        <v>1420.4456380952381</v>
      </c>
      <c r="BB245" s="1129">
        <v>0</v>
      </c>
      <c r="BC245" s="1129">
        <v>1420.4456380952381</v>
      </c>
      <c r="BD245" s="1129">
        <v>0</v>
      </c>
      <c r="BE245" s="1129">
        <v>0</v>
      </c>
      <c r="BF245" s="1129">
        <v>0</v>
      </c>
      <c r="BG245" s="1129">
        <v>0</v>
      </c>
      <c r="BH245" s="1129">
        <v>1420.4456380952381</v>
      </c>
      <c r="BI245" s="1981"/>
      <c r="BJ245" s="971"/>
      <c r="BK245" s="971"/>
      <c r="BL245" s="1246"/>
      <c r="BM245" s="1247" t="s">
        <v>2123</v>
      </c>
    </row>
    <row r="246" spans="1:65" s="1247" customFormat="1" ht="66" customHeight="1">
      <c r="A246" s="1272">
        <v>4000</v>
      </c>
      <c r="B246" s="971" t="s">
        <v>1316</v>
      </c>
      <c r="C246" s="1272">
        <v>4500</v>
      </c>
      <c r="D246" s="971" t="s">
        <v>452</v>
      </c>
      <c r="E246" s="971" t="s">
        <v>1692</v>
      </c>
      <c r="F246" s="971" t="s">
        <v>605</v>
      </c>
      <c r="G246" s="971" t="s">
        <v>5043</v>
      </c>
      <c r="H246" s="971" t="s">
        <v>684</v>
      </c>
      <c r="I246" s="1273" t="s">
        <v>7582</v>
      </c>
      <c r="J246" s="971" t="s">
        <v>686</v>
      </c>
      <c r="K246" s="971" t="s">
        <v>2123</v>
      </c>
      <c r="L246" s="971" t="s">
        <v>2124</v>
      </c>
      <c r="M246" s="971" t="s">
        <v>2123</v>
      </c>
      <c r="N246" s="971" t="s">
        <v>179</v>
      </c>
      <c r="O246" s="971" t="s">
        <v>2124</v>
      </c>
      <c r="P246" s="971" t="s">
        <v>7266</v>
      </c>
      <c r="Q246" s="971" t="s">
        <v>698</v>
      </c>
      <c r="R246" s="971" t="s">
        <v>5136</v>
      </c>
      <c r="S246" s="1274">
        <v>1</v>
      </c>
      <c r="T246" s="971" t="s">
        <v>242</v>
      </c>
      <c r="U246" s="1275">
        <v>19.2</v>
      </c>
      <c r="V246" s="1275">
        <v>213</v>
      </c>
      <c r="W246" s="1275">
        <v>1918.3369142857146</v>
      </c>
      <c r="X246" s="1275">
        <v>2130</v>
      </c>
      <c r="Y246" s="1275">
        <v>4261.3369142857146</v>
      </c>
      <c r="Z246" s="1129">
        <v>19.2</v>
      </c>
      <c r="AA246" s="1129">
        <v>213</v>
      </c>
      <c r="AB246" s="1129">
        <v>1918.3369142857146</v>
      </c>
      <c r="AC246" s="1129">
        <v>2130</v>
      </c>
      <c r="AD246" s="1098">
        <v>4261.3369142857146</v>
      </c>
      <c r="AE246" s="1237">
        <v>1</v>
      </c>
      <c r="AF246" s="1133">
        <v>1</v>
      </c>
      <c r="AG246" s="1127">
        <v>1</v>
      </c>
      <c r="AH246" s="1127">
        <v>0</v>
      </c>
      <c r="AI246" s="1127">
        <v>0</v>
      </c>
      <c r="AJ246" s="1127">
        <v>1</v>
      </c>
      <c r="AK246" s="1129">
        <v>4261.3369142857146</v>
      </c>
      <c r="AL246" s="1129">
        <v>0</v>
      </c>
      <c r="AM246" s="1129">
        <v>0</v>
      </c>
      <c r="AN246" s="1129">
        <v>4261.3369142857146</v>
      </c>
      <c r="AO246" s="1129" t="s">
        <v>85</v>
      </c>
      <c r="AP246" s="1129" t="s">
        <v>96</v>
      </c>
      <c r="AQ246" s="1157">
        <v>2014</v>
      </c>
      <c r="AR246" s="1129" t="s">
        <v>87</v>
      </c>
      <c r="AS246" s="1127">
        <v>0.33333333333333331</v>
      </c>
      <c r="AT246" s="1127"/>
      <c r="AU246" s="1127">
        <v>0.33333333333333331</v>
      </c>
      <c r="AV246" s="1127"/>
      <c r="AW246" s="1127"/>
      <c r="AX246" s="1127"/>
      <c r="AY246" s="1127"/>
      <c r="AZ246" s="1127">
        <v>0.33333333333333331</v>
      </c>
      <c r="BA246" s="1129">
        <v>1420.4456380952381</v>
      </c>
      <c r="BB246" s="1129">
        <v>0</v>
      </c>
      <c r="BC246" s="1129">
        <v>1420.4456380952381</v>
      </c>
      <c r="BD246" s="1129">
        <v>0</v>
      </c>
      <c r="BE246" s="1129">
        <v>0</v>
      </c>
      <c r="BF246" s="1129">
        <v>0</v>
      </c>
      <c r="BG246" s="1129">
        <v>0</v>
      </c>
      <c r="BH246" s="1129">
        <v>1420.4456380952381</v>
      </c>
      <c r="BI246" s="1981"/>
      <c r="BJ246" s="971"/>
      <c r="BK246" s="971"/>
      <c r="BL246" s="1246"/>
      <c r="BM246" s="1247" t="s">
        <v>2123</v>
      </c>
    </row>
    <row r="247" spans="1:65" s="1247" customFormat="1" ht="66" customHeight="1">
      <c r="A247" s="1272">
        <v>4000</v>
      </c>
      <c r="B247" s="971" t="s">
        <v>1316</v>
      </c>
      <c r="C247" s="1272">
        <v>4500</v>
      </c>
      <c r="D247" s="971" t="s">
        <v>452</v>
      </c>
      <c r="E247" s="971" t="s">
        <v>1692</v>
      </c>
      <c r="F247" s="971" t="s">
        <v>605</v>
      </c>
      <c r="G247" s="971" t="s">
        <v>5043</v>
      </c>
      <c r="H247" s="971" t="s">
        <v>684</v>
      </c>
      <c r="I247" s="1273" t="s">
        <v>7583</v>
      </c>
      <c r="J247" s="971" t="s">
        <v>686</v>
      </c>
      <c r="K247" s="971" t="s">
        <v>2123</v>
      </c>
      <c r="L247" s="971" t="s">
        <v>2124</v>
      </c>
      <c r="M247" s="971" t="s">
        <v>2123</v>
      </c>
      <c r="N247" s="971" t="s">
        <v>179</v>
      </c>
      <c r="O247" s="971" t="s">
        <v>2124</v>
      </c>
      <c r="P247" s="971" t="s">
        <v>7266</v>
      </c>
      <c r="Q247" s="971" t="s">
        <v>698</v>
      </c>
      <c r="R247" s="971" t="s">
        <v>5137</v>
      </c>
      <c r="S247" s="1274">
        <v>1</v>
      </c>
      <c r="T247" s="971" t="s">
        <v>242</v>
      </c>
      <c r="U247" s="1275">
        <v>19.2</v>
      </c>
      <c r="V247" s="1275">
        <v>213</v>
      </c>
      <c r="W247" s="1275">
        <v>1918.3369142857146</v>
      </c>
      <c r="X247" s="1275">
        <v>2130</v>
      </c>
      <c r="Y247" s="1275">
        <v>4261.3369142857146</v>
      </c>
      <c r="Z247" s="1129">
        <v>19.2</v>
      </c>
      <c r="AA247" s="1129">
        <v>213</v>
      </c>
      <c r="AB247" s="1129">
        <v>1918.3369142857146</v>
      </c>
      <c r="AC247" s="1129">
        <v>2130</v>
      </c>
      <c r="AD247" s="1098">
        <v>4261.3369142857146</v>
      </c>
      <c r="AE247" s="1237">
        <v>1</v>
      </c>
      <c r="AF247" s="1133">
        <v>1</v>
      </c>
      <c r="AG247" s="1127">
        <v>1</v>
      </c>
      <c r="AH247" s="1127">
        <v>0</v>
      </c>
      <c r="AI247" s="1127">
        <v>0</v>
      </c>
      <c r="AJ247" s="1127">
        <v>1</v>
      </c>
      <c r="AK247" s="1129">
        <v>4261.3369142857146</v>
      </c>
      <c r="AL247" s="1129">
        <v>0</v>
      </c>
      <c r="AM247" s="1129">
        <v>0</v>
      </c>
      <c r="AN247" s="1129">
        <v>4261.3369142857146</v>
      </c>
      <c r="AO247" s="1129" t="s">
        <v>85</v>
      </c>
      <c r="AP247" s="1129" t="s">
        <v>96</v>
      </c>
      <c r="AQ247" s="1157">
        <v>2014</v>
      </c>
      <c r="AR247" s="1129" t="s">
        <v>87</v>
      </c>
      <c r="AS247" s="1127">
        <v>0.33333333333333331</v>
      </c>
      <c r="AT247" s="1127"/>
      <c r="AU247" s="1127">
        <v>0.33333333333333331</v>
      </c>
      <c r="AV247" s="1127"/>
      <c r="AW247" s="1127"/>
      <c r="AX247" s="1127"/>
      <c r="AY247" s="1127"/>
      <c r="AZ247" s="1127">
        <v>0.33333333333333331</v>
      </c>
      <c r="BA247" s="1129">
        <v>1420.4456380952381</v>
      </c>
      <c r="BB247" s="1129">
        <v>0</v>
      </c>
      <c r="BC247" s="1129">
        <v>1420.4456380952381</v>
      </c>
      <c r="BD247" s="1129">
        <v>0</v>
      </c>
      <c r="BE247" s="1129">
        <v>0</v>
      </c>
      <c r="BF247" s="1129">
        <v>0</v>
      </c>
      <c r="BG247" s="1129">
        <v>0</v>
      </c>
      <c r="BH247" s="1129">
        <v>1420.4456380952381</v>
      </c>
      <c r="BI247" s="1981"/>
      <c r="BJ247" s="971"/>
      <c r="BK247" s="971"/>
      <c r="BL247" s="1246"/>
      <c r="BM247" s="1247" t="s">
        <v>2123</v>
      </c>
    </row>
    <row r="248" spans="1:65" s="1247" customFormat="1" ht="49.5" customHeight="1">
      <c r="A248" s="1272">
        <v>4000</v>
      </c>
      <c r="B248" s="971" t="s">
        <v>1316</v>
      </c>
      <c r="C248" s="1272">
        <v>4500</v>
      </c>
      <c r="D248" s="971" t="s">
        <v>452</v>
      </c>
      <c r="E248" s="971" t="s">
        <v>1692</v>
      </c>
      <c r="F248" s="971" t="s">
        <v>605</v>
      </c>
      <c r="G248" s="971" t="s">
        <v>5043</v>
      </c>
      <c r="H248" s="971" t="s">
        <v>684</v>
      </c>
      <c r="I248" s="1273" t="s">
        <v>7584</v>
      </c>
      <c r="J248" s="971" t="s">
        <v>686</v>
      </c>
      <c r="K248" s="971" t="s">
        <v>2123</v>
      </c>
      <c r="L248" s="971" t="s">
        <v>2124</v>
      </c>
      <c r="M248" s="971" t="s">
        <v>2123</v>
      </c>
      <c r="N248" s="971" t="s">
        <v>179</v>
      </c>
      <c r="O248" s="971" t="s">
        <v>2124</v>
      </c>
      <c r="P248" s="971" t="s">
        <v>7266</v>
      </c>
      <c r="Q248" s="971" t="s">
        <v>7304</v>
      </c>
      <c r="R248" s="971" t="s">
        <v>5138</v>
      </c>
      <c r="S248" s="1274">
        <v>1</v>
      </c>
      <c r="T248" s="971" t="s">
        <v>242</v>
      </c>
      <c r="U248" s="1275">
        <v>19.2</v>
      </c>
      <c r="V248" s="1275">
        <v>213</v>
      </c>
      <c r="W248" s="1275">
        <v>1918.3369142857146</v>
      </c>
      <c r="X248" s="1275">
        <v>2130</v>
      </c>
      <c r="Y248" s="1275">
        <v>4261.3369142857146</v>
      </c>
      <c r="Z248" s="1129">
        <v>19.2</v>
      </c>
      <c r="AA248" s="1129">
        <v>213</v>
      </c>
      <c r="AB248" s="1129">
        <v>1918.3369142857146</v>
      </c>
      <c r="AC248" s="1129">
        <v>2130</v>
      </c>
      <c r="AD248" s="1098">
        <v>4261.3369142857146</v>
      </c>
      <c r="AE248" s="1237">
        <v>1</v>
      </c>
      <c r="AF248" s="1133">
        <v>1</v>
      </c>
      <c r="AG248" s="1127">
        <v>1</v>
      </c>
      <c r="AH248" s="1127">
        <v>0</v>
      </c>
      <c r="AI248" s="1127">
        <v>0</v>
      </c>
      <c r="AJ248" s="1127">
        <v>1</v>
      </c>
      <c r="AK248" s="1129">
        <v>4261.3369142857146</v>
      </c>
      <c r="AL248" s="1129">
        <v>0</v>
      </c>
      <c r="AM248" s="1129">
        <v>0</v>
      </c>
      <c r="AN248" s="1129">
        <v>4261.3369142857146</v>
      </c>
      <c r="AO248" s="1129" t="s">
        <v>85</v>
      </c>
      <c r="AP248" s="1129" t="s">
        <v>96</v>
      </c>
      <c r="AQ248" s="1157">
        <v>2014</v>
      </c>
      <c r="AR248" s="1129" t="s">
        <v>87</v>
      </c>
      <c r="AS248" s="1127">
        <v>0.33333333333333331</v>
      </c>
      <c r="AT248" s="1127"/>
      <c r="AU248" s="1127">
        <v>0.33333333333333331</v>
      </c>
      <c r="AV248" s="1127"/>
      <c r="AW248" s="1127"/>
      <c r="AX248" s="1127"/>
      <c r="AY248" s="1127"/>
      <c r="AZ248" s="1127">
        <v>0.33333333333333331</v>
      </c>
      <c r="BA248" s="1129">
        <v>1420.4456380952381</v>
      </c>
      <c r="BB248" s="1129">
        <v>0</v>
      </c>
      <c r="BC248" s="1129">
        <v>1420.4456380952381</v>
      </c>
      <c r="BD248" s="1129">
        <v>0</v>
      </c>
      <c r="BE248" s="1129">
        <v>0</v>
      </c>
      <c r="BF248" s="1129">
        <v>0</v>
      </c>
      <c r="BG248" s="1129">
        <v>0</v>
      </c>
      <c r="BH248" s="1129">
        <v>1420.4456380952381</v>
      </c>
      <c r="BI248" s="1981"/>
      <c r="BJ248" s="971"/>
      <c r="BK248" s="971"/>
      <c r="BL248" s="1246"/>
      <c r="BM248" s="1247" t="s">
        <v>2123</v>
      </c>
    </row>
    <row r="249" spans="1:65" s="1247" customFormat="1" ht="49.5" customHeight="1">
      <c r="A249" s="1272">
        <v>4000</v>
      </c>
      <c r="B249" s="971" t="s">
        <v>1316</v>
      </c>
      <c r="C249" s="1272">
        <v>4500</v>
      </c>
      <c r="D249" s="971" t="s">
        <v>452</v>
      </c>
      <c r="E249" s="971" t="s">
        <v>1692</v>
      </c>
      <c r="F249" s="971" t="s">
        <v>605</v>
      </c>
      <c r="G249" s="971" t="s">
        <v>5043</v>
      </c>
      <c r="H249" s="971" t="s">
        <v>684</v>
      </c>
      <c r="I249" s="1273" t="s">
        <v>7585</v>
      </c>
      <c r="J249" s="971" t="s">
        <v>686</v>
      </c>
      <c r="K249" s="971" t="s">
        <v>2123</v>
      </c>
      <c r="L249" s="971" t="s">
        <v>2124</v>
      </c>
      <c r="M249" s="971" t="s">
        <v>2123</v>
      </c>
      <c r="N249" s="971" t="s">
        <v>179</v>
      </c>
      <c r="O249" s="971" t="s">
        <v>2124</v>
      </c>
      <c r="P249" s="971" t="s">
        <v>7266</v>
      </c>
      <c r="Q249" s="971" t="s">
        <v>7289</v>
      </c>
      <c r="R249" s="971" t="s">
        <v>5139</v>
      </c>
      <c r="S249" s="1274">
        <v>1</v>
      </c>
      <c r="T249" s="971" t="s">
        <v>242</v>
      </c>
      <c r="U249" s="1275">
        <v>19.2</v>
      </c>
      <c r="V249" s="1275">
        <v>213</v>
      </c>
      <c r="W249" s="1275">
        <v>1918.3369142857146</v>
      </c>
      <c r="X249" s="1275">
        <v>2130</v>
      </c>
      <c r="Y249" s="1275">
        <v>4261.3369142857146</v>
      </c>
      <c r="Z249" s="1129">
        <v>19.2</v>
      </c>
      <c r="AA249" s="1129">
        <v>213</v>
      </c>
      <c r="AB249" s="1129">
        <v>1918.3369142857146</v>
      </c>
      <c r="AC249" s="1129">
        <v>2130</v>
      </c>
      <c r="AD249" s="1098">
        <v>4261.3369142857146</v>
      </c>
      <c r="AE249" s="1237">
        <v>1</v>
      </c>
      <c r="AF249" s="1133">
        <v>1</v>
      </c>
      <c r="AG249" s="1127">
        <v>1</v>
      </c>
      <c r="AH249" s="1127">
        <v>0</v>
      </c>
      <c r="AI249" s="1127">
        <v>0</v>
      </c>
      <c r="AJ249" s="1127">
        <v>1</v>
      </c>
      <c r="AK249" s="1129">
        <v>4261.3369142857146</v>
      </c>
      <c r="AL249" s="1129">
        <v>0</v>
      </c>
      <c r="AM249" s="1129">
        <v>0</v>
      </c>
      <c r="AN249" s="1129">
        <v>4261.3369142857146</v>
      </c>
      <c r="AO249" s="1129" t="s">
        <v>85</v>
      </c>
      <c r="AP249" s="1129" t="s">
        <v>96</v>
      </c>
      <c r="AQ249" s="1157">
        <v>2014</v>
      </c>
      <c r="AR249" s="1129" t="s">
        <v>87</v>
      </c>
      <c r="AS249" s="1127">
        <v>0.33333333333333331</v>
      </c>
      <c r="AT249" s="1127"/>
      <c r="AU249" s="1127">
        <v>0.33333333333333331</v>
      </c>
      <c r="AV249" s="1127"/>
      <c r="AW249" s="1127"/>
      <c r="AX249" s="1127"/>
      <c r="AY249" s="1127"/>
      <c r="AZ249" s="1127">
        <v>0.33333333333333331</v>
      </c>
      <c r="BA249" s="1129">
        <v>1420.4456380952381</v>
      </c>
      <c r="BB249" s="1129">
        <v>0</v>
      </c>
      <c r="BC249" s="1129">
        <v>1420.4456380952381</v>
      </c>
      <c r="BD249" s="1129">
        <v>0</v>
      </c>
      <c r="BE249" s="1129">
        <v>0</v>
      </c>
      <c r="BF249" s="1129">
        <v>0</v>
      </c>
      <c r="BG249" s="1129">
        <v>0</v>
      </c>
      <c r="BH249" s="1129">
        <v>1420.4456380952381</v>
      </c>
      <c r="BI249" s="1981"/>
      <c r="BJ249" s="971"/>
      <c r="BK249" s="971"/>
      <c r="BL249" s="1246"/>
      <c r="BM249" s="1247" t="s">
        <v>2123</v>
      </c>
    </row>
    <row r="250" spans="1:65" s="1247" customFormat="1" ht="66" customHeight="1">
      <c r="A250" s="1272">
        <v>4000</v>
      </c>
      <c r="B250" s="971" t="s">
        <v>1316</v>
      </c>
      <c r="C250" s="1272">
        <v>4500</v>
      </c>
      <c r="D250" s="971" t="s">
        <v>452</v>
      </c>
      <c r="E250" s="971" t="s">
        <v>1692</v>
      </c>
      <c r="F250" s="971" t="s">
        <v>605</v>
      </c>
      <c r="G250" s="971" t="s">
        <v>5043</v>
      </c>
      <c r="H250" s="971" t="s">
        <v>684</v>
      </c>
      <c r="I250" s="1273" t="s">
        <v>7586</v>
      </c>
      <c r="J250" s="971" t="s">
        <v>686</v>
      </c>
      <c r="K250" s="971" t="s">
        <v>2123</v>
      </c>
      <c r="L250" s="971" t="s">
        <v>2124</v>
      </c>
      <c r="M250" s="971" t="s">
        <v>2123</v>
      </c>
      <c r="N250" s="971" t="s">
        <v>179</v>
      </c>
      <c r="O250" s="971" t="s">
        <v>2124</v>
      </c>
      <c r="P250" s="971" t="s">
        <v>7266</v>
      </c>
      <c r="Q250" s="971" t="s">
        <v>7587</v>
      </c>
      <c r="R250" s="971" t="s">
        <v>5140</v>
      </c>
      <c r="S250" s="1274">
        <v>1</v>
      </c>
      <c r="T250" s="971" t="s">
        <v>242</v>
      </c>
      <c r="U250" s="1275">
        <v>19.2</v>
      </c>
      <c r="V250" s="1275">
        <v>213</v>
      </c>
      <c r="W250" s="1275">
        <v>1918.3369142857146</v>
      </c>
      <c r="X250" s="1275">
        <v>2130</v>
      </c>
      <c r="Y250" s="1275">
        <v>4261.3369142857146</v>
      </c>
      <c r="Z250" s="1129">
        <v>19.2</v>
      </c>
      <c r="AA250" s="1129">
        <v>213</v>
      </c>
      <c r="AB250" s="1129">
        <v>1918.3369142857146</v>
      </c>
      <c r="AC250" s="1129">
        <v>2130</v>
      </c>
      <c r="AD250" s="1098">
        <v>4261.3369142857146</v>
      </c>
      <c r="AE250" s="1237">
        <v>1</v>
      </c>
      <c r="AF250" s="1133">
        <v>1</v>
      </c>
      <c r="AG250" s="1127">
        <v>1</v>
      </c>
      <c r="AH250" s="1127">
        <v>0</v>
      </c>
      <c r="AI250" s="1127">
        <v>0</v>
      </c>
      <c r="AJ250" s="1127">
        <v>1</v>
      </c>
      <c r="AK250" s="1129">
        <v>4261.3369142857146</v>
      </c>
      <c r="AL250" s="1129">
        <v>0</v>
      </c>
      <c r="AM250" s="1129">
        <v>0</v>
      </c>
      <c r="AN250" s="1129">
        <v>4261.3369142857146</v>
      </c>
      <c r="AO250" s="1129" t="s">
        <v>85</v>
      </c>
      <c r="AP250" s="1129" t="s">
        <v>96</v>
      </c>
      <c r="AQ250" s="1157">
        <v>2014</v>
      </c>
      <c r="AR250" s="1129" t="s">
        <v>87</v>
      </c>
      <c r="AS250" s="1127">
        <v>0.33333333333333331</v>
      </c>
      <c r="AT250" s="1127"/>
      <c r="AU250" s="1127">
        <v>0.33333333333333331</v>
      </c>
      <c r="AV250" s="1127"/>
      <c r="AW250" s="1127"/>
      <c r="AX250" s="1127"/>
      <c r="AY250" s="1127"/>
      <c r="AZ250" s="1127">
        <v>0.33333333333333331</v>
      </c>
      <c r="BA250" s="1129">
        <v>1420.4456380952381</v>
      </c>
      <c r="BB250" s="1129">
        <v>0</v>
      </c>
      <c r="BC250" s="1129">
        <v>1420.4456380952381</v>
      </c>
      <c r="BD250" s="1129">
        <v>0</v>
      </c>
      <c r="BE250" s="1129">
        <v>0</v>
      </c>
      <c r="BF250" s="1129">
        <v>0</v>
      </c>
      <c r="BG250" s="1129">
        <v>0</v>
      </c>
      <c r="BH250" s="1129">
        <v>1420.4456380952381</v>
      </c>
      <c r="BI250" s="1981"/>
      <c r="BJ250" s="971"/>
      <c r="BK250" s="971"/>
      <c r="BL250" s="1246"/>
      <c r="BM250" s="1247" t="s">
        <v>2123</v>
      </c>
    </row>
    <row r="251" spans="1:65" s="1247" customFormat="1" ht="49.5" customHeight="1">
      <c r="A251" s="1272">
        <v>4000</v>
      </c>
      <c r="B251" s="971" t="s">
        <v>1316</v>
      </c>
      <c r="C251" s="1272">
        <v>4500</v>
      </c>
      <c r="D251" s="971" t="s">
        <v>452</v>
      </c>
      <c r="E251" s="971" t="s">
        <v>1692</v>
      </c>
      <c r="F251" s="971" t="s">
        <v>605</v>
      </c>
      <c r="G251" s="971" t="s">
        <v>5043</v>
      </c>
      <c r="H251" s="971" t="s">
        <v>684</v>
      </c>
      <c r="I251" s="1273" t="s">
        <v>7588</v>
      </c>
      <c r="J251" s="971" t="s">
        <v>239</v>
      </c>
      <c r="K251" s="971" t="s">
        <v>1768</v>
      </c>
      <c r="L251" s="971" t="s">
        <v>3420</v>
      </c>
      <c r="M251" s="971" t="s">
        <v>1768</v>
      </c>
      <c r="N251" s="971" t="s">
        <v>179</v>
      </c>
      <c r="O251" s="971" t="s">
        <v>1769</v>
      </c>
      <c r="P251" s="971" t="s">
        <v>7307</v>
      </c>
      <c r="Q251" s="971" t="s">
        <v>7308</v>
      </c>
      <c r="R251" s="971" t="s">
        <v>5141</v>
      </c>
      <c r="S251" s="1274">
        <v>1</v>
      </c>
      <c r="T251" s="971" t="s">
        <v>242</v>
      </c>
      <c r="U251" s="1275">
        <v>8.1</v>
      </c>
      <c r="V251" s="1275">
        <v>106.5</v>
      </c>
      <c r="W251" s="1275">
        <v>809.29838571428581</v>
      </c>
      <c r="X251" s="1275">
        <v>1065</v>
      </c>
      <c r="Y251" s="1275">
        <v>1980.7983857142858</v>
      </c>
      <c r="Z251" s="1129">
        <v>8.1</v>
      </c>
      <c r="AA251" s="1129">
        <v>106.5</v>
      </c>
      <c r="AB251" s="1129">
        <v>809.29838571428581</v>
      </c>
      <c r="AC251" s="1129">
        <v>1065</v>
      </c>
      <c r="AD251" s="1098">
        <v>1980.7983857142858</v>
      </c>
      <c r="AE251" s="1237">
        <v>0.5</v>
      </c>
      <c r="AF251" s="1133">
        <v>0.5</v>
      </c>
      <c r="AG251" s="1127">
        <v>1</v>
      </c>
      <c r="AH251" s="1127">
        <v>0</v>
      </c>
      <c r="AI251" s="1127">
        <v>0</v>
      </c>
      <c r="AJ251" s="1127">
        <v>1</v>
      </c>
      <c r="AK251" s="1129">
        <v>1980.7983857142858</v>
      </c>
      <c r="AL251" s="1129">
        <v>0</v>
      </c>
      <c r="AM251" s="1129">
        <v>0</v>
      </c>
      <c r="AN251" s="1129">
        <v>1980.7983857142858</v>
      </c>
      <c r="AO251" s="1129" t="s">
        <v>85</v>
      </c>
      <c r="AP251" s="1129" t="s">
        <v>96</v>
      </c>
      <c r="AQ251" s="1157">
        <v>2014</v>
      </c>
      <c r="AR251" s="1129" t="s">
        <v>87</v>
      </c>
      <c r="AS251" s="1127">
        <v>0.33333333333333331</v>
      </c>
      <c r="AT251" s="1127"/>
      <c r="AU251" s="1127">
        <v>0.33333333333333331</v>
      </c>
      <c r="AV251" s="1127"/>
      <c r="AW251" s="1127"/>
      <c r="AX251" s="1127"/>
      <c r="AY251" s="1127"/>
      <c r="AZ251" s="1127">
        <v>0.33333333333333331</v>
      </c>
      <c r="BA251" s="1129">
        <v>660.26612857142857</v>
      </c>
      <c r="BB251" s="1129">
        <v>0</v>
      </c>
      <c r="BC251" s="1129">
        <v>660.26612857142857</v>
      </c>
      <c r="BD251" s="1129">
        <v>0</v>
      </c>
      <c r="BE251" s="1129">
        <v>0</v>
      </c>
      <c r="BF251" s="1129">
        <v>0</v>
      </c>
      <c r="BG251" s="1129">
        <v>0</v>
      </c>
      <c r="BH251" s="1129">
        <v>660.26612857142857</v>
      </c>
      <c r="BI251" s="1981"/>
      <c r="BJ251" s="971"/>
      <c r="BK251" s="971"/>
      <c r="BL251" s="1246"/>
      <c r="BM251" s="1247" t="s">
        <v>1768</v>
      </c>
    </row>
    <row r="252" spans="1:65" s="1247" customFormat="1" ht="66" customHeight="1">
      <c r="A252" s="1272">
        <v>4000</v>
      </c>
      <c r="B252" s="971" t="s">
        <v>1316</v>
      </c>
      <c r="C252" s="1272">
        <v>4500</v>
      </c>
      <c r="D252" s="971" t="s">
        <v>452</v>
      </c>
      <c r="E252" s="971" t="s">
        <v>1692</v>
      </c>
      <c r="F252" s="971" t="s">
        <v>605</v>
      </c>
      <c r="G252" s="971" t="s">
        <v>5043</v>
      </c>
      <c r="H252" s="971" t="s">
        <v>684</v>
      </c>
      <c r="I252" s="1273" t="s">
        <v>7589</v>
      </c>
      <c r="J252" s="971" t="s">
        <v>686</v>
      </c>
      <c r="K252" s="971" t="s">
        <v>2123</v>
      </c>
      <c r="L252" s="971" t="s">
        <v>2124</v>
      </c>
      <c r="M252" s="971" t="s">
        <v>2123</v>
      </c>
      <c r="N252" s="971" t="s">
        <v>179</v>
      </c>
      <c r="O252" s="971" t="s">
        <v>2124</v>
      </c>
      <c r="P252" s="971" t="s">
        <v>7266</v>
      </c>
      <c r="Q252" s="971" t="s">
        <v>7587</v>
      </c>
      <c r="R252" s="971" t="s">
        <v>5143</v>
      </c>
      <c r="S252" s="1274">
        <v>1</v>
      </c>
      <c r="T252" s="971" t="s">
        <v>242</v>
      </c>
      <c r="U252" s="1275">
        <v>19.2</v>
      </c>
      <c r="V252" s="1275">
        <v>213</v>
      </c>
      <c r="W252" s="1275">
        <v>1918.3369142857146</v>
      </c>
      <c r="X252" s="1275">
        <v>2130</v>
      </c>
      <c r="Y252" s="1275">
        <v>4261.3369142857146</v>
      </c>
      <c r="Z252" s="1129">
        <v>19.2</v>
      </c>
      <c r="AA252" s="1129">
        <v>213</v>
      </c>
      <c r="AB252" s="1129">
        <v>1918.3369142857146</v>
      </c>
      <c r="AC252" s="1129">
        <v>2130</v>
      </c>
      <c r="AD252" s="1098">
        <v>4261.3369142857146</v>
      </c>
      <c r="AE252" s="1237">
        <v>1</v>
      </c>
      <c r="AF252" s="1133">
        <v>1</v>
      </c>
      <c r="AG252" s="1127">
        <v>1</v>
      </c>
      <c r="AH252" s="1127">
        <v>0</v>
      </c>
      <c r="AI252" s="1127">
        <v>0</v>
      </c>
      <c r="AJ252" s="1127">
        <v>1</v>
      </c>
      <c r="AK252" s="1129">
        <v>4261.3369142857146</v>
      </c>
      <c r="AL252" s="1129">
        <v>0</v>
      </c>
      <c r="AM252" s="1129">
        <v>0</v>
      </c>
      <c r="AN252" s="1129">
        <v>4261.3369142857146</v>
      </c>
      <c r="AO252" s="1129" t="s">
        <v>85</v>
      </c>
      <c r="AP252" s="1129" t="s">
        <v>96</v>
      </c>
      <c r="AQ252" s="1157">
        <v>2014</v>
      </c>
      <c r="AR252" s="1129" t="s">
        <v>87</v>
      </c>
      <c r="AS252" s="1127">
        <v>0.33333333333333331</v>
      </c>
      <c r="AT252" s="1127"/>
      <c r="AU252" s="1127">
        <v>0.33333333333333331</v>
      </c>
      <c r="AV252" s="1127"/>
      <c r="AW252" s="1127"/>
      <c r="AX252" s="1127"/>
      <c r="AY252" s="1127"/>
      <c r="AZ252" s="1127">
        <v>0.33333333333333331</v>
      </c>
      <c r="BA252" s="1129">
        <v>1420.4456380952381</v>
      </c>
      <c r="BB252" s="1129">
        <v>0</v>
      </c>
      <c r="BC252" s="1129">
        <v>1420.4456380952381</v>
      </c>
      <c r="BD252" s="1129">
        <v>0</v>
      </c>
      <c r="BE252" s="1129">
        <v>0</v>
      </c>
      <c r="BF252" s="1129">
        <v>0</v>
      </c>
      <c r="BG252" s="1129">
        <v>0</v>
      </c>
      <c r="BH252" s="1129">
        <v>1420.4456380952381</v>
      </c>
      <c r="BI252" s="1981"/>
      <c r="BJ252" s="971"/>
      <c r="BK252" s="971"/>
      <c r="BL252" s="1246"/>
      <c r="BM252" s="1247" t="s">
        <v>2123</v>
      </c>
    </row>
    <row r="253" spans="1:65" s="1247" customFormat="1" ht="49.5" customHeight="1">
      <c r="A253" s="1272">
        <v>4000</v>
      </c>
      <c r="B253" s="971" t="s">
        <v>1316</v>
      </c>
      <c r="C253" s="1272">
        <v>4500</v>
      </c>
      <c r="D253" s="971" t="s">
        <v>452</v>
      </c>
      <c r="E253" s="971" t="s">
        <v>1692</v>
      </c>
      <c r="F253" s="971" t="s">
        <v>605</v>
      </c>
      <c r="G253" s="971" t="s">
        <v>5043</v>
      </c>
      <c r="H253" s="971" t="s">
        <v>684</v>
      </c>
      <c r="I253" s="1273" t="s">
        <v>7590</v>
      </c>
      <c r="J253" s="971" t="s">
        <v>239</v>
      </c>
      <c r="K253" s="971" t="s">
        <v>1768</v>
      </c>
      <c r="L253" s="971" t="s">
        <v>3420</v>
      </c>
      <c r="M253" s="971" t="s">
        <v>1768</v>
      </c>
      <c r="N253" s="971" t="s">
        <v>179</v>
      </c>
      <c r="O253" s="971" t="s">
        <v>1769</v>
      </c>
      <c r="P253" s="971" t="s">
        <v>7307</v>
      </c>
      <c r="Q253" s="971" t="s">
        <v>7308</v>
      </c>
      <c r="R253" s="971" t="s">
        <v>5144</v>
      </c>
      <c r="S253" s="1274">
        <v>1</v>
      </c>
      <c r="T253" s="971" t="s">
        <v>242</v>
      </c>
      <c r="U253" s="1275">
        <v>8.1</v>
      </c>
      <c r="V253" s="1275">
        <v>106.5</v>
      </c>
      <c r="W253" s="1275">
        <v>809.29838571428581</v>
      </c>
      <c r="X253" s="1275">
        <v>1065</v>
      </c>
      <c r="Y253" s="1275">
        <v>1980.7983857142858</v>
      </c>
      <c r="Z253" s="1129">
        <v>8.1</v>
      </c>
      <c r="AA253" s="1129">
        <v>106.5</v>
      </c>
      <c r="AB253" s="1129">
        <v>809.29838571428581</v>
      </c>
      <c r="AC253" s="1129">
        <v>1065</v>
      </c>
      <c r="AD253" s="1098">
        <v>1980.7983857142858</v>
      </c>
      <c r="AE253" s="1237">
        <v>0.5</v>
      </c>
      <c r="AF253" s="1133">
        <v>0.5</v>
      </c>
      <c r="AG253" s="1127">
        <v>1</v>
      </c>
      <c r="AH253" s="1127">
        <v>0</v>
      </c>
      <c r="AI253" s="1127">
        <v>0</v>
      </c>
      <c r="AJ253" s="1127">
        <v>1</v>
      </c>
      <c r="AK253" s="1129">
        <v>1980.7983857142858</v>
      </c>
      <c r="AL253" s="1129">
        <v>0</v>
      </c>
      <c r="AM253" s="1129">
        <v>0</v>
      </c>
      <c r="AN253" s="1129">
        <v>1980.7983857142858</v>
      </c>
      <c r="AO253" s="1129" t="s">
        <v>85</v>
      </c>
      <c r="AP253" s="1129" t="s">
        <v>96</v>
      </c>
      <c r="AQ253" s="1157">
        <v>2014</v>
      </c>
      <c r="AR253" s="1129" t="s">
        <v>87</v>
      </c>
      <c r="AS253" s="1127">
        <v>0.33333333333333331</v>
      </c>
      <c r="AT253" s="1127"/>
      <c r="AU253" s="1127">
        <v>0.33333333333333331</v>
      </c>
      <c r="AV253" s="1127"/>
      <c r="AW253" s="1127"/>
      <c r="AX253" s="1127"/>
      <c r="AY253" s="1127"/>
      <c r="AZ253" s="1127">
        <v>0.33333333333333331</v>
      </c>
      <c r="BA253" s="1129">
        <v>660.26612857142857</v>
      </c>
      <c r="BB253" s="1129">
        <v>0</v>
      </c>
      <c r="BC253" s="1129">
        <v>660.26612857142857</v>
      </c>
      <c r="BD253" s="1129">
        <v>0</v>
      </c>
      <c r="BE253" s="1129">
        <v>0</v>
      </c>
      <c r="BF253" s="1129">
        <v>0</v>
      </c>
      <c r="BG253" s="1129">
        <v>0</v>
      </c>
      <c r="BH253" s="1129">
        <v>660.26612857142857</v>
      </c>
      <c r="BI253" s="1981"/>
      <c r="BJ253" s="971"/>
      <c r="BK253" s="971"/>
      <c r="BL253" s="1246"/>
      <c r="BM253" s="1247" t="s">
        <v>1768</v>
      </c>
    </row>
    <row r="254" spans="1:65" s="1247" customFormat="1" ht="66" customHeight="1">
      <c r="A254" s="1272">
        <v>4000</v>
      </c>
      <c r="B254" s="971" t="s">
        <v>1316</v>
      </c>
      <c r="C254" s="1272">
        <v>4500</v>
      </c>
      <c r="D254" s="971" t="s">
        <v>452</v>
      </c>
      <c r="E254" s="971" t="s">
        <v>1692</v>
      </c>
      <c r="F254" s="971" t="s">
        <v>605</v>
      </c>
      <c r="G254" s="971" t="s">
        <v>5043</v>
      </c>
      <c r="H254" s="971" t="s">
        <v>684</v>
      </c>
      <c r="I254" s="1273" t="s">
        <v>7591</v>
      </c>
      <c r="J254" s="971" t="s">
        <v>686</v>
      </c>
      <c r="K254" s="971" t="s">
        <v>2123</v>
      </c>
      <c r="L254" s="971" t="s">
        <v>2124</v>
      </c>
      <c r="M254" s="971" t="s">
        <v>2123</v>
      </c>
      <c r="N254" s="971" t="s">
        <v>179</v>
      </c>
      <c r="O254" s="971" t="s">
        <v>2124</v>
      </c>
      <c r="P254" s="971" t="s">
        <v>7266</v>
      </c>
      <c r="Q254" s="971" t="s">
        <v>7587</v>
      </c>
      <c r="R254" s="971" t="s">
        <v>5146</v>
      </c>
      <c r="S254" s="1274">
        <v>1</v>
      </c>
      <c r="T254" s="971" t="s">
        <v>242</v>
      </c>
      <c r="U254" s="1275">
        <v>19.2</v>
      </c>
      <c r="V254" s="1275">
        <v>213</v>
      </c>
      <c r="W254" s="1275">
        <v>1918.3369142857146</v>
      </c>
      <c r="X254" s="1275">
        <v>2130</v>
      </c>
      <c r="Y254" s="1275">
        <v>4261.3369142857146</v>
      </c>
      <c r="Z254" s="1129">
        <v>19.2</v>
      </c>
      <c r="AA254" s="1129">
        <v>213</v>
      </c>
      <c r="AB254" s="1129">
        <v>1918.3369142857146</v>
      </c>
      <c r="AC254" s="1129">
        <v>2130</v>
      </c>
      <c r="AD254" s="1098">
        <v>4261.3369142857146</v>
      </c>
      <c r="AE254" s="1237">
        <v>1</v>
      </c>
      <c r="AF254" s="1133">
        <v>1</v>
      </c>
      <c r="AG254" s="1127">
        <v>1</v>
      </c>
      <c r="AH254" s="1127">
        <v>0</v>
      </c>
      <c r="AI254" s="1127">
        <v>0</v>
      </c>
      <c r="AJ254" s="1127">
        <v>1</v>
      </c>
      <c r="AK254" s="1129">
        <v>4261.3369142857146</v>
      </c>
      <c r="AL254" s="1129">
        <v>0</v>
      </c>
      <c r="AM254" s="1129">
        <v>0</v>
      </c>
      <c r="AN254" s="1129">
        <v>4261.3369142857146</v>
      </c>
      <c r="AO254" s="1129" t="s">
        <v>85</v>
      </c>
      <c r="AP254" s="1129" t="s">
        <v>96</v>
      </c>
      <c r="AQ254" s="1157">
        <v>2014</v>
      </c>
      <c r="AR254" s="1129" t="s">
        <v>87</v>
      </c>
      <c r="AS254" s="1127">
        <v>0.33333333333333331</v>
      </c>
      <c r="AT254" s="1127"/>
      <c r="AU254" s="1127">
        <v>0.33333333333333331</v>
      </c>
      <c r="AV254" s="1127"/>
      <c r="AW254" s="1127"/>
      <c r="AX254" s="1127"/>
      <c r="AY254" s="1127"/>
      <c r="AZ254" s="1127">
        <v>0.33333333333333331</v>
      </c>
      <c r="BA254" s="1129">
        <v>1420.4456380952381</v>
      </c>
      <c r="BB254" s="1129">
        <v>0</v>
      </c>
      <c r="BC254" s="1129">
        <v>1420.4456380952381</v>
      </c>
      <c r="BD254" s="1129">
        <v>0</v>
      </c>
      <c r="BE254" s="1129">
        <v>0</v>
      </c>
      <c r="BF254" s="1129">
        <v>0</v>
      </c>
      <c r="BG254" s="1129">
        <v>0</v>
      </c>
      <c r="BH254" s="1129">
        <v>1420.4456380952381</v>
      </c>
      <c r="BI254" s="1981"/>
      <c r="BJ254" s="971"/>
      <c r="BK254" s="971"/>
      <c r="BL254" s="1246"/>
      <c r="BM254" s="1247" t="s">
        <v>2123</v>
      </c>
    </row>
    <row r="255" spans="1:65" s="1247" customFormat="1" ht="49.5" customHeight="1">
      <c r="A255" s="1272">
        <v>4000</v>
      </c>
      <c r="B255" s="971" t="s">
        <v>1316</v>
      </c>
      <c r="C255" s="1272">
        <v>4500</v>
      </c>
      <c r="D255" s="971" t="s">
        <v>452</v>
      </c>
      <c r="E255" s="971" t="s">
        <v>1692</v>
      </c>
      <c r="F255" s="971" t="s">
        <v>605</v>
      </c>
      <c r="G255" s="971" t="s">
        <v>5043</v>
      </c>
      <c r="H255" s="971" t="s">
        <v>684</v>
      </c>
      <c r="I255" s="1273" t="s">
        <v>7592</v>
      </c>
      <c r="J255" s="971" t="s">
        <v>239</v>
      </c>
      <c r="K255" s="971" t="s">
        <v>1768</v>
      </c>
      <c r="L255" s="971" t="s">
        <v>3420</v>
      </c>
      <c r="M255" s="971" t="s">
        <v>1768</v>
      </c>
      <c r="N255" s="971" t="s">
        <v>179</v>
      </c>
      <c r="O255" s="971" t="s">
        <v>1769</v>
      </c>
      <c r="P255" s="971" t="s">
        <v>7307</v>
      </c>
      <c r="Q255" s="971" t="s">
        <v>7308</v>
      </c>
      <c r="R255" s="971" t="s">
        <v>5147</v>
      </c>
      <c r="S255" s="1274">
        <v>1</v>
      </c>
      <c r="T255" s="971" t="s">
        <v>242</v>
      </c>
      <c r="U255" s="1275">
        <v>8.1</v>
      </c>
      <c r="V255" s="1275">
        <v>106.5</v>
      </c>
      <c r="W255" s="1275">
        <v>809.29838571428581</v>
      </c>
      <c r="X255" s="1275">
        <v>1065</v>
      </c>
      <c r="Y255" s="1275">
        <v>1980.7983857142858</v>
      </c>
      <c r="Z255" s="1129">
        <v>8.1</v>
      </c>
      <c r="AA255" s="1129">
        <v>106.5</v>
      </c>
      <c r="AB255" s="1129">
        <v>809.29838571428581</v>
      </c>
      <c r="AC255" s="1129">
        <v>1065</v>
      </c>
      <c r="AD255" s="1098">
        <v>1980.7983857142858</v>
      </c>
      <c r="AE255" s="1237">
        <v>0.5</v>
      </c>
      <c r="AF255" s="1133">
        <v>0.5</v>
      </c>
      <c r="AG255" s="1127">
        <v>1</v>
      </c>
      <c r="AH255" s="1127">
        <v>0</v>
      </c>
      <c r="AI255" s="1127">
        <v>0</v>
      </c>
      <c r="AJ255" s="1127">
        <v>1</v>
      </c>
      <c r="AK255" s="1129">
        <v>1980.7983857142858</v>
      </c>
      <c r="AL255" s="1129">
        <v>0</v>
      </c>
      <c r="AM255" s="1129">
        <v>0</v>
      </c>
      <c r="AN255" s="1129">
        <v>1980.7983857142858</v>
      </c>
      <c r="AO255" s="1129" t="s">
        <v>85</v>
      </c>
      <c r="AP255" s="1129" t="s">
        <v>96</v>
      </c>
      <c r="AQ255" s="1157">
        <v>2014</v>
      </c>
      <c r="AR255" s="1129" t="s">
        <v>87</v>
      </c>
      <c r="AS255" s="1127">
        <v>0.33333333333333331</v>
      </c>
      <c r="AT255" s="1127"/>
      <c r="AU255" s="1127">
        <v>0.33333333333333331</v>
      </c>
      <c r="AV255" s="1127"/>
      <c r="AW255" s="1127"/>
      <c r="AX255" s="1127"/>
      <c r="AY255" s="1127"/>
      <c r="AZ255" s="1127">
        <v>0.33333333333333331</v>
      </c>
      <c r="BA255" s="1129">
        <v>660.26612857142857</v>
      </c>
      <c r="BB255" s="1129">
        <v>0</v>
      </c>
      <c r="BC255" s="1129">
        <v>660.26612857142857</v>
      </c>
      <c r="BD255" s="1129">
        <v>0</v>
      </c>
      <c r="BE255" s="1129">
        <v>0</v>
      </c>
      <c r="BF255" s="1129">
        <v>0</v>
      </c>
      <c r="BG255" s="1129">
        <v>0</v>
      </c>
      <c r="BH255" s="1129">
        <v>660.26612857142857</v>
      </c>
      <c r="BI255" s="1981"/>
      <c r="BJ255" s="971"/>
      <c r="BK255" s="971"/>
      <c r="BL255" s="1246"/>
      <c r="BM255" s="1247" t="s">
        <v>1768</v>
      </c>
    </row>
    <row r="256" spans="1:65" s="1247" customFormat="1" ht="66" customHeight="1">
      <c r="A256" s="1272">
        <v>4000</v>
      </c>
      <c r="B256" s="971" t="s">
        <v>1316</v>
      </c>
      <c r="C256" s="1272">
        <v>4500</v>
      </c>
      <c r="D256" s="971" t="s">
        <v>452</v>
      </c>
      <c r="E256" s="971" t="s">
        <v>1692</v>
      </c>
      <c r="F256" s="971" t="s">
        <v>605</v>
      </c>
      <c r="G256" s="971" t="s">
        <v>5043</v>
      </c>
      <c r="H256" s="971" t="s">
        <v>684</v>
      </c>
      <c r="I256" s="1273" t="s">
        <v>7593</v>
      </c>
      <c r="J256" s="971" t="s">
        <v>686</v>
      </c>
      <c r="K256" s="971" t="s">
        <v>2123</v>
      </c>
      <c r="L256" s="971" t="s">
        <v>2124</v>
      </c>
      <c r="M256" s="971" t="s">
        <v>2123</v>
      </c>
      <c r="N256" s="971" t="s">
        <v>179</v>
      </c>
      <c r="O256" s="971" t="s">
        <v>2124</v>
      </c>
      <c r="P256" s="971" t="s">
        <v>7266</v>
      </c>
      <c r="Q256" s="971" t="s">
        <v>7587</v>
      </c>
      <c r="R256" s="971" t="s">
        <v>5149</v>
      </c>
      <c r="S256" s="1274">
        <v>1</v>
      </c>
      <c r="T256" s="971" t="s">
        <v>242</v>
      </c>
      <c r="U256" s="1275">
        <v>19.2</v>
      </c>
      <c r="V256" s="1275">
        <v>213</v>
      </c>
      <c r="W256" s="1275">
        <v>1918.3369142857146</v>
      </c>
      <c r="X256" s="1275">
        <v>2130</v>
      </c>
      <c r="Y256" s="1275">
        <v>4261.3369142857146</v>
      </c>
      <c r="Z256" s="1129">
        <v>19.2</v>
      </c>
      <c r="AA256" s="1129">
        <v>213</v>
      </c>
      <c r="AB256" s="1129">
        <v>1918.3369142857146</v>
      </c>
      <c r="AC256" s="1129">
        <v>2130</v>
      </c>
      <c r="AD256" s="1098">
        <v>4261.3369142857146</v>
      </c>
      <c r="AE256" s="1237">
        <v>1</v>
      </c>
      <c r="AF256" s="1133">
        <v>1</v>
      </c>
      <c r="AG256" s="1127">
        <v>1</v>
      </c>
      <c r="AH256" s="1127">
        <v>0</v>
      </c>
      <c r="AI256" s="1127">
        <v>0</v>
      </c>
      <c r="AJ256" s="1127">
        <v>1</v>
      </c>
      <c r="AK256" s="1129">
        <v>4261.3369142857146</v>
      </c>
      <c r="AL256" s="1129">
        <v>0</v>
      </c>
      <c r="AM256" s="1129">
        <v>0</v>
      </c>
      <c r="AN256" s="1129">
        <v>4261.3369142857146</v>
      </c>
      <c r="AO256" s="1129" t="s">
        <v>85</v>
      </c>
      <c r="AP256" s="1129" t="s">
        <v>96</v>
      </c>
      <c r="AQ256" s="1157">
        <v>2014</v>
      </c>
      <c r="AR256" s="1129" t="s">
        <v>87</v>
      </c>
      <c r="AS256" s="1127">
        <v>0.33333333333333331</v>
      </c>
      <c r="AT256" s="1127"/>
      <c r="AU256" s="1127">
        <v>0.33333333333333331</v>
      </c>
      <c r="AV256" s="1127"/>
      <c r="AW256" s="1127"/>
      <c r="AX256" s="1127"/>
      <c r="AY256" s="1127"/>
      <c r="AZ256" s="1127">
        <v>0.33333333333333331</v>
      </c>
      <c r="BA256" s="1129">
        <v>1420.4456380952381</v>
      </c>
      <c r="BB256" s="1129">
        <v>0</v>
      </c>
      <c r="BC256" s="1129">
        <v>1420.4456380952381</v>
      </c>
      <c r="BD256" s="1129">
        <v>0</v>
      </c>
      <c r="BE256" s="1129">
        <v>0</v>
      </c>
      <c r="BF256" s="1129">
        <v>0</v>
      </c>
      <c r="BG256" s="1129">
        <v>0</v>
      </c>
      <c r="BH256" s="1129">
        <v>1420.4456380952381</v>
      </c>
      <c r="BI256" s="1981"/>
      <c r="BJ256" s="971"/>
      <c r="BK256" s="971"/>
      <c r="BL256" s="1246"/>
      <c r="BM256" s="1247" t="s">
        <v>2123</v>
      </c>
    </row>
    <row r="257" spans="1:65" s="1247" customFormat="1" ht="49.5" customHeight="1">
      <c r="A257" s="1272">
        <v>4000</v>
      </c>
      <c r="B257" s="971" t="s">
        <v>1316</v>
      </c>
      <c r="C257" s="1272">
        <v>4500</v>
      </c>
      <c r="D257" s="971" t="s">
        <v>452</v>
      </c>
      <c r="E257" s="971" t="s">
        <v>1692</v>
      </c>
      <c r="F257" s="971" t="s">
        <v>605</v>
      </c>
      <c r="G257" s="971" t="s">
        <v>5043</v>
      </c>
      <c r="H257" s="971" t="s">
        <v>684</v>
      </c>
      <c r="I257" s="1273" t="s">
        <v>7594</v>
      </c>
      <c r="J257" s="971" t="s">
        <v>239</v>
      </c>
      <c r="K257" s="971" t="s">
        <v>1768</v>
      </c>
      <c r="L257" s="971" t="s">
        <v>3420</v>
      </c>
      <c r="M257" s="971" t="s">
        <v>1768</v>
      </c>
      <c r="N257" s="971" t="s">
        <v>179</v>
      </c>
      <c r="O257" s="971" t="s">
        <v>1769</v>
      </c>
      <c r="P257" s="971" t="s">
        <v>7307</v>
      </c>
      <c r="Q257" s="971" t="s">
        <v>7308</v>
      </c>
      <c r="R257" s="971" t="s">
        <v>5150</v>
      </c>
      <c r="S257" s="1274">
        <v>1</v>
      </c>
      <c r="T257" s="971" t="s">
        <v>242</v>
      </c>
      <c r="U257" s="1275">
        <v>8.1</v>
      </c>
      <c r="V257" s="1275">
        <v>106.5</v>
      </c>
      <c r="W257" s="1275">
        <v>809.29838571428581</v>
      </c>
      <c r="X257" s="1275">
        <v>1065</v>
      </c>
      <c r="Y257" s="1275">
        <v>1980.7983857142858</v>
      </c>
      <c r="Z257" s="1129">
        <v>8.1</v>
      </c>
      <c r="AA257" s="1129">
        <v>106.5</v>
      </c>
      <c r="AB257" s="1129">
        <v>809.29838571428581</v>
      </c>
      <c r="AC257" s="1129">
        <v>1065</v>
      </c>
      <c r="AD257" s="1098">
        <v>1980.7983857142858</v>
      </c>
      <c r="AE257" s="1237">
        <v>0.5</v>
      </c>
      <c r="AF257" s="1133">
        <v>0.5</v>
      </c>
      <c r="AG257" s="1127">
        <v>1</v>
      </c>
      <c r="AH257" s="1127">
        <v>0</v>
      </c>
      <c r="AI257" s="1127">
        <v>0</v>
      </c>
      <c r="AJ257" s="1127">
        <v>1</v>
      </c>
      <c r="AK257" s="1129">
        <v>1980.7983857142858</v>
      </c>
      <c r="AL257" s="1129">
        <v>0</v>
      </c>
      <c r="AM257" s="1129">
        <v>0</v>
      </c>
      <c r="AN257" s="1129">
        <v>1980.7983857142858</v>
      </c>
      <c r="AO257" s="1129" t="s">
        <v>85</v>
      </c>
      <c r="AP257" s="1129" t="s">
        <v>96</v>
      </c>
      <c r="AQ257" s="1157">
        <v>2014</v>
      </c>
      <c r="AR257" s="1129" t="s">
        <v>87</v>
      </c>
      <c r="AS257" s="1127">
        <v>0.33333333333333331</v>
      </c>
      <c r="AT257" s="1127"/>
      <c r="AU257" s="1127">
        <v>0.33333333333333331</v>
      </c>
      <c r="AV257" s="1127"/>
      <c r="AW257" s="1127"/>
      <c r="AX257" s="1127"/>
      <c r="AY257" s="1127"/>
      <c r="AZ257" s="1127">
        <v>0.33333333333333331</v>
      </c>
      <c r="BA257" s="1129">
        <v>660.26612857142857</v>
      </c>
      <c r="BB257" s="1129">
        <v>0</v>
      </c>
      <c r="BC257" s="1129">
        <v>660.26612857142857</v>
      </c>
      <c r="BD257" s="1129">
        <v>0</v>
      </c>
      <c r="BE257" s="1129">
        <v>0</v>
      </c>
      <c r="BF257" s="1129">
        <v>0</v>
      </c>
      <c r="BG257" s="1129">
        <v>0</v>
      </c>
      <c r="BH257" s="1129">
        <v>660.26612857142857</v>
      </c>
      <c r="BI257" s="1981"/>
      <c r="BJ257" s="971"/>
      <c r="BK257" s="971"/>
      <c r="BL257" s="1246"/>
      <c r="BM257" s="1247" t="s">
        <v>1768</v>
      </c>
    </row>
    <row r="258" spans="1:65" s="1247" customFormat="1" ht="49.5" customHeight="1">
      <c r="A258" s="1272">
        <v>4000</v>
      </c>
      <c r="B258" s="971" t="s">
        <v>1316</v>
      </c>
      <c r="C258" s="1272">
        <v>4500</v>
      </c>
      <c r="D258" s="971" t="s">
        <v>452</v>
      </c>
      <c r="E258" s="971" t="s">
        <v>1692</v>
      </c>
      <c r="F258" s="971" t="s">
        <v>605</v>
      </c>
      <c r="G258" s="971" t="s">
        <v>5043</v>
      </c>
      <c r="H258" s="971" t="s">
        <v>684</v>
      </c>
      <c r="I258" s="1273" t="s">
        <v>7595</v>
      </c>
      <c r="J258" s="971" t="s">
        <v>686</v>
      </c>
      <c r="K258" s="971" t="s">
        <v>2123</v>
      </c>
      <c r="L258" s="971" t="s">
        <v>2124</v>
      </c>
      <c r="M258" s="971" t="s">
        <v>2123</v>
      </c>
      <c r="N258" s="971" t="s">
        <v>179</v>
      </c>
      <c r="O258" s="971" t="s">
        <v>2124</v>
      </c>
      <c r="P258" s="971" t="s">
        <v>7266</v>
      </c>
      <c r="Q258" s="971" t="s">
        <v>7312</v>
      </c>
      <c r="R258" s="971" t="s">
        <v>5152</v>
      </c>
      <c r="S258" s="1274">
        <v>1</v>
      </c>
      <c r="T258" s="971" t="s">
        <v>242</v>
      </c>
      <c r="U258" s="1275">
        <v>19.2</v>
      </c>
      <c r="V258" s="1275">
        <v>213</v>
      </c>
      <c r="W258" s="1275">
        <v>1918.3369142857146</v>
      </c>
      <c r="X258" s="1275">
        <v>2130</v>
      </c>
      <c r="Y258" s="1275">
        <v>4261.3369142857146</v>
      </c>
      <c r="Z258" s="1129">
        <v>19.2</v>
      </c>
      <c r="AA258" s="1129">
        <v>213</v>
      </c>
      <c r="AB258" s="1129">
        <v>1918.3369142857146</v>
      </c>
      <c r="AC258" s="1129">
        <v>2130</v>
      </c>
      <c r="AD258" s="1098">
        <v>4261.3369142857146</v>
      </c>
      <c r="AE258" s="1237">
        <v>1</v>
      </c>
      <c r="AF258" s="1133">
        <v>1</v>
      </c>
      <c r="AG258" s="1127">
        <v>1</v>
      </c>
      <c r="AH258" s="1127">
        <v>0</v>
      </c>
      <c r="AI258" s="1127">
        <v>0</v>
      </c>
      <c r="AJ258" s="1127">
        <v>1</v>
      </c>
      <c r="AK258" s="1129">
        <v>4261.3369142857146</v>
      </c>
      <c r="AL258" s="1129">
        <v>0</v>
      </c>
      <c r="AM258" s="1129">
        <v>0</v>
      </c>
      <c r="AN258" s="1129">
        <v>4261.3369142857146</v>
      </c>
      <c r="AO258" s="1129" t="s">
        <v>85</v>
      </c>
      <c r="AP258" s="1129" t="s">
        <v>96</v>
      </c>
      <c r="AQ258" s="1157">
        <v>2014</v>
      </c>
      <c r="AR258" s="1129" t="s">
        <v>87</v>
      </c>
      <c r="AS258" s="1127">
        <v>0.33333333333333331</v>
      </c>
      <c r="AT258" s="1127"/>
      <c r="AU258" s="1127">
        <v>0.33333333333333331</v>
      </c>
      <c r="AV258" s="1127"/>
      <c r="AW258" s="1127"/>
      <c r="AX258" s="1127"/>
      <c r="AY258" s="1127"/>
      <c r="AZ258" s="1127">
        <v>0.33333333333333331</v>
      </c>
      <c r="BA258" s="1129">
        <v>1420.4456380952381</v>
      </c>
      <c r="BB258" s="1129">
        <v>0</v>
      </c>
      <c r="BC258" s="1129">
        <v>1420.4456380952381</v>
      </c>
      <c r="BD258" s="1129">
        <v>0</v>
      </c>
      <c r="BE258" s="1129">
        <v>0</v>
      </c>
      <c r="BF258" s="1129">
        <v>0</v>
      </c>
      <c r="BG258" s="1129">
        <v>0</v>
      </c>
      <c r="BH258" s="1129">
        <v>1420.4456380952381</v>
      </c>
      <c r="BI258" s="1981"/>
      <c r="BJ258" s="971"/>
      <c r="BK258" s="971"/>
      <c r="BL258" s="1246"/>
      <c r="BM258" s="1247" t="s">
        <v>2123</v>
      </c>
    </row>
    <row r="259" spans="1:65" s="1247" customFormat="1" ht="49.5" customHeight="1">
      <c r="A259" s="1272">
        <v>4000</v>
      </c>
      <c r="B259" s="971" t="s">
        <v>1316</v>
      </c>
      <c r="C259" s="1272">
        <v>4500</v>
      </c>
      <c r="D259" s="971" t="s">
        <v>452</v>
      </c>
      <c r="E259" s="971" t="s">
        <v>1692</v>
      </c>
      <c r="F259" s="971" t="s">
        <v>605</v>
      </c>
      <c r="G259" s="971" t="s">
        <v>5043</v>
      </c>
      <c r="H259" s="971" t="s">
        <v>684</v>
      </c>
      <c r="I259" s="1273" t="s">
        <v>7596</v>
      </c>
      <c r="J259" s="971" t="s">
        <v>686</v>
      </c>
      <c r="K259" s="971" t="s">
        <v>2123</v>
      </c>
      <c r="L259" s="971" t="s">
        <v>2124</v>
      </c>
      <c r="M259" s="971" t="s">
        <v>2123</v>
      </c>
      <c r="N259" s="971" t="s">
        <v>179</v>
      </c>
      <c r="O259" s="971" t="s">
        <v>2124</v>
      </c>
      <c r="P259" s="971" t="s">
        <v>7266</v>
      </c>
      <c r="Q259" s="971" t="s">
        <v>7314</v>
      </c>
      <c r="R259" s="971" t="s">
        <v>5153</v>
      </c>
      <c r="S259" s="1274">
        <v>1</v>
      </c>
      <c r="T259" s="971" t="s">
        <v>242</v>
      </c>
      <c r="U259" s="1275">
        <v>19.2</v>
      </c>
      <c r="V259" s="1275">
        <v>213</v>
      </c>
      <c r="W259" s="1275">
        <v>1918.3369142857146</v>
      </c>
      <c r="X259" s="1275">
        <v>2130</v>
      </c>
      <c r="Y259" s="1275">
        <v>4261.3369142857146</v>
      </c>
      <c r="Z259" s="1129">
        <v>19.2</v>
      </c>
      <c r="AA259" s="1129">
        <v>213</v>
      </c>
      <c r="AB259" s="1129">
        <v>1918.3369142857146</v>
      </c>
      <c r="AC259" s="1129">
        <v>2130</v>
      </c>
      <c r="AD259" s="1098">
        <v>4261.3369142857146</v>
      </c>
      <c r="AE259" s="1237">
        <v>1</v>
      </c>
      <c r="AF259" s="1133">
        <v>1</v>
      </c>
      <c r="AG259" s="1127">
        <v>1</v>
      </c>
      <c r="AH259" s="1127">
        <v>0</v>
      </c>
      <c r="AI259" s="1127">
        <v>0</v>
      </c>
      <c r="AJ259" s="1127">
        <v>1</v>
      </c>
      <c r="AK259" s="1129">
        <v>4261.3369142857146</v>
      </c>
      <c r="AL259" s="1129">
        <v>0</v>
      </c>
      <c r="AM259" s="1129">
        <v>0</v>
      </c>
      <c r="AN259" s="1129">
        <v>4261.3369142857146</v>
      </c>
      <c r="AO259" s="1129" t="s">
        <v>85</v>
      </c>
      <c r="AP259" s="1129" t="s">
        <v>96</v>
      </c>
      <c r="AQ259" s="1157">
        <v>2014</v>
      </c>
      <c r="AR259" s="1129" t="s">
        <v>87</v>
      </c>
      <c r="AS259" s="1127">
        <v>0.33333333333333331</v>
      </c>
      <c r="AT259" s="1127"/>
      <c r="AU259" s="1127">
        <v>0.33333333333333331</v>
      </c>
      <c r="AV259" s="1127"/>
      <c r="AW259" s="1127"/>
      <c r="AX259" s="1127"/>
      <c r="AY259" s="1127"/>
      <c r="AZ259" s="1127">
        <v>0.33333333333333331</v>
      </c>
      <c r="BA259" s="1129">
        <v>1420.4456380952381</v>
      </c>
      <c r="BB259" s="1129">
        <v>0</v>
      </c>
      <c r="BC259" s="1129">
        <v>1420.4456380952381</v>
      </c>
      <c r="BD259" s="1129">
        <v>0</v>
      </c>
      <c r="BE259" s="1129">
        <v>0</v>
      </c>
      <c r="BF259" s="1129">
        <v>0</v>
      </c>
      <c r="BG259" s="1129">
        <v>0</v>
      </c>
      <c r="BH259" s="1129">
        <v>1420.4456380952381</v>
      </c>
      <c r="BI259" s="1981"/>
      <c r="BJ259" s="971"/>
      <c r="BK259" s="971"/>
      <c r="BL259" s="1246"/>
      <c r="BM259" s="1247" t="s">
        <v>2123</v>
      </c>
    </row>
    <row r="260" spans="1:65" s="1247" customFormat="1" ht="49.5" customHeight="1">
      <c r="A260" s="1272">
        <v>4000</v>
      </c>
      <c r="B260" s="971" t="s">
        <v>1316</v>
      </c>
      <c r="C260" s="1272">
        <v>4500</v>
      </c>
      <c r="D260" s="971" t="s">
        <v>452</v>
      </c>
      <c r="E260" s="971" t="s">
        <v>1692</v>
      </c>
      <c r="F260" s="971" t="s">
        <v>605</v>
      </c>
      <c r="G260" s="971" t="s">
        <v>5043</v>
      </c>
      <c r="H260" s="971" t="s">
        <v>684</v>
      </c>
      <c r="I260" s="1273" t="s">
        <v>7597</v>
      </c>
      <c r="J260" s="971" t="s">
        <v>686</v>
      </c>
      <c r="K260" s="971" t="s">
        <v>2123</v>
      </c>
      <c r="L260" s="971" t="s">
        <v>2124</v>
      </c>
      <c r="M260" s="971" t="s">
        <v>2123</v>
      </c>
      <c r="N260" s="971" t="s">
        <v>179</v>
      </c>
      <c r="O260" s="971" t="s">
        <v>2124</v>
      </c>
      <c r="P260" s="971" t="s">
        <v>7266</v>
      </c>
      <c r="Q260" s="971" t="s">
        <v>7598</v>
      </c>
      <c r="R260" s="971" t="s">
        <v>5154</v>
      </c>
      <c r="S260" s="1274">
        <v>1</v>
      </c>
      <c r="T260" s="971" t="s">
        <v>242</v>
      </c>
      <c r="U260" s="1275">
        <v>19.2</v>
      </c>
      <c r="V260" s="1275">
        <v>213</v>
      </c>
      <c r="W260" s="1275">
        <v>1918.3369142857146</v>
      </c>
      <c r="X260" s="1275">
        <v>2130</v>
      </c>
      <c r="Y260" s="1275">
        <v>4261.3369142857146</v>
      </c>
      <c r="Z260" s="1129">
        <v>19.2</v>
      </c>
      <c r="AA260" s="1129">
        <v>213</v>
      </c>
      <c r="AB260" s="1129">
        <v>1918.3369142857146</v>
      </c>
      <c r="AC260" s="1129">
        <v>2130</v>
      </c>
      <c r="AD260" s="1098">
        <v>4261.3369142857146</v>
      </c>
      <c r="AE260" s="1237">
        <v>1</v>
      </c>
      <c r="AF260" s="1133">
        <v>1</v>
      </c>
      <c r="AG260" s="1127">
        <v>1</v>
      </c>
      <c r="AH260" s="1127">
        <v>0</v>
      </c>
      <c r="AI260" s="1127">
        <v>0</v>
      </c>
      <c r="AJ260" s="1127">
        <v>1</v>
      </c>
      <c r="AK260" s="1129">
        <v>4261.3369142857146</v>
      </c>
      <c r="AL260" s="1129">
        <v>0</v>
      </c>
      <c r="AM260" s="1129">
        <v>0</v>
      </c>
      <c r="AN260" s="1129">
        <v>4261.3369142857146</v>
      </c>
      <c r="AO260" s="1129" t="s">
        <v>85</v>
      </c>
      <c r="AP260" s="1129" t="s">
        <v>96</v>
      </c>
      <c r="AQ260" s="1157">
        <v>2014</v>
      </c>
      <c r="AR260" s="1129" t="s">
        <v>87</v>
      </c>
      <c r="AS260" s="1127">
        <v>0.33333333333333331</v>
      </c>
      <c r="AT260" s="1127"/>
      <c r="AU260" s="1127">
        <v>0.33333333333333331</v>
      </c>
      <c r="AV260" s="1127"/>
      <c r="AW260" s="1127"/>
      <c r="AX260" s="1127"/>
      <c r="AY260" s="1127"/>
      <c r="AZ260" s="1127">
        <v>0.33333333333333331</v>
      </c>
      <c r="BA260" s="1129">
        <v>1420.4456380952381</v>
      </c>
      <c r="BB260" s="1129">
        <v>0</v>
      </c>
      <c r="BC260" s="1129">
        <v>1420.4456380952381</v>
      </c>
      <c r="BD260" s="1129">
        <v>0</v>
      </c>
      <c r="BE260" s="1129">
        <v>0</v>
      </c>
      <c r="BF260" s="1129">
        <v>0</v>
      </c>
      <c r="BG260" s="1129">
        <v>0</v>
      </c>
      <c r="BH260" s="1129">
        <v>1420.4456380952381</v>
      </c>
      <c r="BI260" s="1981"/>
      <c r="BJ260" s="971"/>
      <c r="BK260" s="971"/>
      <c r="BL260" s="1246"/>
      <c r="BM260" s="1247" t="s">
        <v>2123</v>
      </c>
    </row>
    <row r="261" spans="1:65" s="1247" customFormat="1" ht="115.5" customHeight="1">
      <c r="A261" s="1272">
        <v>4000</v>
      </c>
      <c r="B261" s="971" t="s">
        <v>1316</v>
      </c>
      <c r="C261" s="1272">
        <v>4500</v>
      </c>
      <c r="D261" s="971" t="s">
        <v>452</v>
      </c>
      <c r="E261" s="971" t="s">
        <v>1692</v>
      </c>
      <c r="F261" s="971" t="s">
        <v>605</v>
      </c>
      <c r="G261" s="971" t="s">
        <v>5043</v>
      </c>
      <c r="H261" s="971" t="s">
        <v>684</v>
      </c>
      <c r="I261" s="1273" t="s">
        <v>7599</v>
      </c>
      <c r="J261" s="971" t="s">
        <v>686</v>
      </c>
      <c r="K261" s="971" t="s">
        <v>1768</v>
      </c>
      <c r="L261" s="971" t="s">
        <v>3420</v>
      </c>
      <c r="M261" s="971" t="s">
        <v>1768</v>
      </c>
      <c r="N261" s="971" t="s">
        <v>179</v>
      </c>
      <c r="O261" s="971" t="s">
        <v>1769</v>
      </c>
      <c r="P261" s="971"/>
      <c r="Q261" s="971" t="s">
        <v>7600</v>
      </c>
      <c r="R261" s="971" t="s">
        <v>5156</v>
      </c>
      <c r="S261" s="1274">
        <v>1</v>
      </c>
      <c r="T261" s="971" t="s">
        <v>242</v>
      </c>
      <c r="U261" s="1275">
        <v>8.1</v>
      </c>
      <c r="V261" s="1275">
        <v>106.5</v>
      </c>
      <c r="W261" s="1275">
        <v>809.29838571428581</v>
      </c>
      <c r="X261" s="1275">
        <v>1065</v>
      </c>
      <c r="Y261" s="1275">
        <v>1980.7983857142858</v>
      </c>
      <c r="Z261" s="1129">
        <v>8.1</v>
      </c>
      <c r="AA261" s="1129">
        <v>106.5</v>
      </c>
      <c r="AB261" s="1129">
        <v>809.29838571428581</v>
      </c>
      <c r="AC261" s="1129">
        <v>1065</v>
      </c>
      <c r="AD261" s="1098">
        <v>1980.7983857142858</v>
      </c>
      <c r="AE261" s="1237">
        <v>0.5</v>
      </c>
      <c r="AF261" s="1133">
        <v>0.5</v>
      </c>
      <c r="AG261" s="1127">
        <v>1</v>
      </c>
      <c r="AH261" s="1127">
        <v>0</v>
      </c>
      <c r="AI261" s="1127">
        <v>0</v>
      </c>
      <c r="AJ261" s="1127">
        <v>1</v>
      </c>
      <c r="AK261" s="1129">
        <v>1980.7983857142858</v>
      </c>
      <c r="AL261" s="1129">
        <v>0</v>
      </c>
      <c r="AM261" s="1129">
        <v>0</v>
      </c>
      <c r="AN261" s="1129">
        <v>1980.7983857142858</v>
      </c>
      <c r="AO261" s="1129" t="s">
        <v>85</v>
      </c>
      <c r="AP261" s="1129" t="s">
        <v>96</v>
      </c>
      <c r="AQ261" s="1157">
        <v>2014</v>
      </c>
      <c r="AR261" s="1129" t="s">
        <v>87</v>
      </c>
      <c r="AS261" s="1127">
        <v>0.33333333333333331</v>
      </c>
      <c r="AT261" s="1127"/>
      <c r="AU261" s="1127">
        <v>0.33333333333333331</v>
      </c>
      <c r="AV261" s="1127"/>
      <c r="AW261" s="1127"/>
      <c r="AX261" s="1127"/>
      <c r="AY261" s="1127"/>
      <c r="AZ261" s="1127">
        <v>0.33333333333333331</v>
      </c>
      <c r="BA261" s="1129">
        <v>660.26612857142857</v>
      </c>
      <c r="BB261" s="1129">
        <v>0</v>
      </c>
      <c r="BC261" s="1129">
        <v>660.26612857142857</v>
      </c>
      <c r="BD261" s="1129">
        <v>0</v>
      </c>
      <c r="BE261" s="1129">
        <v>0</v>
      </c>
      <c r="BF261" s="1129">
        <v>0</v>
      </c>
      <c r="BG261" s="1129">
        <v>0</v>
      </c>
      <c r="BH261" s="1129">
        <v>660.26612857142857</v>
      </c>
      <c r="BI261" s="1981"/>
      <c r="BJ261" s="971"/>
      <c r="BK261" s="971"/>
      <c r="BL261" s="1246"/>
      <c r="BM261" s="1247" t="s">
        <v>1768</v>
      </c>
    </row>
    <row r="262" spans="1:65" s="1247" customFormat="1" ht="49.5" customHeight="1">
      <c r="A262" s="1272">
        <v>4000</v>
      </c>
      <c r="B262" s="971" t="s">
        <v>1316</v>
      </c>
      <c r="C262" s="1272">
        <v>4500</v>
      </c>
      <c r="D262" s="971" t="s">
        <v>452</v>
      </c>
      <c r="E262" s="971" t="s">
        <v>1692</v>
      </c>
      <c r="F262" s="971" t="s">
        <v>605</v>
      </c>
      <c r="G262" s="971" t="s">
        <v>5043</v>
      </c>
      <c r="H262" s="971" t="s">
        <v>684</v>
      </c>
      <c r="I262" s="1273" t="s">
        <v>1778</v>
      </c>
      <c r="J262" s="971" t="s">
        <v>686</v>
      </c>
      <c r="K262" s="971" t="s">
        <v>687</v>
      </c>
      <c r="L262" s="971" t="s">
        <v>2915</v>
      </c>
      <c r="M262" s="971" t="s">
        <v>811</v>
      </c>
      <c r="N262" s="971" t="s">
        <v>179</v>
      </c>
      <c r="O262" s="971" t="s">
        <v>688</v>
      </c>
      <c r="P262" s="971"/>
      <c r="Q262" s="971" t="s">
        <v>1779</v>
      </c>
      <c r="R262" s="971" t="s">
        <v>1780</v>
      </c>
      <c r="S262" s="1274">
        <v>1</v>
      </c>
      <c r="T262" s="971" t="s">
        <v>242</v>
      </c>
      <c r="U262" s="1275">
        <v>2</v>
      </c>
      <c r="V262" s="1275">
        <v>30</v>
      </c>
      <c r="W262" s="1275">
        <v>199.82676190476192</v>
      </c>
      <c r="X262" s="1275">
        <v>300</v>
      </c>
      <c r="Y262" s="1275">
        <v>529.82676190476195</v>
      </c>
      <c r="Z262" s="1129">
        <v>2</v>
      </c>
      <c r="AA262" s="1129">
        <v>30</v>
      </c>
      <c r="AB262" s="1129">
        <v>199.82676190476192</v>
      </c>
      <c r="AC262" s="1129">
        <v>300</v>
      </c>
      <c r="AD262" s="1098">
        <v>529.82676190476195</v>
      </c>
      <c r="AE262" s="1237">
        <v>0.5</v>
      </c>
      <c r="AF262" s="1133">
        <v>0.5</v>
      </c>
      <c r="AG262" s="1127">
        <v>1</v>
      </c>
      <c r="AH262" s="1127">
        <v>0</v>
      </c>
      <c r="AI262" s="1127">
        <v>0</v>
      </c>
      <c r="AJ262" s="1127">
        <v>1</v>
      </c>
      <c r="AK262" s="1129">
        <v>529.82676190476195</v>
      </c>
      <c r="AL262" s="1129">
        <v>0</v>
      </c>
      <c r="AM262" s="1129">
        <v>0</v>
      </c>
      <c r="AN262" s="1129">
        <v>529.82676190476195</v>
      </c>
      <c r="AO262" s="1129" t="s">
        <v>85</v>
      </c>
      <c r="AP262" s="1129" t="s">
        <v>96</v>
      </c>
      <c r="AQ262" s="1157">
        <v>2014</v>
      </c>
      <c r="AR262" s="1129" t="s">
        <v>87</v>
      </c>
      <c r="AS262" s="1127">
        <v>0.33333333333333331</v>
      </c>
      <c r="AT262" s="1127">
        <v>0.33333333333333331</v>
      </c>
      <c r="AU262" s="1127">
        <v>0.33333333333333331</v>
      </c>
      <c r="AV262" s="1127"/>
      <c r="AW262" s="1127"/>
      <c r="AX262" s="1127"/>
      <c r="AY262" s="1127"/>
      <c r="AZ262" s="1127"/>
      <c r="BA262" s="1129">
        <v>176.60892063492065</v>
      </c>
      <c r="BB262" s="1129">
        <v>176.60892063492065</v>
      </c>
      <c r="BC262" s="1129">
        <v>176.60892063492065</v>
      </c>
      <c r="BD262" s="1129">
        <v>0</v>
      </c>
      <c r="BE262" s="1129">
        <v>0</v>
      </c>
      <c r="BF262" s="1129">
        <v>0</v>
      </c>
      <c r="BG262" s="1129">
        <v>0</v>
      </c>
      <c r="BH262" s="1129">
        <v>0</v>
      </c>
      <c r="BI262" s="1981"/>
      <c r="BJ262" s="971"/>
      <c r="BK262" s="971"/>
      <c r="BL262" s="1246"/>
      <c r="BM262" s="1247" t="s">
        <v>687</v>
      </c>
    </row>
    <row r="263" spans="1:65" s="1247" customFormat="1" ht="49.5" customHeight="1">
      <c r="A263" s="1272">
        <v>4000</v>
      </c>
      <c r="B263" s="971" t="s">
        <v>1316</v>
      </c>
      <c r="C263" s="1272">
        <v>4500</v>
      </c>
      <c r="D263" s="971" t="s">
        <v>452</v>
      </c>
      <c r="E263" s="971" t="s">
        <v>1692</v>
      </c>
      <c r="F263" s="971" t="s">
        <v>605</v>
      </c>
      <c r="G263" s="971" t="s">
        <v>5043</v>
      </c>
      <c r="H263" s="971" t="s">
        <v>684</v>
      </c>
      <c r="I263" s="1273" t="s">
        <v>1781</v>
      </c>
      <c r="J263" s="971" t="s">
        <v>686</v>
      </c>
      <c r="K263" s="971" t="s">
        <v>687</v>
      </c>
      <c r="L263" s="971" t="s">
        <v>2915</v>
      </c>
      <c r="M263" s="971" t="s">
        <v>811</v>
      </c>
      <c r="N263" s="971" t="s">
        <v>179</v>
      </c>
      <c r="O263" s="971" t="s">
        <v>688</v>
      </c>
      <c r="P263" s="971"/>
      <c r="Q263" s="971" t="s">
        <v>1782</v>
      </c>
      <c r="R263" s="971" t="s">
        <v>1783</v>
      </c>
      <c r="S263" s="1274">
        <v>1</v>
      </c>
      <c r="T263" s="971" t="s">
        <v>242</v>
      </c>
      <c r="U263" s="1275">
        <v>2</v>
      </c>
      <c r="V263" s="1275">
        <v>30</v>
      </c>
      <c r="W263" s="1275">
        <v>199.82676190476192</v>
      </c>
      <c r="X263" s="1275">
        <v>300</v>
      </c>
      <c r="Y263" s="1275">
        <v>529.82676190476195</v>
      </c>
      <c r="Z263" s="1129">
        <v>2</v>
      </c>
      <c r="AA263" s="1129">
        <v>30</v>
      </c>
      <c r="AB263" s="1129">
        <v>199.82676190476192</v>
      </c>
      <c r="AC263" s="1129">
        <v>300</v>
      </c>
      <c r="AD263" s="1098">
        <v>529.82676190476195</v>
      </c>
      <c r="AE263" s="1237">
        <v>0.5</v>
      </c>
      <c r="AF263" s="1133">
        <v>0.5</v>
      </c>
      <c r="AG263" s="1127">
        <v>1</v>
      </c>
      <c r="AH263" s="1127">
        <v>0</v>
      </c>
      <c r="AI263" s="1127">
        <v>0</v>
      </c>
      <c r="AJ263" s="1127">
        <v>1</v>
      </c>
      <c r="AK263" s="1129">
        <v>529.82676190476195</v>
      </c>
      <c r="AL263" s="1129">
        <v>0</v>
      </c>
      <c r="AM263" s="1129">
        <v>0</v>
      </c>
      <c r="AN263" s="1129">
        <v>529.82676190476195</v>
      </c>
      <c r="AO263" s="1129" t="s">
        <v>85</v>
      </c>
      <c r="AP263" s="1129" t="s">
        <v>96</v>
      </c>
      <c r="AQ263" s="1157">
        <v>2014</v>
      </c>
      <c r="AR263" s="1129" t="s">
        <v>87</v>
      </c>
      <c r="AS263" s="1127">
        <v>0.33333333333333331</v>
      </c>
      <c r="AT263" s="1127">
        <v>0.33333333333333331</v>
      </c>
      <c r="AU263" s="1127">
        <v>0.33333333333333331</v>
      </c>
      <c r="AV263" s="1127"/>
      <c r="AW263" s="1127"/>
      <c r="AX263" s="1127"/>
      <c r="AY263" s="1127"/>
      <c r="AZ263" s="1127"/>
      <c r="BA263" s="1129">
        <v>176.60892063492065</v>
      </c>
      <c r="BB263" s="1129">
        <v>176.60892063492065</v>
      </c>
      <c r="BC263" s="1129">
        <v>176.60892063492065</v>
      </c>
      <c r="BD263" s="1129">
        <v>0</v>
      </c>
      <c r="BE263" s="1129">
        <v>0</v>
      </c>
      <c r="BF263" s="1129">
        <v>0</v>
      </c>
      <c r="BG263" s="1129">
        <v>0</v>
      </c>
      <c r="BH263" s="1129">
        <v>0</v>
      </c>
      <c r="BI263" s="1981"/>
      <c r="BJ263" s="971"/>
      <c r="BK263" s="971"/>
      <c r="BL263" s="1246"/>
      <c r="BM263" s="1247" t="s">
        <v>687</v>
      </c>
    </row>
    <row r="264" spans="1:65" s="1247" customFormat="1" ht="49.5" customHeight="1">
      <c r="A264" s="1272">
        <v>4000</v>
      </c>
      <c r="B264" s="971" t="s">
        <v>1316</v>
      </c>
      <c r="C264" s="1272">
        <v>4500</v>
      </c>
      <c r="D264" s="971" t="s">
        <v>452</v>
      </c>
      <c r="E264" s="971" t="s">
        <v>1692</v>
      </c>
      <c r="F264" s="971" t="s">
        <v>605</v>
      </c>
      <c r="G264" s="971" t="s">
        <v>5043</v>
      </c>
      <c r="H264" s="971" t="s">
        <v>684</v>
      </c>
      <c r="I264" s="1273" t="s">
        <v>1784</v>
      </c>
      <c r="J264" s="971" t="s">
        <v>686</v>
      </c>
      <c r="K264" s="971" t="s">
        <v>687</v>
      </c>
      <c r="L264" s="971" t="s">
        <v>2915</v>
      </c>
      <c r="M264" s="971" t="s">
        <v>811</v>
      </c>
      <c r="N264" s="971" t="s">
        <v>179</v>
      </c>
      <c r="O264" s="971" t="s">
        <v>688</v>
      </c>
      <c r="P264" s="971"/>
      <c r="Q264" s="971" t="s">
        <v>1782</v>
      </c>
      <c r="R264" s="971" t="s">
        <v>1785</v>
      </c>
      <c r="S264" s="1274">
        <v>1</v>
      </c>
      <c r="T264" s="971" t="s">
        <v>242</v>
      </c>
      <c r="U264" s="1275">
        <v>2</v>
      </c>
      <c r="V264" s="1275">
        <v>30</v>
      </c>
      <c r="W264" s="1275">
        <v>199.82676190476192</v>
      </c>
      <c r="X264" s="1275">
        <v>300</v>
      </c>
      <c r="Y264" s="1275">
        <v>529.82676190476195</v>
      </c>
      <c r="Z264" s="1129">
        <v>2</v>
      </c>
      <c r="AA264" s="1129">
        <v>30</v>
      </c>
      <c r="AB264" s="1129">
        <v>199.82676190476192</v>
      </c>
      <c r="AC264" s="1129">
        <v>300</v>
      </c>
      <c r="AD264" s="1098">
        <v>529.82676190476195</v>
      </c>
      <c r="AE264" s="1237">
        <v>0.5</v>
      </c>
      <c r="AF264" s="1133">
        <v>0.5</v>
      </c>
      <c r="AG264" s="1127">
        <v>1</v>
      </c>
      <c r="AH264" s="1127">
        <v>0</v>
      </c>
      <c r="AI264" s="1127">
        <v>0</v>
      </c>
      <c r="AJ264" s="1127">
        <v>1</v>
      </c>
      <c r="AK264" s="1129">
        <v>529.82676190476195</v>
      </c>
      <c r="AL264" s="1129">
        <v>0</v>
      </c>
      <c r="AM264" s="1129">
        <v>0</v>
      </c>
      <c r="AN264" s="1129">
        <v>529.82676190476195</v>
      </c>
      <c r="AO264" s="1129" t="s">
        <v>85</v>
      </c>
      <c r="AP264" s="1129" t="s">
        <v>96</v>
      </c>
      <c r="AQ264" s="1157">
        <v>2014</v>
      </c>
      <c r="AR264" s="1129" t="s">
        <v>87</v>
      </c>
      <c r="AS264" s="1127">
        <v>0.33333333333333331</v>
      </c>
      <c r="AT264" s="1127">
        <v>0.33333333333333331</v>
      </c>
      <c r="AU264" s="1127">
        <v>0.33333333333333331</v>
      </c>
      <c r="AV264" s="1127"/>
      <c r="AW264" s="1127"/>
      <c r="AX264" s="1127"/>
      <c r="AY264" s="1127"/>
      <c r="AZ264" s="1127"/>
      <c r="BA264" s="1129">
        <v>176.60892063492065</v>
      </c>
      <c r="BB264" s="1129">
        <v>176.60892063492065</v>
      </c>
      <c r="BC264" s="1129">
        <v>176.60892063492065</v>
      </c>
      <c r="BD264" s="1129">
        <v>0</v>
      </c>
      <c r="BE264" s="1129">
        <v>0</v>
      </c>
      <c r="BF264" s="1129">
        <v>0</v>
      </c>
      <c r="BG264" s="1129">
        <v>0</v>
      </c>
      <c r="BH264" s="1129">
        <v>0</v>
      </c>
      <c r="BI264" s="1981"/>
      <c r="BJ264" s="971"/>
      <c r="BK264" s="971"/>
      <c r="BL264" s="1246"/>
      <c r="BM264" s="1247" t="s">
        <v>687</v>
      </c>
    </row>
    <row r="265" spans="1:65" s="1247" customFormat="1" ht="49.5" customHeight="1">
      <c r="A265" s="1272">
        <v>4000</v>
      </c>
      <c r="B265" s="971" t="s">
        <v>1316</v>
      </c>
      <c r="C265" s="1272">
        <v>4500</v>
      </c>
      <c r="D265" s="971" t="s">
        <v>452</v>
      </c>
      <c r="E265" s="971" t="s">
        <v>1692</v>
      </c>
      <c r="F265" s="971" t="s">
        <v>605</v>
      </c>
      <c r="G265" s="971" t="s">
        <v>5043</v>
      </c>
      <c r="H265" s="971" t="s">
        <v>684</v>
      </c>
      <c r="I265" s="1273" t="s">
        <v>7601</v>
      </c>
      <c r="J265" s="971" t="s">
        <v>686</v>
      </c>
      <c r="K265" s="971" t="s">
        <v>2123</v>
      </c>
      <c r="L265" s="971" t="s">
        <v>2124</v>
      </c>
      <c r="M265" s="971" t="s">
        <v>2123</v>
      </c>
      <c r="N265" s="971" t="s">
        <v>179</v>
      </c>
      <c r="O265" s="971" t="s">
        <v>2124</v>
      </c>
      <c r="P265" s="971" t="s">
        <v>7266</v>
      </c>
      <c r="Q265" s="971" t="s">
        <v>7320</v>
      </c>
      <c r="R265" s="971" t="s">
        <v>5159</v>
      </c>
      <c r="S265" s="1274">
        <v>1</v>
      </c>
      <c r="T265" s="971" t="s">
        <v>242</v>
      </c>
      <c r="U265" s="1275">
        <v>19.2</v>
      </c>
      <c r="V265" s="1275">
        <v>213</v>
      </c>
      <c r="W265" s="1275">
        <v>1918.3369142857146</v>
      </c>
      <c r="X265" s="1275">
        <v>2130</v>
      </c>
      <c r="Y265" s="1275">
        <v>4261.3369142857146</v>
      </c>
      <c r="Z265" s="1129">
        <v>19.2</v>
      </c>
      <c r="AA265" s="1129">
        <v>213</v>
      </c>
      <c r="AB265" s="1129">
        <v>1918.3369142857146</v>
      </c>
      <c r="AC265" s="1129">
        <v>2130</v>
      </c>
      <c r="AD265" s="1098">
        <v>4261.3369142857146</v>
      </c>
      <c r="AE265" s="1237">
        <v>1</v>
      </c>
      <c r="AF265" s="1133">
        <v>1</v>
      </c>
      <c r="AG265" s="1127">
        <v>1</v>
      </c>
      <c r="AH265" s="1127">
        <v>0</v>
      </c>
      <c r="AI265" s="1127">
        <v>0</v>
      </c>
      <c r="AJ265" s="1127">
        <v>1</v>
      </c>
      <c r="AK265" s="1129">
        <v>4261.3369142857146</v>
      </c>
      <c r="AL265" s="1129">
        <v>0</v>
      </c>
      <c r="AM265" s="1129">
        <v>0</v>
      </c>
      <c r="AN265" s="1129">
        <v>4261.3369142857146</v>
      </c>
      <c r="AO265" s="1129" t="s">
        <v>85</v>
      </c>
      <c r="AP265" s="1129" t="s">
        <v>96</v>
      </c>
      <c r="AQ265" s="1157">
        <v>2014</v>
      </c>
      <c r="AR265" s="1129" t="s">
        <v>87</v>
      </c>
      <c r="AS265" s="1127">
        <v>0.33333333333333331</v>
      </c>
      <c r="AT265" s="1127"/>
      <c r="AU265" s="1127">
        <v>0.33333333333333331</v>
      </c>
      <c r="AV265" s="1127"/>
      <c r="AW265" s="1127"/>
      <c r="AX265" s="1127"/>
      <c r="AY265" s="1127"/>
      <c r="AZ265" s="1127">
        <v>0.33333333333333331</v>
      </c>
      <c r="BA265" s="1129">
        <v>1420.4456380952381</v>
      </c>
      <c r="BB265" s="1129">
        <v>0</v>
      </c>
      <c r="BC265" s="1129">
        <v>1420.4456380952381</v>
      </c>
      <c r="BD265" s="1129">
        <v>0</v>
      </c>
      <c r="BE265" s="1129">
        <v>0</v>
      </c>
      <c r="BF265" s="1129">
        <v>0</v>
      </c>
      <c r="BG265" s="1129">
        <v>0</v>
      </c>
      <c r="BH265" s="1129">
        <v>1420.4456380952381</v>
      </c>
      <c r="BI265" s="1981"/>
      <c r="BJ265" s="971"/>
      <c r="BK265" s="971"/>
      <c r="BL265" s="1246"/>
      <c r="BM265" s="1247" t="s">
        <v>2123</v>
      </c>
    </row>
    <row r="266" spans="1:65" s="1247" customFormat="1" ht="49.5" customHeight="1">
      <c r="A266" s="1272">
        <v>4000</v>
      </c>
      <c r="B266" s="971" t="s">
        <v>1316</v>
      </c>
      <c r="C266" s="1272">
        <v>4500</v>
      </c>
      <c r="D266" s="971" t="s">
        <v>452</v>
      </c>
      <c r="E266" s="971" t="s">
        <v>1692</v>
      </c>
      <c r="F266" s="971" t="s">
        <v>605</v>
      </c>
      <c r="G266" s="971" t="s">
        <v>5160</v>
      </c>
      <c r="H266" s="971" t="s">
        <v>1793</v>
      </c>
      <c r="I266" s="1273" t="s">
        <v>7602</v>
      </c>
      <c r="J266" s="971" t="s">
        <v>2143</v>
      </c>
      <c r="K266" s="971" t="s">
        <v>1768</v>
      </c>
      <c r="L266" s="971" t="s">
        <v>3420</v>
      </c>
      <c r="M266" s="971" t="s">
        <v>1768</v>
      </c>
      <c r="N266" s="971" t="s">
        <v>179</v>
      </c>
      <c r="O266" s="971" t="s">
        <v>1769</v>
      </c>
      <c r="P266" s="971" t="s">
        <v>6663</v>
      </c>
      <c r="Q266" s="971" t="s">
        <v>7603</v>
      </c>
      <c r="R266" s="971" t="s">
        <v>5161</v>
      </c>
      <c r="S266" s="1274">
        <v>1</v>
      </c>
      <c r="T266" s="971" t="s">
        <v>242</v>
      </c>
      <c r="U266" s="1275">
        <v>8.1</v>
      </c>
      <c r="V266" s="1275">
        <v>106.5</v>
      </c>
      <c r="W266" s="1275">
        <v>809.29838571428581</v>
      </c>
      <c r="X266" s="1275">
        <v>1065</v>
      </c>
      <c r="Y266" s="1275">
        <v>1980.7983857142858</v>
      </c>
      <c r="Z266" s="1129">
        <v>8.1</v>
      </c>
      <c r="AA266" s="1129">
        <v>106.5</v>
      </c>
      <c r="AB266" s="1129">
        <v>809.29838571428581</v>
      </c>
      <c r="AC266" s="1129">
        <v>1065</v>
      </c>
      <c r="AD266" s="1098">
        <v>1980.7983857142858</v>
      </c>
      <c r="AE266" s="1237">
        <v>0.5</v>
      </c>
      <c r="AF266" s="1133">
        <v>0.5</v>
      </c>
      <c r="AG266" s="1127">
        <v>1</v>
      </c>
      <c r="AH266" s="1127">
        <v>0</v>
      </c>
      <c r="AI266" s="1127">
        <v>0</v>
      </c>
      <c r="AJ266" s="1127">
        <v>1</v>
      </c>
      <c r="AK266" s="1129">
        <v>1980.7983857142858</v>
      </c>
      <c r="AL266" s="1129">
        <v>0</v>
      </c>
      <c r="AM266" s="1129">
        <v>0</v>
      </c>
      <c r="AN266" s="1129">
        <v>1980.7983857142858</v>
      </c>
      <c r="AO266" s="1129" t="s">
        <v>85</v>
      </c>
      <c r="AP266" s="1129" t="s">
        <v>96</v>
      </c>
      <c r="AQ266" s="1157">
        <v>2014</v>
      </c>
      <c r="AR266" s="1129" t="s">
        <v>87</v>
      </c>
      <c r="AS266" s="1127">
        <v>0.5</v>
      </c>
      <c r="AT266" s="1127">
        <v>0.5</v>
      </c>
      <c r="AU266" s="1127"/>
      <c r="AV266" s="1127"/>
      <c r="AW266" s="1127"/>
      <c r="AX266" s="1127"/>
      <c r="AY266" s="1127"/>
      <c r="AZ266" s="1127"/>
      <c r="BA266" s="1129">
        <v>990.39919285714291</v>
      </c>
      <c r="BB266" s="1129">
        <v>990.39919285714291</v>
      </c>
      <c r="BC266" s="1129">
        <v>0</v>
      </c>
      <c r="BD266" s="1129">
        <v>0</v>
      </c>
      <c r="BE266" s="1129">
        <v>0</v>
      </c>
      <c r="BF266" s="1129">
        <v>0</v>
      </c>
      <c r="BG266" s="1129">
        <v>0</v>
      </c>
      <c r="BH266" s="1129">
        <v>0</v>
      </c>
      <c r="BI266" s="1981"/>
      <c r="BJ266" s="971"/>
      <c r="BK266" s="971"/>
      <c r="BL266" s="1246"/>
      <c r="BM266" s="1247" t="s">
        <v>1768</v>
      </c>
    </row>
    <row r="267" spans="1:65" s="1247" customFormat="1" ht="49.5" customHeight="1">
      <c r="A267" s="1272">
        <v>4000</v>
      </c>
      <c r="B267" s="971" t="s">
        <v>1316</v>
      </c>
      <c r="C267" s="1272">
        <v>4500</v>
      </c>
      <c r="D267" s="971" t="s">
        <v>452</v>
      </c>
      <c r="E267" s="971" t="s">
        <v>1692</v>
      </c>
      <c r="F267" s="971" t="s">
        <v>605</v>
      </c>
      <c r="G267" s="971" t="s">
        <v>5160</v>
      </c>
      <c r="H267" s="971" t="s">
        <v>1793</v>
      </c>
      <c r="I267" s="1273" t="s">
        <v>7604</v>
      </c>
      <c r="J267" s="971" t="s">
        <v>239</v>
      </c>
      <c r="K267" s="971" t="s">
        <v>1768</v>
      </c>
      <c r="L267" s="971" t="s">
        <v>3420</v>
      </c>
      <c r="M267" s="971" t="s">
        <v>1768</v>
      </c>
      <c r="N267" s="971" t="s">
        <v>179</v>
      </c>
      <c r="O267" s="971" t="s">
        <v>1769</v>
      </c>
      <c r="P267" s="971" t="s">
        <v>6663</v>
      </c>
      <c r="Q267" s="971" t="s">
        <v>7261</v>
      </c>
      <c r="R267" s="971" t="s">
        <v>5163</v>
      </c>
      <c r="S267" s="1274">
        <v>1</v>
      </c>
      <c r="T267" s="971" t="s">
        <v>242</v>
      </c>
      <c r="U267" s="1275">
        <v>8.1</v>
      </c>
      <c r="V267" s="1275">
        <v>106.5</v>
      </c>
      <c r="W267" s="1275">
        <v>809.29838571428581</v>
      </c>
      <c r="X267" s="1275">
        <v>1065</v>
      </c>
      <c r="Y267" s="1275">
        <v>1980.7983857142858</v>
      </c>
      <c r="Z267" s="1129">
        <v>8.1</v>
      </c>
      <c r="AA267" s="1129">
        <v>106.5</v>
      </c>
      <c r="AB267" s="1129">
        <v>809.29838571428581</v>
      </c>
      <c r="AC267" s="1129">
        <v>1065</v>
      </c>
      <c r="AD267" s="1098">
        <v>1980.7983857142858</v>
      </c>
      <c r="AE267" s="1237">
        <v>0.5</v>
      </c>
      <c r="AF267" s="1133">
        <v>0.5</v>
      </c>
      <c r="AG267" s="1127">
        <v>1</v>
      </c>
      <c r="AH267" s="1127">
        <v>0</v>
      </c>
      <c r="AI267" s="1127">
        <v>0</v>
      </c>
      <c r="AJ267" s="1127">
        <v>1</v>
      </c>
      <c r="AK267" s="1129">
        <v>1980.7983857142858</v>
      </c>
      <c r="AL267" s="1129">
        <v>0</v>
      </c>
      <c r="AM267" s="1129">
        <v>0</v>
      </c>
      <c r="AN267" s="1129">
        <v>1980.7983857142858</v>
      </c>
      <c r="AO267" s="1129" t="s">
        <v>85</v>
      </c>
      <c r="AP267" s="1129" t="s">
        <v>96</v>
      </c>
      <c r="AQ267" s="1157">
        <v>2014</v>
      </c>
      <c r="AR267" s="1129" t="s">
        <v>87</v>
      </c>
      <c r="AS267" s="1127">
        <v>0.5</v>
      </c>
      <c r="AT267" s="1127">
        <v>0.5</v>
      </c>
      <c r="AU267" s="1127"/>
      <c r="AV267" s="1127"/>
      <c r="AW267" s="1127"/>
      <c r="AX267" s="1127"/>
      <c r="AY267" s="1127"/>
      <c r="AZ267" s="1127"/>
      <c r="BA267" s="1129">
        <v>990.39919285714291</v>
      </c>
      <c r="BB267" s="1129">
        <v>990.39919285714291</v>
      </c>
      <c r="BC267" s="1129">
        <v>0</v>
      </c>
      <c r="BD267" s="1129">
        <v>0</v>
      </c>
      <c r="BE267" s="1129">
        <v>0</v>
      </c>
      <c r="BF267" s="1129">
        <v>0</v>
      </c>
      <c r="BG267" s="1129">
        <v>0</v>
      </c>
      <c r="BH267" s="1129">
        <v>0</v>
      </c>
      <c r="BI267" s="1981"/>
      <c r="BJ267" s="971"/>
      <c r="BK267" s="971"/>
      <c r="BL267" s="1246"/>
      <c r="BM267" s="1247" t="s">
        <v>1768</v>
      </c>
    </row>
    <row r="268" spans="1:65" s="1247" customFormat="1" ht="49.5" customHeight="1">
      <c r="A268" s="1272">
        <v>4000</v>
      </c>
      <c r="B268" s="971" t="s">
        <v>1316</v>
      </c>
      <c r="C268" s="1272">
        <v>4500</v>
      </c>
      <c r="D268" s="971" t="s">
        <v>452</v>
      </c>
      <c r="E268" s="971" t="s">
        <v>1692</v>
      </c>
      <c r="F268" s="971" t="s">
        <v>605</v>
      </c>
      <c r="G268" s="971" t="s">
        <v>5160</v>
      </c>
      <c r="H268" s="971" t="s">
        <v>1793</v>
      </c>
      <c r="I268" s="1273" t="s">
        <v>7605</v>
      </c>
      <c r="J268" s="971" t="s">
        <v>2143</v>
      </c>
      <c r="K268" s="971" t="s">
        <v>1768</v>
      </c>
      <c r="L268" s="971" t="s">
        <v>3420</v>
      </c>
      <c r="M268" s="971" t="s">
        <v>1768</v>
      </c>
      <c r="N268" s="971" t="s">
        <v>179</v>
      </c>
      <c r="O268" s="971" t="s">
        <v>1769</v>
      </c>
      <c r="P268" s="971" t="s">
        <v>6663</v>
      </c>
      <c r="Q268" s="971" t="s">
        <v>7606</v>
      </c>
      <c r="R268" s="971" t="s">
        <v>5165</v>
      </c>
      <c r="S268" s="1274">
        <v>1</v>
      </c>
      <c r="T268" s="971" t="s">
        <v>242</v>
      </c>
      <c r="U268" s="1275">
        <v>8.1</v>
      </c>
      <c r="V268" s="1275">
        <v>106.5</v>
      </c>
      <c r="W268" s="1275">
        <v>809.29838571428581</v>
      </c>
      <c r="X268" s="1275">
        <v>1065</v>
      </c>
      <c r="Y268" s="1275">
        <v>1980.7983857142858</v>
      </c>
      <c r="Z268" s="1129">
        <v>8.1</v>
      </c>
      <c r="AA268" s="1129">
        <v>106.5</v>
      </c>
      <c r="AB268" s="1129">
        <v>809.29838571428581</v>
      </c>
      <c r="AC268" s="1129">
        <v>1065</v>
      </c>
      <c r="AD268" s="1098">
        <v>1980.7983857142858</v>
      </c>
      <c r="AE268" s="1237">
        <v>0.5</v>
      </c>
      <c r="AF268" s="1133">
        <v>0.5</v>
      </c>
      <c r="AG268" s="1127">
        <v>1</v>
      </c>
      <c r="AH268" s="1127">
        <v>0</v>
      </c>
      <c r="AI268" s="1127">
        <v>0</v>
      </c>
      <c r="AJ268" s="1127">
        <v>1</v>
      </c>
      <c r="AK268" s="1129">
        <v>1980.7983857142858</v>
      </c>
      <c r="AL268" s="1129">
        <v>0</v>
      </c>
      <c r="AM268" s="1129">
        <v>0</v>
      </c>
      <c r="AN268" s="1129">
        <v>1980.7983857142858</v>
      </c>
      <c r="AO268" s="1129" t="s">
        <v>85</v>
      </c>
      <c r="AP268" s="1129" t="s">
        <v>96</v>
      </c>
      <c r="AQ268" s="1157">
        <v>2014</v>
      </c>
      <c r="AR268" s="1129" t="s">
        <v>87</v>
      </c>
      <c r="AS268" s="1127">
        <v>0.5</v>
      </c>
      <c r="AT268" s="1127">
        <v>0.5</v>
      </c>
      <c r="AU268" s="1127"/>
      <c r="AV268" s="1127"/>
      <c r="AW268" s="1127"/>
      <c r="AX268" s="1127"/>
      <c r="AY268" s="1127"/>
      <c r="AZ268" s="1127"/>
      <c r="BA268" s="1129">
        <v>990.39919285714291</v>
      </c>
      <c r="BB268" s="1129">
        <v>990.39919285714291</v>
      </c>
      <c r="BC268" s="1129">
        <v>0</v>
      </c>
      <c r="BD268" s="1129">
        <v>0</v>
      </c>
      <c r="BE268" s="1129">
        <v>0</v>
      </c>
      <c r="BF268" s="1129">
        <v>0</v>
      </c>
      <c r="BG268" s="1129">
        <v>0</v>
      </c>
      <c r="BH268" s="1129">
        <v>0</v>
      </c>
      <c r="BI268" s="1981"/>
      <c r="BJ268" s="971"/>
      <c r="BK268" s="971"/>
      <c r="BL268" s="1246"/>
      <c r="BM268" s="1247" t="s">
        <v>1768</v>
      </c>
    </row>
    <row r="269" spans="1:65" s="1247" customFormat="1" ht="49.5" customHeight="1">
      <c r="A269" s="1272">
        <v>4000</v>
      </c>
      <c r="B269" s="971" t="s">
        <v>1316</v>
      </c>
      <c r="C269" s="1272">
        <v>4500</v>
      </c>
      <c r="D269" s="971" t="s">
        <v>452</v>
      </c>
      <c r="E269" s="971" t="s">
        <v>1692</v>
      </c>
      <c r="F269" s="971" t="s">
        <v>605</v>
      </c>
      <c r="G269" s="971" t="s">
        <v>5160</v>
      </c>
      <c r="H269" s="971" t="s">
        <v>1793</v>
      </c>
      <c r="I269" s="1273" t="s">
        <v>7607</v>
      </c>
      <c r="J269" s="971" t="s">
        <v>239</v>
      </c>
      <c r="K269" s="971" t="s">
        <v>1768</v>
      </c>
      <c r="L269" s="971" t="s">
        <v>3420</v>
      </c>
      <c r="M269" s="971" t="s">
        <v>1768</v>
      </c>
      <c r="N269" s="971" t="s">
        <v>179</v>
      </c>
      <c r="O269" s="971" t="s">
        <v>1769</v>
      </c>
      <c r="P269" s="971" t="s">
        <v>6663</v>
      </c>
      <c r="Q269" s="971" t="s">
        <v>7261</v>
      </c>
      <c r="R269" s="971" t="s">
        <v>5167</v>
      </c>
      <c r="S269" s="1274">
        <v>1</v>
      </c>
      <c r="T269" s="971" t="s">
        <v>242</v>
      </c>
      <c r="U269" s="1275">
        <v>8.1</v>
      </c>
      <c r="V269" s="1275">
        <v>106.5</v>
      </c>
      <c r="W269" s="1275">
        <v>809.29838571428581</v>
      </c>
      <c r="X269" s="1275">
        <v>1065</v>
      </c>
      <c r="Y269" s="1275">
        <v>1980.7983857142858</v>
      </c>
      <c r="Z269" s="1129">
        <v>8.1</v>
      </c>
      <c r="AA269" s="1129">
        <v>106.5</v>
      </c>
      <c r="AB269" s="1129">
        <v>809.29838571428581</v>
      </c>
      <c r="AC269" s="1129">
        <v>1065</v>
      </c>
      <c r="AD269" s="1098">
        <v>1980.7983857142858</v>
      </c>
      <c r="AE269" s="1237">
        <v>0.5</v>
      </c>
      <c r="AF269" s="1133">
        <v>0.5</v>
      </c>
      <c r="AG269" s="1127">
        <v>1</v>
      </c>
      <c r="AH269" s="1127">
        <v>0</v>
      </c>
      <c r="AI269" s="1127">
        <v>0</v>
      </c>
      <c r="AJ269" s="1127">
        <v>1</v>
      </c>
      <c r="AK269" s="1129">
        <v>1980.7983857142858</v>
      </c>
      <c r="AL269" s="1129">
        <v>0</v>
      </c>
      <c r="AM269" s="1129">
        <v>0</v>
      </c>
      <c r="AN269" s="1129">
        <v>1980.7983857142858</v>
      </c>
      <c r="AO269" s="1129" t="s">
        <v>85</v>
      </c>
      <c r="AP269" s="1129" t="s">
        <v>96</v>
      </c>
      <c r="AQ269" s="1157">
        <v>2014</v>
      </c>
      <c r="AR269" s="1129" t="s">
        <v>87</v>
      </c>
      <c r="AS269" s="1127">
        <v>0.5</v>
      </c>
      <c r="AT269" s="1127">
        <v>0.5</v>
      </c>
      <c r="AU269" s="1127"/>
      <c r="AV269" s="1127"/>
      <c r="AW269" s="1127"/>
      <c r="AX269" s="1127"/>
      <c r="AY269" s="1127"/>
      <c r="AZ269" s="1127"/>
      <c r="BA269" s="1129">
        <v>990.39919285714291</v>
      </c>
      <c r="BB269" s="1129">
        <v>990.39919285714291</v>
      </c>
      <c r="BC269" s="1129">
        <v>0</v>
      </c>
      <c r="BD269" s="1129">
        <v>0</v>
      </c>
      <c r="BE269" s="1129">
        <v>0</v>
      </c>
      <c r="BF269" s="1129">
        <v>0</v>
      </c>
      <c r="BG269" s="1129">
        <v>0</v>
      </c>
      <c r="BH269" s="1129">
        <v>0</v>
      </c>
      <c r="BI269" s="1981"/>
      <c r="BJ269" s="971"/>
      <c r="BK269" s="971"/>
      <c r="BL269" s="1246"/>
      <c r="BM269" s="1247" t="s">
        <v>1768</v>
      </c>
    </row>
    <row r="270" spans="1:65" s="1247" customFormat="1" ht="66" customHeight="1">
      <c r="A270" s="1272">
        <v>4000</v>
      </c>
      <c r="B270" s="971" t="s">
        <v>1316</v>
      </c>
      <c r="C270" s="1272">
        <v>4500</v>
      </c>
      <c r="D270" s="971" t="s">
        <v>452</v>
      </c>
      <c r="E270" s="971" t="s">
        <v>1885</v>
      </c>
      <c r="F270" s="971" t="s">
        <v>1882</v>
      </c>
      <c r="G270" s="971">
        <v>4540</v>
      </c>
      <c r="H270" s="971" t="s">
        <v>1883</v>
      </c>
      <c r="I270" s="1273" t="s">
        <v>7608</v>
      </c>
      <c r="J270" s="971" t="s">
        <v>2143</v>
      </c>
      <c r="K270" s="971" t="s">
        <v>1768</v>
      </c>
      <c r="L270" s="971" t="s">
        <v>3420</v>
      </c>
      <c r="M270" s="971" t="s">
        <v>1768</v>
      </c>
      <c r="N270" s="971" t="s">
        <v>179</v>
      </c>
      <c r="O270" s="971" t="s">
        <v>1769</v>
      </c>
      <c r="P270" s="971" t="s">
        <v>6663</v>
      </c>
      <c r="Q270" s="971" t="s">
        <v>7609</v>
      </c>
      <c r="R270" s="971" t="s">
        <v>5178</v>
      </c>
      <c r="S270" s="1274">
        <v>1</v>
      </c>
      <c r="T270" s="971" t="s">
        <v>242</v>
      </c>
      <c r="U270" s="1275">
        <v>8.1</v>
      </c>
      <c r="V270" s="1275">
        <v>106.5</v>
      </c>
      <c r="W270" s="1275">
        <v>809.29838571428581</v>
      </c>
      <c r="X270" s="1275">
        <v>1065</v>
      </c>
      <c r="Y270" s="1275">
        <v>1980.7983857142858</v>
      </c>
      <c r="Z270" s="1129">
        <v>8.1</v>
      </c>
      <c r="AA270" s="1129">
        <v>106.5</v>
      </c>
      <c r="AB270" s="1129">
        <v>809.29838571428581</v>
      </c>
      <c r="AC270" s="1129">
        <v>1065</v>
      </c>
      <c r="AD270" s="1098">
        <v>1980.7983857142858</v>
      </c>
      <c r="AE270" s="1237">
        <v>0.5</v>
      </c>
      <c r="AF270" s="1133">
        <v>0.5</v>
      </c>
      <c r="AG270" s="1127">
        <v>1</v>
      </c>
      <c r="AH270" s="1127">
        <v>0</v>
      </c>
      <c r="AI270" s="1127">
        <v>0</v>
      </c>
      <c r="AJ270" s="1127">
        <v>1</v>
      </c>
      <c r="AK270" s="1129">
        <v>1980.7983857142858</v>
      </c>
      <c r="AL270" s="1129">
        <v>0</v>
      </c>
      <c r="AM270" s="1129">
        <v>0</v>
      </c>
      <c r="AN270" s="1129">
        <v>1980.7983857142858</v>
      </c>
      <c r="AO270" s="1129" t="s">
        <v>85</v>
      </c>
      <c r="AP270" s="1129" t="s">
        <v>96</v>
      </c>
      <c r="AQ270" s="1157">
        <v>2014</v>
      </c>
      <c r="AR270" s="1129" t="s">
        <v>87</v>
      </c>
      <c r="AS270" s="1127">
        <v>0.5</v>
      </c>
      <c r="AT270" s="1127">
        <v>0.5</v>
      </c>
      <c r="AU270" s="1127"/>
      <c r="AV270" s="1127"/>
      <c r="AW270" s="1127"/>
      <c r="AX270" s="1127"/>
      <c r="AY270" s="1127"/>
      <c r="AZ270" s="1127"/>
      <c r="BA270" s="1129">
        <v>990.39919285714291</v>
      </c>
      <c r="BB270" s="1129">
        <v>990.39919285714291</v>
      </c>
      <c r="BC270" s="1129">
        <v>0</v>
      </c>
      <c r="BD270" s="1129">
        <v>0</v>
      </c>
      <c r="BE270" s="1129">
        <v>0</v>
      </c>
      <c r="BF270" s="1129">
        <v>0</v>
      </c>
      <c r="BG270" s="1129">
        <v>0</v>
      </c>
      <c r="BH270" s="1129">
        <v>0</v>
      </c>
      <c r="BI270" s="1981"/>
      <c r="BJ270" s="971"/>
      <c r="BK270" s="971"/>
      <c r="BL270" s="1246"/>
      <c r="BM270" s="1247" t="s">
        <v>1768</v>
      </c>
    </row>
    <row r="271" spans="1:65" s="1247" customFormat="1" ht="66" customHeight="1">
      <c r="A271" s="1272">
        <v>4000</v>
      </c>
      <c r="B271" s="971" t="s">
        <v>1316</v>
      </c>
      <c r="C271" s="1272">
        <v>4500</v>
      </c>
      <c r="D271" s="971" t="s">
        <v>452</v>
      </c>
      <c r="E271" s="971" t="s">
        <v>1885</v>
      </c>
      <c r="F271" s="971" t="s">
        <v>1882</v>
      </c>
      <c r="G271" s="971">
        <v>4540</v>
      </c>
      <c r="H271" s="971" t="s">
        <v>1883</v>
      </c>
      <c r="I271" s="1273" t="s">
        <v>7610</v>
      </c>
      <c r="J271" s="971" t="s">
        <v>239</v>
      </c>
      <c r="K271" s="971" t="s">
        <v>1768</v>
      </c>
      <c r="L271" s="971" t="s">
        <v>3420</v>
      </c>
      <c r="M271" s="971" t="s">
        <v>1768</v>
      </c>
      <c r="N271" s="971" t="s">
        <v>179</v>
      </c>
      <c r="O271" s="971" t="s">
        <v>1769</v>
      </c>
      <c r="P271" s="971" t="s">
        <v>6663</v>
      </c>
      <c r="Q271" s="971" t="s">
        <v>7261</v>
      </c>
      <c r="R271" s="971" t="s">
        <v>5180</v>
      </c>
      <c r="S271" s="1274">
        <v>1</v>
      </c>
      <c r="T271" s="971" t="s">
        <v>242</v>
      </c>
      <c r="U271" s="1275">
        <v>8.1</v>
      </c>
      <c r="V271" s="1275">
        <v>106.5</v>
      </c>
      <c r="W271" s="1275">
        <v>809.29838571428581</v>
      </c>
      <c r="X271" s="1275">
        <v>1065</v>
      </c>
      <c r="Y271" s="1275">
        <v>1980.7983857142858</v>
      </c>
      <c r="Z271" s="1129">
        <v>8.1</v>
      </c>
      <c r="AA271" s="1129">
        <v>106.5</v>
      </c>
      <c r="AB271" s="1129">
        <v>809.29838571428581</v>
      </c>
      <c r="AC271" s="1129">
        <v>1065</v>
      </c>
      <c r="AD271" s="1098">
        <v>1980.7983857142858</v>
      </c>
      <c r="AE271" s="1237">
        <v>0.5</v>
      </c>
      <c r="AF271" s="1133">
        <v>0.5</v>
      </c>
      <c r="AG271" s="1127">
        <v>1</v>
      </c>
      <c r="AH271" s="1127">
        <v>0</v>
      </c>
      <c r="AI271" s="1127">
        <v>0</v>
      </c>
      <c r="AJ271" s="1127">
        <v>1</v>
      </c>
      <c r="AK271" s="1129">
        <v>1980.7983857142858</v>
      </c>
      <c r="AL271" s="1129">
        <v>0</v>
      </c>
      <c r="AM271" s="1129">
        <v>0</v>
      </c>
      <c r="AN271" s="1129">
        <v>1980.7983857142858</v>
      </c>
      <c r="AO271" s="1129" t="s">
        <v>85</v>
      </c>
      <c r="AP271" s="1129" t="s">
        <v>96</v>
      </c>
      <c r="AQ271" s="1157">
        <v>2014</v>
      </c>
      <c r="AR271" s="1129" t="s">
        <v>87</v>
      </c>
      <c r="AS271" s="1127">
        <v>0.5</v>
      </c>
      <c r="AT271" s="1127">
        <v>0.5</v>
      </c>
      <c r="AU271" s="1127"/>
      <c r="AV271" s="1127"/>
      <c r="AW271" s="1127"/>
      <c r="AX271" s="1127"/>
      <c r="AY271" s="1127"/>
      <c r="AZ271" s="1127"/>
      <c r="BA271" s="1129">
        <v>990.39919285714291</v>
      </c>
      <c r="BB271" s="1129">
        <v>990.39919285714291</v>
      </c>
      <c r="BC271" s="1129">
        <v>0</v>
      </c>
      <c r="BD271" s="1129">
        <v>0</v>
      </c>
      <c r="BE271" s="1129">
        <v>0</v>
      </c>
      <c r="BF271" s="1129">
        <v>0</v>
      </c>
      <c r="BG271" s="1129">
        <v>0</v>
      </c>
      <c r="BH271" s="1129">
        <v>0</v>
      </c>
      <c r="BI271" s="1981"/>
      <c r="BJ271" s="971"/>
      <c r="BK271" s="971"/>
      <c r="BL271" s="1246"/>
      <c r="BM271" s="1247" t="s">
        <v>1768</v>
      </c>
    </row>
    <row r="272" spans="1:65" s="1247" customFormat="1" ht="66" customHeight="1">
      <c r="A272" s="1272">
        <v>4000</v>
      </c>
      <c r="B272" s="971" t="s">
        <v>1316</v>
      </c>
      <c r="C272" s="1272">
        <v>4500</v>
      </c>
      <c r="D272" s="971" t="s">
        <v>452</v>
      </c>
      <c r="E272" s="971" t="s">
        <v>1885</v>
      </c>
      <c r="F272" s="971" t="s">
        <v>1882</v>
      </c>
      <c r="G272" s="971">
        <v>4540</v>
      </c>
      <c r="H272" s="971" t="s">
        <v>1883</v>
      </c>
      <c r="I272" s="1273" t="s">
        <v>7611</v>
      </c>
      <c r="J272" s="971" t="s">
        <v>2143</v>
      </c>
      <c r="K272" s="971" t="s">
        <v>1768</v>
      </c>
      <c r="L272" s="971" t="s">
        <v>3420</v>
      </c>
      <c r="M272" s="971" t="s">
        <v>1768</v>
      </c>
      <c r="N272" s="971" t="s">
        <v>179</v>
      </c>
      <c r="O272" s="971" t="s">
        <v>1769</v>
      </c>
      <c r="P272" s="971" t="s">
        <v>6663</v>
      </c>
      <c r="Q272" s="971" t="s">
        <v>7612</v>
      </c>
      <c r="R272" s="971" t="s">
        <v>5182</v>
      </c>
      <c r="S272" s="1274">
        <v>1</v>
      </c>
      <c r="T272" s="971" t="s">
        <v>242</v>
      </c>
      <c r="U272" s="1275">
        <v>8.1</v>
      </c>
      <c r="V272" s="1275">
        <v>106.5</v>
      </c>
      <c r="W272" s="1275">
        <v>809.29838571428581</v>
      </c>
      <c r="X272" s="1275">
        <v>1065</v>
      </c>
      <c r="Y272" s="1275">
        <v>1980.7983857142858</v>
      </c>
      <c r="Z272" s="1129">
        <v>8.1</v>
      </c>
      <c r="AA272" s="1129">
        <v>106.5</v>
      </c>
      <c r="AB272" s="1129">
        <v>809.29838571428581</v>
      </c>
      <c r="AC272" s="1129">
        <v>1065</v>
      </c>
      <c r="AD272" s="1098">
        <v>1980.7983857142858</v>
      </c>
      <c r="AE272" s="1237">
        <v>0.5</v>
      </c>
      <c r="AF272" s="1133">
        <v>0.5</v>
      </c>
      <c r="AG272" s="1127">
        <v>1</v>
      </c>
      <c r="AH272" s="1127">
        <v>0</v>
      </c>
      <c r="AI272" s="1127">
        <v>0</v>
      </c>
      <c r="AJ272" s="1127">
        <v>1</v>
      </c>
      <c r="AK272" s="1129">
        <v>1980.7983857142858</v>
      </c>
      <c r="AL272" s="1129">
        <v>0</v>
      </c>
      <c r="AM272" s="1129">
        <v>0</v>
      </c>
      <c r="AN272" s="1129">
        <v>1980.7983857142858</v>
      </c>
      <c r="AO272" s="1129" t="s">
        <v>85</v>
      </c>
      <c r="AP272" s="1129" t="s">
        <v>96</v>
      </c>
      <c r="AQ272" s="1157">
        <v>2014</v>
      </c>
      <c r="AR272" s="1129" t="s">
        <v>87</v>
      </c>
      <c r="AS272" s="1127">
        <v>0.5</v>
      </c>
      <c r="AT272" s="1127">
        <v>0.5</v>
      </c>
      <c r="AU272" s="1127"/>
      <c r="AV272" s="1127"/>
      <c r="AW272" s="1127"/>
      <c r="AX272" s="1127"/>
      <c r="AY272" s="1127"/>
      <c r="AZ272" s="1127"/>
      <c r="BA272" s="1129">
        <v>990.39919285714291</v>
      </c>
      <c r="BB272" s="1129">
        <v>990.39919285714291</v>
      </c>
      <c r="BC272" s="1129">
        <v>0</v>
      </c>
      <c r="BD272" s="1129">
        <v>0</v>
      </c>
      <c r="BE272" s="1129">
        <v>0</v>
      </c>
      <c r="BF272" s="1129">
        <v>0</v>
      </c>
      <c r="BG272" s="1129">
        <v>0</v>
      </c>
      <c r="BH272" s="1129">
        <v>0</v>
      </c>
      <c r="BI272" s="1981"/>
      <c r="BJ272" s="971"/>
      <c r="BK272" s="971"/>
      <c r="BL272" s="1246"/>
      <c r="BM272" s="1247" t="s">
        <v>1768</v>
      </c>
    </row>
    <row r="273" spans="1:65" s="1247" customFormat="1" ht="66" customHeight="1">
      <c r="A273" s="1272">
        <v>4000</v>
      </c>
      <c r="B273" s="971" t="s">
        <v>1316</v>
      </c>
      <c r="C273" s="1272">
        <v>4500</v>
      </c>
      <c r="D273" s="971" t="s">
        <v>452</v>
      </c>
      <c r="E273" s="971" t="s">
        <v>1885</v>
      </c>
      <c r="F273" s="971" t="s">
        <v>1882</v>
      </c>
      <c r="G273" s="971">
        <v>4540</v>
      </c>
      <c r="H273" s="971" t="s">
        <v>1883</v>
      </c>
      <c r="I273" s="1273" t="s">
        <v>7613</v>
      </c>
      <c r="J273" s="971" t="s">
        <v>239</v>
      </c>
      <c r="K273" s="971" t="s">
        <v>1768</v>
      </c>
      <c r="L273" s="971" t="s">
        <v>3420</v>
      </c>
      <c r="M273" s="971" t="s">
        <v>1768</v>
      </c>
      <c r="N273" s="971" t="s">
        <v>179</v>
      </c>
      <c r="O273" s="971" t="s">
        <v>1769</v>
      </c>
      <c r="P273" s="971" t="s">
        <v>6663</v>
      </c>
      <c r="Q273" s="971" t="s">
        <v>7261</v>
      </c>
      <c r="R273" s="971" t="s">
        <v>5184</v>
      </c>
      <c r="S273" s="1274">
        <v>1</v>
      </c>
      <c r="T273" s="971" t="s">
        <v>242</v>
      </c>
      <c r="U273" s="1275">
        <v>8.1</v>
      </c>
      <c r="V273" s="1275">
        <v>106.5</v>
      </c>
      <c r="W273" s="1275">
        <v>809.29838571428581</v>
      </c>
      <c r="X273" s="1275">
        <v>1065</v>
      </c>
      <c r="Y273" s="1275">
        <v>1980.7983857142858</v>
      </c>
      <c r="Z273" s="1129">
        <v>8.1</v>
      </c>
      <c r="AA273" s="1129">
        <v>106.5</v>
      </c>
      <c r="AB273" s="1129">
        <v>809.29838571428581</v>
      </c>
      <c r="AC273" s="1129">
        <v>1065</v>
      </c>
      <c r="AD273" s="1098">
        <v>1980.7983857142858</v>
      </c>
      <c r="AE273" s="1237">
        <v>0.5</v>
      </c>
      <c r="AF273" s="1133">
        <v>0.5</v>
      </c>
      <c r="AG273" s="1127">
        <v>1</v>
      </c>
      <c r="AH273" s="1127">
        <v>0</v>
      </c>
      <c r="AI273" s="1127">
        <v>0</v>
      </c>
      <c r="AJ273" s="1127">
        <v>1</v>
      </c>
      <c r="AK273" s="1129">
        <v>1980.7983857142858</v>
      </c>
      <c r="AL273" s="1129">
        <v>0</v>
      </c>
      <c r="AM273" s="1129">
        <v>0</v>
      </c>
      <c r="AN273" s="1129">
        <v>1980.7983857142858</v>
      </c>
      <c r="AO273" s="1129" t="s">
        <v>85</v>
      </c>
      <c r="AP273" s="1129" t="s">
        <v>96</v>
      </c>
      <c r="AQ273" s="1157">
        <v>2014</v>
      </c>
      <c r="AR273" s="1129" t="s">
        <v>87</v>
      </c>
      <c r="AS273" s="1127">
        <v>0.5</v>
      </c>
      <c r="AT273" s="1127">
        <v>0.5</v>
      </c>
      <c r="AU273" s="1127"/>
      <c r="AV273" s="1127"/>
      <c r="AW273" s="1127"/>
      <c r="AX273" s="1127"/>
      <c r="AY273" s="1127"/>
      <c r="AZ273" s="1127"/>
      <c r="BA273" s="1129">
        <v>990.39919285714291</v>
      </c>
      <c r="BB273" s="1129">
        <v>990.39919285714291</v>
      </c>
      <c r="BC273" s="1129">
        <v>0</v>
      </c>
      <c r="BD273" s="1129">
        <v>0</v>
      </c>
      <c r="BE273" s="1129">
        <v>0</v>
      </c>
      <c r="BF273" s="1129">
        <v>0</v>
      </c>
      <c r="BG273" s="1129">
        <v>0</v>
      </c>
      <c r="BH273" s="1129">
        <v>0</v>
      </c>
      <c r="BI273" s="1981"/>
      <c r="BJ273" s="971"/>
      <c r="BK273" s="971"/>
      <c r="BL273" s="1246"/>
      <c r="BM273" s="1247" t="s">
        <v>1768</v>
      </c>
    </row>
    <row r="274" spans="1:65" s="1247" customFormat="1" ht="82.5" customHeight="1">
      <c r="A274" s="1272">
        <v>4000</v>
      </c>
      <c r="B274" s="971" t="s">
        <v>1316</v>
      </c>
      <c r="C274" s="1272">
        <v>4500</v>
      </c>
      <c r="D274" s="971" t="s">
        <v>452</v>
      </c>
      <c r="E274" s="971" t="s">
        <v>1885</v>
      </c>
      <c r="F274" s="971" t="s">
        <v>1882</v>
      </c>
      <c r="G274" s="971">
        <v>4540</v>
      </c>
      <c r="H274" s="971" t="s">
        <v>1883</v>
      </c>
      <c r="I274" s="1273" t="s">
        <v>1898</v>
      </c>
      <c r="J274" s="971" t="s">
        <v>686</v>
      </c>
      <c r="K274" s="971" t="s">
        <v>687</v>
      </c>
      <c r="L274" s="971" t="s">
        <v>2915</v>
      </c>
      <c r="M274" s="971" t="s">
        <v>687</v>
      </c>
      <c r="N274" s="971" t="s">
        <v>179</v>
      </c>
      <c r="O274" s="971" t="s">
        <v>688</v>
      </c>
      <c r="P274" s="971"/>
      <c r="Q274" s="971" t="s">
        <v>7614</v>
      </c>
      <c r="R274" s="971" t="s">
        <v>1899</v>
      </c>
      <c r="S274" s="1274">
        <v>1</v>
      </c>
      <c r="T274" s="971" t="s">
        <v>242</v>
      </c>
      <c r="U274" s="1275">
        <v>2</v>
      </c>
      <c r="V274" s="1275">
        <v>30</v>
      </c>
      <c r="W274" s="1275">
        <v>199.82676190476192</v>
      </c>
      <c r="X274" s="1275">
        <v>300</v>
      </c>
      <c r="Y274" s="1275">
        <v>529.82676190476195</v>
      </c>
      <c r="Z274" s="1129">
        <v>2</v>
      </c>
      <c r="AA274" s="1129">
        <v>30</v>
      </c>
      <c r="AB274" s="1129">
        <v>199.82676190476192</v>
      </c>
      <c r="AC274" s="1129">
        <v>300</v>
      </c>
      <c r="AD274" s="1098">
        <v>529.82676190476195</v>
      </c>
      <c r="AE274" s="1237">
        <v>0.5</v>
      </c>
      <c r="AF274" s="1133">
        <v>0.5</v>
      </c>
      <c r="AG274" s="1127">
        <v>1</v>
      </c>
      <c r="AH274" s="1127">
        <v>0</v>
      </c>
      <c r="AI274" s="1127">
        <v>0</v>
      </c>
      <c r="AJ274" s="1127">
        <v>1</v>
      </c>
      <c r="AK274" s="1129">
        <v>529.82676190476195</v>
      </c>
      <c r="AL274" s="1129">
        <v>0</v>
      </c>
      <c r="AM274" s="1129">
        <v>0</v>
      </c>
      <c r="AN274" s="1129">
        <v>529.82676190476195</v>
      </c>
      <c r="AO274" s="1129" t="s">
        <v>85</v>
      </c>
      <c r="AP274" s="1129" t="s">
        <v>96</v>
      </c>
      <c r="AQ274" s="1157">
        <v>2014</v>
      </c>
      <c r="AR274" s="1129" t="s">
        <v>87</v>
      </c>
      <c r="AS274" s="1127">
        <v>0.33333333333333331</v>
      </c>
      <c r="AT274" s="1127">
        <v>0.33333333333333331</v>
      </c>
      <c r="AU274" s="1127">
        <v>0.33333333333333331</v>
      </c>
      <c r="AV274" s="1127"/>
      <c r="AW274" s="1127"/>
      <c r="AX274" s="1127"/>
      <c r="AY274" s="1127"/>
      <c r="AZ274" s="1127"/>
      <c r="BA274" s="1129">
        <v>176.60892063492065</v>
      </c>
      <c r="BB274" s="1129">
        <v>176.60892063492065</v>
      </c>
      <c r="BC274" s="1129">
        <v>176.60892063492065</v>
      </c>
      <c r="BD274" s="1129">
        <v>0</v>
      </c>
      <c r="BE274" s="1129">
        <v>0</v>
      </c>
      <c r="BF274" s="1129">
        <v>0</v>
      </c>
      <c r="BG274" s="1129">
        <v>0</v>
      </c>
      <c r="BH274" s="1129">
        <v>0</v>
      </c>
      <c r="BI274" s="1981"/>
      <c r="BJ274" s="971"/>
      <c r="BK274" s="971"/>
      <c r="BL274" s="1246"/>
      <c r="BM274" s="1247" t="s">
        <v>687</v>
      </c>
    </row>
    <row r="275" spans="1:65" s="1247" customFormat="1" ht="66" customHeight="1">
      <c r="A275" s="1272">
        <v>4000</v>
      </c>
      <c r="B275" s="971" t="s">
        <v>1316</v>
      </c>
      <c r="C275" s="1272">
        <v>4500</v>
      </c>
      <c r="D275" s="971" t="s">
        <v>452</v>
      </c>
      <c r="E275" s="971" t="s">
        <v>1885</v>
      </c>
      <c r="F275" s="971" t="s">
        <v>1882</v>
      </c>
      <c r="G275" s="971">
        <v>4540</v>
      </c>
      <c r="H275" s="971" t="s">
        <v>1883</v>
      </c>
      <c r="I275" s="1273" t="s">
        <v>7615</v>
      </c>
      <c r="J275" s="971" t="s">
        <v>686</v>
      </c>
      <c r="K275" s="971" t="s">
        <v>2123</v>
      </c>
      <c r="L275" s="971" t="s">
        <v>2124</v>
      </c>
      <c r="M275" s="971" t="s">
        <v>2123</v>
      </c>
      <c r="N275" s="971" t="s">
        <v>179</v>
      </c>
      <c r="O275" s="971" t="s">
        <v>2124</v>
      </c>
      <c r="P275" s="971" t="s">
        <v>7266</v>
      </c>
      <c r="Q275" s="971" t="s">
        <v>7616</v>
      </c>
      <c r="R275" s="971" t="s">
        <v>5186</v>
      </c>
      <c r="S275" s="1274">
        <v>1</v>
      </c>
      <c r="T275" s="971" t="s">
        <v>242</v>
      </c>
      <c r="U275" s="1275">
        <v>19.2</v>
      </c>
      <c r="V275" s="1275">
        <v>213</v>
      </c>
      <c r="W275" s="1275">
        <v>1918.3369142857146</v>
      </c>
      <c r="X275" s="1275">
        <v>2130</v>
      </c>
      <c r="Y275" s="1275">
        <v>4261.3369142857146</v>
      </c>
      <c r="Z275" s="1129">
        <v>19.2</v>
      </c>
      <c r="AA275" s="1129">
        <v>213</v>
      </c>
      <c r="AB275" s="1129">
        <v>1918.3369142857146</v>
      </c>
      <c r="AC275" s="1129">
        <v>2130</v>
      </c>
      <c r="AD275" s="1098">
        <v>4261.3369142857146</v>
      </c>
      <c r="AE275" s="1237">
        <v>1</v>
      </c>
      <c r="AF275" s="1133">
        <v>1</v>
      </c>
      <c r="AG275" s="1127">
        <v>1</v>
      </c>
      <c r="AH275" s="1127">
        <v>0</v>
      </c>
      <c r="AI275" s="1127">
        <v>0</v>
      </c>
      <c r="AJ275" s="1127">
        <v>1</v>
      </c>
      <c r="AK275" s="1129">
        <v>4261.3369142857146</v>
      </c>
      <c r="AL275" s="1129">
        <v>0</v>
      </c>
      <c r="AM275" s="1129">
        <v>0</v>
      </c>
      <c r="AN275" s="1129">
        <v>4261.3369142857146</v>
      </c>
      <c r="AO275" s="1129" t="s">
        <v>85</v>
      </c>
      <c r="AP275" s="1129" t="s">
        <v>96</v>
      </c>
      <c r="AQ275" s="1157">
        <v>2014</v>
      </c>
      <c r="AR275" s="1129" t="s">
        <v>87</v>
      </c>
      <c r="AS275" s="1127">
        <v>0.33333333333333331</v>
      </c>
      <c r="AT275" s="1127"/>
      <c r="AU275" s="1127">
        <v>0.33333333333333331</v>
      </c>
      <c r="AV275" s="1127"/>
      <c r="AW275" s="1127"/>
      <c r="AX275" s="1127"/>
      <c r="AY275" s="1127"/>
      <c r="AZ275" s="1127">
        <v>0.33333333333333331</v>
      </c>
      <c r="BA275" s="1129">
        <v>1420.4456380952381</v>
      </c>
      <c r="BB275" s="1129">
        <v>0</v>
      </c>
      <c r="BC275" s="1129">
        <v>1420.4456380952381</v>
      </c>
      <c r="BD275" s="1129">
        <v>0</v>
      </c>
      <c r="BE275" s="1129">
        <v>0</v>
      </c>
      <c r="BF275" s="1129">
        <v>0</v>
      </c>
      <c r="BG275" s="1129">
        <v>0</v>
      </c>
      <c r="BH275" s="1129">
        <v>1420.4456380952381</v>
      </c>
      <c r="BI275" s="1981"/>
      <c r="BJ275" s="971"/>
      <c r="BK275" s="971"/>
      <c r="BL275" s="1246"/>
      <c r="BM275" s="1247" t="s">
        <v>2123</v>
      </c>
    </row>
    <row r="276" spans="1:65" s="1247" customFormat="1" ht="66" customHeight="1">
      <c r="A276" s="1272">
        <v>4000</v>
      </c>
      <c r="B276" s="971" t="s">
        <v>1316</v>
      </c>
      <c r="C276" s="1272">
        <v>4500</v>
      </c>
      <c r="D276" s="971" t="s">
        <v>452</v>
      </c>
      <c r="E276" s="971" t="s">
        <v>1885</v>
      </c>
      <c r="F276" s="971" t="s">
        <v>1882</v>
      </c>
      <c r="G276" s="971">
        <v>4540</v>
      </c>
      <c r="H276" s="971" t="s">
        <v>1883</v>
      </c>
      <c r="I276" s="1273" t="s">
        <v>7617</v>
      </c>
      <c r="J276" s="971" t="s">
        <v>686</v>
      </c>
      <c r="K276" s="971" t="s">
        <v>2123</v>
      </c>
      <c r="L276" s="971" t="s">
        <v>2124</v>
      </c>
      <c r="M276" s="971" t="s">
        <v>2123</v>
      </c>
      <c r="N276" s="971" t="s">
        <v>179</v>
      </c>
      <c r="O276" s="971" t="s">
        <v>2124</v>
      </c>
      <c r="P276" s="971" t="s">
        <v>7266</v>
      </c>
      <c r="Q276" s="971" t="s">
        <v>7618</v>
      </c>
      <c r="R276" s="971" t="s">
        <v>5187</v>
      </c>
      <c r="S276" s="1274">
        <v>1</v>
      </c>
      <c r="T276" s="971" t="s">
        <v>242</v>
      </c>
      <c r="U276" s="1275">
        <v>19.2</v>
      </c>
      <c r="V276" s="1275">
        <v>213</v>
      </c>
      <c r="W276" s="1275">
        <v>1918.3369142857146</v>
      </c>
      <c r="X276" s="1275">
        <v>2130</v>
      </c>
      <c r="Y276" s="1275">
        <v>4261.3369142857146</v>
      </c>
      <c r="Z276" s="1129">
        <v>19.2</v>
      </c>
      <c r="AA276" s="1129">
        <v>213</v>
      </c>
      <c r="AB276" s="1129">
        <v>1918.3369142857146</v>
      </c>
      <c r="AC276" s="1129">
        <v>2130</v>
      </c>
      <c r="AD276" s="1098">
        <v>4261.3369142857146</v>
      </c>
      <c r="AE276" s="1237">
        <v>1</v>
      </c>
      <c r="AF276" s="1133">
        <v>1</v>
      </c>
      <c r="AG276" s="1127">
        <v>1</v>
      </c>
      <c r="AH276" s="1127">
        <v>0</v>
      </c>
      <c r="AI276" s="1127">
        <v>0</v>
      </c>
      <c r="AJ276" s="1127">
        <v>1</v>
      </c>
      <c r="AK276" s="1129">
        <v>4261.3369142857146</v>
      </c>
      <c r="AL276" s="1129">
        <v>0</v>
      </c>
      <c r="AM276" s="1129">
        <v>0</v>
      </c>
      <c r="AN276" s="1129">
        <v>4261.3369142857146</v>
      </c>
      <c r="AO276" s="1129" t="s">
        <v>85</v>
      </c>
      <c r="AP276" s="1129" t="s">
        <v>96</v>
      </c>
      <c r="AQ276" s="1157">
        <v>2014</v>
      </c>
      <c r="AR276" s="1129" t="s">
        <v>87</v>
      </c>
      <c r="AS276" s="1127">
        <v>0.33333333333333331</v>
      </c>
      <c r="AT276" s="1127"/>
      <c r="AU276" s="1127">
        <v>0.33333333333333331</v>
      </c>
      <c r="AV276" s="1127"/>
      <c r="AW276" s="1127"/>
      <c r="AX276" s="1127"/>
      <c r="AY276" s="1127"/>
      <c r="AZ276" s="1127">
        <v>0.33333333333333331</v>
      </c>
      <c r="BA276" s="1129">
        <v>1420.4456380952381</v>
      </c>
      <c r="BB276" s="1129">
        <v>0</v>
      </c>
      <c r="BC276" s="1129">
        <v>1420.4456380952381</v>
      </c>
      <c r="BD276" s="1129">
        <v>0</v>
      </c>
      <c r="BE276" s="1129">
        <v>0</v>
      </c>
      <c r="BF276" s="1129">
        <v>0</v>
      </c>
      <c r="BG276" s="1129">
        <v>0</v>
      </c>
      <c r="BH276" s="1129">
        <v>1420.4456380952381</v>
      </c>
      <c r="BI276" s="1981"/>
      <c r="BJ276" s="971"/>
      <c r="BK276" s="971"/>
      <c r="BL276" s="1246"/>
      <c r="BM276" s="1247" t="s">
        <v>2123</v>
      </c>
    </row>
    <row r="277" spans="1:65" s="1247" customFormat="1" ht="49.5" customHeight="1">
      <c r="A277" s="1272">
        <v>4000</v>
      </c>
      <c r="B277" s="971" t="s">
        <v>1316</v>
      </c>
      <c r="C277" s="1272">
        <v>4600</v>
      </c>
      <c r="D277" s="971" t="s">
        <v>838</v>
      </c>
      <c r="E277" s="971" t="s">
        <v>6611</v>
      </c>
      <c r="F277" s="971" t="s">
        <v>1924</v>
      </c>
      <c r="G277" s="971" t="s">
        <v>1925</v>
      </c>
      <c r="H277" s="971" t="s">
        <v>842</v>
      </c>
      <c r="I277" s="1273" t="s">
        <v>7619</v>
      </c>
      <c r="J277" s="971" t="s">
        <v>868</v>
      </c>
      <c r="K277" s="971" t="s">
        <v>1768</v>
      </c>
      <c r="L277" s="971" t="s">
        <v>3420</v>
      </c>
      <c r="M277" s="971" t="s">
        <v>1768</v>
      </c>
      <c r="N277" s="971" t="s">
        <v>179</v>
      </c>
      <c r="O277" s="971" t="s">
        <v>1769</v>
      </c>
      <c r="P277" s="971" t="s">
        <v>7335</v>
      </c>
      <c r="Q277" s="971" t="s">
        <v>7338</v>
      </c>
      <c r="R277" s="971" t="s">
        <v>1940</v>
      </c>
      <c r="S277" s="1274">
        <v>1</v>
      </c>
      <c r="T277" s="971" t="s">
        <v>242</v>
      </c>
      <c r="U277" s="1275">
        <v>8.1</v>
      </c>
      <c r="V277" s="1275">
        <v>106.5</v>
      </c>
      <c r="W277" s="1275">
        <v>809.29838571428581</v>
      </c>
      <c r="X277" s="1275">
        <v>1065</v>
      </c>
      <c r="Y277" s="1275">
        <v>1980.7983857142858</v>
      </c>
      <c r="Z277" s="1129">
        <v>8.1</v>
      </c>
      <c r="AA277" s="1129">
        <v>106.5</v>
      </c>
      <c r="AB277" s="1129">
        <v>809.29838571428581</v>
      </c>
      <c r="AC277" s="1129">
        <v>1065</v>
      </c>
      <c r="AD277" s="1098">
        <v>1980.7983857142858</v>
      </c>
      <c r="AE277" s="1237">
        <v>0.5</v>
      </c>
      <c r="AF277" s="1133">
        <v>0.5</v>
      </c>
      <c r="AG277" s="1127">
        <v>1</v>
      </c>
      <c r="AH277" s="1127">
        <v>0</v>
      </c>
      <c r="AI277" s="1127">
        <v>0</v>
      </c>
      <c r="AJ277" s="1127">
        <v>1</v>
      </c>
      <c r="AK277" s="1129">
        <v>1980.7983857142858</v>
      </c>
      <c r="AL277" s="1129">
        <v>0</v>
      </c>
      <c r="AM277" s="1129">
        <v>0</v>
      </c>
      <c r="AN277" s="1129">
        <v>1980.7983857142858</v>
      </c>
      <c r="AO277" s="1129" t="s">
        <v>85</v>
      </c>
      <c r="AP277" s="1129" t="s">
        <v>96</v>
      </c>
      <c r="AQ277" s="1157">
        <v>2014</v>
      </c>
      <c r="AR277" s="1129" t="s">
        <v>87</v>
      </c>
      <c r="AS277" s="1127">
        <v>0.5</v>
      </c>
      <c r="AT277" s="1127">
        <v>0.5</v>
      </c>
      <c r="AU277" s="1127"/>
      <c r="AV277" s="1127"/>
      <c r="AW277" s="1127"/>
      <c r="AX277" s="1127"/>
      <c r="AY277" s="1127"/>
      <c r="AZ277" s="1127"/>
      <c r="BA277" s="1129">
        <v>990.39919285714291</v>
      </c>
      <c r="BB277" s="1129">
        <v>990.39919285714291</v>
      </c>
      <c r="BC277" s="1129">
        <v>0</v>
      </c>
      <c r="BD277" s="1129">
        <v>0</v>
      </c>
      <c r="BE277" s="1129">
        <v>0</v>
      </c>
      <c r="BF277" s="1129">
        <v>0</v>
      </c>
      <c r="BG277" s="1129">
        <v>0</v>
      </c>
      <c r="BH277" s="1129">
        <v>0</v>
      </c>
      <c r="BI277" s="1981"/>
      <c r="BJ277" s="971"/>
      <c r="BK277" s="971"/>
      <c r="BL277" s="1246"/>
      <c r="BM277" s="1247" t="s">
        <v>1768</v>
      </c>
    </row>
    <row r="278" spans="1:65" s="1247" customFormat="1" ht="49.5" customHeight="1">
      <c r="A278" s="1272">
        <v>4000</v>
      </c>
      <c r="B278" s="971" t="s">
        <v>1316</v>
      </c>
      <c r="C278" s="1272">
        <v>4600</v>
      </c>
      <c r="D278" s="971" t="s">
        <v>838</v>
      </c>
      <c r="E278" s="971" t="s">
        <v>6611</v>
      </c>
      <c r="F278" s="971" t="s">
        <v>1924</v>
      </c>
      <c r="G278" s="971" t="s">
        <v>1925</v>
      </c>
      <c r="H278" s="971" t="s">
        <v>842</v>
      </c>
      <c r="I278" s="1273" t="s">
        <v>7620</v>
      </c>
      <c r="J278" s="971" t="s">
        <v>2143</v>
      </c>
      <c r="K278" s="971" t="s">
        <v>1768</v>
      </c>
      <c r="L278" s="971" t="s">
        <v>3420</v>
      </c>
      <c r="M278" s="971" t="s">
        <v>1768</v>
      </c>
      <c r="N278" s="971" t="s">
        <v>179</v>
      </c>
      <c r="O278" s="971" t="s">
        <v>1769</v>
      </c>
      <c r="P278" s="971" t="s">
        <v>6663</v>
      </c>
      <c r="Q278" s="971" t="s">
        <v>7621</v>
      </c>
      <c r="R278" s="971" t="s">
        <v>5189</v>
      </c>
      <c r="S278" s="1274">
        <v>1</v>
      </c>
      <c r="T278" s="971" t="s">
        <v>242</v>
      </c>
      <c r="U278" s="1275">
        <v>8.1</v>
      </c>
      <c r="V278" s="1275">
        <v>106.5</v>
      </c>
      <c r="W278" s="1275">
        <v>809.29838571428581</v>
      </c>
      <c r="X278" s="1275">
        <v>1065</v>
      </c>
      <c r="Y278" s="1275">
        <v>1980.7983857142858</v>
      </c>
      <c r="Z278" s="1129">
        <v>8.1</v>
      </c>
      <c r="AA278" s="1129">
        <v>106.5</v>
      </c>
      <c r="AB278" s="1129">
        <v>809.29838571428581</v>
      </c>
      <c r="AC278" s="1129">
        <v>1065</v>
      </c>
      <c r="AD278" s="1098">
        <v>1980.7983857142858</v>
      </c>
      <c r="AE278" s="1237">
        <v>0.5</v>
      </c>
      <c r="AF278" s="1133">
        <v>0.5</v>
      </c>
      <c r="AG278" s="1127">
        <v>1</v>
      </c>
      <c r="AH278" s="1127">
        <v>0</v>
      </c>
      <c r="AI278" s="1127">
        <v>0</v>
      </c>
      <c r="AJ278" s="1127">
        <v>1</v>
      </c>
      <c r="AK278" s="1129">
        <v>1980.7983857142858</v>
      </c>
      <c r="AL278" s="1129">
        <v>0</v>
      </c>
      <c r="AM278" s="1129">
        <v>0</v>
      </c>
      <c r="AN278" s="1129">
        <v>1980.7983857142858</v>
      </c>
      <c r="AO278" s="1129" t="s">
        <v>85</v>
      </c>
      <c r="AP278" s="1129" t="s">
        <v>96</v>
      </c>
      <c r="AQ278" s="1157">
        <v>2014</v>
      </c>
      <c r="AR278" s="1129" t="s">
        <v>87</v>
      </c>
      <c r="AS278" s="1127">
        <v>0.5</v>
      </c>
      <c r="AT278" s="1127">
        <v>0.5</v>
      </c>
      <c r="AU278" s="1127"/>
      <c r="AV278" s="1127"/>
      <c r="AW278" s="1127"/>
      <c r="AX278" s="1127"/>
      <c r="AY278" s="1127"/>
      <c r="AZ278" s="1127"/>
      <c r="BA278" s="1129">
        <v>990.39919285714291</v>
      </c>
      <c r="BB278" s="1129">
        <v>990.39919285714291</v>
      </c>
      <c r="BC278" s="1129">
        <v>0</v>
      </c>
      <c r="BD278" s="1129">
        <v>0</v>
      </c>
      <c r="BE278" s="1129">
        <v>0</v>
      </c>
      <c r="BF278" s="1129">
        <v>0</v>
      </c>
      <c r="BG278" s="1129">
        <v>0</v>
      </c>
      <c r="BH278" s="1129">
        <v>0</v>
      </c>
      <c r="BI278" s="1981"/>
      <c r="BJ278" s="971"/>
      <c r="BK278" s="971"/>
      <c r="BL278" s="1246"/>
      <c r="BM278" s="1247" t="s">
        <v>1768</v>
      </c>
    </row>
    <row r="279" spans="1:65" s="1247" customFormat="1" ht="49.5" customHeight="1">
      <c r="A279" s="1272">
        <v>4000</v>
      </c>
      <c r="B279" s="971" t="s">
        <v>1316</v>
      </c>
      <c r="C279" s="1272">
        <v>4600</v>
      </c>
      <c r="D279" s="971" t="s">
        <v>838</v>
      </c>
      <c r="E279" s="971" t="s">
        <v>6611</v>
      </c>
      <c r="F279" s="971" t="s">
        <v>1924</v>
      </c>
      <c r="G279" s="971" t="s">
        <v>1925</v>
      </c>
      <c r="H279" s="971" t="s">
        <v>842</v>
      </c>
      <c r="I279" s="1273" t="s">
        <v>7622</v>
      </c>
      <c r="J279" s="971" t="s">
        <v>2143</v>
      </c>
      <c r="K279" s="971" t="s">
        <v>1768</v>
      </c>
      <c r="L279" s="971" t="s">
        <v>3420</v>
      </c>
      <c r="M279" s="971" t="s">
        <v>1768</v>
      </c>
      <c r="N279" s="971" t="s">
        <v>179</v>
      </c>
      <c r="O279" s="971" t="s">
        <v>1769</v>
      </c>
      <c r="P279" s="971" t="s">
        <v>6663</v>
      </c>
      <c r="Q279" s="971" t="s">
        <v>7621</v>
      </c>
      <c r="R279" s="971" t="s">
        <v>5191</v>
      </c>
      <c r="S279" s="1274">
        <v>1</v>
      </c>
      <c r="T279" s="971" t="s">
        <v>242</v>
      </c>
      <c r="U279" s="1275">
        <v>8.1</v>
      </c>
      <c r="V279" s="1275">
        <v>106.5</v>
      </c>
      <c r="W279" s="1275">
        <v>809.29838571428581</v>
      </c>
      <c r="X279" s="1275">
        <v>1065</v>
      </c>
      <c r="Y279" s="1275">
        <v>1980.7983857142858</v>
      </c>
      <c r="Z279" s="1129">
        <v>8.1</v>
      </c>
      <c r="AA279" s="1129">
        <v>106.5</v>
      </c>
      <c r="AB279" s="1129">
        <v>809.29838571428581</v>
      </c>
      <c r="AC279" s="1129">
        <v>1065</v>
      </c>
      <c r="AD279" s="1098">
        <v>1980.7983857142858</v>
      </c>
      <c r="AE279" s="1237">
        <v>0.5</v>
      </c>
      <c r="AF279" s="1133">
        <v>0.5</v>
      </c>
      <c r="AG279" s="1127">
        <v>1</v>
      </c>
      <c r="AH279" s="1127">
        <v>0</v>
      </c>
      <c r="AI279" s="1127">
        <v>0</v>
      </c>
      <c r="AJ279" s="1127">
        <v>1</v>
      </c>
      <c r="AK279" s="1129">
        <v>1980.7983857142858</v>
      </c>
      <c r="AL279" s="1129">
        <v>0</v>
      </c>
      <c r="AM279" s="1129">
        <v>0</v>
      </c>
      <c r="AN279" s="1129">
        <v>1980.7983857142858</v>
      </c>
      <c r="AO279" s="1129" t="s">
        <v>85</v>
      </c>
      <c r="AP279" s="1129" t="s">
        <v>96</v>
      </c>
      <c r="AQ279" s="1157">
        <v>2014</v>
      </c>
      <c r="AR279" s="1129" t="s">
        <v>87</v>
      </c>
      <c r="AS279" s="1127">
        <v>0.5</v>
      </c>
      <c r="AT279" s="1127">
        <v>0.5</v>
      </c>
      <c r="AU279" s="1127"/>
      <c r="AV279" s="1127"/>
      <c r="AW279" s="1127"/>
      <c r="AX279" s="1127"/>
      <c r="AY279" s="1127"/>
      <c r="AZ279" s="1127"/>
      <c r="BA279" s="1129">
        <v>990.39919285714291</v>
      </c>
      <c r="BB279" s="1129">
        <v>990.39919285714291</v>
      </c>
      <c r="BC279" s="1129">
        <v>0</v>
      </c>
      <c r="BD279" s="1129">
        <v>0</v>
      </c>
      <c r="BE279" s="1129">
        <v>0</v>
      </c>
      <c r="BF279" s="1129">
        <v>0</v>
      </c>
      <c r="BG279" s="1129">
        <v>0</v>
      </c>
      <c r="BH279" s="1129">
        <v>0</v>
      </c>
      <c r="BI279" s="1981"/>
      <c r="BJ279" s="971"/>
      <c r="BK279" s="971"/>
      <c r="BL279" s="1246"/>
      <c r="BM279" s="1247" t="s">
        <v>1768</v>
      </c>
    </row>
    <row r="280" spans="1:65" s="1247" customFormat="1" ht="49.5" customHeight="1">
      <c r="A280" s="1272">
        <v>4000</v>
      </c>
      <c r="B280" s="971" t="s">
        <v>1316</v>
      </c>
      <c r="C280" s="1272">
        <v>4600</v>
      </c>
      <c r="D280" s="971" t="s">
        <v>838</v>
      </c>
      <c r="E280" s="971" t="s">
        <v>6611</v>
      </c>
      <c r="F280" s="971" t="s">
        <v>1924</v>
      </c>
      <c r="G280" s="971" t="s">
        <v>1925</v>
      </c>
      <c r="H280" s="971" t="s">
        <v>842</v>
      </c>
      <c r="I280" s="1273" t="s">
        <v>7623</v>
      </c>
      <c r="J280" s="971" t="s">
        <v>2143</v>
      </c>
      <c r="K280" s="971" t="s">
        <v>1768</v>
      </c>
      <c r="L280" s="971" t="s">
        <v>3420</v>
      </c>
      <c r="M280" s="971" t="s">
        <v>1768</v>
      </c>
      <c r="N280" s="971" t="s">
        <v>179</v>
      </c>
      <c r="O280" s="971" t="s">
        <v>1769</v>
      </c>
      <c r="P280" s="971" t="s">
        <v>6663</v>
      </c>
      <c r="Q280" s="971" t="s">
        <v>7621</v>
      </c>
      <c r="R280" s="971" t="s">
        <v>5192</v>
      </c>
      <c r="S280" s="1274">
        <v>1</v>
      </c>
      <c r="T280" s="971" t="s">
        <v>242</v>
      </c>
      <c r="U280" s="1275">
        <v>8.1</v>
      </c>
      <c r="V280" s="1275">
        <v>106.5</v>
      </c>
      <c r="W280" s="1275">
        <v>809.29838571428581</v>
      </c>
      <c r="X280" s="1275">
        <v>1065</v>
      </c>
      <c r="Y280" s="1275">
        <v>1980.7983857142858</v>
      </c>
      <c r="Z280" s="1129">
        <v>8.1</v>
      </c>
      <c r="AA280" s="1129">
        <v>106.5</v>
      </c>
      <c r="AB280" s="1129">
        <v>809.29838571428581</v>
      </c>
      <c r="AC280" s="1129">
        <v>1065</v>
      </c>
      <c r="AD280" s="1098">
        <v>1980.7983857142858</v>
      </c>
      <c r="AE280" s="1237">
        <v>0.5</v>
      </c>
      <c r="AF280" s="1133">
        <v>0.5</v>
      </c>
      <c r="AG280" s="1127">
        <v>1</v>
      </c>
      <c r="AH280" s="1127">
        <v>0</v>
      </c>
      <c r="AI280" s="1127">
        <v>0</v>
      </c>
      <c r="AJ280" s="1127">
        <v>1</v>
      </c>
      <c r="AK280" s="1129">
        <v>1980.7983857142858</v>
      </c>
      <c r="AL280" s="1129">
        <v>0</v>
      </c>
      <c r="AM280" s="1129">
        <v>0</v>
      </c>
      <c r="AN280" s="1129">
        <v>1980.7983857142858</v>
      </c>
      <c r="AO280" s="1129" t="s">
        <v>85</v>
      </c>
      <c r="AP280" s="1129" t="s">
        <v>96</v>
      </c>
      <c r="AQ280" s="1157">
        <v>2014</v>
      </c>
      <c r="AR280" s="1129" t="s">
        <v>87</v>
      </c>
      <c r="AS280" s="1127">
        <v>0.5</v>
      </c>
      <c r="AT280" s="1127">
        <v>0.5</v>
      </c>
      <c r="AU280" s="1127"/>
      <c r="AV280" s="1127"/>
      <c r="AW280" s="1127"/>
      <c r="AX280" s="1127"/>
      <c r="AY280" s="1127"/>
      <c r="AZ280" s="1127"/>
      <c r="BA280" s="1129">
        <v>990.39919285714291</v>
      </c>
      <c r="BB280" s="1129">
        <v>990.39919285714291</v>
      </c>
      <c r="BC280" s="1129">
        <v>0</v>
      </c>
      <c r="BD280" s="1129">
        <v>0</v>
      </c>
      <c r="BE280" s="1129">
        <v>0</v>
      </c>
      <c r="BF280" s="1129">
        <v>0</v>
      </c>
      <c r="BG280" s="1129">
        <v>0</v>
      </c>
      <c r="BH280" s="1129">
        <v>0</v>
      </c>
      <c r="BI280" s="1981"/>
      <c r="BJ280" s="971"/>
      <c r="BK280" s="971"/>
      <c r="BL280" s="1246"/>
      <c r="BM280" s="1247" t="s">
        <v>1768</v>
      </c>
    </row>
    <row r="281" spans="1:65" s="1247" customFormat="1" ht="49.5" customHeight="1">
      <c r="A281" s="1272">
        <v>4000</v>
      </c>
      <c r="B281" s="971" t="s">
        <v>1316</v>
      </c>
      <c r="C281" s="1272">
        <v>4600</v>
      </c>
      <c r="D281" s="971" t="s">
        <v>838</v>
      </c>
      <c r="E281" s="971" t="s">
        <v>6611</v>
      </c>
      <c r="F281" s="971" t="s">
        <v>1924</v>
      </c>
      <c r="G281" s="971" t="s">
        <v>1925</v>
      </c>
      <c r="H281" s="971" t="s">
        <v>842</v>
      </c>
      <c r="I281" s="1273" t="s">
        <v>7624</v>
      </c>
      <c r="J281" s="971" t="s">
        <v>2143</v>
      </c>
      <c r="K281" s="971" t="s">
        <v>1768</v>
      </c>
      <c r="L281" s="971" t="s">
        <v>3420</v>
      </c>
      <c r="M281" s="971" t="s">
        <v>1768</v>
      </c>
      <c r="N281" s="971" t="s">
        <v>179</v>
      </c>
      <c r="O281" s="971" t="s">
        <v>1769</v>
      </c>
      <c r="P281" s="971" t="s">
        <v>6663</v>
      </c>
      <c r="Q281" s="971" t="s">
        <v>7621</v>
      </c>
      <c r="R281" s="971" t="s">
        <v>5193</v>
      </c>
      <c r="S281" s="1274">
        <v>1</v>
      </c>
      <c r="T281" s="971" t="s">
        <v>242</v>
      </c>
      <c r="U281" s="1275">
        <v>8.1</v>
      </c>
      <c r="V281" s="1275">
        <v>106.5</v>
      </c>
      <c r="W281" s="1275">
        <v>809.29838571428581</v>
      </c>
      <c r="X281" s="1275">
        <v>1065</v>
      </c>
      <c r="Y281" s="1275">
        <v>1980.7983857142858</v>
      </c>
      <c r="Z281" s="1129">
        <v>8.1</v>
      </c>
      <c r="AA281" s="1129">
        <v>106.5</v>
      </c>
      <c r="AB281" s="1129">
        <v>809.29838571428581</v>
      </c>
      <c r="AC281" s="1129">
        <v>1065</v>
      </c>
      <c r="AD281" s="1098">
        <v>1980.7983857142858</v>
      </c>
      <c r="AE281" s="1237">
        <v>0.5</v>
      </c>
      <c r="AF281" s="1133">
        <v>0.5</v>
      </c>
      <c r="AG281" s="1127">
        <v>1</v>
      </c>
      <c r="AH281" s="1127">
        <v>0</v>
      </c>
      <c r="AI281" s="1127">
        <v>0</v>
      </c>
      <c r="AJ281" s="1127">
        <v>1</v>
      </c>
      <c r="AK281" s="1129">
        <v>1980.7983857142858</v>
      </c>
      <c r="AL281" s="1129">
        <v>0</v>
      </c>
      <c r="AM281" s="1129">
        <v>0</v>
      </c>
      <c r="AN281" s="1129">
        <v>1980.7983857142858</v>
      </c>
      <c r="AO281" s="1129" t="s">
        <v>85</v>
      </c>
      <c r="AP281" s="1129" t="s">
        <v>96</v>
      </c>
      <c r="AQ281" s="1157">
        <v>2014</v>
      </c>
      <c r="AR281" s="1129" t="s">
        <v>87</v>
      </c>
      <c r="AS281" s="1127">
        <v>0.5</v>
      </c>
      <c r="AT281" s="1127">
        <v>0.5</v>
      </c>
      <c r="AU281" s="1127"/>
      <c r="AV281" s="1127"/>
      <c r="AW281" s="1127"/>
      <c r="AX281" s="1127"/>
      <c r="AY281" s="1127"/>
      <c r="AZ281" s="1127"/>
      <c r="BA281" s="1129">
        <v>990.39919285714291</v>
      </c>
      <c r="BB281" s="1129">
        <v>990.39919285714291</v>
      </c>
      <c r="BC281" s="1129">
        <v>0</v>
      </c>
      <c r="BD281" s="1129">
        <v>0</v>
      </c>
      <c r="BE281" s="1129">
        <v>0</v>
      </c>
      <c r="BF281" s="1129">
        <v>0</v>
      </c>
      <c r="BG281" s="1129">
        <v>0</v>
      </c>
      <c r="BH281" s="1129">
        <v>0</v>
      </c>
      <c r="BI281" s="1981"/>
      <c r="BJ281" s="971"/>
      <c r="BK281" s="971"/>
      <c r="BL281" s="1246"/>
      <c r="BM281" s="1247" t="s">
        <v>1768</v>
      </c>
    </row>
    <row r="282" spans="1:65" s="1247" customFormat="1" ht="49.5" customHeight="1">
      <c r="A282" s="1272">
        <v>4000</v>
      </c>
      <c r="B282" s="971" t="s">
        <v>1316</v>
      </c>
      <c r="C282" s="1272">
        <v>4600</v>
      </c>
      <c r="D282" s="971" t="s">
        <v>838</v>
      </c>
      <c r="E282" s="971" t="s">
        <v>6611</v>
      </c>
      <c r="F282" s="971" t="s">
        <v>1924</v>
      </c>
      <c r="G282" s="971" t="s">
        <v>1925</v>
      </c>
      <c r="H282" s="971" t="s">
        <v>842</v>
      </c>
      <c r="I282" s="1273" t="s">
        <v>7625</v>
      </c>
      <c r="J282" s="971" t="s">
        <v>2143</v>
      </c>
      <c r="K282" s="971" t="s">
        <v>1768</v>
      </c>
      <c r="L282" s="971" t="s">
        <v>3420</v>
      </c>
      <c r="M282" s="971" t="s">
        <v>1768</v>
      </c>
      <c r="N282" s="971" t="s">
        <v>179</v>
      </c>
      <c r="O282" s="971" t="s">
        <v>1769</v>
      </c>
      <c r="P282" s="971" t="s">
        <v>6663</v>
      </c>
      <c r="Q282" s="971" t="s">
        <v>7621</v>
      </c>
      <c r="R282" s="971" t="s">
        <v>5194</v>
      </c>
      <c r="S282" s="1274">
        <v>1</v>
      </c>
      <c r="T282" s="971" t="s">
        <v>242</v>
      </c>
      <c r="U282" s="1275">
        <v>8.1</v>
      </c>
      <c r="V282" s="1275">
        <v>106.5</v>
      </c>
      <c r="W282" s="1275">
        <v>809.29838571428581</v>
      </c>
      <c r="X282" s="1275">
        <v>1065</v>
      </c>
      <c r="Y282" s="1275">
        <v>1980.7983857142858</v>
      </c>
      <c r="Z282" s="1129">
        <v>8.1</v>
      </c>
      <c r="AA282" s="1129">
        <v>106.5</v>
      </c>
      <c r="AB282" s="1129">
        <v>809.29838571428581</v>
      </c>
      <c r="AC282" s="1129">
        <v>1065</v>
      </c>
      <c r="AD282" s="1098">
        <v>1980.7983857142858</v>
      </c>
      <c r="AE282" s="1237">
        <v>0.5</v>
      </c>
      <c r="AF282" s="1133">
        <v>0.5</v>
      </c>
      <c r="AG282" s="1127">
        <v>1</v>
      </c>
      <c r="AH282" s="1127">
        <v>0</v>
      </c>
      <c r="AI282" s="1127">
        <v>0</v>
      </c>
      <c r="AJ282" s="1127">
        <v>1</v>
      </c>
      <c r="AK282" s="1129">
        <v>1980.7983857142858</v>
      </c>
      <c r="AL282" s="1129">
        <v>0</v>
      </c>
      <c r="AM282" s="1129">
        <v>0</v>
      </c>
      <c r="AN282" s="1129">
        <v>1980.7983857142858</v>
      </c>
      <c r="AO282" s="1129" t="s">
        <v>85</v>
      </c>
      <c r="AP282" s="1129" t="s">
        <v>96</v>
      </c>
      <c r="AQ282" s="1157">
        <v>2014</v>
      </c>
      <c r="AR282" s="1129" t="s">
        <v>87</v>
      </c>
      <c r="AS282" s="1127">
        <v>0.5</v>
      </c>
      <c r="AT282" s="1127">
        <v>0.5</v>
      </c>
      <c r="AU282" s="1127"/>
      <c r="AV282" s="1127"/>
      <c r="AW282" s="1127"/>
      <c r="AX282" s="1127"/>
      <c r="AY282" s="1127"/>
      <c r="AZ282" s="1127"/>
      <c r="BA282" s="1129">
        <v>990.39919285714291</v>
      </c>
      <c r="BB282" s="1129">
        <v>990.39919285714291</v>
      </c>
      <c r="BC282" s="1129">
        <v>0</v>
      </c>
      <c r="BD282" s="1129">
        <v>0</v>
      </c>
      <c r="BE282" s="1129">
        <v>0</v>
      </c>
      <c r="BF282" s="1129">
        <v>0</v>
      </c>
      <c r="BG282" s="1129">
        <v>0</v>
      </c>
      <c r="BH282" s="1129">
        <v>0</v>
      </c>
      <c r="BI282" s="1981"/>
      <c r="BJ282" s="971"/>
      <c r="BK282" s="971"/>
      <c r="BL282" s="1246"/>
      <c r="BM282" s="1247" t="s">
        <v>1768</v>
      </c>
    </row>
    <row r="283" spans="1:65" s="1247" customFormat="1" ht="49.5" customHeight="1">
      <c r="A283" s="1272">
        <v>4000</v>
      </c>
      <c r="B283" s="971" t="s">
        <v>1316</v>
      </c>
      <c r="C283" s="1272">
        <v>4600</v>
      </c>
      <c r="D283" s="971" t="s">
        <v>838</v>
      </c>
      <c r="E283" s="971" t="s">
        <v>6611</v>
      </c>
      <c r="F283" s="971" t="s">
        <v>1924</v>
      </c>
      <c r="G283" s="971" t="s">
        <v>1925</v>
      </c>
      <c r="H283" s="971" t="s">
        <v>842</v>
      </c>
      <c r="I283" s="1273" t="s">
        <v>7626</v>
      </c>
      <c r="J283" s="971" t="s">
        <v>2143</v>
      </c>
      <c r="K283" s="971" t="s">
        <v>1768</v>
      </c>
      <c r="L283" s="971" t="s">
        <v>3420</v>
      </c>
      <c r="M283" s="971" t="s">
        <v>1768</v>
      </c>
      <c r="N283" s="971" t="s">
        <v>179</v>
      </c>
      <c r="O283" s="971" t="s">
        <v>1769</v>
      </c>
      <c r="P283" s="971" t="s">
        <v>6663</v>
      </c>
      <c r="Q283" s="971" t="s">
        <v>7621</v>
      </c>
      <c r="R283" s="971" t="s">
        <v>5195</v>
      </c>
      <c r="S283" s="1274">
        <v>1</v>
      </c>
      <c r="T283" s="971" t="s">
        <v>242</v>
      </c>
      <c r="U283" s="1275">
        <v>8.1</v>
      </c>
      <c r="V283" s="1275">
        <v>106.5</v>
      </c>
      <c r="W283" s="1275">
        <v>809.29838571428581</v>
      </c>
      <c r="X283" s="1275">
        <v>1065</v>
      </c>
      <c r="Y283" s="1275">
        <v>1980.7983857142858</v>
      </c>
      <c r="Z283" s="1129">
        <v>8.1</v>
      </c>
      <c r="AA283" s="1129">
        <v>106.5</v>
      </c>
      <c r="AB283" s="1129">
        <v>809.29838571428581</v>
      </c>
      <c r="AC283" s="1129">
        <v>1065</v>
      </c>
      <c r="AD283" s="1098">
        <v>1980.7983857142858</v>
      </c>
      <c r="AE283" s="1237">
        <v>0.5</v>
      </c>
      <c r="AF283" s="1133">
        <v>0.5</v>
      </c>
      <c r="AG283" s="1127">
        <v>1</v>
      </c>
      <c r="AH283" s="1127">
        <v>0</v>
      </c>
      <c r="AI283" s="1127">
        <v>0</v>
      </c>
      <c r="AJ283" s="1127">
        <v>1</v>
      </c>
      <c r="AK283" s="1129">
        <v>1980.7983857142858</v>
      </c>
      <c r="AL283" s="1129">
        <v>0</v>
      </c>
      <c r="AM283" s="1129">
        <v>0</v>
      </c>
      <c r="AN283" s="1129">
        <v>1980.7983857142858</v>
      </c>
      <c r="AO283" s="1129" t="s">
        <v>85</v>
      </c>
      <c r="AP283" s="1129" t="s">
        <v>96</v>
      </c>
      <c r="AQ283" s="1157">
        <v>2014</v>
      </c>
      <c r="AR283" s="1129" t="s">
        <v>87</v>
      </c>
      <c r="AS283" s="1127">
        <v>0.5</v>
      </c>
      <c r="AT283" s="1127">
        <v>0.5</v>
      </c>
      <c r="AU283" s="1127"/>
      <c r="AV283" s="1127"/>
      <c r="AW283" s="1127"/>
      <c r="AX283" s="1127"/>
      <c r="AY283" s="1127"/>
      <c r="AZ283" s="1127"/>
      <c r="BA283" s="1129">
        <v>990.39919285714291</v>
      </c>
      <c r="BB283" s="1129">
        <v>990.39919285714291</v>
      </c>
      <c r="BC283" s="1129">
        <v>0</v>
      </c>
      <c r="BD283" s="1129">
        <v>0</v>
      </c>
      <c r="BE283" s="1129">
        <v>0</v>
      </c>
      <c r="BF283" s="1129">
        <v>0</v>
      </c>
      <c r="BG283" s="1129">
        <v>0</v>
      </c>
      <c r="BH283" s="1129">
        <v>0</v>
      </c>
      <c r="BI283" s="1981"/>
      <c r="BJ283" s="971"/>
      <c r="BK283" s="971"/>
      <c r="BL283" s="1246"/>
      <c r="BM283" s="1247" t="s">
        <v>1768</v>
      </c>
    </row>
    <row r="284" spans="1:65" s="1247" customFormat="1" ht="49.5" customHeight="1">
      <c r="A284" s="1272">
        <v>4000</v>
      </c>
      <c r="B284" s="971" t="s">
        <v>1316</v>
      </c>
      <c r="C284" s="1272">
        <v>4600</v>
      </c>
      <c r="D284" s="971" t="s">
        <v>838</v>
      </c>
      <c r="E284" s="971" t="s">
        <v>6611</v>
      </c>
      <c r="F284" s="971" t="s">
        <v>1924</v>
      </c>
      <c r="G284" s="971" t="s">
        <v>1925</v>
      </c>
      <c r="H284" s="971" t="s">
        <v>842</v>
      </c>
      <c r="I284" s="1273" t="s">
        <v>7627</v>
      </c>
      <c r="J284" s="971" t="s">
        <v>2143</v>
      </c>
      <c r="K284" s="971" t="s">
        <v>1768</v>
      </c>
      <c r="L284" s="971" t="s">
        <v>3420</v>
      </c>
      <c r="M284" s="971" t="s">
        <v>1768</v>
      </c>
      <c r="N284" s="971" t="s">
        <v>179</v>
      </c>
      <c r="O284" s="971" t="s">
        <v>1769</v>
      </c>
      <c r="P284" s="971" t="s">
        <v>6663</v>
      </c>
      <c r="Q284" s="971" t="s">
        <v>7621</v>
      </c>
      <c r="R284" s="971" t="s">
        <v>5196</v>
      </c>
      <c r="S284" s="1274">
        <v>1</v>
      </c>
      <c r="T284" s="971" t="s">
        <v>242</v>
      </c>
      <c r="U284" s="1275">
        <v>8.1</v>
      </c>
      <c r="V284" s="1275">
        <v>106.5</v>
      </c>
      <c r="W284" s="1275">
        <v>809.29838571428581</v>
      </c>
      <c r="X284" s="1275">
        <v>1065</v>
      </c>
      <c r="Y284" s="1275">
        <v>1980.7983857142858</v>
      </c>
      <c r="Z284" s="1129">
        <v>8.1</v>
      </c>
      <c r="AA284" s="1129">
        <v>106.5</v>
      </c>
      <c r="AB284" s="1129">
        <v>809.29838571428581</v>
      </c>
      <c r="AC284" s="1129">
        <v>1065</v>
      </c>
      <c r="AD284" s="1098">
        <v>1980.7983857142858</v>
      </c>
      <c r="AE284" s="1237">
        <v>0.5</v>
      </c>
      <c r="AF284" s="1133">
        <v>0.5</v>
      </c>
      <c r="AG284" s="1127">
        <v>1</v>
      </c>
      <c r="AH284" s="1127">
        <v>0</v>
      </c>
      <c r="AI284" s="1127">
        <v>0</v>
      </c>
      <c r="AJ284" s="1127">
        <v>1</v>
      </c>
      <c r="AK284" s="1129">
        <v>1980.7983857142858</v>
      </c>
      <c r="AL284" s="1129">
        <v>0</v>
      </c>
      <c r="AM284" s="1129">
        <v>0</v>
      </c>
      <c r="AN284" s="1129">
        <v>1980.7983857142858</v>
      </c>
      <c r="AO284" s="1129" t="s">
        <v>85</v>
      </c>
      <c r="AP284" s="1129" t="s">
        <v>96</v>
      </c>
      <c r="AQ284" s="1157">
        <v>2014</v>
      </c>
      <c r="AR284" s="1129" t="s">
        <v>87</v>
      </c>
      <c r="AS284" s="1127">
        <v>0.5</v>
      </c>
      <c r="AT284" s="1127">
        <v>0.5</v>
      </c>
      <c r="AU284" s="1127"/>
      <c r="AV284" s="1127"/>
      <c r="AW284" s="1127"/>
      <c r="AX284" s="1127"/>
      <c r="AY284" s="1127"/>
      <c r="AZ284" s="1127"/>
      <c r="BA284" s="1129">
        <v>990.39919285714291</v>
      </c>
      <c r="BB284" s="1129">
        <v>990.39919285714291</v>
      </c>
      <c r="BC284" s="1129">
        <v>0</v>
      </c>
      <c r="BD284" s="1129">
        <v>0</v>
      </c>
      <c r="BE284" s="1129">
        <v>0</v>
      </c>
      <c r="BF284" s="1129">
        <v>0</v>
      </c>
      <c r="BG284" s="1129">
        <v>0</v>
      </c>
      <c r="BH284" s="1129">
        <v>0</v>
      </c>
      <c r="BI284" s="1981"/>
      <c r="BJ284" s="971"/>
      <c r="BK284" s="971"/>
      <c r="BL284" s="1246"/>
      <c r="BM284" s="1247" t="s">
        <v>1768</v>
      </c>
    </row>
    <row r="285" spans="1:65" s="1247" customFormat="1" ht="49.5" customHeight="1">
      <c r="A285" s="1272">
        <v>4000</v>
      </c>
      <c r="B285" s="971" t="s">
        <v>1316</v>
      </c>
      <c r="C285" s="1272">
        <v>4600</v>
      </c>
      <c r="D285" s="971" t="s">
        <v>838</v>
      </c>
      <c r="E285" s="971" t="s">
        <v>6611</v>
      </c>
      <c r="F285" s="971" t="s">
        <v>1924</v>
      </c>
      <c r="G285" s="971" t="s">
        <v>1925</v>
      </c>
      <c r="H285" s="971" t="s">
        <v>842</v>
      </c>
      <c r="I285" s="1273" t="s">
        <v>7628</v>
      </c>
      <c r="J285" s="971" t="s">
        <v>2143</v>
      </c>
      <c r="K285" s="971" t="s">
        <v>1768</v>
      </c>
      <c r="L285" s="971" t="s">
        <v>3420</v>
      </c>
      <c r="M285" s="971" t="s">
        <v>1768</v>
      </c>
      <c r="N285" s="971" t="s">
        <v>179</v>
      </c>
      <c r="O285" s="971" t="s">
        <v>1769</v>
      </c>
      <c r="P285" s="971" t="s">
        <v>6663</v>
      </c>
      <c r="Q285" s="971" t="s">
        <v>7621</v>
      </c>
      <c r="R285" s="971" t="s">
        <v>5197</v>
      </c>
      <c r="S285" s="1274">
        <v>1</v>
      </c>
      <c r="T285" s="971" t="s">
        <v>242</v>
      </c>
      <c r="U285" s="1275">
        <v>8.1</v>
      </c>
      <c r="V285" s="1275">
        <v>106.5</v>
      </c>
      <c r="W285" s="1275">
        <v>809.29838571428581</v>
      </c>
      <c r="X285" s="1275">
        <v>1065</v>
      </c>
      <c r="Y285" s="1275">
        <v>1980.7983857142858</v>
      </c>
      <c r="Z285" s="1129">
        <v>8.1</v>
      </c>
      <c r="AA285" s="1129">
        <v>106.5</v>
      </c>
      <c r="AB285" s="1129">
        <v>809.29838571428581</v>
      </c>
      <c r="AC285" s="1129">
        <v>1065</v>
      </c>
      <c r="AD285" s="1098">
        <v>1980.7983857142858</v>
      </c>
      <c r="AE285" s="1237">
        <v>0.5</v>
      </c>
      <c r="AF285" s="1133">
        <v>0.5</v>
      </c>
      <c r="AG285" s="1127">
        <v>1</v>
      </c>
      <c r="AH285" s="1127">
        <v>0</v>
      </c>
      <c r="AI285" s="1127">
        <v>0</v>
      </c>
      <c r="AJ285" s="1127">
        <v>1</v>
      </c>
      <c r="AK285" s="1129">
        <v>1980.7983857142858</v>
      </c>
      <c r="AL285" s="1129">
        <v>0</v>
      </c>
      <c r="AM285" s="1129">
        <v>0</v>
      </c>
      <c r="AN285" s="1129">
        <v>1980.7983857142858</v>
      </c>
      <c r="AO285" s="1129" t="s">
        <v>85</v>
      </c>
      <c r="AP285" s="1129" t="s">
        <v>96</v>
      </c>
      <c r="AQ285" s="1157">
        <v>2014</v>
      </c>
      <c r="AR285" s="1129" t="s">
        <v>87</v>
      </c>
      <c r="AS285" s="1127">
        <v>0.5</v>
      </c>
      <c r="AT285" s="1127">
        <v>0.5</v>
      </c>
      <c r="AU285" s="1127"/>
      <c r="AV285" s="1127"/>
      <c r="AW285" s="1127"/>
      <c r="AX285" s="1127"/>
      <c r="AY285" s="1127"/>
      <c r="AZ285" s="1127"/>
      <c r="BA285" s="1129">
        <v>990.39919285714291</v>
      </c>
      <c r="BB285" s="1129">
        <v>990.39919285714291</v>
      </c>
      <c r="BC285" s="1129">
        <v>0</v>
      </c>
      <c r="BD285" s="1129">
        <v>0</v>
      </c>
      <c r="BE285" s="1129">
        <v>0</v>
      </c>
      <c r="BF285" s="1129">
        <v>0</v>
      </c>
      <c r="BG285" s="1129">
        <v>0</v>
      </c>
      <c r="BH285" s="1129">
        <v>0</v>
      </c>
      <c r="BI285" s="1981"/>
      <c r="BJ285" s="971"/>
      <c r="BK285" s="971"/>
      <c r="BL285" s="1246"/>
      <c r="BM285" s="1247" t="s">
        <v>1768</v>
      </c>
    </row>
    <row r="286" spans="1:65" s="1247" customFormat="1" ht="49.5" customHeight="1">
      <c r="A286" s="1272">
        <v>4000</v>
      </c>
      <c r="B286" s="971" t="s">
        <v>1316</v>
      </c>
      <c r="C286" s="1272">
        <v>4600</v>
      </c>
      <c r="D286" s="971" t="s">
        <v>838</v>
      </c>
      <c r="E286" s="971" t="s">
        <v>6611</v>
      </c>
      <c r="F286" s="971" t="s">
        <v>1924</v>
      </c>
      <c r="G286" s="971">
        <v>4619</v>
      </c>
      <c r="H286" s="971"/>
      <c r="I286" s="1273" t="s">
        <v>7629</v>
      </c>
      <c r="J286" s="971" t="s">
        <v>2212</v>
      </c>
      <c r="K286" s="971" t="s">
        <v>2123</v>
      </c>
      <c r="L286" s="971" t="s">
        <v>2124</v>
      </c>
      <c r="M286" s="971" t="s">
        <v>2123</v>
      </c>
      <c r="N286" s="971" t="s">
        <v>179</v>
      </c>
      <c r="O286" s="971" t="s">
        <v>2124</v>
      </c>
      <c r="P286" s="971" t="s">
        <v>6600</v>
      </c>
      <c r="Q286" s="971" t="s">
        <v>7362</v>
      </c>
      <c r="R286" s="971" t="s">
        <v>5201</v>
      </c>
      <c r="S286" s="1274">
        <v>1</v>
      </c>
      <c r="T286" s="971" t="s">
        <v>242</v>
      </c>
      <c r="U286" s="1275">
        <v>19.2</v>
      </c>
      <c r="V286" s="1275">
        <v>213</v>
      </c>
      <c r="W286" s="1275">
        <v>1918.3369142857146</v>
      </c>
      <c r="X286" s="1275">
        <v>2130</v>
      </c>
      <c r="Y286" s="1275">
        <v>4261.3369142857146</v>
      </c>
      <c r="Z286" s="1129">
        <v>19.2</v>
      </c>
      <c r="AA286" s="1129">
        <v>213</v>
      </c>
      <c r="AB286" s="1129">
        <v>1918.3369142857146</v>
      </c>
      <c r="AC286" s="1129">
        <v>2130</v>
      </c>
      <c r="AD286" s="1098">
        <v>4261.3369142857146</v>
      </c>
      <c r="AE286" s="1237">
        <v>1</v>
      </c>
      <c r="AF286" s="1133">
        <v>1</v>
      </c>
      <c r="AG286" s="1127">
        <v>1</v>
      </c>
      <c r="AH286" s="1127">
        <v>0</v>
      </c>
      <c r="AI286" s="1127">
        <v>0</v>
      </c>
      <c r="AJ286" s="1127">
        <v>1</v>
      </c>
      <c r="AK286" s="1129">
        <v>4261.3369142857146</v>
      </c>
      <c r="AL286" s="1129">
        <v>0</v>
      </c>
      <c r="AM286" s="1129">
        <v>0</v>
      </c>
      <c r="AN286" s="1129">
        <v>4261.3369142857146</v>
      </c>
      <c r="AO286" s="1129" t="s">
        <v>85</v>
      </c>
      <c r="AP286" s="1129" t="s">
        <v>96</v>
      </c>
      <c r="AQ286" s="1157">
        <v>2014</v>
      </c>
      <c r="AR286" s="1129" t="s">
        <v>87</v>
      </c>
      <c r="AS286" s="1127">
        <v>0.33333333333333331</v>
      </c>
      <c r="AT286" s="1127"/>
      <c r="AU286" s="1127">
        <v>0.33333333333333331</v>
      </c>
      <c r="AV286" s="1127"/>
      <c r="AW286" s="1127"/>
      <c r="AX286" s="1127"/>
      <c r="AY286" s="1127"/>
      <c r="AZ286" s="1127">
        <v>0.33333333333333331</v>
      </c>
      <c r="BA286" s="1129">
        <v>1420.4456380952381</v>
      </c>
      <c r="BB286" s="1129">
        <v>0</v>
      </c>
      <c r="BC286" s="1129">
        <v>1420.4456380952381</v>
      </c>
      <c r="BD286" s="1129">
        <v>0</v>
      </c>
      <c r="BE286" s="1129">
        <v>0</v>
      </c>
      <c r="BF286" s="1129">
        <v>0</v>
      </c>
      <c r="BG286" s="1129">
        <v>0</v>
      </c>
      <c r="BH286" s="1129">
        <v>1420.4456380952381</v>
      </c>
      <c r="BI286" s="1981"/>
      <c r="BJ286" s="971"/>
      <c r="BK286" s="971"/>
      <c r="BL286" s="1246"/>
      <c r="BM286" s="1247" t="s">
        <v>2123</v>
      </c>
    </row>
    <row r="287" spans="1:65" s="1247" customFormat="1" ht="49.5" customHeight="1">
      <c r="A287" s="1272">
        <v>4000</v>
      </c>
      <c r="B287" s="971" t="s">
        <v>1316</v>
      </c>
      <c r="C287" s="1272">
        <v>4600</v>
      </c>
      <c r="D287" s="971" t="s">
        <v>838</v>
      </c>
      <c r="E287" s="971" t="s">
        <v>6611</v>
      </c>
      <c r="F287" s="971" t="s">
        <v>1924</v>
      </c>
      <c r="G287" s="971">
        <v>4619</v>
      </c>
      <c r="H287" s="971"/>
      <c r="I287" s="1273" t="s">
        <v>7630</v>
      </c>
      <c r="J287" s="971" t="s">
        <v>2212</v>
      </c>
      <c r="K287" s="971" t="s">
        <v>2123</v>
      </c>
      <c r="L287" s="971" t="s">
        <v>2124</v>
      </c>
      <c r="M287" s="971" t="s">
        <v>2123</v>
      </c>
      <c r="N287" s="971" t="s">
        <v>179</v>
      </c>
      <c r="O287" s="971" t="s">
        <v>2124</v>
      </c>
      <c r="P287" s="971" t="s">
        <v>6600</v>
      </c>
      <c r="Q287" s="971" t="s">
        <v>7362</v>
      </c>
      <c r="R287" s="971" t="s">
        <v>5202</v>
      </c>
      <c r="S287" s="1274">
        <v>1</v>
      </c>
      <c r="T287" s="971" t="s">
        <v>242</v>
      </c>
      <c r="U287" s="1275">
        <v>19.2</v>
      </c>
      <c r="V287" s="1275">
        <v>213</v>
      </c>
      <c r="W287" s="1275">
        <v>1918.3369142857146</v>
      </c>
      <c r="X287" s="1275">
        <v>2130</v>
      </c>
      <c r="Y287" s="1275">
        <v>4261.3369142857146</v>
      </c>
      <c r="Z287" s="1129">
        <v>19.2</v>
      </c>
      <c r="AA287" s="1129">
        <v>213</v>
      </c>
      <c r="AB287" s="1129">
        <v>1918.3369142857146</v>
      </c>
      <c r="AC287" s="1129">
        <v>2130</v>
      </c>
      <c r="AD287" s="1098">
        <v>4261.3369142857146</v>
      </c>
      <c r="AE287" s="1237">
        <v>1</v>
      </c>
      <c r="AF287" s="1133">
        <v>1</v>
      </c>
      <c r="AG287" s="1127">
        <v>1</v>
      </c>
      <c r="AH287" s="1127">
        <v>0</v>
      </c>
      <c r="AI287" s="1127">
        <v>0</v>
      </c>
      <c r="AJ287" s="1127">
        <v>1</v>
      </c>
      <c r="AK287" s="1129">
        <v>4261.3369142857146</v>
      </c>
      <c r="AL287" s="1129">
        <v>0</v>
      </c>
      <c r="AM287" s="1129">
        <v>0</v>
      </c>
      <c r="AN287" s="1129">
        <v>4261.3369142857146</v>
      </c>
      <c r="AO287" s="1129" t="s">
        <v>85</v>
      </c>
      <c r="AP287" s="1129" t="s">
        <v>96</v>
      </c>
      <c r="AQ287" s="1157">
        <v>2014</v>
      </c>
      <c r="AR287" s="1129" t="s">
        <v>87</v>
      </c>
      <c r="AS287" s="1127">
        <v>0.33333333333333331</v>
      </c>
      <c r="AT287" s="1127"/>
      <c r="AU287" s="1127">
        <v>0.33333333333333331</v>
      </c>
      <c r="AV287" s="1127"/>
      <c r="AW287" s="1127"/>
      <c r="AX287" s="1127"/>
      <c r="AY287" s="1127"/>
      <c r="AZ287" s="1127">
        <v>0.33333333333333331</v>
      </c>
      <c r="BA287" s="1129">
        <v>1420.4456380952381</v>
      </c>
      <c r="BB287" s="1129">
        <v>0</v>
      </c>
      <c r="BC287" s="1129">
        <v>1420.4456380952381</v>
      </c>
      <c r="BD287" s="1129">
        <v>0</v>
      </c>
      <c r="BE287" s="1129">
        <v>0</v>
      </c>
      <c r="BF287" s="1129">
        <v>0</v>
      </c>
      <c r="BG287" s="1129">
        <v>0</v>
      </c>
      <c r="BH287" s="1129">
        <v>1420.4456380952381</v>
      </c>
      <c r="BI287" s="1981"/>
      <c r="BJ287" s="971"/>
      <c r="BK287" s="971"/>
      <c r="BL287" s="1246"/>
      <c r="BM287" s="1247" t="s">
        <v>2123</v>
      </c>
    </row>
    <row r="288" spans="1:65" s="1247" customFormat="1" ht="49.5" customHeight="1">
      <c r="A288" s="1272">
        <v>4000</v>
      </c>
      <c r="B288" s="971" t="s">
        <v>1316</v>
      </c>
      <c r="C288" s="1272">
        <v>4600</v>
      </c>
      <c r="D288" s="971" t="s">
        <v>838</v>
      </c>
      <c r="E288" s="971" t="s">
        <v>6611</v>
      </c>
      <c r="F288" s="971" t="s">
        <v>1924</v>
      </c>
      <c r="G288" s="971">
        <v>4619</v>
      </c>
      <c r="H288" s="971"/>
      <c r="I288" s="1273" t="s">
        <v>7631</v>
      </c>
      <c r="J288" s="971" t="s">
        <v>2212</v>
      </c>
      <c r="K288" s="971" t="s">
        <v>2123</v>
      </c>
      <c r="L288" s="971" t="s">
        <v>2124</v>
      </c>
      <c r="M288" s="971" t="s">
        <v>2123</v>
      </c>
      <c r="N288" s="971" t="s">
        <v>179</v>
      </c>
      <c r="O288" s="971" t="s">
        <v>2124</v>
      </c>
      <c r="P288" s="971" t="s">
        <v>6600</v>
      </c>
      <c r="Q288" s="971" t="s">
        <v>7362</v>
      </c>
      <c r="R288" s="971" t="s">
        <v>5203</v>
      </c>
      <c r="S288" s="1274">
        <v>1</v>
      </c>
      <c r="T288" s="971" t="s">
        <v>242</v>
      </c>
      <c r="U288" s="1275">
        <v>19.2</v>
      </c>
      <c r="V288" s="1275">
        <v>213</v>
      </c>
      <c r="W288" s="1275">
        <v>1918.3369142857146</v>
      </c>
      <c r="X288" s="1275">
        <v>2130</v>
      </c>
      <c r="Y288" s="1275">
        <v>4261.3369142857146</v>
      </c>
      <c r="Z288" s="1129">
        <v>19.2</v>
      </c>
      <c r="AA288" s="1129">
        <v>213</v>
      </c>
      <c r="AB288" s="1129">
        <v>1918.3369142857146</v>
      </c>
      <c r="AC288" s="1129">
        <v>2130</v>
      </c>
      <c r="AD288" s="1098">
        <v>4261.3369142857146</v>
      </c>
      <c r="AE288" s="1237">
        <v>1</v>
      </c>
      <c r="AF288" s="1133">
        <v>1</v>
      </c>
      <c r="AG288" s="1127">
        <v>1</v>
      </c>
      <c r="AH288" s="1127">
        <v>0</v>
      </c>
      <c r="AI288" s="1127">
        <v>0</v>
      </c>
      <c r="AJ288" s="1127">
        <v>1</v>
      </c>
      <c r="AK288" s="1129">
        <v>4261.3369142857146</v>
      </c>
      <c r="AL288" s="1129">
        <v>0</v>
      </c>
      <c r="AM288" s="1129">
        <v>0</v>
      </c>
      <c r="AN288" s="1129">
        <v>4261.3369142857146</v>
      </c>
      <c r="AO288" s="1129" t="s">
        <v>85</v>
      </c>
      <c r="AP288" s="1129" t="s">
        <v>96</v>
      </c>
      <c r="AQ288" s="1157">
        <v>2014</v>
      </c>
      <c r="AR288" s="1129" t="s">
        <v>87</v>
      </c>
      <c r="AS288" s="1127">
        <v>0.33333333333333331</v>
      </c>
      <c r="AT288" s="1127"/>
      <c r="AU288" s="1127">
        <v>0.33333333333333331</v>
      </c>
      <c r="AV288" s="1127"/>
      <c r="AW288" s="1127"/>
      <c r="AX288" s="1127"/>
      <c r="AY288" s="1127"/>
      <c r="AZ288" s="1127">
        <v>0.33333333333333331</v>
      </c>
      <c r="BA288" s="1129">
        <v>1420.4456380952381</v>
      </c>
      <c r="BB288" s="1129">
        <v>0</v>
      </c>
      <c r="BC288" s="1129">
        <v>1420.4456380952381</v>
      </c>
      <c r="BD288" s="1129">
        <v>0</v>
      </c>
      <c r="BE288" s="1129">
        <v>0</v>
      </c>
      <c r="BF288" s="1129">
        <v>0</v>
      </c>
      <c r="BG288" s="1129">
        <v>0</v>
      </c>
      <c r="BH288" s="1129">
        <v>1420.4456380952381</v>
      </c>
      <c r="BI288" s="1981"/>
      <c r="BJ288" s="971"/>
      <c r="BK288" s="971"/>
      <c r="BL288" s="1246"/>
      <c r="BM288" s="1247" t="s">
        <v>2123</v>
      </c>
    </row>
    <row r="289" spans="1:65" s="1247" customFormat="1" ht="49.5" customHeight="1">
      <c r="A289" s="1272">
        <v>4000</v>
      </c>
      <c r="B289" s="971" t="s">
        <v>1316</v>
      </c>
      <c r="C289" s="1272">
        <v>4600</v>
      </c>
      <c r="D289" s="971" t="s">
        <v>838</v>
      </c>
      <c r="E289" s="971" t="s">
        <v>6611</v>
      </c>
      <c r="F289" s="971" t="s">
        <v>1924</v>
      </c>
      <c r="G289" s="971">
        <v>4619</v>
      </c>
      <c r="H289" s="971"/>
      <c r="I289" s="1273" t="s">
        <v>7632</v>
      </c>
      <c r="J289" s="971" t="s">
        <v>2212</v>
      </c>
      <c r="K289" s="971" t="s">
        <v>2123</v>
      </c>
      <c r="L289" s="971" t="s">
        <v>2124</v>
      </c>
      <c r="M289" s="971" t="s">
        <v>2123</v>
      </c>
      <c r="N289" s="971" t="s">
        <v>179</v>
      </c>
      <c r="O289" s="971" t="s">
        <v>2124</v>
      </c>
      <c r="P289" s="971" t="s">
        <v>6600</v>
      </c>
      <c r="Q289" s="971" t="s">
        <v>7362</v>
      </c>
      <c r="R289" s="971" t="s">
        <v>5204</v>
      </c>
      <c r="S289" s="1274">
        <v>1</v>
      </c>
      <c r="T289" s="971" t="s">
        <v>242</v>
      </c>
      <c r="U289" s="1275">
        <v>19.2</v>
      </c>
      <c r="V289" s="1275">
        <v>213</v>
      </c>
      <c r="W289" s="1275">
        <v>1918.3369142857146</v>
      </c>
      <c r="X289" s="1275">
        <v>2130</v>
      </c>
      <c r="Y289" s="1275">
        <v>4261.3369142857146</v>
      </c>
      <c r="Z289" s="1129">
        <v>19.2</v>
      </c>
      <c r="AA289" s="1129">
        <v>213</v>
      </c>
      <c r="AB289" s="1129">
        <v>1918.3369142857146</v>
      </c>
      <c r="AC289" s="1129">
        <v>2130</v>
      </c>
      <c r="AD289" s="1098">
        <v>4261.3369142857146</v>
      </c>
      <c r="AE289" s="1237">
        <v>1</v>
      </c>
      <c r="AF289" s="1133">
        <v>1</v>
      </c>
      <c r="AG289" s="1127">
        <v>1</v>
      </c>
      <c r="AH289" s="1127">
        <v>0</v>
      </c>
      <c r="AI289" s="1127">
        <v>0</v>
      </c>
      <c r="AJ289" s="1127">
        <v>1</v>
      </c>
      <c r="AK289" s="1129">
        <v>4261.3369142857146</v>
      </c>
      <c r="AL289" s="1129">
        <v>0</v>
      </c>
      <c r="AM289" s="1129">
        <v>0</v>
      </c>
      <c r="AN289" s="1129">
        <v>4261.3369142857146</v>
      </c>
      <c r="AO289" s="1129" t="s">
        <v>85</v>
      </c>
      <c r="AP289" s="1129" t="s">
        <v>96</v>
      </c>
      <c r="AQ289" s="1157">
        <v>2014</v>
      </c>
      <c r="AR289" s="1129" t="s">
        <v>87</v>
      </c>
      <c r="AS289" s="1127">
        <v>0.33333333333333331</v>
      </c>
      <c r="AT289" s="1127"/>
      <c r="AU289" s="1127">
        <v>0.33333333333333331</v>
      </c>
      <c r="AV289" s="1127"/>
      <c r="AW289" s="1127"/>
      <c r="AX289" s="1127"/>
      <c r="AY289" s="1127"/>
      <c r="AZ289" s="1127">
        <v>0.33333333333333331</v>
      </c>
      <c r="BA289" s="1129">
        <v>1420.4456380952381</v>
      </c>
      <c r="BB289" s="1129">
        <v>0</v>
      </c>
      <c r="BC289" s="1129">
        <v>1420.4456380952381</v>
      </c>
      <c r="BD289" s="1129">
        <v>0</v>
      </c>
      <c r="BE289" s="1129">
        <v>0</v>
      </c>
      <c r="BF289" s="1129">
        <v>0</v>
      </c>
      <c r="BG289" s="1129">
        <v>0</v>
      </c>
      <c r="BH289" s="1129">
        <v>1420.4456380952381</v>
      </c>
      <c r="BI289" s="1981"/>
      <c r="BJ289" s="971"/>
      <c r="BK289" s="971"/>
      <c r="BL289" s="1246"/>
      <c r="BM289" s="1247" t="s">
        <v>2123</v>
      </c>
    </row>
    <row r="290" spans="1:65" s="1247" customFormat="1" ht="49.5" customHeight="1">
      <c r="A290" s="1272">
        <v>4000</v>
      </c>
      <c r="B290" s="971" t="s">
        <v>1316</v>
      </c>
      <c r="C290" s="1272">
        <v>4600</v>
      </c>
      <c r="D290" s="971" t="s">
        <v>838</v>
      </c>
      <c r="E290" s="971" t="s">
        <v>6611</v>
      </c>
      <c r="F290" s="971" t="s">
        <v>1924</v>
      </c>
      <c r="G290" s="971">
        <v>4619</v>
      </c>
      <c r="H290" s="971"/>
      <c r="I290" s="1273" t="s">
        <v>7633</v>
      </c>
      <c r="J290" s="971" t="s">
        <v>2212</v>
      </c>
      <c r="K290" s="971" t="s">
        <v>2123</v>
      </c>
      <c r="L290" s="971" t="s">
        <v>2124</v>
      </c>
      <c r="M290" s="971" t="s">
        <v>2123</v>
      </c>
      <c r="N290" s="971" t="s">
        <v>179</v>
      </c>
      <c r="O290" s="971" t="s">
        <v>2124</v>
      </c>
      <c r="P290" s="971" t="s">
        <v>6600</v>
      </c>
      <c r="Q290" s="971" t="s">
        <v>7362</v>
      </c>
      <c r="R290" s="971" t="s">
        <v>5205</v>
      </c>
      <c r="S290" s="1274">
        <v>1</v>
      </c>
      <c r="T290" s="971" t="s">
        <v>242</v>
      </c>
      <c r="U290" s="1275">
        <v>19.2</v>
      </c>
      <c r="V290" s="1275">
        <v>213</v>
      </c>
      <c r="W290" s="1275">
        <v>1918.3369142857146</v>
      </c>
      <c r="X290" s="1275">
        <v>2130</v>
      </c>
      <c r="Y290" s="1275">
        <v>4261.3369142857146</v>
      </c>
      <c r="Z290" s="1129">
        <v>19.2</v>
      </c>
      <c r="AA290" s="1129">
        <v>213</v>
      </c>
      <c r="AB290" s="1129">
        <v>1918.3369142857146</v>
      </c>
      <c r="AC290" s="1129">
        <v>2130</v>
      </c>
      <c r="AD290" s="1098">
        <v>4261.3369142857146</v>
      </c>
      <c r="AE290" s="1237">
        <v>1</v>
      </c>
      <c r="AF290" s="1133">
        <v>1</v>
      </c>
      <c r="AG290" s="1127">
        <v>1</v>
      </c>
      <c r="AH290" s="1127">
        <v>0</v>
      </c>
      <c r="AI290" s="1127">
        <v>0</v>
      </c>
      <c r="AJ290" s="1127">
        <v>1</v>
      </c>
      <c r="AK290" s="1129">
        <v>4261.3369142857146</v>
      </c>
      <c r="AL290" s="1129">
        <v>0</v>
      </c>
      <c r="AM290" s="1129">
        <v>0</v>
      </c>
      <c r="AN290" s="1129">
        <v>4261.3369142857146</v>
      </c>
      <c r="AO290" s="1129" t="s">
        <v>85</v>
      </c>
      <c r="AP290" s="1129" t="s">
        <v>96</v>
      </c>
      <c r="AQ290" s="1157">
        <v>2014</v>
      </c>
      <c r="AR290" s="1129" t="s">
        <v>87</v>
      </c>
      <c r="AS290" s="1127">
        <v>0.33333333333333331</v>
      </c>
      <c r="AT290" s="1127"/>
      <c r="AU290" s="1127">
        <v>0.33333333333333331</v>
      </c>
      <c r="AV290" s="1127"/>
      <c r="AW290" s="1127"/>
      <c r="AX290" s="1127"/>
      <c r="AY290" s="1127"/>
      <c r="AZ290" s="1127">
        <v>0.33333333333333331</v>
      </c>
      <c r="BA290" s="1129">
        <v>1420.4456380952381</v>
      </c>
      <c r="BB290" s="1129">
        <v>0</v>
      </c>
      <c r="BC290" s="1129">
        <v>1420.4456380952381</v>
      </c>
      <c r="BD290" s="1129">
        <v>0</v>
      </c>
      <c r="BE290" s="1129">
        <v>0</v>
      </c>
      <c r="BF290" s="1129">
        <v>0</v>
      </c>
      <c r="BG290" s="1129">
        <v>0</v>
      </c>
      <c r="BH290" s="1129">
        <v>1420.4456380952381</v>
      </c>
      <c r="BI290" s="1981"/>
      <c r="BJ290" s="971"/>
      <c r="BK290" s="971"/>
      <c r="BL290" s="1246"/>
      <c r="BM290" s="1247" t="s">
        <v>2123</v>
      </c>
    </row>
    <row r="291" spans="1:65" s="1247" customFormat="1" ht="49.5" customHeight="1">
      <c r="A291" s="1272">
        <v>4000</v>
      </c>
      <c r="B291" s="971" t="s">
        <v>1316</v>
      </c>
      <c r="C291" s="1272">
        <v>4600</v>
      </c>
      <c r="D291" s="971" t="s">
        <v>838</v>
      </c>
      <c r="E291" s="971" t="s">
        <v>6611</v>
      </c>
      <c r="F291" s="971" t="s">
        <v>1924</v>
      </c>
      <c r="G291" s="971">
        <v>4619</v>
      </c>
      <c r="H291" s="971"/>
      <c r="I291" s="1273" t="s">
        <v>7634</v>
      </c>
      <c r="J291" s="971" t="s">
        <v>2212</v>
      </c>
      <c r="K291" s="971" t="s">
        <v>2123</v>
      </c>
      <c r="L291" s="971" t="s">
        <v>2124</v>
      </c>
      <c r="M291" s="971" t="s">
        <v>2123</v>
      </c>
      <c r="N291" s="971" t="s">
        <v>179</v>
      </c>
      <c r="O291" s="971" t="s">
        <v>2124</v>
      </c>
      <c r="P291" s="971" t="s">
        <v>6600</v>
      </c>
      <c r="Q291" s="971" t="s">
        <v>7362</v>
      </c>
      <c r="R291" s="971" t="s">
        <v>5206</v>
      </c>
      <c r="S291" s="1274">
        <v>1</v>
      </c>
      <c r="T291" s="971" t="s">
        <v>242</v>
      </c>
      <c r="U291" s="1275">
        <v>19.2</v>
      </c>
      <c r="V291" s="1275">
        <v>213</v>
      </c>
      <c r="W291" s="1275">
        <v>1918.3369142857146</v>
      </c>
      <c r="X291" s="1275">
        <v>2130</v>
      </c>
      <c r="Y291" s="1275">
        <v>4261.3369142857146</v>
      </c>
      <c r="Z291" s="1129">
        <v>19.2</v>
      </c>
      <c r="AA291" s="1129">
        <v>213</v>
      </c>
      <c r="AB291" s="1129">
        <v>1918.3369142857146</v>
      </c>
      <c r="AC291" s="1129">
        <v>2130</v>
      </c>
      <c r="AD291" s="1098">
        <v>4261.3369142857146</v>
      </c>
      <c r="AE291" s="1237">
        <v>1</v>
      </c>
      <c r="AF291" s="1133">
        <v>1</v>
      </c>
      <c r="AG291" s="1127">
        <v>1</v>
      </c>
      <c r="AH291" s="1127">
        <v>0</v>
      </c>
      <c r="AI291" s="1127">
        <v>0</v>
      </c>
      <c r="AJ291" s="1127">
        <v>1</v>
      </c>
      <c r="AK291" s="1129">
        <v>4261.3369142857146</v>
      </c>
      <c r="AL291" s="1129">
        <v>0</v>
      </c>
      <c r="AM291" s="1129">
        <v>0</v>
      </c>
      <c r="AN291" s="1129">
        <v>4261.3369142857146</v>
      </c>
      <c r="AO291" s="1129" t="s">
        <v>85</v>
      </c>
      <c r="AP291" s="1129" t="s">
        <v>96</v>
      </c>
      <c r="AQ291" s="1157">
        <v>2014</v>
      </c>
      <c r="AR291" s="1129" t="s">
        <v>87</v>
      </c>
      <c r="AS291" s="1127">
        <v>0.33333333333333331</v>
      </c>
      <c r="AT291" s="1127"/>
      <c r="AU291" s="1127">
        <v>0.33333333333333331</v>
      </c>
      <c r="AV291" s="1127"/>
      <c r="AW291" s="1127"/>
      <c r="AX291" s="1127"/>
      <c r="AY291" s="1127"/>
      <c r="AZ291" s="1127">
        <v>0.33333333333333331</v>
      </c>
      <c r="BA291" s="1129">
        <v>1420.4456380952381</v>
      </c>
      <c r="BB291" s="1129">
        <v>0</v>
      </c>
      <c r="BC291" s="1129">
        <v>1420.4456380952381</v>
      </c>
      <c r="BD291" s="1129">
        <v>0</v>
      </c>
      <c r="BE291" s="1129">
        <v>0</v>
      </c>
      <c r="BF291" s="1129">
        <v>0</v>
      </c>
      <c r="BG291" s="1129">
        <v>0</v>
      </c>
      <c r="BH291" s="1129">
        <v>1420.4456380952381</v>
      </c>
      <c r="BI291" s="1981"/>
      <c r="BJ291" s="971"/>
      <c r="BK291" s="971"/>
      <c r="BL291" s="1246"/>
      <c r="BM291" s="1247" t="s">
        <v>2123</v>
      </c>
    </row>
    <row r="292" spans="1:65" s="1247" customFormat="1" ht="49.5" customHeight="1">
      <c r="A292" s="1272">
        <v>4000</v>
      </c>
      <c r="B292" s="971" t="s">
        <v>1316</v>
      </c>
      <c r="C292" s="1272">
        <v>4600</v>
      </c>
      <c r="D292" s="971" t="s">
        <v>838</v>
      </c>
      <c r="E292" s="971" t="s">
        <v>6611</v>
      </c>
      <c r="F292" s="971" t="s">
        <v>1924</v>
      </c>
      <c r="G292" s="971">
        <v>4619</v>
      </c>
      <c r="H292" s="971"/>
      <c r="I292" s="1273"/>
      <c r="J292" s="971" t="s">
        <v>2212</v>
      </c>
      <c r="K292" s="971" t="s">
        <v>2123</v>
      </c>
      <c r="L292" s="971" t="s">
        <v>2124</v>
      </c>
      <c r="M292" s="971" t="s">
        <v>2123</v>
      </c>
      <c r="N292" s="971" t="s">
        <v>179</v>
      </c>
      <c r="O292" s="971" t="s">
        <v>2124</v>
      </c>
      <c r="P292" s="971" t="s">
        <v>6600</v>
      </c>
      <c r="Q292" s="971" t="s">
        <v>7635</v>
      </c>
      <c r="R292" s="971"/>
      <c r="S292" s="1274">
        <v>3</v>
      </c>
      <c r="T292" s="971" t="s">
        <v>242</v>
      </c>
      <c r="U292" s="1275">
        <v>19.2</v>
      </c>
      <c r="V292" s="1275">
        <v>213</v>
      </c>
      <c r="W292" s="1275">
        <v>1918.3369142857146</v>
      </c>
      <c r="X292" s="1275">
        <v>2130</v>
      </c>
      <c r="Y292" s="1275">
        <v>4261.3369142857146</v>
      </c>
      <c r="Z292" s="1129">
        <v>57.599999999999994</v>
      </c>
      <c r="AA292" s="1129">
        <v>639</v>
      </c>
      <c r="AB292" s="1129">
        <v>5755.0107428571437</v>
      </c>
      <c r="AC292" s="1129">
        <v>6390</v>
      </c>
      <c r="AD292" s="1098">
        <v>12784.010742857143</v>
      </c>
      <c r="AE292" s="1135">
        <v>1</v>
      </c>
      <c r="AF292" s="1129">
        <v>3</v>
      </c>
      <c r="AG292" s="1127">
        <v>1</v>
      </c>
      <c r="AH292" s="1127">
        <v>0</v>
      </c>
      <c r="AI292" s="1127">
        <v>0</v>
      </c>
      <c r="AJ292" s="1127">
        <v>1</v>
      </c>
      <c r="AK292" s="1129">
        <v>12784.010742857143</v>
      </c>
      <c r="AL292" s="1129">
        <v>0</v>
      </c>
      <c r="AM292" s="1129">
        <v>0</v>
      </c>
      <c r="AN292" s="1129">
        <v>12784.010742857143</v>
      </c>
      <c r="AO292" s="1129" t="s">
        <v>85</v>
      </c>
      <c r="AP292" s="1129" t="s">
        <v>96</v>
      </c>
      <c r="AQ292" s="1157" t="s">
        <v>107</v>
      </c>
      <c r="AR292" s="1129" t="s">
        <v>87</v>
      </c>
      <c r="AS292" s="1127">
        <v>0.33333333333333331</v>
      </c>
      <c r="AT292" s="1127"/>
      <c r="AU292" s="1127">
        <v>0.33333333333333331</v>
      </c>
      <c r="AV292" s="1127"/>
      <c r="AW292" s="1127"/>
      <c r="AX292" s="1127"/>
      <c r="AY292" s="1127"/>
      <c r="AZ292" s="1127">
        <v>0.33333333333333331</v>
      </c>
      <c r="BA292" s="1129">
        <v>4261.3369142857136</v>
      </c>
      <c r="BB292" s="1129">
        <v>0</v>
      </c>
      <c r="BC292" s="1129">
        <v>4261.3369142857136</v>
      </c>
      <c r="BD292" s="1129">
        <v>0</v>
      </c>
      <c r="BE292" s="1129">
        <v>0</v>
      </c>
      <c r="BF292" s="1129">
        <v>0</v>
      </c>
      <c r="BG292" s="1129">
        <v>0</v>
      </c>
      <c r="BH292" s="1129">
        <v>4261.3369142857136</v>
      </c>
      <c r="BI292" s="1981"/>
      <c r="BJ292" s="971"/>
      <c r="BK292" s="971"/>
      <c r="BL292" s="1246"/>
      <c r="BM292" s="1247" t="s">
        <v>2123</v>
      </c>
    </row>
    <row r="293" spans="1:65" s="1247" customFormat="1" ht="49.5" customHeight="1">
      <c r="A293" s="1272">
        <v>4000</v>
      </c>
      <c r="B293" s="971" t="s">
        <v>1316</v>
      </c>
      <c r="C293" s="1272">
        <v>4700</v>
      </c>
      <c r="D293" s="971" t="s">
        <v>912</v>
      </c>
      <c r="E293" s="971" t="s">
        <v>1973</v>
      </c>
      <c r="F293" s="971" t="s">
        <v>923</v>
      </c>
      <c r="G293" s="971" t="s">
        <v>5207</v>
      </c>
      <c r="H293" s="971" t="s">
        <v>923</v>
      </c>
      <c r="I293" s="1273" t="s">
        <v>7636</v>
      </c>
      <c r="J293" s="971" t="s">
        <v>2143</v>
      </c>
      <c r="K293" s="971" t="s">
        <v>1768</v>
      </c>
      <c r="L293" s="971" t="s">
        <v>3420</v>
      </c>
      <c r="M293" s="971" t="s">
        <v>1768</v>
      </c>
      <c r="N293" s="971" t="s">
        <v>179</v>
      </c>
      <c r="O293" s="971" t="s">
        <v>1769</v>
      </c>
      <c r="P293" s="971" t="s">
        <v>6663</v>
      </c>
      <c r="Q293" s="971" t="s">
        <v>7370</v>
      </c>
      <c r="R293" s="971" t="s">
        <v>5208</v>
      </c>
      <c r="S293" s="1274">
        <v>1</v>
      </c>
      <c r="T293" s="971" t="s">
        <v>242</v>
      </c>
      <c r="U293" s="1275">
        <v>8.1</v>
      </c>
      <c r="V293" s="1275">
        <v>106.5</v>
      </c>
      <c r="W293" s="1275">
        <v>809.29838571428581</v>
      </c>
      <c r="X293" s="1275">
        <v>1065</v>
      </c>
      <c r="Y293" s="1275">
        <v>1980.7983857142858</v>
      </c>
      <c r="Z293" s="1129">
        <v>8.1</v>
      </c>
      <c r="AA293" s="1129">
        <v>106.5</v>
      </c>
      <c r="AB293" s="1129">
        <v>809.29838571428581</v>
      </c>
      <c r="AC293" s="1129">
        <v>1065</v>
      </c>
      <c r="AD293" s="1098">
        <v>1980.7983857142858</v>
      </c>
      <c r="AE293" s="1237">
        <v>0.5</v>
      </c>
      <c r="AF293" s="1133">
        <v>0.5</v>
      </c>
      <c r="AG293" s="1127">
        <v>1</v>
      </c>
      <c r="AH293" s="1127">
        <v>0</v>
      </c>
      <c r="AI293" s="1127">
        <v>0</v>
      </c>
      <c r="AJ293" s="1127">
        <v>1</v>
      </c>
      <c r="AK293" s="1129">
        <v>1980.7983857142858</v>
      </c>
      <c r="AL293" s="1129">
        <v>0</v>
      </c>
      <c r="AM293" s="1129">
        <v>0</v>
      </c>
      <c r="AN293" s="1129">
        <v>1980.7983857142858</v>
      </c>
      <c r="AO293" s="1129" t="s">
        <v>85</v>
      </c>
      <c r="AP293" s="1129" t="s">
        <v>96</v>
      </c>
      <c r="AQ293" s="1157">
        <v>2014</v>
      </c>
      <c r="AR293" s="1129" t="s">
        <v>87</v>
      </c>
      <c r="AS293" s="1127">
        <v>0.33333333333333331</v>
      </c>
      <c r="AT293" s="1127"/>
      <c r="AU293" s="1127">
        <v>0.33333333333333331</v>
      </c>
      <c r="AV293" s="1127"/>
      <c r="AW293" s="1127"/>
      <c r="AX293" s="1127"/>
      <c r="AY293" s="1127"/>
      <c r="AZ293" s="1127">
        <v>0.33333333333333331</v>
      </c>
      <c r="BA293" s="1129">
        <v>660.26612857142857</v>
      </c>
      <c r="BB293" s="1129">
        <v>0</v>
      </c>
      <c r="BC293" s="1129">
        <v>660.26612857142857</v>
      </c>
      <c r="BD293" s="1129">
        <v>0</v>
      </c>
      <c r="BE293" s="1129">
        <v>0</v>
      </c>
      <c r="BF293" s="1129">
        <v>0</v>
      </c>
      <c r="BG293" s="1129">
        <v>0</v>
      </c>
      <c r="BH293" s="1129">
        <v>660.26612857142857</v>
      </c>
      <c r="BI293" s="1981"/>
      <c r="BJ293" s="971"/>
      <c r="BK293" s="971"/>
      <c r="BL293" s="1246"/>
      <c r="BM293" s="1247" t="s">
        <v>1768</v>
      </c>
    </row>
    <row r="294" spans="1:65" s="1247" customFormat="1" ht="49.5" customHeight="1">
      <c r="A294" s="1272">
        <v>4000</v>
      </c>
      <c r="B294" s="971" t="s">
        <v>1316</v>
      </c>
      <c r="C294" s="1272">
        <v>4700</v>
      </c>
      <c r="D294" s="971" t="s">
        <v>912</v>
      </c>
      <c r="E294" s="971" t="s">
        <v>1973</v>
      </c>
      <c r="F294" s="971" t="s">
        <v>923</v>
      </c>
      <c r="G294" s="971" t="s">
        <v>5207</v>
      </c>
      <c r="H294" s="971" t="s">
        <v>923</v>
      </c>
      <c r="I294" s="1273" t="s">
        <v>7637</v>
      </c>
      <c r="J294" s="971" t="s">
        <v>239</v>
      </c>
      <c r="K294" s="971" t="s">
        <v>1768</v>
      </c>
      <c r="L294" s="971" t="s">
        <v>3420</v>
      </c>
      <c r="M294" s="971" t="s">
        <v>1768</v>
      </c>
      <c r="N294" s="971" t="s">
        <v>179</v>
      </c>
      <c r="O294" s="971" t="s">
        <v>1769</v>
      </c>
      <c r="P294" s="971" t="s">
        <v>6663</v>
      </c>
      <c r="Q294" s="971" t="s">
        <v>7638</v>
      </c>
      <c r="R294" s="971" t="s">
        <v>5211</v>
      </c>
      <c r="S294" s="1274">
        <v>1</v>
      </c>
      <c r="T294" s="971" t="s">
        <v>242</v>
      </c>
      <c r="U294" s="1275">
        <v>8.1</v>
      </c>
      <c r="V294" s="1275">
        <v>106.5</v>
      </c>
      <c r="W294" s="1275">
        <v>809.29838571428581</v>
      </c>
      <c r="X294" s="1275">
        <v>1065</v>
      </c>
      <c r="Y294" s="1275">
        <v>1980.7983857142858</v>
      </c>
      <c r="Z294" s="1129">
        <v>8.1</v>
      </c>
      <c r="AA294" s="1129">
        <v>106.5</v>
      </c>
      <c r="AB294" s="1129">
        <v>809.29838571428581</v>
      </c>
      <c r="AC294" s="1129">
        <v>1065</v>
      </c>
      <c r="AD294" s="1098">
        <v>1980.7983857142858</v>
      </c>
      <c r="AE294" s="1237">
        <v>0.5</v>
      </c>
      <c r="AF294" s="1133">
        <v>0.5</v>
      </c>
      <c r="AG294" s="1127">
        <v>1</v>
      </c>
      <c r="AH294" s="1127">
        <v>0</v>
      </c>
      <c r="AI294" s="1127">
        <v>0</v>
      </c>
      <c r="AJ294" s="1127">
        <v>1</v>
      </c>
      <c r="AK294" s="1129">
        <v>1980.7983857142858</v>
      </c>
      <c r="AL294" s="1129">
        <v>0</v>
      </c>
      <c r="AM294" s="1129">
        <v>0</v>
      </c>
      <c r="AN294" s="1129">
        <v>1980.7983857142858</v>
      </c>
      <c r="AO294" s="1129" t="s">
        <v>85</v>
      </c>
      <c r="AP294" s="1129" t="s">
        <v>96</v>
      </c>
      <c r="AQ294" s="1157">
        <v>2014</v>
      </c>
      <c r="AR294" s="1129" t="s">
        <v>87</v>
      </c>
      <c r="AS294" s="1127">
        <v>0.33333333333333331</v>
      </c>
      <c r="AT294" s="1127"/>
      <c r="AU294" s="1127">
        <v>0.33333333333333331</v>
      </c>
      <c r="AV294" s="1127"/>
      <c r="AW294" s="1127"/>
      <c r="AX294" s="1127"/>
      <c r="AY294" s="1127"/>
      <c r="AZ294" s="1127">
        <v>0.33333333333333331</v>
      </c>
      <c r="BA294" s="1129">
        <v>660.26612857142857</v>
      </c>
      <c r="BB294" s="1129">
        <v>0</v>
      </c>
      <c r="BC294" s="1129">
        <v>660.26612857142857</v>
      </c>
      <c r="BD294" s="1129">
        <v>0</v>
      </c>
      <c r="BE294" s="1129">
        <v>0</v>
      </c>
      <c r="BF294" s="1129">
        <v>0</v>
      </c>
      <c r="BG294" s="1129">
        <v>0</v>
      </c>
      <c r="BH294" s="1129">
        <v>660.26612857142857</v>
      </c>
      <c r="BI294" s="1981"/>
      <c r="BJ294" s="971"/>
      <c r="BK294" s="971"/>
      <c r="BL294" s="1246"/>
      <c r="BM294" s="1247" t="s">
        <v>1768</v>
      </c>
    </row>
    <row r="295" spans="1:65" s="1247" customFormat="1" ht="49.5" customHeight="1">
      <c r="A295" s="1272">
        <v>4000</v>
      </c>
      <c r="B295" s="971" t="s">
        <v>1316</v>
      </c>
      <c r="C295" s="1272">
        <v>4700</v>
      </c>
      <c r="D295" s="971" t="s">
        <v>912</v>
      </c>
      <c r="E295" s="971" t="s">
        <v>1973</v>
      </c>
      <c r="F295" s="971" t="s">
        <v>923</v>
      </c>
      <c r="G295" s="971" t="s">
        <v>5207</v>
      </c>
      <c r="H295" s="971" t="s">
        <v>923</v>
      </c>
      <c r="I295" s="1273" t="s">
        <v>7639</v>
      </c>
      <c r="J295" s="971" t="s">
        <v>2143</v>
      </c>
      <c r="K295" s="971" t="s">
        <v>1768</v>
      </c>
      <c r="L295" s="971" t="s">
        <v>3420</v>
      </c>
      <c r="M295" s="971" t="s">
        <v>1768</v>
      </c>
      <c r="N295" s="971" t="s">
        <v>179</v>
      </c>
      <c r="O295" s="971" t="s">
        <v>1769</v>
      </c>
      <c r="P295" s="971" t="s">
        <v>6663</v>
      </c>
      <c r="Q295" s="971" t="s">
        <v>7370</v>
      </c>
      <c r="R295" s="971" t="s">
        <v>5216</v>
      </c>
      <c r="S295" s="1274">
        <v>1</v>
      </c>
      <c r="T295" s="971" t="s">
        <v>242</v>
      </c>
      <c r="U295" s="1275">
        <v>8.1</v>
      </c>
      <c r="V295" s="1275">
        <v>106.5</v>
      </c>
      <c r="W295" s="1275">
        <v>809.29838571428581</v>
      </c>
      <c r="X295" s="1275">
        <v>1065</v>
      </c>
      <c r="Y295" s="1275">
        <v>1980.7983857142858</v>
      </c>
      <c r="Z295" s="1129">
        <v>8.1</v>
      </c>
      <c r="AA295" s="1129">
        <v>106.5</v>
      </c>
      <c r="AB295" s="1129">
        <v>809.29838571428581</v>
      </c>
      <c r="AC295" s="1129">
        <v>1065</v>
      </c>
      <c r="AD295" s="1098">
        <v>1980.7983857142858</v>
      </c>
      <c r="AE295" s="1237">
        <v>0.5</v>
      </c>
      <c r="AF295" s="1133">
        <v>0.5</v>
      </c>
      <c r="AG295" s="1127">
        <v>1</v>
      </c>
      <c r="AH295" s="1127">
        <v>0</v>
      </c>
      <c r="AI295" s="1127">
        <v>0</v>
      </c>
      <c r="AJ295" s="1127">
        <v>1</v>
      </c>
      <c r="AK295" s="1129">
        <v>1980.7983857142858</v>
      </c>
      <c r="AL295" s="1129">
        <v>0</v>
      </c>
      <c r="AM295" s="1129">
        <v>0</v>
      </c>
      <c r="AN295" s="1129">
        <v>1980.7983857142858</v>
      </c>
      <c r="AO295" s="1129" t="s">
        <v>85</v>
      </c>
      <c r="AP295" s="1129" t="s">
        <v>96</v>
      </c>
      <c r="AQ295" s="1157">
        <v>2014</v>
      </c>
      <c r="AR295" s="1129" t="s">
        <v>87</v>
      </c>
      <c r="AS295" s="1127">
        <v>0.33333333333333331</v>
      </c>
      <c r="AT295" s="1127"/>
      <c r="AU295" s="1127">
        <v>0.33333333333333331</v>
      </c>
      <c r="AV295" s="1127"/>
      <c r="AW295" s="1127"/>
      <c r="AX295" s="1127"/>
      <c r="AY295" s="1127"/>
      <c r="AZ295" s="1127">
        <v>0.33333333333333331</v>
      </c>
      <c r="BA295" s="1129">
        <v>660.26612857142857</v>
      </c>
      <c r="BB295" s="1129">
        <v>0</v>
      </c>
      <c r="BC295" s="1129">
        <v>660.26612857142857</v>
      </c>
      <c r="BD295" s="1129">
        <v>0</v>
      </c>
      <c r="BE295" s="1129">
        <v>0</v>
      </c>
      <c r="BF295" s="1129">
        <v>0</v>
      </c>
      <c r="BG295" s="1129">
        <v>0</v>
      </c>
      <c r="BH295" s="1129">
        <v>660.26612857142857</v>
      </c>
      <c r="BI295" s="1981"/>
      <c r="BJ295" s="971"/>
      <c r="BK295" s="971"/>
      <c r="BL295" s="1246"/>
      <c r="BM295" s="1247" t="s">
        <v>1768</v>
      </c>
    </row>
    <row r="296" spans="1:65" s="1247" customFormat="1" ht="49.5" customHeight="1">
      <c r="A296" s="1272">
        <v>4000</v>
      </c>
      <c r="B296" s="971" t="s">
        <v>1316</v>
      </c>
      <c r="C296" s="1272">
        <v>4700</v>
      </c>
      <c r="D296" s="971" t="s">
        <v>912</v>
      </c>
      <c r="E296" s="971" t="s">
        <v>1973</v>
      </c>
      <c r="F296" s="971" t="s">
        <v>923</v>
      </c>
      <c r="G296" s="971" t="s">
        <v>5207</v>
      </c>
      <c r="H296" s="971" t="s">
        <v>923</v>
      </c>
      <c r="I296" s="1273" t="s">
        <v>7640</v>
      </c>
      <c r="J296" s="971" t="s">
        <v>239</v>
      </c>
      <c r="K296" s="971" t="s">
        <v>1768</v>
      </c>
      <c r="L296" s="971" t="s">
        <v>3420</v>
      </c>
      <c r="M296" s="971" t="s">
        <v>1768</v>
      </c>
      <c r="N296" s="971" t="s">
        <v>179</v>
      </c>
      <c r="O296" s="971" t="s">
        <v>1769</v>
      </c>
      <c r="P296" s="971" t="s">
        <v>6663</v>
      </c>
      <c r="Q296" s="971" t="s">
        <v>7638</v>
      </c>
      <c r="R296" s="971" t="s">
        <v>5217</v>
      </c>
      <c r="S296" s="1274">
        <v>1</v>
      </c>
      <c r="T296" s="971" t="s">
        <v>242</v>
      </c>
      <c r="U296" s="1275">
        <v>8.1</v>
      </c>
      <c r="V296" s="1275">
        <v>106.5</v>
      </c>
      <c r="W296" s="1275">
        <v>809.29838571428581</v>
      </c>
      <c r="X296" s="1275">
        <v>1065</v>
      </c>
      <c r="Y296" s="1275">
        <v>1980.7983857142858</v>
      </c>
      <c r="Z296" s="1129">
        <v>8.1</v>
      </c>
      <c r="AA296" s="1129">
        <v>106.5</v>
      </c>
      <c r="AB296" s="1129">
        <v>809.29838571428581</v>
      </c>
      <c r="AC296" s="1129">
        <v>1065</v>
      </c>
      <c r="AD296" s="1098">
        <v>1980.7983857142858</v>
      </c>
      <c r="AE296" s="1237">
        <v>0.5</v>
      </c>
      <c r="AF296" s="1133">
        <v>0.5</v>
      </c>
      <c r="AG296" s="1127">
        <v>1</v>
      </c>
      <c r="AH296" s="1127">
        <v>0</v>
      </c>
      <c r="AI296" s="1127">
        <v>0</v>
      </c>
      <c r="AJ296" s="1127">
        <v>1</v>
      </c>
      <c r="AK296" s="1129">
        <v>1980.7983857142858</v>
      </c>
      <c r="AL296" s="1129">
        <v>0</v>
      </c>
      <c r="AM296" s="1129">
        <v>0</v>
      </c>
      <c r="AN296" s="1129">
        <v>1980.7983857142858</v>
      </c>
      <c r="AO296" s="1129" t="s">
        <v>85</v>
      </c>
      <c r="AP296" s="1129" t="s">
        <v>96</v>
      </c>
      <c r="AQ296" s="1157">
        <v>2014</v>
      </c>
      <c r="AR296" s="1129" t="s">
        <v>87</v>
      </c>
      <c r="AS296" s="1127">
        <v>0.33333333333333331</v>
      </c>
      <c r="AT296" s="1127"/>
      <c r="AU296" s="1127">
        <v>0.33333333333333331</v>
      </c>
      <c r="AV296" s="1127"/>
      <c r="AW296" s="1127"/>
      <c r="AX296" s="1127"/>
      <c r="AY296" s="1127"/>
      <c r="AZ296" s="1127">
        <v>0.33333333333333331</v>
      </c>
      <c r="BA296" s="1129">
        <v>660.26612857142857</v>
      </c>
      <c r="BB296" s="1129">
        <v>0</v>
      </c>
      <c r="BC296" s="1129">
        <v>660.26612857142857</v>
      </c>
      <c r="BD296" s="1129">
        <v>0</v>
      </c>
      <c r="BE296" s="1129">
        <v>0</v>
      </c>
      <c r="BF296" s="1129">
        <v>0</v>
      </c>
      <c r="BG296" s="1129">
        <v>0</v>
      </c>
      <c r="BH296" s="1129">
        <v>660.26612857142857</v>
      </c>
      <c r="BI296" s="1981"/>
      <c r="BJ296" s="971"/>
      <c r="BK296" s="971"/>
      <c r="BL296" s="1246"/>
      <c r="BM296" s="1247" t="s">
        <v>1768</v>
      </c>
    </row>
    <row r="297" spans="1:65" s="1247" customFormat="1" ht="49.5" customHeight="1">
      <c r="A297" s="1272">
        <v>4000</v>
      </c>
      <c r="B297" s="971" t="s">
        <v>1316</v>
      </c>
      <c r="C297" s="1272">
        <v>4700</v>
      </c>
      <c r="D297" s="971" t="s">
        <v>912</v>
      </c>
      <c r="E297" s="971" t="s">
        <v>1973</v>
      </c>
      <c r="F297" s="971" t="s">
        <v>923</v>
      </c>
      <c r="G297" s="971" t="s">
        <v>5207</v>
      </c>
      <c r="H297" s="971" t="s">
        <v>923</v>
      </c>
      <c r="I297" s="1273" t="s">
        <v>7641</v>
      </c>
      <c r="J297" s="971" t="s">
        <v>2143</v>
      </c>
      <c r="K297" s="971" t="s">
        <v>1768</v>
      </c>
      <c r="L297" s="971" t="s">
        <v>3420</v>
      </c>
      <c r="M297" s="971" t="s">
        <v>1768</v>
      </c>
      <c r="N297" s="971" t="s">
        <v>179</v>
      </c>
      <c r="O297" s="971" t="s">
        <v>1769</v>
      </c>
      <c r="P297" s="971" t="s">
        <v>6663</v>
      </c>
      <c r="Q297" s="971" t="s">
        <v>7373</v>
      </c>
      <c r="R297" s="971" t="s">
        <v>5219</v>
      </c>
      <c r="S297" s="1274">
        <v>1</v>
      </c>
      <c r="T297" s="971" t="s">
        <v>242</v>
      </c>
      <c r="U297" s="1275">
        <v>8.1</v>
      </c>
      <c r="V297" s="1275">
        <v>106.5</v>
      </c>
      <c r="W297" s="1275">
        <v>809.29838571428581</v>
      </c>
      <c r="X297" s="1275">
        <v>1065</v>
      </c>
      <c r="Y297" s="1275">
        <v>1980.7983857142858</v>
      </c>
      <c r="Z297" s="1129">
        <v>8.1</v>
      </c>
      <c r="AA297" s="1129">
        <v>106.5</v>
      </c>
      <c r="AB297" s="1129">
        <v>809.29838571428581</v>
      </c>
      <c r="AC297" s="1129">
        <v>1065</v>
      </c>
      <c r="AD297" s="1098">
        <v>1980.7983857142858</v>
      </c>
      <c r="AE297" s="1237">
        <v>0.5</v>
      </c>
      <c r="AF297" s="1133">
        <v>0.5</v>
      </c>
      <c r="AG297" s="1127">
        <v>1</v>
      </c>
      <c r="AH297" s="1127">
        <v>0</v>
      </c>
      <c r="AI297" s="1127">
        <v>0</v>
      </c>
      <c r="AJ297" s="1127">
        <v>1</v>
      </c>
      <c r="AK297" s="1129">
        <v>1980.7983857142858</v>
      </c>
      <c r="AL297" s="1129">
        <v>0</v>
      </c>
      <c r="AM297" s="1129">
        <v>0</v>
      </c>
      <c r="AN297" s="1129">
        <v>1980.7983857142858</v>
      </c>
      <c r="AO297" s="1129" t="s">
        <v>85</v>
      </c>
      <c r="AP297" s="1129" t="s">
        <v>96</v>
      </c>
      <c r="AQ297" s="1157">
        <v>2014</v>
      </c>
      <c r="AR297" s="1129" t="s">
        <v>87</v>
      </c>
      <c r="AS297" s="1127">
        <v>0.33333333333333331</v>
      </c>
      <c r="AT297" s="1127"/>
      <c r="AU297" s="1127">
        <v>0.33333333333333331</v>
      </c>
      <c r="AV297" s="1127"/>
      <c r="AW297" s="1127"/>
      <c r="AX297" s="1127"/>
      <c r="AY297" s="1127"/>
      <c r="AZ297" s="1127">
        <v>0.33333333333333331</v>
      </c>
      <c r="BA297" s="1129">
        <v>660.26612857142857</v>
      </c>
      <c r="BB297" s="1129">
        <v>0</v>
      </c>
      <c r="BC297" s="1129">
        <v>660.26612857142857</v>
      </c>
      <c r="BD297" s="1129">
        <v>0</v>
      </c>
      <c r="BE297" s="1129">
        <v>0</v>
      </c>
      <c r="BF297" s="1129">
        <v>0</v>
      </c>
      <c r="BG297" s="1129">
        <v>0</v>
      </c>
      <c r="BH297" s="1129">
        <v>660.26612857142857</v>
      </c>
      <c r="BI297" s="1981"/>
      <c r="BJ297" s="971"/>
      <c r="BK297" s="971"/>
      <c r="BL297" s="1246"/>
      <c r="BM297" s="1247" t="s">
        <v>1768</v>
      </c>
    </row>
    <row r="298" spans="1:65" s="1247" customFormat="1" ht="49.5" customHeight="1">
      <c r="A298" s="1272">
        <v>4000</v>
      </c>
      <c r="B298" s="971" t="s">
        <v>1316</v>
      </c>
      <c r="C298" s="1272">
        <v>4700</v>
      </c>
      <c r="D298" s="971" t="s">
        <v>912</v>
      </c>
      <c r="E298" s="971" t="s">
        <v>1973</v>
      </c>
      <c r="F298" s="971" t="s">
        <v>923</v>
      </c>
      <c r="G298" s="971" t="s">
        <v>5207</v>
      </c>
      <c r="H298" s="971" t="s">
        <v>923</v>
      </c>
      <c r="I298" s="1273" t="s">
        <v>7642</v>
      </c>
      <c r="J298" s="971" t="s">
        <v>2143</v>
      </c>
      <c r="K298" s="971" t="s">
        <v>1768</v>
      </c>
      <c r="L298" s="971" t="s">
        <v>3420</v>
      </c>
      <c r="M298" s="971" t="s">
        <v>1768</v>
      </c>
      <c r="N298" s="971" t="s">
        <v>179</v>
      </c>
      <c r="O298" s="971" t="s">
        <v>1769</v>
      </c>
      <c r="P298" s="971" t="s">
        <v>6663</v>
      </c>
      <c r="Q298" s="971" t="s">
        <v>7375</v>
      </c>
      <c r="R298" s="971" t="s">
        <v>5220</v>
      </c>
      <c r="S298" s="1274">
        <v>1</v>
      </c>
      <c r="T298" s="971" t="s">
        <v>242</v>
      </c>
      <c r="U298" s="1275">
        <v>8.1</v>
      </c>
      <c r="V298" s="1275">
        <v>106.5</v>
      </c>
      <c r="W298" s="1275">
        <v>809.29838571428581</v>
      </c>
      <c r="X298" s="1275">
        <v>1065</v>
      </c>
      <c r="Y298" s="1275">
        <v>1980.7983857142858</v>
      </c>
      <c r="Z298" s="1129">
        <v>8.1</v>
      </c>
      <c r="AA298" s="1129">
        <v>106.5</v>
      </c>
      <c r="AB298" s="1129">
        <v>809.29838571428581</v>
      </c>
      <c r="AC298" s="1129">
        <v>1065</v>
      </c>
      <c r="AD298" s="1098">
        <v>1980.7983857142858</v>
      </c>
      <c r="AE298" s="1237">
        <v>0.5</v>
      </c>
      <c r="AF298" s="1133">
        <v>0.5</v>
      </c>
      <c r="AG298" s="1127">
        <v>1</v>
      </c>
      <c r="AH298" s="1127">
        <v>0</v>
      </c>
      <c r="AI298" s="1127">
        <v>0</v>
      </c>
      <c r="AJ298" s="1127">
        <v>1</v>
      </c>
      <c r="AK298" s="1129">
        <v>1980.7983857142858</v>
      </c>
      <c r="AL298" s="1129">
        <v>0</v>
      </c>
      <c r="AM298" s="1129">
        <v>0</v>
      </c>
      <c r="AN298" s="1129">
        <v>1980.7983857142858</v>
      </c>
      <c r="AO298" s="1129" t="s">
        <v>85</v>
      </c>
      <c r="AP298" s="1129" t="s">
        <v>96</v>
      </c>
      <c r="AQ298" s="1157">
        <v>2014</v>
      </c>
      <c r="AR298" s="1129" t="s">
        <v>87</v>
      </c>
      <c r="AS298" s="1127">
        <v>0.33333333333333331</v>
      </c>
      <c r="AT298" s="1127"/>
      <c r="AU298" s="1127">
        <v>0.33333333333333331</v>
      </c>
      <c r="AV298" s="1127"/>
      <c r="AW298" s="1127"/>
      <c r="AX298" s="1127"/>
      <c r="AY298" s="1127"/>
      <c r="AZ298" s="1127">
        <v>0.33333333333333331</v>
      </c>
      <c r="BA298" s="1129">
        <v>660.26612857142857</v>
      </c>
      <c r="BB298" s="1129">
        <v>0</v>
      </c>
      <c r="BC298" s="1129">
        <v>660.26612857142857</v>
      </c>
      <c r="BD298" s="1129">
        <v>0</v>
      </c>
      <c r="BE298" s="1129">
        <v>0</v>
      </c>
      <c r="BF298" s="1129">
        <v>0</v>
      </c>
      <c r="BG298" s="1129">
        <v>0</v>
      </c>
      <c r="BH298" s="1129">
        <v>660.26612857142857</v>
      </c>
      <c r="BI298" s="1981"/>
      <c r="BJ298" s="971"/>
      <c r="BK298" s="971"/>
      <c r="BL298" s="1246"/>
      <c r="BM298" s="1247" t="s">
        <v>1768</v>
      </c>
    </row>
    <row r="299" spans="1:65" s="1247" customFormat="1" ht="49.5" customHeight="1">
      <c r="A299" s="1272">
        <v>4000</v>
      </c>
      <c r="B299" s="971" t="s">
        <v>1316</v>
      </c>
      <c r="C299" s="1272">
        <v>4700</v>
      </c>
      <c r="D299" s="971" t="s">
        <v>912</v>
      </c>
      <c r="E299" s="971" t="s">
        <v>1973</v>
      </c>
      <c r="F299" s="971" t="s">
        <v>923</v>
      </c>
      <c r="G299" s="971" t="s">
        <v>5207</v>
      </c>
      <c r="H299" s="971" t="s">
        <v>923</v>
      </c>
      <c r="I299" s="1273" t="s">
        <v>7643</v>
      </c>
      <c r="J299" s="971" t="s">
        <v>2143</v>
      </c>
      <c r="K299" s="971" t="s">
        <v>1768</v>
      </c>
      <c r="L299" s="971" t="s">
        <v>3420</v>
      </c>
      <c r="M299" s="971" t="s">
        <v>1768</v>
      </c>
      <c r="N299" s="971" t="s">
        <v>179</v>
      </c>
      <c r="O299" s="971" t="s">
        <v>1769</v>
      </c>
      <c r="P299" s="971" t="s">
        <v>6663</v>
      </c>
      <c r="Q299" s="971" t="s">
        <v>7377</v>
      </c>
      <c r="R299" s="971" t="s">
        <v>5221</v>
      </c>
      <c r="S299" s="1274">
        <v>1</v>
      </c>
      <c r="T299" s="971" t="s">
        <v>242</v>
      </c>
      <c r="U299" s="1275">
        <v>8.1</v>
      </c>
      <c r="V299" s="1275">
        <v>106.5</v>
      </c>
      <c r="W299" s="1275">
        <v>809.29838571428581</v>
      </c>
      <c r="X299" s="1275">
        <v>1065</v>
      </c>
      <c r="Y299" s="1275">
        <v>1980.7983857142858</v>
      </c>
      <c r="Z299" s="1129">
        <v>8.1</v>
      </c>
      <c r="AA299" s="1129">
        <v>106.5</v>
      </c>
      <c r="AB299" s="1129">
        <v>809.29838571428581</v>
      </c>
      <c r="AC299" s="1129">
        <v>1065</v>
      </c>
      <c r="AD299" s="1098">
        <v>1980.7983857142858</v>
      </c>
      <c r="AE299" s="1237">
        <v>0.5</v>
      </c>
      <c r="AF299" s="1133">
        <v>0.5</v>
      </c>
      <c r="AG299" s="1127">
        <v>1</v>
      </c>
      <c r="AH299" s="1127">
        <v>0</v>
      </c>
      <c r="AI299" s="1127">
        <v>0</v>
      </c>
      <c r="AJ299" s="1127">
        <v>1</v>
      </c>
      <c r="AK299" s="1129">
        <v>1980.7983857142858</v>
      </c>
      <c r="AL299" s="1129">
        <v>0</v>
      </c>
      <c r="AM299" s="1129">
        <v>0</v>
      </c>
      <c r="AN299" s="1129">
        <v>1980.7983857142858</v>
      </c>
      <c r="AO299" s="1129" t="s">
        <v>85</v>
      </c>
      <c r="AP299" s="1129" t="s">
        <v>96</v>
      </c>
      <c r="AQ299" s="1157">
        <v>2014</v>
      </c>
      <c r="AR299" s="1129" t="s">
        <v>87</v>
      </c>
      <c r="AS299" s="1127">
        <v>0.33333333333333331</v>
      </c>
      <c r="AT299" s="1127"/>
      <c r="AU299" s="1127">
        <v>0.33333333333333331</v>
      </c>
      <c r="AV299" s="1127"/>
      <c r="AW299" s="1127"/>
      <c r="AX299" s="1127"/>
      <c r="AY299" s="1127"/>
      <c r="AZ299" s="1127">
        <v>0.33333333333333331</v>
      </c>
      <c r="BA299" s="1129">
        <v>660.26612857142857</v>
      </c>
      <c r="BB299" s="1129">
        <v>0</v>
      </c>
      <c r="BC299" s="1129">
        <v>660.26612857142857</v>
      </c>
      <c r="BD299" s="1129">
        <v>0</v>
      </c>
      <c r="BE299" s="1129">
        <v>0</v>
      </c>
      <c r="BF299" s="1129">
        <v>0</v>
      </c>
      <c r="BG299" s="1129">
        <v>0</v>
      </c>
      <c r="BH299" s="1129">
        <v>660.26612857142857</v>
      </c>
      <c r="BI299" s="1981"/>
      <c r="BJ299" s="971"/>
      <c r="BK299" s="971"/>
      <c r="BL299" s="1246"/>
      <c r="BM299" s="1247" t="s">
        <v>1768</v>
      </c>
    </row>
    <row r="300" spans="1:65" s="1247" customFormat="1" ht="49.5" customHeight="1">
      <c r="A300" s="1272">
        <v>4000</v>
      </c>
      <c r="B300" s="971" t="s">
        <v>1316</v>
      </c>
      <c r="C300" s="1272">
        <v>4700</v>
      </c>
      <c r="D300" s="971" t="s">
        <v>912</v>
      </c>
      <c r="E300" s="971" t="s">
        <v>1973</v>
      </c>
      <c r="F300" s="971" t="s">
        <v>923</v>
      </c>
      <c r="G300" s="971" t="s">
        <v>5207</v>
      </c>
      <c r="H300" s="971" t="s">
        <v>923</v>
      </c>
      <c r="I300" s="1273" t="s">
        <v>7644</v>
      </c>
      <c r="J300" s="971" t="s">
        <v>2143</v>
      </c>
      <c r="K300" s="971" t="s">
        <v>1768</v>
      </c>
      <c r="L300" s="971" t="s">
        <v>3420</v>
      </c>
      <c r="M300" s="971" t="s">
        <v>1768</v>
      </c>
      <c r="N300" s="971" t="s">
        <v>179</v>
      </c>
      <c r="O300" s="971" t="s">
        <v>1769</v>
      </c>
      <c r="P300" s="971" t="s">
        <v>6663</v>
      </c>
      <c r="Q300" s="971" t="s">
        <v>7645</v>
      </c>
      <c r="R300" s="971" t="s">
        <v>5222</v>
      </c>
      <c r="S300" s="1274">
        <v>1</v>
      </c>
      <c r="T300" s="971" t="s">
        <v>242</v>
      </c>
      <c r="U300" s="1275">
        <v>8.1</v>
      </c>
      <c r="V300" s="1275">
        <v>106.5</v>
      </c>
      <c r="W300" s="1275">
        <v>809.29838571428581</v>
      </c>
      <c r="X300" s="1275">
        <v>1065</v>
      </c>
      <c r="Y300" s="1275">
        <v>1980.7983857142858</v>
      </c>
      <c r="Z300" s="1129">
        <v>8.1</v>
      </c>
      <c r="AA300" s="1129">
        <v>106.5</v>
      </c>
      <c r="AB300" s="1129">
        <v>809.29838571428581</v>
      </c>
      <c r="AC300" s="1129">
        <v>1065</v>
      </c>
      <c r="AD300" s="1098">
        <v>1980.7983857142858</v>
      </c>
      <c r="AE300" s="1237">
        <v>0.5</v>
      </c>
      <c r="AF300" s="1133">
        <v>0.5</v>
      </c>
      <c r="AG300" s="1127">
        <v>1</v>
      </c>
      <c r="AH300" s="1127">
        <v>0</v>
      </c>
      <c r="AI300" s="1127">
        <v>0</v>
      </c>
      <c r="AJ300" s="1127">
        <v>1</v>
      </c>
      <c r="AK300" s="1129">
        <v>1980.7983857142858</v>
      </c>
      <c r="AL300" s="1129">
        <v>0</v>
      </c>
      <c r="AM300" s="1129">
        <v>0</v>
      </c>
      <c r="AN300" s="1129">
        <v>1980.7983857142858</v>
      </c>
      <c r="AO300" s="1129" t="s">
        <v>85</v>
      </c>
      <c r="AP300" s="1129" t="s">
        <v>96</v>
      </c>
      <c r="AQ300" s="1157">
        <v>2014</v>
      </c>
      <c r="AR300" s="1129" t="s">
        <v>87</v>
      </c>
      <c r="AS300" s="1127">
        <v>0.33333333333333331</v>
      </c>
      <c r="AT300" s="1127"/>
      <c r="AU300" s="1127">
        <v>0.33333333333333331</v>
      </c>
      <c r="AV300" s="1127"/>
      <c r="AW300" s="1127"/>
      <c r="AX300" s="1127"/>
      <c r="AY300" s="1127"/>
      <c r="AZ300" s="1127">
        <v>0.33333333333333331</v>
      </c>
      <c r="BA300" s="1129">
        <v>660.26612857142857</v>
      </c>
      <c r="BB300" s="1129">
        <v>0</v>
      </c>
      <c r="BC300" s="1129">
        <v>660.26612857142857</v>
      </c>
      <c r="BD300" s="1129">
        <v>0</v>
      </c>
      <c r="BE300" s="1129">
        <v>0</v>
      </c>
      <c r="BF300" s="1129">
        <v>0</v>
      </c>
      <c r="BG300" s="1129">
        <v>0</v>
      </c>
      <c r="BH300" s="1129">
        <v>660.26612857142857</v>
      </c>
      <c r="BI300" s="1981"/>
      <c r="BJ300" s="971"/>
      <c r="BK300" s="971"/>
      <c r="BL300" s="1246"/>
      <c r="BM300" s="1247" t="s">
        <v>1768</v>
      </c>
    </row>
    <row r="301" spans="1:65" s="1247" customFormat="1" ht="49.5" customHeight="1">
      <c r="A301" s="1272">
        <v>4000</v>
      </c>
      <c r="B301" s="971" t="s">
        <v>1316</v>
      </c>
      <c r="C301" s="1272">
        <v>4700</v>
      </c>
      <c r="D301" s="971" t="s">
        <v>912</v>
      </c>
      <c r="E301" s="971" t="s">
        <v>1973</v>
      </c>
      <c r="F301" s="971" t="s">
        <v>923</v>
      </c>
      <c r="G301" s="971" t="s">
        <v>5207</v>
      </c>
      <c r="H301" s="971" t="s">
        <v>923</v>
      </c>
      <c r="I301" s="1273" t="s">
        <v>7646</v>
      </c>
      <c r="J301" s="971" t="s">
        <v>239</v>
      </c>
      <c r="K301" s="971" t="s">
        <v>1768</v>
      </c>
      <c r="L301" s="971" t="s">
        <v>3420</v>
      </c>
      <c r="M301" s="971" t="s">
        <v>1768</v>
      </c>
      <c r="N301" s="971" t="s">
        <v>179</v>
      </c>
      <c r="O301" s="971" t="s">
        <v>1769</v>
      </c>
      <c r="P301" s="971" t="s">
        <v>6663</v>
      </c>
      <c r="Q301" s="971" t="s">
        <v>7647</v>
      </c>
      <c r="R301" s="971" t="s">
        <v>5227</v>
      </c>
      <c r="S301" s="1274">
        <v>1</v>
      </c>
      <c r="T301" s="971" t="s">
        <v>242</v>
      </c>
      <c r="U301" s="1275">
        <v>8.1</v>
      </c>
      <c r="V301" s="1275">
        <v>106.5</v>
      </c>
      <c r="W301" s="1275">
        <v>809.29838571428581</v>
      </c>
      <c r="X301" s="1275">
        <v>1065</v>
      </c>
      <c r="Y301" s="1275">
        <v>1980.7983857142858</v>
      </c>
      <c r="Z301" s="1129">
        <v>8.1</v>
      </c>
      <c r="AA301" s="1129">
        <v>106.5</v>
      </c>
      <c r="AB301" s="1129">
        <v>809.29838571428581</v>
      </c>
      <c r="AC301" s="1129">
        <v>1065</v>
      </c>
      <c r="AD301" s="1098">
        <v>1980.7983857142858</v>
      </c>
      <c r="AE301" s="1237">
        <v>0.5</v>
      </c>
      <c r="AF301" s="1133">
        <v>0.5</v>
      </c>
      <c r="AG301" s="1127">
        <v>1</v>
      </c>
      <c r="AH301" s="1127">
        <v>0</v>
      </c>
      <c r="AI301" s="1127">
        <v>0</v>
      </c>
      <c r="AJ301" s="1127">
        <v>1</v>
      </c>
      <c r="AK301" s="1129">
        <v>1980.7983857142858</v>
      </c>
      <c r="AL301" s="1129">
        <v>0</v>
      </c>
      <c r="AM301" s="1129">
        <v>0</v>
      </c>
      <c r="AN301" s="1129">
        <v>1980.7983857142858</v>
      </c>
      <c r="AO301" s="1129" t="s">
        <v>85</v>
      </c>
      <c r="AP301" s="1129" t="s">
        <v>96</v>
      </c>
      <c r="AQ301" s="1157">
        <v>2014</v>
      </c>
      <c r="AR301" s="1129" t="s">
        <v>87</v>
      </c>
      <c r="AS301" s="1127">
        <v>0.33333333333333331</v>
      </c>
      <c r="AT301" s="1127"/>
      <c r="AU301" s="1127">
        <v>0.33333333333333331</v>
      </c>
      <c r="AV301" s="1127"/>
      <c r="AW301" s="1127"/>
      <c r="AX301" s="1127"/>
      <c r="AY301" s="1127"/>
      <c r="AZ301" s="1127">
        <v>0.33333333333333331</v>
      </c>
      <c r="BA301" s="1129">
        <v>660.26612857142857</v>
      </c>
      <c r="BB301" s="1129">
        <v>0</v>
      </c>
      <c r="BC301" s="1129">
        <v>660.26612857142857</v>
      </c>
      <c r="BD301" s="1129">
        <v>0</v>
      </c>
      <c r="BE301" s="1129">
        <v>0</v>
      </c>
      <c r="BF301" s="1129">
        <v>0</v>
      </c>
      <c r="BG301" s="1129">
        <v>0</v>
      </c>
      <c r="BH301" s="1129">
        <v>660.26612857142857</v>
      </c>
      <c r="BI301" s="1981"/>
      <c r="BJ301" s="971"/>
      <c r="BK301" s="971"/>
      <c r="BL301" s="1246"/>
      <c r="BM301" s="1247" t="s">
        <v>1768</v>
      </c>
    </row>
    <row r="302" spans="1:65" s="1247" customFormat="1" ht="49.5" customHeight="1">
      <c r="A302" s="1272">
        <v>4000</v>
      </c>
      <c r="B302" s="971" t="s">
        <v>1316</v>
      </c>
      <c r="C302" s="1272">
        <v>4700</v>
      </c>
      <c r="D302" s="971" t="s">
        <v>912</v>
      </c>
      <c r="E302" s="971" t="s">
        <v>1973</v>
      </c>
      <c r="F302" s="971" t="s">
        <v>923</v>
      </c>
      <c r="G302" s="971" t="s">
        <v>5207</v>
      </c>
      <c r="H302" s="971" t="s">
        <v>923</v>
      </c>
      <c r="I302" s="1273" t="s">
        <v>7648</v>
      </c>
      <c r="J302" s="971" t="s">
        <v>2143</v>
      </c>
      <c r="K302" s="971" t="s">
        <v>1768</v>
      </c>
      <c r="L302" s="971" t="s">
        <v>3420</v>
      </c>
      <c r="M302" s="971" t="s">
        <v>1768</v>
      </c>
      <c r="N302" s="971" t="s">
        <v>179</v>
      </c>
      <c r="O302" s="971" t="s">
        <v>1769</v>
      </c>
      <c r="P302" s="971" t="s">
        <v>6663</v>
      </c>
      <c r="Q302" s="971" t="s">
        <v>7379</v>
      </c>
      <c r="R302" s="971" t="s">
        <v>5231</v>
      </c>
      <c r="S302" s="1274">
        <v>1</v>
      </c>
      <c r="T302" s="971" t="s">
        <v>242</v>
      </c>
      <c r="U302" s="1275">
        <v>8.1</v>
      </c>
      <c r="V302" s="1275">
        <v>106.5</v>
      </c>
      <c r="W302" s="1275">
        <v>809.29838571428581</v>
      </c>
      <c r="X302" s="1275">
        <v>1065</v>
      </c>
      <c r="Y302" s="1275">
        <v>1980.7983857142858</v>
      </c>
      <c r="Z302" s="1129">
        <v>8.1</v>
      </c>
      <c r="AA302" s="1129">
        <v>106.5</v>
      </c>
      <c r="AB302" s="1129">
        <v>809.29838571428581</v>
      </c>
      <c r="AC302" s="1129">
        <v>1065</v>
      </c>
      <c r="AD302" s="1098">
        <v>1980.7983857142858</v>
      </c>
      <c r="AE302" s="1237">
        <v>0.5</v>
      </c>
      <c r="AF302" s="1133">
        <v>0.5</v>
      </c>
      <c r="AG302" s="1127">
        <v>1</v>
      </c>
      <c r="AH302" s="1127">
        <v>0</v>
      </c>
      <c r="AI302" s="1127">
        <v>0</v>
      </c>
      <c r="AJ302" s="1127">
        <v>1</v>
      </c>
      <c r="AK302" s="1129">
        <v>1980.7983857142858</v>
      </c>
      <c r="AL302" s="1129">
        <v>0</v>
      </c>
      <c r="AM302" s="1129">
        <v>0</v>
      </c>
      <c r="AN302" s="1129">
        <v>1980.7983857142858</v>
      </c>
      <c r="AO302" s="1129" t="s">
        <v>85</v>
      </c>
      <c r="AP302" s="1129" t="s">
        <v>96</v>
      </c>
      <c r="AQ302" s="1157">
        <v>2014</v>
      </c>
      <c r="AR302" s="1129" t="s">
        <v>87</v>
      </c>
      <c r="AS302" s="1127">
        <v>0.33333333333333331</v>
      </c>
      <c r="AT302" s="1127"/>
      <c r="AU302" s="1127">
        <v>0.33333333333333331</v>
      </c>
      <c r="AV302" s="1127"/>
      <c r="AW302" s="1127"/>
      <c r="AX302" s="1127"/>
      <c r="AY302" s="1127"/>
      <c r="AZ302" s="1127">
        <v>0.33333333333333331</v>
      </c>
      <c r="BA302" s="1129">
        <v>660.26612857142857</v>
      </c>
      <c r="BB302" s="1129">
        <v>0</v>
      </c>
      <c r="BC302" s="1129">
        <v>660.26612857142857</v>
      </c>
      <c r="BD302" s="1129">
        <v>0</v>
      </c>
      <c r="BE302" s="1129">
        <v>0</v>
      </c>
      <c r="BF302" s="1129">
        <v>0</v>
      </c>
      <c r="BG302" s="1129">
        <v>0</v>
      </c>
      <c r="BH302" s="1129">
        <v>660.26612857142857</v>
      </c>
      <c r="BI302" s="1981"/>
      <c r="BJ302" s="971"/>
      <c r="BK302" s="971"/>
      <c r="BL302" s="1246"/>
      <c r="BM302" s="1247" t="s">
        <v>1768</v>
      </c>
    </row>
    <row r="303" spans="1:65" s="1247" customFormat="1" ht="49.5" customHeight="1">
      <c r="A303" s="1272">
        <v>4000</v>
      </c>
      <c r="B303" s="971" t="s">
        <v>1316</v>
      </c>
      <c r="C303" s="1272">
        <v>4700</v>
      </c>
      <c r="D303" s="971" t="s">
        <v>912</v>
      </c>
      <c r="E303" s="971" t="s">
        <v>1973</v>
      </c>
      <c r="F303" s="971" t="s">
        <v>923</v>
      </c>
      <c r="G303" s="971" t="s">
        <v>5207</v>
      </c>
      <c r="H303" s="971" t="s">
        <v>923</v>
      </c>
      <c r="I303" s="1273" t="s">
        <v>7649</v>
      </c>
      <c r="J303" s="971" t="s">
        <v>2143</v>
      </c>
      <c r="K303" s="971" t="s">
        <v>1768</v>
      </c>
      <c r="L303" s="971" t="s">
        <v>3420</v>
      </c>
      <c r="M303" s="971" t="s">
        <v>1768</v>
      </c>
      <c r="N303" s="971" t="s">
        <v>179</v>
      </c>
      <c r="O303" s="971" t="s">
        <v>1769</v>
      </c>
      <c r="P303" s="971" t="s">
        <v>6663</v>
      </c>
      <c r="Q303" s="971" t="s">
        <v>7381</v>
      </c>
      <c r="R303" s="971" t="s">
        <v>5232</v>
      </c>
      <c r="S303" s="1274">
        <v>1</v>
      </c>
      <c r="T303" s="971" t="s">
        <v>242</v>
      </c>
      <c r="U303" s="1275">
        <v>8.1</v>
      </c>
      <c r="V303" s="1275">
        <v>106.5</v>
      </c>
      <c r="W303" s="1275">
        <v>809.29838571428581</v>
      </c>
      <c r="X303" s="1275">
        <v>1065</v>
      </c>
      <c r="Y303" s="1275">
        <v>1980.7983857142858</v>
      </c>
      <c r="Z303" s="1129">
        <v>8.1</v>
      </c>
      <c r="AA303" s="1129">
        <v>106.5</v>
      </c>
      <c r="AB303" s="1129">
        <v>809.29838571428581</v>
      </c>
      <c r="AC303" s="1129">
        <v>1065</v>
      </c>
      <c r="AD303" s="1098">
        <v>1980.7983857142858</v>
      </c>
      <c r="AE303" s="1237">
        <v>0.5</v>
      </c>
      <c r="AF303" s="1133">
        <v>0.5</v>
      </c>
      <c r="AG303" s="1127">
        <v>1</v>
      </c>
      <c r="AH303" s="1127">
        <v>0</v>
      </c>
      <c r="AI303" s="1127">
        <v>0</v>
      </c>
      <c r="AJ303" s="1127">
        <v>1</v>
      </c>
      <c r="AK303" s="1129">
        <v>1980.7983857142858</v>
      </c>
      <c r="AL303" s="1129">
        <v>0</v>
      </c>
      <c r="AM303" s="1129">
        <v>0</v>
      </c>
      <c r="AN303" s="1129">
        <v>1980.7983857142858</v>
      </c>
      <c r="AO303" s="1129" t="s">
        <v>85</v>
      </c>
      <c r="AP303" s="1129" t="s">
        <v>96</v>
      </c>
      <c r="AQ303" s="1157">
        <v>2014</v>
      </c>
      <c r="AR303" s="1129" t="s">
        <v>87</v>
      </c>
      <c r="AS303" s="1127">
        <v>0.33333333333333331</v>
      </c>
      <c r="AT303" s="1127"/>
      <c r="AU303" s="1127">
        <v>0.33333333333333331</v>
      </c>
      <c r="AV303" s="1127"/>
      <c r="AW303" s="1127"/>
      <c r="AX303" s="1127"/>
      <c r="AY303" s="1127"/>
      <c r="AZ303" s="1127">
        <v>0.33333333333333331</v>
      </c>
      <c r="BA303" s="1129">
        <v>660.26612857142857</v>
      </c>
      <c r="BB303" s="1129">
        <v>0</v>
      </c>
      <c r="BC303" s="1129">
        <v>660.26612857142857</v>
      </c>
      <c r="BD303" s="1129">
        <v>0</v>
      </c>
      <c r="BE303" s="1129">
        <v>0</v>
      </c>
      <c r="BF303" s="1129">
        <v>0</v>
      </c>
      <c r="BG303" s="1129">
        <v>0</v>
      </c>
      <c r="BH303" s="1129">
        <v>660.26612857142857</v>
      </c>
      <c r="BI303" s="1981"/>
      <c r="BJ303" s="971"/>
      <c r="BK303" s="971"/>
      <c r="BL303" s="1246"/>
      <c r="BM303" s="1247" t="s">
        <v>1768</v>
      </c>
    </row>
    <row r="304" spans="1:65" s="1247" customFormat="1" ht="49.5" customHeight="1">
      <c r="A304" s="1272">
        <v>4000</v>
      </c>
      <c r="B304" s="971" t="s">
        <v>1316</v>
      </c>
      <c r="C304" s="1272">
        <v>4700</v>
      </c>
      <c r="D304" s="971" t="s">
        <v>912</v>
      </c>
      <c r="E304" s="971" t="s">
        <v>1973</v>
      </c>
      <c r="F304" s="971" t="s">
        <v>923</v>
      </c>
      <c r="G304" s="971" t="s">
        <v>5207</v>
      </c>
      <c r="H304" s="971" t="s">
        <v>923</v>
      </c>
      <c r="I304" s="1273" t="s">
        <v>7650</v>
      </c>
      <c r="J304" s="971" t="s">
        <v>2143</v>
      </c>
      <c r="K304" s="971" t="s">
        <v>1768</v>
      </c>
      <c r="L304" s="971" t="s">
        <v>3420</v>
      </c>
      <c r="M304" s="971" t="s">
        <v>1768</v>
      </c>
      <c r="N304" s="971" t="s">
        <v>179</v>
      </c>
      <c r="O304" s="971" t="s">
        <v>1769</v>
      </c>
      <c r="P304" s="971" t="s">
        <v>6663</v>
      </c>
      <c r="Q304" s="971" t="s">
        <v>7383</v>
      </c>
      <c r="R304" s="971" t="s">
        <v>5233</v>
      </c>
      <c r="S304" s="1274">
        <v>1</v>
      </c>
      <c r="T304" s="971" t="s">
        <v>242</v>
      </c>
      <c r="U304" s="1275">
        <v>8.1</v>
      </c>
      <c r="V304" s="1275">
        <v>106.5</v>
      </c>
      <c r="W304" s="1275">
        <v>809.29838571428581</v>
      </c>
      <c r="X304" s="1275">
        <v>1065</v>
      </c>
      <c r="Y304" s="1275">
        <v>1980.7983857142858</v>
      </c>
      <c r="Z304" s="1129">
        <v>8.1</v>
      </c>
      <c r="AA304" s="1129">
        <v>106.5</v>
      </c>
      <c r="AB304" s="1129">
        <v>809.29838571428581</v>
      </c>
      <c r="AC304" s="1129">
        <v>1065</v>
      </c>
      <c r="AD304" s="1098">
        <v>1980.7983857142858</v>
      </c>
      <c r="AE304" s="1237">
        <v>0.5</v>
      </c>
      <c r="AF304" s="1133">
        <v>0.5</v>
      </c>
      <c r="AG304" s="1127">
        <v>1</v>
      </c>
      <c r="AH304" s="1127">
        <v>0</v>
      </c>
      <c r="AI304" s="1127">
        <v>0</v>
      </c>
      <c r="AJ304" s="1127">
        <v>1</v>
      </c>
      <c r="AK304" s="1129">
        <v>1980.7983857142858</v>
      </c>
      <c r="AL304" s="1129">
        <v>0</v>
      </c>
      <c r="AM304" s="1129">
        <v>0</v>
      </c>
      <c r="AN304" s="1129">
        <v>1980.7983857142858</v>
      </c>
      <c r="AO304" s="1129" t="s">
        <v>85</v>
      </c>
      <c r="AP304" s="1129" t="s">
        <v>96</v>
      </c>
      <c r="AQ304" s="1157">
        <v>2014</v>
      </c>
      <c r="AR304" s="1129" t="s">
        <v>87</v>
      </c>
      <c r="AS304" s="1127">
        <v>0.33333333333333331</v>
      </c>
      <c r="AT304" s="1127"/>
      <c r="AU304" s="1127">
        <v>0.33333333333333331</v>
      </c>
      <c r="AV304" s="1127"/>
      <c r="AW304" s="1127"/>
      <c r="AX304" s="1127"/>
      <c r="AY304" s="1127"/>
      <c r="AZ304" s="1127">
        <v>0.33333333333333331</v>
      </c>
      <c r="BA304" s="1129">
        <v>660.26612857142857</v>
      </c>
      <c r="BB304" s="1129">
        <v>0</v>
      </c>
      <c r="BC304" s="1129">
        <v>660.26612857142857</v>
      </c>
      <c r="BD304" s="1129">
        <v>0</v>
      </c>
      <c r="BE304" s="1129">
        <v>0</v>
      </c>
      <c r="BF304" s="1129">
        <v>0</v>
      </c>
      <c r="BG304" s="1129">
        <v>0</v>
      </c>
      <c r="BH304" s="1129">
        <v>660.26612857142857</v>
      </c>
      <c r="BI304" s="1981"/>
      <c r="BJ304" s="971"/>
      <c r="BK304" s="971"/>
      <c r="BL304" s="1246"/>
      <c r="BM304" s="1247" t="s">
        <v>1768</v>
      </c>
    </row>
    <row r="305" spans="1:65" s="1247" customFormat="1" ht="49.5" customHeight="1">
      <c r="A305" s="1272">
        <v>4000</v>
      </c>
      <c r="B305" s="971" t="s">
        <v>1316</v>
      </c>
      <c r="C305" s="1272">
        <v>4700</v>
      </c>
      <c r="D305" s="971" t="s">
        <v>912</v>
      </c>
      <c r="E305" s="971" t="s">
        <v>1973</v>
      </c>
      <c r="F305" s="971" t="s">
        <v>923</v>
      </c>
      <c r="G305" s="971" t="s">
        <v>5207</v>
      </c>
      <c r="H305" s="971" t="s">
        <v>923</v>
      </c>
      <c r="I305" s="1273" t="s">
        <v>7651</v>
      </c>
      <c r="J305" s="971" t="s">
        <v>2143</v>
      </c>
      <c r="K305" s="971" t="s">
        <v>1768</v>
      </c>
      <c r="L305" s="971" t="s">
        <v>3420</v>
      </c>
      <c r="M305" s="971" t="s">
        <v>1768</v>
      </c>
      <c r="N305" s="971" t="s">
        <v>179</v>
      </c>
      <c r="O305" s="971" t="s">
        <v>1769</v>
      </c>
      <c r="P305" s="971" t="s">
        <v>6663</v>
      </c>
      <c r="Q305" s="971" t="s">
        <v>7385</v>
      </c>
      <c r="R305" s="971" t="s">
        <v>5234</v>
      </c>
      <c r="S305" s="1274">
        <v>1</v>
      </c>
      <c r="T305" s="971" t="s">
        <v>242</v>
      </c>
      <c r="U305" s="1275">
        <v>8.1</v>
      </c>
      <c r="V305" s="1275">
        <v>106.5</v>
      </c>
      <c r="W305" s="1275">
        <v>809.29838571428581</v>
      </c>
      <c r="X305" s="1275">
        <v>1065</v>
      </c>
      <c r="Y305" s="1275">
        <v>1980.7983857142858</v>
      </c>
      <c r="Z305" s="1129">
        <v>8.1</v>
      </c>
      <c r="AA305" s="1129">
        <v>106.5</v>
      </c>
      <c r="AB305" s="1129">
        <v>809.29838571428581</v>
      </c>
      <c r="AC305" s="1129">
        <v>1065</v>
      </c>
      <c r="AD305" s="1098">
        <v>1980.7983857142858</v>
      </c>
      <c r="AE305" s="1237">
        <v>0.5</v>
      </c>
      <c r="AF305" s="1133">
        <v>0.5</v>
      </c>
      <c r="AG305" s="1127">
        <v>1</v>
      </c>
      <c r="AH305" s="1127">
        <v>0</v>
      </c>
      <c r="AI305" s="1127">
        <v>0</v>
      </c>
      <c r="AJ305" s="1127">
        <v>1</v>
      </c>
      <c r="AK305" s="1129">
        <v>1980.7983857142858</v>
      </c>
      <c r="AL305" s="1129">
        <v>0</v>
      </c>
      <c r="AM305" s="1129">
        <v>0</v>
      </c>
      <c r="AN305" s="1129">
        <v>1980.7983857142858</v>
      </c>
      <c r="AO305" s="1129" t="s">
        <v>85</v>
      </c>
      <c r="AP305" s="1129" t="s">
        <v>96</v>
      </c>
      <c r="AQ305" s="1157">
        <v>2014</v>
      </c>
      <c r="AR305" s="1129" t="s">
        <v>87</v>
      </c>
      <c r="AS305" s="1127">
        <v>0.33333333333333331</v>
      </c>
      <c r="AT305" s="1127"/>
      <c r="AU305" s="1127">
        <v>0.33333333333333331</v>
      </c>
      <c r="AV305" s="1127"/>
      <c r="AW305" s="1127"/>
      <c r="AX305" s="1127"/>
      <c r="AY305" s="1127"/>
      <c r="AZ305" s="1127">
        <v>0.33333333333333331</v>
      </c>
      <c r="BA305" s="1129">
        <v>660.26612857142857</v>
      </c>
      <c r="BB305" s="1129">
        <v>0</v>
      </c>
      <c r="BC305" s="1129">
        <v>660.26612857142857</v>
      </c>
      <c r="BD305" s="1129">
        <v>0</v>
      </c>
      <c r="BE305" s="1129">
        <v>0</v>
      </c>
      <c r="BF305" s="1129">
        <v>0</v>
      </c>
      <c r="BG305" s="1129">
        <v>0</v>
      </c>
      <c r="BH305" s="1129">
        <v>660.26612857142857</v>
      </c>
      <c r="BI305" s="1981"/>
      <c r="BJ305" s="971"/>
      <c r="BK305" s="971"/>
      <c r="BL305" s="1246"/>
      <c r="BM305" s="1247" t="s">
        <v>1768</v>
      </c>
    </row>
    <row r="306" spans="1:65" s="1247" customFormat="1" ht="49.5" customHeight="1">
      <c r="A306" s="1272">
        <v>4000</v>
      </c>
      <c r="B306" s="971" t="s">
        <v>1316</v>
      </c>
      <c r="C306" s="1272">
        <v>4700</v>
      </c>
      <c r="D306" s="971" t="s">
        <v>912</v>
      </c>
      <c r="E306" s="971" t="s">
        <v>1973</v>
      </c>
      <c r="F306" s="971" t="s">
        <v>923</v>
      </c>
      <c r="G306" s="971" t="s">
        <v>5207</v>
      </c>
      <c r="H306" s="971" t="s">
        <v>923</v>
      </c>
      <c r="I306" s="1273" t="s">
        <v>7652</v>
      </c>
      <c r="J306" s="971" t="s">
        <v>2143</v>
      </c>
      <c r="K306" s="971" t="s">
        <v>1768</v>
      </c>
      <c r="L306" s="971" t="s">
        <v>3420</v>
      </c>
      <c r="M306" s="971" t="s">
        <v>1768</v>
      </c>
      <c r="N306" s="971" t="s">
        <v>179</v>
      </c>
      <c r="O306" s="971" t="s">
        <v>1769</v>
      </c>
      <c r="P306" s="971" t="s">
        <v>6663</v>
      </c>
      <c r="Q306" s="971" t="s">
        <v>7645</v>
      </c>
      <c r="R306" s="971" t="s">
        <v>5235</v>
      </c>
      <c r="S306" s="1274">
        <v>1</v>
      </c>
      <c r="T306" s="971" t="s">
        <v>242</v>
      </c>
      <c r="U306" s="1275">
        <v>8.1</v>
      </c>
      <c r="V306" s="1275">
        <v>106.5</v>
      </c>
      <c r="W306" s="1275">
        <v>809.29838571428581</v>
      </c>
      <c r="X306" s="1275">
        <v>1065</v>
      </c>
      <c r="Y306" s="1275">
        <v>1980.7983857142858</v>
      </c>
      <c r="Z306" s="1129">
        <v>8.1</v>
      </c>
      <c r="AA306" s="1129">
        <v>106.5</v>
      </c>
      <c r="AB306" s="1129">
        <v>809.29838571428581</v>
      </c>
      <c r="AC306" s="1129">
        <v>1065</v>
      </c>
      <c r="AD306" s="1098">
        <v>1980.7983857142858</v>
      </c>
      <c r="AE306" s="1237">
        <v>0.5</v>
      </c>
      <c r="AF306" s="1133">
        <v>0.5</v>
      </c>
      <c r="AG306" s="1127">
        <v>1</v>
      </c>
      <c r="AH306" s="1127">
        <v>0</v>
      </c>
      <c r="AI306" s="1127">
        <v>0</v>
      </c>
      <c r="AJ306" s="1127">
        <v>1</v>
      </c>
      <c r="AK306" s="1129">
        <v>1980.7983857142858</v>
      </c>
      <c r="AL306" s="1129">
        <v>0</v>
      </c>
      <c r="AM306" s="1129">
        <v>0</v>
      </c>
      <c r="AN306" s="1129">
        <v>1980.7983857142858</v>
      </c>
      <c r="AO306" s="1129" t="s">
        <v>85</v>
      </c>
      <c r="AP306" s="1129" t="s">
        <v>96</v>
      </c>
      <c r="AQ306" s="1157">
        <v>2014</v>
      </c>
      <c r="AR306" s="1129" t="s">
        <v>87</v>
      </c>
      <c r="AS306" s="1127">
        <v>0.33333333333333331</v>
      </c>
      <c r="AT306" s="1127"/>
      <c r="AU306" s="1127">
        <v>0.33333333333333331</v>
      </c>
      <c r="AV306" s="1127"/>
      <c r="AW306" s="1127"/>
      <c r="AX306" s="1127"/>
      <c r="AY306" s="1127"/>
      <c r="AZ306" s="1127">
        <v>0.33333333333333331</v>
      </c>
      <c r="BA306" s="1129">
        <v>660.26612857142857</v>
      </c>
      <c r="BB306" s="1129">
        <v>0</v>
      </c>
      <c r="BC306" s="1129">
        <v>660.26612857142857</v>
      </c>
      <c r="BD306" s="1129">
        <v>0</v>
      </c>
      <c r="BE306" s="1129">
        <v>0</v>
      </c>
      <c r="BF306" s="1129">
        <v>0</v>
      </c>
      <c r="BG306" s="1129">
        <v>0</v>
      </c>
      <c r="BH306" s="1129">
        <v>660.26612857142857</v>
      </c>
      <c r="BI306" s="1981"/>
      <c r="BJ306" s="971"/>
      <c r="BK306" s="971"/>
      <c r="BL306" s="1246"/>
      <c r="BM306" s="1247" t="s">
        <v>1768</v>
      </c>
    </row>
    <row r="307" spans="1:65" s="1247" customFormat="1" ht="49.5" customHeight="1">
      <c r="A307" s="1272">
        <v>4000</v>
      </c>
      <c r="B307" s="971" t="s">
        <v>1316</v>
      </c>
      <c r="C307" s="1272">
        <v>4700</v>
      </c>
      <c r="D307" s="971" t="s">
        <v>912</v>
      </c>
      <c r="E307" s="971" t="s">
        <v>1973</v>
      </c>
      <c r="F307" s="971" t="s">
        <v>923</v>
      </c>
      <c r="G307" s="971" t="s">
        <v>5207</v>
      </c>
      <c r="H307" s="971" t="s">
        <v>923</v>
      </c>
      <c r="I307" s="1273" t="s">
        <v>7653</v>
      </c>
      <c r="J307" s="971" t="s">
        <v>239</v>
      </c>
      <c r="K307" s="971" t="s">
        <v>1768</v>
      </c>
      <c r="L307" s="971" t="s">
        <v>3420</v>
      </c>
      <c r="M307" s="971" t="s">
        <v>1768</v>
      </c>
      <c r="N307" s="971" t="s">
        <v>179</v>
      </c>
      <c r="O307" s="971" t="s">
        <v>1769</v>
      </c>
      <c r="P307" s="971" t="s">
        <v>6663</v>
      </c>
      <c r="Q307" s="971" t="s">
        <v>7647</v>
      </c>
      <c r="R307" s="971" t="s">
        <v>5237</v>
      </c>
      <c r="S307" s="1274">
        <v>1</v>
      </c>
      <c r="T307" s="971" t="s">
        <v>242</v>
      </c>
      <c r="U307" s="1275">
        <v>8.1</v>
      </c>
      <c r="V307" s="1275">
        <v>106.5</v>
      </c>
      <c r="W307" s="1275">
        <v>809.29838571428581</v>
      </c>
      <c r="X307" s="1275">
        <v>1065</v>
      </c>
      <c r="Y307" s="1275">
        <v>1980.7983857142858</v>
      </c>
      <c r="Z307" s="1129">
        <v>8.1</v>
      </c>
      <c r="AA307" s="1129">
        <v>106.5</v>
      </c>
      <c r="AB307" s="1129">
        <v>809.29838571428581</v>
      </c>
      <c r="AC307" s="1129">
        <v>1065</v>
      </c>
      <c r="AD307" s="1098">
        <v>1980.7983857142858</v>
      </c>
      <c r="AE307" s="1237">
        <v>0.5</v>
      </c>
      <c r="AF307" s="1133">
        <v>0.5</v>
      </c>
      <c r="AG307" s="1127">
        <v>1</v>
      </c>
      <c r="AH307" s="1127">
        <v>0</v>
      </c>
      <c r="AI307" s="1127">
        <v>0</v>
      </c>
      <c r="AJ307" s="1127">
        <v>1</v>
      </c>
      <c r="AK307" s="1129">
        <v>1980.7983857142858</v>
      </c>
      <c r="AL307" s="1129">
        <v>0</v>
      </c>
      <c r="AM307" s="1129">
        <v>0</v>
      </c>
      <c r="AN307" s="1129">
        <v>1980.7983857142858</v>
      </c>
      <c r="AO307" s="1129" t="s">
        <v>85</v>
      </c>
      <c r="AP307" s="1129" t="s">
        <v>96</v>
      </c>
      <c r="AQ307" s="1157">
        <v>2014</v>
      </c>
      <c r="AR307" s="1129" t="s">
        <v>87</v>
      </c>
      <c r="AS307" s="1127">
        <v>0.33333333333333331</v>
      </c>
      <c r="AT307" s="1127"/>
      <c r="AU307" s="1127">
        <v>0.33333333333333331</v>
      </c>
      <c r="AV307" s="1127"/>
      <c r="AW307" s="1127"/>
      <c r="AX307" s="1127"/>
      <c r="AY307" s="1127"/>
      <c r="AZ307" s="1127">
        <v>0.33333333333333331</v>
      </c>
      <c r="BA307" s="1129">
        <v>660.26612857142857</v>
      </c>
      <c r="BB307" s="1129">
        <v>0</v>
      </c>
      <c r="BC307" s="1129">
        <v>660.26612857142857</v>
      </c>
      <c r="BD307" s="1129">
        <v>0</v>
      </c>
      <c r="BE307" s="1129">
        <v>0</v>
      </c>
      <c r="BF307" s="1129">
        <v>0</v>
      </c>
      <c r="BG307" s="1129">
        <v>0</v>
      </c>
      <c r="BH307" s="1129">
        <v>660.26612857142857</v>
      </c>
      <c r="BI307" s="1981"/>
      <c r="BJ307" s="971"/>
      <c r="BK307" s="971"/>
      <c r="BL307" s="1246"/>
      <c r="BM307" s="1247" t="s">
        <v>1768</v>
      </c>
    </row>
    <row r="308" spans="1:65" s="1247" customFormat="1" ht="49.5" customHeight="1">
      <c r="A308" s="1272">
        <v>4000</v>
      </c>
      <c r="B308" s="971" t="s">
        <v>1316</v>
      </c>
      <c r="C308" s="1272">
        <v>4700</v>
      </c>
      <c r="D308" s="971" t="s">
        <v>912</v>
      </c>
      <c r="E308" s="971" t="s">
        <v>1973</v>
      </c>
      <c r="F308" s="971" t="s">
        <v>923</v>
      </c>
      <c r="G308" s="971" t="s">
        <v>5207</v>
      </c>
      <c r="H308" s="971" t="s">
        <v>923</v>
      </c>
      <c r="I308" s="1273" t="s">
        <v>7654</v>
      </c>
      <c r="J308" s="971" t="s">
        <v>2143</v>
      </c>
      <c r="K308" s="971" t="s">
        <v>1768</v>
      </c>
      <c r="L308" s="971" t="s">
        <v>3420</v>
      </c>
      <c r="M308" s="971" t="s">
        <v>1768</v>
      </c>
      <c r="N308" s="971" t="s">
        <v>179</v>
      </c>
      <c r="O308" s="971" t="s">
        <v>1769</v>
      </c>
      <c r="P308" s="971" t="s">
        <v>6663</v>
      </c>
      <c r="Q308" s="971" t="s">
        <v>7655</v>
      </c>
      <c r="R308" s="971" t="s">
        <v>5239</v>
      </c>
      <c r="S308" s="1274">
        <v>1</v>
      </c>
      <c r="T308" s="971" t="s">
        <v>242</v>
      </c>
      <c r="U308" s="1275">
        <v>8.1</v>
      </c>
      <c r="V308" s="1275">
        <v>106.5</v>
      </c>
      <c r="W308" s="1275">
        <v>809.29838571428581</v>
      </c>
      <c r="X308" s="1275">
        <v>1065</v>
      </c>
      <c r="Y308" s="1275">
        <v>1980.7983857142858</v>
      </c>
      <c r="Z308" s="1129">
        <v>8.1</v>
      </c>
      <c r="AA308" s="1129">
        <v>106.5</v>
      </c>
      <c r="AB308" s="1129">
        <v>809.29838571428581</v>
      </c>
      <c r="AC308" s="1129">
        <v>1065</v>
      </c>
      <c r="AD308" s="1098">
        <v>1980.7983857142858</v>
      </c>
      <c r="AE308" s="1237">
        <v>0.5</v>
      </c>
      <c r="AF308" s="1133">
        <v>0.5</v>
      </c>
      <c r="AG308" s="1127">
        <v>1</v>
      </c>
      <c r="AH308" s="1127">
        <v>0</v>
      </c>
      <c r="AI308" s="1127">
        <v>0</v>
      </c>
      <c r="AJ308" s="1127">
        <v>1</v>
      </c>
      <c r="AK308" s="1129">
        <v>1980.7983857142858</v>
      </c>
      <c r="AL308" s="1129">
        <v>0</v>
      </c>
      <c r="AM308" s="1129">
        <v>0</v>
      </c>
      <c r="AN308" s="1129">
        <v>1980.7983857142858</v>
      </c>
      <c r="AO308" s="1129" t="s">
        <v>85</v>
      </c>
      <c r="AP308" s="1129" t="s">
        <v>96</v>
      </c>
      <c r="AQ308" s="1157">
        <v>2014</v>
      </c>
      <c r="AR308" s="1129" t="s">
        <v>87</v>
      </c>
      <c r="AS308" s="1127">
        <v>0.5</v>
      </c>
      <c r="AT308" s="1127">
        <v>0.5</v>
      </c>
      <c r="AU308" s="1127"/>
      <c r="AV308" s="1127"/>
      <c r="AW308" s="1127"/>
      <c r="AX308" s="1127"/>
      <c r="AY308" s="1127"/>
      <c r="AZ308" s="1127"/>
      <c r="BA308" s="1129">
        <v>990.39919285714291</v>
      </c>
      <c r="BB308" s="1129">
        <v>990.39919285714291</v>
      </c>
      <c r="BC308" s="1129">
        <v>0</v>
      </c>
      <c r="BD308" s="1129">
        <v>0</v>
      </c>
      <c r="BE308" s="1129">
        <v>0</v>
      </c>
      <c r="BF308" s="1129">
        <v>0</v>
      </c>
      <c r="BG308" s="1129">
        <v>0</v>
      </c>
      <c r="BH308" s="1129">
        <v>0</v>
      </c>
      <c r="BI308" s="1981"/>
      <c r="BJ308" s="971"/>
      <c r="BK308" s="971"/>
      <c r="BL308" s="1246"/>
      <c r="BM308" s="1247" t="s">
        <v>1768</v>
      </c>
    </row>
    <row r="309" spans="1:65" s="1247" customFormat="1" ht="49.5" customHeight="1">
      <c r="A309" s="1272">
        <v>4000</v>
      </c>
      <c r="B309" s="971" t="s">
        <v>1316</v>
      </c>
      <c r="C309" s="1272">
        <v>4700</v>
      </c>
      <c r="D309" s="971" t="s">
        <v>912</v>
      </c>
      <c r="E309" s="971" t="s">
        <v>1973</v>
      </c>
      <c r="F309" s="971" t="s">
        <v>923</v>
      </c>
      <c r="G309" s="971" t="s">
        <v>5207</v>
      </c>
      <c r="H309" s="971" t="s">
        <v>923</v>
      </c>
      <c r="I309" s="1273" t="s">
        <v>7656</v>
      </c>
      <c r="J309" s="971" t="s">
        <v>239</v>
      </c>
      <c r="K309" s="971" t="s">
        <v>1768</v>
      </c>
      <c r="L309" s="971" t="s">
        <v>3420</v>
      </c>
      <c r="M309" s="971" t="s">
        <v>1768</v>
      </c>
      <c r="N309" s="971" t="s">
        <v>179</v>
      </c>
      <c r="O309" s="971" t="s">
        <v>1769</v>
      </c>
      <c r="P309" s="971" t="s">
        <v>6663</v>
      </c>
      <c r="Q309" s="971" t="s">
        <v>7261</v>
      </c>
      <c r="R309" s="971" t="s">
        <v>5241</v>
      </c>
      <c r="S309" s="1274">
        <v>1</v>
      </c>
      <c r="T309" s="971" t="s">
        <v>242</v>
      </c>
      <c r="U309" s="1275">
        <v>8.1</v>
      </c>
      <c r="V309" s="1275">
        <v>106.5</v>
      </c>
      <c r="W309" s="1275">
        <v>809.29838571428581</v>
      </c>
      <c r="X309" s="1275">
        <v>1065</v>
      </c>
      <c r="Y309" s="1275">
        <v>1980.7983857142858</v>
      </c>
      <c r="Z309" s="1129">
        <v>8.1</v>
      </c>
      <c r="AA309" s="1129">
        <v>106.5</v>
      </c>
      <c r="AB309" s="1129">
        <v>809.29838571428581</v>
      </c>
      <c r="AC309" s="1129">
        <v>1065</v>
      </c>
      <c r="AD309" s="1098">
        <v>1980.7983857142858</v>
      </c>
      <c r="AE309" s="1237">
        <v>0.5</v>
      </c>
      <c r="AF309" s="1133">
        <v>0.5</v>
      </c>
      <c r="AG309" s="1127">
        <v>1</v>
      </c>
      <c r="AH309" s="1127">
        <v>0</v>
      </c>
      <c r="AI309" s="1127">
        <v>0</v>
      </c>
      <c r="AJ309" s="1127">
        <v>1</v>
      </c>
      <c r="AK309" s="1129">
        <v>1980.7983857142858</v>
      </c>
      <c r="AL309" s="1129">
        <v>0</v>
      </c>
      <c r="AM309" s="1129">
        <v>0</v>
      </c>
      <c r="AN309" s="1129">
        <v>1980.7983857142858</v>
      </c>
      <c r="AO309" s="1129" t="s">
        <v>85</v>
      </c>
      <c r="AP309" s="1129" t="s">
        <v>96</v>
      </c>
      <c r="AQ309" s="1157">
        <v>2014</v>
      </c>
      <c r="AR309" s="1129" t="s">
        <v>87</v>
      </c>
      <c r="AS309" s="1127">
        <v>0.5</v>
      </c>
      <c r="AT309" s="1127">
        <v>0.5</v>
      </c>
      <c r="AU309" s="1127"/>
      <c r="AV309" s="1127"/>
      <c r="AW309" s="1127"/>
      <c r="AX309" s="1127"/>
      <c r="AY309" s="1127"/>
      <c r="AZ309" s="1127"/>
      <c r="BA309" s="1129">
        <v>990.39919285714291</v>
      </c>
      <c r="BB309" s="1129">
        <v>990.39919285714291</v>
      </c>
      <c r="BC309" s="1129">
        <v>0</v>
      </c>
      <c r="BD309" s="1129">
        <v>0</v>
      </c>
      <c r="BE309" s="1129">
        <v>0</v>
      </c>
      <c r="BF309" s="1129">
        <v>0</v>
      </c>
      <c r="BG309" s="1129">
        <v>0</v>
      </c>
      <c r="BH309" s="1129">
        <v>0</v>
      </c>
      <c r="BI309" s="1981"/>
      <c r="BJ309" s="971"/>
      <c r="BK309" s="971"/>
      <c r="BL309" s="1246"/>
      <c r="BM309" s="1247" t="s">
        <v>1768</v>
      </c>
    </row>
    <row r="310" spans="1:65" s="1247" customFormat="1" ht="49.5" customHeight="1">
      <c r="A310" s="1272">
        <v>4000</v>
      </c>
      <c r="B310" s="971" t="s">
        <v>1316</v>
      </c>
      <c r="C310" s="1272">
        <v>4700</v>
      </c>
      <c r="D310" s="971" t="s">
        <v>912</v>
      </c>
      <c r="E310" s="971" t="s">
        <v>1973</v>
      </c>
      <c r="F310" s="971" t="s">
        <v>923</v>
      </c>
      <c r="G310" s="971" t="s">
        <v>5207</v>
      </c>
      <c r="H310" s="971" t="s">
        <v>923</v>
      </c>
      <c r="I310" s="1273" t="s">
        <v>7657</v>
      </c>
      <c r="J310" s="971" t="s">
        <v>2143</v>
      </c>
      <c r="K310" s="971" t="s">
        <v>1768</v>
      </c>
      <c r="L310" s="971" t="s">
        <v>3420</v>
      </c>
      <c r="M310" s="971" t="s">
        <v>1768</v>
      </c>
      <c r="N310" s="971" t="s">
        <v>179</v>
      </c>
      <c r="O310" s="971" t="s">
        <v>1769</v>
      </c>
      <c r="P310" s="971" t="s">
        <v>6663</v>
      </c>
      <c r="Q310" s="971" t="s">
        <v>7658</v>
      </c>
      <c r="R310" s="971" t="s">
        <v>5243</v>
      </c>
      <c r="S310" s="1274">
        <v>1</v>
      </c>
      <c r="T310" s="971" t="s">
        <v>242</v>
      </c>
      <c r="U310" s="1275">
        <v>8.1</v>
      </c>
      <c r="V310" s="1275">
        <v>106.5</v>
      </c>
      <c r="W310" s="1275">
        <v>809.29838571428581</v>
      </c>
      <c r="X310" s="1275">
        <v>1065</v>
      </c>
      <c r="Y310" s="1275">
        <v>1980.7983857142858</v>
      </c>
      <c r="Z310" s="1129">
        <v>8.1</v>
      </c>
      <c r="AA310" s="1129">
        <v>106.5</v>
      </c>
      <c r="AB310" s="1129">
        <v>809.29838571428581</v>
      </c>
      <c r="AC310" s="1129">
        <v>1065</v>
      </c>
      <c r="AD310" s="1098">
        <v>1980.7983857142858</v>
      </c>
      <c r="AE310" s="1237">
        <v>0.5</v>
      </c>
      <c r="AF310" s="1133">
        <v>0.5</v>
      </c>
      <c r="AG310" s="1127">
        <v>1</v>
      </c>
      <c r="AH310" s="1127">
        <v>0</v>
      </c>
      <c r="AI310" s="1127">
        <v>0</v>
      </c>
      <c r="AJ310" s="1127">
        <v>1</v>
      </c>
      <c r="AK310" s="1129">
        <v>1980.7983857142858</v>
      </c>
      <c r="AL310" s="1129">
        <v>0</v>
      </c>
      <c r="AM310" s="1129">
        <v>0</v>
      </c>
      <c r="AN310" s="1129">
        <v>1980.7983857142858</v>
      </c>
      <c r="AO310" s="1129" t="s">
        <v>85</v>
      </c>
      <c r="AP310" s="1129" t="s">
        <v>96</v>
      </c>
      <c r="AQ310" s="1157">
        <v>2014</v>
      </c>
      <c r="AR310" s="1129" t="s">
        <v>87</v>
      </c>
      <c r="AS310" s="1127">
        <v>0.5</v>
      </c>
      <c r="AT310" s="1127">
        <v>0.5</v>
      </c>
      <c r="AU310" s="1127"/>
      <c r="AV310" s="1127"/>
      <c r="AW310" s="1127"/>
      <c r="AX310" s="1127"/>
      <c r="AY310" s="1127"/>
      <c r="AZ310" s="1127"/>
      <c r="BA310" s="1129">
        <v>990.39919285714291</v>
      </c>
      <c r="BB310" s="1129">
        <v>990.39919285714291</v>
      </c>
      <c r="BC310" s="1129">
        <v>0</v>
      </c>
      <c r="BD310" s="1129">
        <v>0</v>
      </c>
      <c r="BE310" s="1129">
        <v>0</v>
      </c>
      <c r="BF310" s="1129">
        <v>0</v>
      </c>
      <c r="BG310" s="1129">
        <v>0</v>
      </c>
      <c r="BH310" s="1129">
        <v>0</v>
      </c>
      <c r="BI310" s="1981"/>
      <c r="BJ310" s="971"/>
      <c r="BK310" s="971"/>
      <c r="BL310" s="1246"/>
      <c r="BM310" s="1247" t="s">
        <v>1768</v>
      </c>
    </row>
    <row r="311" spans="1:65" s="1247" customFormat="1" ht="49.5" customHeight="1">
      <c r="A311" s="1272">
        <v>4000</v>
      </c>
      <c r="B311" s="971" t="s">
        <v>1316</v>
      </c>
      <c r="C311" s="1272">
        <v>4700</v>
      </c>
      <c r="D311" s="971" t="s">
        <v>912</v>
      </c>
      <c r="E311" s="971" t="s">
        <v>1973</v>
      </c>
      <c r="F311" s="971" t="s">
        <v>923</v>
      </c>
      <c r="G311" s="971" t="s">
        <v>5207</v>
      </c>
      <c r="H311" s="971" t="s">
        <v>923</v>
      </c>
      <c r="I311" s="1273" t="s">
        <v>7659</v>
      </c>
      <c r="J311" s="971" t="s">
        <v>239</v>
      </c>
      <c r="K311" s="971" t="s">
        <v>1768</v>
      </c>
      <c r="L311" s="971" t="s">
        <v>3420</v>
      </c>
      <c r="M311" s="971" t="s">
        <v>1768</v>
      </c>
      <c r="N311" s="971" t="s">
        <v>179</v>
      </c>
      <c r="O311" s="971" t="s">
        <v>1769</v>
      </c>
      <c r="P311" s="971" t="s">
        <v>6663</v>
      </c>
      <c r="Q311" s="971" t="s">
        <v>7261</v>
      </c>
      <c r="R311" s="971" t="s">
        <v>5245</v>
      </c>
      <c r="S311" s="1274">
        <v>1</v>
      </c>
      <c r="T311" s="971" t="s">
        <v>242</v>
      </c>
      <c r="U311" s="1275">
        <v>8.1</v>
      </c>
      <c r="V311" s="1275">
        <v>106.5</v>
      </c>
      <c r="W311" s="1275">
        <v>809.29838571428581</v>
      </c>
      <c r="X311" s="1275">
        <v>1065</v>
      </c>
      <c r="Y311" s="1275">
        <v>1980.7983857142858</v>
      </c>
      <c r="Z311" s="1129">
        <v>8.1</v>
      </c>
      <c r="AA311" s="1129">
        <v>106.5</v>
      </c>
      <c r="AB311" s="1129">
        <v>809.29838571428581</v>
      </c>
      <c r="AC311" s="1129">
        <v>1065</v>
      </c>
      <c r="AD311" s="1098">
        <v>1980.7983857142858</v>
      </c>
      <c r="AE311" s="1237">
        <v>0.5</v>
      </c>
      <c r="AF311" s="1133">
        <v>0.5</v>
      </c>
      <c r="AG311" s="1127">
        <v>1</v>
      </c>
      <c r="AH311" s="1127">
        <v>0</v>
      </c>
      <c r="AI311" s="1127">
        <v>0</v>
      </c>
      <c r="AJ311" s="1127">
        <v>1</v>
      </c>
      <c r="AK311" s="1129">
        <v>1980.7983857142858</v>
      </c>
      <c r="AL311" s="1129">
        <v>0</v>
      </c>
      <c r="AM311" s="1129">
        <v>0</v>
      </c>
      <c r="AN311" s="1129">
        <v>1980.7983857142858</v>
      </c>
      <c r="AO311" s="1129" t="s">
        <v>85</v>
      </c>
      <c r="AP311" s="1129" t="s">
        <v>96</v>
      </c>
      <c r="AQ311" s="1157">
        <v>2014</v>
      </c>
      <c r="AR311" s="1129" t="s">
        <v>87</v>
      </c>
      <c r="AS311" s="1127">
        <v>0.5</v>
      </c>
      <c r="AT311" s="1127">
        <v>0.5</v>
      </c>
      <c r="AU311" s="1127"/>
      <c r="AV311" s="1127"/>
      <c r="AW311" s="1127"/>
      <c r="AX311" s="1127"/>
      <c r="AY311" s="1127"/>
      <c r="AZ311" s="1127"/>
      <c r="BA311" s="1129">
        <v>990.39919285714291</v>
      </c>
      <c r="BB311" s="1129">
        <v>990.39919285714291</v>
      </c>
      <c r="BC311" s="1129">
        <v>0</v>
      </c>
      <c r="BD311" s="1129">
        <v>0</v>
      </c>
      <c r="BE311" s="1129">
        <v>0</v>
      </c>
      <c r="BF311" s="1129">
        <v>0</v>
      </c>
      <c r="BG311" s="1129">
        <v>0</v>
      </c>
      <c r="BH311" s="1129">
        <v>0</v>
      </c>
      <c r="BI311" s="1981"/>
      <c r="BJ311" s="971"/>
      <c r="BK311" s="971"/>
      <c r="BL311" s="1246"/>
      <c r="BM311" s="1247" t="s">
        <v>1768</v>
      </c>
    </row>
    <row r="312" spans="1:65" s="1247" customFormat="1" ht="49.5" customHeight="1">
      <c r="A312" s="1272">
        <v>4000</v>
      </c>
      <c r="B312" s="971" t="s">
        <v>1316</v>
      </c>
      <c r="C312" s="1272">
        <v>4700</v>
      </c>
      <c r="D312" s="971" t="s">
        <v>912</v>
      </c>
      <c r="E312" s="971" t="s">
        <v>6613</v>
      </c>
      <c r="F312" s="971" t="s">
        <v>958</v>
      </c>
      <c r="G312" s="971" t="s">
        <v>5250</v>
      </c>
      <c r="H312" s="971" t="s">
        <v>968</v>
      </c>
      <c r="I312" s="1273" t="s">
        <v>7660</v>
      </c>
      <c r="J312" s="971" t="s">
        <v>2143</v>
      </c>
      <c r="K312" s="971" t="s">
        <v>1768</v>
      </c>
      <c r="L312" s="971" t="s">
        <v>3420</v>
      </c>
      <c r="M312" s="971" t="s">
        <v>1768</v>
      </c>
      <c r="N312" s="971" t="s">
        <v>179</v>
      </c>
      <c r="O312" s="971" t="s">
        <v>1769</v>
      </c>
      <c r="P312" s="971" t="s">
        <v>6663</v>
      </c>
      <c r="Q312" s="971" t="s">
        <v>7395</v>
      </c>
      <c r="R312" s="971" t="s">
        <v>5251</v>
      </c>
      <c r="S312" s="1274">
        <v>1</v>
      </c>
      <c r="T312" s="971" t="s">
        <v>242</v>
      </c>
      <c r="U312" s="1275">
        <v>8.1</v>
      </c>
      <c r="V312" s="1275">
        <v>106.5</v>
      </c>
      <c r="W312" s="1275">
        <v>809.29838571428581</v>
      </c>
      <c r="X312" s="1275">
        <v>1065</v>
      </c>
      <c r="Y312" s="1275">
        <v>1980.7983857142858</v>
      </c>
      <c r="Z312" s="1129">
        <v>8.1</v>
      </c>
      <c r="AA312" s="1129">
        <v>106.5</v>
      </c>
      <c r="AB312" s="1129">
        <v>809.29838571428581</v>
      </c>
      <c r="AC312" s="1129">
        <v>1065</v>
      </c>
      <c r="AD312" s="1098">
        <v>1980.7983857142858</v>
      </c>
      <c r="AE312" s="1237">
        <v>0.5</v>
      </c>
      <c r="AF312" s="1133">
        <v>0.5</v>
      </c>
      <c r="AG312" s="1127">
        <v>1</v>
      </c>
      <c r="AH312" s="1127">
        <v>0</v>
      </c>
      <c r="AI312" s="1127">
        <v>0</v>
      </c>
      <c r="AJ312" s="1127">
        <v>1</v>
      </c>
      <c r="AK312" s="1129">
        <v>1980.7983857142858</v>
      </c>
      <c r="AL312" s="1129">
        <v>0</v>
      </c>
      <c r="AM312" s="1129">
        <v>0</v>
      </c>
      <c r="AN312" s="1129">
        <v>1980.7983857142858</v>
      </c>
      <c r="AO312" s="1129" t="s">
        <v>85</v>
      </c>
      <c r="AP312" s="1129" t="s">
        <v>96</v>
      </c>
      <c r="AQ312" s="1157">
        <v>2014</v>
      </c>
      <c r="AR312" s="1129" t="s">
        <v>87</v>
      </c>
      <c r="AS312" s="1127">
        <v>0.33333333333333331</v>
      </c>
      <c r="AT312" s="1127"/>
      <c r="AU312" s="1127">
        <v>0.33333333333333331</v>
      </c>
      <c r="AV312" s="1127"/>
      <c r="AW312" s="1127"/>
      <c r="AX312" s="1127"/>
      <c r="AY312" s="1127"/>
      <c r="AZ312" s="1127">
        <v>0.33333333333333331</v>
      </c>
      <c r="BA312" s="1129">
        <v>660.26612857142857</v>
      </c>
      <c r="BB312" s="1129">
        <v>0</v>
      </c>
      <c r="BC312" s="1129">
        <v>660.26612857142857</v>
      </c>
      <c r="BD312" s="1129">
        <v>0</v>
      </c>
      <c r="BE312" s="1129">
        <v>0</v>
      </c>
      <c r="BF312" s="1129">
        <v>0</v>
      </c>
      <c r="BG312" s="1129">
        <v>0</v>
      </c>
      <c r="BH312" s="1129">
        <v>660.26612857142857</v>
      </c>
      <c r="BI312" s="1981"/>
      <c r="BJ312" s="971"/>
      <c r="BK312" s="971"/>
      <c r="BL312" s="1246"/>
      <c r="BM312" s="1247" t="s">
        <v>1768</v>
      </c>
    </row>
    <row r="313" spans="1:65" s="1247" customFormat="1" ht="49.5" customHeight="1">
      <c r="A313" s="1272">
        <v>4000</v>
      </c>
      <c r="B313" s="971" t="s">
        <v>1316</v>
      </c>
      <c r="C313" s="1272">
        <v>4700</v>
      </c>
      <c r="D313" s="971" t="s">
        <v>912</v>
      </c>
      <c r="E313" s="971" t="s">
        <v>6613</v>
      </c>
      <c r="F313" s="971" t="s">
        <v>958</v>
      </c>
      <c r="G313" s="971" t="s">
        <v>5250</v>
      </c>
      <c r="H313" s="971" t="s">
        <v>968</v>
      </c>
      <c r="I313" s="1273" t="s">
        <v>7661</v>
      </c>
      <c r="J313" s="971" t="s">
        <v>2143</v>
      </c>
      <c r="K313" s="971" t="s">
        <v>1768</v>
      </c>
      <c r="L313" s="971" t="s">
        <v>3420</v>
      </c>
      <c r="M313" s="971" t="s">
        <v>1768</v>
      </c>
      <c r="N313" s="971" t="s">
        <v>179</v>
      </c>
      <c r="O313" s="971" t="s">
        <v>1769</v>
      </c>
      <c r="P313" s="971" t="s">
        <v>6663</v>
      </c>
      <c r="Q313" s="971" t="s">
        <v>7397</v>
      </c>
      <c r="R313" s="971" t="s">
        <v>5252</v>
      </c>
      <c r="S313" s="1274">
        <v>1</v>
      </c>
      <c r="T313" s="971" t="s">
        <v>242</v>
      </c>
      <c r="U313" s="1275">
        <v>8.1</v>
      </c>
      <c r="V313" s="1275">
        <v>106.5</v>
      </c>
      <c r="W313" s="1275">
        <v>809.29838571428581</v>
      </c>
      <c r="X313" s="1275">
        <v>1065</v>
      </c>
      <c r="Y313" s="1275">
        <v>1980.7983857142858</v>
      </c>
      <c r="Z313" s="1129">
        <v>8.1</v>
      </c>
      <c r="AA313" s="1129">
        <v>106.5</v>
      </c>
      <c r="AB313" s="1129">
        <v>809.29838571428581</v>
      </c>
      <c r="AC313" s="1129">
        <v>1065</v>
      </c>
      <c r="AD313" s="1098">
        <v>1980.7983857142858</v>
      </c>
      <c r="AE313" s="1237">
        <v>0.5</v>
      </c>
      <c r="AF313" s="1133">
        <v>0.5</v>
      </c>
      <c r="AG313" s="1127">
        <v>1</v>
      </c>
      <c r="AH313" s="1127">
        <v>0</v>
      </c>
      <c r="AI313" s="1127">
        <v>0</v>
      </c>
      <c r="AJ313" s="1127">
        <v>1</v>
      </c>
      <c r="AK313" s="1129">
        <v>1980.7983857142858</v>
      </c>
      <c r="AL313" s="1129">
        <v>0</v>
      </c>
      <c r="AM313" s="1129">
        <v>0</v>
      </c>
      <c r="AN313" s="1129">
        <v>1980.7983857142858</v>
      </c>
      <c r="AO313" s="1129" t="s">
        <v>85</v>
      </c>
      <c r="AP313" s="1129" t="s">
        <v>96</v>
      </c>
      <c r="AQ313" s="1157">
        <v>2014</v>
      </c>
      <c r="AR313" s="1129" t="s">
        <v>87</v>
      </c>
      <c r="AS313" s="1127">
        <v>0.33333333333333331</v>
      </c>
      <c r="AT313" s="1127"/>
      <c r="AU313" s="1127">
        <v>0.33333333333333331</v>
      </c>
      <c r="AV313" s="1127"/>
      <c r="AW313" s="1127"/>
      <c r="AX313" s="1127"/>
      <c r="AY313" s="1127"/>
      <c r="AZ313" s="1127">
        <v>0.33333333333333331</v>
      </c>
      <c r="BA313" s="1129">
        <v>660.26612857142857</v>
      </c>
      <c r="BB313" s="1129">
        <v>0</v>
      </c>
      <c r="BC313" s="1129">
        <v>660.26612857142857</v>
      </c>
      <c r="BD313" s="1129">
        <v>0</v>
      </c>
      <c r="BE313" s="1129">
        <v>0</v>
      </c>
      <c r="BF313" s="1129">
        <v>0</v>
      </c>
      <c r="BG313" s="1129">
        <v>0</v>
      </c>
      <c r="BH313" s="1129">
        <v>660.26612857142857</v>
      </c>
      <c r="BI313" s="1981"/>
      <c r="BJ313" s="971"/>
      <c r="BK313" s="971"/>
      <c r="BL313" s="1246"/>
      <c r="BM313" s="1247" t="s">
        <v>1768</v>
      </c>
    </row>
    <row r="314" spans="1:65" s="1247" customFormat="1" ht="49.5" customHeight="1">
      <c r="A314" s="1272">
        <v>4000</v>
      </c>
      <c r="B314" s="971" t="s">
        <v>1316</v>
      </c>
      <c r="C314" s="1272">
        <v>4700</v>
      </c>
      <c r="D314" s="971" t="s">
        <v>912</v>
      </c>
      <c r="E314" s="971" t="s">
        <v>6613</v>
      </c>
      <c r="F314" s="971" t="s">
        <v>958</v>
      </c>
      <c r="G314" s="971" t="s">
        <v>5250</v>
      </c>
      <c r="H314" s="971" t="s">
        <v>968</v>
      </c>
      <c r="I314" s="1273" t="s">
        <v>7662</v>
      </c>
      <c r="J314" s="971" t="s">
        <v>7249</v>
      </c>
      <c r="K314" s="971" t="s">
        <v>2123</v>
      </c>
      <c r="L314" s="971" t="s">
        <v>2124</v>
      </c>
      <c r="M314" s="971" t="s">
        <v>2123</v>
      </c>
      <c r="N314" s="971" t="s">
        <v>179</v>
      </c>
      <c r="O314" s="971" t="s">
        <v>2124</v>
      </c>
      <c r="P314" s="971" t="s">
        <v>2214</v>
      </c>
      <c r="Q314" s="971" t="s">
        <v>7399</v>
      </c>
      <c r="R314" s="971" t="s">
        <v>5253</v>
      </c>
      <c r="S314" s="1274">
        <v>1</v>
      </c>
      <c r="T314" s="971" t="s">
        <v>242</v>
      </c>
      <c r="U314" s="1275">
        <v>19.2</v>
      </c>
      <c r="V314" s="1275">
        <v>213</v>
      </c>
      <c r="W314" s="1275">
        <v>1918.3369142857146</v>
      </c>
      <c r="X314" s="1275">
        <v>2130</v>
      </c>
      <c r="Y314" s="1275">
        <v>4261.3369142857146</v>
      </c>
      <c r="Z314" s="1129">
        <v>19.2</v>
      </c>
      <c r="AA314" s="1129">
        <v>213</v>
      </c>
      <c r="AB314" s="1129">
        <v>1918.3369142857146</v>
      </c>
      <c r="AC314" s="1129">
        <v>2130</v>
      </c>
      <c r="AD314" s="1098">
        <v>4261.3369142857146</v>
      </c>
      <c r="AE314" s="1237">
        <v>1</v>
      </c>
      <c r="AF314" s="1133">
        <v>1</v>
      </c>
      <c r="AG314" s="1127">
        <v>1</v>
      </c>
      <c r="AH314" s="1127">
        <v>0</v>
      </c>
      <c r="AI314" s="1127">
        <v>0</v>
      </c>
      <c r="AJ314" s="1127">
        <v>1</v>
      </c>
      <c r="AK314" s="1129">
        <v>4261.3369142857146</v>
      </c>
      <c r="AL314" s="1129">
        <v>0</v>
      </c>
      <c r="AM314" s="1129">
        <v>0</v>
      </c>
      <c r="AN314" s="1129">
        <v>4261.3369142857146</v>
      </c>
      <c r="AO314" s="1129" t="s">
        <v>85</v>
      </c>
      <c r="AP314" s="1129" t="s">
        <v>96</v>
      </c>
      <c r="AQ314" s="1157">
        <v>2014</v>
      </c>
      <c r="AR314" s="1129" t="s">
        <v>87</v>
      </c>
      <c r="AS314" s="1127">
        <v>0.33333333333333331</v>
      </c>
      <c r="AT314" s="1127"/>
      <c r="AU314" s="1127">
        <v>0.33333333333333331</v>
      </c>
      <c r="AV314" s="1127"/>
      <c r="AW314" s="1127"/>
      <c r="AX314" s="1127"/>
      <c r="AY314" s="1127"/>
      <c r="AZ314" s="1127">
        <v>0.33333333333333331</v>
      </c>
      <c r="BA314" s="1129">
        <v>1420.4456380952381</v>
      </c>
      <c r="BB314" s="1129">
        <v>0</v>
      </c>
      <c r="BC314" s="1129">
        <v>1420.4456380952381</v>
      </c>
      <c r="BD314" s="1129">
        <v>0</v>
      </c>
      <c r="BE314" s="1129">
        <v>0</v>
      </c>
      <c r="BF314" s="1129">
        <v>0</v>
      </c>
      <c r="BG314" s="1129">
        <v>0</v>
      </c>
      <c r="BH314" s="1129">
        <v>1420.4456380952381</v>
      </c>
      <c r="BI314" s="1981"/>
      <c r="BJ314" s="971"/>
      <c r="BK314" s="971"/>
      <c r="BL314" s="1246"/>
      <c r="BM314" s="1247" t="s">
        <v>2123</v>
      </c>
    </row>
    <row r="315" spans="1:65" s="1247" customFormat="1" ht="49.5" customHeight="1">
      <c r="A315" s="1272">
        <v>4000</v>
      </c>
      <c r="B315" s="971" t="s">
        <v>1316</v>
      </c>
      <c r="C315" s="1272">
        <v>4700</v>
      </c>
      <c r="D315" s="971" t="s">
        <v>912</v>
      </c>
      <c r="E315" s="971" t="s">
        <v>6613</v>
      </c>
      <c r="F315" s="971" t="s">
        <v>958</v>
      </c>
      <c r="G315" s="971" t="s">
        <v>5255</v>
      </c>
      <c r="H315" s="971" t="s">
        <v>998</v>
      </c>
      <c r="I315" s="1273" t="s">
        <v>7663</v>
      </c>
      <c r="J315" s="971" t="s">
        <v>2143</v>
      </c>
      <c r="K315" s="971" t="s">
        <v>1768</v>
      </c>
      <c r="L315" s="971" t="s">
        <v>3420</v>
      </c>
      <c r="M315" s="971" t="s">
        <v>1768</v>
      </c>
      <c r="N315" s="971" t="s">
        <v>179</v>
      </c>
      <c r="O315" s="971" t="s">
        <v>1769</v>
      </c>
      <c r="P315" s="971" t="s">
        <v>6663</v>
      </c>
      <c r="Q315" s="971" t="s">
        <v>7664</v>
      </c>
      <c r="R315" s="971" t="s">
        <v>5256</v>
      </c>
      <c r="S315" s="1274">
        <v>1</v>
      </c>
      <c r="T315" s="971" t="s">
        <v>242</v>
      </c>
      <c r="U315" s="1275">
        <v>8.1</v>
      </c>
      <c r="V315" s="1275">
        <v>106.5</v>
      </c>
      <c r="W315" s="1275">
        <v>809.29838571428581</v>
      </c>
      <c r="X315" s="1275">
        <v>1065</v>
      </c>
      <c r="Y315" s="1275">
        <v>1980.7983857142858</v>
      </c>
      <c r="Z315" s="1129">
        <v>8.1</v>
      </c>
      <c r="AA315" s="1129">
        <v>106.5</v>
      </c>
      <c r="AB315" s="1129">
        <v>809.29838571428581</v>
      </c>
      <c r="AC315" s="1129">
        <v>1065</v>
      </c>
      <c r="AD315" s="1098">
        <v>1980.7983857142858</v>
      </c>
      <c r="AE315" s="1237">
        <v>0.5</v>
      </c>
      <c r="AF315" s="1133">
        <v>0.5</v>
      </c>
      <c r="AG315" s="1127">
        <v>1</v>
      </c>
      <c r="AH315" s="1127">
        <v>0</v>
      </c>
      <c r="AI315" s="1127">
        <v>0</v>
      </c>
      <c r="AJ315" s="1127">
        <v>1</v>
      </c>
      <c r="AK315" s="1129">
        <v>1980.7983857142858</v>
      </c>
      <c r="AL315" s="1129">
        <v>0</v>
      </c>
      <c r="AM315" s="1129">
        <v>0</v>
      </c>
      <c r="AN315" s="1129">
        <v>1980.7983857142858</v>
      </c>
      <c r="AO315" s="1129" t="s">
        <v>85</v>
      </c>
      <c r="AP315" s="1129" t="s">
        <v>96</v>
      </c>
      <c r="AQ315" s="1157">
        <v>2014</v>
      </c>
      <c r="AR315" s="1129" t="s">
        <v>87</v>
      </c>
      <c r="AS315" s="1127">
        <v>0.5</v>
      </c>
      <c r="AT315" s="1127">
        <v>0.5</v>
      </c>
      <c r="AU315" s="1127"/>
      <c r="AV315" s="1127"/>
      <c r="AW315" s="1127"/>
      <c r="AX315" s="1127"/>
      <c r="AY315" s="1127"/>
      <c r="AZ315" s="1127"/>
      <c r="BA315" s="1129">
        <v>990.39919285714291</v>
      </c>
      <c r="BB315" s="1129">
        <v>990.39919285714291</v>
      </c>
      <c r="BC315" s="1129">
        <v>0</v>
      </c>
      <c r="BD315" s="1129">
        <v>0</v>
      </c>
      <c r="BE315" s="1129">
        <v>0</v>
      </c>
      <c r="BF315" s="1129">
        <v>0</v>
      </c>
      <c r="BG315" s="1129">
        <v>0</v>
      </c>
      <c r="BH315" s="1129">
        <v>0</v>
      </c>
      <c r="BI315" s="1981"/>
      <c r="BJ315" s="971"/>
      <c r="BK315" s="971"/>
      <c r="BL315" s="1246"/>
      <c r="BM315" s="1247" t="s">
        <v>1768</v>
      </c>
    </row>
    <row r="316" spans="1:65" s="1247" customFormat="1" ht="49.5" customHeight="1">
      <c r="A316" s="1272">
        <v>4000</v>
      </c>
      <c r="B316" s="971" t="s">
        <v>1316</v>
      </c>
      <c r="C316" s="1272">
        <v>4700</v>
      </c>
      <c r="D316" s="971" t="s">
        <v>912</v>
      </c>
      <c r="E316" s="971" t="s">
        <v>6613</v>
      </c>
      <c r="F316" s="971" t="s">
        <v>958</v>
      </c>
      <c r="G316" s="971" t="s">
        <v>5255</v>
      </c>
      <c r="H316" s="971" t="s">
        <v>998</v>
      </c>
      <c r="I316" s="1273" t="s">
        <v>7665</v>
      </c>
      <c r="J316" s="971" t="s">
        <v>239</v>
      </c>
      <c r="K316" s="971" t="s">
        <v>1768</v>
      </c>
      <c r="L316" s="971" t="s">
        <v>3420</v>
      </c>
      <c r="M316" s="971" t="s">
        <v>1768</v>
      </c>
      <c r="N316" s="971" t="s">
        <v>179</v>
      </c>
      <c r="O316" s="971" t="s">
        <v>1769</v>
      </c>
      <c r="P316" s="971" t="s">
        <v>6663</v>
      </c>
      <c r="Q316" s="971" t="s">
        <v>7261</v>
      </c>
      <c r="R316" s="971" t="s">
        <v>5258</v>
      </c>
      <c r="S316" s="1274">
        <v>1</v>
      </c>
      <c r="T316" s="971" t="s">
        <v>242</v>
      </c>
      <c r="U316" s="1275">
        <v>8.1</v>
      </c>
      <c r="V316" s="1275">
        <v>106.5</v>
      </c>
      <c r="W316" s="1275">
        <v>809.29838571428581</v>
      </c>
      <c r="X316" s="1275">
        <v>1065</v>
      </c>
      <c r="Y316" s="1275">
        <v>1980.7983857142858</v>
      </c>
      <c r="Z316" s="1129">
        <v>8.1</v>
      </c>
      <c r="AA316" s="1129">
        <v>106.5</v>
      </c>
      <c r="AB316" s="1129">
        <v>809.29838571428581</v>
      </c>
      <c r="AC316" s="1129">
        <v>1065</v>
      </c>
      <c r="AD316" s="1098">
        <v>1980.7983857142858</v>
      </c>
      <c r="AE316" s="1237">
        <v>0.5</v>
      </c>
      <c r="AF316" s="1133">
        <v>0.5</v>
      </c>
      <c r="AG316" s="1127">
        <v>1</v>
      </c>
      <c r="AH316" s="1127">
        <v>0</v>
      </c>
      <c r="AI316" s="1127">
        <v>0</v>
      </c>
      <c r="AJ316" s="1127">
        <v>1</v>
      </c>
      <c r="AK316" s="1129">
        <v>1980.7983857142858</v>
      </c>
      <c r="AL316" s="1129">
        <v>0</v>
      </c>
      <c r="AM316" s="1129">
        <v>0</v>
      </c>
      <c r="AN316" s="1129">
        <v>1980.7983857142858</v>
      </c>
      <c r="AO316" s="1129" t="s">
        <v>85</v>
      </c>
      <c r="AP316" s="1129" t="s">
        <v>96</v>
      </c>
      <c r="AQ316" s="1157">
        <v>2014</v>
      </c>
      <c r="AR316" s="1129" t="s">
        <v>87</v>
      </c>
      <c r="AS316" s="1127">
        <v>0.5</v>
      </c>
      <c r="AT316" s="1127">
        <v>0.5</v>
      </c>
      <c r="AU316" s="1127"/>
      <c r="AV316" s="1127"/>
      <c r="AW316" s="1127"/>
      <c r="AX316" s="1127"/>
      <c r="AY316" s="1127"/>
      <c r="AZ316" s="1127"/>
      <c r="BA316" s="1129">
        <v>990.39919285714291</v>
      </c>
      <c r="BB316" s="1129">
        <v>990.39919285714291</v>
      </c>
      <c r="BC316" s="1129">
        <v>0</v>
      </c>
      <c r="BD316" s="1129">
        <v>0</v>
      </c>
      <c r="BE316" s="1129">
        <v>0</v>
      </c>
      <c r="BF316" s="1129">
        <v>0</v>
      </c>
      <c r="BG316" s="1129">
        <v>0</v>
      </c>
      <c r="BH316" s="1129">
        <v>0</v>
      </c>
      <c r="BI316" s="1981"/>
      <c r="BJ316" s="971"/>
      <c r="BK316" s="971"/>
      <c r="BL316" s="1246"/>
      <c r="BM316" s="1247" t="s">
        <v>1768</v>
      </c>
    </row>
    <row r="317" spans="1:65" s="1247" customFormat="1" ht="66" customHeight="1">
      <c r="A317" s="1272">
        <v>4000</v>
      </c>
      <c r="B317" s="971" t="s">
        <v>1316</v>
      </c>
      <c r="C317" s="1272">
        <v>4700</v>
      </c>
      <c r="D317" s="971" t="s">
        <v>912</v>
      </c>
      <c r="E317" s="971" t="s">
        <v>6613</v>
      </c>
      <c r="F317" s="971" t="s">
        <v>958</v>
      </c>
      <c r="G317" s="971" t="s">
        <v>5255</v>
      </c>
      <c r="H317" s="971" t="s">
        <v>998</v>
      </c>
      <c r="I317" s="1273" t="s">
        <v>7666</v>
      </c>
      <c r="J317" s="971" t="s">
        <v>2143</v>
      </c>
      <c r="K317" s="971" t="s">
        <v>1768</v>
      </c>
      <c r="L317" s="971" t="s">
        <v>3420</v>
      </c>
      <c r="M317" s="971" t="s">
        <v>1768</v>
      </c>
      <c r="N317" s="971" t="s">
        <v>179</v>
      </c>
      <c r="O317" s="971" t="s">
        <v>1769</v>
      </c>
      <c r="P317" s="971" t="s">
        <v>6663</v>
      </c>
      <c r="Q317" s="971" t="s">
        <v>7667</v>
      </c>
      <c r="R317" s="971" t="s">
        <v>5260</v>
      </c>
      <c r="S317" s="1274">
        <v>1</v>
      </c>
      <c r="T317" s="971" t="s">
        <v>242</v>
      </c>
      <c r="U317" s="1275">
        <v>8.1</v>
      </c>
      <c r="V317" s="1275">
        <v>106.5</v>
      </c>
      <c r="W317" s="1275">
        <v>809.29838571428581</v>
      </c>
      <c r="X317" s="1275">
        <v>1065</v>
      </c>
      <c r="Y317" s="1275">
        <v>1980.7983857142858</v>
      </c>
      <c r="Z317" s="1129">
        <v>8.1</v>
      </c>
      <c r="AA317" s="1129">
        <v>106.5</v>
      </c>
      <c r="AB317" s="1129">
        <v>809.29838571428581</v>
      </c>
      <c r="AC317" s="1129">
        <v>1065</v>
      </c>
      <c r="AD317" s="1098">
        <v>1980.7983857142858</v>
      </c>
      <c r="AE317" s="1237">
        <v>0.5</v>
      </c>
      <c r="AF317" s="1133">
        <v>0.5</v>
      </c>
      <c r="AG317" s="1127">
        <v>1</v>
      </c>
      <c r="AH317" s="1127">
        <v>0</v>
      </c>
      <c r="AI317" s="1127">
        <v>0</v>
      </c>
      <c r="AJ317" s="1127">
        <v>1</v>
      </c>
      <c r="AK317" s="1129">
        <v>1980.7983857142858</v>
      </c>
      <c r="AL317" s="1129">
        <v>0</v>
      </c>
      <c r="AM317" s="1129">
        <v>0</v>
      </c>
      <c r="AN317" s="1129">
        <v>1980.7983857142858</v>
      </c>
      <c r="AO317" s="1129" t="s">
        <v>85</v>
      </c>
      <c r="AP317" s="1129" t="s">
        <v>96</v>
      </c>
      <c r="AQ317" s="1157">
        <v>2014</v>
      </c>
      <c r="AR317" s="1129" t="s">
        <v>87</v>
      </c>
      <c r="AS317" s="1127">
        <v>0.5</v>
      </c>
      <c r="AT317" s="1127">
        <v>0.5</v>
      </c>
      <c r="AU317" s="1127"/>
      <c r="AV317" s="1127"/>
      <c r="AW317" s="1127"/>
      <c r="AX317" s="1127"/>
      <c r="AY317" s="1127"/>
      <c r="AZ317" s="1127"/>
      <c r="BA317" s="1129">
        <v>990.39919285714291</v>
      </c>
      <c r="BB317" s="1129">
        <v>990.39919285714291</v>
      </c>
      <c r="BC317" s="1129">
        <v>0</v>
      </c>
      <c r="BD317" s="1129">
        <v>0</v>
      </c>
      <c r="BE317" s="1129">
        <v>0</v>
      </c>
      <c r="BF317" s="1129">
        <v>0</v>
      </c>
      <c r="BG317" s="1129">
        <v>0</v>
      </c>
      <c r="BH317" s="1129">
        <v>0</v>
      </c>
      <c r="BI317" s="1981"/>
      <c r="BJ317" s="971"/>
      <c r="BK317" s="971"/>
      <c r="BL317" s="1246"/>
      <c r="BM317" s="1247" t="s">
        <v>1768</v>
      </c>
    </row>
    <row r="318" spans="1:65" s="1247" customFormat="1" ht="49.5" customHeight="1">
      <c r="A318" s="1272">
        <v>4000</v>
      </c>
      <c r="B318" s="971" t="s">
        <v>1316</v>
      </c>
      <c r="C318" s="1272">
        <v>4700</v>
      </c>
      <c r="D318" s="971" t="s">
        <v>912</v>
      </c>
      <c r="E318" s="971" t="s">
        <v>6613</v>
      </c>
      <c r="F318" s="971" t="s">
        <v>958</v>
      </c>
      <c r="G318" s="971" t="s">
        <v>5255</v>
      </c>
      <c r="H318" s="971" t="s">
        <v>998</v>
      </c>
      <c r="I318" s="1273" t="s">
        <v>7668</v>
      </c>
      <c r="J318" s="971" t="s">
        <v>239</v>
      </c>
      <c r="K318" s="971" t="s">
        <v>1768</v>
      </c>
      <c r="L318" s="971" t="s">
        <v>3420</v>
      </c>
      <c r="M318" s="971" t="s">
        <v>1768</v>
      </c>
      <c r="N318" s="971" t="s">
        <v>179</v>
      </c>
      <c r="O318" s="971" t="s">
        <v>1769</v>
      </c>
      <c r="P318" s="971" t="s">
        <v>6663</v>
      </c>
      <c r="Q318" s="971" t="s">
        <v>7261</v>
      </c>
      <c r="R318" s="971" t="s">
        <v>5262</v>
      </c>
      <c r="S318" s="1274">
        <v>1</v>
      </c>
      <c r="T318" s="971" t="s">
        <v>242</v>
      </c>
      <c r="U318" s="1275">
        <v>8.1</v>
      </c>
      <c r="V318" s="1275">
        <v>106.5</v>
      </c>
      <c r="W318" s="1275">
        <v>809.29838571428581</v>
      </c>
      <c r="X318" s="1275">
        <v>1065</v>
      </c>
      <c r="Y318" s="1275">
        <v>1980.7983857142858</v>
      </c>
      <c r="Z318" s="1129">
        <v>8.1</v>
      </c>
      <c r="AA318" s="1129">
        <v>106.5</v>
      </c>
      <c r="AB318" s="1129">
        <v>809.29838571428581</v>
      </c>
      <c r="AC318" s="1129">
        <v>1065</v>
      </c>
      <c r="AD318" s="1098">
        <v>1980.7983857142858</v>
      </c>
      <c r="AE318" s="1237">
        <v>0.5</v>
      </c>
      <c r="AF318" s="1133">
        <v>0.5</v>
      </c>
      <c r="AG318" s="1127">
        <v>1</v>
      </c>
      <c r="AH318" s="1127">
        <v>0</v>
      </c>
      <c r="AI318" s="1127">
        <v>0</v>
      </c>
      <c r="AJ318" s="1127">
        <v>1</v>
      </c>
      <c r="AK318" s="1129">
        <v>1980.7983857142858</v>
      </c>
      <c r="AL318" s="1129">
        <v>0</v>
      </c>
      <c r="AM318" s="1129">
        <v>0</v>
      </c>
      <c r="AN318" s="1129">
        <v>1980.7983857142858</v>
      </c>
      <c r="AO318" s="1129" t="s">
        <v>85</v>
      </c>
      <c r="AP318" s="1129" t="s">
        <v>96</v>
      </c>
      <c r="AQ318" s="1157">
        <v>2014</v>
      </c>
      <c r="AR318" s="1129" t="s">
        <v>87</v>
      </c>
      <c r="AS318" s="1127">
        <v>0.5</v>
      </c>
      <c r="AT318" s="1127">
        <v>0.5</v>
      </c>
      <c r="AU318" s="1127"/>
      <c r="AV318" s="1127"/>
      <c r="AW318" s="1127"/>
      <c r="AX318" s="1127"/>
      <c r="AY318" s="1127"/>
      <c r="AZ318" s="1127"/>
      <c r="BA318" s="1129">
        <v>990.39919285714291</v>
      </c>
      <c r="BB318" s="1129">
        <v>990.39919285714291</v>
      </c>
      <c r="BC318" s="1129">
        <v>0</v>
      </c>
      <c r="BD318" s="1129">
        <v>0</v>
      </c>
      <c r="BE318" s="1129">
        <v>0</v>
      </c>
      <c r="BF318" s="1129">
        <v>0</v>
      </c>
      <c r="BG318" s="1129">
        <v>0</v>
      </c>
      <c r="BH318" s="1129">
        <v>0</v>
      </c>
      <c r="BI318" s="1981"/>
      <c r="BJ318" s="971"/>
      <c r="BK318" s="971"/>
      <c r="BL318" s="1246"/>
      <c r="BM318" s="1247" t="s">
        <v>1768</v>
      </c>
    </row>
    <row r="319" spans="1:65" s="1247" customFormat="1" ht="49.5" customHeight="1">
      <c r="A319" s="1272">
        <v>4000</v>
      </c>
      <c r="B319" s="971" t="s">
        <v>1316</v>
      </c>
      <c r="C319" s="1272">
        <v>4700</v>
      </c>
      <c r="D319" s="971" t="s">
        <v>912</v>
      </c>
      <c r="E319" s="971" t="s">
        <v>6613</v>
      </c>
      <c r="F319" s="971" t="s">
        <v>958</v>
      </c>
      <c r="G319" s="971" t="s">
        <v>5265</v>
      </c>
      <c r="H319" s="971" t="s">
        <v>2035</v>
      </c>
      <c r="I319" s="1273" t="s">
        <v>2036</v>
      </c>
      <c r="J319" s="971" t="s">
        <v>2037</v>
      </c>
      <c r="K319" s="971" t="s">
        <v>687</v>
      </c>
      <c r="L319" s="971" t="s">
        <v>2915</v>
      </c>
      <c r="M319" s="971" t="s">
        <v>687</v>
      </c>
      <c r="N319" s="971" t="s">
        <v>179</v>
      </c>
      <c r="O319" s="971" t="s">
        <v>688</v>
      </c>
      <c r="P319" s="971"/>
      <c r="Q319" s="971" t="s">
        <v>2038</v>
      </c>
      <c r="R319" s="971" t="s">
        <v>2039</v>
      </c>
      <c r="S319" s="1274">
        <v>1</v>
      </c>
      <c r="T319" s="971" t="s">
        <v>242</v>
      </c>
      <c r="U319" s="1275">
        <v>2</v>
      </c>
      <c r="V319" s="1275">
        <v>30</v>
      </c>
      <c r="W319" s="1275">
        <v>199.82676190476192</v>
      </c>
      <c r="X319" s="1275">
        <v>300</v>
      </c>
      <c r="Y319" s="1275">
        <v>529.82676190476195</v>
      </c>
      <c r="Z319" s="1129">
        <v>2</v>
      </c>
      <c r="AA319" s="1129">
        <v>30</v>
      </c>
      <c r="AB319" s="1129">
        <v>199.82676190476192</v>
      </c>
      <c r="AC319" s="1129">
        <v>300</v>
      </c>
      <c r="AD319" s="1098">
        <v>529.82676190476195</v>
      </c>
      <c r="AE319" s="1237">
        <v>0.5</v>
      </c>
      <c r="AF319" s="1133">
        <v>0.5</v>
      </c>
      <c r="AG319" s="1127">
        <v>1</v>
      </c>
      <c r="AH319" s="1127">
        <v>0</v>
      </c>
      <c r="AI319" s="1127">
        <v>0</v>
      </c>
      <c r="AJ319" s="1127">
        <v>1</v>
      </c>
      <c r="AK319" s="1129">
        <v>529.82676190476195</v>
      </c>
      <c r="AL319" s="1129">
        <v>0</v>
      </c>
      <c r="AM319" s="1129">
        <v>0</v>
      </c>
      <c r="AN319" s="1129">
        <v>529.82676190476195</v>
      </c>
      <c r="AO319" s="1129" t="s">
        <v>85</v>
      </c>
      <c r="AP319" s="1129" t="s">
        <v>96</v>
      </c>
      <c r="AQ319" s="1157">
        <v>2014</v>
      </c>
      <c r="AR319" s="1129" t="s">
        <v>87</v>
      </c>
      <c r="AS319" s="1127">
        <v>0.33333333333333331</v>
      </c>
      <c r="AT319" s="1127">
        <v>0.33333333333333331</v>
      </c>
      <c r="AU319" s="1127">
        <v>0.33333333333333331</v>
      </c>
      <c r="AV319" s="1127"/>
      <c r="AW319" s="1127"/>
      <c r="AX319" s="1127"/>
      <c r="AY319" s="1127"/>
      <c r="AZ319" s="1127"/>
      <c r="BA319" s="1129">
        <v>176.60892063492065</v>
      </c>
      <c r="BB319" s="1129">
        <v>176.60892063492065</v>
      </c>
      <c r="BC319" s="1129">
        <v>176.60892063492065</v>
      </c>
      <c r="BD319" s="1129">
        <v>0</v>
      </c>
      <c r="BE319" s="1129">
        <v>0</v>
      </c>
      <c r="BF319" s="1129">
        <v>0</v>
      </c>
      <c r="BG319" s="1129">
        <v>0</v>
      </c>
      <c r="BH319" s="1129">
        <v>0</v>
      </c>
      <c r="BI319" s="1981"/>
      <c r="BJ319" s="971"/>
      <c r="BK319" s="971"/>
      <c r="BL319" s="1246"/>
      <c r="BM319" s="1247" t="s">
        <v>687</v>
      </c>
    </row>
    <row r="320" spans="1:65" s="1247" customFormat="1" ht="49.5" customHeight="1">
      <c r="A320" s="1272">
        <v>4000</v>
      </c>
      <c r="B320" s="971" t="s">
        <v>1316</v>
      </c>
      <c r="C320" s="1272">
        <v>4700</v>
      </c>
      <c r="D320" s="971" t="s">
        <v>912</v>
      </c>
      <c r="E320" s="971" t="s">
        <v>6613</v>
      </c>
      <c r="F320" s="971" t="s">
        <v>958</v>
      </c>
      <c r="G320" s="971" t="s">
        <v>5265</v>
      </c>
      <c r="H320" s="971" t="s">
        <v>2035</v>
      </c>
      <c r="I320" s="1273" t="s">
        <v>2040</v>
      </c>
      <c r="J320" s="971" t="s">
        <v>2037</v>
      </c>
      <c r="K320" s="971" t="s">
        <v>687</v>
      </c>
      <c r="L320" s="971" t="s">
        <v>2915</v>
      </c>
      <c r="M320" s="971" t="s">
        <v>687</v>
      </c>
      <c r="N320" s="971" t="s">
        <v>179</v>
      </c>
      <c r="O320" s="971" t="s">
        <v>688</v>
      </c>
      <c r="P320" s="971"/>
      <c r="Q320" s="971" t="s">
        <v>2041</v>
      </c>
      <c r="R320" s="971" t="s">
        <v>2042</v>
      </c>
      <c r="S320" s="1274">
        <v>1</v>
      </c>
      <c r="T320" s="971" t="s">
        <v>242</v>
      </c>
      <c r="U320" s="1275">
        <v>2</v>
      </c>
      <c r="V320" s="1275">
        <v>30</v>
      </c>
      <c r="W320" s="1275">
        <v>199.82676190476192</v>
      </c>
      <c r="X320" s="1275">
        <v>300</v>
      </c>
      <c r="Y320" s="1275">
        <v>529.82676190476195</v>
      </c>
      <c r="Z320" s="1129">
        <v>2</v>
      </c>
      <c r="AA320" s="1129">
        <v>30</v>
      </c>
      <c r="AB320" s="1129">
        <v>199.82676190476192</v>
      </c>
      <c r="AC320" s="1129">
        <v>300</v>
      </c>
      <c r="AD320" s="1098">
        <v>529.82676190476195</v>
      </c>
      <c r="AE320" s="1237">
        <v>0.5</v>
      </c>
      <c r="AF320" s="1133">
        <v>0.5</v>
      </c>
      <c r="AG320" s="1127">
        <v>1</v>
      </c>
      <c r="AH320" s="1127">
        <v>0</v>
      </c>
      <c r="AI320" s="1127">
        <v>0</v>
      </c>
      <c r="AJ320" s="1127">
        <v>1</v>
      </c>
      <c r="AK320" s="1129">
        <v>529.82676190476195</v>
      </c>
      <c r="AL320" s="1129">
        <v>0</v>
      </c>
      <c r="AM320" s="1129">
        <v>0</v>
      </c>
      <c r="AN320" s="1129">
        <v>529.82676190476195</v>
      </c>
      <c r="AO320" s="1129" t="s">
        <v>85</v>
      </c>
      <c r="AP320" s="1129" t="s">
        <v>96</v>
      </c>
      <c r="AQ320" s="1157">
        <v>2014</v>
      </c>
      <c r="AR320" s="1129" t="s">
        <v>87</v>
      </c>
      <c r="AS320" s="1127">
        <v>0.33333333333333331</v>
      </c>
      <c r="AT320" s="1127">
        <v>0.33333333333333331</v>
      </c>
      <c r="AU320" s="1127">
        <v>0.33333333333333331</v>
      </c>
      <c r="AV320" s="1127"/>
      <c r="AW320" s="1127"/>
      <c r="AX320" s="1127"/>
      <c r="AY320" s="1127"/>
      <c r="AZ320" s="1127"/>
      <c r="BA320" s="1129">
        <v>176.60892063492065</v>
      </c>
      <c r="BB320" s="1129">
        <v>176.60892063492065</v>
      </c>
      <c r="BC320" s="1129">
        <v>176.60892063492065</v>
      </c>
      <c r="BD320" s="1129">
        <v>0</v>
      </c>
      <c r="BE320" s="1129">
        <v>0</v>
      </c>
      <c r="BF320" s="1129">
        <v>0</v>
      </c>
      <c r="BG320" s="1129">
        <v>0</v>
      </c>
      <c r="BH320" s="1129">
        <v>0</v>
      </c>
      <c r="BI320" s="1981"/>
      <c r="BJ320" s="971"/>
      <c r="BK320" s="971"/>
      <c r="BL320" s="1246"/>
      <c r="BM320" s="1247" t="s">
        <v>687</v>
      </c>
    </row>
    <row r="321" spans="1:65" s="1247" customFormat="1" ht="66" customHeight="1">
      <c r="A321" s="1272">
        <v>7000</v>
      </c>
      <c r="B321" s="971" t="s">
        <v>2420</v>
      </c>
      <c r="C321" s="1272">
        <v>7200</v>
      </c>
      <c r="D321" s="971" t="s">
        <v>2420</v>
      </c>
      <c r="E321" s="971">
        <v>7210</v>
      </c>
      <c r="F321" s="971" t="s">
        <v>2421</v>
      </c>
      <c r="G321" s="971">
        <v>7213</v>
      </c>
      <c r="H321" s="971" t="s">
        <v>2594</v>
      </c>
      <c r="I321" s="1273"/>
      <c r="J321" s="971" t="s">
        <v>121</v>
      </c>
      <c r="K321" s="971" t="s">
        <v>2123</v>
      </c>
      <c r="L321" s="971" t="s">
        <v>2124</v>
      </c>
      <c r="M321" s="971" t="s">
        <v>2123</v>
      </c>
      <c r="N321" s="971" t="s">
        <v>179</v>
      </c>
      <c r="O321" s="971" t="s">
        <v>2124</v>
      </c>
      <c r="P321" s="1266"/>
      <c r="Q321" s="1045" t="s">
        <v>7669</v>
      </c>
      <c r="R321" s="971"/>
      <c r="S321" s="1274">
        <v>5</v>
      </c>
      <c r="T321" s="971" t="s">
        <v>2719</v>
      </c>
      <c r="U321" s="1275">
        <v>19.2</v>
      </c>
      <c r="V321" s="1275">
        <v>213</v>
      </c>
      <c r="W321" s="1275">
        <v>1918.3369142857146</v>
      </c>
      <c r="X321" s="1275">
        <v>2130</v>
      </c>
      <c r="Y321" s="1275">
        <v>4261.3369142857146</v>
      </c>
      <c r="Z321" s="1129">
        <v>96</v>
      </c>
      <c r="AA321" s="1129">
        <v>1065</v>
      </c>
      <c r="AB321" s="1129">
        <v>9591.6845714285737</v>
      </c>
      <c r="AC321" s="1129">
        <v>10650</v>
      </c>
      <c r="AD321" s="1098">
        <v>21306.684571428574</v>
      </c>
      <c r="AE321" s="1135">
        <v>1</v>
      </c>
      <c r="AF321" s="1129">
        <v>5</v>
      </c>
      <c r="AG321" s="1127">
        <v>1</v>
      </c>
      <c r="AH321" s="1127">
        <v>0</v>
      </c>
      <c r="AI321" s="1127">
        <v>0</v>
      </c>
      <c r="AJ321" s="1127">
        <v>1</v>
      </c>
      <c r="AK321" s="1129">
        <v>21306.684571428574</v>
      </c>
      <c r="AL321" s="1129">
        <v>0</v>
      </c>
      <c r="AM321" s="1129">
        <v>0</v>
      </c>
      <c r="AN321" s="1129">
        <v>21306.684571428574</v>
      </c>
      <c r="AO321" s="1129" t="s">
        <v>131</v>
      </c>
      <c r="AP321" s="1129" t="s">
        <v>96</v>
      </c>
      <c r="AQ321" s="1157">
        <v>2014</v>
      </c>
      <c r="AR321" s="1129" t="s">
        <v>87</v>
      </c>
      <c r="AS321" s="1127">
        <v>0.33333333333333331</v>
      </c>
      <c r="AT321" s="1127"/>
      <c r="AU321" s="1127">
        <v>0.33333333333333331</v>
      </c>
      <c r="AV321" s="1127"/>
      <c r="AW321" s="1127"/>
      <c r="AX321" s="1127"/>
      <c r="AY321" s="1127"/>
      <c r="AZ321" s="1127">
        <v>0.33333333333333331</v>
      </c>
      <c r="BA321" s="1129">
        <v>7102.2281904761912</v>
      </c>
      <c r="BB321" s="1129">
        <v>0</v>
      </c>
      <c r="BC321" s="1129">
        <v>7102.2281904761912</v>
      </c>
      <c r="BD321" s="1129">
        <v>0</v>
      </c>
      <c r="BE321" s="1129">
        <v>0</v>
      </c>
      <c r="BF321" s="1129">
        <v>0</v>
      </c>
      <c r="BG321" s="1129">
        <v>0</v>
      </c>
      <c r="BH321" s="1129">
        <v>7102.2281904761912</v>
      </c>
      <c r="BI321" s="1981" t="s">
        <v>3595</v>
      </c>
      <c r="BJ321" s="971" t="s">
        <v>3484</v>
      </c>
      <c r="BK321" s="971" t="s">
        <v>3487</v>
      </c>
      <c r="BL321" s="1246"/>
      <c r="BM321" s="1247" t="s">
        <v>2123</v>
      </c>
    </row>
    <row r="322" spans="1:65" s="1247" customFormat="1" ht="66" customHeight="1">
      <c r="A322" s="1272">
        <v>7000</v>
      </c>
      <c r="B322" s="971" t="s">
        <v>2420</v>
      </c>
      <c r="C322" s="1272">
        <v>7200</v>
      </c>
      <c r="D322" s="971" t="s">
        <v>119</v>
      </c>
      <c r="E322" s="971" t="s">
        <v>7670</v>
      </c>
      <c r="F322" s="971" t="s">
        <v>2430</v>
      </c>
      <c r="G322" s="971" t="s">
        <v>5270</v>
      </c>
      <c r="H322" s="971" t="s">
        <v>2443</v>
      </c>
      <c r="I322" s="1273" t="s">
        <v>7671</v>
      </c>
      <c r="J322" s="971" t="s">
        <v>2143</v>
      </c>
      <c r="K322" s="971" t="s">
        <v>1768</v>
      </c>
      <c r="L322" s="971" t="s">
        <v>3420</v>
      </c>
      <c r="M322" s="971" t="s">
        <v>1768</v>
      </c>
      <c r="N322" s="971" t="s">
        <v>179</v>
      </c>
      <c r="O322" s="971" t="s">
        <v>1769</v>
      </c>
      <c r="P322" s="971" t="s">
        <v>6663</v>
      </c>
      <c r="Q322" s="971" t="s">
        <v>7672</v>
      </c>
      <c r="R322" s="971" t="s">
        <v>5271</v>
      </c>
      <c r="S322" s="1274">
        <v>1</v>
      </c>
      <c r="T322" s="971" t="s">
        <v>242</v>
      </c>
      <c r="U322" s="1275">
        <v>8.1</v>
      </c>
      <c r="V322" s="1275">
        <v>106.5</v>
      </c>
      <c r="W322" s="1275">
        <v>809.29838571428581</v>
      </c>
      <c r="X322" s="1275">
        <v>1065</v>
      </c>
      <c r="Y322" s="1275">
        <v>1980.7983857142858</v>
      </c>
      <c r="Z322" s="1129">
        <v>8.1</v>
      </c>
      <c r="AA322" s="1129">
        <v>106.5</v>
      </c>
      <c r="AB322" s="1129">
        <v>809.29838571428581</v>
      </c>
      <c r="AC322" s="1129">
        <v>1065</v>
      </c>
      <c r="AD322" s="1098">
        <v>1980.7983857142858</v>
      </c>
      <c r="AE322" s="1135">
        <v>0.5</v>
      </c>
      <c r="AF322" s="1129">
        <v>0.5</v>
      </c>
      <c r="AG322" s="1127">
        <v>1</v>
      </c>
      <c r="AH322" s="1127">
        <v>0</v>
      </c>
      <c r="AI322" s="1127">
        <v>0</v>
      </c>
      <c r="AJ322" s="1127">
        <v>1</v>
      </c>
      <c r="AK322" s="1129">
        <v>1980.7983857142858</v>
      </c>
      <c r="AL322" s="1129">
        <v>0</v>
      </c>
      <c r="AM322" s="1129">
        <v>0</v>
      </c>
      <c r="AN322" s="1129">
        <v>1980.7983857142858</v>
      </c>
      <c r="AO322" s="1129" t="s">
        <v>131</v>
      </c>
      <c r="AP322" s="1129" t="s">
        <v>96</v>
      </c>
      <c r="AQ322" s="1157">
        <v>2014</v>
      </c>
      <c r="AR322" s="1129" t="s">
        <v>87</v>
      </c>
      <c r="AS322" s="1127">
        <v>0.33333333333333331</v>
      </c>
      <c r="AT322" s="1127"/>
      <c r="AU322" s="1127">
        <v>0.33333333333333331</v>
      </c>
      <c r="AV322" s="1127"/>
      <c r="AW322" s="1127"/>
      <c r="AX322" s="1127"/>
      <c r="AY322" s="1127"/>
      <c r="AZ322" s="1127">
        <v>0.33333333333333331</v>
      </c>
      <c r="BA322" s="1129">
        <v>660.26612857142857</v>
      </c>
      <c r="BB322" s="1129">
        <v>0</v>
      </c>
      <c r="BC322" s="1129">
        <v>660.26612857142857</v>
      </c>
      <c r="BD322" s="1129">
        <v>0</v>
      </c>
      <c r="BE322" s="1129">
        <v>0</v>
      </c>
      <c r="BF322" s="1129">
        <v>0</v>
      </c>
      <c r="BG322" s="1129">
        <v>0</v>
      </c>
      <c r="BH322" s="1129">
        <v>660.26612857142857</v>
      </c>
      <c r="BI322" s="1981"/>
      <c r="BJ322" s="971"/>
      <c r="BK322" s="971"/>
      <c r="BL322" s="1246"/>
      <c r="BM322" s="1247" t="s">
        <v>1768</v>
      </c>
    </row>
    <row r="323" spans="1:65" s="1247" customFormat="1" ht="66" customHeight="1">
      <c r="A323" s="1272">
        <v>7000</v>
      </c>
      <c r="B323" s="971" t="s">
        <v>2420</v>
      </c>
      <c r="C323" s="1272">
        <v>7200</v>
      </c>
      <c r="D323" s="971" t="s">
        <v>119</v>
      </c>
      <c r="E323" s="971" t="s">
        <v>7670</v>
      </c>
      <c r="F323" s="971" t="s">
        <v>2430</v>
      </c>
      <c r="G323" s="971" t="s">
        <v>5270</v>
      </c>
      <c r="H323" s="971" t="s">
        <v>2443</v>
      </c>
      <c r="I323" s="1273" t="s">
        <v>7673</v>
      </c>
      <c r="J323" s="971" t="s">
        <v>239</v>
      </c>
      <c r="K323" s="971" t="s">
        <v>1768</v>
      </c>
      <c r="L323" s="971" t="s">
        <v>3420</v>
      </c>
      <c r="M323" s="971" t="s">
        <v>1768</v>
      </c>
      <c r="N323" s="971" t="s">
        <v>179</v>
      </c>
      <c r="O323" s="971" t="s">
        <v>1769</v>
      </c>
      <c r="P323" s="971" t="s">
        <v>6663</v>
      </c>
      <c r="Q323" s="971" t="s">
        <v>7257</v>
      </c>
      <c r="R323" s="971" t="s">
        <v>5272</v>
      </c>
      <c r="S323" s="1274">
        <v>1</v>
      </c>
      <c r="T323" s="971" t="s">
        <v>242</v>
      </c>
      <c r="U323" s="1275">
        <v>8.1</v>
      </c>
      <c r="V323" s="1275">
        <v>106.5</v>
      </c>
      <c r="W323" s="1275">
        <v>809.29838571428581</v>
      </c>
      <c r="X323" s="1275">
        <v>1065</v>
      </c>
      <c r="Y323" s="1275">
        <v>1980.7983857142858</v>
      </c>
      <c r="Z323" s="1129">
        <v>8.1</v>
      </c>
      <c r="AA323" s="1129">
        <v>106.5</v>
      </c>
      <c r="AB323" s="1129">
        <v>809.29838571428581</v>
      </c>
      <c r="AC323" s="1129">
        <v>1065</v>
      </c>
      <c r="AD323" s="1098">
        <v>1980.7983857142858</v>
      </c>
      <c r="AE323" s="1135">
        <v>0.5</v>
      </c>
      <c r="AF323" s="1129">
        <v>0.5</v>
      </c>
      <c r="AG323" s="1127">
        <v>1</v>
      </c>
      <c r="AH323" s="1127">
        <v>0</v>
      </c>
      <c r="AI323" s="1127">
        <v>0</v>
      </c>
      <c r="AJ323" s="1127">
        <v>1</v>
      </c>
      <c r="AK323" s="1129">
        <v>1980.7983857142858</v>
      </c>
      <c r="AL323" s="1129">
        <v>0</v>
      </c>
      <c r="AM323" s="1129">
        <v>0</v>
      </c>
      <c r="AN323" s="1129">
        <v>1980.7983857142858</v>
      </c>
      <c r="AO323" s="1129" t="s">
        <v>131</v>
      </c>
      <c r="AP323" s="1129" t="s">
        <v>96</v>
      </c>
      <c r="AQ323" s="1157">
        <v>2014</v>
      </c>
      <c r="AR323" s="1129" t="s">
        <v>87</v>
      </c>
      <c r="AS323" s="1127">
        <v>0.33333333333333331</v>
      </c>
      <c r="AT323" s="1127"/>
      <c r="AU323" s="1127">
        <v>0.33333333333333331</v>
      </c>
      <c r="AV323" s="1127"/>
      <c r="AW323" s="1127"/>
      <c r="AX323" s="1127"/>
      <c r="AY323" s="1127"/>
      <c r="AZ323" s="1127">
        <v>0.33333333333333331</v>
      </c>
      <c r="BA323" s="1129">
        <v>660.26612857142857</v>
      </c>
      <c r="BB323" s="1129">
        <v>0</v>
      </c>
      <c r="BC323" s="1129">
        <v>660.26612857142857</v>
      </c>
      <c r="BD323" s="1129">
        <v>0</v>
      </c>
      <c r="BE323" s="1129">
        <v>0</v>
      </c>
      <c r="BF323" s="1129">
        <v>0</v>
      </c>
      <c r="BG323" s="1129">
        <v>0</v>
      </c>
      <c r="BH323" s="1129">
        <v>660.26612857142857</v>
      </c>
      <c r="BI323" s="1981"/>
      <c r="BJ323" s="971"/>
      <c r="BK323" s="971"/>
      <c r="BL323" s="1246"/>
      <c r="BM323" s="1247" t="s">
        <v>1768</v>
      </c>
    </row>
    <row r="324" spans="1:65" s="1247" customFormat="1" ht="66" customHeight="1">
      <c r="A324" s="1272">
        <v>7000</v>
      </c>
      <c r="B324" s="971" t="s">
        <v>2420</v>
      </c>
      <c r="C324" s="1272">
        <v>7200</v>
      </c>
      <c r="D324" s="971" t="s">
        <v>119</v>
      </c>
      <c r="E324" s="971" t="s">
        <v>7670</v>
      </c>
      <c r="F324" s="971" t="s">
        <v>2430</v>
      </c>
      <c r="G324" s="971" t="s">
        <v>5274</v>
      </c>
      <c r="H324" s="971" t="s">
        <v>2486</v>
      </c>
      <c r="I324" s="1273" t="s">
        <v>2142</v>
      </c>
      <c r="J324" s="971" t="s">
        <v>2143</v>
      </c>
      <c r="K324" s="971" t="s">
        <v>1768</v>
      </c>
      <c r="L324" s="971" t="s">
        <v>3420</v>
      </c>
      <c r="M324" s="971" t="s">
        <v>1768</v>
      </c>
      <c r="N324" s="971" t="s">
        <v>179</v>
      </c>
      <c r="O324" s="971" t="s">
        <v>1769</v>
      </c>
      <c r="P324" s="971" t="s">
        <v>6663</v>
      </c>
      <c r="Q324" s="971" t="s">
        <v>7674</v>
      </c>
      <c r="R324" s="971" t="s">
        <v>5275</v>
      </c>
      <c r="S324" s="1274">
        <v>1</v>
      </c>
      <c r="T324" s="971" t="s">
        <v>242</v>
      </c>
      <c r="U324" s="1275">
        <v>8.1</v>
      </c>
      <c r="V324" s="1275">
        <v>106.5</v>
      </c>
      <c r="W324" s="1275">
        <v>809.29838571428581</v>
      </c>
      <c r="X324" s="1275">
        <v>1065</v>
      </c>
      <c r="Y324" s="1275">
        <v>1980.7983857142858</v>
      </c>
      <c r="Z324" s="1129">
        <v>8.1</v>
      </c>
      <c r="AA324" s="1129">
        <v>106.5</v>
      </c>
      <c r="AB324" s="1129">
        <v>809.29838571428581</v>
      </c>
      <c r="AC324" s="1129">
        <v>1065</v>
      </c>
      <c r="AD324" s="1098">
        <v>1980.7983857142858</v>
      </c>
      <c r="AE324" s="1135">
        <v>0.5</v>
      </c>
      <c r="AF324" s="1129">
        <v>0.5</v>
      </c>
      <c r="AG324" s="1127">
        <v>1</v>
      </c>
      <c r="AH324" s="1127">
        <v>0</v>
      </c>
      <c r="AI324" s="1127">
        <v>0</v>
      </c>
      <c r="AJ324" s="1127">
        <v>1</v>
      </c>
      <c r="AK324" s="1129">
        <v>1980.7983857142858</v>
      </c>
      <c r="AL324" s="1129">
        <v>0</v>
      </c>
      <c r="AM324" s="1129">
        <v>0</v>
      </c>
      <c r="AN324" s="1129">
        <v>1980.7983857142858</v>
      </c>
      <c r="AO324" s="1129" t="s">
        <v>131</v>
      </c>
      <c r="AP324" s="1129" t="s">
        <v>96</v>
      </c>
      <c r="AQ324" s="1157">
        <v>2014</v>
      </c>
      <c r="AR324" s="1129" t="s">
        <v>87</v>
      </c>
      <c r="AS324" s="1127">
        <v>0.33333333333333331</v>
      </c>
      <c r="AT324" s="1127"/>
      <c r="AU324" s="1127">
        <v>0.33333333333333331</v>
      </c>
      <c r="AV324" s="1127"/>
      <c r="AW324" s="1127"/>
      <c r="AX324" s="1127"/>
      <c r="AY324" s="1127"/>
      <c r="AZ324" s="1127">
        <v>0.33333333333333331</v>
      </c>
      <c r="BA324" s="1129">
        <v>660.26612857142857</v>
      </c>
      <c r="BB324" s="1129">
        <v>0</v>
      </c>
      <c r="BC324" s="1129">
        <v>660.26612857142857</v>
      </c>
      <c r="BD324" s="1129">
        <v>0</v>
      </c>
      <c r="BE324" s="1129">
        <v>0</v>
      </c>
      <c r="BF324" s="1129">
        <v>0</v>
      </c>
      <c r="BG324" s="1129">
        <v>0</v>
      </c>
      <c r="BH324" s="1129">
        <v>660.26612857142857</v>
      </c>
      <c r="BI324" s="1981"/>
      <c r="BJ324" s="971"/>
      <c r="BK324" s="971"/>
      <c r="BL324" s="1246"/>
      <c r="BM324" s="1247" t="s">
        <v>1768</v>
      </c>
    </row>
    <row r="325" spans="1:65" s="1247" customFormat="1" ht="66" customHeight="1">
      <c r="A325" s="1272">
        <v>7000</v>
      </c>
      <c r="B325" s="971" t="s">
        <v>2420</v>
      </c>
      <c r="C325" s="1272">
        <v>7200</v>
      </c>
      <c r="D325" s="971" t="s">
        <v>119</v>
      </c>
      <c r="E325" s="971" t="s">
        <v>7670</v>
      </c>
      <c r="F325" s="971" t="s">
        <v>2430</v>
      </c>
      <c r="G325" s="971" t="s">
        <v>5274</v>
      </c>
      <c r="H325" s="971" t="s">
        <v>2486</v>
      </c>
      <c r="I325" s="1273" t="s">
        <v>7675</v>
      </c>
      <c r="J325" s="971" t="s">
        <v>239</v>
      </c>
      <c r="K325" s="971" t="s">
        <v>1768</v>
      </c>
      <c r="L325" s="971" t="s">
        <v>3420</v>
      </c>
      <c r="M325" s="971" t="s">
        <v>1768</v>
      </c>
      <c r="N325" s="971" t="s">
        <v>179</v>
      </c>
      <c r="O325" s="971" t="s">
        <v>1769</v>
      </c>
      <c r="P325" s="971" t="s">
        <v>6663</v>
      </c>
      <c r="Q325" s="971" t="s">
        <v>7257</v>
      </c>
      <c r="R325" s="971" t="s">
        <v>5277</v>
      </c>
      <c r="S325" s="1274">
        <v>1</v>
      </c>
      <c r="T325" s="971" t="s">
        <v>242</v>
      </c>
      <c r="U325" s="1275">
        <v>8.1</v>
      </c>
      <c r="V325" s="1275">
        <v>106.5</v>
      </c>
      <c r="W325" s="1275">
        <v>809.29838571428581</v>
      </c>
      <c r="X325" s="1275">
        <v>1065</v>
      </c>
      <c r="Y325" s="1275">
        <v>1980.7983857142858</v>
      </c>
      <c r="Z325" s="1129">
        <v>8.1</v>
      </c>
      <c r="AA325" s="1129">
        <v>106.5</v>
      </c>
      <c r="AB325" s="1129">
        <v>809.29838571428581</v>
      </c>
      <c r="AC325" s="1129">
        <v>1065</v>
      </c>
      <c r="AD325" s="1098">
        <v>1980.7983857142858</v>
      </c>
      <c r="AE325" s="1135">
        <v>0.5</v>
      </c>
      <c r="AF325" s="1129">
        <v>0.5</v>
      </c>
      <c r="AG325" s="1127">
        <v>1</v>
      </c>
      <c r="AH325" s="1127">
        <v>0</v>
      </c>
      <c r="AI325" s="1127">
        <v>0</v>
      </c>
      <c r="AJ325" s="1127">
        <v>1</v>
      </c>
      <c r="AK325" s="1129">
        <v>1980.7983857142858</v>
      </c>
      <c r="AL325" s="1129">
        <v>0</v>
      </c>
      <c r="AM325" s="1129">
        <v>0</v>
      </c>
      <c r="AN325" s="1129">
        <v>1980.7983857142858</v>
      </c>
      <c r="AO325" s="1129" t="s">
        <v>131</v>
      </c>
      <c r="AP325" s="1129" t="s">
        <v>96</v>
      </c>
      <c r="AQ325" s="1157">
        <v>2014</v>
      </c>
      <c r="AR325" s="1129" t="s">
        <v>87</v>
      </c>
      <c r="AS325" s="1127">
        <v>0.33333333333333331</v>
      </c>
      <c r="AT325" s="1127"/>
      <c r="AU325" s="1127">
        <v>0.33333333333333331</v>
      </c>
      <c r="AV325" s="1127"/>
      <c r="AW325" s="1127"/>
      <c r="AX325" s="1127"/>
      <c r="AY325" s="1127"/>
      <c r="AZ325" s="1127">
        <v>0.33333333333333331</v>
      </c>
      <c r="BA325" s="1129">
        <v>660.26612857142857</v>
      </c>
      <c r="BB325" s="1129">
        <v>0</v>
      </c>
      <c r="BC325" s="1129">
        <v>660.26612857142857</v>
      </c>
      <c r="BD325" s="1129">
        <v>0</v>
      </c>
      <c r="BE325" s="1129">
        <v>0</v>
      </c>
      <c r="BF325" s="1129">
        <v>0</v>
      </c>
      <c r="BG325" s="1129">
        <v>0</v>
      </c>
      <c r="BH325" s="1129">
        <v>660.26612857142857</v>
      </c>
      <c r="BI325" s="1981"/>
      <c r="BJ325" s="971"/>
      <c r="BK325" s="971"/>
      <c r="BL325" s="1246"/>
      <c r="BM325" s="1247" t="s">
        <v>1768</v>
      </c>
    </row>
    <row r="326" spans="1:65" s="1247" customFormat="1" ht="66" customHeight="1">
      <c r="A326" s="1272">
        <v>7000</v>
      </c>
      <c r="B326" s="971" t="s">
        <v>2420</v>
      </c>
      <c r="C326" s="1272">
        <v>7200</v>
      </c>
      <c r="D326" s="971" t="s">
        <v>119</v>
      </c>
      <c r="E326" s="971" t="s">
        <v>7670</v>
      </c>
      <c r="F326" s="971" t="s">
        <v>2430</v>
      </c>
      <c r="G326" s="971" t="s">
        <v>5274</v>
      </c>
      <c r="H326" s="971" t="s">
        <v>2486</v>
      </c>
      <c r="I326" s="1273" t="s">
        <v>7676</v>
      </c>
      <c r="J326" s="971" t="s">
        <v>2143</v>
      </c>
      <c r="K326" s="971" t="s">
        <v>1768</v>
      </c>
      <c r="L326" s="971" t="s">
        <v>3420</v>
      </c>
      <c r="M326" s="971" t="s">
        <v>1768</v>
      </c>
      <c r="N326" s="971" t="s">
        <v>179</v>
      </c>
      <c r="O326" s="971" t="s">
        <v>1769</v>
      </c>
      <c r="P326" s="971" t="s">
        <v>6663</v>
      </c>
      <c r="Q326" s="971" t="s">
        <v>7677</v>
      </c>
      <c r="R326" s="971" t="s">
        <v>5279</v>
      </c>
      <c r="S326" s="1274">
        <v>1</v>
      </c>
      <c r="T326" s="971" t="s">
        <v>242</v>
      </c>
      <c r="U326" s="1275">
        <v>8.1</v>
      </c>
      <c r="V326" s="1275">
        <v>106.5</v>
      </c>
      <c r="W326" s="1275">
        <v>809.29838571428581</v>
      </c>
      <c r="X326" s="1275">
        <v>1065</v>
      </c>
      <c r="Y326" s="1275">
        <v>1980.7983857142858</v>
      </c>
      <c r="Z326" s="1129">
        <v>8.1</v>
      </c>
      <c r="AA326" s="1129">
        <v>106.5</v>
      </c>
      <c r="AB326" s="1129">
        <v>809.29838571428581</v>
      </c>
      <c r="AC326" s="1129">
        <v>1065</v>
      </c>
      <c r="AD326" s="1098">
        <v>1980.7983857142858</v>
      </c>
      <c r="AE326" s="1135">
        <v>0.5</v>
      </c>
      <c r="AF326" s="1129">
        <v>0.5</v>
      </c>
      <c r="AG326" s="1127">
        <v>1</v>
      </c>
      <c r="AH326" s="1127">
        <v>0</v>
      </c>
      <c r="AI326" s="1127">
        <v>0</v>
      </c>
      <c r="AJ326" s="1127">
        <v>1</v>
      </c>
      <c r="AK326" s="1129">
        <v>1980.7983857142858</v>
      </c>
      <c r="AL326" s="1129">
        <v>0</v>
      </c>
      <c r="AM326" s="1129">
        <v>0</v>
      </c>
      <c r="AN326" s="1129">
        <v>1980.7983857142858</v>
      </c>
      <c r="AO326" s="1129" t="s">
        <v>131</v>
      </c>
      <c r="AP326" s="1129" t="s">
        <v>96</v>
      </c>
      <c r="AQ326" s="1157">
        <v>2014</v>
      </c>
      <c r="AR326" s="1129" t="s">
        <v>87</v>
      </c>
      <c r="AS326" s="1127">
        <v>0.33333333333333331</v>
      </c>
      <c r="AT326" s="1127"/>
      <c r="AU326" s="1127">
        <v>0.33333333333333331</v>
      </c>
      <c r="AV326" s="1127"/>
      <c r="AW326" s="1127"/>
      <c r="AX326" s="1127"/>
      <c r="AY326" s="1127"/>
      <c r="AZ326" s="1127">
        <v>0.33333333333333331</v>
      </c>
      <c r="BA326" s="1129">
        <v>660.26612857142857</v>
      </c>
      <c r="BB326" s="1129">
        <v>0</v>
      </c>
      <c r="BC326" s="1129">
        <v>660.26612857142857</v>
      </c>
      <c r="BD326" s="1129">
        <v>0</v>
      </c>
      <c r="BE326" s="1129">
        <v>0</v>
      </c>
      <c r="BF326" s="1129">
        <v>0</v>
      </c>
      <c r="BG326" s="1129">
        <v>0</v>
      </c>
      <c r="BH326" s="1129">
        <v>660.26612857142857</v>
      </c>
      <c r="BI326" s="1981"/>
      <c r="BJ326" s="971"/>
      <c r="BK326" s="971"/>
      <c r="BL326" s="1246"/>
      <c r="BM326" s="1247" t="s">
        <v>1768</v>
      </c>
    </row>
    <row r="327" spans="1:65" s="1247" customFormat="1" ht="66" customHeight="1">
      <c r="A327" s="1272">
        <v>7000</v>
      </c>
      <c r="B327" s="971" t="s">
        <v>2420</v>
      </c>
      <c r="C327" s="1272">
        <v>7200</v>
      </c>
      <c r="D327" s="971" t="s">
        <v>119</v>
      </c>
      <c r="E327" s="971" t="s">
        <v>7670</v>
      </c>
      <c r="F327" s="971" t="s">
        <v>2430</v>
      </c>
      <c r="G327" s="971" t="s">
        <v>5274</v>
      </c>
      <c r="H327" s="971" t="s">
        <v>2486</v>
      </c>
      <c r="I327" s="1273" t="s">
        <v>7678</v>
      </c>
      <c r="J327" s="971" t="s">
        <v>239</v>
      </c>
      <c r="K327" s="971" t="s">
        <v>1768</v>
      </c>
      <c r="L327" s="971" t="s">
        <v>3420</v>
      </c>
      <c r="M327" s="971" t="s">
        <v>1768</v>
      </c>
      <c r="N327" s="971" t="s">
        <v>179</v>
      </c>
      <c r="O327" s="971" t="s">
        <v>1769</v>
      </c>
      <c r="P327" s="971" t="s">
        <v>6663</v>
      </c>
      <c r="Q327" s="971" t="s">
        <v>7257</v>
      </c>
      <c r="R327" s="971" t="s">
        <v>5281</v>
      </c>
      <c r="S327" s="1274">
        <v>1</v>
      </c>
      <c r="T327" s="971" t="s">
        <v>242</v>
      </c>
      <c r="U327" s="1275">
        <v>8.1</v>
      </c>
      <c r="V327" s="1275">
        <v>106.5</v>
      </c>
      <c r="W327" s="1275">
        <v>809.29838571428581</v>
      </c>
      <c r="X327" s="1275">
        <v>1065</v>
      </c>
      <c r="Y327" s="1275">
        <v>1980.7983857142858</v>
      </c>
      <c r="Z327" s="1129">
        <v>8.1</v>
      </c>
      <c r="AA327" s="1129">
        <v>106.5</v>
      </c>
      <c r="AB327" s="1129">
        <v>809.29838571428581</v>
      </c>
      <c r="AC327" s="1129">
        <v>1065</v>
      </c>
      <c r="AD327" s="1098">
        <v>1980.7983857142858</v>
      </c>
      <c r="AE327" s="1135">
        <v>0.5</v>
      </c>
      <c r="AF327" s="1129">
        <v>0.5</v>
      </c>
      <c r="AG327" s="1127">
        <v>1</v>
      </c>
      <c r="AH327" s="1127">
        <v>0</v>
      </c>
      <c r="AI327" s="1127">
        <v>0</v>
      </c>
      <c r="AJ327" s="1127">
        <v>1</v>
      </c>
      <c r="AK327" s="1129">
        <v>1980.7983857142858</v>
      </c>
      <c r="AL327" s="1129">
        <v>0</v>
      </c>
      <c r="AM327" s="1129">
        <v>0</v>
      </c>
      <c r="AN327" s="1129">
        <v>1980.7983857142858</v>
      </c>
      <c r="AO327" s="1129" t="s">
        <v>131</v>
      </c>
      <c r="AP327" s="1129" t="s">
        <v>96</v>
      </c>
      <c r="AQ327" s="1157">
        <v>2014</v>
      </c>
      <c r="AR327" s="1129" t="s">
        <v>87</v>
      </c>
      <c r="AS327" s="1127">
        <v>0.33333333333333331</v>
      </c>
      <c r="AT327" s="1127"/>
      <c r="AU327" s="1127">
        <v>0.33333333333333331</v>
      </c>
      <c r="AV327" s="1127"/>
      <c r="AW327" s="1127"/>
      <c r="AX327" s="1127"/>
      <c r="AY327" s="1127"/>
      <c r="AZ327" s="1127">
        <v>0.33333333333333331</v>
      </c>
      <c r="BA327" s="1129">
        <v>660.26612857142857</v>
      </c>
      <c r="BB327" s="1129">
        <v>0</v>
      </c>
      <c r="BC327" s="1129">
        <v>660.26612857142857</v>
      </c>
      <c r="BD327" s="1129">
        <v>0</v>
      </c>
      <c r="BE327" s="1129">
        <v>0</v>
      </c>
      <c r="BF327" s="1129">
        <v>0</v>
      </c>
      <c r="BG327" s="1129">
        <v>0</v>
      </c>
      <c r="BH327" s="1129">
        <v>660.26612857142857</v>
      </c>
      <c r="BI327" s="1981"/>
      <c r="BJ327" s="971"/>
      <c r="BK327" s="971"/>
      <c r="BL327" s="1246"/>
      <c r="BM327" s="1247" t="s">
        <v>1768</v>
      </c>
    </row>
    <row r="328" spans="1:65" s="1247" customFormat="1" ht="66" customHeight="1">
      <c r="A328" s="1272">
        <v>7000</v>
      </c>
      <c r="B328" s="971" t="s">
        <v>2420</v>
      </c>
      <c r="C328" s="1272">
        <v>7200</v>
      </c>
      <c r="D328" s="971" t="s">
        <v>119</v>
      </c>
      <c r="E328" s="971" t="s">
        <v>7670</v>
      </c>
      <c r="F328" s="971" t="s">
        <v>2430</v>
      </c>
      <c r="G328" s="971" t="s">
        <v>5274</v>
      </c>
      <c r="H328" s="971" t="s">
        <v>2486</v>
      </c>
      <c r="I328" s="1273" t="s">
        <v>7679</v>
      </c>
      <c r="J328" s="971" t="s">
        <v>2143</v>
      </c>
      <c r="K328" s="971" t="s">
        <v>1768</v>
      </c>
      <c r="L328" s="971" t="s">
        <v>3420</v>
      </c>
      <c r="M328" s="971" t="s">
        <v>1768</v>
      </c>
      <c r="N328" s="971" t="s">
        <v>179</v>
      </c>
      <c r="O328" s="971" t="s">
        <v>1769</v>
      </c>
      <c r="P328" s="971" t="s">
        <v>6663</v>
      </c>
      <c r="Q328" s="971" t="s">
        <v>7680</v>
      </c>
      <c r="R328" s="971" t="s">
        <v>5283</v>
      </c>
      <c r="S328" s="1274">
        <v>1</v>
      </c>
      <c r="T328" s="971" t="s">
        <v>242</v>
      </c>
      <c r="U328" s="1275">
        <v>8.1</v>
      </c>
      <c r="V328" s="1275">
        <v>106.5</v>
      </c>
      <c r="W328" s="1275">
        <v>809.29838571428581</v>
      </c>
      <c r="X328" s="1275">
        <v>1065</v>
      </c>
      <c r="Y328" s="1275">
        <v>1980.7983857142858</v>
      </c>
      <c r="Z328" s="1129">
        <v>8.1</v>
      </c>
      <c r="AA328" s="1129">
        <v>106.5</v>
      </c>
      <c r="AB328" s="1129">
        <v>809.29838571428581</v>
      </c>
      <c r="AC328" s="1129">
        <v>1065</v>
      </c>
      <c r="AD328" s="1098">
        <v>1980.7983857142858</v>
      </c>
      <c r="AE328" s="1135">
        <v>0.5</v>
      </c>
      <c r="AF328" s="1129">
        <v>0.5</v>
      </c>
      <c r="AG328" s="1127">
        <v>1</v>
      </c>
      <c r="AH328" s="1127">
        <v>0</v>
      </c>
      <c r="AI328" s="1127">
        <v>0</v>
      </c>
      <c r="AJ328" s="1127">
        <v>1</v>
      </c>
      <c r="AK328" s="1129">
        <v>1980.7983857142858</v>
      </c>
      <c r="AL328" s="1129">
        <v>0</v>
      </c>
      <c r="AM328" s="1129">
        <v>0</v>
      </c>
      <c r="AN328" s="1129">
        <v>1980.7983857142858</v>
      </c>
      <c r="AO328" s="1129" t="s">
        <v>131</v>
      </c>
      <c r="AP328" s="1129" t="s">
        <v>96</v>
      </c>
      <c r="AQ328" s="1157">
        <v>2014</v>
      </c>
      <c r="AR328" s="1129" t="s">
        <v>87</v>
      </c>
      <c r="AS328" s="1127">
        <v>0.33333333333333331</v>
      </c>
      <c r="AT328" s="1127"/>
      <c r="AU328" s="1127">
        <v>0.33333333333333331</v>
      </c>
      <c r="AV328" s="1127"/>
      <c r="AW328" s="1127"/>
      <c r="AX328" s="1127"/>
      <c r="AY328" s="1127"/>
      <c r="AZ328" s="1127">
        <v>0.33333333333333331</v>
      </c>
      <c r="BA328" s="1129">
        <v>660.26612857142857</v>
      </c>
      <c r="BB328" s="1129">
        <v>0</v>
      </c>
      <c r="BC328" s="1129">
        <v>660.26612857142857</v>
      </c>
      <c r="BD328" s="1129">
        <v>0</v>
      </c>
      <c r="BE328" s="1129">
        <v>0</v>
      </c>
      <c r="BF328" s="1129">
        <v>0</v>
      </c>
      <c r="BG328" s="1129">
        <v>0</v>
      </c>
      <c r="BH328" s="1129">
        <v>660.26612857142857</v>
      </c>
      <c r="BI328" s="1981"/>
      <c r="BJ328" s="971"/>
      <c r="BK328" s="971"/>
      <c r="BL328" s="1246"/>
      <c r="BM328" s="1247" t="s">
        <v>1768</v>
      </c>
    </row>
    <row r="329" spans="1:65" s="1247" customFormat="1" ht="66" customHeight="1">
      <c r="A329" s="1272">
        <v>7000</v>
      </c>
      <c r="B329" s="971" t="s">
        <v>2420</v>
      </c>
      <c r="C329" s="1272">
        <v>7200</v>
      </c>
      <c r="D329" s="971" t="s">
        <v>119</v>
      </c>
      <c r="E329" s="971" t="s">
        <v>7670</v>
      </c>
      <c r="F329" s="971" t="s">
        <v>2430</v>
      </c>
      <c r="G329" s="971" t="s">
        <v>5274</v>
      </c>
      <c r="H329" s="971" t="s">
        <v>2486</v>
      </c>
      <c r="I329" s="1273" t="s">
        <v>7681</v>
      </c>
      <c r="J329" s="971" t="s">
        <v>239</v>
      </c>
      <c r="K329" s="971" t="s">
        <v>1768</v>
      </c>
      <c r="L329" s="971" t="s">
        <v>3420</v>
      </c>
      <c r="M329" s="971" t="s">
        <v>1768</v>
      </c>
      <c r="N329" s="971" t="s">
        <v>179</v>
      </c>
      <c r="O329" s="971" t="s">
        <v>1769</v>
      </c>
      <c r="P329" s="971" t="s">
        <v>6663</v>
      </c>
      <c r="Q329" s="971" t="s">
        <v>7257</v>
      </c>
      <c r="R329" s="971" t="s">
        <v>5285</v>
      </c>
      <c r="S329" s="1274">
        <v>1</v>
      </c>
      <c r="T329" s="971" t="s">
        <v>242</v>
      </c>
      <c r="U329" s="1275">
        <v>8.1</v>
      </c>
      <c r="V329" s="1275">
        <v>106.5</v>
      </c>
      <c r="W329" s="1275">
        <v>809.29838571428581</v>
      </c>
      <c r="X329" s="1275">
        <v>1065</v>
      </c>
      <c r="Y329" s="1275">
        <v>1980.7983857142858</v>
      </c>
      <c r="Z329" s="1129">
        <v>8.1</v>
      </c>
      <c r="AA329" s="1129">
        <v>106.5</v>
      </c>
      <c r="AB329" s="1129">
        <v>809.29838571428581</v>
      </c>
      <c r="AC329" s="1129">
        <v>1065</v>
      </c>
      <c r="AD329" s="1098">
        <v>1980.7983857142858</v>
      </c>
      <c r="AE329" s="1135">
        <v>0.5</v>
      </c>
      <c r="AF329" s="1129">
        <v>0.5</v>
      </c>
      <c r="AG329" s="1127">
        <v>1</v>
      </c>
      <c r="AH329" s="1127">
        <v>0</v>
      </c>
      <c r="AI329" s="1127">
        <v>0</v>
      </c>
      <c r="AJ329" s="1127">
        <v>1</v>
      </c>
      <c r="AK329" s="1129">
        <v>1980.7983857142858</v>
      </c>
      <c r="AL329" s="1129">
        <v>0</v>
      </c>
      <c r="AM329" s="1129">
        <v>0</v>
      </c>
      <c r="AN329" s="1129">
        <v>1980.7983857142858</v>
      </c>
      <c r="AO329" s="1129" t="s">
        <v>131</v>
      </c>
      <c r="AP329" s="1129" t="s">
        <v>96</v>
      </c>
      <c r="AQ329" s="1157">
        <v>2014</v>
      </c>
      <c r="AR329" s="1129" t="s">
        <v>87</v>
      </c>
      <c r="AS329" s="1127">
        <v>0.33333333333333331</v>
      </c>
      <c r="AT329" s="1127"/>
      <c r="AU329" s="1127">
        <v>0.33333333333333331</v>
      </c>
      <c r="AV329" s="1127"/>
      <c r="AW329" s="1127"/>
      <c r="AX329" s="1127"/>
      <c r="AY329" s="1127"/>
      <c r="AZ329" s="1127">
        <v>0.33333333333333331</v>
      </c>
      <c r="BA329" s="1129">
        <v>660.26612857142857</v>
      </c>
      <c r="BB329" s="1129">
        <v>0</v>
      </c>
      <c r="BC329" s="1129">
        <v>660.26612857142857</v>
      </c>
      <c r="BD329" s="1129">
        <v>0</v>
      </c>
      <c r="BE329" s="1129">
        <v>0</v>
      </c>
      <c r="BF329" s="1129">
        <v>0</v>
      </c>
      <c r="BG329" s="1129">
        <v>0</v>
      </c>
      <c r="BH329" s="1129">
        <v>660.26612857142857</v>
      </c>
      <c r="BI329" s="1981"/>
      <c r="BJ329" s="971"/>
      <c r="BK329" s="971"/>
      <c r="BL329" s="1246"/>
      <c r="BM329" s="1247" t="s">
        <v>1768</v>
      </c>
    </row>
    <row r="330" spans="1:65" s="1247" customFormat="1" ht="82.5" customHeight="1">
      <c r="A330" s="1272">
        <v>7000</v>
      </c>
      <c r="B330" s="971" t="s">
        <v>2420</v>
      </c>
      <c r="C330" s="1272">
        <v>7200</v>
      </c>
      <c r="D330" s="971" t="s">
        <v>119</v>
      </c>
      <c r="E330" s="971" t="s">
        <v>7010</v>
      </c>
      <c r="F330" s="971" t="s">
        <v>3600</v>
      </c>
      <c r="G330" s="971" t="s">
        <v>5377</v>
      </c>
      <c r="H330" s="971" t="s">
        <v>3603</v>
      </c>
      <c r="I330" s="1273" t="s">
        <v>7682</v>
      </c>
      <c r="J330" s="971" t="s">
        <v>2212</v>
      </c>
      <c r="K330" s="971" t="s">
        <v>2120</v>
      </c>
      <c r="L330" s="971" t="s">
        <v>2121</v>
      </c>
      <c r="M330" s="971" t="s">
        <v>2120</v>
      </c>
      <c r="N330" s="971" t="s">
        <v>179</v>
      </c>
      <c r="O330" s="971" t="s">
        <v>2121</v>
      </c>
      <c r="P330" s="971" t="s">
        <v>6600</v>
      </c>
      <c r="Q330" s="971" t="s">
        <v>7683</v>
      </c>
      <c r="R330" s="971" t="s">
        <v>5378</v>
      </c>
      <c r="S330" s="1274">
        <v>1</v>
      </c>
      <c r="T330" s="971" t="s">
        <v>242</v>
      </c>
      <c r="U330" s="1275">
        <v>168</v>
      </c>
      <c r="V330" s="1275">
        <v>2220</v>
      </c>
      <c r="W330" s="1275">
        <v>16785.448</v>
      </c>
      <c r="X330" s="1275">
        <v>22200</v>
      </c>
      <c r="Y330" s="1275">
        <v>41205.448000000004</v>
      </c>
      <c r="Z330" s="1129">
        <v>168</v>
      </c>
      <c r="AA330" s="1129">
        <v>2220</v>
      </c>
      <c r="AB330" s="1129">
        <v>16785.448</v>
      </c>
      <c r="AC330" s="1129">
        <v>22200</v>
      </c>
      <c r="AD330" s="1098">
        <v>41205.448000000004</v>
      </c>
      <c r="AE330" s="1135">
        <v>56</v>
      </c>
      <c r="AF330" s="1129">
        <v>56</v>
      </c>
      <c r="AG330" s="1127">
        <v>1</v>
      </c>
      <c r="AH330" s="1127">
        <v>0</v>
      </c>
      <c r="AI330" s="1127">
        <v>0</v>
      </c>
      <c r="AJ330" s="1127">
        <v>1</v>
      </c>
      <c r="AK330" s="1129">
        <v>41205.448000000004</v>
      </c>
      <c r="AL330" s="1129">
        <v>0</v>
      </c>
      <c r="AM330" s="1129">
        <v>0</v>
      </c>
      <c r="AN330" s="1129">
        <v>41205.448000000004</v>
      </c>
      <c r="AO330" s="1129" t="s">
        <v>131</v>
      </c>
      <c r="AP330" s="1129" t="s">
        <v>96</v>
      </c>
      <c r="AQ330" s="1157">
        <v>2014</v>
      </c>
      <c r="AR330" s="1129" t="s">
        <v>87</v>
      </c>
      <c r="AS330" s="1127">
        <v>0.33333333333333331</v>
      </c>
      <c r="AT330" s="1127"/>
      <c r="AU330" s="1127">
        <v>0.33333333333333331</v>
      </c>
      <c r="AV330" s="1127"/>
      <c r="AW330" s="1127"/>
      <c r="AX330" s="1127"/>
      <c r="AY330" s="1127"/>
      <c r="AZ330" s="1127">
        <v>0.33333333333333331</v>
      </c>
      <c r="BA330" s="1129">
        <v>13735.149333333335</v>
      </c>
      <c r="BB330" s="1129">
        <v>0</v>
      </c>
      <c r="BC330" s="1129">
        <v>13735.149333333335</v>
      </c>
      <c r="BD330" s="1129">
        <v>0</v>
      </c>
      <c r="BE330" s="1129">
        <v>0</v>
      </c>
      <c r="BF330" s="1129">
        <v>0</v>
      </c>
      <c r="BG330" s="1129">
        <v>0</v>
      </c>
      <c r="BH330" s="1129">
        <v>13735.149333333335</v>
      </c>
      <c r="BI330" s="1981"/>
      <c r="BJ330" s="971"/>
      <c r="BK330" s="971"/>
      <c r="BL330" s="1246"/>
      <c r="BM330" s="1247" t="s">
        <v>2120</v>
      </c>
    </row>
    <row r="331" spans="1:65" s="1247" customFormat="1" ht="66" customHeight="1">
      <c r="A331" s="1272">
        <v>7000</v>
      </c>
      <c r="B331" s="971" t="s">
        <v>2420</v>
      </c>
      <c r="C331" s="1272">
        <v>7200</v>
      </c>
      <c r="D331" s="971" t="s">
        <v>119</v>
      </c>
      <c r="E331" s="971" t="s">
        <v>7010</v>
      </c>
      <c r="F331" s="971" t="s">
        <v>3600</v>
      </c>
      <c r="G331" s="971" t="s">
        <v>5377</v>
      </c>
      <c r="H331" s="971" t="s">
        <v>3603</v>
      </c>
      <c r="I331" s="1273" t="s">
        <v>7684</v>
      </c>
      <c r="J331" s="971" t="s">
        <v>2212</v>
      </c>
      <c r="K331" s="971" t="s">
        <v>2123</v>
      </c>
      <c r="L331" s="971" t="s">
        <v>2124</v>
      </c>
      <c r="M331" s="971" t="s">
        <v>2123</v>
      </c>
      <c r="N331" s="971" t="s">
        <v>179</v>
      </c>
      <c r="O331" s="971" t="s">
        <v>2124</v>
      </c>
      <c r="P331" s="971" t="s">
        <v>6600</v>
      </c>
      <c r="Q331" s="971" t="s">
        <v>7685</v>
      </c>
      <c r="R331" s="971" t="s">
        <v>5386</v>
      </c>
      <c r="S331" s="1274">
        <v>1</v>
      </c>
      <c r="T331" s="971" t="s">
        <v>242</v>
      </c>
      <c r="U331" s="1275">
        <v>19.2</v>
      </c>
      <c r="V331" s="1275">
        <v>213</v>
      </c>
      <c r="W331" s="1275">
        <v>1918.3369142857146</v>
      </c>
      <c r="X331" s="1275">
        <v>2130</v>
      </c>
      <c r="Y331" s="1275">
        <v>4261.3369142857146</v>
      </c>
      <c r="Z331" s="1129">
        <v>19.2</v>
      </c>
      <c r="AA331" s="1129">
        <v>213</v>
      </c>
      <c r="AB331" s="1129">
        <v>1918.3369142857146</v>
      </c>
      <c r="AC331" s="1129">
        <v>2130</v>
      </c>
      <c r="AD331" s="1098">
        <v>4261.3369142857146</v>
      </c>
      <c r="AE331" s="1135">
        <v>1</v>
      </c>
      <c r="AF331" s="1129">
        <v>1</v>
      </c>
      <c r="AG331" s="1127">
        <v>1</v>
      </c>
      <c r="AH331" s="1127">
        <v>0</v>
      </c>
      <c r="AI331" s="1127">
        <v>0</v>
      </c>
      <c r="AJ331" s="1127">
        <v>1</v>
      </c>
      <c r="AK331" s="1129">
        <v>4261.3369142857146</v>
      </c>
      <c r="AL331" s="1129">
        <v>0</v>
      </c>
      <c r="AM331" s="1129">
        <v>0</v>
      </c>
      <c r="AN331" s="1129">
        <v>4261.3369142857146</v>
      </c>
      <c r="AO331" s="1129" t="s">
        <v>131</v>
      </c>
      <c r="AP331" s="1129" t="s">
        <v>96</v>
      </c>
      <c r="AQ331" s="1157">
        <v>2014</v>
      </c>
      <c r="AR331" s="1129" t="s">
        <v>87</v>
      </c>
      <c r="AS331" s="1127">
        <v>0.33333333333333331</v>
      </c>
      <c r="AT331" s="1127"/>
      <c r="AU331" s="1127">
        <v>0.33333333333333331</v>
      </c>
      <c r="AV331" s="1127"/>
      <c r="AW331" s="1127"/>
      <c r="AX331" s="1127"/>
      <c r="AY331" s="1127"/>
      <c r="AZ331" s="1127">
        <v>0.33333333333333331</v>
      </c>
      <c r="BA331" s="1129">
        <v>1420.4456380952381</v>
      </c>
      <c r="BB331" s="1129">
        <v>0</v>
      </c>
      <c r="BC331" s="1129">
        <v>1420.4456380952381</v>
      </c>
      <c r="BD331" s="1129">
        <v>0</v>
      </c>
      <c r="BE331" s="1129">
        <v>0</v>
      </c>
      <c r="BF331" s="1129">
        <v>0</v>
      </c>
      <c r="BG331" s="1129">
        <v>0</v>
      </c>
      <c r="BH331" s="1129">
        <v>1420.4456380952381</v>
      </c>
      <c r="BI331" s="1981"/>
      <c r="BJ331" s="971"/>
      <c r="BK331" s="971"/>
      <c r="BL331" s="1246"/>
      <c r="BM331" s="1247" t="s">
        <v>2123</v>
      </c>
    </row>
    <row r="332" spans="1:65" s="1247" customFormat="1" ht="66" customHeight="1">
      <c r="A332" s="1272">
        <v>7000</v>
      </c>
      <c r="B332" s="971" t="s">
        <v>2420</v>
      </c>
      <c r="C332" s="1272">
        <v>7200</v>
      </c>
      <c r="D332" s="971" t="s">
        <v>119</v>
      </c>
      <c r="E332" s="971" t="s">
        <v>7010</v>
      </c>
      <c r="F332" s="971" t="s">
        <v>3600</v>
      </c>
      <c r="G332" s="971" t="s">
        <v>5377</v>
      </c>
      <c r="H332" s="971" t="s">
        <v>3603</v>
      </c>
      <c r="I332" s="1273" t="s">
        <v>7686</v>
      </c>
      <c r="J332" s="971" t="s">
        <v>2212</v>
      </c>
      <c r="K332" s="971" t="s">
        <v>2123</v>
      </c>
      <c r="L332" s="971" t="s">
        <v>2124</v>
      </c>
      <c r="M332" s="971" t="s">
        <v>2123</v>
      </c>
      <c r="N332" s="971" t="s">
        <v>179</v>
      </c>
      <c r="O332" s="971" t="s">
        <v>2124</v>
      </c>
      <c r="P332" s="971" t="s">
        <v>6600</v>
      </c>
      <c r="Q332" s="971" t="s">
        <v>7685</v>
      </c>
      <c r="R332" s="971" t="s">
        <v>5393</v>
      </c>
      <c r="S332" s="1274">
        <v>1</v>
      </c>
      <c r="T332" s="971" t="s">
        <v>242</v>
      </c>
      <c r="U332" s="1275">
        <v>19.2</v>
      </c>
      <c r="V332" s="1275">
        <v>213</v>
      </c>
      <c r="W332" s="1275">
        <v>1918.3369142857146</v>
      </c>
      <c r="X332" s="1275">
        <v>2130</v>
      </c>
      <c r="Y332" s="1275">
        <v>4261.3369142857146</v>
      </c>
      <c r="Z332" s="1129">
        <v>19.2</v>
      </c>
      <c r="AA332" s="1129">
        <v>213</v>
      </c>
      <c r="AB332" s="1129">
        <v>1918.3369142857146</v>
      </c>
      <c r="AC332" s="1129">
        <v>2130</v>
      </c>
      <c r="AD332" s="1098">
        <v>4261.3369142857146</v>
      </c>
      <c r="AE332" s="1135">
        <v>1</v>
      </c>
      <c r="AF332" s="1129">
        <v>1</v>
      </c>
      <c r="AG332" s="1127">
        <v>1</v>
      </c>
      <c r="AH332" s="1127">
        <v>0</v>
      </c>
      <c r="AI332" s="1127">
        <v>0</v>
      </c>
      <c r="AJ332" s="1127">
        <v>1</v>
      </c>
      <c r="AK332" s="1129">
        <v>4261.3369142857146</v>
      </c>
      <c r="AL332" s="1129">
        <v>0</v>
      </c>
      <c r="AM332" s="1129">
        <v>0</v>
      </c>
      <c r="AN332" s="1129">
        <v>4261.3369142857146</v>
      </c>
      <c r="AO332" s="1129" t="s">
        <v>131</v>
      </c>
      <c r="AP332" s="1129" t="s">
        <v>96</v>
      </c>
      <c r="AQ332" s="1157">
        <v>2014</v>
      </c>
      <c r="AR332" s="1129" t="s">
        <v>87</v>
      </c>
      <c r="AS332" s="1127">
        <v>0.33333333333333331</v>
      </c>
      <c r="AT332" s="1127"/>
      <c r="AU332" s="1127">
        <v>0.33333333333333331</v>
      </c>
      <c r="AV332" s="1127"/>
      <c r="AW332" s="1127"/>
      <c r="AX332" s="1127"/>
      <c r="AY332" s="1127"/>
      <c r="AZ332" s="1127">
        <v>0.33333333333333331</v>
      </c>
      <c r="BA332" s="1129">
        <v>1420.4456380952381</v>
      </c>
      <c r="BB332" s="1129">
        <v>0</v>
      </c>
      <c r="BC332" s="1129">
        <v>1420.4456380952381</v>
      </c>
      <c r="BD332" s="1129">
        <v>0</v>
      </c>
      <c r="BE332" s="1129">
        <v>0</v>
      </c>
      <c r="BF332" s="1129">
        <v>0</v>
      </c>
      <c r="BG332" s="1129">
        <v>0</v>
      </c>
      <c r="BH332" s="1129">
        <v>1420.4456380952381</v>
      </c>
      <c r="BI332" s="1981"/>
      <c r="BJ332" s="971"/>
      <c r="BK332" s="971"/>
      <c r="BL332" s="1246"/>
      <c r="BM332" s="1247" t="s">
        <v>2123</v>
      </c>
    </row>
    <row r="333" spans="1:65" s="1247" customFormat="1" ht="66" customHeight="1">
      <c r="A333" s="1272">
        <v>7000</v>
      </c>
      <c r="B333" s="971" t="s">
        <v>2420</v>
      </c>
      <c r="C333" s="1272">
        <v>7200</v>
      </c>
      <c r="D333" s="971" t="s">
        <v>119</v>
      </c>
      <c r="E333" s="971" t="s">
        <v>7010</v>
      </c>
      <c r="F333" s="971" t="s">
        <v>3600</v>
      </c>
      <c r="G333" s="971" t="s">
        <v>5377</v>
      </c>
      <c r="H333" s="971" t="s">
        <v>3603</v>
      </c>
      <c r="I333" s="1273" t="s">
        <v>7687</v>
      </c>
      <c r="J333" s="971" t="s">
        <v>2212</v>
      </c>
      <c r="K333" s="971" t="s">
        <v>2123</v>
      </c>
      <c r="L333" s="971" t="s">
        <v>2124</v>
      </c>
      <c r="M333" s="971" t="s">
        <v>2123</v>
      </c>
      <c r="N333" s="971" t="s">
        <v>179</v>
      </c>
      <c r="O333" s="971" t="s">
        <v>2124</v>
      </c>
      <c r="P333" s="971" t="s">
        <v>6600</v>
      </c>
      <c r="Q333" s="971" t="s">
        <v>7688</v>
      </c>
      <c r="R333" s="971" t="s">
        <v>5394</v>
      </c>
      <c r="S333" s="1274">
        <v>1</v>
      </c>
      <c r="T333" s="971" t="s">
        <v>242</v>
      </c>
      <c r="U333" s="1275">
        <v>19.2</v>
      </c>
      <c r="V333" s="1275">
        <v>213</v>
      </c>
      <c r="W333" s="1275">
        <v>1918.3369142857146</v>
      </c>
      <c r="X333" s="1275">
        <v>2130</v>
      </c>
      <c r="Y333" s="1275">
        <v>4261.3369142857146</v>
      </c>
      <c r="Z333" s="1129">
        <v>19.2</v>
      </c>
      <c r="AA333" s="1129">
        <v>213</v>
      </c>
      <c r="AB333" s="1129">
        <v>1918.3369142857146</v>
      </c>
      <c r="AC333" s="1129">
        <v>2130</v>
      </c>
      <c r="AD333" s="1098">
        <v>4261.3369142857146</v>
      </c>
      <c r="AE333" s="1135">
        <v>1</v>
      </c>
      <c r="AF333" s="1129">
        <v>1</v>
      </c>
      <c r="AG333" s="1127">
        <v>1</v>
      </c>
      <c r="AH333" s="1127">
        <v>0</v>
      </c>
      <c r="AI333" s="1127">
        <v>0</v>
      </c>
      <c r="AJ333" s="1127">
        <v>1</v>
      </c>
      <c r="AK333" s="1129">
        <v>4261.3369142857146</v>
      </c>
      <c r="AL333" s="1129">
        <v>0</v>
      </c>
      <c r="AM333" s="1129">
        <v>0</v>
      </c>
      <c r="AN333" s="1129">
        <v>4261.3369142857146</v>
      </c>
      <c r="AO333" s="1129" t="s">
        <v>131</v>
      </c>
      <c r="AP333" s="1129" t="s">
        <v>96</v>
      </c>
      <c r="AQ333" s="1157">
        <v>2014</v>
      </c>
      <c r="AR333" s="1129" t="s">
        <v>87</v>
      </c>
      <c r="AS333" s="1127">
        <v>0.33333333333333331</v>
      </c>
      <c r="AT333" s="1127"/>
      <c r="AU333" s="1127">
        <v>0.33333333333333331</v>
      </c>
      <c r="AV333" s="1127"/>
      <c r="AW333" s="1127"/>
      <c r="AX333" s="1127"/>
      <c r="AY333" s="1127"/>
      <c r="AZ333" s="1127">
        <v>0.33333333333333331</v>
      </c>
      <c r="BA333" s="1129">
        <v>1420.4456380952381</v>
      </c>
      <c r="BB333" s="1129">
        <v>0</v>
      </c>
      <c r="BC333" s="1129">
        <v>1420.4456380952381</v>
      </c>
      <c r="BD333" s="1129">
        <v>0</v>
      </c>
      <c r="BE333" s="1129">
        <v>0</v>
      </c>
      <c r="BF333" s="1129">
        <v>0</v>
      </c>
      <c r="BG333" s="1129">
        <v>0</v>
      </c>
      <c r="BH333" s="1129">
        <v>1420.4456380952381</v>
      </c>
      <c r="BI333" s="1981"/>
      <c r="BJ333" s="971"/>
      <c r="BK333" s="971"/>
      <c r="BL333" s="1246"/>
      <c r="BM333" s="1247" t="s">
        <v>2123</v>
      </c>
    </row>
    <row r="334" spans="1:65" s="1247" customFormat="1" ht="66" customHeight="1">
      <c r="A334" s="1272">
        <v>7000</v>
      </c>
      <c r="B334" s="971" t="s">
        <v>2420</v>
      </c>
      <c r="C334" s="1272">
        <v>7200</v>
      </c>
      <c r="D334" s="971" t="s">
        <v>119</v>
      </c>
      <c r="E334" s="971" t="s">
        <v>7010</v>
      </c>
      <c r="F334" s="971" t="s">
        <v>3600</v>
      </c>
      <c r="G334" s="971" t="s">
        <v>5377</v>
      </c>
      <c r="H334" s="971" t="s">
        <v>3603</v>
      </c>
      <c r="I334" s="1273" t="s">
        <v>7689</v>
      </c>
      <c r="J334" s="971" t="s">
        <v>2212</v>
      </c>
      <c r="K334" s="971" t="s">
        <v>2123</v>
      </c>
      <c r="L334" s="971" t="s">
        <v>2124</v>
      </c>
      <c r="M334" s="971" t="s">
        <v>2123</v>
      </c>
      <c r="N334" s="971" t="s">
        <v>179</v>
      </c>
      <c r="O334" s="971" t="s">
        <v>2124</v>
      </c>
      <c r="P334" s="971" t="s">
        <v>6600</v>
      </c>
      <c r="Q334" s="971" t="s">
        <v>7688</v>
      </c>
      <c r="R334" s="971" t="s">
        <v>5401</v>
      </c>
      <c r="S334" s="1274">
        <v>1</v>
      </c>
      <c r="T334" s="971" t="s">
        <v>242</v>
      </c>
      <c r="U334" s="1275">
        <v>19.2</v>
      </c>
      <c r="V334" s="1275">
        <v>213</v>
      </c>
      <c r="W334" s="1275">
        <v>1918.3369142857146</v>
      </c>
      <c r="X334" s="1275">
        <v>2130</v>
      </c>
      <c r="Y334" s="1275">
        <v>4261.3369142857146</v>
      </c>
      <c r="Z334" s="1129">
        <v>19.2</v>
      </c>
      <c r="AA334" s="1129">
        <v>213</v>
      </c>
      <c r="AB334" s="1129">
        <v>1918.3369142857146</v>
      </c>
      <c r="AC334" s="1129">
        <v>2130</v>
      </c>
      <c r="AD334" s="1098">
        <v>4261.3369142857146</v>
      </c>
      <c r="AE334" s="1135">
        <v>1</v>
      </c>
      <c r="AF334" s="1129">
        <v>1</v>
      </c>
      <c r="AG334" s="1127">
        <v>1</v>
      </c>
      <c r="AH334" s="1127">
        <v>0</v>
      </c>
      <c r="AI334" s="1127">
        <v>0</v>
      </c>
      <c r="AJ334" s="1127">
        <v>1</v>
      </c>
      <c r="AK334" s="1129">
        <v>4261.3369142857146</v>
      </c>
      <c r="AL334" s="1129">
        <v>0</v>
      </c>
      <c r="AM334" s="1129">
        <v>0</v>
      </c>
      <c r="AN334" s="1129">
        <v>4261.3369142857146</v>
      </c>
      <c r="AO334" s="1129" t="s">
        <v>131</v>
      </c>
      <c r="AP334" s="1129" t="s">
        <v>96</v>
      </c>
      <c r="AQ334" s="1157">
        <v>2014</v>
      </c>
      <c r="AR334" s="1129" t="s">
        <v>87</v>
      </c>
      <c r="AS334" s="1127">
        <v>0.33333333333333331</v>
      </c>
      <c r="AT334" s="1127"/>
      <c r="AU334" s="1127">
        <v>0.33333333333333331</v>
      </c>
      <c r="AV334" s="1127"/>
      <c r="AW334" s="1127"/>
      <c r="AX334" s="1127"/>
      <c r="AY334" s="1127"/>
      <c r="AZ334" s="1127">
        <v>0.33333333333333331</v>
      </c>
      <c r="BA334" s="1129">
        <v>1420.4456380952381</v>
      </c>
      <c r="BB334" s="1129">
        <v>0</v>
      </c>
      <c r="BC334" s="1129">
        <v>1420.4456380952381</v>
      </c>
      <c r="BD334" s="1129">
        <v>0</v>
      </c>
      <c r="BE334" s="1129">
        <v>0</v>
      </c>
      <c r="BF334" s="1129">
        <v>0</v>
      </c>
      <c r="BG334" s="1129">
        <v>0</v>
      </c>
      <c r="BH334" s="1129">
        <v>1420.4456380952381</v>
      </c>
      <c r="BI334" s="1981"/>
      <c r="BJ334" s="971"/>
      <c r="BK334" s="971"/>
      <c r="BL334" s="1246"/>
      <c r="BM334" s="1247" t="s">
        <v>2123</v>
      </c>
    </row>
    <row r="335" spans="1:65" s="1247" customFormat="1" ht="66" customHeight="1">
      <c r="A335" s="1272">
        <v>7000</v>
      </c>
      <c r="B335" s="971" t="s">
        <v>2420</v>
      </c>
      <c r="C335" s="1272">
        <v>7200</v>
      </c>
      <c r="D335" s="971" t="s">
        <v>119</v>
      </c>
      <c r="E335" s="971" t="s">
        <v>7010</v>
      </c>
      <c r="F335" s="971" t="s">
        <v>3600</v>
      </c>
      <c r="G335" s="971" t="s">
        <v>5377</v>
      </c>
      <c r="H335" s="971" t="s">
        <v>3603</v>
      </c>
      <c r="I335" s="1273" t="s">
        <v>7690</v>
      </c>
      <c r="J335" s="971" t="s">
        <v>2212</v>
      </c>
      <c r="K335" s="971" t="s">
        <v>2123</v>
      </c>
      <c r="L335" s="971" t="s">
        <v>2124</v>
      </c>
      <c r="M335" s="971" t="s">
        <v>2123</v>
      </c>
      <c r="N335" s="971" t="s">
        <v>179</v>
      </c>
      <c r="O335" s="971" t="s">
        <v>2124</v>
      </c>
      <c r="P335" s="971" t="s">
        <v>6600</v>
      </c>
      <c r="Q335" s="971" t="s">
        <v>7691</v>
      </c>
      <c r="R335" s="971" t="s">
        <v>5406</v>
      </c>
      <c r="S335" s="1274">
        <v>1</v>
      </c>
      <c r="T335" s="971" t="s">
        <v>242</v>
      </c>
      <c r="U335" s="1275">
        <v>19.2</v>
      </c>
      <c r="V335" s="1275">
        <v>213</v>
      </c>
      <c r="W335" s="1275">
        <v>1918.3369142857146</v>
      </c>
      <c r="X335" s="1275">
        <v>2130</v>
      </c>
      <c r="Y335" s="1275">
        <v>4261.3369142857146</v>
      </c>
      <c r="Z335" s="1129">
        <v>19.2</v>
      </c>
      <c r="AA335" s="1129">
        <v>213</v>
      </c>
      <c r="AB335" s="1129">
        <v>1918.3369142857146</v>
      </c>
      <c r="AC335" s="1129">
        <v>2130</v>
      </c>
      <c r="AD335" s="1098">
        <v>4261.3369142857146</v>
      </c>
      <c r="AE335" s="1135">
        <v>1</v>
      </c>
      <c r="AF335" s="1129">
        <v>1</v>
      </c>
      <c r="AG335" s="1127">
        <v>1</v>
      </c>
      <c r="AH335" s="1127">
        <v>0</v>
      </c>
      <c r="AI335" s="1127">
        <v>0</v>
      </c>
      <c r="AJ335" s="1127">
        <v>1</v>
      </c>
      <c r="AK335" s="1129">
        <v>4261.3369142857146</v>
      </c>
      <c r="AL335" s="1129">
        <v>0</v>
      </c>
      <c r="AM335" s="1129">
        <v>0</v>
      </c>
      <c r="AN335" s="1129">
        <v>4261.3369142857146</v>
      </c>
      <c r="AO335" s="1129" t="s">
        <v>131</v>
      </c>
      <c r="AP335" s="1129" t="s">
        <v>96</v>
      </c>
      <c r="AQ335" s="1157">
        <v>2014</v>
      </c>
      <c r="AR335" s="1129" t="s">
        <v>87</v>
      </c>
      <c r="AS335" s="1127">
        <v>0.33333333333333331</v>
      </c>
      <c r="AT335" s="1127"/>
      <c r="AU335" s="1127">
        <v>0.33333333333333331</v>
      </c>
      <c r="AV335" s="1127"/>
      <c r="AW335" s="1127"/>
      <c r="AX335" s="1127"/>
      <c r="AY335" s="1127"/>
      <c r="AZ335" s="1127">
        <v>0.33333333333333331</v>
      </c>
      <c r="BA335" s="1129">
        <v>1420.4456380952381</v>
      </c>
      <c r="BB335" s="1129">
        <v>0</v>
      </c>
      <c r="BC335" s="1129">
        <v>1420.4456380952381</v>
      </c>
      <c r="BD335" s="1129">
        <v>0</v>
      </c>
      <c r="BE335" s="1129">
        <v>0</v>
      </c>
      <c r="BF335" s="1129">
        <v>0</v>
      </c>
      <c r="BG335" s="1129">
        <v>0</v>
      </c>
      <c r="BH335" s="1129">
        <v>1420.4456380952381</v>
      </c>
      <c r="BI335" s="1981"/>
      <c r="BJ335" s="971"/>
      <c r="BK335" s="971"/>
      <c r="BL335" s="1246"/>
      <c r="BM335" s="1247" t="s">
        <v>2123</v>
      </c>
    </row>
    <row r="336" spans="1:65" s="1247" customFormat="1" ht="66" customHeight="1">
      <c r="A336" s="1272">
        <v>7000</v>
      </c>
      <c r="B336" s="971" t="s">
        <v>2420</v>
      </c>
      <c r="C336" s="1272">
        <v>7200</v>
      </c>
      <c r="D336" s="971" t="s">
        <v>119</v>
      </c>
      <c r="E336" s="971" t="s">
        <v>7010</v>
      </c>
      <c r="F336" s="971" t="s">
        <v>3600</v>
      </c>
      <c r="G336" s="971" t="s">
        <v>5377</v>
      </c>
      <c r="H336" s="971" t="s">
        <v>3603</v>
      </c>
      <c r="I336" s="1273" t="s">
        <v>7692</v>
      </c>
      <c r="J336" s="971" t="s">
        <v>2212</v>
      </c>
      <c r="K336" s="971" t="s">
        <v>2123</v>
      </c>
      <c r="L336" s="971" t="s">
        <v>2124</v>
      </c>
      <c r="M336" s="971" t="s">
        <v>2123</v>
      </c>
      <c r="N336" s="971" t="s">
        <v>179</v>
      </c>
      <c r="O336" s="971" t="s">
        <v>2124</v>
      </c>
      <c r="P336" s="971" t="s">
        <v>6600</v>
      </c>
      <c r="Q336" s="971" t="s">
        <v>7693</v>
      </c>
      <c r="R336" s="971" t="s">
        <v>5414</v>
      </c>
      <c r="S336" s="1274">
        <v>1</v>
      </c>
      <c r="T336" s="971" t="s">
        <v>242</v>
      </c>
      <c r="U336" s="1275">
        <v>19.2</v>
      </c>
      <c r="V336" s="1275">
        <v>213</v>
      </c>
      <c r="W336" s="1275">
        <v>1918.3369142857146</v>
      </c>
      <c r="X336" s="1275">
        <v>2130</v>
      </c>
      <c r="Y336" s="1275">
        <v>4261.3369142857146</v>
      </c>
      <c r="Z336" s="1129">
        <v>19.2</v>
      </c>
      <c r="AA336" s="1129">
        <v>213</v>
      </c>
      <c r="AB336" s="1129">
        <v>1918.3369142857146</v>
      </c>
      <c r="AC336" s="1129">
        <v>2130</v>
      </c>
      <c r="AD336" s="1098">
        <v>4261.3369142857146</v>
      </c>
      <c r="AE336" s="1135">
        <v>1</v>
      </c>
      <c r="AF336" s="1129">
        <v>1</v>
      </c>
      <c r="AG336" s="1127">
        <v>1</v>
      </c>
      <c r="AH336" s="1127">
        <v>0</v>
      </c>
      <c r="AI336" s="1127">
        <v>0</v>
      </c>
      <c r="AJ336" s="1127">
        <v>1</v>
      </c>
      <c r="AK336" s="1129">
        <v>4261.3369142857146</v>
      </c>
      <c r="AL336" s="1129">
        <v>0</v>
      </c>
      <c r="AM336" s="1129">
        <v>0</v>
      </c>
      <c r="AN336" s="1129">
        <v>4261.3369142857146</v>
      </c>
      <c r="AO336" s="1129" t="s">
        <v>131</v>
      </c>
      <c r="AP336" s="1129" t="s">
        <v>96</v>
      </c>
      <c r="AQ336" s="1157">
        <v>2014</v>
      </c>
      <c r="AR336" s="1129" t="s">
        <v>87</v>
      </c>
      <c r="AS336" s="1127">
        <v>0.33333333333333331</v>
      </c>
      <c r="AT336" s="1127"/>
      <c r="AU336" s="1127">
        <v>0.33333333333333331</v>
      </c>
      <c r="AV336" s="1127"/>
      <c r="AW336" s="1127"/>
      <c r="AX336" s="1127"/>
      <c r="AY336" s="1127"/>
      <c r="AZ336" s="1127">
        <v>0.33333333333333331</v>
      </c>
      <c r="BA336" s="1129">
        <v>1420.4456380952381</v>
      </c>
      <c r="BB336" s="1129">
        <v>0</v>
      </c>
      <c r="BC336" s="1129">
        <v>1420.4456380952381</v>
      </c>
      <c r="BD336" s="1129">
        <v>0</v>
      </c>
      <c r="BE336" s="1129">
        <v>0</v>
      </c>
      <c r="BF336" s="1129">
        <v>0</v>
      </c>
      <c r="BG336" s="1129">
        <v>0</v>
      </c>
      <c r="BH336" s="1129">
        <v>1420.4456380952381</v>
      </c>
      <c r="BI336" s="1981"/>
      <c r="BJ336" s="971"/>
      <c r="BK336" s="971"/>
      <c r="BL336" s="1246"/>
      <c r="BM336" s="1247" t="s">
        <v>2123</v>
      </c>
    </row>
    <row r="337" spans="1:65" s="1247" customFormat="1" ht="66" customHeight="1">
      <c r="A337" s="1272">
        <v>7000</v>
      </c>
      <c r="B337" s="971" t="s">
        <v>2420</v>
      </c>
      <c r="C337" s="1272">
        <v>7200</v>
      </c>
      <c r="D337" s="971" t="s">
        <v>119</v>
      </c>
      <c r="E337" s="971" t="s">
        <v>7010</v>
      </c>
      <c r="F337" s="971" t="s">
        <v>3600</v>
      </c>
      <c r="G337" s="971" t="s">
        <v>5377</v>
      </c>
      <c r="H337" s="971" t="s">
        <v>3603</v>
      </c>
      <c r="I337" s="1273" t="s">
        <v>7694</v>
      </c>
      <c r="J337" s="971" t="s">
        <v>2212</v>
      </c>
      <c r="K337" s="971" t="s">
        <v>2123</v>
      </c>
      <c r="L337" s="971" t="s">
        <v>2124</v>
      </c>
      <c r="M337" s="971" t="s">
        <v>2123</v>
      </c>
      <c r="N337" s="971" t="s">
        <v>179</v>
      </c>
      <c r="O337" s="971" t="s">
        <v>2124</v>
      </c>
      <c r="P337" s="971" t="s">
        <v>6600</v>
      </c>
      <c r="Q337" s="971" t="s">
        <v>7695</v>
      </c>
      <c r="R337" s="971" t="s">
        <v>5416</v>
      </c>
      <c r="S337" s="1274">
        <v>1</v>
      </c>
      <c r="T337" s="971" t="s">
        <v>242</v>
      </c>
      <c r="U337" s="1275">
        <v>19.2</v>
      </c>
      <c r="V337" s="1275">
        <v>213</v>
      </c>
      <c r="W337" s="1275">
        <v>1918.3369142857146</v>
      </c>
      <c r="X337" s="1275">
        <v>2130</v>
      </c>
      <c r="Y337" s="1275">
        <v>4261.3369142857146</v>
      </c>
      <c r="Z337" s="1129">
        <v>19.2</v>
      </c>
      <c r="AA337" s="1129">
        <v>213</v>
      </c>
      <c r="AB337" s="1129">
        <v>1918.3369142857146</v>
      </c>
      <c r="AC337" s="1129">
        <v>2130</v>
      </c>
      <c r="AD337" s="1098">
        <v>4261.3369142857146</v>
      </c>
      <c r="AE337" s="1135">
        <v>1</v>
      </c>
      <c r="AF337" s="1129">
        <v>1</v>
      </c>
      <c r="AG337" s="1127">
        <v>1</v>
      </c>
      <c r="AH337" s="1127">
        <v>0</v>
      </c>
      <c r="AI337" s="1127">
        <v>0</v>
      </c>
      <c r="AJ337" s="1127">
        <v>1</v>
      </c>
      <c r="AK337" s="1129">
        <v>4261.3369142857146</v>
      </c>
      <c r="AL337" s="1129">
        <v>0</v>
      </c>
      <c r="AM337" s="1129">
        <v>0</v>
      </c>
      <c r="AN337" s="1129">
        <v>4261.3369142857146</v>
      </c>
      <c r="AO337" s="1129" t="s">
        <v>131</v>
      </c>
      <c r="AP337" s="1129" t="s">
        <v>96</v>
      </c>
      <c r="AQ337" s="1157">
        <v>2014</v>
      </c>
      <c r="AR337" s="1129" t="s">
        <v>87</v>
      </c>
      <c r="AS337" s="1127">
        <v>0.33333333333333331</v>
      </c>
      <c r="AT337" s="1127"/>
      <c r="AU337" s="1127">
        <v>0.33333333333333331</v>
      </c>
      <c r="AV337" s="1127"/>
      <c r="AW337" s="1127"/>
      <c r="AX337" s="1127"/>
      <c r="AY337" s="1127"/>
      <c r="AZ337" s="1127">
        <v>0.33333333333333331</v>
      </c>
      <c r="BA337" s="1129">
        <v>1420.4456380952381</v>
      </c>
      <c r="BB337" s="1129">
        <v>0</v>
      </c>
      <c r="BC337" s="1129">
        <v>1420.4456380952381</v>
      </c>
      <c r="BD337" s="1129">
        <v>0</v>
      </c>
      <c r="BE337" s="1129">
        <v>0</v>
      </c>
      <c r="BF337" s="1129">
        <v>0</v>
      </c>
      <c r="BG337" s="1129">
        <v>0</v>
      </c>
      <c r="BH337" s="1129">
        <v>1420.4456380952381</v>
      </c>
      <c r="BI337" s="1981"/>
      <c r="BJ337" s="971"/>
      <c r="BK337" s="971"/>
      <c r="BL337" s="1246"/>
      <c r="BM337" s="1247" t="s">
        <v>2123</v>
      </c>
    </row>
    <row r="338" spans="1:65" s="1247" customFormat="1" ht="66" customHeight="1">
      <c r="A338" s="1272">
        <v>7000</v>
      </c>
      <c r="B338" s="971" t="s">
        <v>2420</v>
      </c>
      <c r="C338" s="1272">
        <v>7200</v>
      </c>
      <c r="D338" s="971" t="s">
        <v>119</v>
      </c>
      <c r="E338" s="971" t="s">
        <v>7010</v>
      </c>
      <c r="F338" s="971" t="s">
        <v>3600</v>
      </c>
      <c r="G338" s="971" t="s">
        <v>5377</v>
      </c>
      <c r="H338" s="971" t="s">
        <v>3603</v>
      </c>
      <c r="I338" s="1273" t="s">
        <v>7696</v>
      </c>
      <c r="J338" s="971" t="s">
        <v>2212</v>
      </c>
      <c r="K338" s="971" t="s">
        <v>2123</v>
      </c>
      <c r="L338" s="971" t="s">
        <v>2124</v>
      </c>
      <c r="M338" s="971" t="s">
        <v>2123</v>
      </c>
      <c r="N338" s="971" t="s">
        <v>179</v>
      </c>
      <c r="O338" s="971" t="s">
        <v>2124</v>
      </c>
      <c r="P338" s="971" t="s">
        <v>6600</v>
      </c>
      <c r="Q338" s="971" t="s">
        <v>7695</v>
      </c>
      <c r="R338" s="971" t="s">
        <v>5423</v>
      </c>
      <c r="S338" s="1274">
        <v>1</v>
      </c>
      <c r="T338" s="971" t="s">
        <v>242</v>
      </c>
      <c r="U338" s="1275">
        <v>19.2</v>
      </c>
      <c r="V338" s="1275">
        <v>213</v>
      </c>
      <c r="W338" s="1275">
        <v>1918.3369142857146</v>
      </c>
      <c r="X338" s="1275">
        <v>2130</v>
      </c>
      <c r="Y338" s="1275">
        <v>4261.3369142857146</v>
      </c>
      <c r="Z338" s="1129">
        <v>19.2</v>
      </c>
      <c r="AA338" s="1129">
        <v>213</v>
      </c>
      <c r="AB338" s="1129">
        <v>1918.3369142857146</v>
      </c>
      <c r="AC338" s="1129">
        <v>2130</v>
      </c>
      <c r="AD338" s="1098">
        <v>4261.3369142857146</v>
      </c>
      <c r="AE338" s="1135">
        <v>1</v>
      </c>
      <c r="AF338" s="1129">
        <v>1</v>
      </c>
      <c r="AG338" s="1127">
        <v>1</v>
      </c>
      <c r="AH338" s="1127">
        <v>0</v>
      </c>
      <c r="AI338" s="1127">
        <v>0</v>
      </c>
      <c r="AJ338" s="1127">
        <v>1</v>
      </c>
      <c r="AK338" s="1129">
        <v>4261.3369142857146</v>
      </c>
      <c r="AL338" s="1129">
        <v>0</v>
      </c>
      <c r="AM338" s="1129">
        <v>0</v>
      </c>
      <c r="AN338" s="1129">
        <v>4261.3369142857146</v>
      </c>
      <c r="AO338" s="1129" t="s">
        <v>131</v>
      </c>
      <c r="AP338" s="1129" t="s">
        <v>96</v>
      </c>
      <c r="AQ338" s="1157">
        <v>2014</v>
      </c>
      <c r="AR338" s="1129" t="s">
        <v>87</v>
      </c>
      <c r="AS338" s="1127">
        <v>0.33333333333333331</v>
      </c>
      <c r="AT338" s="1127"/>
      <c r="AU338" s="1127">
        <v>0.33333333333333331</v>
      </c>
      <c r="AV338" s="1127"/>
      <c r="AW338" s="1127"/>
      <c r="AX338" s="1127"/>
      <c r="AY338" s="1127"/>
      <c r="AZ338" s="1127">
        <v>0.33333333333333331</v>
      </c>
      <c r="BA338" s="1129">
        <v>1420.4456380952381</v>
      </c>
      <c r="BB338" s="1129">
        <v>0</v>
      </c>
      <c r="BC338" s="1129">
        <v>1420.4456380952381</v>
      </c>
      <c r="BD338" s="1129">
        <v>0</v>
      </c>
      <c r="BE338" s="1129">
        <v>0</v>
      </c>
      <c r="BF338" s="1129">
        <v>0</v>
      </c>
      <c r="BG338" s="1129">
        <v>0</v>
      </c>
      <c r="BH338" s="1129">
        <v>1420.4456380952381</v>
      </c>
      <c r="BI338" s="1981"/>
      <c r="BJ338" s="971"/>
      <c r="BK338" s="971"/>
      <c r="BL338" s="1246"/>
      <c r="BM338" s="1247" t="s">
        <v>2123</v>
      </c>
    </row>
    <row r="339" spans="1:65" s="1247" customFormat="1" ht="66" customHeight="1">
      <c r="A339" s="1272">
        <v>7000</v>
      </c>
      <c r="B339" s="971" t="s">
        <v>2420</v>
      </c>
      <c r="C339" s="1272">
        <v>7200</v>
      </c>
      <c r="D339" s="971" t="s">
        <v>119</v>
      </c>
      <c r="E339" s="971" t="s">
        <v>7010</v>
      </c>
      <c r="F339" s="971" t="s">
        <v>3600</v>
      </c>
      <c r="G339" s="971" t="s">
        <v>5377</v>
      </c>
      <c r="H339" s="971" t="s">
        <v>3603</v>
      </c>
      <c r="I339" s="1273" t="s">
        <v>7697</v>
      </c>
      <c r="J339" s="971" t="s">
        <v>2212</v>
      </c>
      <c r="K339" s="971" t="s">
        <v>2123</v>
      </c>
      <c r="L339" s="971" t="s">
        <v>2124</v>
      </c>
      <c r="M339" s="971" t="s">
        <v>2123</v>
      </c>
      <c r="N339" s="971" t="s">
        <v>179</v>
      </c>
      <c r="O339" s="971" t="s">
        <v>2124</v>
      </c>
      <c r="P339" s="971" t="s">
        <v>6600</v>
      </c>
      <c r="Q339" s="971" t="s">
        <v>7695</v>
      </c>
      <c r="R339" s="971" t="s">
        <v>5425</v>
      </c>
      <c r="S339" s="1274">
        <v>1</v>
      </c>
      <c r="T339" s="971" t="s">
        <v>242</v>
      </c>
      <c r="U339" s="1275">
        <v>19.2</v>
      </c>
      <c r="V339" s="1275">
        <v>213</v>
      </c>
      <c r="W339" s="1275">
        <v>1918.3369142857146</v>
      </c>
      <c r="X339" s="1275">
        <v>2130</v>
      </c>
      <c r="Y339" s="1275">
        <v>4261.3369142857146</v>
      </c>
      <c r="Z339" s="1129">
        <v>19.2</v>
      </c>
      <c r="AA339" s="1129">
        <v>213</v>
      </c>
      <c r="AB339" s="1129">
        <v>1918.3369142857146</v>
      </c>
      <c r="AC339" s="1129">
        <v>2130</v>
      </c>
      <c r="AD339" s="1098">
        <v>4261.3369142857146</v>
      </c>
      <c r="AE339" s="1135">
        <v>1</v>
      </c>
      <c r="AF339" s="1129">
        <v>1</v>
      </c>
      <c r="AG339" s="1127">
        <v>1</v>
      </c>
      <c r="AH339" s="1127">
        <v>0</v>
      </c>
      <c r="AI339" s="1127">
        <v>0</v>
      </c>
      <c r="AJ339" s="1127">
        <v>1</v>
      </c>
      <c r="AK339" s="1129">
        <v>4261.3369142857146</v>
      </c>
      <c r="AL339" s="1129">
        <v>0</v>
      </c>
      <c r="AM339" s="1129">
        <v>0</v>
      </c>
      <c r="AN339" s="1129">
        <v>4261.3369142857146</v>
      </c>
      <c r="AO339" s="1129" t="s">
        <v>131</v>
      </c>
      <c r="AP339" s="1129" t="s">
        <v>96</v>
      </c>
      <c r="AQ339" s="1157">
        <v>2014</v>
      </c>
      <c r="AR339" s="1129" t="s">
        <v>87</v>
      </c>
      <c r="AS339" s="1127">
        <v>0.33333333333333331</v>
      </c>
      <c r="AT339" s="1127"/>
      <c r="AU339" s="1127">
        <v>0.33333333333333331</v>
      </c>
      <c r="AV339" s="1127"/>
      <c r="AW339" s="1127"/>
      <c r="AX339" s="1127"/>
      <c r="AY339" s="1127"/>
      <c r="AZ339" s="1127">
        <v>0.33333333333333331</v>
      </c>
      <c r="BA339" s="1129">
        <v>1420.4456380952381</v>
      </c>
      <c r="BB339" s="1129">
        <v>0</v>
      </c>
      <c r="BC339" s="1129">
        <v>1420.4456380952381</v>
      </c>
      <c r="BD339" s="1129">
        <v>0</v>
      </c>
      <c r="BE339" s="1129">
        <v>0</v>
      </c>
      <c r="BF339" s="1129">
        <v>0</v>
      </c>
      <c r="BG339" s="1129">
        <v>0</v>
      </c>
      <c r="BH339" s="1129">
        <v>1420.4456380952381</v>
      </c>
      <c r="BI339" s="1981"/>
      <c r="BJ339" s="971"/>
      <c r="BK339" s="971"/>
      <c r="BL339" s="1246"/>
      <c r="BM339" s="1247" t="s">
        <v>2123</v>
      </c>
    </row>
    <row r="340" spans="1:65" s="1247" customFormat="1" ht="49.5" customHeight="1">
      <c r="A340" s="1272">
        <v>7000</v>
      </c>
      <c r="B340" s="971" t="s">
        <v>2420</v>
      </c>
      <c r="C340" s="1272">
        <v>7400</v>
      </c>
      <c r="D340" s="971" t="s">
        <v>2420</v>
      </c>
      <c r="E340" s="1272">
        <v>7410</v>
      </c>
      <c r="F340" s="971" t="s">
        <v>2421</v>
      </c>
      <c r="G340" s="971">
        <v>7412</v>
      </c>
      <c r="H340" s="971" t="s">
        <v>2594</v>
      </c>
      <c r="I340" s="1273"/>
      <c r="J340" s="971" t="s">
        <v>121</v>
      </c>
      <c r="K340" s="971" t="s">
        <v>2123</v>
      </c>
      <c r="L340" s="971" t="s">
        <v>2124</v>
      </c>
      <c r="M340" s="971" t="s">
        <v>2123</v>
      </c>
      <c r="N340" s="971" t="s">
        <v>179</v>
      </c>
      <c r="O340" s="971" t="s">
        <v>2124</v>
      </c>
      <c r="P340" s="1266"/>
      <c r="Q340" s="971" t="s">
        <v>7698</v>
      </c>
      <c r="R340" s="971"/>
      <c r="S340" s="1274">
        <v>1</v>
      </c>
      <c r="T340" s="971" t="s">
        <v>242</v>
      </c>
      <c r="U340" s="1275">
        <v>19.2</v>
      </c>
      <c r="V340" s="1275">
        <v>213</v>
      </c>
      <c r="W340" s="1275">
        <v>1918.3369142857146</v>
      </c>
      <c r="X340" s="1275">
        <v>2130</v>
      </c>
      <c r="Y340" s="1275">
        <v>4261.3369142857146</v>
      </c>
      <c r="Z340" s="1129">
        <v>19.2</v>
      </c>
      <c r="AA340" s="1129">
        <v>213</v>
      </c>
      <c r="AB340" s="1129">
        <v>1918.3369142857146</v>
      </c>
      <c r="AC340" s="1129">
        <v>2130</v>
      </c>
      <c r="AD340" s="1098">
        <v>4261.3369142857146</v>
      </c>
      <c r="AE340" s="1135">
        <v>1</v>
      </c>
      <c r="AF340" s="1129">
        <v>1</v>
      </c>
      <c r="AG340" s="1127">
        <v>1</v>
      </c>
      <c r="AH340" s="1127">
        <v>0</v>
      </c>
      <c r="AI340" s="1127">
        <v>0</v>
      </c>
      <c r="AJ340" s="1127">
        <v>1</v>
      </c>
      <c r="AK340" s="1129">
        <v>4261.3369142857146</v>
      </c>
      <c r="AL340" s="1129">
        <v>0</v>
      </c>
      <c r="AM340" s="1129">
        <v>0</v>
      </c>
      <c r="AN340" s="1129">
        <v>4261.3369142857146</v>
      </c>
      <c r="AO340" s="1129" t="s">
        <v>85</v>
      </c>
      <c r="AP340" s="1129" t="s">
        <v>96</v>
      </c>
      <c r="AQ340" s="1261">
        <v>2014</v>
      </c>
      <c r="AR340" s="1129" t="s">
        <v>87</v>
      </c>
      <c r="AS340" s="1127">
        <v>0.33333333333333331</v>
      </c>
      <c r="AT340" s="1127"/>
      <c r="AU340" s="1127">
        <v>0.33333333333333331</v>
      </c>
      <c r="AV340" s="1127"/>
      <c r="AW340" s="1127"/>
      <c r="AX340" s="1127"/>
      <c r="AY340" s="1127"/>
      <c r="AZ340" s="1127">
        <v>0.33333333333333331</v>
      </c>
      <c r="BA340" s="1129">
        <v>1420.4456380952381</v>
      </c>
      <c r="BB340" s="1129">
        <v>0</v>
      </c>
      <c r="BC340" s="1129">
        <v>1420.4456380952381</v>
      </c>
      <c r="BD340" s="1129">
        <v>0</v>
      </c>
      <c r="BE340" s="1129">
        <v>0</v>
      </c>
      <c r="BF340" s="1129">
        <v>0</v>
      </c>
      <c r="BG340" s="1129">
        <v>0</v>
      </c>
      <c r="BH340" s="1129">
        <v>1420.4456380952381</v>
      </c>
      <c r="BI340" s="1981" t="s">
        <v>5616</v>
      </c>
      <c r="BJ340" s="971"/>
      <c r="BK340" s="971" t="s">
        <v>173</v>
      </c>
      <c r="BL340" s="1246"/>
      <c r="BM340" s="1247" t="s">
        <v>2123</v>
      </c>
    </row>
    <row r="341" spans="1:65" s="1247" customFormat="1" ht="49.5" customHeight="1">
      <c r="A341" s="1272">
        <v>7000</v>
      </c>
      <c r="B341" s="971" t="s">
        <v>2420</v>
      </c>
      <c r="C341" s="1272">
        <v>7400</v>
      </c>
      <c r="D341" s="971" t="s">
        <v>2420</v>
      </c>
      <c r="E341" s="1272">
        <v>7410</v>
      </c>
      <c r="F341" s="971" t="s">
        <v>2421</v>
      </c>
      <c r="G341" s="971">
        <v>7412</v>
      </c>
      <c r="H341" s="971" t="s">
        <v>2594</v>
      </c>
      <c r="I341" s="1273"/>
      <c r="J341" s="971" t="s">
        <v>121</v>
      </c>
      <c r="K341" s="971" t="s">
        <v>2123</v>
      </c>
      <c r="L341" s="971" t="s">
        <v>2124</v>
      </c>
      <c r="M341" s="971" t="s">
        <v>2123</v>
      </c>
      <c r="N341" s="971" t="s">
        <v>179</v>
      </c>
      <c r="O341" s="971" t="s">
        <v>2124</v>
      </c>
      <c r="P341" s="1266"/>
      <c r="Q341" s="1045" t="s">
        <v>7669</v>
      </c>
      <c r="R341" s="971"/>
      <c r="S341" s="1274">
        <v>5</v>
      </c>
      <c r="T341" s="971" t="s">
        <v>242</v>
      </c>
      <c r="U341" s="1275">
        <v>19.2</v>
      </c>
      <c r="V341" s="1275">
        <v>213</v>
      </c>
      <c r="W341" s="1275">
        <v>1918.3369142857146</v>
      </c>
      <c r="X341" s="1275">
        <v>2130</v>
      </c>
      <c r="Y341" s="1275">
        <v>4261.3369142857146</v>
      </c>
      <c r="Z341" s="1129">
        <v>96</v>
      </c>
      <c r="AA341" s="1129">
        <v>1065</v>
      </c>
      <c r="AB341" s="1129">
        <v>9591.6845714285737</v>
      </c>
      <c r="AC341" s="1129">
        <v>10650</v>
      </c>
      <c r="AD341" s="1098">
        <v>21306.684571428574</v>
      </c>
      <c r="AE341" s="1135">
        <v>1</v>
      </c>
      <c r="AF341" s="1129">
        <v>5</v>
      </c>
      <c r="AG341" s="1127">
        <v>1</v>
      </c>
      <c r="AH341" s="1127">
        <v>0</v>
      </c>
      <c r="AI341" s="1127">
        <v>0</v>
      </c>
      <c r="AJ341" s="1127">
        <v>1</v>
      </c>
      <c r="AK341" s="1129">
        <v>21306.684571428574</v>
      </c>
      <c r="AL341" s="1129">
        <v>0</v>
      </c>
      <c r="AM341" s="1129">
        <v>0</v>
      </c>
      <c r="AN341" s="1129">
        <v>21306.684571428574</v>
      </c>
      <c r="AO341" s="1129" t="s">
        <v>85</v>
      </c>
      <c r="AP341" s="1129" t="s">
        <v>96</v>
      </c>
      <c r="AQ341" s="1261">
        <v>2014</v>
      </c>
      <c r="AR341" s="1129" t="s">
        <v>87</v>
      </c>
      <c r="AS341" s="1127">
        <v>0.33333333333333331</v>
      </c>
      <c r="AT341" s="1127"/>
      <c r="AU341" s="1127">
        <v>0.33333333333333331</v>
      </c>
      <c r="AV341" s="1127"/>
      <c r="AW341" s="1127"/>
      <c r="AX341" s="1127"/>
      <c r="AY341" s="1127"/>
      <c r="AZ341" s="1127">
        <v>0.33333333333333331</v>
      </c>
      <c r="BA341" s="1129">
        <v>7102.2281904761912</v>
      </c>
      <c r="BB341" s="1129">
        <v>0</v>
      </c>
      <c r="BC341" s="1129">
        <v>7102.2281904761912</v>
      </c>
      <c r="BD341" s="1129">
        <v>0</v>
      </c>
      <c r="BE341" s="1129">
        <v>0</v>
      </c>
      <c r="BF341" s="1129">
        <v>0</v>
      </c>
      <c r="BG341" s="1129">
        <v>0</v>
      </c>
      <c r="BH341" s="1129">
        <v>7102.2281904761912</v>
      </c>
      <c r="BI341" s="1981"/>
      <c r="BJ341" s="971"/>
      <c r="BK341" s="971"/>
      <c r="BL341" s="1246"/>
      <c r="BM341" s="1247" t="s">
        <v>2123</v>
      </c>
    </row>
    <row r="342" spans="1:65" s="1247" customFormat="1" ht="66" customHeight="1">
      <c r="A342" s="1272">
        <v>7000</v>
      </c>
      <c r="B342" s="971" t="s">
        <v>2420</v>
      </c>
      <c r="C342" s="1272">
        <v>7400</v>
      </c>
      <c r="D342" s="971" t="s">
        <v>1316</v>
      </c>
      <c r="E342" s="1272" t="s">
        <v>7699</v>
      </c>
      <c r="F342" s="971" t="s">
        <v>2430</v>
      </c>
      <c r="G342" s="971" t="s">
        <v>5474</v>
      </c>
      <c r="H342" s="971" t="s">
        <v>2486</v>
      </c>
      <c r="I342" s="1273" t="s">
        <v>7700</v>
      </c>
      <c r="J342" s="971" t="s">
        <v>2143</v>
      </c>
      <c r="K342" s="971" t="s">
        <v>1768</v>
      </c>
      <c r="L342" s="971" t="s">
        <v>3420</v>
      </c>
      <c r="M342" s="971" t="s">
        <v>1768</v>
      </c>
      <c r="N342" s="971" t="s">
        <v>179</v>
      </c>
      <c r="O342" s="971" t="s">
        <v>1769</v>
      </c>
      <c r="P342" s="971" t="s">
        <v>6663</v>
      </c>
      <c r="Q342" s="971" t="s">
        <v>7674</v>
      </c>
      <c r="R342" s="971" t="s">
        <v>5475</v>
      </c>
      <c r="S342" s="1274">
        <v>1</v>
      </c>
      <c r="T342" s="971" t="s">
        <v>242</v>
      </c>
      <c r="U342" s="1275">
        <v>8.1</v>
      </c>
      <c r="V342" s="1275">
        <v>106.5</v>
      </c>
      <c r="W342" s="1275">
        <v>809.29838571428581</v>
      </c>
      <c r="X342" s="1275">
        <v>1065</v>
      </c>
      <c r="Y342" s="1275">
        <v>1980.7983857142858</v>
      </c>
      <c r="Z342" s="1129">
        <v>8.1</v>
      </c>
      <c r="AA342" s="1129">
        <v>106.5</v>
      </c>
      <c r="AB342" s="1129">
        <v>809.29838571428581</v>
      </c>
      <c r="AC342" s="1129">
        <v>1065</v>
      </c>
      <c r="AD342" s="1098">
        <v>1980.7983857142858</v>
      </c>
      <c r="AE342" s="1135">
        <v>0.5</v>
      </c>
      <c r="AF342" s="1129">
        <v>0.5</v>
      </c>
      <c r="AG342" s="1127">
        <v>1</v>
      </c>
      <c r="AH342" s="1127">
        <v>0</v>
      </c>
      <c r="AI342" s="1127">
        <v>0</v>
      </c>
      <c r="AJ342" s="1127">
        <v>1</v>
      </c>
      <c r="AK342" s="1129">
        <v>1980.7983857142858</v>
      </c>
      <c r="AL342" s="1129">
        <v>0</v>
      </c>
      <c r="AM342" s="1129">
        <v>0</v>
      </c>
      <c r="AN342" s="1129">
        <v>1980.7983857142858</v>
      </c>
      <c r="AO342" s="1129" t="s">
        <v>85</v>
      </c>
      <c r="AP342" s="1129" t="s">
        <v>96</v>
      </c>
      <c r="AQ342" s="1157">
        <v>2014</v>
      </c>
      <c r="AR342" s="1129" t="s">
        <v>87</v>
      </c>
      <c r="AS342" s="1127">
        <v>0.33333333333333331</v>
      </c>
      <c r="AT342" s="1127"/>
      <c r="AU342" s="1127">
        <v>0.33333333333333331</v>
      </c>
      <c r="AV342" s="1127"/>
      <c r="AW342" s="1127"/>
      <c r="AX342" s="1127"/>
      <c r="AY342" s="1127"/>
      <c r="AZ342" s="1127">
        <v>0.33333333333333331</v>
      </c>
      <c r="BA342" s="1129">
        <v>660.26612857142857</v>
      </c>
      <c r="BB342" s="1129">
        <v>0</v>
      </c>
      <c r="BC342" s="1129">
        <v>660.26612857142857</v>
      </c>
      <c r="BD342" s="1129">
        <v>0</v>
      </c>
      <c r="BE342" s="1129">
        <v>0</v>
      </c>
      <c r="BF342" s="1129">
        <v>0</v>
      </c>
      <c r="BG342" s="1129">
        <v>0</v>
      </c>
      <c r="BH342" s="1129">
        <v>660.26612857142857</v>
      </c>
      <c r="BI342" s="1981"/>
      <c r="BJ342" s="971"/>
      <c r="BK342" s="971"/>
      <c r="BL342" s="1246"/>
      <c r="BM342" s="1247" t="s">
        <v>1768</v>
      </c>
    </row>
    <row r="343" spans="1:65" s="1247" customFormat="1" ht="49.5" customHeight="1">
      <c r="A343" s="1272">
        <v>7000</v>
      </c>
      <c r="B343" s="971" t="s">
        <v>2420</v>
      </c>
      <c r="C343" s="1272">
        <v>7400</v>
      </c>
      <c r="D343" s="971" t="s">
        <v>1316</v>
      </c>
      <c r="E343" s="1272" t="s">
        <v>7699</v>
      </c>
      <c r="F343" s="971" t="s">
        <v>2430</v>
      </c>
      <c r="G343" s="971" t="s">
        <v>5474</v>
      </c>
      <c r="H343" s="971" t="s">
        <v>2486</v>
      </c>
      <c r="I343" s="1273" t="s">
        <v>7701</v>
      </c>
      <c r="J343" s="971" t="s">
        <v>239</v>
      </c>
      <c r="K343" s="971" t="s">
        <v>1768</v>
      </c>
      <c r="L343" s="971" t="s">
        <v>3420</v>
      </c>
      <c r="M343" s="971" t="s">
        <v>1768</v>
      </c>
      <c r="N343" s="971" t="s">
        <v>179</v>
      </c>
      <c r="O343" s="971" t="s">
        <v>1769</v>
      </c>
      <c r="P343" s="971" t="s">
        <v>6663</v>
      </c>
      <c r="Q343" s="971" t="s">
        <v>7257</v>
      </c>
      <c r="R343" s="971" t="s">
        <v>5476</v>
      </c>
      <c r="S343" s="1274">
        <v>1</v>
      </c>
      <c r="T343" s="971" t="s">
        <v>242</v>
      </c>
      <c r="U343" s="1275">
        <v>8.1</v>
      </c>
      <c r="V343" s="1275">
        <v>106.5</v>
      </c>
      <c r="W343" s="1275">
        <v>809.29838571428581</v>
      </c>
      <c r="X343" s="1275">
        <v>1065</v>
      </c>
      <c r="Y343" s="1275">
        <v>1980.7983857142858</v>
      </c>
      <c r="Z343" s="1129">
        <v>8.1</v>
      </c>
      <c r="AA343" s="1129">
        <v>106.5</v>
      </c>
      <c r="AB343" s="1129">
        <v>809.29838571428581</v>
      </c>
      <c r="AC343" s="1129">
        <v>1065</v>
      </c>
      <c r="AD343" s="1098">
        <v>1980.7983857142858</v>
      </c>
      <c r="AE343" s="1135">
        <v>0.5</v>
      </c>
      <c r="AF343" s="1129">
        <v>0.5</v>
      </c>
      <c r="AG343" s="1127">
        <v>1</v>
      </c>
      <c r="AH343" s="1127">
        <v>0</v>
      </c>
      <c r="AI343" s="1127">
        <v>0</v>
      </c>
      <c r="AJ343" s="1127">
        <v>1</v>
      </c>
      <c r="AK343" s="1129">
        <v>1980.7983857142858</v>
      </c>
      <c r="AL343" s="1129">
        <v>0</v>
      </c>
      <c r="AM343" s="1129">
        <v>0</v>
      </c>
      <c r="AN343" s="1129">
        <v>1980.7983857142858</v>
      </c>
      <c r="AO343" s="1129" t="s">
        <v>85</v>
      </c>
      <c r="AP343" s="1129" t="s">
        <v>96</v>
      </c>
      <c r="AQ343" s="1157">
        <v>2014</v>
      </c>
      <c r="AR343" s="1129" t="s">
        <v>87</v>
      </c>
      <c r="AS343" s="1127">
        <v>0.33333333333333331</v>
      </c>
      <c r="AT343" s="1127"/>
      <c r="AU343" s="1127">
        <v>0.33333333333333331</v>
      </c>
      <c r="AV343" s="1127"/>
      <c r="AW343" s="1127"/>
      <c r="AX343" s="1127"/>
      <c r="AY343" s="1127"/>
      <c r="AZ343" s="1127">
        <v>0.33333333333333331</v>
      </c>
      <c r="BA343" s="1129">
        <v>660.26612857142857</v>
      </c>
      <c r="BB343" s="1129">
        <v>0</v>
      </c>
      <c r="BC343" s="1129">
        <v>660.26612857142857</v>
      </c>
      <c r="BD343" s="1129">
        <v>0</v>
      </c>
      <c r="BE343" s="1129">
        <v>0</v>
      </c>
      <c r="BF343" s="1129">
        <v>0</v>
      </c>
      <c r="BG343" s="1129">
        <v>0</v>
      </c>
      <c r="BH343" s="1129">
        <v>660.26612857142857</v>
      </c>
      <c r="BI343" s="1981"/>
      <c r="BJ343" s="971"/>
      <c r="BK343" s="971"/>
      <c r="BL343" s="1246"/>
      <c r="BM343" s="1247" t="s">
        <v>1768</v>
      </c>
    </row>
    <row r="344" spans="1:65" s="1247" customFormat="1" ht="66" customHeight="1">
      <c r="A344" s="1272">
        <v>7000</v>
      </c>
      <c r="B344" s="971" t="s">
        <v>2420</v>
      </c>
      <c r="C344" s="1272">
        <v>7400</v>
      </c>
      <c r="D344" s="971" t="s">
        <v>1316</v>
      </c>
      <c r="E344" s="1272" t="s">
        <v>7699</v>
      </c>
      <c r="F344" s="971" t="s">
        <v>2430</v>
      </c>
      <c r="G344" s="971" t="s">
        <v>5474</v>
      </c>
      <c r="H344" s="971" t="s">
        <v>2486</v>
      </c>
      <c r="I344" s="1273" t="s">
        <v>7702</v>
      </c>
      <c r="J344" s="971" t="s">
        <v>2143</v>
      </c>
      <c r="K344" s="971" t="s">
        <v>1768</v>
      </c>
      <c r="L344" s="971" t="s">
        <v>3420</v>
      </c>
      <c r="M344" s="971" t="s">
        <v>1768</v>
      </c>
      <c r="N344" s="971" t="s">
        <v>179</v>
      </c>
      <c r="O344" s="971" t="s">
        <v>1769</v>
      </c>
      <c r="P344" s="971" t="s">
        <v>6663</v>
      </c>
      <c r="Q344" s="971" t="s">
        <v>7703</v>
      </c>
      <c r="R344" s="971" t="s">
        <v>5478</v>
      </c>
      <c r="S344" s="1274">
        <v>1</v>
      </c>
      <c r="T344" s="971" t="s">
        <v>242</v>
      </c>
      <c r="U344" s="1275">
        <v>8.1</v>
      </c>
      <c r="V344" s="1275">
        <v>106.5</v>
      </c>
      <c r="W344" s="1275">
        <v>809.29838571428581</v>
      </c>
      <c r="X344" s="1275">
        <v>1065</v>
      </c>
      <c r="Y344" s="1275">
        <v>1980.7983857142858</v>
      </c>
      <c r="Z344" s="1129">
        <v>8.1</v>
      </c>
      <c r="AA344" s="1129">
        <v>106.5</v>
      </c>
      <c r="AB344" s="1129">
        <v>809.29838571428581</v>
      </c>
      <c r="AC344" s="1129">
        <v>1065</v>
      </c>
      <c r="AD344" s="1098">
        <v>1980.7983857142858</v>
      </c>
      <c r="AE344" s="1135">
        <v>0.5</v>
      </c>
      <c r="AF344" s="1129">
        <v>0.5</v>
      </c>
      <c r="AG344" s="1127">
        <v>1</v>
      </c>
      <c r="AH344" s="1127">
        <v>0</v>
      </c>
      <c r="AI344" s="1127">
        <v>0</v>
      </c>
      <c r="AJ344" s="1127">
        <v>1</v>
      </c>
      <c r="AK344" s="1129">
        <v>1980.7983857142858</v>
      </c>
      <c r="AL344" s="1129">
        <v>0</v>
      </c>
      <c r="AM344" s="1129">
        <v>0</v>
      </c>
      <c r="AN344" s="1129">
        <v>1980.7983857142858</v>
      </c>
      <c r="AO344" s="1129" t="s">
        <v>85</v>
      </c>
      <c r="AP344" s="1129" t="s">
        <v>96</v>
      </c>
      <c r="AQ344" s="1157">
        <v>2014</v>
      </c>
      <c r="AR344" s="1129" t="s">
        <v>87</v>
      </c>
      <c r="AS344" s="1127">
        <v>0.5</v>
      </c>
      <c r="AT344" s="1127">
        <v>0.5</v>
      </c>
      <c r="AU344" s="1127"/>
      <c r="AV344" s="1127"/>
      <c r="AW344" s="1127"/>
      <c r="AX344" s="1127"/>
      <c r="AY344" s="1127"/>
      <c r="AZ344" s="1127"/>
      <c r="BA344" s="1129">
        <v>990.39919285714291</v>
      </c>
      <c r="BB344" s="1129">
        <v>990.39919285714291</v>
      </c>
      <c r="BC344" s="1129">
        <v>0</v>
      </c>
      <c r="BD344" s="1129">
        <v>0</v>
      </c>
      <c r="BE344" s="1129">
        <v>0</v>
      </c>
      <c r="BF344" s="1129">
        <v>0</v>
      </c>
      <c r="BG344" s="1129">
        <v>0</v>
      </c>
      <c r="BH344" s="1129">
        <v>0</v>
      </c>
      <c r="BI344" s="1981"/>
      <c r="BJ344" s="971"/>
      <c r="BK344" s="971"/>
      <c r="BL344" s="1246"/>
      <c r="BM344" s="1247" t="s">
        <v>1768</v>
      </c>
    </row>
    <row r="345" spans="1:65" s="1247" customFormat="1" ht="49.5" customHeight="1">
      <c r="A345" s="1272">
        <v>7000</v>
      </c>
      <c r="B345" s="971" t="s">
        <v>2420</v>
      </c>
      <c r="C345" s="1272">
        <v>7400</v>
      </c>
      <c r="D345" s="971" t="s">
        <v>1316</v>
      </c>
      <c r="E345" s="1272" t="s">
        <v>7699</v>
      </c>
      <c r="F345" s="971" t="s">
        <v>2430</v>
      </c>
      <c r="G345" s="971" t="s">
        <v>5474</v>
      </c>
      <c r="H345" s="971" t="s">
        <v>2486</v>
      </c>
      <c r="I345" s="1273" t="s">
        <v>7704</v>
      </c>
      <c r="J345" s="971" t="s">
        <v>239</v>
      </c>
      <c r="K345" s="971" t="s">
        <v>1768</v>
      </c>
      <c r="L345" s="971" t="s">
        <v>3420</v>
      </c>
      <c r="M345" s="971" t="s">
        <v>1768</v>
      </c>
      <c r="N345" s="971" t="s">
        <v>179</v>
      </c>
      <c r="O345" s="971" t="s">
        <v>1769</v>
      </c>
      <c r="P345" s="971" t="s">
        <v>6663</v>
      </c>
      <c r="Q345" s="971" t="s">
        <v>7257</v>
      </c>
      <c r="R345" s="971" t="s">
        <v>5480</v>
      </c>
      <c r="S345" s="1274">
        <v>1</v>
      </c>
      <c r="T345" s="971" t="s">
        <v>242</v>
      </c>
      <c r="U345" s="1275">
        <v>8.1</v>
      </c>
      <c r="V345" s="1275">
        <v>106.5</v>
      </c>
      <c r="W345" s="1275">
        <v>809.29838571428581</v>
      </c>
      <c r="X345" s="1275">
        <v>1065</v>
      </c>
      <c r="Y345" s="1275">
        <v>1980.7983857142858</v>
      </c>
      <c r="Z345" s="1129">
        <v>8.1</v>
      </c>
      <c r="AA345" s="1129">
        <v>106.5</v>
      </c>
      <c r="AB345" s="1129">
        <v>809.29838571428581</v>
      </c>
      <c r="AC345" s="1129">
        <v>1065</v>
      </c>
      <c r="AD345" s="1098">
        <v>1980.7983857142858</v>
      </c>
      <c r="AE345" s="1135">
        <v>0.5</v>
      </c>
      <c r="AF345" s="1129">
        <v>0.5</v>
      </c>
      <c r="AG345" s="1127">
        <v>1</v>
      </c>
      <c r="AH345" s="1127">
        <v>0</v>
      </c>
      <c r="AI345" s="1127">
        <v>0</v>
      </c>
      <c r="AJ345" s="1127">
        <v>1</v>
      </c>
      <c r="AK345" s="1129">
        <v>1980.7983857142858</v>
      </c>
      <c r="AL345" s="1129">
        <v>0</v>
      </c>
      <c r="AM345" s="1129">
        <v>0</v>
      </c>
      <c r="AN345" s="1129">
        <v>1980.7983857142858</v>
      </c>
      <c r="AO345" s="1129" t="s">
        <v>85</v>
      </c>
      <c r="AP345" s="1129" t="s">
        <v>96</v>
      </c>
      <c r="AQ345" s="1157">
        <v>2014</v>
      </c>
      <c r="AR345" s="1129" t="s">
        <v>87</v>
      </c>
      <c r="AS345" s="1127">
        <v>0.33333333333333331</v>
      </c>
      <c r="AT345" s="1127"/>
      <c r="AU345" s="1127">
        <v>0.33333333333333331</v>
      </c>
      <c r="AV345" s="1127"/>
      <c r="AW345" s="1127"/>
      <c r="AX345" s="1127"/>
      <c r="AY345" s="1127"/>
      <c r="AZ345" s="1127">
        <v>0.33333333333333331</v>
      </c>
      <c r="BA345" s="1129">
        <v>660.26612857142857</v>
      </c>
      <c r="BB345" s="1129">
        <v>0</v>
      </c>
      <c r="BC345" s="1129">
        <v>660.26612857142857</v>
      </c>
      <c r="BD345" s="1129">
        <v>0</v>
      </c>
      <c r="BE345" s="1129">
        <v>0</v>
      </c>
      <c r="BF345" s="1129">
        <v>0</v>
      </c>
      <c r="BG345" s="1129">
        <v>0</v>
      </c>
      <c r="BH345" s="1129">
        <v>660.26612857142857</v>
      </c>
      <c r="BI345" s="1981"/>
      <c r="BJ345" s="971"/>
      <c r="BK345" s="971"/>
      <c r="BL345" s="1246"/>
      <c r="BM345" s="1247" t="s">
        <v>1768</v>
      </c>
    </row>
    <row r="346" spans="1:65" s="1247" customFormat="1" ht="66" customHeight="1">
      <c r="A346" s="1272">
        <v>7000</v>
      </c>
      <c r="B346" s="971" t="s">
        <v>2420</v>
      </c>
      <c r="C346" s="1272">
        <v>7400</v>
      </c>
      <c r="D346" s="971" t="s">
        <v>1316</v>
      </c>
      <c r="E346" s="1272" t="s">
        <v>7699</v>
      </c>
      <c r="F346" s="971" t="s">
        <v>2430</v>
      </c>
      <c r="G346" s="971" t="s">
        <v>5474</v>
      </c>
      <c r="H346" s="971" t="s">
        <v>2486</v>
      </c>
      <c r="I346" s="1273" t="s">
        <v>7705</v>
      </c>
      <c r="J346" s="971" t="s">
        <v>2143</v>
      </c>
      <c r="K346" s="971" t="s">
        <v>1768</v>
      </c>
      <c r="L346" s="971" t="s">
        <v>3420</v>
      </c>
      <c r="M346" s="971" t="s">
        <v>1768</v>
      </c>
      <c r="N346" s="971" t="s">
        <v>179</v>
      </c>
      <c r="O346" s="971" t="s">
        <v>1769</v>
      </c>
      <c r="P346" s="971" t="s">
        <v>6663</v>
      </c>
      <c r="Q346" s="971" t="s">
        <v>7677</v>
      </c>
      <c r="R346" s="971" t="s">
        <v>5482</v>
      </c>
      <c r="S346" s="1274">
        <v>1</v>
      </c>
      <c r="T346" s="971" t="s">
        <v>242</v>
      </c>
      <c r="U346" s="1275">
        <v>8.1</v>
      </c>
      <c r="V346" s="1275">
        <v>106.5</v>
      </c>
      <c r="W346" s="1275">
        <v>809.29838571428581</v>
      </c>
      <c r="X346" s="1275">
        <v>1065</v>
      </c>
      <c r="Y346" s="1275">
        <v>1980.7983857142858</v>
      </c>
      <c r="Z346" s="1129">
        <v>8.1</v>
      </c>
      <c r="AA346" s="1129">
        <v>106.5</v>
      </c>
      <c r="AB346" s="1129">
        <v>809.29838571428581</v>
      </c>
      <c r="AC346" s="1129">
        <v>1065</v>
      </c>
      <c r="AD346" s="1098">
        <v>1980.7983857142858</v>
      </c>
      <c r="AE346" s="1135">
        <v>0.5</v>
      </c>
      <c r="AF346" s="1129">
        <v>0.5</v>
      </c>
      <c r="AG346" s="1127">
        <v>1</v>
      </c>
      <c r="AH346" s="1127">
        <v>0</v>
      </c>
      <c r="AI346" s="1127">
        <v>0</v>
      </c>
      <c r="AJ346" s="1127">
        <v>1</v>
      </c>
      <c r="AK346" s="1129">
        <v>1980.7983857142858</v>
      </c>
      <c r="AL346" s="1129">
        <v>0</v>
      </c>
      <c r="AM346" s="1129">
        <v>0</v>
      </c>
      <c r="AN346" s="1129">
        <v>1980.7983857142858</v>
      </c>
      <c r="AO346" s="1129" t="s">
        <v>85</v>
      </c>
      <c r="AP346" s="1129" t="s">
        <v>96</v>
      </c>
      <c r="AQ346" s="1157">
        <v>2014</v>
      </c>
      <c r="AR346" s="1129" t="s">
        <v>87</v>
      </c>
      <c r="AS346" s="1127">
        <v>0.33333333333333331</v>
      </c>
      <c r="AT346" s="1127"/>
      <c r="AU346" s="1127">
        <v>0.33333333333333331</v>
      </c>
      <c r="AV346" s="1127"/>
      <c r="AW346" s="1127"/>
      <c r="AX346" s="1127"/>
      <c r="AY346" s="1127"/>
      <c r="AZ346" s="1127">
        <v>0.33333333333333331</v>
      </c>
      <c r="BA346" s="1129">
        <v>660.26612857142857</v>
      </c>
      <c r="BB346" s="1129">
        <v>0</v>
      </c>
      <c r="BC346" s="1129">
        <v>660.26612857142857</v>
      </c>
      <c r="BD346" s="1129">
        <v>0</v>
      </c>
      <c r="BE346" s="1129">
        <v>0</v>
      </c>
      <c r="BF346" s="1129">
        <v>0</v>
      </c>
      <c r="BG346" s="1129">
        <v>0</v>
      </c>
      <c r="BH346" s="1129">
        <v>660.26612857142857</v>
      </c>
      <c r="BI346" s="1981"/>
      <c r="BJ346" s="971"/>
      <c r="BK346" s="971"/>
      <c r="BL346" s="1246"/>
      <c r="BM346" s="1247" t="s">
        <v>1768</v>
      </c>
    </row>
    <row r="347" spans="1:65" s="1247" customFormat="1" ht="49.5" customHeight="1">
      <c r="A347" s="1272">
        <v>7000</v>
      </c>
      <c r="B347" s="971" t="s">
        <v>2420</v>
      </c>
      <c r="C347" s="1272">
        <v>7400</v>
      </c>
      <c r="D347" s="971" t="s">
        <v>1316</v>
      </c>
      <c r="E347" s="1272" t="s">
        <v>7699</v>
      </c>
      <c r="F347" s="971" t="s">
        <v>2430</v>
      </c>
      <c r="G347" s="971" t="s">
        <v>5474</v>
      </c>
      <c r="H347" s="971" t="s">
        <v>2486</v>
      </c>
      <c r="I347" s="1273" t="s">
        <v>7706</v>
      </c>
      <c r="J347" s="971" t="s">
        <v>239</v>
      </c>
      <c r="K347" s="971" t="s">
        <v>1768</v>
      </c>
      <c r="L347" s="971" t="s">
        <v>3420</v>
      </c>
      <c r="M347" s="971" t="s">
        <v>1768</v>
      </c>
      <c r="N347" s="971" t="s">
        <v>179</v>
      </c>
      <c r="O347" s="971" t="s">
        <v>1769</v>
      </c>
      <c r="P347" s="971" t="s">
        <v>6663</v>
      </c>
      <c r="Q347" s="971" t="s">
        <v>7257</v>
      </c>
      <c r="R347" s="971" t="s">
        <v>5483</v>
      </c>
      <c r="S347" s="1274">
        <v>1</v>
      </c>
      <c r="T347" s="971" t="s">
        <v>242</v>
      </c>
      <c r="U347" s="1275">
        <v>8.1</v>
      </c>
      <c r="V347" s="1275">
        <v>106.5</v>
      </c>
      <c r="W347" s="1275">
        <v>809.29838571428581</v>
      </c>
      <c r="X347" s="1275">
        <v>1065</v>
      </c>
      <c r="Y347" s="1275">
        <v>1980.7983857142858</v>
      </c>
      <c r="Z347" s="1129">
        <v>8.1</v>
      </c>
      <c r="AA347" s="1129">
        <v>106.5</v>
      </c>
      <c r="AB347" s="1129">
        <v>809.29838571428581</v>
      </c>
      <c r="AC347" s="1129">
        <v>1065</v>
      </c>
      <c r="AD347" s="1098">
        <v>1980.7983857142858</v>
      </c>
      <c r="AE347" s="1135">
        <v>0.5</v>
      </c>
      <c r="AF347" s="1129">
        <v>0.5</v>
      </c>
      <c r="AG347" s="1127">
        <v>1</v>
      </c>
      <c r="AH347" s="1127">
        <v>0</v>
      </c>
      <c r="AI347" s="1127">
        <v>0</v>
      </c>
      <c r="AJ347" s="1127">
        <v>1</v>
      </c>
      <c r="AK347" s="1129">
        <v>1980.7983857142858</v>
      </c>
      <c r="AL347" s="1129">
        <v>0</v>
      </c>
      <c r="AM347" s="1129">
        <v>0</v>
      </c>
      <c r="AN347" s="1129">
        <v>1980.7983857142858</v>
      </c>
      <c r="AO347" s="1129" t="s">
        <v>85</v>
      </c>
      <c r="AP347" s="1129" t="s">
        <v>96</v>
      </c>
      <c r="AQ347" s="1157">
        <v>2014</v>
      </c>
      <c r="AR347" s="1129" t="s">
        <v>87</v>
      </c>
      <c r="AS347" s="1127">
        <v>0.33333333333333331</v>
      </c>
      <c r="AT347" s="1127"/>
      <c r="AU347" s="1127">
        <v>0.33333333333333331</v>
      </c>
      <c r="AV347" s="1127"/>
      <c r="AW347" s="1127"/>
      <c r="AX347" s="1127"/>
      <c r="AY347" s="1127"/>
      <c r="AZ347" s="1127">
        <v>0.33333333333333331</v>
      </c>
      <c r="BA347" s="1129">
        <v>660.26612857142857</v>
      </c>
      <c r="BB347" s="1129">
        <v>0</v>
      </c>
      <c r="BC347" s="1129">
        <v>660.26612857142857</v>
      </c>
      <c r="BD347" s="1129">
        <v>0</v>
      </c>
      <c r="BE347" s="1129">
        <v>0</v>
      </c>
      <c r="BF347" s="1129">
        <v>0</v>
      </c>
      <c r="BG347" s="1129">
        <v>0</v>
      </c>
      <c r="BH347" s="1129">
        <v>660.26612857142857</v>
      </c>
      <c r="BI347" s="1981"/>
      <c r="BJ347" s="971"/>
      <c r="BK347" s="971"/>
      <c r="BL347" s="1246"/>
      <c r="BM347" s="1247" t="s">
        <v>1768</v>
      </c>
    </row>
    <row r="348" spans="1:65" s="1247" customFormat="1" ht="66" customHeight="1">
      <c r="A348" s="1272">
        <v>7000</v>
      </c>
      <c r="B348" s="971" t="s">
        <v>2420</v>
      </c>
      <c r="C348" s="1272">
        <v>7400</v>
      </c>
      <c r="D348" s="971" t="s">
        <v>1316</v>
      </c>
      <c r="E348" s="1272" t="s">
        <v>7699</v>
      </c>
      <c r="F348" s="971" t="s">
        <v>2430</v>
      </c>
      <c r="G348" s="971" t="s">
        <v>5474</v>
      </c>
      <c r="H348" s="971" t="s">
        <v>2486</v>
      </c>
      <c r="I348" s="1273" t="s">
        <v>7707</v>
      </c>
      <c r="J348" s="971" t="s">
        <v>2143</v>
      </c>
      <c r="K348" s="971" t="s">
        <v>1768</v>
      </c>
      <c r="L348" s="971" t="s">
        <v>3420</v>
      </c>
      <c r="M348" s="971" t="s">
        <v>1768</v>
      </c>
      <c r="N348" s="971" t="s">
        <v>179</v>
      </c>
      <c r="O348" s="971" t="s">
        <v>1769</v>
      </c>
      <c r="P348" s="971" t="s">
        <v>6663</v>
      </c>
      <c r="Q348" s="971" t="s">
        <v>7680</v>
      </c>
      <c r="R348" s="971" t="s">
        <v>5485</v>
      </c>
      <c r="S348" s="1274">
        <v>1</v>
      </c>
      <c r="T348" s="971" t="s">
        <v>242</v>
      </c>
      <c r="U348" s="1275">
        <v>8.1</v>
      </c>
      <c r="V348" s="1275">
        <v>106.5</v>
      </c>
      <c r="W348" s="1275">
        <v>809.29838571428581</v>
      </c>
      <c r="X348" s="1275">
        <v>1065</v>
      </c>
      <c r="Y348" s="1275">
        <v>1980.7983857142858</v>
      </c>
      <c r="Z348" s="1129">
        <v>8.1</v>
      </c>
      <c r="AA348" s="1129">
        <v>106.5</v>
      </c>
      <c r="AB348" s="1129">
        <v>809.29838571428581</v>
      </c>
      <c r="AC348" s="1129">
        <v>1065</v>
      </c>
      <c r="AD348" s="1098">
        <v>1980.7983857142858</v>
      </c>
      <c r="AE348" s="1135">
        <v>0.5</v>
      </c>
      <c r="AF348" s="1129">
        <v>0.5</v>
      </c>
      <c r="AG348" s="1127">
        <v>1</v>
      </c>
      <c r="AH348" s="1127">
        <v>0</v>
      </c>
      <c r="AI348" s="1127">
        <v>0</v>
      </c>
      <c r="AJ348" s="1127">
        <v>1</v>
      </c>
      <c r="AK348" s="1129">
        <v>1980.7983857142858</v>
      </c>
      <c r="AL348" s="1129">
        <v>0</v>
      </c>
      <c r="AM348" s="1129">
        <v>0</v>
      </c>
      <c r="AN348" s="1129">
        <v>1980.7983857142858</v>
      </c>
      <c r="AO348" s="1129" t="s">
        <v>85</v>
      </c>
      <c r="AP348" s="1129" t="s">
        <v>96</v>
      </c>
      <c r="AQ348" s="1157">
        <v>2014</v>
      </c>
      <c r="AR348" s="1129" t="s">
        <v>87</v>
      </c>
      <c r="AS348" s="1127">
        <v>0.33333333333333331</v>
      </c>
      <c r="AT348" s="1127"/>
      <c r="AU348" s="1127">
        <v>0.33333333333333331</v>
      </c>
      <c r="AV348" s="1127"/>
      <c r="AW348" s="1127"/>
      <c r="AX348" s="1127"/>
      <c r="AY348" s="1127"/>
      <c r="AZ348" s="1127">
        <v>0.33333333333333331</v>
      </c>
      <c r="BA348" s="1129">
        <v>660.26612857142857</v>
      </c>
      <c r="BB348" s="1129">
        <v>0</v>
      </c>
      <c r="BC348" s="1129">
        <v>660.26612857142857</v>
      </c>
      <c r="BD348" s="1129">
        <v>0</v>
      </c>
      <c r="BE348" s="1129">
        <v>0</v>
      </c>
      <c r="BF348" s="1129">
        <v>0</v>
      </c>
      <c r="BG348" s="1129">
        <v>0</v>
      </c>
      <c r="BH348" s="1129">
        <v>660.26612857142857</v>
      </c>
      <c r="BI348" s="1981"/>
      <c r="BJ348" s="971"/>
      <c r="BK348" s="971"/>
      <c r="BL348" s="1246"/>
      <c r="BM348" s="1247" t="s">
        <v>1768</v>
      </c>
    </row>
    <row r="349" spans="1:65" s="1247" customFormat="1" ht="49.5" customHeight="1">
      <c r="A349" s="1272">
        <v>7000</v>
      </c>
      <c r="B349" s="971" t="s">
        <v>2420</v>
      </c>
      <c r="C349" s="1272">
        <v>7400</v>
      </c>
      <c r="D349" s="971" t="s">
        <v>1316</v>
      </c>
      <c r="E349" s="1272" t="s">
        <v>7699</v>
      </c>
      <c r="F349" s="971" t="s">
        <v>2430</v>
      </c>
      <c r="G349" s="971" t="s">
        <v>5474</v>
      </c>
      <c r="H349" s="971" t="s">
        <v>2486</v>
      </c>
      <c r="I349" s="1273" t="s">
        <v>7708</v>
      </c>
      <c r="J349" s="971" t="s">
        <v>239</v>
      </c>
      <c r="K349" s="971" t="s">
        <v>1768</v>
      </c>
      <c r="L349" s="971" t="s">
        <v>3420</v>
      </c>
      <c r="M349" s="971" t="s">
        <v>1768</v>
      </c>
      <c r="N349" s="971" t="s">
        <v>179</v>
      </c>
      <c r="O349" s="971" t="s">
        <v>1769</v>
      </c>
      <c r="P349" s="971" t="s">
        <v>6663</v>
      </c>
      <c r="Q349" s="971" t="s">
        <v>7257</v>
      </c>
      <c r="R349" s="971" t="s">
        <v>5486</v>
      </c>
      <c r="S349" s="1274">
        <v>1</v>
      </c>
      <c r="T349" s="971" t="s">
        <v>242</v>
      </c>
      <c r="U349" s="1275">
        <v>8.1</v>
      </c>
      <c r="V349" s="1275">
        <v>106.5</v>
      </c>
      <c r="W349" s="1275">
        <v>809.29838571428581</v>
      </c>
      <c r="X349" s="1275">
        <v>1065</v>
      </c>
      <c r="Y349" s="1275">
        <v>1980.7983857142858</v>
      </c>
      <c r="Z349" s="1129">
        <v>8.1</v>
      </c>
      <c r="AA349" s="1129">
        <v>106.5</v>
      </c>
      <c r="AB349" s="1129">
        <v>809.29838571428581</v>
      </c>
      <c r="AC349" s="1129">
        <v>1065</v>
      </c>
      <c r="AD349" s="1098">
        <v>1980.7983857142858</v>
      </c>
      <c r="AE349" s="1135">
        <v>0.5</v>
      </c>
      <c r="AF349" s="1129">
        <v>0.5</v>
      </c>
      <c r="AG349" s="1127">
        <v>1</v>
      </c>
      <c r="AH349" s="1127">
        <v>0</v>
      </c>
      <c r="AI349" s="1127">
        <v>0</v>
      </c>
      <c r="AJ349" s="1127">
        <v>1</v>
      </c>
      <c r="AK349" s="1129">
        <v>1980.7983857142858</v>
      </c>
      <c r="AL349" s="1129">
        <v>0</v>
      </c>
      <c r="AM349" s="1129">
        <v>0</v>
      </c>
      <c r="AN349" s="1129">
        <v>1980.7983857142858</v>
      </c>
      <c r="AO349" s="1129" t="s">
        <v>85</v>
      </c>
      <c r="AP349" s="1129" t="s">
        <v>96</v>
      </c>
      <c r="AQ349" s="1157">
        <v>2014</v>
      </c>
      <c r="AR349" s="1129" t="s">
        <v>87</v>
      </c>
      <c r="AS349" s="1127">
        <v>0.33333333333333331</v>
      </c>
      <c r="AT349" s="1127"/>
      <c r="AU349" s="1127">
        <v>0.33333333333333331</v>
      </c>
      <c r="AV349" s="1127"/>
      <c r="AW349" s="1127"/>
      <c r="AX349" s="1127"/>
      <c r="AY349" s="1127"/>
      <c r="AZ349" s="1127">
        <v>0.33333333333333331</v>
      </c>
      <c r="BA349" s="1129">
        <v>660.26612857142857</v>
      </c>
      <c r="BB349" s="1129">
        <v>0</v>
      </c>
      <c r="BC349" s="1129">
        <v>660.26612857142857</v>
      </c>
      <c r="BD349" s="1129">
        <v>0</v>
      </c>
      <c r="BE349" s="1129">
        <v>0</v>
      </c>
      <c r="BF349" s="1129">
        <v>0</v>
      </c>
      <c r="BG349" s="1129">
        <v>0</v>
      </c>
      <c r="BH349" s="1129">
        <v>660.26612857142857</v>
      </c>
      <c r="BI349" s="1981"/>
      <c r="BJ349" s="971"/>
      <c r="BK349" s="971"/>
      <c r="BL349" s="1246"/>
    </row>
    <row r="350" spans="1:65" s="1247" customFormat="1" ht="99" customHeight="1">
      <c r="A350" s="1272">
        <v>7000</v>
      </c>
      <c r="B350" s="971" t="s">
        <v>2420</v>
      </c>
      <c r="C350" s="1272">
        <v>7400</v>
      </c>
      <c r="D350" s="971" t="s">
        <v>1316</v>
      </c>
      <c r="E350" s="1272">
        <v>7440</v>
      </c>
      <c r="F350" s="971" t="s">
        <v>3600</v>
      </c>
      <c r="G350" s="971">
        <v>7444</v>
      </c>
      <c r="H350" s="971" t="s">
        <v>3603</v>
      </c>
      <c r="I350" s="1273" t="s">
        <v>7709</v>
      </c>
      <c r="J350" s="971" t="s">
        <v>2212</v>
      </c>
      <c r="K350" s="971" t="s">
        <v>2123</v>
      </c>
      <c r="L350" s="971" t="s">
        <v>2124</v>
      </c>
      <c r="M350" s="971" t="s">
        <v>2123</v>
      </c>
      <c r="N350" s="971" t="s">
        <v>179</v>
      </c>
      <c r="O350" s="971" t="s">
        <v>2124</v>
      </c>
      <c r="P350" s="971" t="s">
        <v>6600</v>
      </c>
      <c r="Q350" s="971" t="s">
        <v>7710</v>
      </c>
      <c r="R350" s="971" t="s">
        <v>5547</v>
      </c>
      <c r="S350" s="1274">
        <v>1</v>
      </c>
      <c r="T350" s="971" t="s">
        <v>242</v>
      </c>
      <c r="U350" s="1275">
        <v>19.2</v>
      </c>
      <c r="V350" s="1275">
        <v>213</v>
      </c>
      <c r="W350" s="1275">
        <v>1918.3369142857146</v>
      </c>
      <c r="X350" s="1275">
        <v>2130</v>
      </c>
      <c r="Y350" s="1275">
        <v>4261.3369142857146</v>
      </c>
      <c r="Z350" s="1129">
        <v>19.2</v>
      </c>
      <c r="AA350" s="1129">
        <v>213</v>
      </c>
      <c r="AB350" s="1129">
        <v>1918.3369142857146</v>
      </c>
      <c r="AC350" s="1129">
        <v>2130</v>
      </c>
      <c r="AD350" s="1098">
        <v>4261.3369142857146</v>
      </c>
      <c r="AE350" s="1135">
        <v>1</v>
      </c>
      <c r="AF350" s="1129">
        <v>1</v>
      </c>
      <c r="AG350" s="1127">
        <v>1</v>
      </c>
      <c r="AH350" s="1127">
        <v>0</v>
      </c>
      <c r="AI350" s="1127">
        <v>0</v>
      </c>
      <c r="AJ350" s="1127">
        <v>1</v>
      </c>
      <c r="AK350" s="1129">
        <v>4261.3369142857146</v>
      </c>
      <c r="AL350" s="1129">
        <v>0</v>
      </c>
      <c r="AM350" s="1129">
        <v>0</v>
      </c>
      <c r="AN350" s="1129">
        <v>4261.3369142857146</v>
      </c>
      <c r="AO350" s="1129" t="s">
        <v>85</v>
      </c>
      <c r="AP350" s="1129" t="s">
        <v>96</v>
      </c>
      <c r="AQ350" s="1157">
        <v>2014</v>
      </c>
      <c r="AR350" s="1129" t="s">
        <v>87</v>
      </c>
      <c r="AS350" s="1127">
        <v>0.33333333333333331</v>
      </c>
      <c r="AT350" s="1127"/>
      <c r="AU350" s="1127">
        <v>0.33333333333333331</v>
      </c>
      <c r="AV350" s="1127"/>
      <c r="AW350" s="1127"/>
      <c r="AX350" s="1127"/>
      <c r="AY350" s="1127"/>
      <c r="AZ350" s="1127">
        <v>0.33333333333333331</v>
      </c>
      <c r="BA350" s="1129">
        <v>1420.4456380952381</v>
      </c>
      <c r="BB350" s="1129">
        <v>0</v>
      </c>
      <c r="BC350" s="1129">
        <v>1420.4456380952381</v>
      </c>
      <c r="BD350" s="1129">
        <v>0</v>
      </c>
      <c r="BE350" s="1129">
        <v>0</v>
      </c>
      <c r="BF350" s="1129">
        <v>0</v>
      </c>
      <c r="BG350" s="1129">
        <v>0</v>
      </c>
      <c r="BH350" s="1129">
        <v>1420.4456380952381</v>
      </c>
      <c r="BI350" s="1981"/>
      <c r="BJ350" s="971"/>
      <c r="BK350" s="971"/>
      <c r="BL350" s="1246"/>
      <c r="BM350" s="1247" t="s">
        <v>2123</v>
      </c>
    </row>
    <row r="351" spans="1:65" s="1247" customFormat="1" ht="82.5" customHeight="1">
      <c r="A351" s="1272">
        <v>7000</v>
      </c>
      <c r="B351" s="971" t="s">
        <v>2420</v>
      </c>
      <c r="C351" s="1272">
        <v>7400</v>
      </c>
      <c r="D351" s="971" t="s">
        <v>1316</v>
      </c>
      <c r="E351" s="1272">
        <v>7440</v>
      </c>
      <c r="F351" s="971" t="s">
        <v>3600</v>
      </c>
      <c r="G351" s="971">
        <v>7444</v>
      </c>
      <c r="H351" s="971" t="s">
        <v>3603</v>
      </c>
      <c r="I351" s="1273" t="s">
        <v>7711</v>
      </c>
      <c r="J351" s="971" t="s">
        <v>2212</v>
      </c>
      <c r="K351" s="971" t="s">
        <v>2123</v>
      </c>
      <c r="L351" s="971" t="s">
        <v>2124</v>
      </c>
      <c r="M351" s="971" t="s">
        <v>2123</v>
      </c>
      <c r="N351" s="971" t="s">
        <v>179</v>
      </c>
      <c r="O351" s="971" t="s">
        <v>2124</v>
      </c>
      <c r="P351" s="971" t="s">
        <v>6600</v>
      </c>
      <c r="Q351" s="971" t="s">
        <v>7712</v>
      </c>
      <c r="R351" s="971" t="s">
        <v>5552</v>
      </c>
      <c r="S351" s="1274">
        <v>1</v>
      </c>
      <c r="T351" s="971" t="s">
        <v>242</v>
      </c>
      <c r="U351" s="1275">
        <v>19.2</v>
      </c>
      <c r="V351" s="1275">
        <v>213</v>
      </c>
      <c r="W351" s="1275">
        <v>1918.3369142857146</v>
      </c>
      <c r="X351" s="1275">
        <v>2130</v>
      </c>
      <c r="Y351" s="1275">
        <v>4261.3369142857146</v>
      </c>
      <c r="Z351" s="1129">
        <v>19.2</v>
      </c>
      <c r="AA351" s="1129">
        <v>213</v>
      </c>
      <c r="AB351" s="1129">
        <v>1918.3369142857146</v>
      </c>
      <c r="AC351" s="1129">
        <v>2130</v>
      </c>
      <c r="AD351" s="1098">
        <v>4261.3369142857146</v>
      </c>
      <c r="AE351" s="1135">
        <v>1</v>
      </c>
      <c r="AF351" s="1129">
        <v>1</v>
      </c>
      <c r="AG351" s="1127">
        <v>1</v>
      </c>
      <c r="AH351" s="1127">
        <v>0</v>
      </c>
      <c r="AI351" s="1127">
        <v>0</v>
      </c>
      <c r="AJ351" s="1127">
        <v>1</v>
      </c>
      <c r="AK351" s="1129">
        <v>4261.3369142857146</v>
      </c>
      <c r="AL351" s="1129">
        <v>0</v>
      </c>
      <c r="AM351" s="1129">
        <v>0</v>
      </c>
      <c r="AN351" s="1129">
        <v>4261.3369142857146</v>
      </c>
      <c r="AO351" s="1129" t="s">
        <v>85</v>
      </c>
      <c r="AP351" s="1129" t="s">
        <v>96</v>
      </c>
      <c r="AQ351" s="1157">
        <v>2014</v>
      </c>
      <c r="AR351" s="1129" t="s">
        <v>87</v>
      </c>
      <c r="AS351" s="1127">
        <v>0.33333333333333331</v>
      </c>
      <c r="AT351" s="1127"/>
      <c r="AU351" s="1127">
        <v>0.33333333333333331</v>
      </c>
      <c r="AV351" s="1127"/>
      <c r="AW351" s="1127"/>
      <c r="AX351" s="1127"/>
      <c r="AY351" s="1127"/>
      <c r="AZ351" s="1127">
        <v>0.33333333333333331</v>
      </c>
      <c r="BA351" s="1129">
        <v>1420.4456380952381</v>
      </c>
      <c r="BB351" s="1129">
        <v>0</v>
      </c>
      <c r="BC351" s="1129">
        <v>1420.4456380952381</v>
      </c>
      <c r="BD351" s="1129">
        <v>0</v>
      </c>
      <c r="BE351" s="1129">
        <v>0</v>
      </c>
      <c r="BF351" s="1129">
        <v>0</v>
      </c>
      <c r="BG351" s="1129">
        <v>0</v>
      </c>
      <c r="BH351" s="1129">
        <v>1420.4456380952381</v>
      </c>
      <c r="BI351" s="1981"/>
      <c r="BJ351" s="971"/>
      <c r="BK351" s="971"/>
      <c r="BL351" s="1246"/>
      <c r="BM351" s="1247" t="s">
        <v>2123</v>
      </c>
    </row>
    <row r="352" spans="1:65" s="1247" customFormat="1" ht="82.5" customHeight="1">
      <c r="A352" s="1272">
        <v>7000</v>
      </c>
      <c r="B352" s="971" t="s">
        <v>2420</v>
      </c>
      <c r="C352" s="1272">
        <v>7400</v>
      </c>
      <c r="D352" s="971" t="s">
        <v>1316</v>
      </c>
      <c r="E352" s="1272">
        <v>7440</v>
      </c>
      <c r="F352" s="971" t="s">
        <v>3600</v>
      </c>
      <c r="G352" s="971">
        <v>7444</v>
      </c>
      <c r="H352" s="971" t="s">
        <v>3603</v>
      </c>
      <c r="I352" s="1273" t="s">
        <v>7713</v>
      </c>
      <c r="J352" s="971" t="s">
        <v>2212</v>
      </c>
      <c r="K352" s="971" t="s">
        <v>2123</v>
      </c>
      <c r="L352" s="971" t="s">
        <v>2124</v>
      </c>
      <c r="M352" s="971" t="s">
        <v>2123</v>
      </c>
      <c r="N352" s="971" t="s">
        <v>179</v>
      </c>
      <c r="O352" s="971" t="s">
        <v>2124</v>
      </c>
      <c r="P352" s="971" t="s">
        <v>6600</v>
      </c>
      <c r="Q352" s="971" t="s">
        <v>7712</v>
      </c>
      <c r="R352" s="971" t="s">
        <v>5555</v>
      </c>
      <c r="S352" s="1274">
        <v>1</v>
      </c>
      <c r="T352" s="971" t="s">
        <v>242</v>
      </c>
      <c r="U352" s="1275">
        <v>19.2</v>
      </c>
      <c r="V352" s="1275">
        <v>213</v>
      </c>
      <c r="W352" s="1275">
        <v>1918.3369142857146</v>
      </c>
      <c r="X352" s="1275">
        <v>2130</v>
      </c>
      <c r="Y352" s="1275">
        <v>4261.3369142857146</v>
      </c>
      <c r="Z352" s="1129">
        <v>19.2</v>
      </c>
      <c r="AA352" s="1129">
        <v>213</v>
      </c>
      <c r="AB352" s="1129">
        <v>1918.3369142857146</v>
      </c>
      <c r="AC352" s="1129">
        <v>2130</v>
      </c>
      <c r="AD352" s="1098">
        <v>4261.3369142857146</v>
      </c>
      <c r="AE352" s="1135">
        <v>1</v>
      </c>
      <c r="AF352" s="1129">
        <v>1</v>
      </c>
      <c r="AG352" s="1127">
        <v>1</v>
      </c>
      <c r="AH352" s="1127">
        <v>0</v>
      </c>
      <c r="AI352" s="1127">
        <v>0</v>
      </c>
      <c r="AJ352" s="1127">
        <v>1</v>
      </c>
      <c r="AK352" s="1129">
        <v>4261.3369142857146</v>
      </c>
      <c r="AL352" s="1129">
        <v>0</v>
      </c>
      <c r="AM352" s="1129">
        <v>0</v>
      </c>
      <c r="AN352" s="1129">
        <v>4261.3369142857146</v>
      </c>
      <c r="AO352" s="1129" t="s">
        <v>85</v>
      </c>
      <c r="AP352" s="1129" t="s">
        <v>96</v>
      </c>
      <c r="AQ352" s="1157">
        <v>2014</v>
      </c>
      <c r="AR352" s="1129" t="s">
        <v>87</v>
      </c>
      <c r="AS352" s="1127">
        <v>0.33333333333333331</v>
      </c>
      <c r="AT352" s="1127"/>
      <c r="AU352" s="1127">
        <v>0.33333333333333331</v>
      </c>
      <c r="AV352" s="1127"/>
      <c r="AW352" s="1127"/>
      <c r="AX352" s="1127"/>
      <c r="AY352" s="1127"/>
      <c r="AZ352" s="1127">
        <v>0.33333333333333331</v>
      </c>
      <c r="BA352" s="1129">
        <v>1420.4456380952381</v>
      </c>
      <c r="BB352" s="1129">
        <v>0</v>
      </c>
      <c r="BC352" s="1129">
        <v>1420.4456380952381</v>
      </c>
      <c r="BD352" s="1129">
        <v>0</v>
      </c>
      <c r="BE352" s="1129">
        <v>0</v>
      </c>
      <c r="BF352" s="1129">
        <v>0</v>
      </c>
      <c r="BG352" s="1129">
        <v>0</v>
      </c>
      <c r="BH352" s="1129">
        <v>1420.4456380952381</v>
      </c>
      <c r="BI352" s="1981"/>
      <c r="BJ352" s="971"/>
      <c r="BK352" s="971"/>
      <c r="BL352" s="1246"/>
      <c r="BM352" s="1247" t="s">
        <v>2123</v>
      </c>
    </row>
    <row r="353" spans="1:65" s="1247" customFormat="1" ht="49.5" customHeight="1">
      <c r="A353" s="1272">
        <v>7000</v>
      </c>
      <c r="B353" s="971" t="s">
        <v>2420</v>
      </c>
      <c r="C353" s="1272">
        <v>7400</v>
      </c>
      <c r="D353" s="971" t="s">
        <v>1316</v>
      </c>
      <c r="E353" s="1272">
        <v>7440</v>
      </c>
      <c r="F353" s="971" t="s">
        <v>3600</v>
      </c>
      <c r="G353" s="971">
        <v>7444</v>
      </c>
      <c r="H353" s="971" t="s">
        <v>3603</v>
      </c>
      <c r="I353" s="1273" t="s">
        <v>7714</v>
      </c>
      <c r="J353" s="971" t="s">
        <v>2212</v>
      </c>
      <c r="K353" s="971" t="s">
        <v>2123</v>
      </c>
      <c r="L353" s="971" t="s">
        <v>2124</v>
      </c>
      <c r="M353" s="971" t="s">
        <v>2123</v>
      </c>
      <c r="N353" s="971" t="s">
        <v>179</v>
      </c>
      <c r="O353" s="971" t="s">
        <v>2124</v>
      </c>
      <c r="P353" s="971" t="s">
        <v>6600</v>
      </c>
      <c r="Q353" s="971" t="s">
        <v>7715</v>
      </c>
      <c r="R353" s="971" t="s">
        <v>5556</v>
      </c>
      <c r="S353" s="1274">
        <v>1</v>
      </c>
      <c r="T353" s="971" t="s">
        <v>242</v>
      </c>
      <c r="U353" s="1275">
        <v>19.2</v>
      </c>
      <c r="V353" s="1275">
        <v>213</v>
      </c>
      <c r="W353" s="1275">
        <v>1918.3369142857146</v>
      </c>
      <c r="X353" s="1275">
        <v>2130</v>
      </c>
      <c r="Y353" s="1275">
        <v>4261.3369142857146</v>
      </c>
      <c r="Z353" s="1129">
        <v>19.2</v>
      </c>
      <c r="AA353" s="1129">
        <v>213</v>
      </c>
      <c r="AB353" s="1129">
        <v>1918.3369142857146</v>
      </c>
      <c r="AC353" s="1129">
        <v>2130</v>
      </c>
      <c r="AD353" s="1098">
        <v>4261.3369142857146</v>
      </c>
      <c r="AE353" s="1135">
        <v>1</v>
      </c>
      <c r="AF353" s="1129">
        <v>1</v>
      </c>
      <c r="AG353" s="1127">
        <v>1</v>
      </c>
      <c r="AH353" s="1127">
        <v>0</v>
      </c>
      <c r="AI353" s="1127">
        <v>0</v>
      </c>
      <c r="AJ353" s="1127">
        <v>1</v>
      </c>
      <c r="AK353" s="1129">
        <v>4261.3369142857146</v>
      </c>
      <c r="AL353" s="1129">
        <v>0</v>
      </c>
      <c r="AM353" s="1129">
        <v>0</v>
      </c>
      <c r="AN353" s="1129">
        <v>4261.3369142857146</v>
      </c>
      <c r="AO353" s="1129" t="s">
        <v>85</v>
      </c>
      <c r="AP353" s="1129" t="s">
        <v>96</v>
      </c>
      <c r="AQ353" s="1157">
        <v>2014</v>
      </c>
      <c r="AR353" s="1129" t="s">
        <v>87</v>
      </c>
      <c r="AS353" s="1127">
        <v>0.33333333333333331</v>
      </c>
      <c r="AT353" s="1127"/>
      <c r="AU353" s="1127">
        <v>0.33333333333333331</v>
      </c>
      <c r="AV353" s="1127"/>
      <c r="AW353" s="1127"/>
      <c r="AX353" s="1127"/>
      <c r="AY353" s="1127"/>
      <c r="AZ353" s="1127">
        <v>0.33333333333333331</v>
      </c>
      <c r="BA353" s="1129">
        <v>1420.4456380952381</v>
      </c>
      <c r="BB353" s="1129">
        <v>0</v>
      </c>
      <c r="BC353" s="1129">
        <v>1420.4456380952381</v>
      </c>
      <c r="BD353" s="1129">
        <v>0</v>
      </c>
      <c r="BE353" s="1129">
        <v>0</v>
      </c>
      <c r="BF353" s="1129">
        <v>0</v>
      </c>
      <c r="BG353" s="1129">
        <v>0</v>
      </c>
      <c r="BH353" s="1129">
        <v>1420.4456380952381</v>
      </c>
      <c r="BI353" s="1981"/>
      <c r="BJ353" s="971"/>
      <c r="BK353" s="971"/>
      <c r="BL353" s="1246"/>
      <c r="BM353" s="1247" t="s">
        <v>2123</v>
      </c>
    </row>
    <row r="354" spans="1:65" s="1247" customFormat="1" ht="66" customHeight="1">
      <c r="A354" s="1272">
        <v>7000</v>
      </c>
      <c r="B354" s="971" t="s">
        <v>2420</v>
      </c>
      <c r="C354" s="1272">
        <v>7400</v>
      </c>
      <c r="D354" s="971" t="s">
        <v>1316</v>
      </c>
      <c r="E354" s="1272">
        <v>7440</v>
      </c>
      <c r="F354" s="971" t="s">
        <v>3600</v>
      </c>
      <c r="G354" s="971">
        <v>7444</v>
      </c>
      <c r="H354" s="971" t="s">
        <v>3603</v>
      </c>
      <c r="I354" s="1273" t="s">
        <v>7716</v>
      </c>
      <c r="J354" s="971" t="s">
        <v>2212</v>
      </c>
      <c r="K354" s="971" t="s">
        <v>2123</v>
      </c>
      <c r="L354" s="971" t="s">
        <v>2124</v>
      </c>
      <c r="M354" s="971" t="s">
        <v>2123</v>
      </c>
      <c r="N354" s="971" t="s">
        <v>179</v>
      </c>
      <c r="O354" s="971" t="s">
        <v>2124</v>
      </c>
      <c r="P354" s="971" t="s">
        <v>6600</v>
      </c>
      <c r="Q354" s="971" t="s">
        <v>7717</v>
      </c>
      <c r="R354" s="971" t="s">
        <v>5559</v>
      </c>
      <c r="S354" s="1274">
        <v>1</v>
      </c>
      <c r="T354" s="971" t="s">
        <v>242</v>
      </c>
      <c r="U354" s="1275">
        <v>19.2</v>
      </c>
      <c r="V354" s="1275">
        <v>213</v>
      </c>
      <c r="W354" s="1275">
        <v>1918.3369142857146</v>
      </c>
      <c r="X354" s="1275">
        <v>2130</v>
      </c>
      <c r="Y354" s="1275">
        <v>4261.3369142857146</v>
      </c>
      <c r="Z354" s="1129">
        <v>19.2</v>
      </c>
      <c r="AA354" s="1129">
        <v>213</v>
      </c>
      <c r="AB354" s="1129">
        <v>1918.3369142857146</v>
      </c>
      <c r="AC354" s="1129">
        <v>2130</v>
      </c>
      <c r="AD354" s="1098">
        <v>4261.3369142857146</v>
      </c>
      <c r="AE354" s="1135">
        <v>1</v>
      </c>
      <c r="AF354" s="1129">
        <v>1</v>
      </c>
      <c r="AG354" s="1127">
        <v>1</v>
      </c>
      <c r="AH354" s="1127">
        <v>0</v>
      </c>
      <c r="AI354" s="1127">
        <v>0</v>
      </c>
      <c r="AJ354" s="1127">
        <v>1</v>
      </c>
      <c r="AK354" s="1129">
        <v>4261.3369142857146</v>
      </c>
      <c r="AL354" s="1129">
        <v>0</v>
      </c>
      <c r="AM354" s="1129">
        <v>0</v>
      </c>
      <c r="AN354" s="1129">
        <v>4261.3369142857146</v>
      </c>
      <c r="AO354" s="1129" t="s">
        <v>85</v>
      </c>
      <c r="AP354" s="1129" t="s">
        <v>96</v>
      </c>
      <c r="AQ354" s="1157">
        <v>2014</v>
      </c>
      <c r="AR354" s="1129" t="s">
        <v>87</v>
      </c>
      <c r="AS354" s="1127">
        <v>0.33333333333333331</v>
      </c>
      <c r="AT354" s="1127"/>
      <c r="AU354" s="1127">
        <v>0.33333333333333331</v>
      </c>
      <c r="AV354" s="1127"/>
      <c r="AW354" s="1127"/>
      <c r="AX354" s="1127"/>
      <c r="AY354" s="1127"/>
      <c r="AZ354" s="1127">
        <v>0.33333333333333331</v>
      </c>
      <c r="BA354" s="1129">
        <v>1420.4456380952381</v>
      </c>
      <c r="BB354" s="1129">
        <v>0</v>
      </c>
      <c r="BC354" s="1129">
        <v>1420.4456380952381</v>
      </c>
      <c r="BD354" s="1129">
        <v>0</v>
      </c>
      <c r="BE354" s="1129">
        <v>0</v>
      </c>
      <c r="BF354" s="1129">
        <v>0</v>
      </c>
      <c r="BG354" s="1129">
        <v>0</v>
      </c>
      <c r="BH354" s="1129">
        <v>1420.4456380952381</v>
      </c>
      <c r="BI354" s="1981"/>
      <c r="BJ354" s="971"/>
      <c r="BK354" s="971"/>
      <c r="BL354" s="1246"/>
      <c r="BM354" s="1247" t="s">
        <v>2123</v>
      </c>
    </row>
    <row r="355" spans="1:65" s="1247" customFormat="1" ht="66" customHeight="1">
      <c r="A355" s="1272">
        <v>7000</v>
      </c>
      <c r="B355" s="971" t="s">
        <v>2420</v>
      </c>
      <c r="C355" s="1272">
        <v>7400</v>
      </c>
      <c r="D355" s="971" t="s">
        <v>1316</v>
      </c>
      <c r="E355" s="1272">
        <v>7440</v>
      </c>
      <c r="F355" s="971" t="s">
        <v>3600</v>
      </c>
      <c r="G355" s="971">
        <v>7444</v>
      </c>
      <c r="H355" s="971" t="s">
        <v>3603</v>
      </c>
      <c r="I355" s="1273" t="s">
        <v>7718</v>
      </c>
      <c r="J355" s="971" t="s">
        <v>2212</v>
      </c>
      <c r="K355" s="971" t="s">
        <v>2123</v>
      </c>
      <c r="L355" s="971" t="s">
        <v>2124</v>
      </c>
      <c r="M355" s="971" t="s">
        <v>2123</v>
      </c>
      <c r="N355" s="971" t="s">
        <v>179</v>
      </c>
      <c r="O355" s="971" t="s">
        <v>2124</v>
      </c>
      <c r="P355" s="971" t="s">
        <v>6600</v>
      </c>
      <c r="Q355" s="971" t="s">
        <v>7717</v>
      </c>
      <c r="R355" s="971" t="s">
        <v>5561</v>
      </c>
      <c r="S355" s="1274">
        <v>1</v>
      </c>
      <c r="T355" s="971" t="s">
        <v>242</v>
      </c>
      <c r="U355" s="1275">
        <v>19.2</v>
      </c>
      <c r="V355" s="1275">
        <v>213</v>
      </c>
      <c r="W355" s="1275">
        <v>1918.3369142857146</v>
      </c>
      <c r="X355" s="1275">
        <v>2130</v>
      </c>
      <c r="Y355" s="1275">
        <v>4261.3369142857146</v>
      </c>
      <c r="Z355" s="1129">
        <v>19.2</v>
      </c>
      <c r="AA355" s="1129">
        <v>213</v>
      </c>
      <c r="AB355" s="1129">
        <v>1918.3369142857146</v>
      </c>
      <c r="AC355" s="1129">
        <v>2130</v>
      </c>
      <c r="AD355" s="1098">
        <v>4261.3369142857146</v>
      </c>
      <c r="AE355" s="1135">
        <v>1</v>
      </c>
      <c r="AF355" s="1129">
        <v>1</v>
      </c>
      <c r="AG355" s="1127">
        <v>1</v>
      </c>
      <c r="AH355" s="1127">
        <v>0</v>
      </c>
      <c r="AI355" s="1127">
        <v>0</v>
      </c>
      <c r="AJ355" s="1127">
        <v>1</v>
      </c>
      <c r="AK355" s="1129">
        <v>4261.3369142857146</v>
      </c>
      <c r="AL355" s="1129">
        <v>0</v>
      </c>
      <c r="AM355" s="1129">
        <v>0</v>
      </c>
      <c r="AN355" s="1129">
        <v>4261.3369142857146</v>
      </c>
      <c r="AO355" s="1129" t="s">
        <v>85</v>
      </c>
      <c r="AP355" s="1129" t="s">
        <v>96</v>
      </c>
      <c r="AQ355" s="1157">
        <v>2014</v>
      </c>
      <c r="AR355" s="1129" t="s">
        <v>87</v>
      </c>
      <c r="AS355" s="1127">
        <v>0.33333333333333331</v>
      </c>
      <c r="AT355" s="1127"/>
      <c r="AU355" s="1127">
        <v>0.33333333333333331</v>
      </c>
      <c r="AV355" s="1127"/>
      <c r="AW355" s="1127"/>
      <c r="AX355" s="1127"/>
      <c r="AY355" s="1127"/>
      <c r="AZ355" s="1127">
        <v>0.33333333333333331</v>
      </c>
      <c r="BA355" s="1129">
        <v>1420.4456380952381</v>
      </c>
      <c r="BB355" s="1129">
        <v>0</v>
      </c>
      <c r="BC355" s="1129">
        <v>1420.4456380952381</v>
      </c>
      <c r="BD355" s="1129">
        <v>0</v>
      </c>
      <c r="BE355" s="1129">
        <v>0</v>
      </c>
      <c r="BF355" s="1129">
        <v>0</v>
      </c>
      <c r="BG355" s="1129">
        <v>0</v>
      </c>
      <c r="BH355" s="1129">
        <v>1420.4456380952381</v>
      </c>
      <c r="BI355" s="1981"/>
      <c r="BJ355" s="971"/>
      <c r="BK355" s="971"/>
      <c r="BL355" s="1246"/>
      <c r="BM355" s="1247" t="s">
        <v>2123</v>
      </c>
    </row>
    <row r="356" spans="1:65" s="1247" customFormat="1" ht="66" customHeight="1">
      <c r="A356" s="1272">
        <v>7000</v>
      </c>
      <c r="B356" s="971" t="s">
        <v>2420</v>
      </c>
      <c r="C356" s="1272">
        <v>7400</v>
      </c>
      <c r="D356" s="971" t="s">
        <v>1316</v>
      </c>
      <c r="E356" s="1272">
        <v>7440</v>
      </c>
      <c r="F356" s="971" t="s">
        <v>3600</v>
      </c>
      <c r="G356" s="971">
        <v>7444</v>
      </c>
      <c r="H356" s="971" t="s">
        <v>3603</v>
      </c>
      <c r="I356" s="1273" t="s">
        <v>7719</v>
      </c>
      <c r="J356" s="971" t="s">
        <v>2212</v>
      </c>
      <c r="K356" s="971" t="s">
        <v>2123</v>
      </c>
      <c r="L356" s="971" t="s">
        <v>2124</v>
      </c>
      <c r="M356" s="971" t="s">
        <v>2123</v>
      </c>
      <c r="N356" s="971" t="s">
        <v>179</v>
      </c>
      <c r="O356" s="971" t="s">
        <v>2124</v>
      </c>
      <c r="P356" s="971" t="s">
        <v>6600</v>
      </c>
      <c r="Q356" s="971" t="s">
        <v>7717</v>
      </c>
      <c r="R356" s="971" t="s">
        <v>5563</v>
      </c>
      <c r="S356" s="1274">
        <v>1</v>
      </c>
      <c r="T356" s="971" t="s">
        <v>242</v>
      </c>
      <c r="U356" s="1275">
        <v>19.2</v>
      </c>
      <c r="V356" s="1275">
        <v>213</v>
      </c>
      <c r="W356" s="1275">
        <v>1918.3369142857146</v>
      </c>
      <c r="X356" s="1275">
        <v>2130</v>
      </c>
      <c r="Y356" s="1275">
        <v>4261.3369142857146</v>
      </c>
      <c r="Z356" s="1129">
        <v>19.2</v>
      </c>
      <c r="AA356" s="1129">
        <v>213</v>
      </c>
      <c r="AB356" s="1129">
        <v>1918.3369142857146</v>
      </c>
      <c r="AC356" s="1129">
        <v>2130</v>
      </c>
      <c r="AD356" s="1098">
        <v>4261.3369142857146</v>
      </c>
      <c r="AE356" s="1135">
        <v>1</v>
      </c>
      <c r="AF356" s="1129">
        <v>1</v>
      </c>
      <c r="AG356" s="1127">
        <v>1</v>
      </c>
      <c r="AH356" s="1127">
        <v>0</v>
      </c>
      <c r="AI356" s="1127">
        <v>0</v>
      </c>
      <c r="AJ356" s="1127">
        <v>1</v>
      </c>
      <c r="AK356" s="1129">
        <v>4261.3369142857146</v>
      </c>
      <c r="AL356" s="1129">
        <v>0</v>
      </c>
      <c r="AM356" s="1129">
        <v>0</v>
      </c>
      <c r="AN356" s="1129">
        <v>4261.3369142857146</v>
      </c>
      <c r="AO356" s="1129" t="s">
        <v>85</v>
      </c>
      <c r="AP356" s="1129" t="s">
        <v>96</v>
      </c>
      <c r="AQ356" s="1157">
        <v>2014</v>
      </c>
      <c r="AR356" s="1129" t="s">
        <v>87</v>
      </c>
      <c r="AS356" s="1127">
        <v>0.33333333333333331</v>
      </c>
      <c r="AT356" s="1127"/>
      <c r="AU356" s="1127">
        <v>0.33333333333333331</v>
      </c>
      <c r="AV356" s="1127"/>
      <c r="AW356" s="1127"/>
      <c r="AX356" s="1127"/>
      <c r="AY356" s="1127"/>
      <c r="AZ356" s="1127">
        <v>0.33333333333333331</v>
      </c>
      <c r="BA356" s="1129">
        <v>1420.4456380952381</v>
      </c>
      <c r="BB356" s="1129">
        <v>0</v>
      </c>
      <c r="BC356" s="1129">
        <v>1420.4456380952381</v>
      </c>
      <c r="BD356" s="1129">
        <v>0</v>
      </c>
      <c r="BE356" s="1129">
        <v>0</v>
      </c>
      <c r="BF356" s="1129">
        <v>0</v>
      </c>
      <c r="BG356" s="1129">
        <v>0</v>
      </c>
      <c r="BH356" s="1129">
        <v>1420.4456380952381</v>
      </c>
      <c r="BI356" s="1981"/>
      <c r="BJ356" s="971"/>
      <c r="BK356" s="971"/>
      <c r="BL356" s="1246"/>
      <c r="BM356" s="1247" t="s">
        <v>2123</v>
      </c>
    </row>
    <row r="357" spans="1:65" s="1247" customFormat="1" ht="66" customHeight="1">
      <c r="A357" s="1272">
        <v>7000</v>
      </c>
      <c r="B357" s="971" t="s">
        <v>2420</v>
      </c>
      <c r="C357" s="1272">
        <v>7400</v>
      </c>
      <c r="D357" s="971" t="s">
        <v>1316</v>
      </c>
      <c r="E357" s="1272">
        <v>7440</v>
      </c>
      <c r="F357" s="971" t="s">
        <v>3600</v>
      </c>
      <c r="G357" s="971">
        <v>7444</v>
      </c>
      <c r="H357" s="971" t="s">
        <v>3603</v>
      </c>
      <c r="I357" s="1273" t="s">
        <v>7720</v>
      </c>
      <c r="J357" s="971" t="s">
        <v>2212</v>
      </c>
      <c r="K357" s="971" t="s">
        <v>2123</v>
      </c>
      <c r="L357" s="971" t="s">
        <v>2124</v>
      </c>
      <c r="M357" s="971" t="s">
        <v>2123</v>
      </c>
      <c r="N357" s="971" t="s">
        <v>179</v>
      </c>
      <c r="O357" s="971" t="s">
        <v>2124</v>
      </c>
      <c r="P357" s="971" t="s">
        <v>6600</v>
      </c>
      <c r="Q357" s="971" t="s">
        <v>7717</v>
      </c>
      <c r="R357" s="971" t="s">
        <v>5564</v>
      </c>
      <c r="S357" s="1274">
        <v>1</v>
      </c>
      <c r="T357" s="971" t="s">
        <v>242</v>
      </c>
      <c r="U357" s="1275">
        <v>19.2</v>
      </c>
      <c r="V357" s="1275">
        <v>213</v>
      </c>
      <c r="W357" s="1275">
        <v>1918.3369142857146</v>
      </c>
      <c r="X357" s="1275">
        <v>2130</v>
      </c>
      <c r="Y357" s="1275">
        <v>4261.3369142857146</v>
      </c>
      <c r="Z357" s="1129">
        <v>19.2</v>
      </c>
      <c r="AA357" s="1129">
        <v>213</v>
      </c>
      <c r="AB357" s="1129">
        <v>1918.3369142857146</v>
      </c>
      <c r="AC357" s="1129">
        <v>2130</v>
      </c>
      <c r="AD357" s="1098">
        <v>4261.3369142857146</v>
      </c>
      <c r="AE357" s="1135">
        <v>1</v>
      </c>
      <c r="AF357" s="1129">
        <v>1</v>
      </c>
      <c r="AG357" s="1127">
        <v>1</v>
      </c>
      <c r="AH357" s="1127">
        <v>0</v>
      </c>
      <c r="AI357" s="1127">
        <v>0</v>
      </c>
      <c r="AJ357" s="1127">
        <v>1</v>
      </c>
      <c r="AK357" s="1129">
        <v>4261.3369142857146</v>
      </c>
      <c r="AL357" s="1129">
        <v>0</v>
      </c>
      <c r="AM357" s="1129">
        <v>0</v>
      </c>
      <c r="AN357" s="1129">
        <v>4261.3369142857146</v>
      </c>
      <c r="AO357" s="1129" t="s">
        <v>85</v>
      </c>
      <c r="AP357" s="1129" t="s">
        <v>96</v>
      </c>
      <c r="AQ357" s="1157">
        <v>2014</v>
      </c>
      <c r="AR357" s="1129" t="s">
        <v>87</v>
      </c>
      <c r="AS357" s="1127">
        <v>0.33333333333333331</v>
      </c>
      <c r="AT357" s="1127"/>
      <c r="AU357" s="1127">
        <v>0.33333333333333331</v>
      </c>
      <c r="AV357" s="1127"/>
      <c r="AW357" s="1127"/>
      <c r="AX357" s="1127"/>
      <c r="AY357" s="1127"/>
      <c r="AZ357" s="1127">
        <v>0.33333333333333331</v>
      </c>
      <c r="BA357" s="1129">
        <v>1420.4456380952381</v>
      </c>
      <c r="BB357" s="1129">
        <v>0</v>
      </c>
      <c r="BC357" s="1129">
        <v>1420.4456380952381</v>
      </c>
      <c r="BD357" s="1129">
        <v>0</v>
      </c>
      <c r="BE357" s="1129">
        <v>0</v>
      </c>
      <c r="BF357" s="1129">
        <v>0</v>
      </c>
      <c r="BG357" s="1129">
        <v>0</v>
      </c>
      <c r="BH357" s="1129">
        <v>1420.4456380952381</v>
      </c>
      <c r="BI357" s="1981"/>
      <c r="BJ357" s="971"/>
      <c r="BK357" s="971"/>
      <c r="BL357" s="1246"/>
      <c r="BM357" s="1247" t="s">
        <v>2123</v>
      </c>
    </row>
    <row r="358" spans="1:65" s="1247" customFormat="1" ht="66" customHeight="1">
      <c r="A358" s="1272">
        <v>7000</v>
      </c>
      <c r="B358" s="971" t="s">
        <v>2420</v>
      </c>
      <c r="C358" s="1272">
        <v>7400</v>
      </c>
      <c r="D358" s="971" t="s">
        <v>1316</v>
      </c>
      <c r="E358" s="1272">
        <v>7440</v>
      </c>
      <c r="F358" s="971" t="s">
        <v>3600</v>
      </c>
      <c r="G358" s="971">
        <v>7444</v>
      </c>
      <c r="H358" s="971" t="s">
        <v>3603</v>
      </c>
      <c r="I358" s="1273" t="s">
        <v>7721</v>
      </c>
      <c r="J358" s="971" t="s">
        <v>2212</v>
      </c>
      <c r="K358" s="971" t="s">
        <v>2123</v>
      </c>
      <c r="L358" s="971" t="s">
        <v>2124</v>
      </c>
      <c r="M358" s="971" t="s">
        <v>2123</v>
      </c>
      <c r="N358" s="971" t="s">
        <v>179</v>
      </c>
      <c r="O358" s="971" t="s">
        <v>2124</v>
      </c>
      <c r="P358" s="971" t="s">
        <v>6600</v>
      </c>
      <c r="Q358" s="971" t="s">
        <v>7722</v>
      </c>
      <c r="R358" s="971" t="s">
        <v>5565</v>
      </c>
      <c r="S358" s="1274">
        <v>1</v>
      </c>
      <c r="T358" s="971" t="s">
        <v>242</v>
      </c>
      <c r="U358" s="1275">
        <v>19.2</v>
      </c>
      <c r="V358" s="1275">
        <v>213</v>
      </c>
      <c r="W358" s="1275">
        <v>1918.3369142857146</v>
      </c>
      <c r="X358" s="1275">
        <v>2130</v>
      </c>
      <c r="Y358" s="1275">
        <v>4261.3369142857146</v>
      </c>
      <c r="Z358" s="1129">
        <v>19.2</v>
      </c>
      <c r="AA358" s="1129">
        <v>213</v>
      </c>
      <c r="AB358" s="1129">
        <v>1918.3369142857146</v>
      </c>
      <c r="AC358" s="1129">
        <v>2130</v>
      </c>
      <c r="AD358" s="1098">
        <v>4261.3369142857146</v>
      </c>
      <c r="AE358" s="1135">
        <v>1</v>
      </c>
      <c r="AF358" s="1129">
        <v>1</v>
      </c>
      <c r="AG358" s="1127">
        <v>1</v>
      </c>
      <c r="AH358" s="1127">
        <v>0</v>
      </c>
      <c r="AI358" s="1127">
        <v>0</v>
      </c>
      <c r="AJ358" s="1127">
        <v>1</v>
      </c>
      <c r="AK358" s="1129">
        <v>4261.3369142857146</v>
      </c>
      <c r="AL358" s="1129">
        <v>0</v>
      </c>
      <c r="AM358" s="1129">
        <v>0</v>
      </c>
      <c r="AN358" s="1129">
        <v>4261.3369142857146</v>
      </c>
      <c r="AO358" s="1129" t="s">
        <v>85</v>
      </c>
      <c r="AP358" s="1129" t="s">
        <v>96</v>
      </c>
      <c r="AQ358" s="1157">
        <v>2014</v>
      </c>
      <c r="AR358" s="1129" t="s">
        <v>87</v>
      </c>
      <c r="AS358" s="1127">
        <v>0.33333333333333331</v>
      </c>
      <c r="AT358" s="1127"/>
      <c r="AU358" s="1127">
        <v>0.33333333333333331</v>
      </c>
      <c r="AV358" s="1127"/>
      <c r="AW358" s="1127"/>
      <c r="AX358" s="1127"/>
      <c r="AY358" s="1127"/>
      <c r="AZ358" s="1127">
        <v>0.33333333333333331</v>
      </c>
      <c r="BA358" s="1129">
        <v>1420.4456380952381</v>
      </c>
      <c r="BB358" s="1129">
        <v>0</v>
      </c>
      <c r="BC358" s="1129">
        <v>1420.4456380952381</v>
      </c>
      <c r="BD358" s="1129">
        <v>0</v>
      </c>
      <c r="BE358" s="1129">
        <v>0</v>
      </c>
      <c r="BF358" s="1129">
        <v>0</v>
      </c>
      <c r="BG358" s="1129">
        <v>0</v>
      </c>
      <c r="BH358" s="1129">
        <v>1420.4456380952381</v>
      </c>
      <c r="BI358" s="1981"/>
      <c r="BJ358" s="971"/>
      <c r="BK358" s="971"/>
      <c r="BL358" s="1246"/>
      <c r="BM358" s="1247" t="s">
        <v>2123</v>
      </c>
    </row>
    <row r="359" spans="1:65" s="1247" customFormat="1" ht="66" customHeight="1">
      <c r="A359" s="1272">
        <v>7000</v>
      </c>
      <c r="B359" s="971" t="s">
        <v>2420</v>
      </c>
      <c r="C359" s="1272">
        <v>7400</v>
      </c>
      <c r="D359" s="971" t="s">
        <v>1316</v>
      </c>
      <c r="E359" s="1272">
        <v>7440</v>
      </c>
      <c r="F359" s="971" t="s">
        <v>3600</v>
      </c>
      <c r="G359" s="971">
        <v>7444</v>
      </c>
      <c r="H359" s="971" t="s">
        <v>3603</v>
      </c>
      <c r="I359" s="1273" t="s">
        <v>7723</v>
      </c>
      <c r="J359" s="971" t="s">
        <v>2212</v>
      </c>
      <c r="K359" s="971" t="s">
        <v>2123</v>
      </c>
      <c r="L359" s="971" t="s">
        <v>2124</v>
      </c>
      <c r="M359" s="971" t="s">
        <v>2123</v>
      </c>
      <c r="N359" s="971" t="s">
        <v>179</v>
      </c>
      <c r="O359" s="971" t="s">
        <v>2124</v>
      </c>
      <c r="P359" s="971" t="s">
        <v>6600</v>
      </c>
      <c r="Q359" s="971" t="s">
        <v>7722</v>
      </c>
      <c r="R359" s="971" t="s">
        <v>5567</v>
      </c>
      <c r="S359" s="1274">
        <v>1</v>
      </c>
      <c r="T359" s="971" t="s">
        <v>242</v>
      </c>
      <c r="U359" s="1275">
        <v>19.2</v>
      </c>
      <c r="V359" s="1275">
        <v>213</v>
      </c>
      <c r="W359" s="1275">
        <v>1918.3369142857146</v>
      </c>
      <c r="X359" s="1275">
        <v>2130</v>
      </c>
      <c r="Y359" s="1275">
        <v>4261.3369142857146</v>
      </c>
      <c r="Z359" s="1129">
        <v>19.2</v>
      </c>
      <c r="AA359" s="1129">
        <v>213</v>
      </c>
      <c r="AB359" s="1129">
        <v>1918.3369142857146</v>
      </c>
      <c r="AC359" s="1129">
        <v>2130</v>
      </c>
      <c r="AD359" s="1098">
        <v>4261.3369142857146</v>
      </c>
      <c r="AE359" s="1135">
        <v>1</v>
      </c>
      <c r="AF359" s="1129">
        <v>1</v>
      </c>
      <c r="AG359" s="1127">
        <v>1</v>
      </c>
      <c r="AH359" s="1127">
        <v>0</v>
      </c>
      <c r="AI359" s="1127">
        <v>0</v>
      </c>
      <c r="AJ359" s="1127">
        <v>1</v>
      </c>
      <c r="AK359" s="1129">
        <v>4261.3369142857146</v>
      </c>
      <c r="AL359" s="1129">
        <v>0</v>
      </c>
      <c r="AM359" s="1129">
        <v>0</v>
      </c>
      <c r="AN359" s="1129">
        <v>4261.3369142857146</v>
      </c>
      <c r="AO359" s="1129" t="s">
        <v>85</v>
      </c>
      <c r="AP359" s="1129" t="s">
        <v>96</v>
      </c>
      <c r="AQ359" s="1157">
        <v>2014</v>
      </c>
      <c r="AR359" s="1129" t="s">
        <v>87</v>
      </c>
      <c r="AS359" s="1127">
        <v>0.33333333333333331</v>
      </c>
      <c r="AT359" s="1127"/>
      <c r="AU359" s="1127">
        <v>0.33333333333333331</v>
      </c>
      <c r="AV359" s="1127"/>
      <c r="AW359" s="1127"/>
      <c r="AX359" s="1127"/>
      <c r="AY359" s="1127"/>
      <c r="AZ359" s="1127">
        <v>0.33333333333333331</v>
      </c>
      <c r="BA359" s="1129">
        <v>1420.4456380952381</v>
      </c>
      <c r="BB359" s="1129">
        <v>0</v>
      </c>
      <c r="BC359" s="1129">
        <v>1420.4456380952381</v>
      </c>
      <c r="BD359" s="1129">
        <v>0</v>
      </c>
      <c r="BE359" s="1129">
        <v>0</v>
      </c>
      <c r="BF359" s="1129">
        <v>0</v>
      </c>
      <c r="BG359" s="1129">
        <v>0</v>
      </c>
      <c r="BH359" s="1129">
        <v>1420.4456380952381</v>
      </c>
      <c r="BI359" s="1981"/>
      <c r="BJ359" s="971"/>
      <c r="BK359" s="971"/>
      <c r="BL359" s="1246"/>
      <c r="BM359" s="1247" t="s">
        <v>2123</v>
      </c>
    </row>
    <row r="360" spans="1:65" s="1247" customFormat="1" ht="66" customHeight="1">
      <c r="A360" s="1272">
        <v>7000</v>
      </c>
      <c r="B360" s="971" t="s">
        <v>2420</v>
      </c>
      <c r="C360" s="1272">
        <v>7400</v>
      </c>
      <c r="D360" s="971" t="s">
        <v>1316</v>
      </c>
      <c r="E360" s="1272">
        <v>7440</v>
      </c>
      <c r="F360" s="971" t="s">
        <v>3600</v>
      </c>
      <c r="G360" s="971">
        <v>7444</v>
      </c>
      <c r="H360" s="971" t="s">
        <v>3603</v>
      </c>
      <c r="I360" s="1273" t="s">
        <v>7724</v>
      </c>
      <c r="J360" s="971" t="s">
        <v>2212</v>
      </c>
      <c r="K360" s="971" t="s">
        <v>2123</v>
      </c>
      <c r="L360" s="971" t="s">
        <v>2124</v>
      </c>
      <c r="M360" s="971" t="s">
        <v>2123</v>
      </c>
      <c r="N360" s="971" t="s">
        <v>179</v>
      </c>
      <c r="O360" s="971" t="s">
        <v>2124</v>
      </c>
      <c r="P360" s="971" t="s">
        <v>6600</v>
      </c>
      <c r="Q360" s="971" t="s">
        <v>7722</v>
      </c>
      <c r="R360" s="971" t="s">
        <v>5568</v>
      </c>
      <c r="S360" s="1274">
        <v>1</v>
      </c>
      <c r="T360" s="971" t="s">
        <v>242</v>
      </c>
      <c r="U360" s="1275">
        <v>19.2</v>
      </c>
      <c r="V360" s="1275">
        <v>213</v>
      </c>
      <c r="W360" s="1275">
        <v>1918.3369142857146</v>
      </c>
      <c r="X360" s="1275">
        <v>2130</v>
      </c>
      <c r="Y360" s="1275">
        <v>4261.3369142857146</v>
      </c>
      <c r="Z360" s="1129">
        <v>19.2</v>
      </c>
      <c r="AA360" s="1129">
        <v>213</v>
      </c>
      <c r="AB360" s="1129">
        <v>1918.3369142857146</v>
      </c>
      <c r="AC360" s="1129">
        <v>2130</v>
      </c>
      <c r="AD360" s="1098">
        <v>4261.3369142857146</v>
      </c>
      <c r="AE360" s="1135">
        <v>1</v>
      </c>
      <c r="AF360" s="1129">
        <v>1</v>
      </c>
      <c r="AG360" s="1127">
        <v>1</v>
      </c>
      <c r="AH360" s="1127">
        <v>0</v>
      </c>
      <c r="AI360" s="1127">
        <v>0</v>
      </c>
      <c r="AJ360" s="1127">
        <v>1</v>
      </c>
      <c r="AK360" s="1129">
        <v>4261.3369142857146</v>
      </c>
      <c r="AL360" s="1129">
        <v>0</v>
      </c>
      <c r="AM360" s="1129">
        <v>0</v>
      </c>
      <c r="AN360" s="1129">
        <v>4261.3369142857146</v>
      </c>
      <c r="AO360" s="1129" t="s">
        <v>85</v>
      </c>
      <c r="AP360" s="1129" t="s">
        <v>96</v>
      </c>
      <c r="AQ360" s="1157">
        <v>2014</v>
      </c>
      <c r="AR360" s="1129" t="s">
        <v>87</v>
      </c>
      <c r="AS360" s="1127">
        <v>0.33333333333333331</v>
      </c>
      <c r="AT360" s="1127"/>
      <c r="AU360" s="1127">
        <v>0.33333333333333331</v>
      </c>
      <c r="AV360" s="1127"/>
      <c r="AW360" s="1127"/>
      <c r="AX360" s="1127"/>
      <c r="AY360" s="1127"/>
      <c r="AZ360" s="1127">
        <v>0.33333333333333331</v>
      </c>
      <c r="BA360" s="1129">
        <v>1420.4456380952381</v>
      </c>
      <c r="BB360" s="1129">
        <v>0</v>
      </c>
      <c r="BC360" s="1129">
        <v>1420.4456380952381</v>
      </c>
      <c r="BD360" s="1129">
        <v>0</v>
      </c>
      <c r="BE360" s="1129">
        <v>0</v>
      </c>
      <c r="BF360" s="1129">
        <v>0</v>
      </c>
      <c r="BG360" s="1129">
        <v>0</v>
      </c>
      <c r="BH360" s="1129">
        <v>1420.4456380952381</v>
      </c>
      <c r="BI360" s="1981"/>
      <c r="BJ360" s="971"/>
      <c r="BK360" s="971"/>
      <c r="BL360" s="1246"/>
      <c r="BM360" s="1247" t="s">
        <v>2123</v>
      </c>
    </row>
    <row r="361" spans="1:65" s="1247" customFormat="1" ht="66" customHeight="1">
      <c r="A361" s="1272">
        <v>7000</v>
      </c>
      <c r="B361" s="971" t="s">
        <v>2420</v>
      </c>
      <c r="C361" s="1272">
        <v>7400</v>
      </c>
      <c r="D361" s="971" t="s">
        <v>1316</v>
      </c>
      <c r="E361" s="1272">
        <v>7440</v>
      </c>
      <c r="F361" s="971" t="s">
        <v>3600</v>
      </c>
      <c r="G361" s="971">
        <v>7444</v>
      </c>
      <c r="H361" s="971" t="s">
        <v>3603</v>
      </c>
      <c r="I361" s="1273" t="s">
        <v>7725</v>
      </c>
      <c r="J361" s="971" t="s">
        <v>2212</v>
      </c>
      <c r="K361" s="971" t="s">
        <v>2123</v>
      </c>
      <c r="L361" s="971" t="s">
        <v>2124</v>
      </c>
      <c r="M361" s="971" t="s">
        <v>2123</v>
      </c>
      <c r="N361" s="971" t="s">
        <v>179</v>
      </c>
      <c r="O361" s="971" t="s">
        <v>2124</v>
      </c>
      <c r="P361" s="971" t="s">
        <v>6600</v>
      </c>
      <c r="Q361" s="971" t="s">
        <v>7726</v>
      </c>
      <c r="R361" s="971" t="s">
        <v>5569</v>
      </c>
      <c r="S361" s="1274">
        <v>1</v>
      </c>
      <c r="T361" s="971" t="s">
        <v>242</v>
      </c>
      <c r="U361" s="1275">
        <v>19.2</v>
      </c>
      <c r="V361" s="1275">
        <v>213</v>
      </c>
      <c r="W361" s="1275">
        <v>1918.3369142857146</v>
      </c>
      <c r="X361" s="1275">
        <v>2130</v>
      </c>
      <c r="Y361" s="1275">
        <v>4261.3369142857146</v>
      </c>
      <c r="Z361" s="1129">
        <v>19.2</v>
      </c>
      <c r="AA361" s="1129">
        <v>213</v>
      </c>
      <c r="AB361" s="1129">
        <v>1918.3369142857146</v>
      </c>
      <c r="AC361" s="1129">
        <v>2130</v>
      </c>
      <c r="AD361" s="1098">
        <v>4261.3369142857146</v>
      </c>
      <c r="AE361" s="1135">
        <v>1</v>
      </c>
      <c r="AF361" s="1129">
        <v>1</v>
      </c>
      <c r="AG361" s="1127">
        <v>1</v>
      </c>
      <c r="AH361" s="1127">
        <v>0</v>
      </c>
      <c r="AI361" s="1127">
        <v>0</v>
      </c>
      <c r="AJ361" s="1127">
        <v>1</v>
      </c>
      <c r="AK361" s="1129">
        <v>4261.3369142857146</v>
      </c>
      <c r="AL361" s="1129">
        <v>0</v>
      </c>
      <c r="AM361" s="1129">
        <v>0</v>
      </c>
      <c r="AN361" s="1129">
        <v>4261.3369142857146</v>
      </c>
      <c r="AO361" s="1129" t="s">
        <v>85</v>
      </c>
      <c r="AP361" s="1129" t="s">
        <v>96</v>
      </c>
      <c r="AQ361" s="1157">
        <v>2014</v>
      </c>
      <c r="AR361" s="1129" t="s">
        <v>87</v>
      </c>
      <c r="AS361" s="1127">
        <v>0.33333333333333331</v>
      </c>
      <c r="AT361" s="1127"/>
      <c r="AU361" s="1127">
        <v>0.33333333333333331</v>
      </c>
      <c r="AV361" s="1127"/>
      <c r="AW361" s="1127"/>
      <c r="AX361" s="1127"/>
      <c r="AY361" s="1127"/>
      <c r="AZ361" s="1127">
        <v>0.33333333333333331</v>
      </c>
      <c r="BA361" s="1129">
        <v>1420.4456380952381</v>
      </c>
      <c r="BB361" s="1129">
        <v>0</v>
      </c>
      <c r="BC361" s="1129">
        <v>1420.4456380952381</v>
      </c>
      <c r="BD361" s="1129">
        <v>0</v>
      </c>
      <c r="BE361" s="1129">
        <v>0</v>
      </c>
      <c r="BF361" s="1129">
        <v>0</v>
      </c>
      <c r="BG361" s="1129">
        <v>0</v>
      </c>
      <c r="BH361" s="1129">
        <v>1420.4456380952381</v>
      </c>
      <c r="BI361" s="1981"/>
      <c r="BJ361" s="971"/>
      <c r="BK361" s="971"/>
      <c r="BL361" s="1246"/>
      <c r="BM361" s="1247" t="s">
        <v>2123</v>
      </c>
    </row>
    <row r="362" spans="1:65" s="1247" customFormat="1" ht="66" customHeight="1">
      <c r="A362" s="1272">
        <v>7000</v>
      </c>
      <c r="B362" s="971" t="s">
        <v>2420</v>
      </c>
      <c r="C362" s="1272">
        <v>7400</v>
      </c>
      <c r="D362" s="971" t="s">
        <v>1316</v>
      </c>
      <c r="E362" s="1272">
        <v>7440</v>
      </c>
      <c r="F362" s="971" t="s">
        <v>3600</v>
      </c>
      <c r="G362" s="971">
        <v>7444</v>
      </c>
      <c r="H362" s="971" t="s">
        <v>3603</v>
      </c>
      <c r="I362" s="1273" t="s">
        <v>7727</v>
      </c>
      <c r="J362" s="971" t="s">
        <v>2212</v>
      </c>
      <c r="K362" s="971" t="s">
        <v>2123</v>
      </c>
      <c r="L362" s="971" t="s">
        <v>2124</v>
      </c>
      <c r="M362" s="971" t="s">
        <v>2123</v>
      </c>
      <c r="N362" s="971" t="s">
        <v>179</v>
      </c>
      <c r="O362" s="971" t="s">
        <v>2124</v>
      </c>
      <c r="P362" s="971" t="s">
        <v>6600</v>
      </c>
      <c r="Q362" s="971" t="s">
        <v>7726</v>
      </c>
      <c r="R362" s="971" t="s">
        <v>5571</v>
      </c>
      <c r="S362" s="1274">
        <v>1</v>
      </c>
      <c r="T362" s="971" t="s">
        <v>242</v>
      </c>
      <c r="U362" s="1275">
        <v>19.2</v>
      </c>
      <c r="V362" s="1275">
        <v>213</v>
      </c>
      <c r="W362" s="1275">
        <v>1918.3369142857146</v>
      </c>
      <c r="X362" s="1275">
        <v>2130</v>
      </c>
      <c r="Y362" s="1275">
        <v>4261.3369142857146</v>
      </c>
      <c r="Z362" s="1129">
        <v>19.2</v>
      </c>
      <c r="AA362" s="1129">
        <v>213</v>
      </c>
      <c r="AB362" s="1129">
        <v>1918.3369142857146</v>
      </c>
      <c r="AC362" s="1129">
        <v>2130</v>
      </c>
      <c r="AD362" s="1098">
        <v>4261.3369142857146</v>
      </c>
      <c r="AE362" s="1135">
        <v>1</v>
      </c>
      <c r="AF362" s="1129">
        <v>1</v>
      </c>
      <c r="AG362" s="1127">
        <v>1</v>
      </c>
      <c r="AH362" s="1127">
        <v>0</v>
      </c>
      <c r="AI362" s="1127">
        <v>0</v>
      </c>
      <c r="AJ362" s="1127">
        <v>1</v>
      </c>
      <c r="AK362" s="1129">
        <v>4261.3369142857146</v>
      </c>
      <c r="AL362" s="1129">
        <v>0</v>
      </c>
      <c r="AM362" s="1129">
        <v>0</v>
      </c>
      <c r="AN362" s="1129">
        <v>4261.3369142857146</v>
      </c>
      <c r="AO362" s="1129" t="s">
        <v>85</v>
      </c>
      <c r="AP362" s="1129" t="s">
        <v>96</v>
      </c>
      <c r="AQ362" s="1157">
        <v>2014</v>
      </c>
      <c r="AR362" s="1129" t="s">
        <v>87</v>
      </c>
      <c r="AS362" s="1127">
        <v>0.33333333333333331</v>
      </c>
      <c r="AT362" s="1127"/>
      <c r="AU362" s="1127">
        <v>0.33333333333333331</v>
      </c>
      <c r="AV362" s="1127"/>
      <c r="AW362" s="1127"/>
      <c r="AX362" s="1127"/>
      <c r="AY362" s="1127"/>
      <c r="AZ362" s="1127">
        <v>0.33333333333333331</v>
      </c>
      <c r="BA362" s="1129">
        <v>1420.4456380952381</v>
      </c>
      <c r="BB362" s="1129">
        <v>0</v>
      </c>
      <c r="BC362" s="1129">
        <v>1420.4456380952381</v>
      </c>
      <c r="BD362" s="1129">
        <v>0</v>
      </c>
      <c r="BE362" s="1129">
        <v>0</v>
      </c>
      <c r="BF362" s="1129">
        <v>0</v>
      </c>
      <c r="BG362" s="1129">
        <v>0</v>
      </c>
      <c r="BH362" s="1129">
        <v>1420.4456380952381</v>
      </c>
      <c r="BI362" s="1981"/>
      <c r="BJ362" s="971"/>
      <c r="BK362" s="971"/>
      <c r="BL362" s="1246"/>
      <c r="BM362" s="1247" t="s">
        <v>2123</v>
      </c>
    </row>
    <row r="368" spans="1:65">
      <c r="AF368" t="s">
        <v>6616</v>
      </c>
      <c r="AH368" t="s">
        <v>6617</v>
      </c>
    </row>
    <row r="369" spans="16:34">
      <c r="AD369" s="901">
        <f>SUM(AD5:AD362)</f>
        <v>2347411.4057333213</v>
      </c>
      <c r="AE369" s="901"/>
      <c r="AF369" s="901">
        <f>SUM(AF5:AF362)</f>
        <v>2183.5</v>
      </c>
      <c r="AH369" s="901">
        <f>AF369/6</f>
        <v>363.91666666666669</v>
      </c>
    </row>
    <row r="372" spans="16:34">
      <c r="AF372" s="1126">
        <f>AF369*44.3687478668719/6</f>
        <v>16146.526827885798</v>
      </c>
      <c r="AH372" s="1126">
        <f>AH369*44.3687478668719</f>
        <v>16146.5268278858</v>
      </c>
    </row>
    <row r="376" spans="16:34">
      <c r="AD376" s="1126">
        <f>AD369+AF372</f>
        <v>2363557.9325612071</v>
      </c>
    </row>
    <row r="377" spans="16:34">
      <c r="P377" s="1081"/>
    </row>
  </sheetData>
  <autoFilter ref="A4:BM362" xr:uid="{00000000-0009-0000-0000-00002A000000}"/>
  <pageMargins left="0.7" right="0.7" top="0.75" bottom="0.75" header="0.3" footer="0.3"/>
  <pageSetup paperSize="119" scale="3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O15"/>
  <sheetViews>
    <sheetView zoomScale="55" zoomScaleNormal="55" workbookViewId="0">
      <pane ySplit="1" topLeftCell="A2" activePane="bottomLeft" state="frozen"/>
      <selection activeCell="G3" sqref="G3"/>
      <selection pane="bottomLeft" activeCell="G3" sqref="G3"/>
    </sheetView>
  </sheetViews>
  <sheetFormatPr defaultColWidth="9.1796875" defaultRowHeight="14.5"/>
  <cols>
    <col min="1" max="1" width="7.54296875" customWidth="1"/>
    <col min="2" max="2" width="20.7265625" customWidth="1"/>
    <col min="3" max="3" width="7.54296875" customWidth="1"/>
    <col min="4" max="4" width="20.7265625" customWidth="1"/>
    <col min="5" max="5" width="7.54296875" customWidth="1"/>
    <col min="6" max="6" width="20.7265625" customWidth="1"/>
    <col min="7" max="7" width="7.54296875" customWidth="1"/>
    <col min="8" max="8" width="20.7265625" customWidth="1"/>
    <col min="9" max="11" width="7.54296875" customWidth="1"/>
    <col min="12" max="12" width="20.7265625" customWidth="1"/>
    <col min="13" max="15" width="14.54296875" customWidth="1"/>
    <col min="16" max="16" width="20.7265625" customWidth="1"/>
    <col min="17" max="17" width="42.453125" customWidth="1"/>
    <col min="18" max="18" width="18.1796875" customWidth="1"/>
    <col min="19" max="19" width="13" customWidth="1"/>
    <col min="20" max="20" width="5.54296875" customWidth="1"/>
    <col min="21" max="22" width="8.1796875" customWidth="1"/>
    <col min="23" max="23" width="6.7265625" customWidth="1"/>
    <col min="24" max="24" width="14.1796875" customWidth="1"/>
    <col min="25" max="25" width="11.81640625" customWidth="1"/>
    <col min="26" max="27" width="8.1796875" customWidth="1"/>
    <col min="28" max="29" width="10.453125" customWidth="1"/>
    <col min="30" max="30" width="16.54296875" customWidth="1"/>
    <col min="31" max="31" width="6.7265625" customWidth="1"/>
    <col min="32" max="32" width="12.7265625" customWidth="1"/>
    <col min="33" max="33" width="7.54296875" customWidth="1"/>
    <col min="34" max="36" width="8.1796875" customWidth="1"/>
    <col min="37" max="37" width="11" customWidth="1"/>
    <col min="38" max="39" width="8.1796875" customWidth="1"/>
    <col min="40" max="40" width="11" customWidth="1"/>
    <col min="41" max="41" width="15" customWidth="1"/>
    <col min="42" max="42" width="15.1796875" customWidth="1"/>
    <col min="43" max="43" width="9.54296875" customWidth="1"/>
    <col min="44" max="44" width="11.81640625" customWidth="1"/>
    <col min="45" max="47" width="6.7265625" customWidth="1"/>
    <col min="48" max="52" width="5" customWidth="1"/>
    <col min="53" max="55" width="9.81640625" customWidth="1"/>
    <col min="56" max="60" width="8.1796875" customWidth="1"/>
    <col min="61" max="62" width="19" customWidth="1"/>
    <col min="63" max="63" width="35.81640625" customWidth="1"/>
    <col min="64" max="64" width="9.1796875" customWidth="1"/>
    <col min="65" max="65" width="19.453125" customWidth="1"/>
    <col min="67" max="67" width="10.453125" bestFit="1" customWidth="1"/>
    <col min="71" max="71" width="52.54296875" customWidth="1"/>
  </cols>
  <sheetData>
    <row r="1" spans="1:67" s="1137" customFormat="1" ht="141">
      <c r="A1" s="1213" t="s">
        <v>5</v>
      </c>
      <c r="B1" s="1214" t="s">
        <v>6</v>
      </c>
      <c r="C1" s="1215" t="s">
        <v>7</v>
      </c>
      <c r="D1" s="1214" t="s">
        <v>8</v>
      </c>
      <c r="E1" s="1216" t="s">
        <v>9</v>
      </c>
      <c r="F1" s="1214" t="s">
        <v>10</v>
      </c>
      <c r="G1" s="1216" t="s">
        <v>11</v>
      </c>
      <c r="H1" s="1217" t="s">
        <v>12</v>
      </c>
      <c r="I1" s="1218" t="s">
        <v>13</v>
      </c>
      <c r="J1" s="1218" t="s">
        <v>14</v>
      </c>
      <c r="K1" s="1219" t="s">
        <v>15</v>
      </c>
      <c r="L1" s="1242" t="s">
        <v>16</v>
      </c>
      <c r="M1" s="1220" t="s">
        <v>17</v>
      </c>
      <c r="N1" s="1221" t="s">
        <v>18</v>
      </c>
      <c r="O1" s="1222" t="s">
        <v>19</v>
      </c>
      <c r="P1" s="1223" t="s">
        <v>20</v>
      </c>
      <c r="Q1" s="1214" t="s">
        <v>21</v>
      </c>
      <c r="R1" s="1214" t="s">
        <v>22</v>
      </c>
      <c r="S1" s="1224" t="s">
        <v>23</v>
      </c>
      <c r="T1" s="1216" t="s">
        <v>24</v>
      </c>
      <c r="U1" s="1241" t="s">
        <v>25</v>
      </c>
      <c r="V1" s="1241" t="s">
        <v>26</v>
      </c>
      <c r="W1" s="1225" t="s">
        <v>27</v>
      </c>
      <c r="X1" s="1225" t="s">
        <v>28</v>
      </c>
      <c r="Y1" s="1225" t="s">
        <v>29</v>
      </c>
      <c r="Z1" s="1225" t="s">
        <v>30</v>
      </c>
      <c r="AA1" s="1225" t="s">
        <v>31</v>
      </c>
      <c r="AB1" s="1225" t="s">
        <v>32</v>
      </c>
      <c r="AC1" s="1225" t="s">
        <v>33</v>
      </c>
      <c r="AD1" s="1226" t="s">
        <v>34</v>
      </c>
      <c r="AE1" s="1227" t="s">
        <v>35</v>
      </c>
      <c r="AF1" s="1228" t="s">
        <v>36</v>
      </c>
      <c r="AG1" s="1229" t="s">
        <v>37</v>
      </c>
      <c r="AH1" s="1229" t="s">
        <v>38</v>
      </c>
      <c r="AI1" s="1229" t="s">
        <v>39</v>
      </c>
      <c r="AJ1" s="1230" t="s">
        <v>40</v>
      </c>
      <c r="AK1" s="1231" t="s">
        <v>41</v>
      </c>
      <c r="AL1" s="1225" t="s">
        <v>42</v>
      </c>
      <c r="AM1" s="1225" t="s">
        <v>43</v>
      </c>
      <c r="AN1" s="1232" t="s">
        <v>44</v>
      </c>
      <c r="AO1" s="1233" t="s">
        <v>45</v>
      </c>
      <c r="AP1" s="1233" t="s">
        <v>46</v>
      </c>
      <c r="AQ1" s="1234" t="s">
        <v>47</v>
      </c>
      <c r="AR1" s="1233" t="s">
        <v>48</v>
      </c>
      <c r="AS1" s="1229" t="s">
        <v>51</v>
      </c>
      <c r="AT1" s="1229" t="s">
        <v>52</v>
      </c>
      <c r="AU1" s="1229" t="s">
        <v>53</v>
      </c>
      <c r="AV1" s="1229" t="s">
        <v>54</v>
      </c>
      <c r="AW1" s="1229" t="s">
        <v>55</v>
      </c>
      <c r="AX1" s="1229" t="s">
        <v>56</v>
      </c>
      <c r="AY1" s="1229" t="s">
        <v>57</v>
      </c>
      <c r="AZ1" s="1230" t="s">
        <v>58</v>
      </c>
      <c r="BA1" s="1231" t="s">
        <v>64</v>
      </c>
      <c r="BB1" s="1225" t="s">
        <v>65</v>
      </c>
      <c r="BC1" s="1225" t="s">
        <v>66</v>
      </c>
      <c r="BD1" s="1225" t="s">
        <v>67</v>
      </c>
      <c r="BE1" s="1225" t="s">
        <v>68</v>
      </c>
      <c r="BF1" s="1225" t="s">
        <v>69</v>
      </c>
      <c r="BG1" s="1225" t="s">
        <v>70</v>
      </c>
      <c r="BH1" s="1232" t="s">
        <v>71</v>
      </c>
      <c r="BI1" s="1235" t="s">
        <v>75</v>
      </c>
      <c r="BJ1" s="1214" t="s">
        <v>76</v>
      </c>
      <c r="BK1" s="1217" t="s">
        <v>77</v>
      </c>
    </row>
    <row r="2" spans="1:67" s="1247" customFormat="1" ht="49.5">
      <c r="A2" s="1272">
        <v>8000</v>
      </c>
      <c r="B2" s="971" t="s">
        <v>2666</v>
      </c>
      <c r="C2" s="1272">
        <v>8100</v>
      </c>
      <c r="D2" s="971" t="s">
        <v>2666</v>
      </c>
      <c r="E2" s="971">
        <v>8120</v>
      </c>
      <c r="F2" s="971" t="s">
        <v>3636</v>
      </c>
      <c r="G2" s="971">
        <v>8121</v>
      </c>
      <c r="H2" s="971" t="s">
        <v>3225</v>
      </c>
      <c r="I2" s="1273"/>
      <c r="J2" s="1266"/>
      <c r="K2" s="1266"/>
      <c r="L2" s="971" t="s">
        <v>2669</v>
      </c>
      <c r="M2" s="971" t="s">
        <v>2669</v>
      </c>
      <c r="N2" s="971" t="s">
        <v>2669</v>
      </c>
      <c r="O2" s="971" t="s">
        <v>2669</v>
      </c>
      <c r="P2" s="1266"/>
      <c r="Q2" s="971" t="s">
        <v>3225</v>
      </c>
      <c r="R2" s="1133"/>
      <c r="S2" s="1274"/>
      <c r="T2" s="971"/>
      <c r="U2" s="1275"/>
      <c r="V2" s="1275"/>
      <c r="W2" s="1275"/>
      <c r="X2" s="1275"/>
      <c r="Y2" s="1275"/>
      <c r="Z2" s="1129"/>
      <c r="AA2" s="1129"/>
      <c r="AB2" s="1129"/>
      <c r="AC2" s="1129"/>
      <c r="AD2" s="1157">
        <v>150000</v>
      </c>
      <c r="AE2" s="1135">
        <v>0</v>
      </c>
      <c r="AF2" s="1129">
        <v>0</v>
      </c>
      <c r="AG2" s="1131">
        <v>1</v>
      </c>
      <c r="AH2" s="1127">
        <v>0</v>
      </c>
      <c r="AI2" s="1127">
        <v>0</v>
      </c>
      <c r="AJ2" s="1127">
        <v>1</v>
      </c>
      <c r="AK2" s="1129">
        <v>150000</v>
      </c>
      <c r="AL2" s="1129">
        <v>0</v>
      </c>
      <c r="AM2" s="1129">
        <v>0</v>
      </c>
      <c r="AN2" s="1129">
        <v>150000</v>
      </c>
      <c r="AO2" s="1129" t="s">
        <v>85</v>
      </c>
      <c r="AP2" s="1129" t="s">
        <v>96</v>
      </c>
      <c r="AQ2" s="1157">
        <v>2014</v>
      </c>
      <c r="AR2" s="1129" t="s">
        <v>2669</v>
      </c>
      <c r="AS2" s="1129"/>
      <c r="AT2" s="1212"/>
      <c r="AU2" s="1212"/>
      <c r="AV2" s="1212"/>
      <c r="AW2" s="1212">
        <v>0.2</v>
      </c>
      <c r="AX2" s="1212">
        <v>0.2</v>
      </c>
      <c r="AY2" s="1212">
        <v>0.2</v>
      </c>
      <c r="AZ2" s="1212">
        <v>0.2</v>
      </c>
      <c r="BA2" s="1212">
        <v>0.2</v>
      </c>
      <c r="BB2" s="1129">
        <v>0</v>
      </c>
      <c r="BC2" s="1129">
        <v>0</v>
      </c>
      <c r="BD2" s="1129">
        <v>0</v>
      </c>
      <c r="BE2" s="1129">
        <v>0</v>
      </c>
      <c r="BF2" s="1129">
        <v>30000</v>
      </c>
      <c r="BG2" s="1129">
        <v>30000</v>
      </c>
      <c r="BH2" s="1129">
        <v>30000</v>
      </c>
      <c r="BI2" s="1129">
        <v>30000</v>
      </c>
      <c r="BJ2" s="1129">
        <v>30000</v>
      </c>
      <c r="BK2" s="971" t="s">
        <v>3590</v>
      </c>
      <c r="BL2" s="971" t="s">
        <v>2678</v>
      </c>
      <c r="BM2" s="971" t="s">
        <v>2587</v>
      </c>
      <c r="BN2" s="1246"/>
      <c r="BO2" s="1247">
        <v>0</v>
      </c>
    </row>
    <row r="3" spans="1:67" s="1247" customFormat="1" ht="49.5">
      <c r="A3" s="1272">
        <v>8000</v>
      </c>
      <c r="B3" s="971" t="s">
        <v>2666</v>
      </c>
      <c r="C3" s="1272">
        <v>8100</v>
      </c>
      <c r="D3" s="971" t="s">
        <v>2666</v>
      </c>
      <c r="E3" s="971">
        <v>8120</v>
      </c>
      <c r="F3" s="971" t="s">
        <v>3636</v>
      </c>
      <c r="G3" s="971">
        <v>8121</v>
      </c>
      <c r="H3" s="971" t="s">
        <v>3225</v>
      </c>
      <c r="I3" s="1273"/>
      <c r="J3" s="1266"/>
      <c r="K3" s="1266"/>
      <c r="L3" s="1266"/>
      <c r="M3" s="971" t="s">
        <v>2669</v>
      </c>
      <c r="N3" s="971" t="s">
        <v>2669</v>
      </c>
      <c r="O3" s="971" t="s">
        <v>2669</v>
      </c>
      <c r="P3" s="1266"/>
      <c r="Q3" s="971" t="s">
        <v>3225</v>
      </c>
      <c r="R3" s="1133"/>
      <c r="S3" s="1274"/>
      <c r="T3" s="971"/>
      <c r="U3" s="1275"/>
      <c r="V3" s="1275"/>
      <c r="W3" s="1275"/>
      <c r="X3" s="1275"/>
      <c r="Y3" s="1275"/>
      <c r="Z3" s="1129"/>
      <c r="AA3" s="1129"/>
      <c r="AB3" s="1129"/>
      <c r="AC3" s="1129"/>
      <c r="AD3" s="1157">
        <v>0</v>
      </c>
      <c r="AE3" s="1135">
        <v>0</v>
      </c>
      <c r="AF3" s="1129">
        <v>0</v>
      </c>
      <c r="AG3" s="1131">
        <v>1</v>
      </c>
      <c r="AH3" s="1127">
        <v>0</v>
      </c>
      <c r="AI3" s="1127">
        <v>0</v>
      </c>
      <c r="AJ3" s="1127">
        <v>1</v>
      </c>
      <c r="AK3" s="1129">
        <v>0</v>
      </c>
      <c r="AL3" s="1129">
        <v>0</v>
      </c>
      <c r="AM3" s="1129">
        <v>0</v>
      </c>
      <c r="AN3" s="1129">
        <v>0</v>
      </c>
      <c r="AO3" s="1129" t="s">
        <v>85</v>
      </c>
      <c r="AP3" s="1129" t="s">
        <v>96</v>
      </c>
      <c r="AQ3" s="1157">
        <v>2015</v>
      </c>
      <c r="AR3" s="1129" t="s">
        <v>2669</v>
      </c>
      <c r="AS3" s="1129"/>
      <c r="AT3" s="1212"/>
      <c r="AU3" s="1212"/>
      <c r="AV3" s="1212"/>
      <c r="AW3" s="1212">
        <v>0.2</v>
      </c>
      <c r="AX3" s="1212">
        <v>0.2</v>
      </c>
      <c r="AY3" s="1212">
        <v>0.2</v>
      </c>
      <c r="AZ3" s="1212">
        <v>0.2</v>
      </c>
      <c r="BA3" s="1212">
        <v>0.2</v>
      </c>
      <c r="BB3" s="1129">
        <v>0</v>
      </c>
      <c r="BC3" s="1129">
        <v>0</v>
      </c>
      <c r="BD3" s="1129">
        <v>0</v>
      </c>
      <c r="BE3" s="1129">
        <v>0</v>
      </c>
      <c r="BF3" s="1129">
        <v>0</v>
      </c>
      <c r="BG3" s="1129">
        <v>0</v>
      </c>
      <c r="BH3" s="1129">
        <v>0</v>
      </c>
      <c r="BI3" s="1129">
        <v>0</v>
      </c>
      <c r="BJ3" s="1129">
        <v>0</v>
      </c>
      <c r="BK3" s="971" t="s">
        <v>3590</v>
      </c>
      <c r="BL3" s="971" t="s">
        <v>2678</v>
      </c>
      <c r="BM3" s="971" t="s">
        <v>2587</v>
      </c>
      <c r="BN3" s="1246"/>
      <c r="BO3" s="1247">
        <v>0</v>
      </c>
    </row>
    <row r="4" spans="1:67" s="1247" customFormat="1" ht="49.5">
      <c r="A4" s="1272">
        <v>8000</v>
      </c>
      <c r="B4" s="971" t="s">
        <v>2666</v>
      </c>
      <c r="C4" s="1272">
        <v>8100</v>
      </c>
      <c r="D4" s="971" t="s">
        <v>2666</v>
      </c>
      <c r="E4" s="971">
        <v>8120</v>
      </c>
      <c r="F4" s="971" t="s">
        <v>3636</v>
      </c>
      <c r="G4" s="971">
        <v>8121</v>
      </c>
      <c r="H4" s="971" t="s">
        <v>3225</v>
      </c>
      <c r="I4" s="1273"/>
      <c r="J4" s="1266"/>
      <c r="K4" s="1266"/>
      <c r="L4" s="1266"/>
      <c r="M4" s="971" t="s">
        <v>2669</v>
      </c>
      <c r="N4" s="971" t="s">
        <v>2669</v>
      </c>
      <c r="O4" s="971" t="s">
        <v>2669</v>
      </c>
      <c r="P4" s="1266"/>
      <c r="Q4" s="971" t="s">
        <v>3225</v>
      </c>
      <c r="R4" s="1133"/>
      <c r="S4" s="1274"/>
      <c r="T4" s="971"/>
      <c r="U4" s="1275"/>
      <c r="V4" s="1275"/>
      <c r="W4" s="1275"/>
      <c r="X4" s="1275"/>
      <c r="Y4" s="1275"/>
      <c r="Z4" s="1129"/>
      <c r="AA4" s="1129"/>
      <c r="AB4" s="1129"/>
      <c r="AC4" s="1129"/>
      <c r="AD4" s="1157">
        <v>0</v>
      </c>
      <c r="AE4" s="1135">
        <v>0</v>
      </c>
      <c r="AF4" s="1129">
        <v>0</v>
      </c>
      <c r="AG4" s="1131">
        <v>1</v>
      </c>
      <c r="AH4" s="1127">
        <v>0</v>
      </c>
      <c r="AI4" s="1127">
        <v>0</v>
      </c>
      <c r="AJ4" s="1127">
        <v>1</v>
      </c>
      <c r="AK4" s="1129">
        <v>0</v>
      </c>
      <c r="AL4" s="1129">
        <v>0</v>
      </c>
      <c r="AM4" s="1129">
        <v>0</v>
      </c>
      <c r="AN4" s="1129">
        <v>0</v>
      </c>
      <c r="AO4" s="1129" t="s">
        <v>85</v>
      </c>
      <c r="AP4" s="1129" t="s">
        <v>96</v>
      </c>
      <c r="AQ4" s="1157" t="s">
        <v>107</v>
      </c>
      <c r="AR4" s="1129" t="s">
        <v>2669</v>
      </c>
      <c r="AS4" s="1129"/>
      <c r="AT4" s="1212"/>
      <c r="AU4" s="1212"/>
      <c r="AV4" s="1212"/>
      <c r="AW4" s="1212">
        <v>0.2</v>
      </c>
      <c r="AX4" s="1212">
        <v>0.2</v>
      </c>
      <c r="AY4" s="1212">
        <v>0.2</v>
      </c>
      <c r="AZ4" s="1212">
        <v>0.2</v>
      </c>
      <c r="BA4" s="1212">
        <v>0.2</v>
      </c>
      <c r="BB4" s="1129">
        <v>0</v>
      </c>
      <c r="BC4" s="1129">
        <v>0</v>
      </c>
      <c r="BD4" s="1129">
        <v>0</v>
      </c>
      <c r="BE4" s="1129">
        <v>0</v>
      </c>
      <c r="BF4" s="1129">
        <v>0</v>
      </c>
      <c r="BG4" s="1129">
        <v>0</v>
      </c>
      <c r="BH4" s="1129">
        <v>0</v>
      </c>
      <c r="BI4" s="1129">
        <v>0</v>
      </c>
      <c r="BJ4" s="1129">
        <v>0</v>
      </c>
      <c r="BK4" s="971" t="s">
        <v>3590</v>
      </c>
      <c r="BL4" s="971" t="s">
        <v>2678</v>
      </c>
      <c r="BM4" s="971" t="s">
        <v>2587</v>
      </c>
      <c r="BN4" s="1246"/>
      <c r="BO4" s="1247">
        <v>0</v>
      </c>
    </row>
    <row r="5" spans="1:67" s="1247" customFormat="1" ht="49.5">
      <c r="A5" s="1272">
        <v>8000</v>
      </c>
      <c r="B5" s="971" t="s">
        <v>2666</v>
      </c>
      <c r="C5" s="1272">
        <v>8000</v>
      </c>
      <c r="D5" s="971" t="s">
        <v>2666</v>
      </c>
      <c r="E5" s="971">
        <v>8120</v>
      </c>
      <c r="F5" s="971" t="s">
        <v>3636</v>
      </c>
      <c r="G5" s="971" t="s">
        <v>2678</v>
      </c>
      <c r="H5" s="971" t="s">
        <v>3638</v>
      </c>
      <c r="I5" s="1273"/>
      <c r="J5" s="1266"/>
      <c r="K5" s="1266"/>
      <c r="L5" s="971" t="s">
        <v>2669</v>
      </c>
      <c r="M5" s="971" t="s">
        <v>2669</v>
      </c>
      <c r="N5" s="971" t="s">
        <v>2669</v>
      </c>
      <c r="O5" s="971" t="s">
        <v>2669</v>
      </c>
      <c r="P5" s="1266"/>
      <c r="Q5" s="971" t="s">
        <v>3226</v>
      </c>
      <c r="R5" s="1133"/>
      <c r="S5" s="1274"/>
      <c r="T5" s="971"/>
      <c r="U5" s="1275"/>
      <c r="V5" s="1275"/>
      <c r="W5" s="1275"/>
      <c r="X5" s="1275"/>
      <c r="Y5" s="1275"/>
      <c r="Z5" s="1129"/>
      <c r="AA5" s="1129"/>
      <c r="AB5" s="1129"/>
      <c r="AC5" s="1129"/>
      <c r="AD5" s="1157">
        <v>90000</v>
      </c>
      <c r="AE5" s="1135">
        <v>0</v>
      </c>
      <c r="AF5" s="1129">
        <v>0</v>
      </c>
      <c r="AG5" s="1131">
        <v>1</v>
      </c>
      <c r="AH5" s="1127">
        <v>0</v>
      </c>
      <c r="AI5" s="1127">
        <v>0</v>
      </c>
      <c r="AJ5" s="1127">
        <v>1</v>
      </c>
      <c r="AK5" s="1129">
        <v>90000</v>
      </c>
      <c r="AL5" s="1129">
        <v>0</v>
      </c>
      <c r="AM5" s="1129">
        <v>0</v>
      </c>
      <c r="AN5" s="1129">
        <v>90000</v>
      </c>
      <c r="AO5" s="1129" t="s">
        <v>85</v>
      </c>
      <c r="AP5" s="1129" t="s">
        <v>96</v>
      </c>
      <c r="AQ5" s="1157">
        <v>2014</v>
      </c>
      <c r="AR5" s="1129" t="s">
        <v>2669</v>
      </c>
      <c r="AS5" s="1129"/>
      <c r="AT5" s="1212"/>
      <c r="AU5" s="1212"/>
      <c r="AV5" s="1212"/>
      <c r="AW5" s="1212">
        <v>0.2</v>
      </c>
      <c r="AX5" s="1212">
        <v>0.2</v>
      </c>
      <c r="AY5" s="1212">
        <v>0.2</v>
      </c>
      <c r="AZ5" s="1212">
        <v>0.2</v>
      </c>
      <c r="BA5" s="1212">
        <v>0.2</v>
      </c>
      <c r="BB5" s="1129">
        <v>0</v>
      </c>
      <c r="BC5" s="1129">
        <v>0</v>
      </c>
      <c r="BD5" s="1129">
        <v>0</v>
      </c>
      <c r="BE5" s="1129">
        <v>0</v>
      </c>
      <c r="BF5" s="1129">
        <v>18000</v>
      </c>
      <c r="BG5" s="1129">
        <v>18000</v>
      </c>
      <c r="BH5" s="1129">
        <v>18000</v>
      </c>
      <c r="BI5" s="1129">
        <v>18000</v>
      </c>
      <c r="BJ5" s="1129">
        <v>18000</v>
      </c>
      <c r="BK5" s="971" t="s">
        <v>3590</v>
      </c>
      <c r="BL5" s="971" t="s">
        <v>2678</v>
      </c>
      <c r="BM5" s="971" t="s">
        <v>2587</v>
      </c>
      <c r="BN5" s="1246"/>
      <c r="BO5" s="1247">
        <v>0</v>
      </c>
    </row>
    <row r="6" spans="1:67" s="1247" customFormat="1" ht="49.5">
      <c r="A6" s="1272">
        <v>8000</v>
      </c>
      <c r="B6" s="971" t="s">
        <v>2666</v>
      </c>
      <c r="C6" s="1272">
        <v>8000</v>
      </c>
      <c r="D6" s="971" t="s">
        <v>2666</v>
      </c>
      <c r="E6" s="971">
        <v>8120</v>
      </c>
      <c r="F6" s="971" t="s">
        <v>3636</v>
      </c>
      <c r="G6" s="971" t="s">
        <v>2678</v>
      </c>
      <c r="H6" s="971" t="s">
        <v>3638</v>
      </c>
      <c r="I6" s="1273"/>
      <c r="J6" s="1266"/>
      <c r="K6" s="1266"/>
      <c r="L6" s="1266"/>
      <c r="M6" s="971" t="s">
        <v>2669</v>
      </c>
      <c r="N6" s="971" t="s">
        <v>2669</v>
      </c>
      <c r="O6" s="971" t="s">
        <v>2669</v>
      </c>
      <c r="P6" s="1266"/>
      <c r="Q6" s="971" t="s">
        <v>3226</v>
      </c>
      <c r="R6" s="1133"/>
      <c r="S6" s="1274"/>
      <c r="T6" s="971"/>
      <c r="U6" s="1275"/>
      <c r="V6" s="1275"/>
      <c r="W6" s="1275"/>
      <c r="X6" s="1275"/>
      <c r="Y6" s="1275"/>
      <c r="Z6" s="1129"/>
      <c r="AA6" s="1129"/>
      <c r="AB6" s="1129"/>
      <c r="AC6" s="1129"/>
      <c r="AD6" s="1157">
        <v>0</v>
      </c>
      <c r="AE6" s="1135">
        <v>0</v>
      </c>
      <c r="AF6" s="1129">
        <v>0</v>
      </c>
      <c r="AG6" s="1131">
        <v>1</v>
      </c>
      <c r="AH6" s="1127">
        <v>0</v>
      </c>
      <c r="AI6" s="1127">
        <v>0</v>
      </c>
      <c r="AJ6" s="1127">
        <v>1</v>
      </c>
      <c r="AK6" s="1129">
        <v>0</v>
      </c>
      <c r="AL6" s="1129">
        <v>0</v>
      </c>
      <c r="AM6" s="1129">
        <v>0</v>
      </c>
      <c r="AN6" s="1129">
        <v>0</v>
      </c>
      <c r="AO6" s="1129" t="s">
        <v>85</v>
      </c>
      <c r="AP6" s="1129" t="s">
        <v>96</v>
      </c>
      <c r="AQ6" s="1157">
        <v>2015</v>
      </c>
      <c r="AR6" s="1129" t="s">
        <v>2669</v>
      </c>
      <c r="AS6" s="1129"/>
      <c r="AT6" s="1212"/>
      <c r="AU6" s="1212"/>
      <c r="AV6" s="1212"/>
      <c r="AW6" s="1212">
        <v>0.2</v>
      </c>
      <c r="AX6" s="1212">
        <v>0.2</v>
      </c>
      <c r="AY6" s="1212">
        <v>0.2</v>
      </c>
      <c r="AZ6" s="1212">
        <v>0.2</v>
      </c>
      <c r="BA6" s="1212">
        <v>0.2</v>
      </c>
      <c r="BB6" s="1129">
        <v>0</v>
      </c>
      <c r="BC6" s="1129">
        <v>0</v>
      </c>
      <c r="BD6" s="1129">
        <v>0</v>
      </c>
      <c r="BE6" s="1129">
        <v>0</v>
      </c>
      <c r="BF6" s="1129">
        <v>0</v>
      </c>
      <c r="BG6" s="1129">
        <v>0</v>
      </c>
      <c r="BH6" s="1129">
        <v>0</v>
      </c>
      <c r="BI6" s="1129">
        <v>0</v>
      </c>
      <c r="BJ6" s="1129">
        <v>0</v>
      </c>
      <c r="BK6" s="971"/>
      <c r="BL6" s="971" t="s">
        <v>2678</v>
      </c>
      <c r="BM6" s="971" t="s">
        <v>2587</v>
      </c>
      <c r="BN6" s="1246"/>
      <c r="BO6" s="1247">
        <v>0</v>
      </c>
    </row>
    <row r="7" spans="1:67" s="1247" customFormat="1" ht="49.5">
      <c r="A7" s="1272">
        <v>8000</v>
      </c>
      <c r="B7" s="971" t="s">
        <v>2666</v>
      </c>
      <c r="C7" s="1272">
        <v>8000</v>
      </c>
      <c r="D7" s="971" t="s">
        <v>2666</v>
      </c>
      <c r="E7" s="971">
        <v>8120</v>
      </c>
      <c r="F7" s="971" t="s">
        <v>3636</v>
      </c>
      <c r="G7" s="971" t="s">
        <v>2678</v>
      </c>
      <c r="H7" s="971" t="s">
        <v>3638</v>
      </c>
      <c r="I7" s="1273"/>
      <c r="J7" s="1266"/>
      <c r="K7" s="1266"/>
      <c r="L7" s="1266"/>
      <c r="M7" s="971" t="s">
        <v>2669</v>
      </c>
      <c r="N7" s="971" t="s">
        <v>2669</v>
      </c>
      <c r="O7" s="971" t="s">
        <v>2669</v>
      </c>
      <c r="P7" s="1266"/>
      <c r="Q7" s="971" t="s">
        <v>3226</v>
      </c>
      <c r="R7" s="1133"/>
      <c r="S7" s="1274"/>
      <c r="T7" s="971"/>
      <c r="U7" s="1275"/>
      <c r="V7" s="1275"/>
      <c r="W7" s="1275"/>
      <c r="X7" s="1275"/>
      <c r="Y7" s="1275"/>
      <c r="Z7" s="1129"/>
      <c r="AA7" s="1129"/>
      <c r="AB7" s="1129"/>
      <c r="AC7" s="1129"/>
      <c r="AD7" s="1157">
        <v>0</v>
      </c>
      <c r="AE7" s="1135">
        <v>0</v>
      </c>
      <c r="AF7" s="1129">
        <v>0</v>
      </c>
      <c r="AG7" s="1131">
        <v>1</v>
      </c>
      <c r="AH7" s="1127">
        <v>0</v>
      </c>
      <c r="AI7" s="1127">
        <v>0</v>
      </c>
      <c r="AJ7" s="1127">
        <v>1</v>
      </c>
      <c r="AK7" s="1129">
        <v>0</v>
      </c>
      <c r="AL7" s="1129">
        <v>0</v>
      </c>
      <c r="AM7" s="1129">
        <v>0</v>
      </c>
      <c r="AN7" s="1129">
        <v>0</v>
      </c>
      <c r="AO7" s="1129" t="s">
        <v>85</v>
      </c>
      <c r="AP7" s="1129" t="s">
        <v>96</v>
      </c>
      <c r="AQ7" s="1157" t="s">
        <v>107</v>
      </c>
      <c r="AR7" s="1129" t="s">
        <v>2669</v>
      </c>
      <c r="AS7" s="1129"/>
      <c r="AT7" s="1212"/>
      <c r="AU7" s="1212"/>
      <c r="AV7" s="1212"/>
      <c r="AW7" s="1212">
        <v>0.2</v>
      </c>
      <c r="AX7" s="1212">
        <v>0.2</v>
      </c>
      <c r="AY7" s="1212">
        <v>0.2</v>
      </c>
      <c r="AZ7" s="1212">
        <v>0.2</v>
      </c>
      <c r="BA7" s="1212">
        <v>0.2</v>
      </c>
      <c r="BB7" s="1129">
        <v>0</v>
      </c>
      <c r="BC7" s="1129">
        <v>0</v>
      </c>
      <c r="BD7" s="1129">
        <v>0</v>
      </c>
      <c r="BE7" s="1129">
        <v>0</v>
      </c>
      <c r="BF7" s="1129">
        <v>0</v>
      </c>
      <c r="BG7" s="1129">
        <v>0</v>
      </c>
      <c r="BH7" s="1129">
        <v>0</v>
      </c>
      <c r="BI7" s="1129">
        <v>0</v>
      </c>
      <c r="BJ7" s="1129">
        <v>0</v>
      </c>
      <c r="BK7" s="971"/>
      <c r="BL7" s="971" t="s">
        <v>2678</v>
      </c>
      <c r="BM7" s="971" t="s">
        <v>2587</v>
      </c>
      <c r="BN7" s="1246"/>
      <c r="BO7" s="1247">
        <v>0</v>
      </c>
    </row>
    <row r="8" spans="1:67" s="1247" customFormat="1" ht="49.5">
      <c r="A8" s="1272">
        <v>8000</v>
      </c>
      <c r="B8" s="971" t="s">
        <v>2666</v>
      </c>
      <c r="C8" s="1272">
        <v>8000</v>
      </c>
      <c r="D8" s="971" t="s">
        <v>2666</v>
      </c>
      <c r="E8" s="971">
        <v>8120</v>
      </c>
      <c r="F8" s="971" t="s">
        <v>3636</v>
      </c>
      <c r="G8" s="971" t="s">
        <v>2678</v>
      </c>
      <c r="H8" s="971" t="s">
        <v>3159</v>
      </c>
      <c r="I8" s="1273"/>
      <c r="J8" s="1266"/>
      <c r="K8" s="1266"/>
      <c r="L8" s="971" t="s">
        <v>2669</v>
      </c>
      <c r="M8" s="971" t="s">
        <v>2669</v>
      </c>
      <c r="N8" s="971" t="s">
        <v>2669</v>
      </c>
      <c r="O8" s="971" t="s">
        <v>2669</v>
      </c>
      <c r="P8" s="1266"/>
      <c r="Q8" s="1246" t="s">
        <v>3159</v>
      </c>
      <c r="R8" s="1133"/>
      <c r="S8" s="1274"/>
      <c r="T8" s="971"/>
      <c r="U8" s="1275"/>
      <c r="V8" s="1275"/>
      <c r="W8" s="1275"/>
      <c r="X8" s="1275"/>
      <c r="Y8" s="1275"/>
      <c r="Z8" s="1129"/>
      <c r="AA8" s="1129"/>
      <c r="AB8" s="1129"/>
      <c r="AC8" s="1129"/>
      <c r="AD8" s="1157">
        <v>851000</v>
      </c>
      <c r="AE8" s="1135">
        <v>0</v>
      </c>
      <c r="AF8" s="1129">
        <v>0</v>
      </c>
      <c r="AG8" s="1131">
        <v>1</v>
      </c>
      <c r="AH8" s="1127">
        <v>0</v>
      </c>
      <c r="AI8" s="1127">
        <v>1</v>
      </c>
      <c r="AJ8" s="1127">
        <v>0</v>
      </c>
      <c r="AK8" s="1129">
        <v>851000</v>
      </c>
      <c r="AL8" s="1129">
        <v>0</v>
      </c>
      <c r="AM8" s="1129">
        <v>851000</v>
      </c>
      <c r="AN8" s="1129">
        <v>0</v>
      </c>
      <c r="AO8" s="1129" t="s">
        <v>85</v>
      </c>
      <c r="AP8" s="1129" t="s">
        <v>96</v>
      </c>
      <c r="AQ8" s="1157">
        <v>2014</v>
      </c>
      <c r="AR8" s="1129" t="s">
        <v>2669</v>
      </c>
      <c r="AS8" s="1129"/>
      <c r="AT8" s="1212"/>
      <c r="AU8" s="1212"/>
      <c r="AV8" s="1212"/>
      <c r="AW8" s="1212">
        <v>0.4</v>
      </c>
      <c r="AX8" s="1212">
        <v>0.3</v>
      </c>
      <c r="AY8" s="1212">
        <v>0.2</v>
      </c>
      <c r="AZ8" s="1212">
        <v>0.05</v>
      </c>
      <c r="BA8" s="1212">
        <v>0.05</v>
      </c>
      <c r="BB8" s="1129">
        <v>0</v>
      </c>
      <c r="BC8" s="1129">
        <v>0</v>
      </c>
      <c r="BD8" s="1129">
        <v>0</v>
      </c>
      <c r="BE8" s="1129">
        <v>0</v>
      </c>
      <c r="BF8" s="1129">
        <v>340400</v>
      </c>
      <c r="BG8" s="1129">
        <v>255300</v>
      </c>
      <c r="BH8" s="1129">
        <v>170200</v>
      </c>
      <c r="BI8" s="1129">
        <v>42550</v>
      </c>
      <c r="BJ8" s="1129">
        <v>42550</v>
      </c>
      <c r="BK8" s="971" t="s">
        <v>7728</v>
      </c>
      <c r="BL8" s="971" t="s">
        <v>2678</v>
      </c>
      <c r="BM8" s="971" t="s">
        <v>2587</v>
      </c>
      <c r="BN8" s="1246"/>
      <c r="BO8" s="1247">
        <v>0</v>
      </c>
    </row>
    <row r="9" spans="1:67" s="1247" customFormat="1" ht="49.5">
      <c r="A9" s="1272">
        <v>8000</v>
      </c>
      <c r="B9" s="971" t="s">
        <v>2666</v>
      </c>
      <c r="C9" s="1272">
        <v>8000</v>
      </c>
      <c r="D9" s="971" t="s">
        <v>2666</v>
      </c>
      <c r="E9" s="971">
        <v>8120</v>
      </c>
      <c r="F9" s="971" t="s">
        <v>3636</v>
      </c>
      <c r="G9" s="971" t="s">
        <v>2678</v>
      </c>
      <c r="H9" s="971" t="s">
        <v>3159</v>
      </c>
      <c r="I9" s="1273"/>
      <c r="J9" s="1266"/>
      <c r="K9" s="1266"/>
      <c r="L9" s="1266"/>
      <c r="M9" s="971" t="s">
        <v>2669</v>
      </c>
      <c r="N9" s="971" t="s">
        <v>2669</v>
      </c>
      <c r="O9" s="1132"/>
      <c r="P9" s="1266"/>
      <c r="Q9" s="1246" t="s">
        <v>3159</v>
      </c>
      <c r="R9" s="1133"/>
      <c r="S9" s="1274"/>
      <c r="T9" s="971"/>
      <c r="U9" s="1275"/>
      <c r="V9" s="1275"/>
      <c r="W9" s="1275"/>
      <c r="X9" s="1275"/>
      <c r="Y9" s="1275"/>
      <c r="Z9" s="1129"/>
      <c r="AA9" s="1129"/>
      <c r="AB9" s="1129"/>
      <c r="AC9" s="1129"/>
      <c r="AD9" s="1157">
        <v>0</v>
      </c>
      <c r="AE9" s="1135">
        <v>0</v>
      </c>
      <c r="AF9" s="1129">
        <v>0</v>
      </c>
      <c r="AG9" s="1131">
        <v>1</v>
      </c>
      <c r="AH9" s="1127">
        <v>0</v>
      </c>
      <c r="AI9" s="1127">
        <v>1</v>
      </c>
      <c r="AJ9" s="1127">
        <v>0</v>
      </c>
      <c r="AK9" s="1129">
        <v>0</v>
      </c>
      <c r="AL9" s="1129">
        <v>0</v>
      </c>
      <c r="AM9" s="1129">
        <v>0</v>
      </c>
      <c r="AN9" s="1129">
        <v>0</v>
      </c>
      <c r="AO9" s="1129" t="s">
        <v>85</v>
      </c>
      <c r="AP9" s="1129" t="s">
        <v>90</v>
      </c>
      <c r="AQ9" s="1157" t="s">
        <v>108</v>
      </c>
      <c r="AR9" s="1129" t="s">
        <v>2669</v>
      </c>
      <c r="AS9" s="1129"/>
      <c r="AT9" s="1212"/>
      <c r="AU9" s="1212"/>
      <c r="AV9" s="1212"/>
      <c r="AW9" s="1212">
        <v>0.4</v>
      </c>
      <c r="AX9" s="1212">
        <v>0.3</v>
      </c>
      <c r="AY9" s="1212">
        <v>0.2</v>
      </c>
      <c r="AZ9" s="1212">
        <v>0.05</v>
      </c>
      <c r="BA9" s="1212">
        <v>0.05</v>
      </c>
      <c r="BB9" s="1129">
        <v>0</v>
      </c>
      <c r="BC9" s="1129">
        <v>0</v>
      </c>
      <c r="BD9" s="1129">
        <v>0</v>
      </c>
      <c r="BE9" s="1129">
        <v>0</v>
      </c>
      <c r="BF9" s="1129">
        <v>0</v>
      </c>
      <c r="BG9" s="1129">
        <v>0</v>
      </c>
      <c r="BH9" s="1129">
        <v>0</v>
      </c>
      <c r="BI9" s="1129">
        <v>0</v>
      </c>
      <c r="BJ9" s="1129">
        <v>0</v>
      </c>
      <c r="BK9" s="971" t="s">
        <v>7728</v>
      </c>
      <c r="BL9" s="971" t="s">
        <v>2678</v>
      </c>
      <c r="BM9" s="971" t="s">
        <v>2587</v>
      </c>
      <c r="BN9" s="1246"/>
      <c r="BO9" s="1247">
        <v>0</v>
      </c>
    </row>
    <row r="10" spans="1:67" s="1247" customFormat="1" ht="49.5">
      <c r="A10" s="1272">
        <v>8000</v>
      </c>
      <c r="B10" s="971" t="s">
        <v>2666</v>
      </c>
      <c r="C10" s="1272">
        <v>8000</v>
      </c>
      <c r="D10" s="971" t="s">
        <v>2666</v>
      </c>
      <c r="E10" s="971">
        <v>8120</v>
      </c>
      <c r="F10" s="971" t="s">
        <v>3636</v>
      </c>
      <c r="G10" s="971" t="s">
        <v>2678</v>
      </c>
      <c r="H10" s="971" t="s">
        <v>3159</v>
      </c>
      <c r="I10" s="1273"/>
      <c r="J10" s="1266"/>
      <c r="K10" s="1266"/>
      <c r="L10" s="1266"/>
      <c r="M10" s="971" t="s">
        <v>2669</v>
      </c>
      <c r="N10" s="971" t="s">
        <v>2669</v>
      </c>
      <c r="O10" s="1132"/>
      <c r="P10" s="1266"/>
      <c r="Q10" s="1246" t="s">
        <v>3159</v>
      </c>
      <c r="R10" s="1133"/>
      <c r="S10" s="1274"/>
      <c r="T10" s="971"/>
      <c r="U10" s="1275"/>
      <c r="V10" s="1275"/>
      <c r="W10" s="1275"/>
      <c r="X10" s="1275"/>
      <c r="Y10" s="1275"/>
      <c r="Z10" s="1129"/>
      <c r="AA10" s="1129"/>
      <c r="AB10" s="1129"/>
      <c r="AC10" s="1129"/>
      <c r="AD10" s="1157">
        <v>0</v>
      </c>
      <c r="AE10" s="1135">
        <v>0</v>
      </c>
      <c r="AF10" s="1129">
        <v>0</v>
      </c>
      <c r="AG10" s="1131">
        <v>1</v>
      </c>
      <c r="AH10" s="1127">
        <v>0</v>
      </c>
      <c r="AI10" s="1127">
        <v>1</v>
      </c>
      <c r="AJ10" s="1127">
        <v>0</v>
      </c>
      <c r="AK10" s="1129">
        <v>0</v>
      </c>
      <c r="AL10" s="1129">
        <v>0</v>
      </c>
      <c r="AM10" s="1129">
        <v>0</v>
      </c>
      <c r="AN10" s="1129">
        <v>0</v>
      </c>
      <c r="AO10" s="1129" t="s">
        <v>85</v>
      </c>
      <c r="AP10" s="1129" t="s">
        <v>90</v>
      </c>
      <c r="AQ10" s="1157">
        <v>2016</v>
      </c>
      <c r="AR10" s="1129" t="s">
        <v>2669</v>
      </c>
      <c r="AS10" s="1129"/>
      <c r="AT10" s="1212"/>
      <c r="AU10" s="1212"/>
      <c r="AV10" s="1212"/>
      <c r="AW10" s="1212">
        <v>0.4</v>
      </c>
      <c r="AX10" s="1212">
        <v>0.3</v>
      </c>
      <c r="AY10" s="1212">
        <v>0.2</v>
      </c>
      <c r="AZ10" s="1212">
        <v>0.05</v>
      </c>
      <c r="BA10" s="1212">
        <v>0.05</v>
      </c>
      <c r="BB10" s="1129">
        <v>0</v>
      </c>
      <c r="BC10" s="1129">
        <v>0</v>
      </c>
      <c r="BD10" s="1129">
        <v>0</v>
      </c>
      <c r="BE10" s="1129">
        <v>0</v>
      </c>
      <c r="BF10" s="1129">
        <v>0</v>
      </c>
      <c r="BG10" s="1129">
        <v>0</v>
      </c>
      <c r="BH10" s="1129">
        <v>0</v>
      </c>
      <c r="BI10" s="1129">
        <v>0</v>
      </c>
      <c r="BJ10" s="1129">
        <v>0</v>
      </c>
      <c r="BK10" s="971" t="s">
        <v>7728</v>
      </c>
      <c r="BL10" s="971" t="s">
        <v>2678</v>
      </c>
      <c r="BM10" s="971" t="s">
        <v>2587</v>
      </c>
      <c r="BN10" s="1246"/>
      <c r="BO10" s="1247">
        <v>0</v>
      </c>
    </row>
    <row r="11" spans="1:67" s="1306" customFormat="1" ht="49.5">
      <c r="A11" s="1302">
        <v>8000</v>
      </c>
      <c r="B11" s="1303" t="s">
        <v>2666</v>
      </c>
      <c r="C11" s="1302">
        <v>8100</v>
      </c>
      <c r="D11" s="1303" t="s">
        <v>2666</v>
      </c>
      <c r="E11" s="1303" t="s">
        <v>2678</v>
      </c>
      <c r="F11" s="1303" t="s">
        <v>2682</v>
      </c>
      <c r="G11" s="1303" t="s">
        <v>2678</v>
      </c>
      <c r="H11" s="1303" t="s">
        <v>2683</v>
      </c>
      <c r="I11" s="1304"/>
      <c r="J11" s="1293"/>
      <c r="K11" s="1293"/>
      <c r="L11" s="1303" t="s">
        <v>2669</v>
      </c>
      <c r="M11" s="1303" t="s">
        <v>2669</v>
      </c>
      <c r="N11" s="1303" t="s">
        <v>2669</v>
      </c>
      <c r="O11" s="1303" t="s">
        <v>2669</v>
      </c>
      <c r="P11" s="1293"/>
      <c r="Q11" s="1303" t="s">
        <v>2683</v>
      </c>
      <c r="R11" s="1295"/>
      <c r="S11" s="1299"/>
      <c r="T11" s="1297"/>
      <c r="U11" s="1298"/>
      <c r="V11" s="1298"/>
      <c r="W11" s="1298"/>
      <c r="X11" s="1298"/>
      <c r="Y11" s="1298"/>
      <c r="Z11" s="1299"/>
      <c r="AA11" s="1299"/>
      <c r="AB11" s="1299"/>
      <c r="AC11" s="1299"/>
      <c r="AD11" s="1157">
        <v>876000</v>
      </c>
      <c r="AE11" s="1301">
        <v>0</v>
      </c>
      <c r="AF11" s="1301">
        <v>0</v>
      </c>
      <c r="AG11" s="1294">
        <v>1</v>
      </c>
      <c r="AH11" s="1294">
        <v>0</v>
      </c>
      <c r="AI11" s="1294">
        <v>0</v>
      </c>
      <c r="AJ11" s="1294">
        <v>1</v>
      </c>
      <c r="AK11" s="1301">
        <v>876000</v>
      </c>
      <c r="AL11" s="1301">
        <v>0</v>
      </c>
      <c r="AM11" s="1301">
        <v>0</v>
      </c>
      <c r="AN11" s="1301">
        <v>876000</v>
      </c>
      <c r="AO11" s="1305" t="s">
        <v>85</v>
      </c>
      <c r="AP11" s="1305" t="s">
        <v>96</v>
      </c>
      <c r="AQ11" s="1157">
        <v>2014</v>
      </c>
      <c r="AR11" s="1305" t="s">
        <v>2669</v>
      </c>
      <c r="AS11" s="1305"/>
      <c r="AT11" s="1305"/>
      <c r="AU11" s="1294">
        <v>0.33333333333333331</v>
      </c>
      <c r="AV11" s="1294">
        <v>0.33333333333333331</v>
      </c>
      <c r="AW11" s="1294">
        <v>0.33333333333333331</v>
      </c>
      <c r="AX11" s="1294"/>
      <c r="AY11" s="1294"/>
      <c r="AZ11" s="1294"/>
      <c r="BA11" s="1294"/>
      <c r="BB11" s="1294"/>
      <c r="BC11" s="1301">
        <v>0</v>
      </c>
      <c r="BD11" s="1301"/>
      <c r="BE11" s="1301">
        <v>292000</v>
      </c>
      <c r="BF11" s="1301">
        <v>292000</v>
      </c>
      <c r="BG11" s="1301">
        <v>292000</v>
      </c>
      <c r="BH11" s="1301">
        <v>0</v>
      </c>
      <c r="BI11" s="1301">
        <v>0</v>
      </c>
      <c r="BJ11" s="1301">
        <v>0</v>
      </c>
      <c r="BK11" s="1301">
        <v>0</v>
      </c>
      <c r="BL11" s="1301">
        <v>0</v>
      </c>
      <c r="BM11" s="1303"/>
      <c r="BN11" s="1303"/>
      <c r="BO11" s="1303"/>
    </row>
    <row r="12" spans="1:67" s="1306" customFormat="1" ht="49.5">
      <c r="A12" s="1302">
        <v>8000</v>
      </c>
      <c r="B12" s="1303" t="s">
        <v>2666</v>
      </c>
      <c r="C12" s="1302">
        <v>8100</v>
      </c>
      <c r="D12" s="1303" t="s">
        <v>2666</v>
      </c>
      <c r="E12" s="1303" t="s">
        <v>2678</v>
      </c>
      <c r="F12" s="1303" t="s">
        <v>2682</v>
      </c>
      <c r="G12" s="1303" t="s">
        <v>2678</v>
      </c>
      <c r="H12" s="1303" t="s">
        <v>2683</v>
      </c>
      <c r="I12" s="1304"/>
      <c r="J12" s="1293"/>
      <c r="K12" s="1293"/>
      <c r="L12" s="1303" t="s">
        <v>2669</v>
      </c>
      <c r="M12" s="1303" t="s">
        <v>2669</v>
      </c>
      <c r="N12" s="1303" t="s">
        <v>2669</v>
      </c>
      <c r="O12" s="1303" t="s">
        <v>2669</v>
      </c>
      <c r="P12" s="1293"/>
      <c r="Q12" s="1303" t="s">
        <v>2683</v>
      </c>
      <c r="R12" s="1295"/>
      <c r="S12" s="1296"/>
      <c r="T12" s="1297"/>
      <c r="U12" s="1298"/>
      <c r="V12" s="1298"/>
      <c r="W12" s="1298"/>
      <c r="X12" s="1298"/>
      <c r="Y12" s="1298"/>
      <c r="Z12" s="1299"/>
      <c r="AA12" s="1299"/>
      <c r="AB12" s="1299"/>
      <c r="AC12" s="1299"/>
      <c r="AD12" s="1157">
        <v>553110.6</v>
      </c>
      <c r="AE12" s="1301">
        <v>0</v>
      </c>
      <c r="AF12" s="1301">
        <v>0</v>
      </c>
      <c r="AG12" s="1294">
        <v>1</v>
      </c>
      <c r="AH12" s="1294">
        <v>0</v>
      </c>
      <c r="AI12" s="1294">
        <v>0</v>
      </c>
      <c r="AJ12" s="1294">
        <v>1</v>
      </c>
      <c r="AK12" s="1301">
        <v>553110.6</v>
      </c>
      <c r="AL12" s="1301">
        <v>0</v>
      </c>
      <c r="AM12" s="1301">
        <v>0</v>
      </c>
      <c r="AN12" s="1301">
        <v>553110.6</v>
      </c>
      <c r="AO12" s="1305" t="s">
        <v>85</v>
      </c>
      <c r="AP12" s="1305" t="s">
        <v>96</v>
      </c>
      <c r="AQ12" s="1157">
        <v>2015</v>
      </c>
      <c r="AR12" s="1305" t="s">
        <v>2669</v>
      </c>
      <c r="AS12" s="1305"/>
      <c r="AT12" s="1305"/>
      <c r="AU12" s="1294">
        <v>0.33333333333333331</v>
      </c>
      <c r="AV12" s="1294">
        <v>0.33333333333333331</v>
      </c>
      <c r="AW12" s="1294">
        <v>0.33333333333333331</v>
      </c>
      <c r="AX12" s="1294"/>
      <c r="AY12" s="1294"/>
      <c r="AZ12" s="1294"/>
      <c r="BA12" s="1294"/>
      <c r="BB12" s="1294"/>
      <c r="BC12" s="1301">
        <v>0</v>
      </c>
      <c r="BD12" s="1301"/>
      <c r="BE12" s="1301">
        <v>184370.19999999998</v>
      </c>
      <c r="BF12" s="1301">
        <v>184370.19999999998</v>
      </c>
      <c r="BG12" s="1301">
        <v>184370.19999999998</v>
      </c>
      <c r="BH12" s="1301">
        <v>0</v>
      </c>
      <c r="BI12" s="1301">
        <v>0</v>
      </c>
      <c r="BJ12" s="1301">
        <v>0</v>
      </c>
      <c r="BK12" s="1301">
        <v>0</v>
      </c>
      <c r="BL12" s="1301">
        <v>0</v>
      </c>
      <c r="BM12" s="1303"/>
      <c r="BN12" s="1303"/>
      <c r="BO12" s="1303"/>
    </row>
    <row r="13" spans="1:67" s="1306" customFormat="1" ht="49.5">
      <c r="A13" s="1302">
        <v>8000</v>
      </c>
      <c r="B13" s="1303" t="s">
        <v>2666</v>
      </c>
      <c r="C13" s="1302">
        <v>8100</v>
      </c>
      <c r="D13" s="1303" t="s">
        <v>2666</v>
      </c>
      <c r="E13" s="1303" t="s">
        <v>2678</v>
      </c>
      <c r="F13" s="1303" t="s">
        <v>2682</v>
      </c>
      <c r="G13" s="1303" t="s">
        <v>2678</v>
      </c>
      <c r="H13" s="1303" t="s">
        <v>2683</v>
      </c>
      <c r="I13" s="1304"/>
      <c r="J13" s="1293"/>
      <c r="K13" s="1293"/>
      <c r="L13" s="1293"/>
      <c r="M13" s="1303" t="s">
        <v>2669</v>
      </c>
      <c r="N13" s="1303" t="s">
        <v>2669</v>
      </c>
      <c r="O13" s="1295"/>
      <c r="P13" s="1293"/>
      <c r="Q13" s="1303" t="s">
        <v>2683</v>
      </c>
      <c r="R13" s="1295"/>
      <c r="S13" s="1296"/>
      <c r="T13" s="1297"/>
      <c r="U13" s="1298"/>
      <c r="V13" s="1298"/>
      <c r="W13" s="1298"/>
      <c r="X13" s="1298"/>
      <c r="Y13" s="1298"/>
      <c r="Z13" s="1299"/>
      <c r="AA13" s="1299"/>
      <c r="AB13" s="1299"/>
      <c r="AC13" s="1299"/>
      <c r="AD13" s="1157">
        <v>0</v>
      </c>
      <c r="AE13" s="1301">
        <v>0</v>
      </c>
      <c r="AF13" s="1301">
        <v>0</v>
      </c>
      <c r="AG13" s="1294">
        <v>1</v>
      </c>
      <c r="AH13" s="1294">
        <v>0</v>
      </c>
      <c r="AI13" s="1294">
        <v>0</v>
      </c>
      <c r="AJ13" s="1294">
        <v>1</v>
      </c>
      <c r="AK13" s="1301">
        <v>0</v>
      </c>
      <c r="AL13" s="1301">
        <v>0</v>
      </c>
      <c r="AM13" s="1301">
        <v>0</v>
      </c>
      <c r="AN13" s="1301">
        <v>0</v>
      </c>
      <c r="AO13" s="1305" t="s">
        <v>85</v>
      </c>
      <c r="AP13" s="1305" t="s">
        <v>96</v>
      </c>
      <c r="AQ13" s="1157" t="s">
        <v>107</v>
      </c>
      <c r="AR13" s="1305" t="s">
        <v>2669</v>
      </c>
      <c r="AS13" s="1305"/>
      <c r="AT13" s="1305"/>
      <c r="AU13" s="1294">
        <v>0.33333333333333331</v>
      </c>
      <c r="AV13" s="1294">
        <v>0.33333333333333331</v>
      </c>
      <c r="AW13" s="1294">
        <v>0.33333333333333331</v>
      </c>
      <c r="AX13" s="1294"/>
      <c r="AY13" s="1294"/>
      <c r="AZ13" s="1294"/>
      <c r="BA13" s="1294"/>
      <c r="BB13" s="1294"/>
      <c r="BC13" s="1301">
        <v>0</v>
      </c>
      <c r="BD13" s="1301"/>
      <c r="BE13" s="1301">
        <v>0</v>
      </c>
      <c r="BF13" s="1301">
        <v>0</v>
      </c>
      <c r="BG13" s="1301">
        <v>0</v>
      </c>
      <c r="BH13" s="1301">
        <v>0</v>
      </c>
      <c r="BI13" s="1301">
        <v>0</v>
      </c>
      <c r="BJ13" s="1301">
        <v>0</v>
      </c>
      <c r="BK13" s="1301">
        <v>0</v>
      </c>
      <c r="BL13" s="1301">
        <v>0</v>
      </c>
      <c r="BM13" s="1303"/>
      <c r="BN13" s="1303"/>
      <c r="BO13" s="1303"/>
    </row>
    <row r="14" spans="1:67" s="1306" customFormat="1" ht="49.5">
      <c r="A14" s="1302">
        <v>8000</v>
      </c>
      <c r="B14" s="1303" t="s">
        <v>2666</v>
      </c>
      <c r="C14" s="1302">
        <v>8100</v>
      </c>
      <c r="D14" s="1303" t="s">
        <v>2666</v>
      </c>
      <c r="E14" s="1303" t="s">
        <v>2678</v>
      </c>
      <c r="F14" s="1303" t="s">
        <v>2682</v>
      </c>
      <c r="G14" s="1303" t="s">
        <v>2678</v>
      </c>
      <c r="H14" s="1303" t="s">
        <v>2683</v>
      </c>
      <c r="I14" s="1304"/>
      <c r="J14" s="1293"/>
      <c r="K14" s="1293"/>
      <c r="L14" s="1293"/>
      <c r="M14" s="1303" t="s">
        <v>2669</v>
      </c>
      <c r="N14" s="1303" t="s">
        <v>2669</v>
      </c>
      <c r="O14" s="1295"/>
      <c r="P14" s="1293"/>
      <c r="Q14" s="1303" t="s">
        <v>2683</v>
      </c>
      <c r="R14" s="1295"/>
      <c r="S14" s="1296"/>
      <c r="T14" s="1297"/>
      <c r="U14" s="1298"/>
      <c r="V14" s="1298"/>
      <c r="W14" s="1298"/>
      <c r="X14" s="1298"/>
      <c r="Y14" s="1298"/>
      <c r="Z14" s="1299"/>
      <c r="AA14" s="1299"/>
      <c r="AB14" s="1299"/>
      <c r="AC14" s="1299"/>
      <c r="AD14" s="1157">
        <v>0</v>
      </c>
      <c r="AE14" s="1301">
        <v>0</v>
      </c>
      <c r="AF14" s="1301">
        <v>0</v>
      </c>
      <c r="AG14" s="1294">
        <v>1</v>
      </c>
      <c r="AH14" s="1294">
        <v>0</v>
      </c>
      <c r="AI14" s="1294">
        <v>0</v>
      </c>
      <c r="AJ14" s="1294">
        <v>1</v>
      </c>
      <c r="AK14" s="1301">
        <v>0</v>
      </c>
      <c r="AL14" s="1301">
        <v>0</v>
      </c>
      <c r="AM14" s="1301">
        <v>0</v>
      </c>
      <c r="AN14" s="1301">
        <v>0</v>
      </c>
      <c r="AO14" s="1305" t="s">
        <v>85</v>
      </c>
      <c r="AP14" s="1305" t="s">
        <v>96</v>
      </c>
      <c r="AQ14" s="1157" t="s">
        <v>108</v>
      </c>
      <c r="AR14" s="1305" t="s">
        <v>2669</v>
      </c>
      <c r="AS14" s="1305"/>
      <c r="AT14" s="1305"/>
      <c r="AU14" s="1294">
        <v>0.33333333333333331</v>
      </c>
      <c r="AV14" s="1294">
        <v>0.33333333333333331</v>
      </c>
      <c r="AW14" s="1294">
        <v>0.33333333333333331</v>
      </c>
      <c r="AX14" s="1294"/>
      <c r="AY14" s="1294"/>
      <c r="AZ14" s="1294"/>
      <c r="BA14" s="1294"/>
      <c r="BB14" s="1294"/>
      <c r="BC14" s="1301">
        <v>0</v>
      </c>
      <c r="BD14" s="1301"/>
      <c r="BE14" s="1301">
        <v>0</v>
      </c>
      <c r="BF14" s="1301">
        <v>0</v>
      </c>
      <c r="BG14" s="1301">
        <v>0</v>
      </c>
      <c r="BH14" s="1301">
        <v>0</v>
      </c>
      <c r="BI14" s="1301">
        <v>0</v>
      </c>
      <c r="BJ14" s="1301">
        <v>0</v>
      </c>
      <c r="BK14" s="1301">
        <v>0</v>
      </c>
      <c r="BL14" s="1301">
        <v>0</v>
      </c>
      <c r="BM14" s="1303"/>
      <c r="BN14" s="1303"/>
      <c r="BO14" s="1303"/>
    </row>
    <row r="15" spans="1:67" ht="16.5">
      <c r="AD15" s="1249" t="e">
        <f>SUM(#REF!,AF11)</f>
        <v>#REF!</v>
      </c>
      <c r="AE15" s="1248"/>
      <c r="AF15" s="1248"/>
      <c r="AG15" s="1248"/>
      <c r="AH15" s="1248"/>
    </row>
  </sheetData>
  <autoFilter ref="A1:BM8" xr:uid="{00000000-0009-0000-0000-00002B000000}"/>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O2"/>
  <sheetViews>
    <sheetView workbookViewId="0">
      <selection activeCell="G3" sqref="G3"/>
    </sheetView>
  </sheetViews>
  <sheetFormatPr defaultRowHeight="14.5"/>
  <cols>
    <col min="1" max="1" width="22.1796875" customWidth="1"/>
    <col min="2" max="2" width="21" customWidth="1"/>
    <col min="3" max="3" width="15" customWidth="1"/>
    <col min="4" max="4" width="21" customWidth="1"/>
    <col min="5" max="5" width="25.26953125" customWidth="1"/>
    <col min="6" max="6" width="21" customWidth="1"/>
    <col min="7" max="7" width="32.7265625" customWidth="1"/>
    <col min="8" max="8" width="21" customWidth="1"/>
    <col min="9" max="9" width="10.26953125" customWidth="1"/>
    <col min="10" max="10" width="17.54296875" customWidth="1"/>
    <col min="11" max="11" width="13" customWidth="1"/>
    <col min="12" max="12" width="23.1796875" customWidth="1"/>
    <col min="13" max="13" width="11.26953125" customWidth="1"/>
    <col min="14" max="14" width="17.453125" customWidth="1"/>
    <col min="15" max="15" width="22.26953125" customWidth="1"/>
    <col min="17" max="17" width="13.26953125" customWidth="1"/>
    <col min="18" max="18" width="13.81640625" customWidth="1"/>
    <col min="21" max="21" width="19.81640625" customWidth="1"/>
    <col min="22" max="22" width="23.54296875" customWidth="1"/>
    <col min="23" max="23" width="13.453125" customWidth="1"/>
    <col min="24" max="24" width="17.1796875" customWidth="1"/>
    <col min="25" max="25" width="11.453125" customWidth="1"/>
    <col min="26" max="26" width="17" customWidth="1"/>
    <col min="27" max="27" width="24.1796875" customWidth="1"/>
    <col min="28" max="28" width="14" customWidth="1"/>
    <col min="29" max="29" width="17.7265625" customWidth="1"/>
    <col min="30" max="30" width="14.7265625" customWidth="1"/>
    <col min="31" max="31" width="10.26953125" customWidth="1"/>
    <col min="32" max="32" width="15.54296875" customWidth="1"/>
    <col min="33" max="33" width="9.453125" customWidth="1"/>
    <col min="34" max="34" width="17.26953125" customWidth="1"/>
    <col min="35" max="35" width="20" customWidth="1"/>
    <col min="36" max="36" width="18.54296875" customWidth="1"/>
    <col min="37" max="37" width="13.1796875" customWidth="1"/>
    <col min="38" max="38" width="20.54296875" customWidth="1"/>
    <col min="39" max="39" width="23.26953125" customWidth="1"/>
    <col min="40" max="40" width="21.81640625" customWidth="1"/>
    <col min="41" max="41" width="9.7265625" customWidth="1"/>
    <col min="42" max="42" width="17" customWidth="1"/>
    <col min="43" max="43" width="22.26953125" customWidth="1"/>
    <col min="44" max="44" width="14.81640625" customWidth="1"/>
    <col min="45" max="45" width="11.7265625" customWidth="1"/>
    <col min="46" max="46" width="13.7265625" customWidth="1"/>
    <col min="47" max="54" width="11.7265625" customWidth="1"/>
    <col min="55" max="55" width="16.453125" customWidth="1"/>
    <col min="56" max="56" width="18.453125" customWidth="1"/>
    <col min="57" max="64" width="16.81640625" customWidth="1"/>
    <col min="66" max="66" width="13.54296875" customWidth="1"/>
    <col min="67" max="67" width="31.453125" customWidth="1"/>
  </cols>
  <sheetData>
    <row r="1" spans="1:67">
      <c r="A1" t="s">
        <v>5</v>
      </c>
      <c r="B1" t="s">
        <v>6</v>
      </c>
      <c r="C1" t="s">
        <v>7</v>
      </c>
      <c r="D1" t="s">
        <v>8</v>
      </c>
      <c r="E1" t="s">
        <v>9</v>
      </c>
      <c r="F1" t="s">
        <v>10</v>
      </c>
      <c r="G1" t="s">
        <v>11</v>
      </c>
      <c r="H1" t="s">
        <v>12</v>
      </c>
      <c r="I1" t="s">
        <v>13</v>
      </c>
      <c r="J1" t="s">
        <v>14</v>
      </c>
      <c r="K1" t="s">
        <v>15</v>
      </c>
      <c r="L1" t="s">
        <v>16</v>
      </c>
      <c r="M1" t="s">
        <v>17</v>
      </c>
      <c r="N1" t="s">
        <v>18</v>
      </c>
      <c r="O1" t="s">
        <v>19</v>
      </c>
      <c r="P1" t="s">
        <v>20</v>
      </c>
      <c r="Q1" t="s">
        <v>21</v>
      </c>
      <c r="R1" t="s">
        <v>22</v>
      </c>
      <c r="S1" t="s">
        <v>23</v>
      </c>
      <c r="T1" t="s">
        <v>24</v>
      </c>
      <c r="U1" t="s">
        <v>25</v>
      </c>
      <c r="V1" t="s">
        <v>26</v>
      </c>
      <c r="W1" t="s">
        <v>27</v>
      </c>
      <c r="X1" t="s">
        <v>28</v>
      </c>
      <c r="Y1" t="s">
        <v>29</v>
      </c>
      <c r="Z1" t="s">
        <v>30</v>
      </c>
      <c r="AA1" t="s">
        <v>31</v>
      </c>
      <c r="AB1" t="s">
        <v>32</v>
      </c>
      <c r="AC1" t="s">
        <v>33</v>
      </c>
      <c r="AD1" t="s">
        <v>34</v>
      </c>
      <c r="AE1" t="s">
        <v>35</v>
      </c>
      <c r="AF1" t="s">
        <v>36</v>
      </c>
      <c r="AG1" t="s">
        <v>37</v>
      </c>
      <c r="AH1" t="s">
        <v>38</v>
      </c>
      <c r="AI1" t="s">
        <v>39</v>
      </c>
      <c r="AJ1" t="s">
        <v>40</v>
      </c>
      <c r="AK1" t="s">
        <v>41</v>
      </c>
      <c r="AL1" t="s">
        <v>42</v>
      </c>
      <c r="AM1" t="s">
        <v>43</v>
      </c>
      <c r="AN1" t="s">
        <v>44</v>
      </c>
      <c r="AO1" t="s">
        <v>45</v>
      </c>
      <c r="AP1" t="s">
        <v>46</v>
      </c>
      <c r="AQ1" t="s">
        <v>47</v>
      </c>
      <c r="AR1" t="s">
        <v>48</v>
      </c>
      <c r="AS1" t="s">
        <v>49</v>
      </c>
      <c r="AT1" t="s">
        <v>50</v>
      </c>
      <c r="AU1" t="s">
        <v>51</v>
      </c>
      <c r="AV1" t="s">
        <v>52</v>
      </c>
      <c r="AW1" t="s">
        <v>53</v>
      </c>
      <c r="AX1" t="s">
        <v>54</v>
      </c>
      <c r="AY1" t="s">
        <v>55</v>
      </c>
      <c r="AZ1" t="s">
        <v>56</v>
      </c>
      <c r="BA1" t="s">
        <v>57</v>
      </c>
      <c r="BB1" t="s">
        <v>58</v>
      </c>
      <c r="BC1" t="s">
        <v>62</v>
      </c>
      <c r="BD1" t="s">
        <v>63</v>
      </c>
      <c r="BE1" t="s">
        <v>64</v>
      </c>
      <c r="BF1" t="s">
        <v>65</v>
      </c>
      <c r="BG1" t="s">
        <v>66</v>
      </c>
      <c r="BH1" t="s">
        <v>67</v>
      </c>
      <c r="BI1" t="s">
        <v>68</v>
      </c>
      <c r="BJ1" t="s">
        <v>69</v>
      </c>
      <c r="BK1" t="s">
        <v>70</v>
      </c>
      <c r="BL1" t="s">
        <v>71</v>
      </c>
      <c r="BM1" t="s">
        <v>75</v>
      </c>
      <c r="BN1" t="s">
        <v>76</v>
      </c>
      <c r="BO1" t="s">
        <v>77</v>
      </c>
    </row>
    <row r="2" spans="1:67" ht="43.5">
      <c r="A2">
        <v>9000</v>
      </c>
      <c r="B2" t="s">
        <v>2745</v>
      </c>
      <c r="C2">
        <v>9100</v>
      </c>
      <c r="D2" t="s">
        <v>2745</v>
      </c>
      <c r="E2">
        <v>9190</v>
      </c>
      <c r="F2" t="s">
        <v>2746</v>
      </c>
      <c r="G2">
        <v>9191</v>
      </c>
      <c r="H2" t="s">
        <v>2747</v>
      </c>
      <c r="L2" t="s">
        <v>2669</v>
      </c>
      <c r="M2" t="s">
        <v>2669</v>
      </c>
      <c r="N2" t="s">
        <v>2669</v>
      </c>
      <c r="O2" t="s">
        <v>2669</v>
      </c>
      <c r="Q2" t="s">
        <v>2748</v>
      </c>
      <c r="AD2">
        <v>846000</v>
      </c>
      <c r="AE2">
        <v>0</v>
      </c>
      <c r="AF2">
        <v>0</v>
      </c>
      <c r="AG2">
        <v>0.79044140080480429</v>
      </c>
      <c r="AH2">
        <v>0.20955859919519571</v>
      </c>
      <c r="AI2">
        <v>0</v>
      </c>
      <c r="AJ2">
        <v>1</v>
      </c>
      <c r="AK2">
        <v>668713.42508086446</v>
      </c>
      <c r="AL2">
        <v>177286.57491913557</v>
      </c>
      <c r="AM2">
        <v>0</v>
      </c>
      <c r="AN2">
        <v>846000</v>
      </c>
      <c r="AO2" s="7" t="s">
        <v>85</v>
      </c>
      <c r="AP2" t="s">
        <v>90</v>
      </c>
      <c r="AQ2" t="s">
        <v>112</v>
      </c>
      <c r="AR2" t="s">
        <v>2669</v>
      </c>
      <c r="AU2">
        <v>1</v>
      </c>
      <c r="BC2">
        <v>0</v>
      </c>
      <c r="BE2">
        <v>846000</v>
      </c>
      <c r="BF2">
        <v>0</v>
      </c>
      <c r="BG2">
        <v>0</v>
      </c>
      <c r="BH2">
        <v>0</v>
      </c>
      <c r="BI2">
        <v>0</v>
      </c>
      <c r="BJ2">
        <v>0</v>
      </c>
      <c r="BK2">
        <v>0</v>
      </c>
      <c r="BL2">
        <v>0</v>
      </c>
      <c r="BM2" t="s">
        <v>7729</v>
      </c>
      <c r="BO2" t="s">
        <v>2678</v>
      </c>
    </row>
  </sheetData>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S41"/>
  <sheetViews>
    <sheetView showGridLines="0" zoomScaleNormal="100" workbookViewId="0">
      <selection activeCell="G3" sqref="G3"/>
    </sheetView>
  </sheetViews>
  <sheetFormatPr defaultRowHeight="14.5"/>
  <cols>
    <col min="1" max="1" width="4.1796875" bestFit="1" customWidth="1"/>
    <col min="2" max="2" width="16.26953125" bestFit="1" customWidth="1"/>
    <col min="3" max="3" width="7.7265625" customWidth="1"/>
    <col min="4" max="4" width="11.453125" bestFit="1" customWidth="1"/>
    <col min="5" max="5" width="13.453125" bestFit="1" customWidth="1"/>
    <col min="6" max="6" width="11" bestFit="1" customWidth="1"/>
    <col min="7" max="7" width="13.7265625" bestFit="1" customWidth="1"/>
    <col min="8" max="8" width="11.453125" bestFit="1" customWidth="1"/>
    <col min="9" max="9" width="13.26953125" bestFit="1" customWidth="1"/>
    <col min="10" max="10" width="9.7265625" customWidth="1"/>
    <col min="11" max="11" width="4.1796875" bestFit="1" customWidth="1"/>
    <col min="12" max="12" width="16.26953125" bestFit="1" customWidth="1"/>
    <col min="13" max="13" width="7.7265625" customWidth="1"/>
    <col min="14" max="14" width="11.453125" bestFit="1" customWidth="1"/>
    <col min="15" max="15" width="13.453125" bestFit="1" customWidth="1"/>
    <col min="16" max="16" width="11" bestFit="1" customWidth="1"/>
    <col min="17" max="17" width="13.7265625" bestFit="1" customWidth="1"/>
    <col min="18" max="18" width="11.453125" bestFit="1" customWidth="1"/>
    <col min="19" max="19" width="13.26953125" bestFit="1" customWidth="1"/>
  </cols>
  <sheetData>
    <row r="1" spans="1:19" ht="15" thickBot="1">
      <c r="A1" s="2466" t="s">
        <v>7730</v>
      </c>
      <c r="B1" s="2466"/>
      <c r="C1" s="2466"/>
      <c r="D1" s="2466"/>
      <c r="E1" s="2466"/>
      <c r="F1" s="2466"/>
      <c r="G1" s="2466"/>
      <c r="H1" s="2466"/>
      <c r="I1" s="2466"/>
      <c r="K1" s="2466" t="s">
        <v>7731</v>
      </c>
      <c r="L1" s="2466"/>
      <c r="M1" s="2466"/>
      <c r="N1" s="2466"/>
      <c r="O1" s="2466"/>
      <c r="P1" s="2466"/>
      <c r="Q1" s="2466"/>
      <c r="R1" s="2466"/>
      <c r="S1" s="2466"/>
    </row>
    <row r="2" spans="1:19" s="1168" customFormat="1" ht="12">
      <c r="A2" s="1170"/>
      <c r="B2" s="1174" t="s">
        <v>7732</v>
      </c>
      <c r="C2" s="1174" t="s">
        <v>5755</v>
      </c>
      <c r="D2" s="1174" t="s">
        <v>5774</v>
      </c>
      <c r="E2" s="1174" t="s">
        <v>3454</v>
      </c>
      <c r="F2" s="1174" t="s">
        <v>5746</v>
      </c>
      <c r="G2" s="1174" t="s">
        <v>5750</v>
      </c>
      <c r="H2" s="1174" t="s">
        <v>5836</v>
      </c>
      <c r="I2" s="1169" t="s">
        <v>2874</v>
      </c>
      <c r="K2" s="1170"/>
      <c r="L2" s="1174" t="s">
        <v>7732</v>
      </c>
      <c r="M2" s="1174" t="s">
        <v>5755</v>
      </c>
      <c r="N2" s="1174" t="s">
        <v>5774</v>
      </c>
      <c r="O2" s="1174" t="s">
        <v>3454</v>
      </c>
      <c r="P2" s="1174" t="s">
        <v>5746</v>
      </c>
      <c r="Q2" s="1174" t="s">
        <v>5750</v>
      </c>
      <c r="R2" s="1174" t="s">
        <v>5836</v>
      </c>
      <c r="S2" s="1169" t="s">
        <v>2874</v>
      </c>
    </row>
    <row r="3" spans="1:19" s="1168" customFormat="1" ht="24">
      <c r="A3" s="1181" t="s">
        <v>7733</v>
      </c>
      <c r="B3" s="1173" t="s">
        <v>7734</v>
      </c>
      <c r="C3" s="1173" t="s">
        <v>7735</v>
      </c>
      <c r="D3" s="1175" t="s">
        <v>7736</v>
      </c>
      <c r="E3" s="1175" t="s">
        <v>7737</v>
      </c>
      <c r="F3" s="1173" t="s">
        <v>7738</v>
      </c>
      <c r="G3" s="1175" t="s">
        <v>7739</v>
      </c>
      <c r="H3" s="1175" t="s">
        <v>7740</v>
      </c>
      <c r="I3" s="1178" t="s">
        <v>7741</v>
      </c>
      <c r="J3" s="1167"/>
      <c r="K3" s="1181" t="s">
        <v>7733</v>
      </c>
      <c r="L3" s="1173" t="s">
        <v>7734</v>
      </c>
      <c r="M3" s="1173" t="s">
        <v>7735</v>
      </c>
      <c r="N3" s="1175" t="s">
        <v>7736</v>
      </c>
      <c r="O3" s="1175" t="s">
        <v>7737</v>
      </c>
      <c r="P3" s="1173" t="s">
        <v>7738</v>
      </c>
      <c r="Q3" s="1175" t="s">
        <v>7739</v>
      </c>
      <c r="R3" s="1175" t="s">
        <v>7740</v>
      </c>
      <c r="S3" s="1178" t="s">
        <v>7741</v>
      </c>
    </row>
    <row r="4" spans="1:19" s="1162" customFormat="1" ht="24.5" thickBot="1">
      <c r="A4" s="1177"/>
      <c r="B4" s="1171"/>
      <c r="C4" s="1171"/>
      <c r="D4" s="1171"/>
      <c r="E4" s="1171"/>
      <c r="F4" s="1171" t="s">
        <v>7742</v>
      </c>
      <c r="G4" s="1171"/>
      <c r="H4" s="1171" t="s">
        <v>7743</v>
      </c>
      <c r="I4" s="1172" t="s">
        <v>7744</v>
      </c>
      <c r="J4" s="1179"/>
      <c r="K4" s="1203"/>
      <c r="L4" s="1161"/>
      <c r="M4" s="1161"/>
      <c r="N4" s="1161"/>
      <c r="O4" s="1161"/>
      <c r="P4" s="1161" t="s">
        <v>7742</v>
      </c>
      <c r="Q4" s="1161"/>
      <c r="R4" s="1161" t="s">
        <v>7743</v>
      </c>
      <c r="S4" s="1204" t="s">
        <v>7744</v>
      </c>
    </row>
    <row r="5" spans="1:19" s="1166" customFormat="1" ht="12" customHeight="1">
      <c r="A5" s="1186">
        <v>1</v>
      </c>
      <c r="B5" s="2459" t="s">
        <v>7745</v>
      </c>
      <c r="C5" s="1187" t="s">
        <v>3145</v>
      </c>
      <c r="D5" s="1188">
        <v>40231000</v>
      </c>
      <c r="E5" s="1188">
        <f>38886019-E25</f>
        <v>38886019</v>
      </c>
      <c r="F5" s="1188">
        <f>E5-D5</f>
        <v>-1344981</v>
      </c>
      <c r="G5" s="1188">
        <v>2236019.7170496481</v>
      </c>
      <c r="H5" s="1188">
        <f>E5+G5</f>
        <v>41122038.717049651</v>
      </c>
      <c r="I5" s="1189">
        <f>F5+G5-D10</f>
        <v>744038.71704964805</v>
      </c>
      <c r="J5" s="1180"/>
      <c r="K5" s="1190">
        <v>1</v>
      </c>
      <c r="L5" s="2467" t="s">
        <v>7745</v>
      </c>
      <c r="M5" s="1163" t="s">
        <v>3145</v>
      </c>
      <c r="N5" s="1164">
        <f>ROUND(D5,-3)</f>
        <v>40231000</v>
      </c>
      <c r="O5" s="1164">
        <f>ROUND(E5,-3)</f>
        <v>38886000</v>
      </c>
      <c r="P5" s="1164">
        <f t="shared" ref="P5:S5" si="0">ROUND(F5,-3)</f>
        <v>-1345000</v>
      </c>
      <c r="Q5" s="1164">
        <f t="shared" si="0"/>
        <v>2236000</v>
      </c>
      <c r="R5" s="1164">
        <f t="shared" si="0"/>
        <v>41122000</v>
      </c>
      <c r="S5" s="1198">
        <f t="shared" si="0"/>
        <v>744000</v>
      </c>
    </row>
    <row r="6" spans="1:19" s="1166" customFormat="1" ht="12">
      <c r="A6" s="1190">
        <v>2</v>
      </c>
      <c r="B6" s="2460"/>
      <c r="C6" s="1163" t="s">
        <v>3146</v>
      </c>
      <c r="D6" s="1164">
        <v>166000</v>
      </c>
      <c r="E6" s="1164">
        <f>5931082-E26</f>
        <v>0</v>
      </c>
      <c r="F6" s="1164">
        <f>E6-D6</f>
        <v>-166000</v>
      </c>
      <c r="G6" s="1164">
        <v>0</v>
      </c>
      <c r="H6" s="1164">
        <f>E6+G6</f>
        <v>0</v>
      </c>
      <c r="I6" s="1191">
        <f t="shared" ref="I6:I8" si="1">F6+G6-D11</f>
        <v>-166000</v>
      </c>
      <c r="J6" s="1180"/>
      <c r="K6" s="1190">
        <v>2</v>
      </c>
      <c r="L6" s="2460"/>
      <c r="M6" s="1163" t="s">
        <v>3146</v>
      </c>
      <c r="N6" s="1164">
        <f t="shared" ref="N6:O30" si="2">ROUND(D6,-3)</f>
        <v>166000</v>
      </c>
      <c r="O6" s="1164">
        <f t="shared" ref="O6:O9" si="3">ROUND(E6,-3)</f>
        <v>0</v>
      </c>
      <c r="P6" s="1164">
        <f t="shared" ref="P6:P9" si="4">ROUND(F6,-3)</f>
        <v>-166000</v>
      </c>
      <c r="Q6" s="1164">
        <f t="shared" ref="Q6:Q9" si="5">ROUND(G6,-3)</f>
        <v>0</v>
      </c>
      <c r="R6" s="1164">
        <f t="shared" ref="R6:R9" si="6">ROUND(H6,-3)</f>
        <v>0</v>
      </c>
      <c r="S6" s="1198">
        <f t="shared" ref="S6:S9" si="7">ROUND(I6,-3)</f>
        <v>-166000</v>
      </c>
    </row>
    <row r="7" spans="1:19" s="1166" customFormat="1" ht="12">
      <c r="A7" s="1190">
        <v>3</v>
      </c>
      <c r="B7" s="2460"/>
      <c r="C7" s="1163" t="s">
        <v>3147</v>
      </c>
      <c r="D7" s="1165">
        <v>2172000</v>
      </c>
      <c r="E7" s="1164">
        <f>2192622-E27</f>
        <v>2192622</v>
      </c>
      <c r="F7" s="1164">
        <f t="shared" ref="F7:F8" si="8">E7-D7</f>
        <v>20622</v>
      </c>
      <c r="G7" s="1164">
        <v>0</v>
      </c>
      <c r="H7" s="1164">
        <f>E7+G7</f>
        <v>2192622</v>
      </c>
      <c r="I7" s="1191">
        <f t="shared" si="1"/>
        <v>20622</v>
      </c>
      <c r="J7" s="1180"/>
      <c r="K7" s="1190">
        <v>3</v>
      </c>
      <c r="L7" s="2460"/>
      <c r="M7" s="1163" t="s">
        <v>3147</v>
      </c>
      <c r="N7" s="1164">
        <f t="shared" si="2"/>
        <v>2172000</v>
      </c>
      <c r="O7" s="1164">
        <f t="shared" si="3"/>
        <v>2193000</v>
      </c>
      <c r="P7" s="1164">
        <f t="shared" si="4"/>
        <v>21000</v>
      </c>
      <c r="Q7" s="1164">
        <f t="shared" si="5"/>
        <v>0</v>
      </c>
      <c r="R7" s="1164">
        <f t="shared" si="6"/>
        <v>2193000</v>
      </c>
      <c r="S7" s="1198">
        <f t="shared" si="7"/>
        <v>21000</v>
      </c>
    </row>
    <row r="8" spans="1:19" s="1166" customFormat="1" ht="12">
      <c r="A8" s="1190">
        <v>4</v>
      </c>
      <c r="B8" s="2460"/>
      <c r="C8" s="1163" t="s">
        <v>6576</v>
      </c>
      <c r="D8" s="1164">
        <f>39307000-(1248000-166000)</f>
        <v>38225000</v>
      </c>
      <c r="E8" s="1165">
        <f>42624480-E28</f>
        <v>36693398</v>
      </c>
      <c r="F8" s="1164">
        <f t="shared" si="8"/>
        <v>-1531602</v>
      </c>
      <c r="G8" s="1164">
        <v>2236019.7170496481</v>
      </c>
      <c r="H8" s="1164">
        <f>E8+G8</f>
        <v>38929417.717049651</v>
      </c>
      <c r="I8" s="1191">
        <f t="shared" si="1"/>
        <v>557417.71704964805</v>
      </c>
      <c r="J8" s="1180"/>
      <c r="K8" s="1190">
        <v>4</v>
      </c>
      <c r="L8" s="2460"/>
      <c r="M8" s="1163" t="s">
        <v>6576</v>
      </c>
      <c r="N8" s="1164">
        <f t="shared" si="2"/>
        <v>38225000</v>
      </c>
      <c r="O8" s="1164">
        <f t="shared" si="3"/>
        <v>36693000</v>
      </c>
      <c r="P8" s="1164">
        <f t="shared" si="4"/>
        <v>-1532000</v>
      </c>
      <c r="Q8" s="1164">
        <f t="shared" si="5"/>
        <v>2236000</v>
      </c>
      <c r="R8" s="1164">
        <f t="shared" si="6"/>
        <v>38929000</v>
      </c>
      <c r="S8" s="1198">
        <f t="shared" si="7"/>
        <v>557000</v>
      </c>
    </row>
    <row r="9" spans="1:19" s="1184" customFormat="1" ht="13.5" thickBot="1">
      <c r="A9" s="1192">
        <v>5</v>
      </c>
      <c r="B9" s="2458" t="s">
        <v>7746</v>
      </c>
      <c r="C9" s="2458"/>
      <c r="D9" s="1193">
        <f>SUM(D7:D8)</f>
        <v>40397000</v>
      </c>
      <c r="E9" s="1193">
        <f>SUM(E5:E6)</f>
        <v>38886019</v>
      </c>
      <c r="F9" s="1194">
        <f t="shared" ref="F9" si="9">E9-D9</f>
        <v>-1510981</v>
      </c>
      <c r="G9" s="1194">
        <f>SUM(G5:G6)</f>
        <v>2236019.7170496481</v>
      </c>
      <c r="H9" s="1194">
        <f>E9+G9</f>
        <v>41122038.717049651</v>
      </c>
      <c r="I9" s="1195">
        <f>F9+G9-D14</f>
        <v>578038.71704964805</v>
      </c>
      <c r="J9" s="1182"/>
      <c r="K9" s="1205">
        <v>5</v>
      </c>
      <c r="L9" s="2458" t="s">
        <v>7746</v>
      </c>
      <c r="M9" s="2458"/>
      <c r="N9" s="1185">
        <f t="shared" si="2"/>
        <v>40397000</v>
      </c>
      <c r="O9" s="1185">
        <f t="shared" si="3"/>
        <v>38886000</v>
      </c>
      <c r="P9" s="1185">
        <f t="shared" si="4"/>
        <v>-1511000</v>
      </c>
      <c r="Q9" s="1185">
        <f t="shared" si="5"/>
        <v>2236000</v>
      </c>
      <c r="R9" s="1185">
        <f t="shared" si="6"/>
        <v>41122000</v>
      </c>
      <c r="S9" s="1206">
        <f t="shared" si="7"/>
        <v>578000</v>
      </c>
    </row>
    <row r="10" spans="1:19" s="1166" customFormat="1" ht="12" customHeight="1">
      <c r="A10" s="1186">
        <v>6</v>
      </c>
      <c r="B10" s="2459" t="s">
        <v>131</v>
      </c>
      <c r="C10" s="1187" t="s">
        <v>3145</v>
      </c>
      <c r="D10" s="1196">
        <f>ROUND(146826.1,-3)</f>
        <v>147000</v>
      </c>
      <c r="E10" s="2455" t="s">
        <v>7747</v>
      </c>
      <c r="F10" s="1188">
        <v>0</v>
      </c>
      <c r="G10" s="1188">
        <v>0</v>
      </c>
      <c r="H10" s="1188">
        <v>0</v>
      </c>
      <c r="I10" s="1197">
        <f>F10+G10</f>
        <v>0</v>
      </c>
      <c r="J10" s="1183"/>
      <c r="K10" s="1190">
        <v>6</v>
      </c>
      <c r="L10" s="2467" t="s">
        <v>131</v>
      </c>
      <c r="M10" s="1163" t="s">
        <v>3145</v>
      </c>
      <c r="N10" s="1164">
        <f t="shared" si="2"/>
        <v>147000</v>
      </c>
      <c r="O10" s="2456" t="s">
        <v>7747</v>
      </c>
      <c r="P10" s="1164">
        <f t="shared" ref="P10:P30" si="10">ROUND(F10,-3)</f>
        <v>0</v>
      </c>
      <c r="Q10" s="1164">
        <f t="shared" ref="Q10:Q30" si="11">ROUND(G10,-3)</f>
        <v>0</v>
      </c>
      <c r="R10" s="1164">
        <f t="shared" ref="R10:R30" si="12">ROUND(H10,-3)</f>
        <v>0</v>
      </c>
      <c r="S10" s="1198">
        <f t="shared" ref="S10:S30" si="13">ROUND(I10,-3)</f>
        <v>0</v>
      </c>
    </row>
    <row r="11" spans="1:19" s="1166" customFormat="1" ht="12">
      <c r="A11" s="1190">
        <v>7</v>
      </c>
      <c r="B11" s="2460"/>
      <c r="C11" s="1163" t="s">
        <v>3146</v>
      </c>
      <c r="D11" s="1165">
        <v>0</v>
      </c>
      <c r="E11" s="2456"/>
      <c r="F11" s="1164">
        <v>0</v>
      </c>
      <c r="G11" s="1164">
        <v>0</v>
      </c>
      <c r="H11" s="1164">
        <v>0</v>
      </c>
      <c r="I11" s="1198">
        <f t="shared" ref="I11:I29" si="14">F11+G11</f>
        <v>0</v>
      </c>
      <c r="J11" s="1183"/>
      <c r="K11" s="1190">
        <v>7</v>
      </c>
      <c r="L11" s="2460"/>
      <c r="M11" s="1163" t="s">
        <v>3146</v>
      </c>
      <c r="N11" s="1164">
        <f t="shared" si="2"/>
        <v>0</v>
      </c>
      <c r="O11" s="2456"/>
      <c r="P11" s="1164">
        <f t="shared" si="10"/>
        <v>0</v>
      </c>
      <c r="Q11" s="1164">
        <f t="shared" si="11"/>
        <v>0</v>
      </c>
      <c r="R11" s="1164">
        <f t="shared" si="12"/>
        <v>0</v>
      </c>
      <c r="S11" s="1198">
        <f t="shared" si="13"/>
        <v>0</v>
      </c>
    </row>
    <row r="12" spans="1:19" s="1166" customFormat="1" ht="12">
      <c r="A12" s="1190">
        <v>8</v>
      </c>
      <c r="B12" s="2460"/>
      <c r="C12" s="1163" t="s">
        <v>3147</v>
      </c>
      <c r="D12" s="1165">
        <v>0</v>
      </c>
      <c r="E12" s="2456"/>
      <c r="F12" s="1164">
        <v>0</v>
      </c>
      <c r="G12" s="1164">
        <v>0</v>
      </c>
      <c r="H12" s="1164">
        <v>0</v>
      </c>
      <c r="I12" s="1198">
        <f t="shared" si="14"/>
        <v>0</v>
      </c>
      <c r="J12" s="1183"/>
      <c r="K12" s="1190">
        <v>8</v>
      </c>
      <c r="L12" s="2460"/>
      <c r="M12" s="1163" t="s">
        <v>3147</v>
      </c>
      <c r="N12" s="1164">
        <f t="shared" si="2"/>
        <v>0</v>
      </c>
      <c r="O12" s="2456"/>
      <c r="P12" s="1164">
        <f t="shared" si="10"/>
        <v>0</v>
      </c>
      <c r="Q12" s="1164">
        <f t="shared" si="11"/>
        <v>0</v>
      </c>
      <c r="R12" s="1164">
        <f t="shared" si="12"/>
        <v>0</v>
      </c>
      <c r="S12" s="1198">
        <f t="shared" si="13"/>
        <v>0</v>
      </c>
    </row>
    <row r="13" spans="1:19" s="1166" customFormat="1" ht="12">
      <c r="A13" s="1190">
        <v>9</v>
      </c>
      <c r="B13" s="2460"/>
      <c r="C13" s="1163" t="s">
        <v>6576</v>
      </c>
      <c r="D13" s="1165">
        <f>ROUND(146826.1,-3)</f>
        <v>147000</v>
      </c>
      <c r="E13" s="2456"/>
      <c r="F13" s="1164">
        <v>0</v>
      </c>
      <c r="G13" s="1164">
        <v>0</v>
      </c>
      <c r="H13" s="1164">
        <v>0</v>
      </c>
      <c r="I13" s="1198">
        <f t="shared" si="14"/>
        <v>0</v>
      </c>
      <c r="J13" s="1183"/>
      <c r="K13" s="1190">
        <v>9</v>
      </c>
      <c r="L13" s="2460"/>
      <c r="M13" s="1163" t="s">
        <v>6576</v>
      </c>
      <c r="N13" s="1164">
        <f t="shared" si="2"/>
        <v>147000</v>
      </c>
      <c r="O13" s="2456"/>
      <c r="P13" s="1164">
        <f t="shared" si="10"/>
        <v>0</v>
      </c>
      <c r="Q13" s="1164">
        <f t="shared" si="11"/>
        <v>0</v>
      </c>
      <c r="R13" s="1164">
        <f t="shared" si="12"/>
        <v>0</v>
      </c>
      <c r="S13" s="1198">
        <f t="shared" si="13"/>
        <v>0</v>
      </c>
    </row>
    <row r="14" spans="1:19" s="1184" customFormat="1" ht="13.5" thickBot="1">
      <c r="A14" s="1192">
        <v>10</v>
      </c>
      <c r="B14" s="2458" t="s">
        <v>7748</v>
      </c>
      <c r="C14" s="2458"/>
      <c r="D14" s="1194">
        <f>SUM(D12:D13)</f>
        <v>147000</v>
      </c>
      <c r="E14" s="2457"/>
      <c r="F14" s="1194">
        <v>0</v>
      </c>
      <c r="G14" s="1194">
        <f t="shared" ref="G14:H14" si="15">SUM(G12:G13)</f>
        <v>0</v>
      </c>
      <c r="H14" s="1194">
        <f t="shared" si="15"/>
        <v>0</v>
      </c>
      <c r="I14" s="1199">
        <f t="shared" si="14"/>
        <v>0</v>
      </c>
      <c r="J14" s="1176"/>
      <c r="K14" s="1205">
        <v>10</v>
      </c>
      <c r="L14" s="2458" t="s">
        <v>7748</v>
      </c>
      <c r="M14" s="2458"/>
      <c r="N14" s="1185">
        <f t="shared" si="2"/>
        <v>147000</v>
      </c>
      <c r="O14" s="2456"/>
      <c r="P14" s="1185">
        <f t="shared" si="10"/>
        <v>0</v>
      </c>
      <c r="Q14" s="1185">
        <f t="shared" si="11"/>
        <v>0</v>
      </c>
      <c r="R14" s="1185">
        <f t="shared" si="12"/>
        <v>0</v>
      </c>
      <c r="S14" s="1206">
        <f t="shared" si="13"/>
        <v>0</v>
      </c>
    </row>
    <row r="15" spans="1:19" s="1166" customFormat="1" ht="12" customHeight="1">
      <c r="A15" s="1186">
        <v>11</v>
      </c>
      <c r="B15" s="2459" t="s">
        <v>7749</v>
      </c>
      <c r="C15" s="1187" t="s">
        <v>3145</v>
      </c>
      <c r="D15" s="1196">
        <v>165000</v>
      </c>
      <c r="E15" s="1196">
        <v>165000</v>
      </c>
      <c r="F15" s="1188">
        <f>E15-D15</f>
        <v>0</v>
      </c>
      <c r="G15" s="1188">
        <v>0</v>
      </c>
      <c r="H15" s="1188">
        <f>E15+G15</f>
        <v>165000</v>
      </c>
      <c r="I15" s="1197">
        <f t="shared" si="14"/>
        <v>0</v>
      </c>
      <c r="J15" s="1183"/>
      <c r="K15" s="1190">
        <v>11</v>
      </c>
      <c r="L15" s="2467" t="s">
        <v>7749</v>
      </c>
      <c r="M15" s="1163" t="s">
        <v>3145</v>
      </c>
      <c r="N15" s="1164">
        <f t="shared" si="2"/>
        <v>165000</v>
      </c>
      <c r="O15" s="1164">
        <f t="shared" si="2"/>
        <v>165000</v>
      </c>
      <c r="P15" s="1164">
        <f t="shared" si="10"/>
        <v>0</v>
      </c>
      <c r="Q15" s="1164">
        <f t="shared" si="11"/>
        <v>0</v>
      </c>
      <c r="R15" s="1164">
        <f t="shared" si="12"/>
        <v>165000</v>
      </c>
      <c r="S15" s="1198">
        <f t="shared" si="13"/>
        <v>0</v>
      </c>
    </row>
    <row r="16" spans="1:19" s="1166" customFormat="1" ht="12">
      <c r="A16" s="1190">
        <v>12</v>
      </c>
      <c r="B16" s="2460"/>
      <c r="C16" s="1163" t="s">
        <v>3146</v>
      </c>
      <c r="D16" s="1165">
        <v>1082000</v>
      </c>
      <c r="E16" s="1165">
        <v>1082000</v>
      </c>
      <c r="F16" s="1164">
        <f t="shared" ref="F16:F24" si="16">E16-D16</f>
        <v>0</v>
      </c>
      <c r="G16" s="1164">
        <v>0</v>
      </c>
      <c r="H16" s="1164">
        <f t="shared" ref="H16:H24" si="17">E16+G16</f>
        <v>1082000</v>
      </c>
      <c r="I16" s="1198">
        <f t="shared" si="14"/>
        <v>0</v>
      </c>
      <c r="J16" s="1183"/>
      <c r="K16" s="1190">
        <v>12</v>
      </c>
      <c r="L16" s="2460"/>
      <c r="M16" s="1163" t="s">
        <v>3146</v>
      </c>
      <c r="N16" s="1164">
        <f t="shared" si="2"/>
        <v>1082000</v>
      </c>
      <c r="O16" s="1164">
        <f t="shared" si="2"/>
        <v>1082000</v>
      </c>
      <c r="P16" s="1164">
        <f t="shared" si="10"/>
        <v>0</v>
      </c>
      <c r="Q16" s="1164">
        <f t="shared" si="11"/>
        <v>0</v>
      </c>
      <c r="R16" s="1164">
        <f t="shared" si="12"/>
        <v>1082000</v>
      </c>
      <c r="S16" s="1198">
        <f t="shared" si="13"/>
        <v>0</v>
      </c>
    </row>
    <row r="17" spans="1:19" s="1166" customFormat="1" ht="12">
      <c r="A17" s="1190">
        <v>13</v>
      </c>
      <c r="B17" s="2460"/>
      <c r="C17" s="1163" t="s">
        <v>3147</v>
      </c>
      <c r="D17" s="1165">
        <v>18000</v>
      </c>
      <c r="E17" s="1165">
        <v>18000</v>
      </c>
      <c r="F17" s="1164">
        <f t="shared" si="16"/>
        <v>0</v>
      </c>
      <c r="G17" s="1164">
        <v>0</v>
      </c>
      <c r="H17" s="1164">
        <f t="shared" si="17"/>
        <v>18000</v>
      </c>
      <c r="I17" s="1198">
        <f t="shared" si="14"/>
        <v>0</v>
      </c>
      <c r="J17" s="1183"/>
      <c r="K17" s="1190">
        <v>13</v>
      </c>
      <c r="L17" s="2460"/>
      <c r="M17" s="1163" t="s">
        <v>3147</v>
      </c>
      <c r="N17" s="1164">
        <f t="shared" si="2"/>
        <v>18000</v>
      </c>
      <c r="O17" s="1164">
        <f t="shared" si="2"/>
        <v>18000</v>
      </c>
      <c r="P17" s="1164">
        <f t="shared" si="10"/>
        <v>0</v>
      </c>
      <c r="Q17" s="1164">
        <f t="shared" si="11"/>
        <v>0</v>
      </c>
      <c r="R17" s="1164">
        <f t="shared" si="12"/>
        <v>18000</v>
      </c>
      <c r="S17" s="1198">
        <f t="shared" si="13"/>
        <v>0</v>
      </c>
    </row>
    <row r="18" spans="1:19" s="1166" customFormat="1" ht="12">
      <c r="A18" s="1190">
        <v>14</v>
      </c>
      <c r="B18" s="2460"/>
      <c r="C18" s="1163" t="s">
        <v>6576</v>
      </c>
      <c r="D18" s="1165">
        <v>1229000</v>
      </c>
      <c r="E18" s="1165">
        <v>1229000</v>
      </c>
      <c r="F18" s="1164">
        <f t="shared" si="16"/>
        <v>0</v>
      </c>
      <c r="G18" s="1164">
        <v>0</v>
      </c>
      <c r="H18" s="1164">
        <f t="shared" si="17"/>
        <v>1229000</v>
      </c>
      <c r="I18" s="1198">
        <f t="shared" si="14"/>
        <v>0</v>
      </c>
      <c r="J18" s="1183"/>
      <c r="K18" s="1190">
        <v>14</v>
      </c>
      <c r="L18" s="2460"/>
      <c r="M18" s="1163" t="s">
        <v>6576</v>
      </c>
      <c r="N18" s="1164">
        <f t="shared" si="2"/>
        <v>1229000</v>
      </c>
      <c r="O18" s="1164">
        <f t="shared" si="2"/>
        <v>1229000</v>
      </c>
      <c r="P18" s="1164">
        <f t="shared" si="10"/>
        <v>0</v>
      </c>
      <c r="Q18" s="1164">
        <f t="shared" si="11"/>
        <v>0</v>
      </c>
      <c r="R18" s="1164">
        <f t="shared" si="12"/>
        <v>1229000</v>
      </c>
      <c r="S18" s="1198">
        <f t="shared" si="13"/>
        <v>0</v>
      </c>
    </row>
    <row r="19" spans="1:19" s="1184" customFormat="1" ht="13.5" thickBot="1">
      <c r="A19" s="1192">
        <v>15</v>
      </c>
      <c r="B19" s="2458" t="s">
        <v>7750</v>
      </c>
      <c r="C19" s="2458"/>
      <c r="D19" s="1193">
        <f>SUM(D17:D18)</f>
        <v>1247000</v>
      </c>
      <c r="E19" s="1193">
        <f>SUM(E15:E16)</f>
        <v>1247000</v>
      </c>
      <c r="F19" s="1194">
        <f t="shared" si="16"/>
        <v>0</v>
      </c>
      <c r="G19" s="1193">
        <f t="shared" ref="G19" si="18">SUM(G15:G16)</f>
        <v>0</v>
      </c>
      <c r="H19" s="1194">
        <f>E19+G19</f>
        <v>1247000</v>
      </c>
      <c r="I19" s="1199">
        <f t="shared" si="14"/>
        <v>0</v>
      </c>
      <c r="J19" s="1176"/>
      <c r="K19" s="1205">
        <v>15</v>
      </c>
      <c r="L19" s="2458" t="s">
        <v>7750</v>
      </c>
      <c r="M19" s="2458"/>
      <c r="N19" s="1185">
        <f t="shared" si="2"/>
        <v>1247000</v>
      </c>
      <c r="O19" s="1185">
        <f t="shared" si="2"/>
        <v>1247000</v>
      </c>
      <c r="P19" s="1185">
        <f t="shared" si="10"/>
        <v>0</v>
      </c>
      <c r="Q19" s="1185">
        <f t="shared" si="11"/>
        <v>0</v>
      </c>
      <c r="R19" s="1185">
        <f t="shared" si="12"/>
        <v>1247000</v>
      </c>
      <c r="S19" s="1206">
        <f t="shared" si="13"/>
        <v>0</v>
      </c>
    </row>
    <row r="20" spans="1:19" s="1166" customFormat="1" ht="12">
      <c r="A20" s="1186">
        <v>16</v>
      </c>
      <c r="B20" s="2461" t="s">
        <v>7751</v>
      </c>
      <c r="C20" s="1187" t="s">
        <v>3145</v>
      </c>
      <c r="D20" s="1196">
        <v>0</v>
      </c>
      <c r="E20" s="1196">
        <v>0</v>
      </c>
      <c r="F20" s="1188">
        <f t="shared" si="16"/>
        <v>0</v>
      </c>
      <c r="G20" s="1188">
        <v>0</v>
      </c>
      <c r="H20" s="1188">
        <f>E20+G20</f>
        <v>0</v>
      </c>
      <c r="I20" s="1197">
        <f t="shared" si="14"/>
        <v>0</v>
      </c>
      <c r="J20" s="1183"/>
      <c r="K20" s="1190">
        <v>16</v>
      </c>
      <c r="L20" s="2460" t="s">
        <v>7751</v>
      </c>
      <c r="M20" s="1163" t="s">
        <v>3145</v>
      </c>
      <c r="N20" s="1164">
        <f t="shared" si="2"/>
        <v>0</v>
      </c>
      <c r="O20" s="1164">
        <f t="shared" si="2"/>
        <v>0</v>
      </c>
      <c r="P20" s="1164">
        <f t="shared" si="10"/>
        <v>0</v>
      </c>
      <c r="Q20" s="1164">
        <f t="shared" si="11"/>
        <v>0</v>
      </c>
      <c r="R20" s="1164">
        <f t="shared" si="12"/>
        <v>0</v>
      </c>
      <c r="S20" s="1198">
        <f t="shared" si="13"/>
        <v>0</v>
      </c>
    </row>
    <row r="21" spans="1:19" s="1166" customFormat="1" ht="12">
      <c r="A21" s="1190">
        <v>17</v>
      </c>
      <c r="B21" s="2460"/>
      <c r="C21" s="1163" t="s">
        <v>3146</v>
      </c>
      <c r="D21" s="1165">
        <v>3566000</v>
      </c>
      <c r="E21" s="1165">
        <v>3566000</v>
      </c>
      <c r="F21" s="1164">
        <f t="shared" si="16"/>
        <v>0</v>
      </c>
      <c r="G21" s="1164">
        <v>0</v>
      </c>
      <c r="H21" s="1164">
        <f t="shared" si="17"/>
        <v>3566000</v>
      </c>
      <c r="I21" s="1198">
        <f t="shared" si="14"/>
        <v>0</v>
      </c>
      <c r="J21" s="1183"/>
      <c r="K21" s="1190">
        <v>17</v>
      </c>
      <c r="L21" s="2460"/>
      <c r="M21" s="1163" t="s">
        <v>3146</v>
      </c>
      <c r="N21" s="1164">
        <f t="shared" si="2"/>
        <v>3566000</v>
      </c>
      <c r="O21" s="1164">
        <f t="shared" si="2"/>
        <v>3566000</v>
      </c>
      <c r="P21" s="1164">
        <f t="shared" si="10"/>
        <v>0</v>
      </c>
      <c r="Q21" s="1164">
        <f t="shared" si="11"/>
        <v>0</v>
      </c>
      <c r="R21" s="1164">
        <f t="shared" si="12"/>
        <v>3566000</v>
      </c>
      <c r="S21" s="1198">
        <f t="shared" si="13"/>
        <v>0</v>
      </c>
    </row>
    <row r="22" spans="1:19" s="1166" customFormat="1" ht="12">
      <c r="A22" s="1190">
        <v>18</v>
      </c>
      <c r="B22" s="2460"/>
      <c r="C22" s="1163" t="s">
        <v>3147</v>
      </c>
      <c r="D22" s="1165">
        <v>3566000</v>
      </c>
      <c r="E22" s="1165">
        <v>3566000</v>
      </c>
      <c r="F22" s="1164">
        <f t="shared" si="16"/>
        <v>0</v>
      </c>
      <c r="G22" s="1164">
        <v>0</v>
      </c>
      <c r="H22" s="1164">
        <f t="shared" si="17"/>
        <v>3566000</v>
      </c>
      <c r="I22" s="1198">
        <f t="shared" si="14"/>
        <v>0</v>
      </c>
      <c r="J22" s="1183"/>
      <c r="K22" s="1190">
        <v>18</v>
      </c>
      <c r="L22" s="2460"/>
      <c r="M22" s="1163" t="s">
        <v>3147</v>
      </c>
      <c r="N22" s="1164">
        <f t="shared" si="2"/>
        <v>3566000</v>
      </c>
      <c r="O22" s="1164">
        <f t="shared" si="2"/>
        <v>3566000</v>
      </c>
      <c r="P22" s="1164">
        <f t="shared" si="10"/>
        <v>0</v>
      </c>
      <c r="Q22" s="1164">
        <f t="shared" si="11"/>
        <v>0</v>
      </c>
      <c r="R22" s="1164">
        <f t="shared" si="12"/>
        <v>3566000</v>
      </c>
      <c r="S22" s="1198">
        <f t="shared" si="13"/>
        <v>0</v>
      </c>
    </row>
    <row r="23" spans="1:19" s="1166" customFormat="1" ht="12">
      <c r="A23" s="1190">
        <v>19</v>
      </c>
      <c r="B23" s="2460"/>
      <c r="C23" s="1163" t="s">
        <v>6576</v>
      </c>
      <c r="D23" s="1165">
        <v>0</v>
      </c>
      <c r="E23" s="1165">
        <v>0</v>
      </c>
      <c r="F23" s="1164">
        <f t="shared" si="16"/>
        <v>0</v>
      </c>
      <c r="G23" s="1164">
        <v>0</v>
      </c>
      <c r="H23" s="1164">
        <f t="shared" si="17"/>
        <v>0</v>
      </c>
      <c r="I23" s="1198">
        <f t="shared" si="14"/>
        <v>0</v>
      </c>
      <c r="J23" s="1183"/>
      <c r="K23" s="1190">
        <v>19</v>
      </c>
      <c r="L23" s="2460"/>
      <c r="M23" s="1163" t="s">
        <v>6576</v>
      </c>
      <c r="N23" s="1164">
        <f t="shared" si="2"/>
        <v>0</v>
      </c>
      <c r="O23" s="1164">
        <f t="shared" si="2"/>
        <v>0</v>
      </c>
      <c r="P23" s="1164">
        <f t="shared" si="10"/>
        <v>0</v>
      </c>
      <c r="Q23" s="1164">
        <f t="shared" si="11"/>
        <v>0</v>
      </c>
      <c r="R23" s="1164">
        <f t="shared" si="12"/>
        <v>0</v>
      </c>
      <c r="S23" s="1198">
        <f t="shared" si="13"/>
        <v>0</v>
      </c>
    </row>
    <row r="24" spans="1:19" s="1184" customFormat="1" ht="13.5" thickBot="1">
      <c r="A24" s="1192">
        <v>20</v>
      </c>
      <c r="B24" s="2458" t="s">
        <v>7752</v>
      </c>
      <c r="C24" s="2458"/>
      <c r="D24" s="1193">
        <f>SUM(D20:D21)</f>
        <v>3566000</v>
      </c>
      <c r="E24" s="1193">
        <f>SUM(E20:E21)</f>
        <v>3566000</v>
      </c>
      <c r="F24" s="1194">
        <f t="shared" si="16"/>
        <v>0</v>
      </c>
      <c r="G24" s="1193">
        <f t="shared" ref="G24" si="19">SUM(G22:G23)</f>
        <v>0</v>
      </c>
      <c r="H24" s="1194">
        <f t="shared" si="17"/>
        <v>3566000</v>
      </c>
      <c r="I24" s="1199">
        <f t="shared" si="14"/>
        <v>0</v>
      </c>
      <c r="J24" s="1176"/>
      <c r="K24" s="1205">
        <v>20</v>
      </c>
      <c r="L24" s="2458" t="s">
        <v>7752</v>
      </c>
      <c r="M24" s="2458"/>
      <c r="N24" s="1185">
        <f t="shared" si="2"/>
        <v>3566000</v>
      </c>
      <c r="O24" s="1185">
        <f t="shared" si="2"/>
        <v>3566000</v>
      </c>
      <c r="P24" s="1185">
        <f t="shared" si="10"/>
        <v>0</v>
      </c>
      <c r="Q24" s="1185">
        <f t="shared" si="11"/>
        <v>0</v>
      </c>
      <c r="R24" s="1185">
        <f t="shared" si="12"/>
        <v>3566000</v>
      </c>
      <c r="S24" s="1206">
        <f t="shared" si="13"/>
        <v>0</v>
      </c>
    </row>
    <row r="25" spans="1:19" s="1166" customFormat="1" ht="12">
      <c r="A25" s="1186">
        <v>21</v>
      </c>
      <c r="B25" s="2463" t="s">
        <v>7753</v>
      </c>
      <c r="C25" s="1187" t="s">
        <v>3145</v>
      </c>
      <c r="D25" s="1188">
        <v>0</v>
      </c>
      <c r="E25" s="1196">
        <v>0</v>
      </c>
      <c r="F25" s="1188">
        <f>E25-D25</f>
        <v>0</v>
      </c>
      <c r="G25" s="1188">
        <v>0</v>
      </c>
      <c r="H25" s="1188">
        <f t="shared" ref="H25:H29" si="20">E25+G25</f>
        <v>0</v>
      </c>
      <c r="I25" s="1197">
        <f t="shared" si="14"/>
        <v>0</v>
      </c>
      <c r="J25" s="1183"/>
      <c r="K25" s="1190">
        <v>21</v>
      </c>
      <c r="L25" s="2468" t="s">
        <v>7753</v>
      </c>
      <c r="M25" s="1163" t="s">
        <v>3145</v>
      </c>
      <c r="N25" s="1164">
        <f t="shared" si="2"/>
        <v>0</v>
      </c>
      <c r="O25" s="1164">
        <f t="shared" si="2"/>
        <v>0</v>
      </c>
      <c r="P25" s="1164">
        <f t="shared" si="10"/>
        <v>0</v>
      </c>
      <c r="Q25" s="1164">
        <f t="shared" si="11"/>
        <v>0</v>
      </c>
      <c r="R25" s="1164">
        <f t="shared" si="12"/>
        <v>0</v>
      </c>
      <c r="S25" s="1198">
        <f t="shared" si="13"/>
        <v>0</v>
      </c>
    </row>
    <row r="26" spans="1:19" s="1166" customFormat="1" ht="12">
      <c r="A26" s="1190">
        <v>22</v>
      </c>
      <c r="B26" s="2464"/>
      <c r="C26" s="1163" t="s">
        <v>3146</v>
      </c>
      <c r="D26" s="1164">
        <v>0</v>
      </c>
      <c r="E26" s="1164">
        <v>5931082</v>
      </c>
      <c r="F26" s="1164">
        <f>E26-D26</f>
        <v>5931082</v>
      </c>
      <c r="G26" s="1164">
        <v>0</v>
      </c>
      <c r="H26" s="1164">
        <f>E26+G26</f>
        <v>5931082</v>
      </c>
      <c r="I26" s="1198">
        <f t="shared" si="14"/>
        <v>5931082</v>
      </c>
      <c r="J26" s="1183"/>
      <c r="K26" s="1190">
        <v>22</v>
      </c>
      <c r="L26" s="2464"/>
      <c r="M26" s="1163" t="s">
        <v>3146</v>
      </c>
      <c r="N26" s="1164">
        <f t="shared" si="2"/>
        <v>0</v>
      </c>
      <c r="O26" s="1164">
        <f t="shared" si="2"/>
        <v>5931000</v>
      </c>
      <c r="P26" s="1164">
        <f t="shared" si="10"/>
        <v>5931000</v>
      </c>
      <c r="Q26" s="1164">
        <f t="shared" si="11"/>
        <v>0</v>
      </c>
      <c r="R26" s="1164">
        <f t="shared" si="12"/>
        <v>5931000</v>
      </c>
      <c r="S26" s="1198">
        <f t="shared" si="13"/>
        <v>5931000</v>
      </c>
    </row>
    <row r="27" spans="1:19" s="1166" customFormat="1" ht="12">
      <c r="A27" s="1190">
        <v>23</v>
      </c>
      <c r="B27" s="2464"/>
      <c r="C27" s="1163" t="s">
        <v>3147</v>
      </c>
      <c r="D27" s="1164">
        <v>0</v>
      </c>
      <c r="E27" s="1165">
        <v>0</v>
      </c>
      <c r="F27" s="1164">
        <f t="shared" ref="F27:F28" si="21">E27-D27</f>
        <v>0</v>
      </c>
      <c r="G27" s="1164">
        <v>0</v>
      </c>
      <c r="H27" s="1164">
        <f t="shared" si="20"/>
        <v>0</v>
      </c>
      <c r="I27" s="1198">
        <f t="shared" si="14"/>
        <v>0</v>
      </c>
      <c r="J27" s="1183"/>
      <c r="K27" s="1190">
        <v>23</v>
      </c>
      <c r="L27" s="2464"/>
      <c r="M27" s="1163" t="s">
        <v>3147</v>
      </c>
      <c r="N27" s="1164">
        <f t="shared" si="2"/>
        <v>0</v>
      </c>
      <c r="O27" s="1164">
        <f t="shared" si="2"/>
        <v>0</v>
      </c>
      <c r="P27" s="1164">
        <f t="shared" si="10"/>
        <v>0</v>
      </c>
      <c r="Q27" s="1164">
        <f t="shared" si="11"/>
        <v>0</v>
      </c>
      <c r="R27" s="1164">
        <f t="shared" si="12"/>
        <v>0</v>
      </c>
      <c r="S27" s="1198">
        <f t="shared" si="13"/>
        <v>0</v>
      </c>
    </row>
    <row r="28" spans="1:19" s="1166" customFormat="1" ht="12">
      <c r="A28" s="1190">
        <v>24</v>
      </c>
      <c r="B28" s="2465"/>
      <c r="C28" s="1163" t="s">
        <v>6576</v>
      </c>
      <c r="D28" s="1164">
        <v>0</v>
      </c>
      <c r="E28" s="1164">
        <v>5931082</v>
      </c>
      <c r="F28" s="1164">
        <f t="shared" si="21"/>
        <v>5931082</v>
      </c>
      <c r="G28" s="1164">
        <v>0</v>
      </c>
      <c r="H28" s="1164">
        <f t="shared" si="20"/>
        <v>5931082</v>
      </c>
      <c r="I28" s="1198">
        <f t="shared" si="14"/>
        <v>5931082</v>
      </c>
      <c r="J28" s="1183"/>
      <c r="K28" s="1190">
        <v>24</v>
      </c>
      <c r="L28" s="2465"/>
      <c r="M28" s="1163" t="s">
        <v>6576</v>
      </c>
      <c r="N28" s="1164">
        <f t="shared" si="2"/>
        <v>0</v>
      </c>
      <c r="O28" s="1164">
        <f t="shared" si="2"/>
        <v>5931000</v>
      </c>
      <c r="P28" s="1164">
        <f t="shared" si="10"/>
        <v>5931000</v>
      </c>
      <c r="Q28" s="1164">
        <f t="shared" si="11"/>
        <v>0</v>
      </c>
      <c r="R28" s="1164">
        <f t="shared" si="12"/>
        <v>5931000</v>
      </c>
      <c r="S28" s="1198">
        <f t="shared" si="13"/>
        <v>5931000</v>
      </c>
    </row>
    <row r="29" spans="1:19" s="1184" customFormat="1" ht="13.5" thickBot="1">
      <c r="A29" s="1192">
        <v>25</v>
      </c>
      <c r="B29" s="2458" t="s">
        <v>7754</v>
      </c>
      <c r="C29" s="2458"/>
      <c r="D29" s="1193">
        <f>SUM(D25:D26)</f>
        <v>0</v>
      </c>
      <c r="E29" s="1193">
        <f>SUM(E25:E26)</f>
        <v>5931082</v>
      </c>
      <c r="F29" s="1194">
        <f>E29-D29</f>
        <v>5931082</v>
      </c>
      <c r="G29" s="1193">
        <f t="shared" ref="G29" si="22">SUM(G27:G28)</f>
        <v>0</v>
      </c>
      <c r="H29" s="1194">
        <f t="shared" si="20"/>
        <v>5931082</v>
      </c>
      <c r="I29" s="1199">
        <f t="shared" si="14"/>
        <v>5931082</v>
      </c>
      <c r="J29" s="1176"/>
      <c r="K29" s="1205">
        <v>25</v>
      </c>
      <c r="L29" s="2458" t="s">
        <v>7754</v>
      </c>
      <c r="M29" s="2458"/>
      <c r="N29" s="1185">
        <f t="shared" si="2"/>
        <v>0</v>
      </c>
      <c r="O29" s="1185">
        <f t="shared" si="2"/>
        <v>5931000</v>
      </c>
      <c r="P29" s="1185">
        <f t="shared" si="10"/>
        <v>5931000</v>
      </c>
      <c r="Q29" s="1185">
        <f t="shared" si="11"/>
        <v>0</v>
      </c>
      <c r="R29" s="1185">
        <f t="shared" si="12"/>
        <v>5931000</v>
      </c>
      <c r="S29" s="1206">
        <f t="shared" si="13"/>
        <v>5931000</v>
      </c>
    </row>
    <row r="30" spans="1:19" s="1184" customFormat="1" ht="13.5" thickBot="1">
      <c r="A30" s="1200">
        <v>27</v>
      </c>
      <c r="B30" s="2462" t="s">
        <v>6584</v>
      </c>
      <c r="C30" s="2462"/>
      <c r="D30" s="1201">
        <f>D9+D14+D19+D24+D29</f>
        <v>45357000</v>
      </c>
      <c r="E30" s="1201">
        <f t="shared" ref="E30:I30" si="23">E9+E14+E19+E24+E29</f>
        <v>49630101</v>
      </c>
      <c r="F30" s="1201">
        <f t="shared" si="23"/>
        <v>4420101</v>
      </c>
      <c r="G30" s="1201">
        <f t="shared" si="23"/>
        <v>2236019.7170496481</v>
      </c>
      <c r="H30" s="1201">
        <f t="shared" si="23"/>
        <v>51866120.717049651</v>
      </c>
      <c r="I30" s="1202">
        <f t="shared" si="23"/>
        <v>6509120.7170496481</v>
      </c>
      <c r="J30" s="1182"/>
      <c r="K30" s="1207">
        <v>27</v>
      </c>
      <c r="L30" s="2458" t="s">
        <v>6584</v>
      </c>
      <c r="M30" s="2458"/>
      <c r="N30" s="1208">
        <f t="shared" si="2"/>
        <v>45357000</v>
      </c>
      <c r="O30" s="1208">
        <f t="shared" si="2"/>
        <v>49630000</v>
      </c>
      <c r="P30" s="1208">
        <f t="shared" si="10"/>
        <v>4420000</v>
      </c>
      <c r="Q30" s="1208">
        <f t="shared" si="11"/>
        <v>2236000</v>
      </c>
      <c r="R30" s="1208">
        <f t="shared" si="12"/>
        <v>51866000</v>
      </c>
      <c r="S30" s="1209">
        <f t="shared" si="13"/>
        <v>6509000</v>
      </c>
    </row>
    <row r="31" spans="1:19" s="1166" customFormat="1" ht="12"/>
    <row r="33" spans="1:1">
      <c r="A33" t="s">
        <v>7755</v>
      </c>
    </row>
    <row r="35" spans="1:1">
      <c r="A35" t="s">
        <v>7756</v>
      </c>
    </row>
    <row r="38" spans="1:1">
      <c r="A38" t="s">
        <v>7757</v>
      </c>
    </row>
    <row r="39" spans="1:1">
      <c r="A39" t="s">
        <v>7758</v>
      </c>
    </row>
    <row r="40" spans="1:1">
      <c r="A40" t="s">
        <v>7759</v>
      </c>
    </row>
    <row r="41" spans="1:1">
      <c r="A41" t="s">
        <v>7760</v>
      </c>
    </row>
  </sheetData>
  <mergeCells count="26">
    <mergeCell ref="L29:M29"/>
    <mergeCell ref="L30:M30"/>
    <mergeCell ref="A1:I1"/>
    <mergeCell ref="K1:S1"/>
    <mergeCell ref="L15:L18"/>
    <mergeCell ref="L19:M19"/>
    <mergeCell ref="L20:L23"/>
    <mergeCell ref="L24:M24"/>
    <mergeCell ref="L25:L28"/>
    <mergeCell ref="L5:L8"/>
    <mergeCell ref="L9:M9"/>
    <mergeCell ref="L10:L13"/>
    <mergeCell ref="O10:O14"/>
    <mergeCell ref="L14:M14"/>
    <mergeCell ref="B5:B8"/>
    <mergeCell ref="B9:C9"/>
    <mergeCell ref="B24:C24"/>
    <mergeCell ref="B30:C30"/>
    <mergeCell ref="B25:B28"/>
    <mergeCell ref="B29:C29"/>
    <mergeCell ref="B10:B13"/>
    <mergeCell ref="E10:E14"/>
    <mergeCell ref="B14:C14"/>
    <mergeCell ref="B15:B18"/>
    <mergeCell ref="B19:C19"/>
    <mergeCell ref="B20:B23"/>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3:J20"/>
  <sheetViews>
    <sheetView workbookViewId="0">
      <selection activeCell="G3" sqref="G3"/>
    </sheetView>
  </sheetViews>
  <sheetFormatPr defaultRowHeight="14.5"/>
  <cols>
    <col min="1" max="1" width="20.26953125" customWidth="1"/>
    <col min="2" max="9" width="9.26953125" customWidth="1"/>
    <col min="10" max="10" width="11.1796875" bestFit="1" customWidth="1"/>
  </cols>
  <sheetData>
    <row r="3" spans="1:10">
      <c r="A3" s="800" t="s">
        <v>47</v>
      </c>
      <c r="B3" t="s">
        <v>107</v>
      </c>
    </row>
    <row r="4" spans="1:10" ht="15" thickBot="1"/>
    <row r="5" spans="1:10" ht="15" thickBot="1">
      <c r="B5" s="800" t="s">
        <v>3252</v>
      </c>
      <c r="J5" s="1153"/>
    </row>
    <row r="6" spans="1:10" ht="15" thickBot="1">
      <c r="A6" s="1311" t="s">
        <v>3418</v>
      </c>
      <c r="B6" s="1312" t="s">
        <v>7761</v>
      </c>
      <c r="C6" s="1312" t="s">
        <v>7762</v>
      </c>
      <c r="D6" s="1312" t="s">
        <v>7763</v>
      </c>
      <c r="E6" s="1312" t="s">
        <v>7764</v>
      </c>
      <c r="F6" s="1312" t="s">
        <v>7765</v>
      </c>
      <c r="G6" s="1312" t="s">
        <v>7766</v>
      </c>
      <c r="H6" s="1312" t="s">
        <v>7767</v>
      </c>
      <c r="I6" s="1312" t="s">
        <v>7768</v>
      </c>
      <c r="J6" s="1150" t="s">
        <v>7740</v>
      </c>
    </row>
    <row r="7" spans="1:10">
      <c r="A7" s="1148" t="s">
        <v>87</v>
      </c>
      <c r="B7" s="1310">
        <v>55471.899339726297</v>
      </c>
      <c r="C7" s="1308">
        <v>254022.04604397804</v>
      </c>
      <c r="D7" s="1308">
        <v>44747.069277690054</v>
      </c>
      <c r="E7" s="1308">
        <v>0</v>
      </c>
      <c r="F7" s="1308">
        <v>0</v>
      </c>
      <c r="G7" s="1308">
        <v>0</v>
      </c>
      <c r="H7" s="1308">
        <v>0</v>
      </c>
      <c r="I7" s="1309">
        <v>0</v>
      </c>
      <c r="J7" s="1151">
        <f>SUM(B7:I7)</f>
        <v>354241.01466139441</v>
      </c>
    </row>
    <row r="8" spans="1:10" ht="15" thickBot="1">
      <c r="A8" s="1149" t="s">
        <v>2669</v>
      </c>
      <c r="B8" s="1147">
        <v>35000</v>
      </c>
      <c r="C8" s="1143">
        <v>33600</v>
      </c>
      <c r="D8" s="1143">
        <v>32200</v>
      </c>
      <c r="E8" s="1143">
        <v>14600</v>
      </c>
      <c r="F8" s="1143">
        <v>13200</v>
      </c>
      <c r="G8" s="1143">
        <v>13200</v>
      </c>
      <c r="H8" s="1143">
        <v>6600</v>
      </c>
      <c r="I8" s="1144">
        <v>6600</v>
      </c>
      <c r="J8" s="1154">
        <f t="shared" ref="J8:J10" si="0">SUM(B8:I8)</f>
        <v>155000</v>
      </c>
    </row>
    <row r="9" spans="1:10">
      <c r="A9" s="1148" t="s">
        <v>7769</v>
      </c>
      <c r="B9" s="1158">
        <f>1022000+225000</f>
        <v>1247000</v>
      </c>
      <c r="C9" s="1141">
        <v>0</v>
      </c>
      <c r="D9" s="1141">
        <v>0</v>
      </c>
      <c r="E9" s="1141">
        <v>0</v>
      </c>
      <c r="F9" s="1141">
        <v>0</v>
      </c>
      <c r="G9" s="1141">
        <v>0</v>
      </c>
      <c r="H9" s="1141">
        <v>0</v>
      </c>
      <c r="I9" s="1142">
        <v>0</v>
      </c>
      <c r="J9" s="1152">
        <f t="shared" si="0"/>
        <v>1247000</v>
      </c>
    </row>
    <row r="10" spans="1:10" ht="15" thickBot="1">
      <c r="A10" s="1149" t="s">
        <v>7770</v>
      </c>
      <c r="B10" s="1147">
        <v>3566000</v>
      </c>
      <c r="C10" s="1143">
        <v>0</v>
      </c>
      <c r="D10" s="1143">
        <v>0</v>
      </c>
      <c r="E10" s="1143">
        <v>0</v>
      </c>
      <c r="F10" s="1143">
        <v>0</v>
      </c>
      <c r="G10" s="1143">
        <v>0</v>
      </c>
      <c r="H10" s="1143">
        <v>0</v>
      </c>
      <c r="I10" s="1144">
        <v>0</v>
      </c>
      <c r="J10" s="1152">
        <f t="shared" si="0"/>
        <v>3566000</v>
      </c>
    </row>
    <row r="11" spans="1:10" ht="15" thickBot="1">
      <c r="A11" s="1145" t="s">
        <v>7771</v>
      </c>
      <c r="B11" s="1146">
        <f>SUM(B7:B10)</f>
        <v>4903471.8993397262</v>
      </c>
      <c r="C11" s="1159">
        <f t="shared" ref="C11:J11" si="1">SUM(C7:C10)</f>
        <v>287622.04604397807</v>
      </c>
      <c r="D11" s="1159">
        <f t="shared" si="1"/>
        <v>76947.069277690054</v>
      </c>
      <c r="E11" s="1159">
        <f t="shared" si="1"/>
        <v>14600</v>
      </c>
      <c r="F11" s="1159">
        <f t="shared" si="1"/>
        <v>13200</v>
      </c>
      <c r="G11" s="1159">
        <f t="shared" si="1"/>
        <v>13200</v>
      </c>
      <c r="H11" s="1159">
        <f t="shared" si="1"/>
        <v>6600</v>
      </c>
      <c r="I11" s="1159">
        <f t="shared" si="1"/>
        <v>6600</v>
      </c>
      <c r="J11" s="1160">
        <f t="shared" si="1"/>
        <v>5322241.0146613941</v>
      </c>
    </row>
    <row r="13" spans="1:10">
      <c r="B13" s="1138"/>
    </row>
    <row r="18" spans="2:9">
      <c r="B18" s="1138"/>
      <c r="C18" s="1138"/>
      <c r="D18" s="1138"/>
      <c r="E18" s="1138"/>
      <c r="F18" s="1138"/>
      <c r="G18" s="1138"/>
      <c r="H18" s="1138"/>
      <c r="I18" s="1138"/>
    </row>
    <row r="19" spans="2:9">
      <c r="B19" s="1138"/>
      <c r="C19" s="1138"/>
      <c r="D19" s="1138"/>
      <c r="E19" s="1138"/>
      <c r="F19" s="1138"/>
      <c r="G19" s="1138"/>
      <c r="H19" s="1138"/>
      <c r="I19" s="1138"/>
    </row>
    <row r="20" spans="2:9">
      <c r="B20" s="1138"/>
      <c r="C20" s="1138"/>
      <c r="D20" s="1138"/>
      <c r="E20" s="1138"/>
      <c r="F20" s="1138"/>
      <c r="G20" s="1138"/>
      <c r="H20" s="1138"/>
      <c r="I20" s="1138"/>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tabColor rgb="FF00B050"/>
    <pageSetUpPr fitToPage="1"/>
  </sheetPr>
  <dimension ref="A1:CV338"/>
  <sheetViews>
    <sheetView topLeftCell="D1" zoomScale="70" zoomScaleNormal="70" workbookViewId="0">
      <pane ySplit="4" topLeftCell="A5" activePane="bottomLeft" state="frozen"/>
      <selection activeCell="S6" sqref="S6"/>
      <selection pane="bottomLeft" activeCell="S6" sqref="S6"/>
    </sheetView>
  </sheetViews>
  <sheetFormatPr defaultRowHeight="14.5" outlineLevelRow="1"/>
  <cols>
    <col min="1" max="1" width="9.1796875" customWidth="1"/>
    <col min="2" max="2" width="15.81640625" customWidth="1"/>
    <col min="3" max="3" width="9.1796875" customWidth="1"/>
    <col min="6" max="6" width="9.1796875" customWidth="1"/>
    <col min="7" max="7" width="63.7265625" customWidth="1"/>
    <col min="8" max="8" width="23.54296875" style="818" customWidth="1"/>
    <col min="9" max="9" width="24.7265625" style="818" customWidth="1"/>
    <col min="10" max="10" width="11.26953125" customWidth="1"/>
    <col min="11" max="11" width="14.7265625" style="165" hidden="1" customWidth="1"/>
    <col min="12" max="12" width="10.7265625" hidden="1" customWidth="1"/>
    <col min="13" max="13" width="13" hidden="1" customWidth="1"/>
    <col min="14" max="14" width="15" hidden="1" customWidth="1"/>
    <col min="15" max="15" width="9.54296875" hidden="1" customWidth="1"/>
    <col min="16" max="16" width="17.7265625" style="812" hidden="1" customWidth="1"/>
    <col min="17" max="17" width="16.26953125" style="812" hidden="1" customWidth="1"/>
    <col min="18" max="18" width="15.54296875" style="812" hidden="1" customWidth="1"/>
    <col min="19" max="19" width="21.54296875" style="814" customWidth="1"/>
    <col min="20" max="20" width="21.54296875" style="814" hidden="1" customWidth="1"/>
    <col min="21" max="21" width="23.1796875" style="814" hidden="1" customWidth="1"/>
    <col min="22" max="22" width="21.54296875" style="968" hidden="1" customWidth="1"/>
    <col min="23" max="23" width="45.54296875" customWidth="1"/>
    <col min="24" max="24" width="23.26953125" style="818" customWidth="1"/>
    <col min="25" max="25" width="13.1796875" customWidth="1"/>
    <col min="26" max="26" width="13.1796875" style="901" bestFit="1" customWidth="1"/>
    <col min="29" max="29" width="12" customWidth="1"/>
    <col min="34" max="34" width="91.7265625" bestFit="1" customWidth="1"/>
    <col min="36" max="36" width="15.7265625" customWidth="1"/>
    <col min="37" max="37" width="17.81640625" customWidth="1"/>
  </cols>
  <sheetData>
    <row r="1" spans="1:28">
      <c r="J1" s="854"/>
      <c r="R1" s="812" t="e">
        <f>S5-1299000</f>
        <v>#REF!</v>
      </c>
      <c r="W1" s="203"/>
    </row>
    <row r="2" spans="1:28" ht="12.75" customHeight="1" thickBot="1">
      <c r="H2" s="966" t="s">
        <v>3254</v>
      </c>
      <c r="W2" s="855">
        <v>854624.26437936048</v>
      </c>
    </row>
    <row r="3" spans="1:28" ht="15" thickBot="1">
      <c r="D3" s="819"/>
      <c r="E3" s="819"/>
      <c r="F3" s="819"/>
      <c r="G3" s="819"/>
      <c r="H3" s="820"/>
      <c r="I3" s="820"/>
      <c r="J3" s="819"/>
      <c r="K3" s="2222" t="s">
        <v>24</v>
      </c>
      <c r="L3" s="2223"/>
      <c r="M3" s="2224"/>
      <c r="N3" s="2222" t="s">
        <v>3255</v>
      </c>
      <c r="O3" s="2223"/>
      <c r="P3" s="2223"/>
      <c r="Q3" s="2223"/>
      <c r="R3" s="2223"/>
      <c r="S3" s="2224"/>
      <c r="T3" s="1060"/>
      <c r="U3" s="1060"/>
      <c r="V3" s="1060"/>
      <c r="W3" s="819"/>
    </row>
    <row r="4" spans="1:28" s="7" customFormat="1" ht="42" customHeight="1" thickBot="1">
      <c r="D4" s="821" t="s">
        <v>3256</v>
      </c>
      <c r="E4" s="822" t="s">
        <v>17</v>
      </c>
      <c r="F4" s="822" t="s">
        <v>3257</v>
      </c>
      <c r="G4" s="823" t="s">
        <v>3258</v>
      </c>
      <c r="H4" s="824" t="s">
        <v>2876</v>
      </c>
      <c r="I4" s="824" t="s">
        <v>2876</v>
      </c>
      <c r="J4" s="823" t="s">
        <v>24</v>
      </c>
      <c r="K4" s="825" t="s">
        <v>3259</v>
      </c>
      <c r="L4" s="903" t="s">
        <v>3260</v>
      </c>
      <c r="M4" s="826" t="s">
        <v>3261</v>
      </c>
      <c r="N4" s="826" t="s">
        <v>3259</v>
      </c>
      <c r="O4" s="826" t="s">
        <v>3260</v>
      </c>
      <c r="P4" s="827" t="s">
        <v>3262</v>
      </c>
      <c r="Q4" s="827" t="s">
        <v>3263</v>
      </c>
      <c r="R4" s="827" t="s">
        <v>3264</v>
      </c>
      <c r="S4" s="827" t="s">
        <v>3265</v>
      </c>
      <c r="T4" s="1071" t="s">
        <v>3266</v>
      </c>
      <c r="U4" s="827" t="s">
        <v>3267</v>
      </c>
      <c r="V4" s="1070" t="s">
        <v>3268</v>
      </c>
      <c r="W4" s="828" t="s">
        <v>3269</v>
      </c>
      <c r="X4" s="993" t="s">
        <v>1167</v>
      </c>
      <c r="Y4" s="7" t="s">
        <v>35</v>
      </c>
      <c r="Z4" s="850" t="s">
        <v>3270</v>
      </c>
      <c r="AA4" s="7" t="s">
        <v>3270</v>
      </c>
      <c r="AB4" s="7" t="s">
        <v>3268</v>
      </c>
    </row>
    <row r="5" spans="1:28" s="7" customFormat="1">
      <c r="D5" s="2226" t="s">
        <v>3271</v>
      </c>
      <c r="E5" s="1029"/>
      <c r="F5" s="1029" t="s">
        <v>80</v>
      </c>
      <c r="G5" s="1039" t="s">
        <v>81</v>
      </c>
      <c r="I5" s="1030" t="e">
        <f>'Estimate Details'!S11+'Estimate Details'!#REF!</f>
        <v>#REF!</v>
      </c>
      <c r="J5" s="1039" t="s">
        <v>136</v>
      </c>
      <c r="K5" s="835" t="e">
        <f>#REF!</f>
        <v>#REF!</v>
      </c>
      <c r="L5" s="1030" t="e">
        <f>VLOOKUP(F5,#REF!,6,FALSE)</f>
        <v>#REF!</v>
      </c>
      <c r="M5" s="1030" t="e">
        <f>VLOOKUP(F5,#REF!,9,FALSE)</f>
        <v>#REF!</v>
      </c>
      <c r="N5" s="1030" t="e">
        <f t="shared" ref="N5:N17" si="0">K5*I5</f>
        <v>#REF!</v>
      </c>
      <c r="O5" s="1030" t="e">
        <f t="shared" ref="O5:O17" si="1">L5*I5</f>
        <v>#REF!</v>
      </c>
      <c r="P5" s="1046" t="e">
        <f>W2-SUM(Q5,O5)</f>
        <v>#REF!</v>
      </c>
      <c r="Q5" s="1046" t="e">
        <f>M5*I5</f>
        <v>#REF!</v>
      </c>
      <c r="R5" s="836" t="e">
        <f>#REF!</f>
        <v>#REF!</v>
      </c>
      <c r="S5" s="1047" t="e">
        <f>R5*I5</f>
        <v>#REF!</v>
      </c>
      <c r="T5" s="1041" t="e">
        <f>ROUND(S5,-3)</f>
        <v>#REF!</v>
      </c>
      <c r="U5" s="1053">
        <v>913560.76887668774</v>
      </c>
      <c r="V5" s="1067" t="e">
        <f>S5-U5</f>
        <v>#REF!</v>
      </c>
      <c r="W5" s="1072" t="s">
        <v>3272</v>
      </c>
      <c r="X5" s="1042" t="e">
        <f>VLOOKUP(F5,#REF!,2,FALSE)-S5</f>
        <v>#REF!</v>
      </c>
      <c r="Y5" s="7" t="e">
        <f>VLOOKUP(F5,#REF!,11,FALSE)</f>
        <v>#REF!</v>
      </c>
      <c r="Z5" s="850" t="e">
        <f t="shared" ref="Z5:Z17" si="2">Y5*H5</f>
        <v>#REF!</v>
      </c>
      <c r="AA5" s="7">
        <v>0</v>
      </c>
      <c r="AB5" s="850" t="e">
        <f>Z5-AA5</f>
        <v>#REF!</v>
      </c>
    </row>
    <row r="6" spans="1:28" s="7" customFormat="1">
      <c r="A6" s="7" t="s">
        <v>80</v>
      </c>
      <c r="B6" s="7" t="s">
        <v>150</v>
      </c>
      <c r="D6" s="2227"/>
      <c r="E6" s="1872" t="s">
        <v>80</v>
      </c>
      <c r="F6" s="1872" t="s">
        <v>150</v>
      </c>
      <c r="G6" s="172" t="s">
        <v>151</v>
      </c>
      <c r="H6" s="1064" t="e">
        <f>GETPIVOTDATA("QTY",#REF!,"Qty Code","A2")</f>
        <v>#REF!</v>
      </c>
      <c r="I6" s="1064">
        <f>VLOOKUP(E6,$N$102:$P$153,3,FALSE)</f>
        <v>10051234.018170051</v>
      </c>
      <c r="J6" s="172" t="s">
        <v>136</v>
      </c>
      <c r="K6" s="836" t="e">
        <f>VLOOKUP(F6,#REF!,5,FALSE)</f>
        <v>#REF!</v>
      </c>
      <c r="L6" s="898" t="e">
        <f>VLOOKUP(F6,#REF!,6,FALSE)</f>
        <v>#REF!</v>
      </c>
      <c r="M6" s="898" t="e">
        <f>VLOOKUP(F6,#REF!,9,FALSE)</f>
        <v>#REF!</v>
      </c>
      <c r="N6" s="1064" t="e">
        <f t="shared" si="0"/>
        <v>#REF!</v>
      </c>
      <c r="O6" s="1064" t="e">
        <f>L6*I6</f>
        <v>#REF!</v>
      </c>
      <c r="P6" s="1048" t="e">
        <f>N6*'Labour Rate'!$L$19</f>
        <v>#REF!</v>
      </c>
      <c r="Q6" s="1048" t="e">
        <f t="shared" ref="Q6:Q17" si="3">M6*I6</f>
        <v>#REF!</v>
      </c>
      <c r="R6" s="836" t="e">
        <f t="shared" ref="R6:R17" si="4">S6/I6</f>
        <v>#REF!</v>
      </c>
      <c r="S6" s="1041" t="e">
        <f t="shared" ref="S6:S13" si="5">SUM(O6:Q6)</f>
        <v>#REF!</v>
      </c>
      <c r="T6" s="1041" t="e">
        <f t="shared" ref="T6:T70" si="6">ROUND(S6,-3)</f>
        <v>#REF!</v>
      </c>
      <c r="U6" s="1873">
        <v>4441950.2782334546</v>
      </c>
      <c r="V6" s="1068" t="e">
        <f t="shared" ref="V6:V70" si="7">S6-U6</f>
        <v>#REF!</v>
      </c>
      <c r="W6" s="1874"/>
      <c r="X6" s="1042" t="e">
        <f>VLOOKUP(F6,#REF!,2,FALSE)-S6</f>
        <v>#REF!</v>
      </c>
      <c r="Y6" s="7" t="e">
        <f>VLOOKUP(F6,#REF!,11,FALSE)</f>
        <v>#REF!</v>
      </c>
      <c r="Z6" s="850" t="e">
        <f t="shared" si="2"/>
        <v>#REF!</v>
      </c>
      <c r="AA6" s="7">
        <v>0</v>
      </c>
      <c r="AB6" s="850" t="e">
        <f t="shared" ref="AB6:AB70" si="8">Z6-AA6</f>
        <v>#REF!</v>
      </c>
    </row>
    <row r="7" spans="1:28" s="7" customFormat="1">
      <c r="A7" s="7" t="s">
        <v>255</v>
      </c>
      <c r="B7" s="7" t="s">
        <v>255</v>
      </c>
      <c r="D7" s="2227"/>
      <c r="E7" s="1872" t="s">
        <v>3273</v>
      </c>
      <c r="F7" s="1872" t="s">
        <v>150</v>
      </c>
      <c r="G7" s="172" t="s">
        <v>3274</v>
      </c>
      <c r="H7" s="1064" t="e">
        <f>SUM(H34:H46)</f>
        <v>#REF!</v>
      </c>
      <c r="I7" s="1064">
        <f>SUM(I34:I46)+'Buildings Footprints'!F56</f>
        <v>69066.840218182158</v>
      </c>
      <c r="J7" s="172" t="s">
        <v>136</v>
      </c>
      <c r="K7" s="836" t="e">
        <f>VLOOKUP(F7,#REF!,5,FALSE)</f>
        <v>#REF!</v>
      </c>
      <c r="L7" s="898" t="e">
        <f>VLOOKUP(F7,#REF!,6,FALSE)</f>
        <v>#REF!</v>
      </c>
      <c r="M7" s="898" t="e">
        <f>VLOOKUP(F7,#REF!,9,FALSE)</f>
        <v>#REF!</v>
      </c>
      <c r="N7" s="1064" t="e">
        <f t="shared" si="0"/>
        <v>#REF!</v>
      </c>
      <c r="O7" s="1064" t="e">
        <f t="shared" si="1"/>
        <v>#REF!</v>
      </c>
      <c r="P7" s="1048" t="e">
        <f>N7*'Labour Rate'!$L$19</f>
        <v>#REF!</v>
      </c>
      <c r="Q7" s="1048" t="e">
        <f t="shared" si="3"/>
        <v>#REF!</v>
      </c>
      <c r="R7" s="836" t="e">
        <f t="shared" si="4"/>
        <v>#REF!</v>
      </c>
      <c r="S7" s="1041" t="e">
        <f t="shared" si="5"/>
        <v>#REF!</v>
      </c>
      <c r="T7" s="1041" t="e">
        <f t="shared" si="6"/>
        <v>#REF!</v>
      </c>
      <c r="U7" s="1873">
        <v>49918.281008902428</v>
      </c>
      <c r="V7" s="1068" t="e">
        <f t="shared" si="7"/>
        <v>#REF!</v>
      </c>
      <c r="W7" s="1874"/>
      <c r="X7" s="1042" t="e">
        <f>VLOOKUP(F7,#REF!,2,FALSE)-S7</f>
        <v>#REF!</v>
      </c>
      <c r="Y7" s="7" t="e">
        <f>VLOOKUP(F7,#REF!,11,FALSE)</f>
        <v>#REF!</v>
      </c>
      <c r="Z7" s="850" t="e">
        <f t="shared" si="2"/>
        <v>#REF!</v>
      </c>
      <c r="AA7" s="7">
        <v>0</v>
      </c>
      <c r="AB7" s="850" t="e">
        <f t="shared" si="8"/>
        <v>#REF!</v>
      </c>
    </row>
    <row r="8" spans="1:28" s="7" customFormat="1">
      <c r="A8" s="7" t="s">
        <v>204</v>
      </c>
      <c r="B8" s="7" t="s">
        <v>204</v>
      </c>
      <c r="D8" s="2227"/>
      <c r="E8" s="1872" t="s">
        <v>255</v>
      </c>
      <c r="F8" s="1872" t="s">
        <v>255</v>
      </c>
      <c r="G8" s="172" t="s">
        <v>256</v>
      </c>
      <c r="H8" s="1064" t="e">
        <f>GETPIVOTDATA("QTY",$CS$92,"Price Code","A3l")</f>
        <v>#REF!</v>
      </c>
      <c r="I8" s="1064">
        <f>VLOOKUP(E8,$N$102:$P$153,3,FALSE)</f>
        <v>128823.76000000001</v>
      </c>
      <c r="J8" s="172" t="s">
        <v>136</v>
      </c>
      <c r="K8" s="836" t="e">
        <f>VLOOKUP(F8,#REF!,5,FALSE)</f>
        <v>#REF!</v>
      </c>
      <c r="L8" s="898" t="e">
        <f>VLOOKUP(F8,#REF!,6,FALSE)</f>
        <v>#REF!</v>
      </c>
      <c r="M8" s="898" t="e">
        <f>VLOOKUP(F8,#REF!,9,FALSE)</f>
        <v>#REF!</v>
      </c>
      <c r="N8" s="1064" t="e">
        <f t="shared" si="0"/>
        <v>#REF!</v>
      </c>
      <c r="O8" s="1064" t="e">
        <f t="shared" si="1"/>
        <v>#REF!</v>
      </c>
      <c r="P8" s="1048" t="e">
        <f>N8*'Labour Rate'!$L$19</f>
        <v>#REF!</v>
      </c>
      <c r="Q8" s="1048" t="e">
        <f t="shared" si="3"/>
        <v>#REF!</v>
      </c>
      <c r="R8" s="836" t="e">
        <f>S8/I8</f>
        <v>#REF!</v>
      </c>
      <c r="S8" s="1041" t="e">
        <f t="shared" si="5"/>
        <v>#REF!</v>
      </c>
      <c r="T8" s="1041" t="e">
        <f t="shared" si="6"/>
        <v>#REF!</v>
      </c>
      <c r="U8" s="1873">
        <v>363393.9282146339</v>
      </c>
      <c r="V8" s="1068" t="e">
        <f t="shared" si="7"/>
        <v>#REF!</v>
      </c>
      <c r="W8" s="1875"/>
      <c r="X8" s="1042" t="e">
        <f>VLOOKUP(F8,#REF!,2,FALSE)-S8</f>
        <v>#REF!</v>
      </c>
      <c r="Y8" s="7" t="e">
        <f>VLOOKUP(F8,#REF!,11,FALSE)</f>
        <v>#REF!</v>
      </c>
      <c r="Z8" s="850" t="e">
        <f t="shared" si="2"/>
        <v>#REF!</v>
      </c>
      <c r="AA8" s="7">
        <v>0</v>
      </c>
      <c r="AB8" s="850" t="e">
        <f t="shared" si="8"/>
        <v>#REF!</v>
      </c>
    </row>
    <row r="9" spans="1:28" s="7" customFormat="1">
      <c r="A9" s="7" t="s">
        <v>204</v>
      </c>
      <c r="B9" s="7" t="s">
        <v>204</v>
      </c>
      <c r="D9" s="2227"/>
      <c r="E9" s="1872" t="s">
        <v>1269</v>
      </c>
      <c r="F9" s="1872" t="s">
        <v>1269</v>
      </c>
      <c r="G9" s="172" t="s">
        <v>1270</v>
      </c>
      <c r="H9" s="1064"/>
      <c r="I9" s="1064">
        <f>VLOOKUP(E9,$N$102:$P$169,3,FALSE)</f>
        <v>264871</v>
      </c>
      <c r="J9" s="172" t="s">
        <v>136</v>
      </c>
      <c r="K9" s="836" t="e">
        <f>VLOOKUP(F9,#REF!,5,FALSE)</f>
        <v>#REF!</v>
      </c>
      <c r="L9" s="898" t="e">
        <f>VLOOKUP(F9,#REF!,6,FALSE)</f>
        <v>#REF!</v>
      </c>
      <c r="M9" s="898" t="e">
        <f>VLOOKUP(F9,#REF!,9,FALSE)</f>
        <v>#REF!</v>
      </c>
      <c r="N9" s="1064" t="e">
        <f t="shared" si="0"/>
        <v>#REF!</v>
      </c>
      <c r="O9" s="1064" t="e">
        <f t="shared" si="1"/>
        <v>#REF!</v>
      </c>
      <c r="P9" s="1048" t="e">
        <f>N9*'Labour Rate'!$L$19</f>
        <v>#REF!</v>
      </c>
      <c r="Q9" s="1048" t="e">
        <f t="shared" si="3"/>
        <v>#REF!</v>
      </c>
      <c r="R9" s="836" t="e">
        <f t="shared" si="4"/>
        <v>#REF!</v>
      </c>
      <c r="S9" s="1041" t="e">
        <f t="shared" si="5"/>
        <v>#REF!</v>
      </c>
      <c r="T9" s="1041" t="e">
        <f t="shared" si="6"/>
        <v>#REF!</v>
      </c>
      <c r="U9" s="1873">
        <v>512060.60172421299</v>
      </c>
      <c r="V9" s="1068" t="e">
        <f t="shared" si="7"/>
        <v>#REF!</v>
      </c>
      <c r="W9" s="1875"/>
      <c r="X9" s="1042" t="e">
        <f>VLOOKUP(F9,#REF!,2,FALSE)-S9</f>
        <v>#REF!</v>
      </c>
      <c r="Y9" s="7" t="e">
        <f>VLOOKUP(F9,#REF!,11,FALSE)</f>
        <v>#REF!</v>
      </c>
      <c r="Z9" s="850" t="e">
        <f t="shared" si="2"/>
        <v>#REF!</v>
      </c>
      <c r="AA9" s="7">
        <v>0</v>
      </c>
      <c r="AB9" s="850" t="e">
        <f t="shared" si="8"/>
        <v>#REF!</v>
      </c>
    </row>
    <row r="10" spans="1:28" s="7" customFormat="1">
      <c r="A10" s="7" t="s">
        <v>3275</v>
      </c>
      <c r="B10" s="7" t="s">
        <v>3276</v>
      </c>
      <c r="D10" s="2227"/>
      <c r="E10" s="1872" t="s">
        <v>205</v>
      </c>
      <c r="F10" s="1872" t="s">
        <v>205</v>
      </c>
      <c r="G10" s="172" t="s">
        <v>3277</v>
      </c>
      <c r="H10" s="1064" t="e">
        <f>GETPIVOTDATA("QTY",#REF!,"Qty Code","cu")</f>
        <v>#REF!</v>
      </c>
      <c r="I10" s="1064">
        <f t="shared" ref="I10:I17" si="9">VLOOKUP(E10,$N$102:$P$153,3,FALSE)</f>
        <v>537</v>
      </c>
      <c r="J10" s="172" t="s">
        <v>2719</v>
      </c>
      <c r="K10" s="836" t="e">
        <f>VLOOKUP(F10,#REF!,5,FALSE)</f>
        <v>#REF!</v>
      </c>
      <c r="L10" s="1064" t="e">
        <f>VLOOKUP(F10,#REF!,6,FALSE)</f>
        <v>#REF!</v>
      </c>
      <c r="M10" s="1064" t="e">
        <f>VLOOKUP(F10,#REF!,9,FALSE)</f>
        <v>#REF!</v>
      </c>
      <c r="N10" s="1064" t="e">
        <f t="shared" si="0"/>
        <v>#REF!</v>
      </c>
      <c r="O10" s="1064" t="e">
        <f t="shared" si="1"/>
        <v>#REF!</v>
      </c>
      <c r="P10" s="1048" t="e">
        <f>N10*'Labour Rate'!$L$19</f>
        <v>#REF!</v>
      </c>
      <c r="Q10" s="1048" t="e">
        <f t="shared" si="3"/>
        <v>#REF!</v>
      </c>
      <c r="R10" s="836" t="e">
        <f t="shared" si="4"/>
        <v>#REF!</v>
      </c>
      <c r="S10" s="1041" t="e">
        <f t="shared" si="5"/>
        <v>#REF!</v>
      </c>
      <c r="T10" s="1041" t="e">
        <f t="shared" si="6"/>
        <v>#REF!</v>
      </c>
      <c r="U10" s="1873">
        <v>419185.94942857145</v>
      </c>
      <c r="V10" s="1068" t="e">
        <f t="shared" si="7"/>
        <v>#REF!</v>
      </c>
      <c r="W10" s="1874"/>
      <c r="X10" s="1042" t="e">
        <f>VLOOKUP(F10,#REF!,2,FALSE)-S10</f>
        <v>#REF!</v>
      </c>
      <c r="Y10" s="7" t="e">
        <f>VLOOKUP(F10,#REF!,11,FALSE)</f>
        <v>#REF!</v>
      </c>
      <c r="Z10" s="850" t="e">
        <f t="shared" si="2"/>
        <v>#REF!</v>
      </c>
      <c r="AA10" s="7">
        <v>0</v>
      </c>
      <c r="AB10" s="850" t="e">
        <f t="shared" si="8"/>
        <v>#REF!</v>
      </c>
    </row>
    <row r="11" spans="1:28" s="7" customFormat="1" ht="15" thickBot="1">
      <c r="A11" s="7" t="s">
        <v>140</v>
      </c>
      <c r="B11" s="7" t="s">
        <v>140</v>
      </c>
      <c r="D11" s="2228"/>
      <c r="E11" s="1028" t="str">
        <f>F11</f>
        <v>BR</v>
      </c>
      <c r="F11" s="1028" t="s">
        <v>2887</v>
      </c>
      <c r="G11" s="173" t="s">
        <v>3278</v>
      </c>
      <c r="H11" s="1027">
        <v>4</v>
      </c>
      <c r="I11" s="1027">
        <f t="shared" si="9"/>
        <v>4</v>
      </c>
      <c r="J11" s="173" t="s">
        <v>2719</v>
      </c>
      <c r="K11" s="1073" t="e">
        <f>VLOOKUP(F11,#REF!,5,FALSE)</f>
        <v>#REF!</v>
      </c>
      <c r="L11" s="1027" t="e">
        <f>VLOOKUP(F11,#REF!,6,FALSE)</f>
        <v>#REF!</v>
      </c>
      <c r="M11" s="1027" t="e">
        <f>VLOOKUP(F11,#REF!,9,FALSE)</f>
        <v>#REF!</v>
      </c>
      <c r="N11" s="1027" t="e">
        <f t="shared" si="0"/>
        <v>#REF!</v>
      </c>
      <c r="O11" s="1027" t="e">
        <f t="shared" si="1"/>
        <v>#REF!</v>
      </c>
      <c r="P11" s="1049" t="e">
        <f>N11*'Labour Rate'!$L$19</f>
        <v>#REF!</v>
      </c>
      <c r="Q11" s="1049" t="e">
        <f t="shared" si="3"/>
        <v>#REF!</v>
      </c>
      <c r="R11" s="1049" t="e">
        <f t="shared" si="4"/>
        <v>#REF!</v>
      </c>
      <c r="S11" s="1050" t="e">
        <f t="shared" si="5"/>
        <v>#REF!</v>
      </c>
      <c r="T11" s="1041" t="e">
        <f t="shared" si="6"/>
        <v>#REF!</v>
      </c>
      <c r="U11" s="1061">
        <v>807355.06575963716</v>
      </c>
      <c r="V11" s="1069" t="e">
        <f t="shared" si="7"/>
        <v>#REF!</v>
      </c>
      <c r="W11" s="1074"/>
      <c r="X11" s="1042" t="e">
        <f>VLOOKUP(F11,#REF!,2,FALSE)-S11</f>
        <v>#REF!</v>
      </c>
      <c r="Y11" s="7" t="e">
        <f>VLOOKUP(F11,#REF!,11,FALSE)</f>
        <v>#REF!</v>
      </c>
      <c r="Z11" s="850" t="e">
        <f t="shared" si="2"/>
        <v>#REF!</v>
      </c>
      <c r="AA11" s="7">
        <v>20000</v>
      </c>
      <c r="AB11" s="850" t="e">
        <f t="shared" si="8"/>
        <v>#REF!</v>
      </c>
    </row>
    <row r="12" spans="1:28">
      <c r="A12" s="7" t="s">
        <v>145</v>
      </c>
      <c r="B12" s="7" t="s">
        <v>145</v>
      </c>
      <c r="D12" s="2229" t="s">
        <v>3279</v>
      </c>
      <c r="E12" s="1058" t="str">
        <f>F12</f>
        <v>EG</v>
      </c>
      <c r="F12" s="1058" t="s">
        <v>140</v>
      </c>
      <c r="G12" s="174" t="s">
        <v>3280</v>
      </c>
      <c r="H12" s="1025" t="e">
        <f>GETPIVOTDATA("QTY",$CS$92,"Price Code","EG")/10.76</f>
        <v>#REF!</v>
      </c>
      <c r="I12" s="1025">
        <f t="shared" si="9"/>
        <v>21385.708384671336</v>
      </c>
      <c r="J12" s="174" t="s">
        <v>136</v>
      </c>
      <c r="K12" s="1075" t="e">
        <f>VLOOKUP(F12,#REF!,5,FALSE)</f>
        <v>#REF!</v>
      </c>
      <c r="L12" s="1076" t="e">
        <f>VLOOKUP(F12,#REF!,6,FALSE)</f>
        <v>#REF!</v>
      </c>
      <c r="M12" s="1076" t="e">
        <f>VLOOKUP(F12,#REF!,9,FALSE)</f>
        <v>#REF!</v>
      </c>
      <c r="N12" s="1064" t="e">
        <f t="shared" si="0"/>
        <v>#REF!</v>
      </c>
      <c r="O12" s="1064" t="e">
        <f t="shared" si="1"/>
        <v>#REF!</v>
      </c>
      <c r="P12" s="1048" t="e">
        <f>N12*'Labour Rate'!$L$19</f>
        <v>#REF!</v>
      </c>
      <c r="Q12" s="1048" t="e">
        <f t="shared" si="3"/>
        <v>#REF!</v>
      </c>
      <c r="R12" s="836" t="e">
        <f t="shared" si="4"/>
        <v>#REF!</v>
      </c>
      <c r="S12" s="1051" t="e">
        <f t="shared" si="5"/>
        <v>#REF!</v>
      </c>
      <c r="T12" s="1041" t="e">
        <f t="shared" si="6"/>
        <v>#REF!</v>
      </c>
      <c r="U12" s="1051">
        <v>0</v>
      </c>
      <c r="V12" s="1067" t="e">
        <f t="shared" si="7"/>
        <v>#REF!</v>
      </c>
      <c r="W12" s="1077" t="s">
        <v>3281</v>
      </c>
      <c r="X12" s="1042" t="e">
        <f>VLOOKUP(F12,#REF!,2,FALSE)-S12</f>
        <v>#REF!</v>
      </c>
      <c r="Y12" s="7" t="e">
        <f>VLOOKUP(F12,#REF!,11,FALSE)</f>
        <v>#REF!</v>
      </c>
      <c r="Z12" s="850" t="e">
        <f t="shared" si="2"/>
        <v>#REF!</v>
      </c>
      <c r="AA12">
        <v>0</v>
      </c>
      <c r="AB12" s="850" t="e">
        <f t="shared" si="8"/>
        <v>#REF!</v>
      </c>
    </row>
    <row r="13" spans="1:28">
      <c r="A13" s="7" t="s">
        <v>556</v>
      </c>
      <c r="B13" s="7" t="s">
        <v>145</v>
      </c>
      <c r="D13" s="2230"/>
      <c r="E13" s="1872" t="str">
        <f>F13</f>
        <v>FW</v>
      </c>
      <c r="F13" s="1872" t="s">
        <v>145</v>
      </c>
      <c r="G13" s="172" t="s">
        <v>146</v>
      </c>
      <c r="H13" s="1064" t="e">
        <f>GETPIVOTDATA("QTY",$CS$92,"Price Code","FW")/10.76</f>
        <v>#REF!</v>
      </c>
      <c r="I13" s="1064">
        <f t="shared" si="9"/>
        <v>17496.438402065389</v>
      </c>
      <c r="J13" s="172" t="s">
        <v>136</v>
      </c>
      <c r="K13" s="1876"/>
      <c r="L13" s="1877"/>
      <c r="M13" s="1877"/>
      <c r="N13" s="1064">
        <f t="shared" si="0"/>
        <v>0</v>
      </c>
      <c r="O13" s="1064">
        <f t="shared" si="1"/>
        <v>0</v>
      </c>
      <c r="P13" s="1048">
        <f>N13*'Labour Rate'!$L$19</f>
        <v>0</v>
      </c>
      <c r="Q13" s="1048">
        <f t="shared" si="3"/>
        <v>0</v>
      </c>
      <c r="R13" s="836">
        <f t="shared" si="4"/>
        <v>0</v>
      </c>
      <c r="S13" s="1873">
        <f t="shared" si="5"/>
        <v>0</v>
      </c>
      <c r="T13" s="1041">
        <f t="shared" si="6"/>
        <v>0</v>
      </c>
      <c r="U13" s="1873">
        <v>0</v>
      </c>
      <c r="V13" s="1068">
        <f t="shared" si="7"/>
        <v>0</v>
      </c>
      <c r="W13" s="1875" t="s">
        <v>3281</v>
      </c>
      <c r="X13" s="1042"/>
      <c r="Y13" s="7" t="e">
        <f>VLOOKUP(F13,#REF!,11,FALSE)</f>
        <v>#REF!</v>
      </c>
      <c r="Z13" s="850" t="e">
        <f t="shared" si="2"/>
        <v>#REF!</v>
      </c>
      <c r="AA13">
        <v>5156.3197026022308</v>
      </c>
      <c r="AB13" s="850" t="e">
        <f t="shared" si="8"/>
        <v>#REF!</v>
      </c>
    </row>
    <row r="14" spans="1:28">
      <c r="A14" s="7" t="s">
        <v>523</v>
      </c>
      <c r="B14" s="7" t="s">
        <v>523</v>
      </c>
      <c r="D14" s="2230"/>
      <c r="E14" s="1872" t="s">
        <v>556</v>
      </c>
      <c r="F14" s="1872" t="s">
        <v>145</v>
      </c>
      <c r="G14" s="172" t="s">
        <v>557</v>
      </c>
      <c r="H14" s="1064" t="e">
        <f>GETPIVOTDATA("QTY",$CS$92,"Price Code","FT")/10.76</f>
        <v>#REF!</v>
      </c>
      <c r="I14" s="1064">
        <f t="shared" si="9"/>
        <v>1892.9368029739776</v>
      </c>
      <c r="J14" s="172" t="s">
        <v>136</v>
      </c>
      <c r="K14" s="1876" t="e">
        <f>VLOOKUP(F14,#REF!,5,FALSE)</f>
        <v>#REF!</v>
      </c>
      <c r="L14" s="1877" t="e">
        <f>VLOOKUP(F14,#REF!,6,FALSE)</f>
        <v>#REF!</v>
      </c>
      <c r="M14" s="1877" t="e">
        <f>VLOOKUP(F14,#REF!,9,FALSE)</f>
        <v>#REF!</v>
      </c>
      <c r="N14" s="1064" t="e">
        <f t="shared" si="0"/>
        <v>#REF!</v>
      </c>
      <c r="O14" s="1064" t="e">
        <f t="shared" si="1"/>
        <v>#REF!</v>
      </c>
      <c r="P14" s="1048" t="e">
        <f>N14*'Labour Rate'!$L$19</f>
        <v>#REF!</v>
      </c>
      <c r="Q14" s="1048" t="e">
        <f t="shared" si="3"/>
        <v>#REF!</v>
      </c>
      <c r="R14" s="836" t="e">
        <f>#REF!</f>
        <v>#REF!</v>
      </c>
      <c r="S14" s="1873" t="e">
        <f>R14*I14</f>
        <v>#REF!</v>
      </c>
      <c r="T14" s="1041" t="e">
        <f t="shared" si="6"/>
        <v>#REF!</v>
      </c>
      <c r="U14" s="1873">
        <v>39344.052294444446</v>
      </c>
      <c r="V14" s="1068" t="e">
        <f t="shared" si="7"/>
        <v>#REF!</v>
      </c>
      <c r="W14" s="1875"/>
      <c r="X14" s="1042" t="e">
        <f>VLOOKUP(F14,#REF!,2,FALSE)-S14</f>
        <v>#REF!</v>
      </c>
      <c r="Y14" s="7" t="e">
        <f>VLOOKUP(F14,#REF!,11,FALSE)</f>
        <v>#REF!</v>
      </c>
      <c r="Z14" s="850" t="e">
        <f t="shared" si="2"/>
        <v>#REF!</v>
      </c>
      <c r="AA14">
        <v>567.88104089219337</v>
      </c>
      <c r="AB14" s="850" t="e">
        <f t="shared" si="8"/>
        <v>#REF!</v>
      </c>
    </row>
    <row r="15" spans="1:28">
      <c r="A15" s="7" t="s">
        <v>506</v>
      </c>
      <c r="B15" s="7" t="s">
        <v>506</v>
      </c>
      <c r="D15" s="2230"/>
      <c r="E15" s="1872" t="str">
        <f>F15</f>
        <v>CP</v>
      </c>
      <c r="F15" s="1872" t="s">
        <v>523</v>
      </c>
      <c r="G15" s="172" t="s">
        <v>524</v>
      </c>
      <c r="H15" s="1064" t="e">
        <f>GETPIVOTDATA("QTY",$CS$92,"Price Code","CP")/10.76</f>
        <v>#REF!</v>
      </c>
      <c r="I15" s="1064">
        <f t="shared" si="9"/>
        <v>16814.665427509291</v>
      </c>
      <c r="J15" s="172" t="s">
        <v>136</v>
      </c>
      <c r="K15" s="1876" t="e">
        <f>VLOOKUP(F15,#REF!,5,FALSE)</f>
        <v>#REF!</v>
      </c>
      <c r="L15" s="1877" t="e">
        <f>VLOOKUP(F15,#REF!,6,FALSE)</f>
        <v>#REF!</v>
      </c>
      <c r="M15" s="1877" t="e">
        <f>VLOOKUP(F15,#REF!,9,FALSE)</f>
        <v>#REF!</v>
      </c>
      <c r="N15" s="1064" t="e">
        <f t="shared" si="0"/>
        <v>#REF!</v>
      </c>
      <c r="O15" s="1064" t="e">
        <f t="shared" si="1"/>
        <v>#REF!</v>
      </c>
      <c r="P15" s="1048" t="e">
        <f>N15*'Labour Rate'!$L$19</f>
        <v>#REF!</v>
      </c>
      <c r="Q15" s="1048" t="e">
        <f t="shared" si="3"/>
        <v>#REF!</v>
      </c>
      <c r="R15" s="836" t="e">
        <f t="shared" si="4"/>
        <v>#REF!</v>
      </c>
      <c r="S15" s="1873" t="e">
        <f t="shared" ref="S15:S46" si="10">SUM(O15:Q15)</f>
        <v>#REF!</v>
      </c>
      <c r="T15" s="1041" t="e">
        <f t="shared" si="6"/>
        <v>#REF!</v>
      </c>
      <c r="U15" s="1873">
        <v>369655.92109908233</v>
      </c>
      <c r="V15" s="1068" t="e">
        <f t="shared" si="7"/>
        <v>#REF!</v>
      </c>
      <c r="W15" s="1875" t="s">
        <v>3282</v>
      </c>
      <c r="X15" s="1042" t="e">
        <f>VLOOKUP(F15,#REF!,2,FALSE)-S15</f>
        <v>#REF!</v>
      </c>
      <c r="Y15" s="7" t="e">
        <f>VLOOKUP(F15,#REF!,11,FALSE)</f>
        <v>#REF!</v>
      </c>
      <c r="Z15" s="850" t="e">
        <f t="shared" si="2"/>
        <v>#REF!</v>
      </c>
      <c r="AA15">
        <v>7207.2490706319695</v>
      </c>
      <c r="AB15" s="850" t="e">
        <f t="shared" si="8"/>
        <v>#REF!</v>
      </c>
    </row>
    <row r="16" spans="1:28" ht="15" thickBot="1">
      <c r="A16" s="7" t="s">
        <v>2129</v>
      </c>
      <c r="B16" s="7" t="s">
        <v>2129</v>
      </c>
      <c r="D16" s="2234"/>
      <c r="E16" s="1878" t="str">
        <f>F16</f>
        <v>CS</v>
      </c>
      <c r="F16" s="1878" t="s">
        <v>506</v>
      </c>
      <c r="G16" s="1879" t="s">
        <v>507</v>
      </c>
      <c r="H16" s="1880" t="e">
        <f>GETPIVOTDATA("QTY",$CS$92,"Price Code","CS")/10.76</f>
        <v>#REF!</v>
      </c>
      <c r="I16" s="1880">
        <f t="shared" si="9"/>
        <v>30243.478289962823</v>
      </c>
      <c r="J16" s="1879" t="s">
        <v>136</v>
      </c>
      <c r="K16" s="1881" t="e">
        <f>VLOOKUP(F16,#REF!,5,FALSE)</f>
        <v>#REF!</v>
      </c>
      <c r="L16" s="1882" t="e">
        <f>VLOOKUP(F16,#REF!,6,FALSE)</f>
        <v>#REF!</v>
      </c>
      <c r="M16" s="1882" t="e">
        <f>VLOOKUP(F16,#REF!,9,FALSE)</f>
        <v>#REF!</v>
      </c>
      <c r="N16" s="1882" t="e">
        <f t="shared" si="0"/>
        <v>#REF!</v>
      </c>
      <c r="O16" s="1882" t="e">
        <f t="shared" si="1"/>
        <v>#REF!</v>
      </c>
      <c r="P16" s="1883" t="e">
        <f>N16*'Labour Rate'!$L$19</f>
        <v>#REF!</v>
      </c>
      <c r="Q16" s="1883" t="e">
        <f t="shared" si="3"/>
        <v>#REF!</v>
      </c>
      <c r="R16" s="1883" t="e">
        <f t="shared" si="4"/>
        <v>#REF!</v>
      </c>
      <c r="S16" s="1884" t="e">
        <f t="shared" si="10"/>
        <v>#REF!</v>
      </c>
      <c r="T16" s="1041" t="e">
        <f t="shared" si="6"/>
        <v>#REF!</v>
      </c>
      <c r="U16" s="1884">
        <v>535571.35194424819</v>
      </c>
      <c r="V16" s="1069" t="e">
        <f t="shared" si="7"/>
        <v>#REF!</v>
      </c>
      <c r="W16" s="1885"/>
      <c r="X16" s="1042" t="e">
        <f>VLOOKUP(F16,#REF!,2,FALSE)-S16</f>
        <v>#REF!</v>
      </c>
      <c r="Y16" s="7" t="e">
        <f>VLOOKUP(F16,#REF!,11,FALSE)</f>
        <v>#REF!</v>
      </c>
      <c r="Z16" s="850" t="e">
        <f t="shared" si="2"/>
        <v>#REF!</v>
      </c>
      <c r="AA16">
        <v>0</v>
      </c>
      <c r="AB16" s="850" t="e">
        <f t="shared" si="8"/>
        <v>#REF!</v>
      </c>
    </row>
    <row r="17" spans="1:28" ht="15" customHeight="1">
      <c r="A17" s="7" t="s">
        <v>2127</v>
      </c>
      <c r="B17" s="7" t="s">
        <v>2127</v>
      </c>
      <c r="D17" s="2229" t="s">
        <v>176</v>
      </c>
      <c r="E17" s="1029" t="str">
        <f>F17</f>
        <v>O1</v>
      </c>
      <c r="F17" s="1029" t="s">
        <v>2129</v>
      </c>
      <c r="G17" s="1039" t="s">
        <v>3283</v>
      </c>
      <c r="H17" s="1030" t="e">
        <f>GETPIVOTDATA("QTY",$CS$92,"Price Code","O1")</f>
        <v>#REF!</v>
      </c>
      <c r="I17" s="1030">
        <f t="shared" si="9"/>
        <v>511</v>
      </c>
      <c r="J17" s="1039" t="s">
        <v>2719</v>
      </c>
      <c r="K17" s="1078" t="e">
        <f>VLOOKUP(F17,#REF!,5,FALSE)</f>
        <v>#REF!</v>
      </c>
      <c r="L17" s="1079" t="e">
        <f>VLOOKUP(F17,#REF!,6,FALSE)</f>
        <v>#REF!</v>
      </c>
      <c r="M17" s="1079" t="e">
        <f>VLOOKUP(F17,#REF!,9,FALSE)</f>
        <v>#REF!</v>
      </c>
      <c r="N17" s="1079" t="e">
        <f t="shared" si="0"/>
        <v>#REF!</v>
      </c>
      <c r="O17" s="1079" t="e">
        <f t="shared" si="1"/>
        <v>#REF!</v>
      </c>
      <c r="P17" s="1052" t="e">
        <f>N17*'Labour Rate'!$L$19</f>
        <v>#REF!</v>
      </c>
      <c r="Q17" s="1052" t="e">
        <f t="shared" si="3"/>
        <v>#REF!</v>
      </c>
      <c r="R17" s="1052" t="e">
        <f t="shared" si="4"/>
        <v>#REF!</v>
      </c>
      <c r="S17" s="1053" t="e">
        <f t="shared" si="10"/>
        <v>#REF!</v>
      </c>
      <c r="T17" s="1041" t="e">
        <f t="shared" si="6"/>
        <v>#REF!</v>
      </c>
      <c r="U17" s="1053">
        <v>169396.05714285717</v>
      </c>
      <c r="V17" s="1067" t="e">
        <f t="shared" si="7"/>
        <v>#REF!</v>
      </c>
      <c r="W17" s="1080" t="s">
        <v>3284</v>
      </c>
      <c r="X17" s="1042" t="e">
        <f>VLOOKUP(F17,#REF!,2,FALSE)-S17</f>
        <v>#REF!</v>
      </c>
      <c r="Y17" s="7" t="e">
        <f>VLOOKUP(F17,#REF!,11,FALSE)</f>
        <v>#REF!</v>
      </c>
      <c r="Z17" s="850" t="e">
        <f t="shared" si="2"/>
        <v>#REF!</v>
      </c>
      <c r="AA17">
        <v>720</v>
      </c>
      <c r="AB17" s="850" t="e">
        <f t="shared" si="8"/>
        <v>#REF!</v>
      </c>
    </row>
    <row r="18" spans="1:28" ht="15" customHeight="1" outlineLevel="1">
      <c r="A18" s="7" t="s">
        <v>2125</v>
      </c>
      <c r="B18" s="7" t="s">
        <v>2125</v>
      </c>
      <c r="D18" s="2230"/>
      <c r="E18" s="1872"/>
      <c r="F18" s="1872"/>
      <c r="G18" s="172"/>
      <c r="H18" s="1064"/>
      <c r="I18" s="1064"/>
      <c r="J18" s="172"/>
      <c r="K18" s="1876"/>
      <c r="L18" s="1877"/>
      <c r="M18" s="1877"/>
      <c r="N18" s="1877"/>
      <c r="O18" s="1877"/>
      <c r="P18" s="1886">
        <f>N18*'Labour Rate'!$L$19</f>
        <v>0</v>
      </c>
      <c r="Q18" s="1886"/>
      <c r="R18" s="1886"/>
      <c r="S18" s="1873">
        <f t="shared" si="10"/>
        <v>0</v>
      </c>
      <c r="T18" s="1041">
        <f t="shared" si="6"/>
        <v>0</v>
      </c>
      <c r="U18" s="1873">
        <v>0</v>
      </c>
      <c r="V18" s="1068">
        <f t="shared" si="7"/>
        <v>0</v>
      </c>
      <c r="W18" s="1887" t="s">
        <v>3285</v>
      </c>
      <c r="X18" s="1042"/>
      <c r="AB18" s="850">
        <f t="shared" si="8"/>
        <v>0</v>
      </c>
    </row>
    <row r="19" spans="1:28" ht="15" customHeight="1" outlineLevel="1">
      <c r="A19" s="7" t="s">
        <v>487</v>
      </c>
      <c r="B19" s="7" t="s">
        <v>2857</v>
      </c>
      <c r="D19" s="2230"/>
      <c r="E19" s="1872"/>
      <c r="F19" s="1872"/>
      <c r="G19" s="172"/>
      <c r="H19" s="1064"/>
      <c r="I19" s="1064"/>
      <c r="J19" s="172"/>
      <c r="K19" s="1876"/>
      <c r="L19" s="1877"/>
      <c r="M19" s="1877"/>
      <c r="N19" s="1877"/>
      <c r="O19" s="1877"/>
      <c r="P19" s="1886">
        <f>N19*'Labour Rate'!$L$19</f>
        <v>0</v>
      </c>
      <c r="Q19" s="1886"/>
      <c r="R19" s="1886"/>
      <c r="S19" s="1873">
        <f t="shared" si="10"/>
        <v>0</v>
      </c>
      <c r="T19" s="1041">
        <f t="shared" si="6"/>
        <v>0</v>
      </c>
      <c r="U19" s="1873">
        <v>0</v>
      </c>
      <c r="V19" s="1068">
        <f t="shared" si="7"/>
        <v>0</v>
      </c>
      <c r="W19" s="1887" t="s">
        <v>3286</v>
      </c>
      <c r="X19" s="1042"/>
      <c r="AB19" s="850">
        <f t="shared" si="8"/>
        <v>0</v>
      </c>
    </row>
    <row r="20" spans="1:28" ht="15" customHeight="1" outlineLevel="1">
      <c r="A20" s="7" t="s">
        <v>627</v>
      </c>
      <c r="B20" s="7" t="s">
        <v>2857</v>
      </c>
      <c r="D20" s="2230"/>
      <c r="E20" s="1872"/>
      <c r="F20" s="1872"/>
      <c r="G20" s="172"/>
      <c r="H20" s="1064"/>
      <c r="I20" s="1064"/>
      <c r="J20" s="172"/>
      <c r="K20" s="1876"/>
      <c r="L20" s="1877"/>
      <c r="M20" s="1877"/>
      <c r="N20" s="1877"/>
      <c r="O20" s="1877"/>
      <c r="P20" s="1886">
        <f>N20*'Labour Rate'!$L$19</f>
        <v>0</v>
      </c>
      <c r="Q20" s="1886"/>
      <c r="R20" s="1886"/>
      <c r="S20" s="1873">
        <f t="shared" si="10"/>
        <v>0</v>
      </c>
      <c r="T20" s="1041">
        <f t="shared" si="6"/>
        <v>0</v>
      </c>
      <c r="U20" s="1873">
        <v>0</v>
      </c>
      <c r="V20" s="1068">
        <f t="shared" si="7"/>
        <v>0</v>
      </c>
      <c r="W20" s="1887" t="s">
        <v>3287</v>
      </c>
      <c r="X20" s="1042"/>
      <c r="AB20" s="850">
        <f t="shared" si="8"/>
        <v>0</v>
      </c>
    </row>
    <row r="21" spans="1:28" ht="15" customHeight="1" outlineLevel="1">
      <c r="A21" s="7" t="s">
        <v>703</v>
      </c>
      <c r="B21" s="7" t="s">
        <v>2857</v>
      </c>
      <c r="D21" s="2230"/>
      <c r="E21" s="1872"/>
      <c r="F21" s="1872"/>
      <c r="G21" s="172"/>
      <c r="H21" s="1064"/>
      <c r="I21" s="1064"/>
      <c r="J21" s="172"/>
      <c r="K21" s="1876"/>
      <c r="L21" s="1877"/>
      <c r="M21" s="1877"/>
      <c r="N21" s="1877"/>
      <c r="O21" s="1888"/>
      <c r="P21" s="1888">
        <f>N21*'Labour Rate'!$L$19</f>
        <v>0</v>
      </c>
      <c r="Q21" s="1886"/>
      <c r="R21" s="1886"/>
      <c r="S21" s="1873">
        <f t="shared" si="10"/>
        <v>0</v>
      </c>
      <c r="T21" s="1041">
        <f t="shared" si="6"/>
        <v>0</v>
      </c>
      <c r="U21" s="1873">
        <v>0</v>
      </c>
      <c r="V21" s="1068">
        <f t="shared" si="7"/>
        <v>0</v>
      </c>
      <c r="W21" s="1887" t="s">
        <v>3288</v>
      </c>
      <c r="X21" s="1042"/>
      <c r="AB21" s="850">
        <f t="shared" si="8"/>
        <v>0</v>
      </c>
    </row>
    <row r="22" spans="1:28" ht="15" customHeight="1" outlineLevel="1">
      <c r="A22" s="7" t="s">
        <v>606</v>
      </c>
      <c r="B22" s="7" t="s">
        <v>1747</v>
      </c>
      <c r="D22" s="2230"/>
      <c r="E22" s="1872"/>
      <c r="F22" s="1872"/>
      <c r="G22" s="172"/>
      <c r="H22" s="1064"/>
      <c r="I22" s="1064"/>
      <c r="J22" s="172"/>
      <c r="K22" s="1876"/>
      <c r="L22" s="1877"/>
      <c r="M22" s="1877"/>
      <c r="N22" s="1877"/>
      <c r="O22" s="1877"/>
      <c r="P22" s="1886">
        <f>N22*'Labour Rate'!$L$19</f>
        <v>0</v>
      </c>
      <c r="Q22" s="1886"/>
      <c r="R22" s="1886"/>
      <c r="S22" s="1873">
        <f t="shared" si="10"/>
        <v>0</v>
      </c>
      <c r="T22" s="1041">
        <f t="shared" si="6"/>
        <v>0</v>
      </c>
      <c r="U22" s="1873">
        <v>0</v>
      </c>
      <c r="V22" s="1068">
        <f t="shared" si="7"/>
        <v>0</v>
      </c>
      <c r="W22" s="1887" t="s">
        <v>3289</v>
      </c>
      <c r="X22" s="1042"/>
      <c r="AB22" s="850">
        <f t="shared" si="8"/>
        <v>0</v>
      </c>
    </row>
    <row r="23" spans="1:28">
      <c r="A23" s="7" t="s">
        <v>734</v>
      </c>
      <c r="B23" s="7" t="s">
        <v>2857</v>
      </c>
      <c r="D23" s="2230"/>
      <c r="E23" s="1872" t="str">
        <f>F23</f>
        <v>O2</v>
      </c>
      <c r="F23" s="1872" t="s">
        <v>2127</v>
      </c>
      <c r="G23" s="172" t="s">
        <v>3290</v>
      </c>
      <c r="H23" s="1064" t="e">
        <f>GETPIVOTDATA("QTY",$CS$92,"Price Code","O2")</f>
        <v>#REF!</v>
      </c>
      <c r="I23" s="1064">
        <f>VLOOKUP(E23,$N$102:$P$153,3,FALSE)</f>
        <v>482</v>
      </c>
      <c r="J23" s="172" t="s">
        <v>2719</v>
      </c>
      <c r="K23" s="1876" t="e">
        <f>VLOOKUP(F23,#REF!,5,FALSE)</f>
        <v>#REF!</v>
      </c>
      <c r="L23" s="1877" t="e">
        <f>VLOOKUP(F23,#REF!,6,FALSE)</f>
        <v>#REF!</v>
      </c>
      <c r="M23" s="1877" t="e">
        <f>VLOOKUP(F23,#REF!,9,FALSE)</f>
        <v>#REF!</v>
      </c>
      <c r="N23" s="1877" t="e">
        <f>K23*I23</f>
        <v>#REF!</v>
      </c>
      <c r="O23" s="1877" t="e">
        <f>L23*I23</f>
        <v>#REF!</v>
      </c>
      <c r="P23" s="1886" t="e">
        <f>N23*'Labour Rate'!$L$19</f>
        <v>#REF!</v>
      </c>
      <c r="Q23" s="1886" t="e">
        <f>M23*I23</f>
        <v>#REF!</v>
      </c>
      <c r="R23" s="1886" t="e">
        <f>S23/I23</f>
        <v>#REF!</v>
      </c>
      <c r="S23" s="1873" t="e">
        <f t="shared" si="10"/>
        <v>#REF!</v>
      </c>
      <c r="T23" s="1041" t="e">
        <f t="shared" si="6"/>
        <v>#REF!</v>
      </c>
      <c r="U23" s="1873">
        <v>125507.24</v>
      </c>
      <c r="V23" s="1068" t="e">
        <f t="shared" si="7"/>
        <v>#REF!</v>
      </c>
      <c r="W23" s="1887" t="s">
        <v>3291</v>
      </c>
      <c r="X23" s="1042" t="e">
        <f>VLOOKUP(F23,#REF!,2,FALSE)-S23</f>
        <v>#REF!</v>
      </c>
      <c r="Y23" s="7" t="e">
        <f>VLOOKUP(F23,#REF!,11,FALSE)</f>
        <v>#REF!</v>
      </c>
      <c r="Z23" s="850" t="e">
        <f>Y23*H23</f>
        <v>#REF!</v>
      </c>
      <c r="AA23">
        <v>2016</v>
      </c>
      <c r="AB23" s="850" t="e">
        <f t="shared" si="8"/>
        <v>#REF!</v>
      </c>
    </row>
    <row r="24" spans="1:28" ht="15" hidden="1" customHeight="1" outlineLevel="1">
      <c r="A24" s="7" t="s">
        <v>214</v>
      </c>
      <c r="B24" s="7" t="s">
        <v>784</v>
      </c>
      <c r="D24" s="2230"/>
      <c r="E24" s="1872"/>
      <c r="F24" s="1872"/>
      <c r="G24" s="172"/>
      <c r="H24" s="1064"/>
      <c r="I24" s="1064"/>
      <c r="J24" s="172"/>
      <c r="K24" s="1876"/>
      <c r="L24" s="1877"/>
      <c r="M24" s="1877"/>
      <c r="N24" s="1877"/>
      <c r="O24" s="1877"/>
      <c r="P24" s="1886">
        <f>N24*'Labour Rate'!$L$19</f>
        <v>0</v>
      </c>
      <c r="Q24" s="1886"/>
      <c r="R24" s="1886"/>
      <c r="S24" s="1873">
        <f t="shared" si="10"/>
        <v>0</v>
      </c>
      <c r="T24" s="1041">
        <f t="shared" si="6"/>
        <v>0</v>
      </c>
      <c r="U24" s="1873">
        <v>0</v>
      </c>
      <c r="V24" s="1068">
        <f t="shared" si="7"/>
        <v>0</v>
      </c>
      <c r="W24" s="1887" t="s">
        <v>3292</v>
      </c>
      <c r="X24" s="1081"/>
      <c r="AB24" s="850">
        <f t="shared" si="8"/>
        <v>0</v>
      </c>
    </row>
    <row r="25" spans="1:28" ht="15" hidden="1" customHeight="1" outlineLevel="1">
      <c r="A25" s="7" t="s">
        <v>537</v>
      </c>
      <c r="B25" s="7" t="s">
        <v>784</v>
      </c>
      <c r="D25" s="2230"/>
      <c r="E25" s="1872"/>
      <c r="F25" s="1872"/>
      <c r="G25" s="172"/>
      <c r="H25" s="1064"/>
      <c r="I25" s="1064"/>
      <c r="J25" s="172"/>
      <c r="K25" s="1876"/>
      <c r="L25" s="1877"/>
      <c r="M25" s="1877"/>
      <c r="N25" s="1877"/>
      <c r="O25" s="1877"/>
      <c r="P25" s="1886">
        <f>N25*'Labour Rate'!$L$19</f>
        <v>0</v>
      </c>
      <c r="Q25" s="1886"/>
      <c r="R25" s="1886"/>
      <c r="S25" s="1873">
        <f t="shared" si="10"/>
        <v>0</v>
      </c>
      <c r="T25" s="1041">
        <f t="shared" si="6"/>
        <v>0</v>
      </c>
      <c r="U25" s="1873">
        <v>0</v>
      </c>
      <c r="V25" s="1068">
        <f t="shared" si="7"/>
        <v>0</v>
      </c>
      <c r="W25" s="1887" t="s">
        <v>3293</v>
      </c>
      <c r="X25" s="1081"/>
      <c r="AB25" s="850">
        <f t="shared" si="8"/>
        <v>0</v>
      </c>
    </row>
    <row r="26" spans="1:28" ht="15" hidden="1" customHeight="1" outlineLevel="1">
      <c r="A26" s="7" t="s">
        <v>458</v>
      </c>
      <c r="B26" s="7" t="s">
        <v>784</v>
      </c>
      <c r="D26" s="2230"/>
      <c r="E26" s="1872"/>
      <c r="F26" s="1872"/>
      <c r="G26" s="172"/>
      <c r="H26" s="1064"/>
      <c r="I26" s="1064"/>
      <c r="J26" s="172"/>
      <c r="K26" s="1876"/>
      <c r="L26" s="1877"/>
      <c r="M26" s="1877"/>
      <c r="N26" s="1877"/>
      <c r="O26" s="1877"/>
      <c r="P26" s="1886">
        <f>N26*'Labour Rate'!$L$19</f>
        <v>0</v>
      </c>
      <c r="Q26" s="1886"/>
      <c r="R26" s="1886"/>
      <c r="S26" s="1873">
        <f t="shared" si="10"/>
        <v>0</v>
      </c>
      <c r="T26" s="1041">
        <f t="shared" si="6"/>
        <v>0</v>
      </c>
      <c r="U26" s="1873">
        <v>0</v>
      </c>
      <c r="V26" s="1068">
        <f t="shared" si="7"/>
        <v>0</v>
      </c>
      <c r="W26" s="1887" t="s">
        <v>3294</v>
      </c>
      <c r="X26" s="1081"/>
      <c r="AB26" s="850">
        <f t="shared" si="8"/>
        <v>0</v>
      </c>
    </row>
    <row r="27" spans="1:28" ht="15" hidden="1" customHeight="1" outlineLevel="1">
      <c r="A27" s="7" t="s">
        <v>517</v>
      </c>
      <c r="B27" s="7" t="s">
        <v>784</v>
      </c>
      <c r="D27" s="2230"/>
      <c r="E27" s="1872"/>
      <c r="F27" s="1872"/>
      <c r="G27" s="172"/>
      <c r="H27" s="1064"/>
      <c r="I27" s="1064"/>
      <c r="J27" s="172"/>
      <c r="K27" s="1876"/>
      <c r="L27" s="1877"/>
      <c r="M27" s="1877"/>
      <c r="N27" s="1877"/>
      <c r="O27" s="1877"/>
      <c r="P27" s="1886">
        <f>N27*'Labour Rate'!$L$19</f>
        <v>0</v>
      </c>
      <c r="Q27" s="1886"/>
      <c r="R27" s="1886"/>
      <c r="S27" s="1873">
        <f t="shared" si="10"/>
        <v>0</v>
      </c>
      <c r="T27" s="1041">
        <f t="shared" si="6"/>
        <v>0</v>
      </c>
      <c r="U27" s="1873">
        <v>0</v>
      </c>
      <c r="V27" s="1068">
        <f t="shared" si="7"/>
        <v>0</v>
      </c>
      <c r="W27" s="1887" t="s">
        <v>3295</v>
      </c>
      <c r="X27" s="1081"/>
      <c r="AB27" s="850">
        <f t="shared" si="8"/>
        <v>0</v>
      </c>
    </row>
    <row r="28" spans="1:28" ht="15" hidden="1" customHeight="1" outlineLevel="1">
      <c r="A28" s="7" t="s">
        <v>1642</v>
      </c>
      <c r="B28" s="7" t="s">
        <v>784</v>
      </c>
      <c r="D28" s="2230"/>
      <c r="E28" s="1872"/>
      <c r="F28" s="1872"/>
      <c r="G28" s="172"/>
      <c r="H28" s="1064"/>
      <c r="I28" s="1064"/>
      <c r="J28" s="172"/>
      <c r="K28" s="1876"/>
      <c r="L28" s="1877"/>
      <c r="M28" s="1877"/>
      <c r="N28" s="1877"/>
      <c r="O28" s="1877"/>
      <c r="P28" s="1886">
        <f>N28*'Labour Rate'!$L$19</f>
        <v>0</v>
      </c>
      <c r="Q28" s="1886"/>
      <c r="R28" s="1886"/>
      <c r="S28" s="1873">
        <f t="shared" si="10"/>
        <v>0</v>
      </c>
      <c r="T28" s="1041">
        <f t="shared" si="6"/>
        <v>0</v>
      </c>
      <c r="U28" s="1873">
        <v>0</v>
      </c>
      <c r="V28" s="1068">
        <f t="shared" si="7"/>
        <v>0</v>
      </c>
      <c r="W28" s="1887" t="s">
        <v>3296</v>
      </c>
      <c r="X28" s="1081"/>
      <c r="AB28" s="850">
        <f t="shared" si="8"/>
        <v>0</v>
      </c>
    </row>
    <row r="29" spans="1:28" ht="15" collapsed="1" thickBot="1">
      <c r="A29" s="7" t="s">
        <v>126</v>
      </c>
      <c r="B29" s="7" t="s">
        <v>784</v>
      </c>
      <c r="D29" s="2230"/>
      <c r="E29" s="1872" t="str">
        <f>F29</f>
        <v>O3</v>
      </c>
      <c r="F29" s="1026" t="s">
        <v>2125</v>
      </c>
      <c r="G29" s="172" t="s">
        <v>3297</v>
      </c>
      <c r="H29" s="1064" t="e">
        <f>GETPIVOTDATA("QTY",$CS$92,"Price Code","O3")</f>
        <v>#REF!</v>
      </c>
      <c r="I29" s="1064">
        <f>VLOOKUP(E29,$N$102:$P$153,3,FALSE)</f>
        <v>436</v>
      </c>
      <c r="J29" s="172" t="s">
        <v>2719</v>
      </c>
      <c r="K29" s="1876" t="e">
        <f>VLOOKUP(F29,#REF!,5,FALSE)</f>
        <v>#REF!</v>
      </c>
      <c r="L29" s="1877" t="e">
        <f>VLOOKUP(F29,#REF!,6,FALSE)</f>
        <v>#REF!</v>
      </c>
      <c r="M29" s="1877" t="e">
        <f>VLOOKUP(F29,#REF!,9,FALSE)</f>
        <v>#REF!</v>
      </c>
      <c r="N29" s="1877" t="e">
        <f>K29*I29</f>
        <v>#REF!</v>
      </c>
      <c r="O29" s="1877" t="e">
        <f>L29*I29</f>
        <v>#REF!</v>
      </c>
      <c r="P29" s="1886" t="e">
        <f>N29*'Labour Rate'!$L$19</f>
        <v>#REF!</v>
      </c>
      <c r="Q29" s="1886" t="e">
        <f>M29*I29</f>
        <v>#REF!</v>
      </c>
      <c r="R29" s="1886" t="e">
        <f>S29/I29</f>
        <v>#REF!</v>
      </c>
      <c r="S29" s="1873" t="e">
        <f t="shared" si="10"/>
        <v>#REF!</v>
      </c>
      <c r="T29" s="1041" t="e">
        <f t="shared" si="6"/>
        <v>#REF!</v>
      </c>
      <c r="U29" s="1873">
        <v>319502.62219047616</v>
      </c>
      <c r="V29" s="1069" t="e">
        <f t="shared" si="7"/>
        <v>#REF!</v>
      </c>
      <c r="W29" s="1887" t="s">
        <v>3298</v>
      </c>
      <c r="X29" s="1042" t="e">
        <f>VLOOKUP(F29,#REF!,2,FALSE)-S29</f>
        <v>#REF!</v>
      </c>
      <c r="Y29" s="7" t="e">
        <f>VLOOKUP(F29,#REF!,11,FALSE)</f>
        <v>#REF!</v>
      </c>
      <c r="Z29" s="850" t="e">
        <f>Y29*H29</f>
        <v>#REF!</v>
      </c>
      <c r="AA29">
        <v>11712</v>
      </c>
      <c r="AB29" s="850" t="e">
        <f t="shared" si="8"/>
        <v>#REF!</v>
      </c>
    </row>
    <row r="30" spans="1:28" ht="15" hidden="1" customHeight="1" outlineLevel="1">
      <c r="A30" s="7" t="s">
        <v>1971</v>
      </c>
      <c r="B30" s="7" t="s">
        <v>1971</v>
      </c>
      <c r="D30" s="2230"/>
      <c r="E30" s="1058"/>
      <c r="F30" s="1058"/>
      <c r="G30" s="172"/>
      <c r="H30" s="1064"/>
      <c r="I30" s="1064"/>
      <c r="J30" s="172"/>
      <c r="K30" s="1876"/>
      <c r="L30" s="1877"/>
      <c r="M30" s="1877"/>
      <c r="N30" s="1877"/>
      <c r="O30" s="1877"/>
      <c r="P30" s="1886">
        <f>N30*'Labour Rate'!$L$19</f>
        <v>0</v>
      </c>
      <c r="Q30" s="1886"/>
      <c r="R30" s="1886"/>
      <c r="S30" s="1873">
        <f t="shared" si="10"/>
        <v>0</v>
      </c>
      <c r="T30" s="1041">
        <f t="shared" si="6"/>
        <v>0</v>
      </c>
      <c r="U30" s="1873">
        <v>0</v>
      </c>
      <c r="V30" s="1051">
        <f t="shared" si="7"/>
        <v>0</v>
      </c>
      <c r="W30" s="1082" t="s">
        <v>3299</v>
      </c>
      <c r="X30" s="1081"/>
      <c r="AB30" s="850">
        <f t="shared" si="8"/>
        <v>0</v>
      </c>
    </row>
    <row r="31" spans="1:28" ht="45" hidden="1" customHeight="1" outlineLevel="1">
      <c r="A31" s="7" t="s">
        <v>988</v>
      </c>
      <c r="B31" s="7" t="s">
        <v>3300</v>
      </c>
      <c r="D31" s="2230"/>
      <c r="E31" s="1872"/>
      <c r="F31" s="1872"/>
      <c r="G31" s="172"/>
      <c r="H31" s="1064"/>
      <c r="I31" s="1064"/>
      <c r="J31" s="172"/>
      <c r="K31" s="1876"/>
      <c r="L31" s="1877"/>
      <c r="M31" s="1877"/>
      <c r="N31" s="1877"/>
      <c r="O31" s="1877"/>
      <c r="P31" s="1886">
        <f>N31*'Labour Rate'!$L$19</f>
        <v>0</v>
      </c>
      <c r="Q31" s="1886"/>
      <c r="R31" s="1886"/>
      <c r="S31" s="1873">
        <f t="shared" si="10"/>
        <v>0</v>
      </c>
      <c r="T31" s="1041">
        <f t="shared" si="6"/>
        <v>0</v>
      </c>
      <c r="U31" s="1873">
        <v>0</v>
      </c>
      <c r="V31" s="1053">
        <f t="shared" si="7"/>
        <v>0</v>
      </c>
      <c r="W31" s="1082" t="s">
        <v>3301</v>
      </c>
      <c r="X31" s="1081"/>
      <c r="AB31" s="850">
        <f t="shared" si="8"/>
        <v>0</v>
      </c>
    </row>
    <row r="32" spans="1:28" ht="15" hidden="1" customHeight="1" outlineLevel="1">
      <c r="A32" s="7" t="s">
        <v>2914</v>
      </c>
      <c r="B32" s="7" t="s">
        <v>2914</v>
      </c>
      <c r="D32" s="2230"/>
      <c r="E32" s="1872"/>
      <c r="F32" s="1872"/>
      <c r="G32" s="172"/>
      <c r="H32" s="1064"/>
      <c r="I32" s="1064"/>
      <c r="J32" s="172"/>
      <c r="K32" s="1876"/>
      <c r="L32" s="1877"/>
      <c r="M32" s="1877"/>
      <c r="N32" s="1877"/>
      <c r="O32" s="1877"/>
      <c r="P32" s="1886">
        <f>N32*'Labour Rate'!$L$19</f>
        <v>0</v>
      </c>
      <c r="Q32" s="1886"/>
      <c r="R32" s="1886"/>
      <c r="S32" s="1873">
        <f t="shared" si="10"/>
        <v>0</v>
      </c>
      <c r="T32" s="1041">
        <f t="shared" si="6"/>
        <v>0</v>
      </c>
      <c r="U32" s="1873">
        <v>0</v>
      </c>
      <c r="V32" s="1053">
        <f t="shared" si="7"/>
        <v>0</v>
      </c>
      <c r="W32" s="1082" t="s">
        <v>3302</v>
      </c>
      <c r="X32" s="1081"/>
      <c r="AB32" s="850">
        <f t="shared" si="8"/>
        <v>0</v>
      </c>
    </row>
    <row r="33" spans="1:32" ht="15.75" hidden="1" customHeight="1" outlineLevel="1" thickBot="1">
      <c r="A33" s="7" t="s">
        <v>1768</v>
      </c>
      <c r="B33" s="7" t="s">
        <v>1768</v>
      </c>
      <c r="D33" s="2231"/>
      <c r="E33" s="829"/>
      <c r="F33" s="829"/>
      <c r="G33" s="173"/>
      <c r="H33" s="1027"/>
      <c r="I33" s="1027"/>
      <c r="J33" s="173"/>
      <c r="K33" s="1083"/>
      <c r="L33" s="1084"/>
      <c r="M33" s="1084"/>
      <c r="N33" s="1084"/>
      <c r="O33" s="1084"/>
      <c r="P33" s="1085">
        <f>N33*'Labour Rate'!$L$19</f>
        <v>0</v>
      </c>
      <c r="Q33" s="1085"/>
      <c r="R33" s="1085"/>
      <c r="S33" s="1061">
        <f t="shared" si="10"/>
        <v>0</v>
      </c>
      <c r="T33" s="1041">
        <f t="shared" si="6"/>
        <v>0</v>
      </c>
      <c r="U33" s="1061">
        <v>0</v>
      </c>
      <c r="V33" s="1065">
        <f t="shared" si="7"/>
        <v>0</v>
      </c>
      <c r="W33" s="1086" t="s">
        <v>3303</v>
      </c>
      <c r="X33" s="1081"/>
      <c r="AB33" s="850">
        <f t="shared" si="8"/>
        <v>0</v>
      </c>
    </row>
    <row r="34" spans="1:32" ht="19.5" customHeight="1" collapsed="1">
      <c r="A34" s="7" t="s">
        <v>2123</v>
      </c>
      <c r="B34" s="7" t="s">
        <v>2123</v>
      </c>
      <c r="D34" s="2236" t="s">
        <v>488</v>
      </c>
      <c r="E34" s="1023" t="s">
        <v>487</v>
      </c>
      <c r="F34" s="1023" t="s">
        <v>2857</v>
      </c>
      <c r="G34" s="1039" t="s">
        <v>215</v>
      </c>
      <c r="H34" s="1030" t="e">
        <f>GETPIVOTDATA("QTY",$CS$92,"Price Code","FTR1-c")/10.76</f>
        <v>#REF!</v>
      </c>
      <c r="I34" s="1030">
        <f>VLOOKUP(E34,$N$102:$P$153,3,FALSE)</f>
        <v>424.27137546468407</v>
      </c>
      <c r="J34" s="1039" t="s">
        <v>136</v>
      </c>
      <c r="K34" s="1078" t="e">
        <f>VLOOKUP(F34,#REF!,5,FALSE)</f>
        <v>#REF!</v>
      </c>
      <c r="L34" s="1078" t="e">
        <f>VLOOKUP(F34,#REF!,6,FALSE)</f>
        <v>#REF!</v>
      </c>
      <c r="M34" s="1079" t="e">
        <f>VLOOKUP(F34,#REF!,9,FALSE)</f>
        <v>#REF!</v>
      </c>
      <c r="N34" s="1079" t="e">
        <f t="shared" ref="N34:N47" si="11">K34*I34</f>
        <v>#REF!</v>
      </c>
      <c r="O34" s="1079" t="e">
        <f t="shared" ref="O34:O47" si="12">L34*I34</f>
        <v>#REF!</v>
      </c>
      <c r="P34" s="1052" t="e">
        <f>N34*'Labour Rate'!$L$19</f>
        <v>#REF!</v>
      </c>
      <c r="Q34" s="1052" t="e">
        <f t="shared" ref="Q34:Q47" si="13">M34*I34</f>
        <v>#REF!</v>
      </c>
      <c r="R34" s="1052" t="e">
        <f t="shared" ref="R34:R47" si="14">S34/I34</f>
        <v>#REF!</v>
      </c>
      <c r="S34" s="1047" t="e">
        <f t="shared" si="10"/>
        <v>#REF!</v>
      </c>
      <c r="T34" s="1041" t="e">
        <f t="shared" si="6"/>
        <v>#REF!</v>
      </c>
      <c r="U34" s="1053">
        <v>40626.249226190484</v>
      </c>
      <c r="V34" s="1067" t="e">
        <f t="shared" si="7"/>
        <v>#REF!</v>
      </c>
      <c r="W34" s="1087"/>
      <c r="X34" s="1042" t="e">
        <f>VLOOKUP(F34,#REF!,2,FALSE)-SUM(S34:S36,S40)</f>
        <v>#REF!</v>
      </c>
      <c r="Y34" s="7" t="e">
        <f>VLOOKUP(F34,#REF!,11,FALSE)</f>
        <v>#REF!</v>
      </c>
      <c r="Z34" s="850" t="e">
        <f t="shared" ref="Z34:Z55" si="15">Y34*I34</f>
        <v>#REF!</v>
      </c>
      <c r="AA34">
        <v>283.27137546468407</v>
      </c>
      <c r="AB34" s="850" t="e">
        <f t="shared" si="8"/>
        <v>#REF!</v>
      </c>
    </row>
    <row r="35" spans="1:32">
      <c r="A35" s="7" t="s">
        <v>3304</v>
      </c>
      <c r="B35" s="7" t="s">
        <v>2123</v>
      </c>
      <c r="D35" s="2237"/>
      <c r="E35" s="1872" t="s">
        <v>627</v>
      </c>
      <c r="F35" s="1872" t="s">
        <v>2857</v>
      </c>
      <c r="G35" s="172" t="s">
        <v>539</v>
      </c>
      <c r="H35" s="1064" t="e">
        <f>GETPIVOTDATA("QTY",$CS$92,"Price Code","FTR2-c")/10.76</f>
        <v>#REF!</v>
      </c>
      <c r="I35" s="1064">
        <f>VLOOKUP(E35,$N$102:$P$153,3,FALSE)</f>
        <v>1338.289962825279</v>
      </c>
      <c r="J35" s="172" t="s">
        <v>136</v>
      </c>
      <c r="K35" s="1876" t="e">
        <f>VLOOKUP(F35,#REF!,5,FALSE)</f>
        <v>#REF!</v>
      </c>
      <c r="L35" s="1877" t="e">
        <f>VLOOKUP(F35,#REF!,6,FALSE)</f>
        <v>#REF!</v>
      </c>
      <c r="M35" s="1877" t="e">
        <f>VLOOKUP(F35,#REF!,9,FALSE)</f>
        <v>#REF!</v>
      </c>
      <c r="N35" s="1877" t="e">
        <f t="shared" si="11"/>
        <v>#REF!</v>
      </c>
      <c r="O35" s="1877" t="e">
        <f>L35*I35</f>
        <v>#REF!</v>
      </c>
      <c r="P35" s="1886" t="e">
        <f>N35*'Labour Rate'!$L$19</f>
        <v>#REF!</v>
      </c>
      <c r="Q35" s="1886" t="e">
        <f t="shared" si="13"/>
        <v>#REF!</v>
      </c>
      <c r="R35" s="1886" t="e">
        <f t="shared" si="14"/>
        <v>#REF!</v>
      </c>
      <c r="S35" s="1041" t="e">
        <f t="shared" si="10"/>
        <v>#REF!</v>
      </c>
      <c r="T35" s="1041" t="e">
        <f t="shared" si="6"/>
        <v>#REF!</v>
      </c>
      <c r="U35" s="1873">
        <v>191935.03571428574</v>
      </c>
      <c r="V35" s="1068" t="e">
        <f t="shared" si="7"/>
        <v>#REF!</v>
      </c>
      <c r="W35" s="1889"/>
      <c r="X35" s="1042"/>
      <c r="Y35" s="7" t="e">
        <f>VLOOKUP(F35,#REF!,11,FALSE)</f>
        <v>#REF!</v>
      </c>
      <c r="Z35" s="850" t="e">
        <f t="shared" si="15"/>
        <v>#REF!</v>
      </c>
      <c r="AA35">
        <v>1338.289962825279</v>
      </c>
      <c r="AB35" s="850" t="e">
        <f t="shared" si="8"/>
        <v>#REF!</v>
      </c>
    </row>
    <row r="36" spans="1:32" ht="18.75" customHeight="1">
      <c r="A36" s="7" t="s">
        <v>2120</v>
      </c>
      <c r="B36" s="7" t="s">
        <v>2120</v>
      </c>
      <c r="D36" s="2237"/>
      <c r="E36" s="1872" t="s">
        <v>703</v>
      </c>
      <c r="F36" s="1872" t="s">
        <v>2857</v>
      </c>
      <c r="G36" s="172" t="s">
        <v>459</v>
      </c>
      <c r="H36" s="1064" t="e">
        <f>GETPIVOTDATA("QTY",$CS$92,"Price Code","FS-c")/10.76</f>
        <v>#REF!</v>
      </c>
      <c r="I36" s="1064">
        <f>VLOOKUP(E36,$N$102:$P$153,3,FALSE)</f>
        <v>1105.3903345724905</v>
      </c>
      <c r="J36" s="172" t="s">
        <v>136</v>
      </c>
      <c r="K36" s="1876" t="e">
        <f>VLOOKUP(F36,#REF!,5,FALSE)</f>
        <v>#REF!</v>
      </c>
      <c r="L36" s="1877" t="e">
        <f>VLOOKUP(F36,#REF!,6,FALSE)</f>
        <v>#REF!</v>
      </c>
      <c r="M36" s="1877" t="e">
        <f>VLOOKUP(F36,#REF!,9,FALSE)</f>
        <v>#REF!</v>
      </c>
      <c r="N36" s="1877" t="e">
        <f t="shared" si="11"/>
        <v>#REF!</v>
      </c>
      <c r="O36" s="1877" t="e">
        <f t="shared" si="12"/>
        <v>#REF!</v>
      </c>
      <c r="P36" s="1886" t="e">
        <f>N36*'Labour Rate'!$L$19</f>
        <v>#REF!</v>
      </c>
      <c r="Q36" s="1886" t="e">
        <f t="shared" si="13"/>
        <v>#REF!</v>
      </c>
      <c r="R36" s="1886" t="e">
        <f t="shared" si="14"/>
        <v>#REF!</v>
      </c>
      <c r="S36" s="1041" t="e">
        <f t="shared" si="10"/>
        <v>#REF!</v>
      </c>
      <c r="T36" s="1041" t="e">
        <f t="shared" si="6"/>
        <v>#REF!</v>
      </c>
      <c r="U36" s="1873">
        <v>158533.00797123014</v>
      </c>
      <c r="V36" s="1068" t="e">
        <f t="shared" si="7"/>
        <v>#REF!</v>
      </c>
      <c r="W36" s="1889"/>
      <c r="X36" s="1042"/>
      <c r="Y36" s="7" t="e">
        <f>VLOOKUP(F36,#REF!,11,FALSE)</f>
        <v>#REF!</v>
      </c>
      <c r="Z36" s="850" t="e">
        <f t="shared" si="15"/>
        <v>#REF!</v>
      </c>
      <c r="AA36">
        <v>1105.3903345724905</v>
      </c>
      <c r="AB36" s="850" t="e">
        <f t="shared" si="8"/>
        <v>#REF!</v>
      </c>
    </row>
    <row r="37" spans="1:32">
      <c r="A37" s="7" t="s">
        <v>196</v>
      </c>
      <c r="B37" s="7" t="s">
        <v>196</v>
      </c>
      <c r="D37" s="2237"/>
      <c r="E37" s="1872" t="s">
        <v>606</v>
      </c>
      <c r="F37" s="1872" t="s">
        <v>1747</v>
      </c>
      <c r="G37" s="172" t="s">
        <v>518</v>
      </c>
      <c r="H37" s="1064" t="e">
        <f>GETPIVOTDATA("QTY",$CS$92,"Price Code","FFL-c")/10.76</f>
        <v>#REF!</v>
      </c>
      <c r="I37" s="1064">
        <f>VLOOKUP(E37,$N$102:$P$153,3,FALSE)</f>
        <v>18203.748550185876</v>
      </c>
      <c r="J37" s="172" t="s">
        <v>136</v>
      </c>
      <c r="K37" s="1876" t="e">
        <f>VLOOKUP(F37,#REF!,5,FALSE)</f>
        <v>#REF!</v>
      </c>
      <c r="L37" s="1877" t="e">
        <f>VLOOKUP(F37,#REF!,6,FALSE)</f>
        <v>#REF!</v>
      </c>
      <c r="M37" s="1877" t="e">
        <f>VLOOKUP(F37,#REF!,9,FALSE)</f>
        <v>#REF!</v>
      </c>
      <c r="N37" s="1877" t="e">
        <f t="shared" si="11"/>
        <v>#REF!</v>
      </c>
      <c r="O37" s="1877" t="e">
        <f t="shared" si="12"/>
        <v>#REF!</v>
      </c>
      <c r="P37" s="1886" t="e">
        <f>N37*'Labour Rate'!$L$19</f>
        <v>#REF!</v>
      </c>
      <c r="Q37" s="1886" t="e">
        <f t="shared" si="13"/>
        <v>#REF!</v>
      </c>
      <c r="R37" s="1886" t="e">
        <f t="shared" si="14"/>
        <v>#REF!</v>
      </c>
      <c r="S37" s="1041" t="e">
        <f t="shared" si="10"/>
        <v>#REF!</v>
      </c>
      <c r="T37" s="1041" t="e">
        <f t="shared" si="6"/>
        <v>#REF!</v>
      </c>
      <c r="U37" s="1873">
        <v>1513206.1983435676</v>
      </c>
      <c r="V37" s="1068" t="e">
        <f t="shared" si="7"/>
        <v>#REF!</v>
      </c>
      <c r="W37" s="1889"/>
      <c r="X37" s="1042" t="e">
        <f>VLOOKUP(F37,#REF!,2,FALSE)-S37</f>
        <v>#REF!</v>
      </c>
      <c r="Y37" s="7" t="e">
        <f>VLOOKUP(F37,#REF!,11,FALSE)</f>
        <v>#REF!</v>
      </c>
      <c r="Z37" s="850" t="e">
        <f t="shared" si="15"/>
        <v>#REF!</v>
      </c>
      <c r="AA37">
        <v>10625.748550185874</v>
      </c>
      <c r="AB37" s="850" t="e">
        <f t="shared" si="8"/>
        <v>#REF!</v>
      </c>
    </row>
    <row r="38" spans="1:32">
      <c r="A38" s="7" t="s">
        <v>687</v>
      </c>
      <c r="B38" s="7" t="s">
        <v>687</v>
      </c>
      <c r="D38" s="2237"/>
      <c r="E38" s="1878" t="s">
        <v>2022</v>
      </c>
      <c r="F38" s="1878" t="s">
        <v>2022</v>
      </c>
      <c r="G38" s="1879" t="s">
        <v>1643</v>
      </c>
      <c r="H38" s="1880" t="e">
        <f>GETPIVOTDATA("QTY",$CS$92,"Price Code","FF3")</f>
        <v>#REF!</v>
      </c>
      <c r="I38" s="1880">
        <f>VLOOKUP(E38,$N$102:$P$14453,3,FALSE)</f>
        <v>6557.5248000000001</v>
      </c>
      <c r="J38" s="172" t="s">
        <v>136</v>
      </c>
      <c r="K38" s="1876" t="e">
        <f>VLOOKUP(F38,#REF!,5,FALSE)</f>
        <v>#REF!</v>
      </c>
      <c r="L38" s="1877" t="e">
        <f>VLOOKUP(F38,#REF!,6,FALSE)</f>
        <v>#REF!</v>
      </c>
      <c r="M38" s="1877" t="e">
        <f>VLOOKUP(F38,#REF!,9,FALSE)</f>
        <v>#REF!</v>
      </c>
      <c r="N38" s="1877" t="e">
        <f>K38*I38</f>
        <v>#REF!</v>
      </c>
      <c r="O38" s="1877" t="e">
        <f>L38*I38</f>
        <v>#REF!</v>
      </c>
      <c r="P38" s="1886" t="e">
        <f>N38*'Labour Rate'!$L$19</f>
        <v>#REF!</v>
      </c>
      <c r="Q38" s="1886" t="e">
        <f>M38*I38</f>
        <v>#REF!</v>
      </c>
      <c r="R38" s="1886" t="e">
        <f>S38/I38</f>
        <v>#REF!</v>
      </c>
      <c r="S38" s="1041" t="e">
        <f t="shared" si="10"/>
        <v>#REF!</v>
      </c>
      <c r="T38" s="1041" t="e">
        <f t="shared" si="6"/>
        <v>#REF!</v>
      </c>
      <c r="U38" s="1873">
        <v>316058.77103370347</v>
      </c>
      <c r="V38" s="1068" t="e">
        <f t="shared" si="7"/>
        <v>#REF!</v>
      </c>
      <c r="W38" s="1890"/>
      <c r="X38" s="1042" t="e">
        <f>VLOOKUP(F38,#REF!,2,FALSE)-S38</f>
        <v>#REF!</v>
      </c>
      <c r="Y38" s="7" t="e">
        <f>VLOOKUP(F38,#REF!,11,FALSE)</f>
        <v>#REF!</v>
      </c>
      <c r="Z38" s="850" t="e">
        <f t="shared" si="15"/>
        <v>#REF!</v>
      </c>
      <c r="AA38">
        <v>1065.2624000000001</v>
      </c>
      <c r="AB38" s="850" t="e">
        <f t="shared" si="8"/>
        <v>#REF!</v>
      </c>
    </row>
    <row r="39" spans="1:32">
      <c r="A39" s="7"/>
      <c r="B39" s="7"/>
      <c r="D39" s="2237"/>
      <c r="E39" s="1878" t="s">
        <v>2460</v>
      </c>
      <c r="F39" s="1878" t="str">
        <f>E39</f>
        <v>25ka</v>
      </c>
      <c r="G39" s="1879" t="s">
        <v>2461</v>
      </c>
      <c r="H39" s="1880"/>
      <c r="I39" s="1880">
        <f>VLOOKUP(E39,$N$102:$P$233,3,FALSE)</f>
        <v>2</v>
      </c>
      <c r="J39" s="1879" t="s">
        <v>2700</v>
      </c>
      <c r="K39" s="1876" t="e">
        <f>VLOOKUP(F39,#REF!,5,FALSE)</f>
        <v>#REF!</v>
      </c>
      <c r="L39" s="1877" t="e">
        <f>VLOOKUP(F39,#REF!,6,FALSE)</f>
        <v>#REF!</v>
      </c>
      <c r="M39" s="1877" t="e">
        <f>VLOOKUP(F39,#REF!,9,FALSE)</f>
        <v>#REF!</v>
      </c>
      <c r="N39" s="1877" t="e">
        <f>K39*I39</f>
        <v>#REF!</v>
      </c>
      <c r="O39" s="1877" t="e">
        <f>L39*I39</f>
        <v>#REF!</v>
      </c>
      <c r="P39" s="1886" t="e">
        <f>N39*'Labour Rate'!$L$20</f>
        <v>#REF!</v>
      </c>
      <c r="Q39" s="1886" t="e">
        <f>M39*I39</f>
        <v>#REF!</v>
      </c>
      <c r="R39" s="1886" t="e">
        <f>S39/I39</f>
        <v>#REF!</v>
      </c>
      <c r="S39" s="1041" t="e">
        <f t="shared" si="10"/>
        <v>#REF!</v>
      </c>
      <c r="T39" s="1041" t="e">
        <f t="shared" si="6"/>
        <v>#REF!</v>
      </c>
      <c r="U39" s="1873">
        <v>50000</v>
      </c>
      <c r="V39" s="1068" t="e">
        <f t="shared" si="7"/>
        <v>#REF!</v>
      </c>
      <c r="W39" s="1890"/>
      <c r="X39" s="1042" t="e">
        <f>VLOOKUP(F39,#REF!,2,FALSE)-S39</f>
        <v>#REF!</v>
      </c>
      <c r="Y39" s="7" t="e">
        <f>VLOOKUP(F39,#REF!,11,FALSE)</f>
        <v>#REF!</v>
      </c>
      <c r="Z39" s="850" t="e">
        <f t="shared" si="15"/>
        <v>#REF!</v>
      </c>
      <c r="AA39">
        <v>0</v>
      </c>
      <c r="AB39" s="850" t="e">
        <f t="shared" si="8"/>
        <v>#REF!</v>
      </c>
    </row>
    <row r="40" spans="1:32" ht="15" thickBot="1">
      <c r="A40" s="7" t="s">
        <v>530</v>
      </c>
      <c r="B40" s="7" t="s">
        <v>530</v>
      </c>
      <c r="D40" s="2238"/>
      <c r="E40" s="1878" t="s">
        <v>734</v>
      </c>
      <c r="F40" s="1878" t="s">
        <v>2857</v>
      </c>
      <c r="G40" s="173" t="s">
        <v>128</v>
      </c>
      <c r="H40" s="1027" t="e">
        <f>GETPIVOTDATA("QTY",$CS$92,"Price Code","FC-c")/10.76</f>
        <v>#REF!</v>
      </c>
      <c r="I40" s="1027">
        <f t="shared" ref="I40:I52" si="16">VLOOKUP(E40,$N$102:$P$153,3,FALSE)</f>
        <v>737.91821561338293</v>
      </c>
      <c r="J40" s="173" t="s">
        <v>136</v>
      </c>
      <c r="K40" s="1083" t="e">
        <f>VLOOKUP(F40,#REF!,5,FALSE)</f>
        <v>#REF!</v>
      </c>
      <c r="L40" s="1084" t="e">
        <f>VLOOKUP(F40,#REF!,6,FALSE)</f>
        <v>#REF!</v>
      </c>
      <c r="M40" s="1084" t="e">
        <f>VLOOKUP(F40,#REF!,9,FALSE)</f>
        <v>#REF!</v>
      </c>
      <c r="N40" s="1084" t="e">
        <f t="shared" si="11"/>
        <v>#REF!</v>
      </c>
      <c r="O40" s="1084" t="e">
        <f t="shared" si="12"/>
        <v>#REF!</v>
      </c>
      <c r="P40" s="1085" t="e">
        <f>N40*'Labour Rate'!$L$19</f>
        <v>#REF!</v>
      </c>
      <c r="Q40" s="1085" t="e">
        <f t="shared" si="13"/>
        <v>#REF!</v>
      </c>
      <c r="R40" s="1085" t="e">
        <f t="shared" si="14"/>
        <v>#REF!</v>
      </c>
      <c r="S40" s="1050" t="e">
        <f t="shared" si="10"/>
        <v>#REF!</v>
      </c>
      <c r="T40" s="1041" t="e">
        <f t="shared" si="6"/>
        <v>#REF!</v>
      </c>
      <c r="U40" s="1061">
        <v>34121.78412698413</v>
      </c>
      <c r="V40" s="1069" t="e">
        <f t="shared" si="7"/>
        <v>#REF!</v>
      </c>
      <c r="W40" s="1066"/>
      <c r="X40" s="1042"/>
      <c r="Y40" s="7" t="e">
        <f>VLOOKUP(F40,#REF!,11,FALSE)</f>
        <v>#REF!</v>
      </c>
      <c r="Z40" s="850" t="e">
        <f t="shared" si="15"/>
        <v>#REF!</v>
      </c>
      <c r="AA40">
        <v>237.9182156133829</v>
      </c>
      <c r="AB40" s="850" t="e">
        <f t="shared" si="8"/>
        <v>#REF!</v>
      </c>
    </row>
    <row r="41" spans="1:32" ht="18" customHeight="1">
      <c r="A41" s="7" t="s">
        <v>188</v>
      </c>
      <c r="B41" s="7" t="s">
        <v>188</v>
      </c>
      <c r="D41" s="2236" t="s">
        <v>127</v>
      </c>
      <c r="E41" s="1023" t="s">
        <v>214</v>
      </c>
      <c r="F41" s="1023" t="s">
        <v>784</v>
      </c>
      <c r="G41" s="1039" t="s">
        <v>215</v>
      </c>
      <c r="H41" s="1030" t="e">
        <f>GETPIVOTDATA("QTY",$CS$92,"Price Code","FTR1")/10.76</f>
        <v>#REF!</v>
      </c>
      <c r="I41" s="1030">
        <f t="shared" si="16"/>
        <v>963.05947955390343</v>
      </c>
      <c r="J41" s="1039" t="s">
        <v>136</v>
      </c>
      <c r="K41" s="1078" t="e">
        <f>VLOOKUP(F41,#REF!,5,FALSE)</f>
        <v>#REF!</v>
      </c>
      <c r="L41" s="1079" t="e">
        <f>VLOOKUP(F41,#REF!,6,FALSE)</f>
        <v>#REF!</v>
      </c>
      <c r="M41" s="1079" t="e">
        <f>VLOOKUP(F41,#REF!,9,FALSE)</f>
        <v>#REF!</v>
      </c>
      <c r="N41" s="1079" t="e">
        <f t="shared" si="11"/>
        <v>#REF!</v>
      </c>
      <c r="O41" s="1079" t="e">
        <f t="shared" si="12"/>
        <v>#REF!</v>
      </c>
      <c r="P41" s="1052" t="e">
        <f>N41*'Labour Rate'!$L$19</f>
        <v>#REF!</v>
      </c>
      <c r="Q41" s="1052" t="e">
        <f t="shared" si="13"/>
        <v>#REF!</v>
      </c>
      <c r="R41" s="1052" t="e">
        <f t="shared" si="14"/>
        <v>#REF!</v>
      </c>
      <c r="S41" s="1047" t="e">
        <f t="shared" si="10"/>
        <v>#REF!</v>
      </c>
      <c r="T41" s="1041" t="e">
        <f t="shared" si="6"/>
        <v>#REF!</v>
      </c>
      <c r="U41" s="1053">
        <v>46359.841666666674</v>
      </c>
      <c r="V41" s="1067" t="e">
        <f t="shared" si="7"/>
        <v>#REF!</v>
      </c>
      <c r="W41" s="1087"/>
      <c r="X41" s="1042" t="e">
        <f>VLOOKUP(F41,#REF!,2,FALSE)-SUM(S41:S43)</f>
        <v>#REF!</v>
      </c>
      <c r="Y41" s="7" t="e">
        <f>VLOOKUP(F41,#REF!,11,FALSE)</f>
        <v>#REF!</v>
      </c>
      <c r="Z41" s="850" t="e">
        <f t="shared" si="15"/>
        <v>#REF!</v>
      </c>
      <c r="AA41">
        <v>780.66914498141273</v>
      </c>
      <c r="AB41" s="850" t="e">
        <f t="shared" si="8"/>
        <v>#REF!</v>
      </c>
    </row>
    <row r="42" spans="1:32" ht="18" customHeight="1">
      <c r="A42" s="7" t="s">
        <v>882</v>
      </c>
      <c r="B42" s="7" t="s">
        <v>882</v>
      </c>
      <c r="D42" s="2237"/>
      <c r="E42" s="1872" t="s">
        <v>537</v>
      </c>
      <c r="F42" s="1872" t="s">
        <v>784</v>
      </c>
      <c r="G42" s="172" t="s">
        <v>539</v>
      </c>
      <c r="H42" s="1064" t="e">
        <f>GETPIVOTDATA("QTY",$CS$92,"Price Code","FTR2")/10.76</f>
        <v>#REF!</v>
      </c>
      <c r="I42" s="1064">
        <f t="shared" si="16"/>
        <v>2988.7546468401488</v>
      </c>
      <c r="J42" s="172" t="s">
        <v>136</v>
      </c>
      <c r="K42" s="1876" t="e">
        <f>VLOOKUP(F42,#REF!,5,FALSE)</f>
        <v>#REF!</v>
      </c>
      <c r="L42" s="1877" t="e">
        <f>VLOOKUP(F42,#REF!,6,FALSE)</f>
        <v>#REF!</v>
      </c>
      <c r="M42" s="1877" t="e">
        <f>VLOOKUP(F42,#REF!,9,FALSE)</f>
        <v>#REF!</v>
      </c>
      <c r="N42" s="1877" t="e">
        <f t="shared" si="11"/>
        <v>#REF!</v>
      </c>
      <c r="O42" s="1877" t="e">
        <f t="shared" si="12"/>
        <v>#REF!</v>
      </c>
      <c r="P42" s="1886" t="e">
        <f>N42*'Labour Rate'!$L$19</f>
        <v>#REF!</v>
      </c>
      <c r="Q42" s="1886" t="e">
        <f t="shared" si="13"/>
        <v>#REF!</v>
      </c>
      <c r="R42" s="1886" t="e">
        <f t="shared" si="14"/>
        <v>#REF!</v>
      </c>
      <c r="S42" s="1041" t="e">
        <f t="shared" si="10"/>
        <v>#REF!</v>
      </c>
      <c r="T42" s="1041" t="e">
        <f t="shared" si="6"/>
        <v>#REF!</v>
      </c>
      <c r="U42" s="1873">
        <v>97521.911684605147</v>
      </c>
      <c r="V42" s="1068" t="e">
        <f t="shared" si="7"/>
        <v>#REF!</v>
      </c>
      <c r="W42" s="1889"/>
      <c r="X42" s="1042"/>
      <c r="Y42" s="7" t="e">
        <f>VLOOKUP(F42,#REF!,11,FALSE)</f>
        <v>#REF!</v>
      </c>
      <c r="Z42" s="850" t="e">
        <f t="shared" si="15"/>
        <v>#REF!</v>
      </c>
      <c r="AA42">
        <v>1642.2046468401486</v>
      </c>
      <c r="AB42" s="850" t="e">
        <f t="shared" si="8"/>
        <v>#REF!</v>
      </c>
    </row>
    <row r="43" spans="1:32">
      <c r="A43" s="7" t="s">
        <v>855</v>
      </c>
      <c r="B43" s="7" t="s">
        <v>855</v>
      </c>
      <c r="D43" s="2237"/>
      <c r="E43" s="1872" t="s">
        <v>458</v>
      </c>
      <c r="F43" s="1872" t="s">
        <v>784</v>
      </c>
      <c r="G43" s="172" t="s">
        <v>459</v>
      </c>
      <c r="H43" s="1064" t="e">
        <f>GETPIVOTDATA("QTY",$CS$92,"Price Code","FS")/10.76</f>
        <v>#REF!</v>
      </c>
      <c r="I43" s="1064">
        <f t="shared" si="16"/>
        <v>37804.782035282529</v>
      </c>
      <c r="J43" s="172" t="s">
        <v>136</v>
      </c>
      <c r="K43" s="1876" t="e">
        <f>VLOOKUP(F43,#REF!,5,FALSE)</f>
        <v>#REF!</v>
      </c>
      <c r="L43" s="1877" t="e">
        <f>VLOOKUP(F43,#REF!,6,FALSE)</f>
        <v>#REF!</v>
      </c>
      <c r="M43" s="1877" t="e">
        <f>VLOOKUP(F43,#REF!,9,FALSE)</f>
        <v>#REF!</v>
      </c>
      <c r="N43" s="1877" t="e">
        <f t="shared" si="11"/>
        <v>#REF!</v>
      </c>
      <c r="O43" s="1877" t="e">
        <f t="shared" si="12"/>
        <v>#REF!</v>
      </c>
      <c r="P43" s="1886" t="e">
        <f>N43*'Labour Rate'!$L$19</f>
        <v>#REF!</v>
      </c>
      <c r="Q43" s="1886" t="e">
        <f t="shared" si="13"/>
        <v>#REF!</v>
      </c>
      <c r="R43" s="1886" t="e">
        <f t="shared" si="14"/>
        <v>#REF!</v>
      </c>
      <c r="S43" s="1041" t="e">
        <f t="shared" si="10"/>
        <v>#REF!</v>
      </c>
      <c r="T43" s="1041" t="e">
        <f t="shared" si="6"/>
        <v>#REF!</v>
      </c>
      <c r="U43" s="1873">
        <v>748700.40485912701</v>
      </c>
      <c r="V43" s="1068" t="e">
        <f t="shared" si="7"/>
        <v>#REF!</v>
      </c>
      <c r="W43" s="1889"/>
      <c r="X43" s="1042"/>
      <c r="Y43" s="7" t="e">
        <f>VLOOKUP(F43,#REF!,11,FALSE)</f>
        <v>#REF!</v>
      </c>
      <c r="Z43" s="850" t="e">
        <f t="shared" si="15"/>
        <v>#REF!</v>
      </c>
      <c r="AA43">
        <v>12607.620817843866</v>
      </c>
      <c r="AB43" s="850" t="e">
        <f t="shared" si="8"/>
        <v>#REF!</v>
      </c>
    </row>
    <row r="44" spans="1:32">
      <c r="A44" s="7" t="s">
        <v>844</v>
      </c>
      <c r="B44" s="7" t="s">
        <v>844</v>
      </c>
      <c r="D44" s="2237"/>
      <c r="E44" s="1872" t="s">
        <v>517</v>
      </c>
      <c r="F44" s="1872" t="s">
        <v>516</v>
      </c>
      <c r="G44" s="172" t="s">
        <v>518</v>
      </c>
      <c r="H44" s="1064" t="e">
        <f>GETPIVOTDATA("QTY",$CS$92,"Price Code","FFL")/10.76</f>
        <v>#REF!</v>
      </c>
      <c r="I44" s="1064">
        <f t="shared" si="16"/>
        <v>2157.7843866171006</v>
      </c>
      <c r="J44" s="172" t="s">
        <v>136</v>
      </c>
      <c r="K44" s="1876" t="e">
        <f>VLOOKUP(F44,#REF!,5,FALSE)</f>
        <v>#REF!</v>
      </c>
      <c r="L44" s="1877" t="e">
        <f>VLOOKUP(F44,#REF!,6,FALSE)</f>
        <v>#REF!</v>
      </c>
      <c r="M44" s="1877" t="e">
        <f>VLOOKUP(F44,#REF!,9,FALSE)</f>
        <v>#REF!</v>
      </c>
      <c r="N44" s="1877" t="e">
        <f t="shared" si="11"/>
        <v>#REF!</v>
      </c>
      <c r="O44" s="1877" t="e">
        <f t="shared" si="12"/>
        <v>#REF!</v>
      </c>
      <c r="P44" s="1886" t="e">
        <f>N44*'Labour Rate'!$L$19</f>
        <v>#REF!</v>
      </c>
      <c r="Q44" s="1886" t="e">
        <f t="shared" si="13"/>
        <v>#REF!</v>
      </c>
      <c r="R44" s="1886" t="e">
        <f t="shared" si="14"/>
        <v>#REF!</v>
      </c>
      <c r="S44" s="1041" t="e">
        <f t="shared" si="10"/>
        <v>#REF!</v>
      </c>
      <c r="T44" s="1041" t="e">
        <f t="shared" si="6"/>
        <v>#REF!</v>
      </c>
      <c r="U44" s="1873">
        <v>86538.371111111119</v>
      </c>
      <c r="V44" s="1068" t="e">
        <f t="shared" si="7"/>
        <v>#REF!</v>
      </c>
      <c r="W44" s="1889"/>
      <c r="X44" s="1042" t="e">
        <f>VLOOKUP(F44,#REF!,2,FALSE)-S44</f>
        <v>#REF!</v>
      </c>
      <c r="Y44" s="7" t="e">
        <f>VLOOKUP(F44,#REF!,11,FALSE)</f>
        <v>#REF!</v>
      </c>
      <c r="Z44" s="850" t="e">
        <f t="shared" si="15"/>
        <v>#REF!</v>
      </c>
      <c r="AA44">
        <v>2081.7843866171006</v>
      </c>
      <c r="AB44" s="850" t="e">
        <f t="shared" si="8"/>
        <v>#REF!</v>
      </c>
    </row>
    <row r="45" spans="1:32">
      <c r="A45" s="7" t="s">
        <v>687</v>
      </c>
      <c r="B45" s="7" t="s">
        <v>687</v>
      </c>
      <c r="D45" s="2237"/>
      <c r="E45" s="1878" t="s">
        <v>1642</v>
      </c>
      <c r="F45" s="1878" t="s">
        <v>1642</v>
      </c>
      <c r="G45" s="1879" t="s">
        <v>1643</v>
      </c>
      <c r="H45" s="1880" t="e">
        <f>GETPIVOTDATA("QTY",$CS$92,"Price Code","FF3")</f>
        <v>#REF!</v>
      </c>
      <c r="I45" s="1880">
        <f t="shared" si="16"/>
        <v>15709.48</v>
      </c>
      <c r="J45" s="172" t="s">
        <v>136</v>
      </c>
      <c r="K45" s="1876" t="e">
        <f>VLOOKUP(F45,#REF!,5,FALSE)</f>
        <v>#REF!</v>
      </c>
      <c r="L45" s="1877" t="e">
        <f>VLOOKUP(F45,#REF!,6,FALSE)</f>
        <v>#REF!</v>
      </c>
      <c r="M45" s="1877" t="e">
        <f>VLOOKUP(F45,#REF!,9,FALSE)</f>
        <v>#REF!</v>
      </c>
      <c r="N45" s="1877" t="e">
        <f t="shared" si="11"/>
        <v>#REF!</v>
      </c>
      <c r="O45" s="1877" t="e">
        <f t="shared" si="12"/>
        <v>#REF!</v>
      </c>
      <c r="P45" s="1886" t="e">
        <f>N45*'Labour Rate'!$L$19</f>
        <v>#REF!</v>
      </c>
      <c r="Q45" s="1886" t="e">
        <f t="shared" si="13"/>
        <v>#REF!</v>
      </c>
      <c r="R45" s="1886" t="e">
        <f t="shared" si="14"/>
        <v>#REF!</v>
      </c>
      <c r="S45" s="1041" t="e">
        <f t="shared" si="10"/>
        <v>#REF!</v>
      </c>
      <c r="T45" s="1041" t="e">
        <f t="shared" si="6"/>
        <v>#REF!</v>
      </c>
      <c r="U45" s="1873">
        <v>656058.00912164187</v>
      </c>
      <c r="V45" s="1068" t="e">
        <f t="shared" si="7"/>
        <v>#REF!</v>
      </c>
      <c r="W45" s="1890"/>
      <c r="X45" s="1042" t="e">
        <f>VLOOKUP(F45,#REF!,2,FALSE)-S45</f>
        <v>#REF!</v>
      </c>
      <c r="Y45" s="7" t="e">
        <f>VLOOKUP(F45,#REF!,11,FALSE)</f>
        <v>#REF!</v>
      </c>
      <c r="Z45" s="850" t="e">
        <f t="shared" si="15"/>
        <v>#REF!</v>
      </c>
      <c r="AA45">
        <v>6904.74</v>
      </c>
      <c r="AB45" s="850" t="e">
        <f t="shared" si="8"/>
        <v>#REF!</v>
      </c>
    </row>
    <row r="46" spans="1:32" ht="15" thickBot="1">
      <c r="A46" s="7" t="s">
        <v>229</v>
      </c>
      <c r="B46" s="7" t="s">
        <v>229</v>
      </c>
      <c r="D46" s="2238"/>
      <c r="E46" s="1878" t="s">
        <v>126</v>
      </c>
      <c r="F46" s="1878" t="s">
        <v>125</v>
      </c>
      <c r="G46" s="1879" t="s">
        <v>128</v>
      </c>
      <c r="H46" s="1880" t="e">
        <f>GETPIVOTDATA("QTY",$CS$92,"Price Code","FC")/10.76</f>
        <v>#REF!</v>
      </c>
      <c r="I46" s="1880">
        <f t="shared" si="16"/>
        <v>417.65799256505579</v>
      </c>
      <c r="J46" s="1879" t="s">
        <v>136</v>
      </c>
      <c r="K46" s="1881" t="e">
        <f>VLOOKUP(F46,#REF!,5,FALSE)</f>
        <v>#REF!</v>
      </c>
      <c r="L46" s="1882" t="e">
        <f>VLOOKUP(F46,#REF!,6,FALSE)</f>
        <v>#REF!</v>
      </c>
      <c r="M46" s="1882" t="e">
        <f>VLOOKUP(F46,#REF!,9,FALSE)</f>
        <v>#REF!</v>
      </c>
      <c r="N46" s="1882" t="e">
        <f t="shared" si="11"/>
        <v>#REF!</v>
      </c>
      <c r="O46" s="1882" t="e">
        <f t="shared" si="12"/>
        <v>#REF!</v>
      </c>
      <c r="P46" s="1883" t="e">
        <f>N46*'Labour Rate'!$L$19</f>
        <v>#REF!</v>
      </c>
      <c r="Q46" s="1883" t="e">
        <f t="shared" si="13"/>
        <v>#REF!</v>
      </c>
      <c r="R46" s="1883" t="e">
        <f t="shared" si="14"/>
        <v>#REF!</v>
      </c>
      <c r="S46" s="1891" t="e">
        <f t="shared" si="10"/>
        <v>#REF!</v>
      </c>
      <c r="T46" s="1041" t="e">
        <f t="shared" si="6"/>
        <v>#REF!</v>
      </c>
      <c r="U46" s="1061">
        <v>7947.4014285714284</v>
      </c>
      <c r="V46" s="1069" t="e">
        <f t="shared" si="7"/>
        <v>#REF!</v>
      </c>
      <c r="W46" s="1892"/>
      <c r="X46" s="1042"/>
      <c r="Y46" s="7" t="e">
        <f>VLOOKUP(F46,#REF!,11,FALSE)</f>
        <v>#REF!</v>
      </c>
      <c r="Z46" s="850" t="e">
        <f t="shared" si="15"/>
        <v>#REF!</v>
      </c>
      <c r="AA46">
        <v>267.65799256505574</v>
      </c>
      <c r="AB46" s="850" t="e">
        <f t="shared" si="8"/>
        <v>#REF!</v>
      </c>
    </row>
    <row r="47" spans="1:32" ht="14.25" customHeight="1">
      <c r="D47" s="2232" t="s">
        <v>640</v>
      </c>
      <c r="E47" s="1088" t="str">
        <f>F47</f>
        <v>piping</v>
      </c>
      <c r="F47" s="1023" t="s">
        <v>1971</v>
      </c>
      <c r="G47" s="1039" t="s">
        <v>639</v>
      </c>
      <c r="H47" s="1030">
        <v>19623</v>
      </c>
      <c r="I47" s="1030">
        <f t="shared" si="16"/>
        <v>22623</v>
      </c>
      <c r="J47" s="1039" t="s">
        <v>991</v>
      </c>
      <c r="K47" s="835" t="e">
        <f>VLOOKUP(F47,#REF!,5,FALSE)</f>
        <v>#REF!</v>
      </c>
      <c r="L47" s="1030" t="e">
        <f>VLOOKUP(F47,#REF!,6,FALSE)</f>
        <v>#REF!</v>
      </c>
      <c r="M47" s="1030" t="e">
        <f>VLOOKUP(F47,#REF!,9,FALSE)</f>
        <v>#REF!</v>
      </c>
      <c r="N47" s="1030" t="e">
        <f t="shared" si="11"/>
        <v>#REF!</v>
      </c>
      <c r="O47" s="1030" t="e">
        <f t="shared" si="12"/>
        <v>#REF!</v>
      </c>
      <c r="P47" s="1046" t="e">
        <f>N47*'Labour Rate'!$L$19</f>
        <v>#REF!</v>
      </c>
      <c r="Q47" s="1046" t="e">
        <f t="shared" si="13"/>
        <v>#REF!</v>
      </c>
      <c r="R47" s="1046" t="e">
        <f t="shared" si="14"/>
        <v>#REF!</v>
      </c>
      <c r="S47" s="1047" t="e">
        <f t="shared" ref="S47:S70" si="17">SUM(O47:Q47)</f>
        <v>#REF!</v>
      </c>
      <c r="T47" s="1041" t="e">
        <f t="shared" si="6"/>
        <v>#REF!</v>
      </c>
      <c r="U47" s="1053">
        <v>1299598.8186071429</v>
      </c>
      <c r="V47" s="1067" t="e">
        <f t="shared" si="7"/>
        <v>#REF!</v>
      </c>
      <c r="W47" s="1080" t="s">
        <v>3305</v>
      </c>
      <c r="X47" s="1042" t="e">
        <f>VLOOKUP(F47,#REF!,2,FALSE)-S47</f>
        <v>#REF!</v>
      </c>
      <c r="Y47" s="7" t="e">
        <f>VLOOKUP(F47,#REF!,11,FALSE)</f>
        <v>#REF!</v>
      </c>
      <c r="Z47" s="850" t="e">
        <f t="shared" si="15"/>
        <v>#REF!</v>
      </c>
      <c r="AA47">
        <v>196.23000000000005</v>
      </c>
      <c r="AB47" s="850" t="e">
        <f t="shared" si="8"/>
        <v>#REF!</v>
      </c>
    </row>
    <row r="48" spans="1:32" ht="14.25" customHeight="1">
      <c r="D48" s="2233"/>
      <c r="E48" s="1089" t="str">
        <f>G48</f>
        <v>Piping - Heat Tracing</v>
      </c>
      <c r="F48" s="1024"/>
      <c r="G48" s="172" t="s">
        <v>988</v>
      </c>
      <c r="H48" s="1064" t="e">
        <f>GETPIVOTDATA("QTY",$CS$92,"Price Code","Piping - Heat Tracing")</f>
        <v>#REF!</v>
      </c>
      <c r="I48" s="1064">
        <f t="shared" si="16"/>
        <v>10958</v>
      </c>
      <c r="J48" s="172" t="s">
        <v>991</v>
      </c>
      <c r="K48" s="836"/>
      <c r="L48" s="1064"/>
      <c r="M48" s="1064"/>
      <c r="N48" s="1064"/>
      <c r="O48" s="1064"/>
      <c r="P48" s="1048">
        <f>N48*'Labour Rate'!$L$19</f>
        <v>0</v>
      </c>
      <c r="Q48" s="1048"/>
      <c r="R48" s="1048" t="e">
        <f>S48/H48</f>
        <v>#REF!</v>
      </c>
      <c r="S48" s="1041">
        <f t="shared" si="17"/>
        <v>0</v>
      </c>
      <c r="T48" s="1041">
        <f t="shared" si="6"/>
        <v>0</v>
      </c>
      <c r="U48" s="1873">
        <v>0</v>
      </c>
      <c r="V48" s="1068">
        <f t="shared" si="7"/>
        <v>0</v>
      </c>
      <c r="W48" s="1887" t="s">
        <v>3306</v>
      </c>
      <c r="X48" s="1042"/>
      <c r="Z48" s="850">
        <f t="shared" si="15"/>
        <v>0</v>
      </c>
      <c r="AA48">
        <v>0</v>
      </c>
      <c r="AB48" s="850">
        <f t="shared" si="8"/>
        <v>0</v>
      </c>
      <c r="AF48" s="901">
        <v>17657</v>
      </c>
    </row>
    <row r="49" spans="4:32" ht="15" customHeight="1" thickBot="1">
      <c r="D49" s="2235"/>
      <c r="E49" s="1090" t="str">
        <f t="shared" ref="E49:E54" si="18">F49</f>
        <v>cable</v>
      </c>
      <c r="F49" s="1028" t="s">
        <v>2914</v>
      </c>
      <c r="G49" s="173" t="s">
        <v>915</v>
      </c>
      <c r="H49" s="1027" t="e">
        <f>GETPIVOTDATA("QTY",$CS$92,"Price Code","Cable")</f>
        <v>#REF!</v>
      </c>
      <c r="I49" s="1027">
        <f t="shared" si="16"/>
        <v>34300</v>
      </c>
      <c r="J49" s="173" t="s">
        <v>991</v>
      </c>
      <c r="K49" s="1073" t="e">
        <f>VLOOKUP(F49,#REF!,5,FALSE)</f>
        <v>#REF!</v>
      </c>
      <c r="L49" s="1027" t="e">
        <f>VLOOKUP(F49,#REF!,6,FALSE)</f>
        <v>#REF!</v>
      </c>
      <c r="M49" s="1027" t="e">
        <f>VLOOKUP(F49,#REF!,9,FALSE)</f>
        <v>#REF!</v>
      </c>
      <c r="N49" s="1027" t="e">
        <f t="shared" ref="N49:N54" si="19">K49*I49</f>
        <v>#REF!</v>
      </c>
      <c r="O49" s="1027" t="e">
        <f t="shared" ref="O49:O54" si="20">L49*I49</f>
        <v>#REF!</v>
      </c>
      <c r="P49" s="1049" t="e">
        <f>N49*'Labour Rate'!$L$19</f>
        <v>#REF!</v>
      </c>
      <c r="Q49" s="1049" t="e">
        <f t="shared" ref="Q49:Q54" si="21">M49*I49</f>
        <v>#REF!</v>
      </c>
      <c r="R49" s="1049" t="e">
        <f t="shared" ref="R49:R54" si="22">S49/I49</f>
        <v>#REF!</v>
      </c>
      <c r="S49" s="1050" t="e">
        <f t="shared" si="17"/>
        <v>#REF!</v>
      </c>
      <c r="T49" s="1041" t="e">
        <f t="shared" si="6"/>
        <v>#REF!</v>
      </c>
      <c r="U49" s="1061">
        <v>723213.53</v>
      </c>
      <c r="V49" s="1069" t="e">
        <f t="shared" si="7"/>
        <v>#REF!</v>
      </c>
      <c r="W49" s="1066"/>
      <c r="X49" s="1042" t="e">
        <f>VLOOKUP(F49,#REF!,2,FALSE)-S49</f>
        <v>#REF!</v>
      </c>
      <c r="Y49" s="7" t="e">
        <f>VLOOKUP(F49,#REF!,11,FALSE)</f>
        <v>#REF!</v>
      </c>
      <c r="Z49" s="850" t="e">
        <f t="shared" si="15"/>
        <v>#REF!</v>
      </c>
      <c r="AA49">
        <v>273.00000000000006</v>
      </c>
      <c r="AB49" s="850" t="e">
        <f t="shared" si="8"/>
        <v>#REF!</v>
      </c>
      <c r="AF49">
        <v>5594</v>
      </c>
    </row>
    <row r="50" spans="4:32">
      <c r="D50" s="2232" t="s">
        <v>3307</v>
      </c>
      <c r="E50" s="1091" t="str">
        <f t="shared" si="18"/>
        <v>VP6</v>
      </c>
      <c r="F50" s="1058" t="s">
        <v>268</v>
      </c>
      <c r="G50" s="174" t="s">
        <v>2904</v>
      </c>
      <c r="H50" s="1025" t="e">
        <f>GETPIVOTDATA("QTY",$CS$92,"Price Code","VP incinerator")</f>
        <v>#REF!</v>
      </c>
      <c r="I50" s="1025">
        <f t="shared" si="16"/>
        <v>0</v>
      </c>
      <c r="J50" s="174" t="s">
        <v>2700</v>
      </c>
      <c r="K50" s="1075" t="e">
        <f>VLOOKUP(F50,#REF!,5,FALSE)</f>
        <v>#REF!</v>
      </c>
      <c r="L50" s="1076" t="e">
        <f>VLOOKUP(F50,#REF!,6,FALSE)</f>
        <v>#REF!</v>
      </c>
      <c r="M50" s="1076" t="e">
        <f>VLOOKUP(F50,#REF!,9,FALSE)</f>
        <v>#REF!</v>
      </c>
      <c r="N50" s="1076" t="e">
        <f t="shared" si="19"/>
        <v>#REF!</v>
      </c>
      <c r="O50" s="1076" t="e">
        <f t="shared" si="20"/>
        <v>#REF!</v>
      </c>
      <c r="P50" s="1092" t="e">
        <f>N50*'Labour Rate'!$L$19</f>
        <v>#REF!</v>
      </c>
      <c r="Q50" s="1092" t="e">
        <f t="shared" si="21"/>
        <v>#REF!</v>
      </c>
      <c r="R50" s="1092" t="e">
        <f t="shared" si="22"/>
        <v>#REF!</v>
      </c>
      <c r="S50" s="1051" t="e">
        <f t="shared" si="17"/>
        <v>#REF!</v>
      </c>
      <c r="T50" s="1041" t="e">
        <f t="shared" si="6"/>
        <v>#REF!</v>
      </c>
      <c r="U50" s="1053">
        <v>3827468.5279999999</v>
      </c>
      <c r="V50" s="1067" t="e">
        <f t="shared" si="7"/>
        <v>#REF!</v>
      </c>
      <c r="W50" s="1093" t="s">
        <v>3308</v>
      </c>
      <c r="X50" s="1042" t="e">
        <f>VLOOKUP(F50,#REF!,2,FALSE)-S50</f>
        <v>#REF!</v>
      </c>
      <c r="Y50" s="7" t="e">
        <f>VLOOKUP(F50,#REF!,11,FALSE)</f>
        <v>#REF!</v>
      </c>
      <c r="Z50" s="850" t="e">
        <f t="shared" si="15"/>
        <v>#REF!</v>
      </c>
      <c r="AA50">
        <v>30295</v>
      </c>
      <c r="AB50" s="850" t="e">
        <f t="shared" si="8"/>
        <v>#REF!</v>
      </c>
      <c r="AF50">
        <v>7044</v>
      </c>
    </row>
    <row r="51" spans="4:32">
      <c r="D51" s="2233"/>
      <c r="E51" s="1089" t="str">
        <f t="shared" si="18"/>
        <v>VP1</v>
      </c>
      <c r="F51" s="1872" t="s">
        <v>800</v>
      </c>
      <c r="G51" s="172" t="s">
        <v>2890</v>
      </c>
      <c r="H51" s="1064" t="e">
        <f>GETPIVOTDATA("QTY",$CS$92,"Price Code","VP incinerator")</f>
        <v>#REF!</v>
      </c>
      <c r="I51" s="1064">
        <f t="shared" si="16"/>
        <v>4</v>
      </c>
      <c r="J51" s="172" t="s">
        <v>2719</v>
      </c>
      <c r="K51" s="1876" t="e">
        <f>VLOOKUP(F51,#REF!,5,FALSE)</f>
        <v>#REF!</v>
      </c>
      <c r="L51" s="1877" t="e">
        <f>VLOOKUP(F51,#REF!,6,FALSE)</f>
        <v>#REF!</v>
      </c>
      <c r="M51" s="1877" t="e">
        <f>VLOOKUP(F51,#REF!,9,FALSE)</f>
        <v>#REF!</v>
      </c>
      <c r="N51" s="1877" t="e">
        <f t="shared" si="19"/>
        <v>#REF!</v>
      </c>
      <c r="O51" s="1877" t="e">
        <f t="shared" si="20"/>
        <v>#REF!</v>
      </c>
      <c r="P51" s="1886" t="e">
        <f>N51*'Labour Rate'!$L$19</f>
        <v>#REF!</v>
      </c>
      <c r="Q51" s="1886" t="e">
        <f t="shared" si="21"/>
        <v>#REF!</v>
      </c>
      <c r="R51" s="1886" t="e">
        <f t="shared" si="22"/>
        <v>#REF!</v>
      </c>
      <c r="S51" s="1873" t="e">
        <f t="shared" si="17"/>
        <v>#REF!</v>
      </c>
      <c r="T51" s="1041" t="e">
        <f t="shared" si="6"/>
        <v>#REF!</v>
      </c>
      <c r="U51" s="1873">
        <v>19951.857809523812</v>
      </c>
      <c r="V51" s="1068" t="e">
        <f t="shared" si="7"/>
        <v>#REF!</v>
      </c>
      <c r="W51" s="1887"/>
      <c r="X51" s="1042" t="e">
        <f>VLOOKUP(F51,#REF!,2,FALSE)-S51</f>
        <v>#REF!</v>
      </c>
      <c r="Y51" s="7" t="e">
        <f>VLOOKUP(F51,#REF!,11,FALSE)</f>
        <v>#REF!</v>
      </c>
      <c r="Z51" s="850" t="e">
        <f t="shared" si="15"/>
        <v>#REF!</v>
      </c>
      <c r="AA51">
        <v>658.53658536585363</v>
      </c>
      <c r="AB51" s="850" t="e">
        <f t="shared" si="8"/>
        <v>#REF!</v>
      </c>
      <c r="AF51" s="901">
        <f>SUM(AF48:AF50)</f>
        <v>30295</v>
      </c>
    </row>
    <row r="52" spans="4:32">
      <c r="D52" s="2233"/>
      <c r="E52" s="1089" t="str">
        <f t="shared" si="18"/>
        <v>VP2</v>
      </c>
      <c r="F52" s="1872" t="s">
        <v>931</v>
      </c>
      <c r="G52" s="172" t="s">
        <v>2895</v>
      </c>
      <c r="H52" s="1064" t="e">
        <f>GETPIVOTDATA("QTY",$CS$92,"Price Code","VP Potable water")</f>
        <v>#REF!</v>
      </c>
      <c r="I52" s="1064">
        <f t="shared" si="16"/>
        <v>4</v>
      </c>
      <c r="J52" s="172" t="s">
        <v>2719</v>
      </c>
      <c r="K52" s="1876" t="e">
        <f>VLOOKUP(F52,#REF!,5,FALSE)</f>
        <v>#REF!</v>
      </c>
      <c r="L52" s="1877" t="e">
        <f>VLOOKUP(F52,#REF!,6,FALSE)</f>
        <v>#REF!</v>
      </c>
      <c r="M52" s="1877" t="e">
        <f>VLOOKUP(F52,#REF!,9,FALSE)</f>
        <v>#REF!</v>
      </c>
      <c r="N52" s="1877" t="e">
        <f t="shared" si="19"/>
        <v>#REF!</v>
      </c>
      <c r="O52" s="1877" t="e">
        <f t="shared" si="20"/>
        <v>#REF!</v>
      </c>
      <c r="P52" s="1886" t="e">
        <f>N52*'Labour Rate'!$L$19</f>
        <v>#REF!</v>
      </c>
      <c r="Q52" s="1886" t="e">
        <f t="shared" si="21"/>
        <v>#REF!</v>
      </c>
      <c r="R52" s="1886" t="e">
        <f t="shared" si="22"/>
        <v>#REF!</v>
      </c>
      <c r="S52" s="1873" t="e">
        <f t="shared" si="17"/>
        <v>#REF!</v>
      </c>
      <c r="T52" s="1041" t="e">
        <f t="shared" si="6"/>
        <v>#REF!</v>
      </c>
      <c r="U52" s="1873">
        <v>19951.857809523812</v>
      </c>
      <c r="V52" s="1068" t="e">
        <f t="shared" si="7"/>
        <v>#REF!</v>
      </c>
      <c r="W52" s="1887"/>
      <c r="X52" s="1042" t="e">
        <f>VLOOKUP(F52,#REF!,2,FALSE)-S52</f>
        <v>#REF!</v>
      </c>
      <c r="Y52" s="7" t="e">
        <f>VLOOKUP(F52,#REF!,11,FALSE)</f>
        <v>#REF!</v>
      </c>
      <c r="Z52" s="850" t="e">
        <f t="shared" si="15"/>
        <v>#REF!</v>
      </c>
      <c r="AA52">
        <v>658.53658536585363</v>
      </c>
      <c r="AB52" s="850" t="e">
        <f t="shared" si="8"/>
        <v>#REF!</v>
      </c>
    </row>
    <row r="53" spans="4:32" ht="15" thickBot="1">
      <c r="D53" s="2233"/>
      <c r="E53" s="1090" t="str">
        <f t="shared" si="18"/>
        <v>VP3</v>
      </c>
      <c r="F53" s="829" t="s">
        <v>977</v>
      </c>
      <c r="G53" s="173" t="s">
        <v>2896</v>
      </c>
      <c r="H53" s="1027" t="e">
        <f>GETPIVOTDATA("QTY",$CS$92,"Price Code","STP","Description","VENDOR PACKAGE  - SEWAGE TREATMENT PLANT VENDOR PACKAGE ","Unit","Ea")</f>
        <v>#REF!</v>
      </c>
      <c r="I53" s="1027">
        <f>VLOOKUP(E53,$N$102:$P$158,3,FALSE)</f>
        <v>4</v>
      </c>
      <c r="J53" s="173" t="s">
        <v>2719</v>
      </c>
      <c r="K53" s="1083" t="e">
        <f>VLOOKUP(F53,#REF!,5,FALSE)</f>
        <v>#REF!</v>
      </c>
      <c r="L53" s="1084" t="e">
        <f>VLOOKUP(F53,#REF!,6,FALSE)</f>
        <v>#REF!</v>
      </c>
      <c r="M53" s="1084" t="e">
        <f>VLOOKUP(F53,#REF!,9,FALSE)</f>
        <v>#REF!</v>
      </c>
      <c r="N53" s="1084" t="e">
        <f t="shared" si="19"/>
        <v>#REF!</v>
      </c>
      <c r="O53" s="1084" t="e">
        <f t="shared" si="20"/>
        <v>#REF!</v>
      </c>
      <c r="P53" s="1085" t="e">
        <f>N53*'Labour Rate'!$L$19</f>
        <v>#REF!</v>
      </c>
      <c r="Q53" s="1085" t="e">
        <f t="shared" si="21"/>
        <v>#REF!</v>
      </c>
      <c r="R53" s="1085" t="e">
        <f t="shared" si="22"/>
        <v>#REF!</v>
      </c>
      <c r="S53" s="1061" t="e">
        <f t="shared" si="17"/>
        <v>#REF!</v>
      </c>
      <c r="T53" s="1041" t="e">
        <f t="shared" si="6"/>
        <v>#REF!</v>
      </c>
      <c r="U53" s="1873">
        <v>22071.16485714286</v>
      </c>
      <c r="V53" s="1069" t="e">
        <f t="shared" si="7"/>
        <v>#REF!</v>
      </c>
      <c r="W53" s="1066"/>
      <c r="X53" s="1042" t="e">
        <f>VLOOKUP(F53,#REF!,2,FALSE)-S53</f>
        <v>#REF!</v>
      </c>
      <c r="Y53" s="7" t="e">
        <f>VLOOKUP(F53,#REF!,11,FALSE)</f>
        <v>#REF!</v>
      </c>
      <c r="Z53" s="850" t="e">
        <f t="shared" si="15"/>
        <v>#REF!</v>
      </c>
      <c r="AA53">
        <v>658.53658536585363</v>
      </c>
      <c r="AB53" s="850" t="e">
        <f t="shared" si="8"/>
        <v>#REF!</v>
      </c>
    </row>
    <row r="54" spans="4:32" ht="15" customHeight="1">
      <c r="D54" s="2229" t="s">
        <v>3309</v>
      </c>
      <c r="E54" s="1029" t="str">
        <f t="shared" si="18"/>
        <v>MM1</v>
      </c>
      <c r="F54" s="1029" t="s">
        <v>1768</v>
      </c>
      <c r="G54" s="1022" t="s">
        <v>3310</v>
      </c>
      <c r="H54" s="1030" t="e">
        <f>GETPIVOTDATA("QTY",$CS$92,"Price Code","MM1")</f>
        <v>#REF!</v>
      </c>
      <c r="I54" s="1030">
        <f>VLOOKUP(E54,$N$102:$P$153,3,FALSE)</f>
        <v>191</v>
      </c>
      <c r="J54" s="1039" t="s">
        <v>2719</v>
      </c>
      <c r="K54" s="1078" t="e">
        <f>VLOOKUP(F54,#REF!,5,FALSE)</f>
        <v>#REF!</v>
      </c>
      <c r="L54" s="1079" t="e">
        <f>VLOOKUP(F54,#REF!,6,FALSE)</f>
        <v>#REF!</v>
      </c>
      <c r="M54" s="1079" t="e">
        <f>VLOOKUP(F54,#REF!,9,FALSE)</f>
        <v>#REF!</v>
      </c>
      <c r="N54" s="1079" t="e">
        <f t="shared" si="19"/>
        <v>#REF!</v>
      </c>
      <c r="O54" s="1079" t="e">
        <f t="shared" si="20"/>
        <v>#REF!</v>
      </c>
      <c r="P54" s="1052" t="e">
        <f>N54*'Labour Rate'!$L$19</f>
        <v>#REF!</v>
      </c>
      <c r="Q54" s="1052" t="e">
        <f t="shared" si="21"/>
        <v>#REF!</v>
      </c>
      <c r="R54" s="1052" t="e">
        <f t="shared" si="22"/>
        <v>#REF!</v>
      </c>
      <c r="S54" s="1053" t="e">
        <f t="shared" si="17"/>
        <v>#REF!</v>
      </c>
      <c r="T54" s="1041" t="e">
        <f t="shared" si="6"/>
        <v>#REF!</v>
      </c>
      <c r="U54" s="1053">
        <v>346639.71750000003</v>
      </c>
      <c r="V54" s="1067" t="e">
        <f t="shared" si="7"/>
        <v>#REF!</v>
      </c>
      <c r="W54" s="1080"/>
      <c r="X54" s="1042" t="e">
        <f>VLOOKUP(F54,#REF!,2,FALSE)-S54</f>
        <v>#REF!</v>
      </c>
      <c r="Y54" s="7" t="e">
        <f>VLOOKUP(F54,#REF!,11,FALSE)</f>
        <v>#REF!</v>
      </c>
      <c r="Z54" s="850" t="e">
        <f t="shared" si="15"/>
        <v>#REF!</v>
      </c>
      <c r="AA54">
        <v>87.5</v>
      </c>
      <c r="AB54" s="850" t="e">
        <f t="shared" si="8"/>
        <v>#REF!</v>
      </c>
    </row>
    <row r="55" spans="4:32" ht="15" hidden="1" customHeight="1" outlineLevel="1">
      <c r="D55" s="2230"/>
      <c r="E55" s="1893">
        <f t="shared" ref="E55:E70" si="23">F55</f>
        <v>0</v>
      </c>
      <c r="F55" s="1893"/>
      <c r="G55" s="1894"/>
      <c r="H55" s="1064"/>
      <c r="I55" s="1064"/>
      <c r="J55" s="172"/>
      <c r="K55" s="1876"/>
      <c r="L55" s="1877"/>
      <c r="M55" s="1877"/>
      <c r="N55" s="1877"/>
      <c r="O55" s="1877"/>
      <c r="P55" s="1886">
        <f>N55*'Labour Rate'!$L$19</f>
        <v>0</v>
      </c>
      <c r="Q55" s="1886"/>
      <c r="R55" s="1886"/>
      <c r="S55" s="1873">
        <f t="shared" si="17"/>
        <v>0</v>
      </c>
      <c r="T55" s="1041">
        <f t="shared" si="6"/>
        <v>0</v>
      </c>
      <c r="U55" s="1873">
        <v>0</v>
      </c>
      <c r="V55" s="1068">
        <f t="shared" si="7"/>
        <v>0</v>
      </c>
      <c r="W55" s="1887" t="s">
        <v>3311</v>
      </c>
      <c r="X55" s="1081"/>
      <c r="Z55" s="850">
        <f t="shared" si="15"/>
        <v>0</v>
      </c>
      <c r="AA55">
        <v>0</v>
      </c>
      <c r="AB55" s="850">
        <f t="shared" si="8"/>
        <v>0</v>
      </c>
    </row>
    <row r="56" spans="4:32" ht="15" hidden="1" customHeight="1" outlineLevel="1">
      <c r="D56" s="2230"/>
      <c r="E56" s="1893">
        <f t="shared" si="23"/>
        <v>0</v>
      </c>
      <c r="F56" s="1893"/>
      <c r="G56" s="1894"/>
      <c r="H56" s="1064"/>
      <c r="I56" s="1064"/>
      <c r="J56" s="172"/>
      <c r="K56" s="1876"/>
      <c r="L56" s="1877"/>
      <c r="M56" s="1877"/>
      <c r="N56" s="1877"/>
      <c r="O56" s="1877"/>
      <c r="P56" s="1886">
        <f>N56*'Labour Rate'!$L$19</f>
        <v>0</v>
      </c>
      <c r="Q56" s="1886"/>
      <c r="R56" s="1886"/>
      <c r="S56" s="1873">
        <f t="shared" si="17"/>
        <v>0</v>
      </c>
      <c r="T56" s="1041">
        <f t="shared" si="6"/>
        <v>0</v>
      </c>
      <c r="U56" s="1873">
        <v>0</v>
      </c>
      <c r="V56" s="1068">
        <f t="shared" si="7"/>
        <v>0</v>
      </c>
      <c r="W56" s="1887" t="s">
        <v>3312</v>
      </c>
      <c r="X56" s="1081"/>
      <c r="AB56" s="850">
        <f t="shared" si="8"/>
        <v>0</v>
      </c>
    </row>
    <row r="57" spans="4:32" ht="15" hidden="1" customHeight="1" outlineLevel="1">
      <c r="D57" s="2230"/>
      <c r="E57" s="1893">
        <f t="shared" si="23"/>
        <v>0</v>
      </c>
      <c r="F57" s="1893"/>
      <c r="G57" s="1894"/>
      <c r="H57" s="1064"/>
      <c r="I57" s="1064"/>
      <c r="J57" s="172"/>
      <c r="K57" s="1876"/>
      <c r="L57" s="1877"/>
      <c r="M57" s="1877"/>
      <c r="N57" s="1877"/>
      <c r="O57" s="1877"/>
      <c r="P57" s="1886">
        <f>N57*'Labour Rate'!$L$19</f>
        <v>0</v>
      </c>
      <c r="Q57" s="1886"/>
      <c r="R57" s="1886"/>
      <c r="S57" s="1873">
        <f t="shared" si="17"/>
        <v>0</v>
      </c>
      <c r="T57" s="1041">
        <f t="shared" si="6"/>
        <v>0</v>
      </c>
      <c r="U57" s="1873">
        <v>0</v>
      </c>
      <c r="V57" s="1068">
        <f t="shared" si="7"/>
        <v>0</v>
      </c>
      <c r="W57" s="1887" t="s">
        <v>3313</v>
      </c>
      <c r="X57" s="1081"/>
      <c r="AB57" s="850">
        <f t="shared" si="8"/>
        <v>0</v>
      </c>
    </row>
    <row r="58" spans="4:32" ht="15" hidden="1" customHeight="1" outlineLevel="1">
      <c r="D58" s="2230"/>
      <c r="E58" s="1893">
        <f t="shared" si="23"/>
        <v>0</v>
      </c>
      <c r="F58" s="1893"/>
      <c r="G58" s="1894"/>
      <c r="H58" s="1064"/>
      <c r="I58" s="1064"/>
      <c r="J58" s="172"/>
      <c r="K58" s="1876"/>
      <c r="L58" s="1877"/>
      <c r="M58" s="1877"/>
      <c r="N58" s="1877"/>
      <c r="O58" s="1877"/>
      <c r="P58" s="1886">
        <f>N58*'Labour Rate'!$L$19</f>
        <v>0</v>
      </c>
      <c r="Q58" s="1886"/>
      <c r="R58" s="1886"/>
      <c r="S58" s="1873">
        <f t="shared" si="17"/>
        <v>0</v>
      </c>
      <c r="T58" s="1041">
        <f t="shared" si="6"/>
        <v>0</v>
      </c>
      <c r="U58" s="1873">
        <v>0</v>
      </c>
      <c r="V58" s="1068">
        <f t="shared" si="7"/>
        <v>0</v>
      </c>
      <c r="W58" s="1887" t="s">
        <v>3314</v>
      </c>
      <c r="X58" s="1081"/>
      <c r="AB58" s="850">
        <f t="shared" si="8"/>
        <v>0</v>
      </c>
    </row>
    <row r="59" spans="4:32" collapsed="1">
      <c r="D59" s="2230"/>
      <c r="E59" s="1872" t="str">
        <f t="shared" si="23"/>
        <v>MM2</v>
      </c>
      <c r="F59" s="1872" t="s">
        <v>2123</v>
      </c>
      <c r="G59" s="1894" t="s">
        <v>3315</v>
      </c>
      <c r="H59" s="1064" t="e">
        <f>GETPIVOTDATA("QTY",$CS$92,"Price Code","MM2")+GETPIVOTDATA("QTY",$CS$92,"Price Code","MMED - weight req.")</f>
        <v>#REF!</v>
      </c>
      <c r="I59" s="1064">
        <f>VLOOKUP(E59,$N$102:$P$153,3,FALSE)</f>
        <v>182</v>
      </c>
      <c r="J59" s="172" t="s">
        <v>2719</v>
      </c>
      <c r="K59" s="1876" t="e">
        <f>VLOOKUP(F59,#REF!,5,FALSE)</f>
        <v>#REF!</v>
      </c>
      <c r="L59" s="1877" t="e">
        <f>VLOOKUP(F59,#REF!,6,FALSE)</f>
        <v>#REF!</v>
      </c>
      <c r="M59" s="1877" t="e">
        <f>VLOOKUP(F59,#REF!,9,FALSE)</f>
        <v>#REF!</v>
      </c>
      <c r="N59" s="1877" t="e">
        <f>K59*I59</f>
        <v>#REF!</v>
      </c>
      <c r="O59" s="1877" t="e">
        <f>L59*I59</f>
        <v>#REF!</v>
      </c>
      <c r="P59" s="1886" t="e">
        <f>N59*'Labour Rate'!$L$19</f>
        <v>#REF!</v>
      </c>
      <c r="Q59" s="1886" t="e">
        <f>M59*I59</f>
        <v>#REF!</v>
      </c>
      <c r="R59" s="1886" t="e">
        <f>S59/I59</f>
        <v>#REF!</v>
      </c>
      <c r="S59" s="1873" t="e">
        <f t="shared" si="17"/>
        <v>#REF!</v>
      </c>
      <c r="T59" s="1041" t="e">
        <f t="shared" si="6"/>
        <v>#REF!</v>
      </c>
      <c r="U59" s="1873">
        <v>553973.79885714292</v>
      </c>
      <c r="V59" s="1068" t="e">
        <f t="shared" si="7"/>
        <v>#REF!</v>
      </c>
      <c r="W59" s="1887" t="s">
        <v>3316</v>
      </c>
      <c r="X59" s="1042" t="e">
        <f>VLOOKUP(F59,#REF!,2,FALSE)-S59</f>
        <v>#REF!</v>
      </c>
      <c r="Y59" s="7" t="e">
        <f>VLOOKUP(F59,#REF!,11,FALSE)</f>
        <v>#REF!</v>
      </c>
      <c r="Z59" s="850" t="e">
        <f t="shared" ref="Z59:Z70" si="24">Y59*I59</f>
        <v>#REF!</v>
      </c>
      <c r="AA59">
        <v>130</v>
      </c>
      <c r="AB59" s="850" t="e">
        <f t="shared" si="8"/>
        <v>#REF!</v>
      </c>
      <c r="AD59" t="s">
        <v>3317</v>
      </c>
      <c r="AE59" s="203" t="e">
        <f>R64/Z59</f>
        <v>#REF!</v>
      </c>
    </row>
    <row r="60" spans="4:32" ht="15" customHeight="1">
      <c r="D60" s="2230"/>
      <c r="E60" s="1872" t="str">
        <f t="shared" si="23"/>
        <v>MM3</v>
      </c>
      <c r="F60" s="1872" t="s">
        <v>2120</v>
      </c>
      <c r="G60" s="1894" t="s">
        <v>3318</v>
      </c>
      <c r="H60" s="1064" t="e">
        <f>GETPIVOTDATA("QTY",$CS$92,"Price Code","MM3")</f>
        <v>#REF!</v>
      </c>
      <c r="I60" s="1064">
        <f>VLOOKUP(E60,$N$102:$P$153,3,FALSE)</f>
        <v>56</v>
      </c>
      <c r="J60" s="172" t="s">
        <v>2719</v>
      </c>
      <c r="K60" s="1876" t="e">
        <f>VLOOKUP(F60,#REF!,5,FALSE)</f>
        <v>#REF!</v>
      </c>
      <c r="L60" s="1877" t="e">
        <f>VLOOKUP(F60,#REF!,6,FALSE)</f>
        <v>#REF!</v>
      </c>
      <c r="M60" s="1877" t="e">
        <f>VLOOKUP(F60,#REF!,9,FALSE)</f>
        <v>#REF!</v>
      </c>
      <c r="N60" s="1877" t="e">
        <f t="shared" ref="N60:N70" si="25">K60*I60</f>
        <v>#REF!</v>
      </c>
      <c r="O60" s="1877" t="e">
        <f t="shared" ref="O60:O70" si="26">L60*I60</f>
        <v>#REF!</v>
      </c>
      <c r="P60" s="1886" t="e">
        <f>N60*'Labour Rate'!$L$19</f>
        <v>#REF!</v>
      </c>
      <c r="Q60" s="1886" t="e">
        <f t="shared" ref="Q60:Q70" si="27">M60*I60</f>
        <v>#REF!</v>
      </c>
      <c r="R60" s="1886" t="e">
        <f t="shared" ref="R60:R70" si="28">S60/I60</f>
        <v>#REF!</v>
      </c>
      <c r="S60" s="1873" t="e">
        <f t="shared" si="17"/>
        <v>#REF!</v>
      </c>
      <c r="T60" s="1041" t="e">
        <f t="shared" si="6"/>
        <v>#REF!</v>
      </c>
      <c r="U60" s="1873">
        <v>1112547.0959999999</v>
      </c>
      <c r="V60" s="1068" t="e">
        <f t="shared" si="7"/>
        <v>#REF!</v>
      </c>
      <c r="W60" s="1887"/>
      <c r="X60" s="1042" t="e">
        <f>VLOOKUP(F60,#REF!,2,FALSE)-S60</f>
        <v>#REF!</v>
      </c>
      <c r="Y60" s="7" t="e">
        <f>VLOOKUP(F60,#REF!,11,FALSE)</f>
        <v>#REF!</v>
      </c>
      <c r="Z60" s="850" t="e">
        <f t="shared" si="24"/>
        <v>#REF!</v>
      </c>
      <c r="AA60">
        <v>1512</v>
      </c>
      <c r="AB60" s="850" t="e">
        <f t="shared" si="8"/>
        <v>#REF!</v>
      </c>
      <c r="AD60" t="s">
        <v>3319</v>
      </c>
      <c r="AE60" s="203" t="e">
        <f>R65/Z60</f>
        <v>#REF!</v>
      </c>
    </row>
    <row r="61" spans="4:32">
      <c r="D61" s="2230"/>
      <c r="E61" s="1872" t="str">
        <f t="shared" si="23"/>
        <v>MT1</v>
      </c>
      <c r="F61" s="1872" t="s">
        <v>196</v>
      </c>
      <c r="G61" s="1894" t="s">
        <v>3320</v>
      </c>
      <c r="H61" s="1064" t="e">
        <f>GETPIVOTDATA("QTY",$CS$92,"Price Code","MT1")</f>
        <v>#REF!</v>
      </c>
      <c r="I61" s="1064">
        <f>VLOOKUP(E61,$N$102:$P$153,3,FALSE)</f>
        <v>28</v>
      </c>
      <c r="J61" s="172" t="s">
        <v>2719</v>
      </c>
      <c r="K61" s="1876" t="e">
        <f>VLOOKUP(F61,#REF!,5,FALSE)</f>
        <v>#REF!</v>
      </c>
      <c r="L61" s="1877" t="e">
        <f>VLOOKUP(F61,#REF!,6,FALSE)</f>
        <v>#REF!</v>
      </c>
      <c r="M61" s="1877" t="e">
        <f>VLOOKUP(F61,#REF!,9,FALSE)</f>
        <v>#REF!</v>
      </c>
      <c r="N61" s="1877" t="e">
        <f t="shared" si="25"/>
        <v>#REF!</v>
      </c>
      <c r="O61" s="1877" t="e">
        <f t="shared" si="26"/>
        <v>#REF!</v>
      </c>
      <c r="P61" s="1886" t="e">
        <f>N61*'Labour Rate'!$L$19</f>
        <v>#REF!</v>
      </c>
      <c r="Q61" s="1886" t="e">
        <f t="shared" si="27"/>
        <v>#REF!</v>
      </c>
      <c r="R61" s="1886" t="e">
        <f t="shared" si="28"/>
        <v>#REF!</v>
      </c>
      <c r="S61" s="1873" t="e">
        <f t="shared" si="17"/>
        <v>#REF!</v>
      </c>
      <c r="T61" s="1041" t="e">
        <f t="shared" si="6"/>
        <v>#REF!</v>
      </c>
      <c r="U61" s="1873">
        <v>30076.610888888888</v>
      </c>
      <c r="V61" s="1068" t="e">
        <f t="shared" si="7"/>
        <v>#REF!</v>
      </c>
      <c r="W61" s="1887"/>
      <c r="X61" s="1042" t="e">
        <f>VLOOKUP(F61,#REF!,2,FALSE)-S61</f>
        <v>#REF!</v>
      </c>
      <c r="Y61" s="7" t="e">
        <f>VLOOKUP(F61,#REF!,11,FALSE)</f>
        <v>#REF!</v>
      </c>
      <c r="Z61" s="850" t="e">
        <f t="shared" si="24"/>
        <v>#REF!</v>
      </c>
      <c r="AA61">
        <v>14</v>
      </c>
      <c r="AB61" s="850" t="e">
        <f t="shared" si="8"/>
        <v>#REF!</v>
      </c>
      <c r="AD61" t="s">
        <v>3321</v>
      </c>
      <c r="AE61" s="203" t="e">
        <f>R66/Z61</f>
        <v>#REF!</v>
      </c>
    </row>
    <row r="62" spans="4:32">
      <c r="D62" s="2230"/>
      <c r="E62" s="1872" t="str">
        <f t="shared" si="23"/>
        <v>MT2</v>
      </c>
      <c r="F62" s="1872" t="s">
        <v>530</v>
      </c>
      <c r="G62" s="1894" t="s">
        <v>3322</v>
      </c>
      <c r="H62" s="1064" t="e">
        <f>GETPIVOTDATA("QTY",$CS$92,"Price Code","MT2")</f>
        <v>#REF!</v>
      </c>
      <c r="I62" s="1064">
        <f>VLOOKUP(E62,$N$102:$P$153,3,FALSE)</f>
        <v>28</v>
      </c>
      <c r="J62" s="172" t="s">
        <v>2719</v>
      </c>
      <c r="K62" s="1876" t="e">
        <f>VLOOKUP(F62,#REF!,5,FALSE)</f>
        <v>#REF!</v>
      </c>
      <c r="L62" s="1877" t="e">
        <f>VLOOKUP(F62,#REF!,6,FALSE)</f>
        <v>#REF!</v>
      </c>
      <c r="M62" s="1877" t="e">
        <f>VLOOKUP(F62,#REF!,9,FALSE)</f>
        <v>#REF!</v>
      </c>
      <c r="N62" s="1877" t="e">
        <f t="shared" si="25"/>
        <v>#REF!</v>
      </c>
      <c r="O62" s="1877" t="e">
        <f t="shared" si="26"/>
        <v>#REF!</v>
      </c>
      <c r="P62" s="1886" t="e">
        <f>N62*'Labour Rate'!$L$19</f>
        <v>#REF!</v>
      </c>
      <c r="Q62" s="1886" t="e">
        <f t="shared" si="27"/>
        <v>#REF!</v>
      </c>
      <c r="R62" s="1886" t="e">
        <f t="shared" si="28"/>
        <v>#REF!</v>
      </c>
      <c r="S62" s="1873" t="e">
        <f t="shared" si="17"/>
        <v>#REF!</v>
      </c>
      <c r="T62" s="1041" t="e">
        <f t="shared" si="6"/>
        <v>#REF!</v>
      </c>
      <c r="U62" s="1873">
        <v>155133.611</v>
      </c>
      <c r="V62" s="1068" t="e">
        <f t="shared" si="7"/>
        <v>#REF!</v>
      </c>
      <c r="W62" s="1887" t="s">
        <v>3323</v>
      </c>
      <c r="X62" s="1042" t="e">
        <f>VLOOKUP(F62,#REF!,2,FALSE)-S62</f>
        <v>#REF!</v>
      </c>
      <c r="Y62" s="7" t="e">
        <f>VLOOKUP(F62,#REF!,11,FALSE)</f>
        <v>#REF!</v>
      </c>
      <c r="Z62" s="850" t="e">
        <f t="shared" si="24"/>
        <v>#REF!</v>
      </c>
      <c r="AA62">
        <v>42</v>
      </c>
      <c r="AB62" s="850" t="e">
        <f t="shared" si="8"/>
        <v>#REF!</v>
      </c>
      <c r="AD62" t="s">
        <v>3324</v>
      </c>
      <c r="AE62" s="203" t="e">
        <f>R67/Z62</f>
        <v>#REF!</v>
      </c>
    </row>
    <row r="63" spans="4:32">
      <c r="D63" s="2230"/>
      <c r="E63" s="1872" t="str">
        <f t="shared" si="23"/>
        <v>MT3</v>
      </c>
      <c r="F63" s="1872" t="s">
        <v>3325</v>
      </c>
      <c r="G63" s="1894" t="s">
        <v>3326</v>
      </c>
      <c r="H63" s="1064">
        <v>0</v>
      </c>
      <c r="I63" s="1064">
        <v>0</v>
      </c>
      <c r="J63" s="172" t="s">
        <v>2719</v>
      </c>
      <c r="K63" s="1876" t="e">
        <f>VLOOKUP(F63,#REF!,5,FALSE)</f>
        <v>#REF!</v>
      </c>
      <c r="L63" s="1877" t="e">
        <f>VLOOKUP(F63,#REF!,6,FALSE)</f>
        <v>#REF!</v>
      </c>
      <c r="M63" s="1877" t="e">
        <f>VLOOKUP(F63,#REF!,9,FALSE)</f>
        <v>#REF!</v>
      </c>
      <c r="N63" s="1877" t="e">
        <f t="shared" si="25"/>
        <v>#REF!</v>
      </c>
      <c r="O63" s="1877" t="e">
        <f t="shared" si="26"/>
        <v>#REF!</v>
      </c>
      <c r="P63" s="1886" t="e">
        <f>N63*'Labour Rate'!$L$19</f>
        <v>#REF!</v>
      </c>
      <c r="Q63" s="1886" t="e">
        <f t="shared" si="27"/>
        <v>#REF!</v>
      </c>
      <c r="R63" s="1886">
        <v>0</v>
      </c>
      <c r="S63" s="1873" t="e">
        <f t="shared" si="17"/>
        <v>#REF!</v>
      </c>
      <c r="T63" s="1041" t="e">
        <f t="shared" si="6"/>
        <v>#REF!</v>
      </c>
      <c r="U63" s="1873">
        <v>0</v>
      </c>
      <c r="V63" s="1068" t="e">
        <f t="shared" si="7"/>
        <v>#REF!</v>
      </c>
      <c r="W63" s="1887"/>
      <c r="X63" s="1042"/>
      <c r="Y63" s="7" t="e">
        <f>VLOOKUP(F63,#REF!,11,FALSE)</f>
        <v>#REF!</v>
      </c>
      <c r="Z63" s="850" t="e">
        <f t="shared" si="24"/>
        <v>#REF!</v>
      </c>
      <c r="AA63">
        <v>0</v>
      </c>
      <c r="AB63" s="850" t="e">
        <f t="shared" si="8"/>
        <v>#REF!</v>
      </c>
    </row>
    <row r="64" spans="4:32">
      <c r="D64" s="2230"/>
      <c r="E64" s="1872" t="str">
        <f t="shared" si="23"/>
        <v>MT1-d</v>
      </c>
      <c r="F64" s="1872" t="s">
        <v>188</v>
      </c>
      <c r="G64" s="1894" t="s">
        <v>3327</v>
      </c>
      <c r="H64" s="1064" t="e">
        <f>GETPIVOTDATA("QTY",$CS$92,"Price Code","MT1-d")</f>
        <v>#REF!</v>
      </c>
      <c r="I64" s="1064">
        <f t="shared" ref="I64:I69" si="29">VLOOKUP(E64,$N$102:$P$153,3,FALSE)</f>
        <v>22</v>
      </c>
      <c r="J64" s="172" t="s">
        <v>2719</v>
      </c>
      <c r="K64" s="1876" t="e">
        <f>VLOOKUP(F64,#REF!,5,FALSE)</f>
        <v>#REF!</v>
      </c>
      <c r="L64" s="1877" t="e">
        <f>VLOOKUP(F64,#REF!,6,FALSE)</f>
        <v>#REF!</v>
      </c>
      <c r="M64" s="1877" t="e">
        <f>VLOOKUP(F64,#REF!,9,FALSE)</f>
        <v>#REF!</v>
      </c>
      <c r="N64" s="1877" t="e">
        <f>K64*I64</f>
        <v>#REF!</v>
      </c>
      <c r="O64" s="1877" t="e">
        <f>L64*I64</f>
        <v>#REF!</v>
      </c>
      <c r="P64" s="1886" t="e">
        <f>N64*'Labour Rate'!$L$19</f>
        <v>#REF!</v>
      </c>
      <c r="Q64" s="1886" t="e">
        <f>M64*I64</f>
        <v>#REF!</v>
      </c>
      <c r="R64" s="1888" t="e">
        <f>S64/I64</f>
        <v>#REF!</v>
      </c>
      <c r="S64" s="1873" t="e">
        <f t="shared" si="17"/>
        <v>#REF!</v>
      </c>
      <c r="T64" s="1041" t="e">
        <f t="shared" si="6"/>
        <v>#REF!</v>
      </c>
      <c r="U64" s="1873">
        <v>40630.231452380955</v>
      </c>
      <c r="V64" s="1068" t="e">
        <f t="shared" si="7"/>
        <v>#REF!</v>
      </c>
      <c r="W64" s="1887"/>
      <c r="X64" s="1042" t="e">
        <f>VLOOKUP(F64,#REF!,2,FALSE)-S64</f>
        <v>#REF!</v>
      </c>
      <c r="Y64" s="7" t="e">
        <f>VLOOKUP(F64,#REF!,11,FALSE)</f>
        <v>#REF!</v>
      </c>
      <c r="Z64" s="850" t="e">
        <f t="shared" si="24"/>
        <v>#REF!</v>
      </c>
      <c r="AA64">
        <v>220</v>
      </c>
      <c r="AB64" s="850" t="e">
        <f t="shared" si="8"/>
        <v>#REF!</v>
      </c>
    </row>
    <row r="65" spans="2:28">
      <c r="D65" s="2230"/>
      <c r="E65" s="1872" t="str">
        <f t="shared" si="23"/>
        <v>MT2-d</v>
      </c>
      <c r="F65" s="1872" t="s">
        <v>882</v>
      </c>
      <c r="G65" s="1894" t="s">
        <v>3328</v>
      </c>
      <c r="H65" s="1064" t="e">
        <f>GETPIVOTDATA("QTY",$CS$92,"Price Code","MT1-d")</f>
        <v>#REF!</v>
      </c>
      <c r="I65" s="1064">
        <f t="shared" si="29"/>
        <v>9</v>
      </c>
      <c r="J65" s="172" t="s">
        <v>2719</v>
      </c>
      <c r="K65" s="1876" t="e">
        <f>VLOOKUP(F65,#REF!,5,FALSE)</f>
        <v>#REF!</v>
      </c>
      <c r="L65" s="1877" t="e">
        <f>VLOOKUP(F65,#REF!,6,FALSE)</f>
        <v>#REF!</v>
      </c>
      <c r="M65" s="1877" t="e">
        <f>VLOOKUP(F65,#REF!,9,FALSE)</f>
        <v>#REF!</v>
      </c>
      <c r="N65" s="1877" t="e">
        <f>K65*I65</f>
        <v>#REF!</v>
      </c>
      <c r="O65" s="1877" t="e">
        <f>L65*I65</f>
        <v>#REF!</v>
      </c>
      <c r="P65" s="1886" t="e">
        <f>N65*'Labour Rate'!$L$19</f>
        <v>#REF!</v>
      </c>
      <c r="Q65" s="1886" t="e">
        <f>M65*I65</f>
        <v>#REF!</v>
      </c>
      <c r="R65" s="1888" t="e">
        <f>S65/I65</f>
        <v>#REF!</v>
      </c>
      <c r="S65" s="1873" t="e">
        <f t="shared" si="17"/>
        <v>#REF!</v>
      </c>
      <c r="T65" s="1041" t="e">
        <f t="shared" si="6"/>
        <v>#REF!</v>
      </c>
      <c r="U65" s="1873">
        <v>84530.203047619056</v>
      </c>
      <c r="V65" s="1068" t="e">
        <f t="shared" si="7"/>
        <v>#REF!</v>
      </c>
      <c r="W65" s="1887"/>
      <c r="X65" s="1042" t="e">
        <f>VLOOKUP(F65,#REF!,2,FALSE)-S65</f>
        <v>#REF!</v>
      </c>
      <c r="Y65" s="7" t="e">
        <f>VLOOKUP(F65,#REF!,11,FALSE)</f>
        <v>#REF!</v>
      </c>
      <c r="Z65" s="850" t="e">
        <f t="shared" si="24"/>
        <v>#REF!</v>
      </c>
      <c r="AA65">
        <v>320</v>
      </c>
      <c r="AB65" s="850" t="e">
        <f t="shared" si="8"/>
        <v>#REF!</v>
      </c>
    </row>
    <row r="66" spans="2:28">
      <c r="D66" s="2230"/>
      <c r="E66" s="1872" t="str">
        <f t="shared" si="23"/>
        <v>MT3-d</v>
      </c>
      <c r="F66" s="1872" t="s">
        <v>855</v>
      </c>
      <c r="G66" s="1894" t="s">
        <v>3329</v>
      </c>
      <c r="H66" s="1064" t="e">
        <f>GETPIVOTDATA("QTY",$CS$92,"Price Code","MT3-d")</f>
        <v>#REF!</v>
      </c>
      <c r="I66" s="1064">
        <f t="shared" si="29"/>
        <v>2</v>
      </c>
      <c r="J66" s="172" t="s">
        <v>2719</v>
      </c>
      <c r="K66" s="1876" t="e">
        <f>VLOOKUP(F66,#REF!,5,FALSE)</f>
        <v>#REF!</v>
      </c>
      <c r="L66" s="1877" t="e">
        <f>VLOOKUP(F66,#REF!,6,FALSE)</f>
        <v>#REF!</v>
      </c>
      <c r="M66" s="1877" t="e">
        <f>VLOOKUP(F66,#REF!,9,FALSE)</f>
        <v>#REF!</v>
      </c>
      <c r="N66" s="1877" t="e">
        <f>K66*I66</f>
        <v>#REF!</v>
      </c>
      <c r="O66" s="1877" t="e">
        <f>L66*I66</f>
        <v>#REF!</v>
      </c>
      <c r="P66" s="1886" t="e">
        <f>N66*'Labour Rate'!$L$19</f>
        <v>#REF!</v>
      </c>
      <c r="Q66" s="1886" t="e">
        <f>M66*I66</f>
        <v>#REF!</v>
      </c>
      <c r="R66" s="1888" t="e">
        <f>S66/I66</f>
        <v>#REF!</v>
      </c>
      <c r="S66" s="1873" t="e">
        <f t="shared" si="17"/>
        <v>#REF!</v>
      </c>
      <c r="T66" s="1041" t="e">
        <f t="shared" si="6"/>
        <v>#REF!</v>
      </c>
      <c r="U66" s="1873">
        <v>154114.11777777778</v>
      </c>
      <c r="V66" s="1068" t="e">
        <f t="shared" si="7"/>
        <v>#REF!</v>
      </c>
      <c r="W66" s="1889" t="s">
        <v>3330</v>
      </c>
      <c r="X66" s="1042" t="e">
        <f>VLOOKUP(F66,#REF!,2,FALSE)-S66</f>
        <v>#REF!</v>
      </c>
      <c r="Y66" s="7" t="e">
        <f>VLOOKUP(F66,#REF!,11,FALSE)</f>
        <v>#REF!</v>
      </c>
      <c r="Z66" s="850" t="e">
        <f t="shared" si="24"/>
        <v>#REF!</v>
      </c>
      <c r="AA66">
        <v>160</v>
      </c>
      <c r="AB66" s="850" t="e">
        <f t="shared" si="8"/>
        <v>#REF!</v>
      </c>
    </row>
    <row r="67" spans="2:28">
      <c r="D67" s="2230"/>
      <c r="E67" s="1872" t="str">
        <f t="shared" si="23"/>
        <v>MT4-d</v>
      </c>
      <c r="F67" s="1872" t="s">
        <v>844</v>
      </c>
      <c r="G67" s="1894" t="s">
        <v>3331</v>
      </c>
      <c r="H67" s="1064" t="e">
        <f>GETPIVOTDATA("QTY",$CS$92,"Price Code","MT4-d")</f>
        <v>#REF!</v>
      </c>
      <c r="I67" s="1064">
        <f t="shared" si="29"/>
        <v>6</v>
      </c>
      <c r="J67" s="172" t="s">
        <v>2719</v>
      </c>
      <c r="K67" s="1876" t="e">
        <f>VLOOKUP(F67,#REF!,5,FALSE)</f>
        <v>#REF!</v>
      </c>
      <c r="L67" s="1877" t="e">
        <f>VLOOKUP(F67,#REF!,6,FALSE)</f>
        <v>#REF!</v>
      </c>
      <c r="M67" s="1877" t="e">
        <f>VLOOKUP(F67,#REF!,9,FALSE)</f>
        <v>#REF!</v>
      </c>
      <c r="N67" s="1877" t="e">
        <f>K67*I67</f>
        <v>#REF!</v>
      </c>
      <c r="O67" s="1877" t="e">
        <f>L67*I67</f>
        <v>#REF!</v>
      </c>
      <c r="P67" s="1886" t="e">
        <f>N67*'Labour Rate'!$L$19</f>
        <v>#REF!</v>
      </c>
      <c r="Q67" s="1886" t="e">
        <f>M67*I67</f>
        <v>#REF!</v>
      </c>
      <c r="R67" s="1888" t="e">
        <f>S67/I67</f>
        <v>#REF!</v>
      </c>
      <c r="S67" s="1873" t="e">
        <f t="shared" si="17"/>
        <v>#REF!</v>
      </c>
      <c r="T67" s="1041" t="e">
        <f t="shared" si="6"/>
        <v>#REF!</v>
      </c>
      <c r="U67" s="1873">
        <v>531684.1892063492</v>
      </c>
      <c r="V67" s="1068" t="e">
        <f>S67-U67</f>
        <v>#REF!</v>
      </c>
      <c r="W67" s="1889" t="s">
        <v>3332</v>
      </c>
      <c r="X67" s="1042" t="e">
        <f>VLOOKUP(F67,#REF!,2,FALSE)-S67</f>
        <v>#REF!</v>
      </c>
      <c r="Y67" s="7" t="e">
        <f>VLOOKUP(F67,#REF!,11,FALSE)</f>
        <v>#REF!</v>
      </c>
      <c r="Z67" s="850" t="e">
        <f t="shared" si="24"/>
        <v>#REF!</v>
      </c>
      <c r="AA67" s="855">
        <v>640</v>
      </c>
      <c r="AB67" s="850" t="e">
        <f t="shared" si="8"/>
        <v>#REF!</v>
      </c>
    </row>
    <row r="68" spans="2:28">
      <c r="D68" s="2230"/>
      <c r="E68" s="1872" t="str">
        <f t="shared" si="23"/>
        <v>MT5-d</v>
      </c>
      <c r="F68" s="1872" t="s">
        <v>178</v>
      </c>
      <c r="G68" s="1894"/>
      <c r="H68" s="1064"/>
      <c r="I68" s="1064" t="e">
        <f t="shared" si="29"/>
        <v>#N/A</v>
      </c>
      <c r="J68" s="172"/>
      <c r="K68" s="1876"/>
      <c r="L68" s="1877"/>
      <c r="M68" s="1877"/>
      <c r="N68" s="1877"/>
      <c r="O68" s="1877"/>
      <c r="P68" s="1886"/>
      <c r="Q68" s="1886"/>
      <c r="R68" s="1888"/>
      <c r="S68" s="1873"/>
      <c r="T68" s="1041"/>
      <c r="U68" s="1873"/>
      <c r="V68" s="1068"/>
      <c r="W68" s="1889"/>
      <c r="X68" s="1042"/>
      <c r="Y68" s="7" t="e">
        <f>VLOOKUP(F68,#REF!,11,FALSE)</f>
        <v>#REF!</v>
      </c>
      <c r="Z68" s="850" t="e">
        <f t="shared" ref="Z68" si="30">Y68*I68</f>
        <v>#REF!</v>
      </c>
      <c r="AA68" s="855">
        <v>641</v>
      </c>
      <c r="AB68" s="850" t="e">
        <f t="shared" ref="AB68" si="31">Z68-AA68</f>
        <v>#REF!</v>
      </c>
    </row>
    <row r="69" spans="2:28">
      <c r="D69" s="2230"/>
      <c r="E69" s="1872" t="str">
        <f t="shared" si="23"/>
        <v>MISC</v>
      </c>
      <c r="F69" s="1872" t="s">
        <v>687</v>
      </c>
      <c r="G69" s="1894" t="s">
        <v>3333</v>
      </c>
      <c r="H69" s="1064" t="e">
        <f>GETPIVOTDATA("QTY",$CS$92,"Price Code","Misc")</f>
        <v>#REF!</v>
      </c>
      <c r="I69" s="1064">
        <f t="shared" si="29"/>
        <v>0</v>
      </c>
      <c r="J69" s="172" t="s">
        <v>2719</v>
      </c>
      <c r="K69" s="1876" t="e">
        <f>VLOOKUP(F69,#REF!,5,FALSE)</f>
        <v>#REF!</v>
      </c>
      <c r="L69" s="1877" t="e">
        <f>VLOOKUP(F69,#REF!,6,FALSE)</f>
        <v>#REF!</v>
      </c>
      <c r="M69" s="1877" t="e">
        <f>VLOOKUP(F69,#REF!,9,FALSE)</f>
        <v>#REF!</v>
      </c>
      <c r="N69" s="1877" t="e">
        <f t="shared" si="25"/>
        <v>#REF!</v>
      </c>
      <c r="O69" s="1877" t="e">
        <f>L69*I69</f>
        <v>#REF!</v>
      </c>
      <c r="P69" s="1886" t="e">
        <f>N69*'Labour Rate'!$L$19</f>
        <v>#REF!</v>
      </c>
      <c r="Q69" s="1886" t="e">
        <f t="shared" si="27"/>
        <v>#REF!</v>
      </c>
      <c r="R69" s="1886" t="e">
        <f t="shared" si="28"/>
        <v>#REF!</v>
      </c>
      <c r="S69" s="1873" t="e">
        <f t="shared" si="17"/>
        <v>#REF!</v>
      </c>
      <c r="T69" s="1041" t="e">
        <f t="shared" si="6"/>
        <v>#REF!</v>
      </c>
      <c r="U69" s="1873">
        <v>6887.7479047619054</v>
      </c>
      <c r="V69" s="1068" t="e">
        <f t="shared" si="7"/>
        <v>#REF!</v>
      </c>
      <c r="W69" s="1887" t="s">
        <v>3334</v>
      </c>
      <c r="X69" s="1042" t="e">
        <f>VLOOKUP(F69,#REF!,2,FALSE)-S69</f>
        <v>#REF!</v>
      </c>
      <c r="Y69" s="7" t="e">
        <f>VLOOKUP(F69,#REF!,11,FALSE)</f>
        <v>#REF!</v>
      </c>
      <c r="Z69" s="850" t="e">
        <f t="shared" si="24"/>
        <v>#REF!</v>
      </c>
      <c r="AA69">
        <v>6.5</v>
      </c>
      <c r="AB69" s="850" t="e">
        <f t="shared" si="8"/>
        <v>#REF!</v>
      </c>
    </row>
    <row r="70" spans="2:28" ht="15" thickBot="1">
      <c r="D70" s="2231"/>
      <c r="E70" s="829" t="str">
        <f t="shared" si="23"/>
        <v>CV</v>
      </c>
      <c r="F70" s="829" t="s">
        <v>229</v>
      </c>
      <c r="G70" s="1059" t="s">
        <v>230</v>
      </c>
      <c r="H70" s="1027">
        <v>1</v>
      </c>
      <c r="I70" s="1027">
        <v>1</v>
      </c>
      <c r="J70" s="173" t="s">
        <v>2719</v>
      </c>
      <c r="K70" s="816" t="e">
        <f>VLOOKUP(F70,#REF!,5,FALSE)</f>
        <v>#REF!</v>
      </c>
      <c r="L70" s="817" t="e">
        <f>VLOOKUP(F70,#REF!,6,FALSE)</f>
        <v>#REF!</v>
      </c>
      <c r="M70" s="817" t="e">
        <f>VLOOKUP(F70,#REF!,9,FALSE)</f>
        <v>#REF!</v>
      </c>
      <c r="N70" s="817" t="e">
        <f t="shared" si="25"/>
        <v>#REF!</v>
      </c>
      <c r="O70" s="817" t="e">
        <f t="shared" si="26"/>
        <v>#REF!</v>
      </c>
      <c r="P70" s="813" t="e">
        <f>N70*'Labour Rate'!$L$19</f>
        <v>#REF!</v>
      </c>
      <c r="Q70" s="813" t="e">
        <f t="shared" si="27"/>
        <v>#REF!</v>
      </c>
      <c r="R70" s="813" t="e">
        <f t="shared" si="28"/>
        <v>#REF!</v>
      </c>
      <c r="S70" s="815" t="e">
        <f t="shared" si="17"/>
        <v>#REF!</v>
      </c>
      <c r="T70" s="1041" t="e">
        <f t="shared" si="6"/>
        <v>#REF!</v>
      </c>
      <c r="U70" s="1873">
        <v>1329441.3109714286</v>
      </c>
      <c r="V70" s="1069" t="e">
        <f t="shared" si="7"/>
        <v>#REF!</v>
      </c>
      <c r="W70" s="1066"/>
      <c r="X70" s="993" t="e">
        <f>VLOOKUP(F70,#REF!,2,FALSE)-S70</f>
        <v>#REF!</v>
      </c>
      <c r="Y70" s="7" t="e">
        <f>VLOOKUP(F70,#REF!,11,FALSE)</f>
        <v>#REF!</v>
      </c>
      <c r="Z70" s="850" t="e">
        <f t="shared" si="24"/>
        <v>#REF!</v>
      </c>
      <c r="AA70">
        <v>1020</v>
      </c>
      <c r="AB70" s="850" t="e">
        <f t="shared" si="8"/>
        <v>#REF!</v>
      </c>
    </row>
    <row r="71" spans="2:28" ht="15" thickBot="1">
      <c r="O71" s="854"/>
      <c r="P71" s="854"/>
      <c r="Q71" s="854"/>
      <c r="U71" s="1895"/>
      <c r="V71" s="1063"/>
      <c r="Z71" s="1126" t="e">
        <f>SUM(Z5:Z70)</f>
        <v>#REF!</v>
      </c>
      <c r="AA71">
        <v>123211.84739773326</v>
      </c>
      <c r="AB71" s="850" t="e">
        <f t="shared" ref="AB71" si="32">Z71-AA71</f>
        <v>#REF!</v>
      </c>
    </row>
    <row r="72" spans="2:28" ht="18.5">
      <c r="D72" s="1021"/>
      <c r="E72" s="1012"/>
      <c r="F72" s="1012"/>
      <c r="G72" s="1012" t="s">
        <v>3335</v>
      </c>
      <c r="H72" s="1012"/>
      <c r="I72" s="1012"/>
      <c r="J72" s="1012"/>
      <c r="K72" s="1012"/>
      <c r="L72" s="1012"/>
      <c r="M72" s="1012"/>
      <c r="N72" s="1020" t="e">
        <f>SUM(N5:N70)</f>
        <v>#REF!</v>
      </c>
      <c r="O72" s="1012" t="e">
        <f>SUM(O5:O71)</f>
        <v>#REF!</v>
      </c>
      <c r="P72" s="1012" t="e">
        <f>SUM(P5:P70)</f>
        <v>#REF!</v>
      </c>
      <c r="Q72" s="1012" t="e">
        <f>SUM(Q5:Q70)</f>
        <v>#REF!</v>
      </c>
      <c r="R72" s="1012"/>
      <c r="S72" s="1011" t="e">
        <f>SUM(S5:S70)</f>
        <v>#REF!</v>
      </c>
      <c r="T72" s="1011" t="e">
        <f>S72+1022000</f>
        <v>#REF!</v>
      </c>
      <c r="U72" s="1011">
        <v>23351397.510180287</v>
      </c>
      <c r="V72" s="1009" t="e">
        <f>S72-U72</f>
        <v>#REF!</v>
      </c>
      <c r="W72" s="1009"/>
      <c r="X72"/>
    </row>
    <row r="73" spans="2:28" s="1031" customFormat="1" ht="15" customHeight="1">
      <c r="D73" s="2225" t="s">
        <v>3336</v>
      </c>
      <c r="G73" s="1018" t="s">
        <v>2742</v>
      </c>
      <c r="H73" s="1035"/>
      <c r="I73" s="1035"/>
      <c r="K73" s="1033"/>
      <c r="P73" s="1034"/>
      <c r="Q73" s="1034"/>
      <c r="R73" s="1034"/>
      <c r="S73" s="1034" t="e">
        <f>#REF!</f>
        <v>#REF!</v>
      </c>
      <c r="T73" s="1034"/>
      <c r="U73" s="1034">
        <v>311000</v>
      </c>
      <c r="V73" s="1063" t="e">
        <f t="shared" ref="V73:V89" si="33">S73-U73</f>
        <v>#REF!</v>
      </c>
      <c r="Y73" s="1056"/>
      <c r="Z73" s="1015"/>
    </row>
    <row r="74" spans="2:28" s="1031" customFormat="1">
      <c r="B74" s="1035"/>
      <c r="D74" s="2225"/>
      <c r="G74" s="1018" t="s">
        <v>2692</v>
      </c>
      <c r="H74" s="1032"/>
      <c r="I74" s="1032"/>
      <c r="K74" s="1033"/>
      <c r="P74" s="1034"/>
      <c r="Q74" s="1034"/>
      <c r="R74" s="1034"/>
      <c r="S74" s="1034" t="e">
        <f>#REF!</f>
        <v>#REF!</v>
      </c>
      <c r="T74" s="1034"/>
      <c r="U74" s="1034">
        <v>2907000</v>
      </c>
      <c r="V74" s="1063" t="e">
        <f t="shared" si="33"/>
        <v>#REF!</v>
      </c>
      <c r="Y74" s="1056"/>
      <c r="Z74" s="1015"/>
    </row>
    <row r="75" spans="2:28" s="1031" customFormat="1">
      <c r="B75" s="1035"/>
      <c r="D75" s="2225"/>
      <c r="G75" s="1018" t="s">
        <v>3154</v>
      </c>
      <c r="H75" s="1032"/>
      <c r="I75" s="1032"/>
      <c r="K75" s="1033"/>
      <c r="P75" s="1034"/>
      <c r="Q75" s="1034"/>
      <c r="R75" s="1034"/>
      <c r="S75" s="1034" t="e">
        <f>#REF!</f>
        <v>#REF!</v>
      </c>
      <c r="T75" s="1034"/>
      <c r="U75" s="1034">
        <v>876000</v>
      </c>
      <c r="V75" s="1063" t="e">
        <f t="shared" si="33"/>
        <v>#REF!</v>
      </c>
      <c r="Y75" s="1056"/>
      <c r="Z75" s="1015"/>
    </row>
    <row r="76" spans="2:28" s="1031" customFormat="1">
      <c r="B76" s="1035"/>
      <c r="D76" s="2225"/>
      <c r="G76" s="1018" t="s">
        <v>2686</v>
      </c>
      <c r="H76" s="1032"/>
      <c r="I76" s="1035">
        <v>5500</v>
      </c>
      <c r="J76" s="1031" t="s">
        <v>2688</v>
      </c>
      <c r="K76" s="1033"/>
      <c r="O76" s="1031" t="s">
        <v>3337</v>
      </c>
      <c r="P76" s="1034"/>
      <c r="Q76" s="1034"/>
      <c r="R76" s="1034"/>
      <c r="S76" s="1034" t="e">
        <f>#REF!</f>
        <v>#REF!</v>
      </c>
      <c r="T76" s="1034"/>
      <c r="U76" s="1034">
        <v>234000</v>
      </c>
      <c r="V76" s="1063" t="e">
        <f t="shared" si="33"/>
        <v>#REF!</v>
      </c>
      <c r="Y76" s="1056"/>
      <c r="Z76" s="1015"/>
    </row>
    <row r="77" spans="2:28" s="1031" customFormat="1">
      <c r="B77" s="1035"/>
      <c r="D77" s="2225"/>
      <c r="G77" s="1018"/>
      <c r="H77" s="1032"/>
      <c r="I77" s="1032"/>
      <c r="K77" s="1033"/>
      <c r="P77" s="1034"/>
      <c r="Q77" s="1034"/>
      <c r="R77" s="1034"/>
      <c r="S77" s="1034"/>
      <c r="T77" s="1034"/>
      <c r="U77" s="1034"/>
      <c r="V77" s="1063">
        <f t="shared" si="33"/>
        <v>0</v>
      </c>
      <c r="Y77" s="1056"/>
      <c r="Z77" s="1015"/>
    </row>
    <row r="78" spans="2:28" s="1031" customFormat="1">
      <c r="B78" s="1035"/>
      <c r="D78" s="2225"/>
      <c r="G78" s="1018" t="s">
        <v>2696</v>
      </c>
      <c r="H78" s="1032"/>
      <c r="I78" s="1035">
        <v>14</v>
      </c>
      <c r="J78" s="1031" t="s">
        <v>3338</v>
      </c>
      <c r="K78" s="1033" t="s">
        <v>3339</v>
      </c>
      <c r="O78" s="1036">
        <v>120000</v>
      </c>
      <c r="P78" s="1034"/>
      <c r="Q78" s="1034"/>
      <c r="R78" s="1034"/>
      <c r="S78" s="1034" t="e">
        <f>#REF!</f>
        <v>#REF!</v>
      </c>
      <c r="T78" s="1034"/>
      <c r="U78" s="1034">
        <v>944000</v>
      </c>
      <c r="V78" s="1063" t="e">
        <f t="shared" si="33"/>
        <v>#REF!</v>
      </c>
      <c r="Y78" s="1056"/>
      <c r="Z78" s="1015"/>
    </row>
    <row r="79" spans="2:28" s="1031" customFormat="1">
      <c r="B79" s="1035"/>
      <c r="D79" s="2225"/>
      <c r="G79" s="1018" t="s">
        <v>2743</v>
      </c>
      <c r="H79" s="1032"/>
      <c r="I79" s="1032"/>
      <c r="K79" s="1033" t="s">
        <v>3340</v>
      </c>
      <c r="P79" s="1034"/>
      <c r="Q79" s="1034"/>
      <c r="R79" s="1034"/>
      <c r="S79" s="1034" t="e">
        <f>#REF!</f>
        <v>#REF!</v>
      </c>
      <c r="T79" s="1034"/>
      <c r="U79" s="1034">
        <v>2503000</v>
      </c>
      <c r="V79" s="1063" t="e">
        <f t="shared" si="33"/>
        <v>#REF!</v>
      </c>
      <c r="Y79" s="1056"/>
      <c r="Z79" s="1015"/>
    </row>
    <row r="80" spans="2:28" s="1031" customFormat="1">
      <c r="B80" s="1035"/>
      <c r="D80" s="2225"/>
      <c r="G80" s="1018" t="s">
        <v>2698</v>
      </c>
      <c r="H80" s="1032"/>
      <c r="I80" s="1007">
        <v>0.1</v>
      </c>
      <c r="J80" s="1031" t="s">
        <v>3341</v>
      </c>
      <c r="K80" s="1032"/>
      <c r="P80" s="1034"/>
      <c r="Q80" s="1034"/>
      <c r="R80" s="1034"/>
      <c r="S80" s="1034" t="e">
        <f>#REF!</f>
        <v>#REF!</v>
      </c>
      <c r="T80" s="1034"/>
      <c r="U80" s="1034">
        <v>2335000</v>
      </c>
      <c r="V80" s="1063" t="e">
        <f t="shared" si="33"/>
        <v>#REF!</v>
      </c>
      <c r="Y80" s="1056"/>
      <c r="Z80" s="1015"/>
    </row>
    <row r="81" spans="2:100" s="1031" customFormat="1">
      <c r="B81" s="1035"/>
      <c r="D81" s="2225"/>
      <c r="G81" s="1018"/>
      <c r="H81" s="1032"/>
      <c r="I81" s="1032"/>
      <c r="K81" s="1033"/>
      <c r="P81" s="1034"/>
      <c r="Q81" s="1034"/>
      <c r="R81" s="1034"/>
      <c r="S81" s="1034"/>
      <c r="T81" s="1034"/>
      <c r="U81" s="1034"/>
      <c r="V81" s="1063">
        <f t="shared" si="33"/>
        <v>0</v>
      </c>
      <c r="Y81" s="1056"/>
      <c r="Z81" s="1015"/>
    </row>
    <row r="82" spans="2:100" s="1031" customFormat="1">
      <c r="B82" s="1035"/>
      <c r="D82" s="2225"/>
      <c r="G82" s="1018" t="s">
        <v>3225</v>
      </c>
      <c r="H82" s="1032"/>
      <c r="I82" s="1032"/>
      <c r="K82" s="1033"/>
      <c r="P82" s="1034"/>
      <c r="Q82" s="1034"/>
      <c r="R82" s="1034"/>
      <c r="S82" s="1034" t="e">
        <f>#REF!</f>
        <v>#REF!</v>
      </c>
      <c r="T82" s="1034"/>
      <c r="U82" s="1034">
        <v>150000</v>
      </c>
      <c r="V82" s="1063" t="e">
        <f t="shared" si="33"/>
        <v>#REF!</v>
      </c>
      <c r="Y82" s="1056"/>
      <c r="Z82" s="1015"/>
    </row>
    <row r="83" spans="2:100" s="1031" customFormat="1">
      <c r="B83" s="1035"/>
      <c r="D83" s="2225"/>
      <c r="G83" s="1018" t="s">
        <v>3226</v>
      </c>
      <c r="H83" s="1032"/>
      <c r="I83" s="1032"/>
      <c r="K83" s="1033"/>
      <c r="P83" s="1034"/>
      <c r="Q83" s="1034"/>
      <c r="R83" s="1034"/>
      <c r="S83" s="1034" t="e">
        <f>#REF!</f>
        <v>#REF!</v>
      </c>
      <c r="T83" s="1034"/>
      <c r="U83" s="1034">
        <v>90000</v>
      </c>
      <c r="V83" s="1063" t="e">
        <f t="shared" si="33"/>
        <v>#REF!</v>
      </c>
      <c r="Y83" s="1056"/>
      <c r="Z83" s="1015"/>
    </row>
    <row r="84" spans="2:100" s="1031" customFormat="1">
      <c r="B84" s="1035"/>
      <c r="D84" s="2225"/>
      <c r="G84" s="1018" t="s">
        <v>3159</v>
      </c>
      <c r="H84" s="1032"/>
      <c r="I84" s="1032"/>
      <c r="K84" s="1033"/>
      <c r="P84" s="1034"/>
      <c r="Q84" s="1034"/>
      <c r="R84" s="1034"/>
      <c r="S84" s="1034" t="e">
        <f>#REF!</f>
        <v>#REF!</v>
      </c>
      <c r="T84" s="1034"/>
      <c r="U84" s="1034">
        <v>851000</v>
      </c>
      <c r="V84" s="1063" t="e">
        <f t="shared" si="33"/>
        <v>#REF!</v>
      </c>
      <c r="Y84" s="1056"/>
      <c r="Z84" s="1015"/>
    </row>
    <row r="85" spans="2:100" s="1031" customFormat="1">
      <c r="B85" s="1035"/>
      <c r="D85" s="2225"/>
      <c r="G85" s="1018"/>
      <c r="H85" s="1032"/>
      <c r="I85" s="1032"/>
      <c r="K85" s="1033"/>
      <c r="P85" s="1034"/>
      <c r="Q85" s="1034"/>
      <c r="R85" s="1034"/>
      <c r="S85" s="1034"/>
      <c r="T85" s="1034"/>
      <c r="U85" s="1034"/>
      <c r="V85" s="1063">
        <f t="shared" si="33"/>
        <v>0</v>
      </c>
      <c r="Y85" s="1056"/>
      <c r="Z85" s="1015"/>
    </row>
    <row r="86" spans="2:100" s="1031" customFormat="1">
      <c r="B86" s="1035"/>
      <c r="D86" s="2225"/>
      <c r="G86" s="1018" t="s">
        <v>2676</v>
      </c>
      <c r="H86" s="1032"/>
      <c r="I86" s="1054">
        <v>3.9E-2</v>
      </c>
      <c r="J86" s="1031" t="s">
        <v>3341</v>
      </c>
      <c r="K86" s="1033"/>
      <c r="P86" s="1034"/>
      <c r="Q86" s="1034"/>
      <c r="R86" s="1034"/>
      <c r="S86" s="1034" t="e">
        <f>#REF!</f>
        <v>#REF!</v>
      </c>
      <c r="T86" s="1034"/>
      <c r="U86" s="1034">
        <v>701000</v>
      </c>
      <c r="V86" s="1063" t="e">
        <f t="shared" si="33"/>
        <v>#REF!</v>
      </c>
      <c r="Y86" s="1056"/>
      <c r="Z86" s="1015"/>
    </row>
    <row r="87" spans="2:100" s="1031" customFormat="1">
      <c r="B87" s="1035"/>
      <c r="D87" s="2225"/>
      <c r="G87" s="1018" t="s">
        <v>2680</v>
      </c>
      <c r="H87" s="1035"/>
      <c r="I87" s="1055">
        <v>9.4E-2</v>
      </c>
      <c r="J87" s="1031" t="s">
        <v>3342</v>
      </c>
      <c r="K87" s="1033"/>
      <c r="O87" s="1036"/>
      <c r="P87" s="1034"/>
      <c r="Q87" s="1034"/>
      <c r="R87" s="1034"/>
      <c r="S87" s="1034" t="e">
        <f>#REF!</f>
        <v>#REF!</v>
      </c>
      <c r="T87" s="1034"/>
      <c r="U87" s="1034">
        <v>2195000</v>
      </c>
      <c r="V87" s="1063" t="e">
        <f t="shared" si="33"/>
        <v>#REF!</v>
      </c>
      <c r="Y87" s="1056"/>
      <c r="Z87" s="1015"/>
    </row>
    <row r="88" spans="2:100" s="1031" customFormat="1">
      <c r="B88" s="1035"/>
      <c r="D88" s="2225"/>
      <c r="G88" s="1018"/>
      <c r="H88" s="1038"/>
      <c r="I88" s="1038"/>
      <c r="K88" s="1033"/>
      <c r="O88" s="1037"/>
      <c r="P88" s="1034"/>
      <c r="Q88" s="1034"/>
      <c r="R88" s="1034"/>
      <c r="S88" s="1034"/>
      <c r="T88" s="1034"/>
      <c r="U88" s="1034"/>
      <c r="V88" s="1063">
        <f t="shared" si="33"/>
        <v>0</v>
      </c>
      <c r="Y88" s="1056"/>
      <c r="Z88" s="1015"/>
    </row>
    <row r="89" spans="2:100" s="1031" customFormat="1" ht="29">
      <c r="B89" s="1035"/>
      <c r="D89" s="2225"/>
      <c r="G89" s="1018" t="s">
        <v>3215</v>
      </c>
      <c r="H89" s="1032"/>
      <c r="I89" s="1032">
        <v>0.125</v>
      </c>
      <c r="J89" s="1031" t="s">
        <v>3343</v>
      </c>
      <c r="K89" s="1033"/>
      <c r="O89" s="1036"/>
      <c r="P89" s="1034"/>
      <c r="Q89" s="1034"/>
      <c r="R89" s="1034"/>
      <c r="S89" s="1034" t="e">
        <f>#REF!</f>
        <v>#REF!</v>
      </c>
      <c r="T89" s="1034"/>
      <c r="U89" s="1034">
        <v>3022000</v>
      </c>
      <c r="V89" s="1063" t="e">
        <f t="shared" si="33"/>
        <v>#REF!</v>
      </c>
      <c r="Y89" s="1056"/>
      <c r="Z89" s="1015"/>
    </row>
    <row r="90" spans="2:100" s="1031" customFormat="1">
      <c r="B90" s="1035"/>
      <c r="D90" s="2225"/>
      <c r="G90" s="1018"/>
      <c r="H90" s="1035"/>
      <c r="I90" s="1035"/>
      <c r="K90" s="1033"/>
      <c r="O90" s="1036"/>
      <c r="P90" s="1034"/>
      <c r="Q90" s="1034"/>
      <c r="R90" s="1034"/>
      <c r="S90" s="1034"/>
      <c r="T90" s="1034"/>
      <c r="U90" s="1034">
        <v>0</v>
      </c>
      <c r="V90" s="1034"/>
      <c r="X90" s="1034"/>
      <c r="Y90" s="1056"/>
      <c r="Z90" s="1015"/>
    </row>
    <row r="91" spans="2:100" ht="19" thickBot="1">
      <c r="D91" s="1008"/>
      <c r="E91" s="1019"/>
      <c r="F91" s="1019"/>
      <c r="G91" s="1016" t="s">
        <v>3344</v>
      </c>
      <c r="H91" s="1014"/>
      <c r="I91" s="1014"/>
      <c r="J91" s="1019"/>
      <c r="K91" s="1019"/>
      <c r="L91" s="1019"/>
      <c r="M91" s="1019"/>
      <c r="N91" s="1017"/>
      <c r="O91" s="1019"/>
      <c r="P91" s="1019"/>
      <c r="Q91" s="1019"/>
      <c r="R91" s="1019"/>
      <c r="S91" s="1010" t="e">
        <f>SUM(S73:S90)</f>
        <v>#REF!</v>
      </c>
      <c r="T91" s="1010"/>
      <c r="U91" s="1010">
        <v>17119000</v>
      </c>
      <c r="V91" s="1010" t="e">
        <f>SUM(V73:V90)</f>
        <v>#REF!</v>
      </c>
      <c r="W91" s="1013"/>
    </row>
    <row r="92" spans="2:100" ht="15" thickBot="1">
      <c r="U92"/>
      <c r="V92" s="814"/>
      <c r="CS92" s="800" t="s">
        <v>3345</v>
      </c>
    </row>
    <row r="93" spans="2:100" ht="30.5" thickBot="1">
      <c r="D93" s="837"/>
      <c r="E93" s="838"/>
      <c r="F93" s="838"/>
      <c r="G93" s="838" t="s">
        <v>3200</v>
      </c>
      <c r="H93" s="842"/>
      <c r="I93" s="842"/>
      <c r="J93" s="838"/>
      <c r="K93" s="838"/>
      <c r="L93" s="838"/>
      <c r="M93" s="838"/>
      <c r="N93" s="839"/>
      <c r="O93" s="838"/>
      <c r="P93" s="838"/>
      <c r="Q93" s="838"/>
      <c r="R93" s="838"/>
      <c r="S93" s="840" t="e">
        <f>SUM(S91,S72)</f>
        <v>#REF!</v>
      </c>
      <c r="T93" s="840" t="e">
        <f>S93+1022000+225000+3566000</f>
        <v>#REF!</v>
      </c>
      <c r="U93" s="840">
        <v>40470397.510180287</v>
      </c>
      <c r="V93" s="840" t="e">
        <f>SUM(V91,V72)</f>
        <v>#REF!</v>
      </c>
      <c r="W93" s="841"/>
      <c r="CS93" s="810" t="s">
        <v>3346</v>
      </c>
      <c r="CT93" s="810" t="s">
        <v>21</v>
      </c>
      <c r="CU93" s="810" t="s">
        <v>24</v>
      </c>
      <c r="CV93" t="s">
        <v>3141</v>
      </c>
    </row>
    <row r="94" spans="2:100" ht="15" thickBot="1">
      <c r="V94" s="814"/>
      <c r="CS94" t="s">
        <v>140</v>
      </c>
      <c r="CV94">
        <v>218952</v>
      </c>
    </row>
    <row r="95" spans="2:100" ht="19" thickBot="1">
      <c r="D95" s="837"/>
      <c r="E95" s="838"/>
      <c r="F95" s="838"/>
      <c r="G95" s="838"/>
      <c r="H95" s="842"/>
      <c r="I95" s="842"/>
      <c r="J95" s="838"/>
      <c r="K95" s="838"/>
      <c r="L95" s="838"/>
      <c r="M95" s="838"/>
      <c r="N95" s="839"/>
      <c r="O95" s="838"/>
      <c r="P95" s="838"/>
      <c r="Q95" s="838"/>
      <c r="R95" s="838"/>
      <c r="S95" s="840"/>
      <c r="T95" s="840"/>
      <c r="U95" s="840"/>
      <c r="V95" s="840"/>
      <c r="W95" s="841"/>
      <c r="CS95" t="s">
        <v>3347</v>
      </c>
      <c r="CV95">
        <v>21763.629999999997</v>
      </c>
    </row>
    <row r="96" spans="2:100" ht="15" thickBot="1">
      <c r="V96" s="814"/>
      <c r="CS96" t="s">
        <v>3348</v>
      </c>
      <c r="CV96">
        <v>0</v>
      </c>
    </row>
    <row r="97" spans="4:100" ht="19" thickBot="1">
      <c r="D97" s="837"/>
      <c r="E97" s="838"/>
      <c r="F97" s="838"/>
      <c r="G97" s="838"/>
      <c r="H97" s="842"/>
      <c r="I97" s="842"/>
      <c r="J97" s="838"/>
      <c r="K97" s="838"/>
      <c r="L97" s="838"/>
      <c r="M97" s="838"/>
      <c r="N97" s="839"/>
      <c r="O97" s="838"/>
      <c r="P97" s="838"/>
      <c r="Q97" s="838"/>
      <c r="R97" s="838"/>
      <c r="S97" s="840"/>
      <c r="T97" s="840"/>
      <c r="U97" s="840"/>
      <c r="V97" s="840"/>
      <c r="W97" s="841"/>
      <c r="X97" s="994"/>
      <c r="CS97" t="s">
        <v>126</v>
      </c>
      <c r="CV97">
        <v>2880</v>
      </c>
    </row>
    <row r="98" spans="4:100">
      <c r="H98"/>
      <c r="I98"/>
      <c r="K98"/>
      <c r="CS98" t="s">
        <v>145</v>
      </c>
      <c r="CV98">
        <v>184940</v>
      </c>
    </row>
    <row r="99" spans="4:100">
      <c r="P99"/>
      <c r="Z99" s="902" t="e">
        <f>SUM(Z5:Z70)</f>
        <v>#REF!</v>
      </c>
      <c r="CS99" t="s">
        <v>2129</v>
      </c>
      <c r="CV99">
        <v>180</v>
      </c>
    </row>
    <row r="100" spans="4:100">
      <c r="I100"/>
      <c r="N100" s="800" t="s">
        <v>3345</v>
      </c>
      <c r="P100"/>
      <c r="CS100" t="s">
        <v>2125</v>
      </c>
      <c r="CV100">
        <v>122</v>
      </c>
    </row>
    <row r="101" spans="4:100">
      <c r="I101"/>
      <c r="N101" s="800" t="s">
        <v>17</v>
      </c>
      <c r="O101" s="800" t="s">
        <v>24</v>
      </c>
      <c r="P101" t="s">
        <v>3141</v>
      </c>
      <c r="Q101" s="967"/>
      <c r="R101" s="967"/>
      <c r="S101" s="968" t="s">
        <v>2750</v>
      </c>
      <c r="T101" s="968"/>
      <c r="U101" s="968"/>
      <c r="W101" s="818">
        <v>25484018.594334736</v>
      </c>
      <c r="CS101" t="s">
        <v>2127</v>
      </c>
      <c r="CV101">
        <v>84</v>
      </c>
    </row>
    <row r="102" spans="4:100">
      <c r="I102"/>
      <c r="L102" s="818"/>
      <c r="N102" t="s">
        <v>80</v>
      </c>
      <c r="O102" t="s">
        <v>136</v>
      </c>
      <c r="P102" s="854">
        <v>10051234.018170051</v>
      </c>
      <c r="Q102" s="969">
        <f t="shared" ref="Q102:Q143" si="34">VLOOKUP(N102,$E$4:$I$70,5,FALSE)</f>
        <v>10051234.018170051</v>
      </c>
      <c r="R102" s="812" t="b">
        <f t="shared" ref="R102:R112" si="35">Q102=P102</f>
        <v>1</v>
      </c>
      <c r="S102" s="968" t="s">
        <v>2669</v>
      </c>
      <c r="T102" s="968"/>
      <c r="U102" s="968"/>
      <c r="W102" s="818">
        <v>21190000</v>
      </c>
      <c r="CS102" t="s">
        <v>214</v>
      </c>
      <c r="CV102">
        <v>8400</v>
      </c>
    </row>
    <row r="103" spans="4:100">
      <c r="I103"/>
      <c r="N103" t="s">
        <v>255</v>
      </c>
      <c r="O103" t="s">
        <v>136</v>
      </c>
      <c r="P103">
        <v>128823.76000000001</v>
      </c>
      <c r="Q103" s="969">
        <f>VLOOKUP(N103,$E$4:$I$70,5,FALSE)</f>
        <v>128823.76000000001</v>
      </c>
      <c r="R103" s="812" t="b">
        <f t="shared" si="35"/>
        <v>1</v>
      </c>
      <c r="S103" s="968" t="s">
        <v>3141</v>
      </c>
      <c r="T103" s="968"/>
      <c r="U103" s="968"/>
      <c r="W103" s="818"/>
      <c r="CS103" t="s">
        <v>3349</v>
      </c>
      <c r="CV103">
        <v>5</v>
      </c>
    </row>
    <row r="104" spans="4:100">
      <c r="I104"/>
      <c r="N104" t="s">
        <v>1248</v>
      </c>
      <c r="O104" t="s">
        <v>3113</v>
      </c>
      <c r="P104">
        <v>4</v>
      </c>
      <c r="Q104" s="969">
        <f t="shared" si="34"/>
        <v>4</v>
      </c>
      <c r="R104" s="812" t="b">
        <f t="shared" si="35"/>
        <v>1</v>
      </c>
      <c r="S104" s="968"/>
      <c r="T104" s="968"/>
      <c r="U104" s="968"/>
      <c r="W104" s="818">
        <v>46674018.594334736</v>
      </c>
      <c r="CS104" t="s">
        <v>3350</v>
      </c>
      <c r="CV104">
        <v>2</v>
      </c>
    </row>
    <row r="105" spans="4:100">
      <c r="I105"/>
      <c r="N105" t="s">
        <v>915</v>
      </c>
      <c r="O105" t="s">
        <v>991</v>
      </c>
      <c r="P105">
        <v>34300</v>
      </c>
      <c r="Q105" s="969">
        <f t="shared" si="34"/>
        <v>34300</v>
      </c>
      <c r="R105" s="812" t="b">
        <f t="shared" si="35"/>
        <v>1</v>
      </c>
      <c r="S105" s="968"/>
      <c r="T105" s="968"/>
      <c r="U105" s="968"/>
      <c r="W105" s="818"/>
      <c r="CS105" t="s">
        <v>270</v>
      </c>
      <c r="CV105">
        <v>68</v>
      </c>
    </row>
    <row r="106" spans="4:100">
      <c r="I106"/>
      <c r="N106" t="s">
        <v>523</v>
      </c>
      <c r="O106" t="s">
        <v>136</v>
      </c>
      <c r="P106">
        <v>16814.665427509291</v>
      </c>
      <c r="Q106" s="969">
        <f t="shared" si="34"/>
        <v>16814.665427509291</v>
      </c>
      <c r="R106" s="812" t="b">
        <f t="shared" si="35"/>
        <v>1</v>
      </c>
      <c r="S106" s="968"/>
      <c r="T106" s="968"/>
      <c r="U106" s="968"/>
      <c r="CS106" t="s">
        <v>537</v>
      </c>
      <c r="CV106">
        <v>7680</v>
      </c>
    </row>
    <row r="107" spans="4:100">
      <c r="I107"/>
      <c r="N107" t="s">
        <v>506</v>
      </c>
      <c r="O107" t="s">
        <v>136</v>
      </c>
      <c r="P107" s="166">
        <v>30243.478289962823</v>
      </c>
      <c r="Q107" s="969">
        <f t="shared" si="34"/>
        <v>30243.478289962823</v>
      </c>
      <c r="R107" s="812" t="b">
        <f t="shared" si="35"/>
        <v>1</v>
      </c>
      <c r="S107" s="968"/>
      <c r="T107" s="968"/>
      <c r="U107" s="968"/>
      <c r="CS107" t="s">
        <v>556</v>
      </c>
      <c r="CV107">
        <v>20368</v>
      </c>
    </row>
    <row r="108" spans="4:100">
      <c r="I108"/>
      <c r="N108" t="s">
        <v>205</v>
      </c>
      <c r="O108" t="s">
        <v>3113</v>
      </c>
      <c r="P108">
        <v>537</v>
      </c>
      <c r="Q108" s="969">
        <f t="shared" si="34"/>
        <v>537</v>
      </c>
      <c r="R108" s="812" t="b">
        <f t="shared" si="35"/>
        <v>1</v>
      </c>
      <c r="S108" s="968"/>
      <c r="T108" s="968"/>
      <c r="U108" s="968"/>
      <c r="CS108" t="s">
        <v>517</v>
      </c>
      <c r="CV108">
        <v>22400</v>
      </c>
    </row>
    <row r="109" spans="4:100">
      <c r="I109"/>
      <c r="N109" t="s">
        <v>140</v>
      </c>
      <c r="O109" t="s">
        <v>136</v>
      </c>
      <c r="P109">
        <v>21385.708384671336</v>
      </c>
      <c r="Q109" s="969">
        <f t="shared" si="34"/>
        <v>21385.708384671336</v>
      </c>
      <c r="R109" s="812" t="b">
        <f t="shared" si="35"/>
        <v>1</v>
      </c>
      <c r="S109" s="968"/>
      <c r="T109" s="968"/>
      <c r="U109" s="968"/>
      <c r="CS109" t="s">
        <v>523</v>
      </c>
      <c r="CV109">
        <v>103400</v>
      </c>
    </row>
    <row r="110" spans="4:100">
      <c r="I110"/>
      <c r="N110" t="s">
        <v>126</v>
      </c>
      <c r="O110" t="s">
        <v>136</v>
      </c>
      <c r="P110">
        <v>417.65799256505579</v>
      </c>
      <c r="Q110" s="969">
        <f t="shared" si="34"/>
        <v>417.65799256505579</v>
      </c>
      <c r="R110" s="812" t="b">
        <f t="shared" si="35"/>
        <v>1</v>
      </c>
      <c r="S110" s="968"/>
      <c r="T110" s="968"/>
      <c r="U110" s="968"/>
      <c r="CS110" t="s">
        <v>506</v>
      </c>
      <c r="CV110">
        <v>115301.59</v>
      </c>
    </row>
    <row r="111" spans="4:100">
      <c r="I111"/>
      <c r="N111" t="s">
        <v>734</v>
      </c>
      <c r="O111" t="s">
        <v>136</v>
      </c>
      <c r="P111">
        <v>737.91821561338293</v>
      </c>
      <c r="Q111" s="969">
        <f t="shared" si="34"/>
        <v>737.91821561338293</v>
      </c>
      <c r="R111" s="812" t="b">
        <f t="shared" si="35"/>
        <v>1</v>
      </c>
      <c r="S111" s="968"/>
      <c r="T111" s="968"/>
      <c r="U111" s="968"/>
      <c r="CS111" t="s">
        <v>639</v>
      </c>
      <c r="CV111">
        <v>17209.97</v>
      </c>
    </row>
    <row r="112" spans="4:100">
      <c r="I112"/>
      <c r="N112" t="s">
        <v>1642</v>
      </c>
      <c r="O112" t="s">
        <v>136</v>
      </c>
      <c r="P112">
        <v>15709.48</v>
      </c>
      <c r="Q112" s="969">
        <f t="shared" si="34"/>
        <v>15709.48</v>
      </c>
      <c r="R112" s="812" t="b">
        <f t="shared" si="35"/>
        <v>1</v>
      </c>
      <c r="S112" s="968"/>
      <c r="T112" s="968"/>
      <c r="U112" s="968"/>
      <c r="CS112" t="s">
        <v>458</v>
      </c>
      <c r="CV112">
        <v>135658</v>
      </c>
    </row>
    <row r="113" spans="9:100">
      <c r="I113"/>
      <c r="N113" t="s">
        <v>517</v>
      </c>
      <c r="O113" t="s">
        <v>136</v>
      </c>
      <c r="P113">
        <v>2157.7843866171006</v>
      </c>
      <c r="Q113" s="969">
        <f t="shared" si="34"/>
        <v>2157.7843866171006</v>
      </c>
      <c r="R113" s="812" t="b">
        <f t="shared" ref="R113:R121" si="36">Q113=P113</f>
        <v>1</v>
      </c>
      <c r="S113" s="968"/>
      <c r="T113" s="968"/>
      <c r="U113" s="968"/>
      <c r="CS113" t="s">
        <v>687</v>
      </c>
      <c r="CV113">
        <v>21</v>
      </c>
    </row>
    <row r="114" spans="9:100">
      <c r="I114"/>
      <c r="N114" t="s">
        <v>606</v>
      </c>
      <c r="O114" t="s">
        <v>136</v>
      </c>
      <c r="P114">
        <v>18203.748550185876</v>
      </c>
      <c r="Q114" s="969">
        <f t="shared" si="34"/>
        <v>18203.748550185876</v>
      </c>
      <c r="R114" s="812" t="b">
        <f t="shared" si="36"/>
        <v>1</v>
      </c>
      <c r="S114" s="968"/>
      <c r="T114" s="968"/>
      <c r="U114" s="968"/>
      <c r="CS114" t="s">
        <v>3351</v>
      </c>
      <c r="CV114">
        <v>2</v>
      </c>
    </row>
    <row r="115" spans="9:100">
      <c r="I115"/>
      <c r="N115" t="s">
        <v>458</v>
      </c>
      <c r="O115" t="s">
        <v>136</v>
      </c>
      <c r="P115">
        <v>37804.782035282529</v>
      </c>
      <c r="Q115" s="969">
        <f t="shared" si="34"/>
        <v>37804.782035282529</v>
      </c>
      <c r="R115" s="812" t="b">
        <f t="shared" si="36"/>
        <v>1</v>
      </c>
      <c r="CS115" t="s">
        <v>3352</v>
      </c>
      <c r="CV115">
        <v>2</v>
      </c>
    </row>
    <row r="116" spans="9:100">
      <c r="I116"/>
      <c r="N116" t="s">
        <v>703</v>
      </c>
      <c r="O116" t="s">
        <v>136</v>
      </c>
      <c r="P116">
        <v>1105.3903345724905</v>
      </c>
      <c r="Q116" s="969">
        <f t="shared" si="34"/>
        <v>1105.3903345724905</v>
      </c>
      <c r="R116" s="812" t="b">
        <f t="shared" si="36"/>
        <v>1</v>
      </c>
      <c r="CS116" t="s">
        <v>3353</v>
      </c>
      <c r="CT116" t="s">
        <v>995</v>
      </c>
      <c r="CU116" t="s">
        <v>136</v>
      </c>
      <c r="CV116">
        <v>1920</v>
      </c>
    </row>
    <row r="117" spans="9:100">
      <c r="I117"/>
      <c r="N117" t="s">
        <v>556</v>
      </c>
      <c r="O117" t="s">
        <v>136</v>
      </c>
      <c r="P117">
        <v>1892.9368029739776</v>
      </c>
      <c r="Q117" s="969">
        <f t="shared" si="34"/>
        <v>1892.9368029739776</v>
      </c>
      <c r="R117" s="812" t="b">
        <f t="shared" si="36"/>
        <v>1</v>
      </c>
      <c r="CT117" t="s">
        <v>2018</v>
      </c>
      <c r="CU117" t="s">
        <v>242</v>
      </c>
      <c r="CV117">
        <v>2</v>
      </c>
    </row>
    <row r="118" spans="9:100">
      <c r="I118"/>
      <c r="N118" t="s">
        <v>214</v>
      </c>
      <c r="O118" t="s">
        <v>136</v>
      </c>
      <c r="P118">
        <v>963.05947955390343</v>
      </c>
      <c r="Q118" s="969">
        <f t="shared" si="34"/>
        <v>963.05947955390343</v>
      </c>
      <c r="R118" s="812" t="b">
        <f t="shared" si="36"/>
        <v>1</v>
      </c>
      <c r="CS118" t="s">
        <v>3354</v>
      </c>
      <c r="CV118">
        <v>1922</v>
      </c>
    </row>
    <row r="119" spans="9:100">
      <c r="I119"/>
      <c r="N119" t="s">
        <v>487</v>
      </c>
      <c r="O119" t="s">
        <v>136</v>
      </c>
      <c r="P119">
        <v>424.27137546468407</v>
      </c>
      <c r="Q119" s="969">
        <f t="shared" si="34"/>
        <v>424.27137546468407</v>
      </c>
      <c r="R119" s="812" t="b">
        <f t="shared" si="36"/>
        <v>1</v>
      </c>
      <c r="CS119" t="s">
        <v>988</v>
      </c>
      <c r="CV119">
        <v>10958</v>
      </c>
    </row>
    <row r="120" spans="9:100">
      <c r="I120"/>
      <c r="N120" t="s">
        <v>537</v>
      </c>
      <c r="O120" t="s">
        <v>136</v>
      </c>
      <c r="P120">
        <v>2988.7546468401488</v>
      </c>
      <c r="Q120" s="969">
        <f t="shared" si="34"/>
        <v>2988.7546468401488</v>
      </c>
      <c r="R120" s="812" t="b">
        <f t="shared" si="36"/>
        <v>1</v>
      </c>
      <c r="CS120" t="s">
        <v>915</v>
      </c>
      <c r="CV120">
        <v>27300</v>
      </c>
    </row>
    <row r="121" spans="9:100">
      <c r="I121"/>
      <c r="N121" t="s">
        <v>627</v>
      </c>
      <c r="O121" t="s">
        <v>136</v>
      </c>
      <c r="P121">
        <v>1338.289962825279</v>
      </c>
      <c r="Q121" s="969">
        <f t="shared" si="34"/>
        <v>1338.289962825279</v>
      </c>
      <c r="R121" s="812" t="b">
        <f t="shared" si="36"/>
        <v>1</v>
      </c>
      <c r="CS121" t="s">
        <v>3355</v>
      </c>
      <c r="CV121">
        <v>1</v>
      </c>
    </row>
    <row r="122" spans="9:100">
      <c r="I122"/>
      <c r="N122" t="s">
        <v>145</v>
      </c>
      <c r="O122" t="s">
        <v>136</v>
      </c>
      <c r="P122">
        <v>17496.438402065389</v>
      </c>
      <c r="Q122" s="969">
        <f t="shared" si="34"/>
        <v>17496.438402065389</v>
      </c>
      <c r="R122" s="812" t="b">
        <f>Q122=P122</f>
        <v>1</v>
      </c>
      <c r="CS122" t="s">
        <v>1768</v>
      </c>
      <c r="CV122">
        <v>172</v>
      </c>
    </row>
    <row r="123" spans="9:100">
      <c r="I123"/>
      <c r="N123" t="s">
        <v>687</v>
      </c>
      <c r="O123" t="s">
        <v>3113</v>
      </c>
      <c r="P123">
        <v>0</v>
      </c>
      <c r="Q123" s="969">
        <f t="shared" si="34"/>
        <v>0</v>
      </c>
      <c r="R123" s="812" t="b">
        <f>Q123=P123</f>
        <v>1</v>
      </c>
      <c r="CS123" t="s">
        <v>2123</v>
      </c>
      <c r="CV123">
        <v>110</v>
      </c>
    </row>
    <row r="124" spans="9:100">
      <c r="I124"/>
      <c r="N124" t="s">
        <v>1768</v>
      </c>
      <c r="O124" t="s">
        <v>3113</v>
      </c>
      <c r="P124">
        <v>191</v>
      </c>
      <c r="Q124" s="969">
        <f t="shared" si="34"/>
        <v>191</v>
      </c>
      <c r="R124" s="812" t="b">
        <f>Q124=P124</f>
        <v>1</v>
      </c>
      <c r="CS124" t="s">
        <v>2120</v>
      </c>
      <c r="CV124">
        <v>27</v>
      </c>
    </row>
    <row r="125" spans="9:100">
      <c r="I125"/>
      <c r="N125" t="s">
        <v>2123</v>
      </c>
      <c r="O125" t="s">
        <v>3113</v>
      </c>
      <c r="P125">
        <v>182</v>
      </c>
      <c r="Q125" s="969">
        <f t="shared" si="34"/>
        <v>182</v>
      </c>
      <c r="R125" s="812" t="b">
        <f>Q125=P125</f>
        <v>1</v>
      </c>
      <c r="CS125" t="s">
        <v>530</v>
      </c>
      <c r="CV125">
        <v>21</v>
      </c>
    </row>
    <row r="126" spans="9:100">
      <c r="I126"/>
      <c r="N126" t="s">
        <v>2120</v>
      </c>
      <c r="O126" t="s">
        <v>3113</v>
      </c>
      <c r="P126">
        <v>56</v>
      </c>
      <c r="Q126" s="969">
        <f t="shared" si="34"/>
        <v>56</v>
      </c>
      <c r="R126" s="812" t="b">
        <f t="shared" ref="R126:R135" si="37">Q126=P126</f>
        <v>1</v>
      </c>
      <c r="CS126" t="s">
        <v>196</v>
      </c>
      <c r="CV126">
        <v>14</v>
      </c>
    </row>
    <row r="127" spans="9:100">
      <c r="I127"/>
      <c r="N127" t="s">
        <v>196</v>
      </c>
      <c r="O127" t="s">
        <v>3113</v>
      </c>
      <c r="P127">
        <v>28</v>
      </c>
      <c r="Q127" s="969">
        <f t="shared" si="34"/>
        <v>28</v>
      </c>
      <c r="R127" s="812" t="b">
        <f t="shared" si="37"/>
        <v>1</v>
      </c>
      <c r="CS127" t="s">
        <v>188</v>
      </c>
      <c r="CV127">
        <v>11</v>
      </c>
    </row>
    <row r="128" spans="9:100">
      <c r="I128"/>
      <c r="N128" t="s">
        <v>188</v>
      </c>
      <c r="O128" t="s">
        <v>3113</v>
      </c>
      <c r="P128">
        <v>22</v>
      </c>
      <c r="Q128" s="969">
        <f t="shared" si="34"/>
        <v>22</v>
      </c>
      <c r="R128" s="812" t="b">
        <f t="shared" si="37"/>
        <v>1</v>
      </c>
      <c r="CS128" t="s">
        <v>882</v>
      </c>
      <c r="CV128">
        <v>8</v>
      </c>
    </row>
    <row r="129" spans="9:100">
      <c r="I129"/>
      <c r="N129" t="s">
        <v>530</v>
      </c>
      <c r="O129" t="s">
        <v>3113</v>
      </c>
      <c r="P129">
        <v>28</v>
      </c>
      <c r="Q129" s="969">
        <f t="shared" si="34"/>
        <v>28</v>
      </c>
      <c r="R129" s="812" t="b">
        <f t="shared" si="37"/>
        <v>1</v>
      </c>
      <c r="CS129" t="s">
        <v>855</v>
      </c>
      <c r="CV129">
        <v>2</v>
      </c>
    </row>
    <row r="130" spans="9:100">
      <c r="I130"/>
      <c r="N130" t="s">
        <v>882</v>
      </c>
      <c r="O130" t="s">
        <v>3113</v>
      </c>
      <c r="P130">
        <v>9</v>
      </c>
      <c r="Q130" s="969">
        <f t="shared" si="34"/>
        <v>9</v>
      </c>
      <c r="R130" s="812" t="b">
        <f t="shared" si="37"/>
        <v>1</v>
      </c>
      <c r="CS130" t="s">
        <v>844</v>
      </c>
      <c r="CT130" t="s">
        <v>846</v>
      </c>
      <c r="CV130">
        <v>4</v>
      </c>
    </row>
    <row r="131" spans="9:100">
      <c r="I131"/>
      <c r="N131" t="s">
        <v>855</v>
      </c>
      <c r="O131" t="s">
        <v>3113</v>
      </c>
      <c r="P131">
        <v>2</v>
      </c>
      <c r="Q131" s="969">
        <f t="shared" si="34"/>
        <v>2</v>
      </c>
      <c r="R131" s="812" t="b">
        <f t="shared" si="37"/>
        <v>1</v>
      </c>
      <c r="CS131" t="s">
        <v>3356</v>
      </c>
      <c r="CV131">
        <v>4</v>
      </c>
    </row>
    <row r="132" spans="9:100">
      <c r="I132"/>
      <c r="N132" t="s">
        <v>844</v>
      </c>
      <c r="O132" t="s">
        <v>3113</v>
      </c>
      <c r="P132">
        <v>6</v>
      </c>
      <c r="Q132" s="969">
        <f t="shared" si="34"/>
        <v>6</v>
      </c>
      <c r="R132" s="812" t="b">
        <f t="shared" si="37"/>
        <v>1</v>
      </c>
      <c r="CS132" t="s">
        <v>606</v>
      </c>
      <c r="CT132" t="s">
        <v>2572</v>
      </c>
      <c r="CV132">
        <v>14400</v>
      </c>
    </row>
    <row r="133" spans="9:100">
      <c r="I133"/>
      <c r="N133" t="s">
        <v>2129</v>
      </c>
      <c r="O133" t="s">
        <v>3113</v>
      </c>
      <c r="P133">
        <v>511</v>
      </c>
      <c r="Q133" s="969">
        <f t="shared" si="34"/>
        <v>511</v>
      </c>
      <c r="R133" s="812" t="b">
        <f t="shared" si="37"/>
        <v>1</v>
      </c>
      <c r="CT133" t="s">
        <v>2575</v>
      </c>
      <c r="CV133">
        <v>14400</v>
      </c>
    </row>
    <row r="134" spans="9:100">
      <c r="I134"/>
      <c r="N134" t="s">
        <v>2127</v>
      </c>
      <c r="O134" t="s">
        <v>3113</v>
      </c>
      <c r="P134">
        <v>482</v>
      </c>
      <c r="Q134" s="969">
        <f t="shared" si="34"/>
        <v>482</v>
      </c>
      <c r="R134" s="812" t="b">
        <f t="shared" si="37"/>
        <v>1</v>
      </c>
      <c r="CT134" t="s">
        <v>1412</v>
      </c>
      <c r="CV134">
        <v>4000</v>
      </c>
    </row>
    <row r="135" spans="9:100">
      <c r="I135"/>
      <c r="N135" t="s">
        <v>2125</v>
      </c>
      <c r="O135" t="s">
        <v>3113</v>
      </c>
      <c r="P135">
        <v>436</v>
      </c>
      <c r="Q135" s="969">
        <f t="shared" si="34"/>
        <v>436</v>
      </c>
      <c r="R135" s="812" t="b">
        <f t="shared" si="37"/>
        <v>1</v>
      </c>
      <c r="CT135" t="s">
        <v>623</v>
      </c>
      <c r="CV135">
        <v>35600</v>
      </c>
    </row>
    <row r="136" spans="9:100">
      <c r="I136"/>
      <c r="N136" t="s">
        <v>639</v>
      </c>
      <c r="O136" t="s">
        <v>991</v>
      </c>
      <c r="P136">
        <v>22623</v>
      </c>
      <c r="Q136" s="969">
        <f t="shared" si="34"/>
        <v>22623</v>
      </c>
      <c r="R136" s="812" t="b">
        <f t="shared" ref="R136:R143" si="38">Q136=P136</f>
        <v>1</v>
      </c>
      <c r="CT136" t="s">
        <v>904</v>
      </c>
      <c r="CV136">
        <v>340</v>
      </c>
    </row>
    <row r="137" spans="9:100">
      <c r="I137"/>
      <c r="N137" t="s">
        <v>988</v>
      </c>
      <c r="O137" t="s">
        <v>991</v>
      </c>
      <c r="P137">
        <v>10958</v>
      </c>
      <c r="Q137" s="969">
        <f t="shared" si="34"/>
        <v>10958</v>
      </c>
      <c r="R137" s="812" t="b">
        <f t="shared" si="38"/>
        <v>1</v>
      </c>
      <c r="CT137" t="s">
        <v>907</v>
      </c>
      <c r="CV137">
        <v>340</v>
      </c>
    </row>
    <row r="138" spans="9:100">
      <c r="I138"/>
      <c r="N138" t="s">
        <v>270</v>
      </c>
      <c r="O138" t="s">
        <v>3113</v>
      </c>
      <c r="P138">
        <v>14</v>
      </c>
      <c r="Q138" s="969" t="e">
        <f t="shared" si="34"/>
        <v>#N/A</v>
      </c>
      <c r="R138" s="812" t="e">
        <f t="shared" si="38"/>
        <v>#N/A</v>
      </c>
      <c r="CT138" t="s">
        <v>1000</v>
      </c>
      <c r="CV138">
        <v>1200</v>
      </c>
    </row>
    <row r="139" spans="9:100">
      <c r="I139"/>
      <c r="N139" t="s">
        <v>1993</v>
      </c>
      <c r="O139" t="s">
        <v>3113</v>
      </c>
      <c r="P139">
        <v>1</v>
      </c>
      <c r="Q139" s="969" t="e">
        <f t="shared" si="34"/>
        <v>#N/A</v>
      </c>
      <c r="R139" s="812" t="e">
        <f t="shared" si="38"/>
        <v>#N/A</v>
      </c>
      <c r="CT139" t="s">
        <v>1795</v>
      </c>
      <c r="CV139">
        <v>10800</v>
      </c>
    </row>
    <row r="140" spans="9:100">
      <c r="I140"/>
      <c r="N140" t="s">
        <v>3347</v>
      </c>
      <c r="O140" t="s">
        <v>3113</v>
      </c>
      <c r="P140">
        <v>6</v>
      </c>
      <c r="Q140" s="969" t="e">
        <f t="shared" si="34"/>
        <v>#N/A</v>
      </c>
      <c r="R140" s="812" t="e">
        <f t="shared" si="38"/>
        <v>#N/A</v>
      </c>
      <c r="Z140" s="902"/>
      <c r="AH140" s="818"/>
      <c r="AJ140" s="165"/>
      <c r="CT140" t="s">
        <v>1504</v>
      </c>
      <c r="CV140">
        <v>3600</v>
      </c>
    </row>
    <row r="141" spans="9:100">
      <c r="I141"/>
      <c r="O141" t="s">
        <v>136</v>
      </c>
      <c r="P141">
        <v>5201.62</v>
      </c>
      <c r="Q141" s="969">
        <f t="shared" si="34"/>
        <v>0</v>
      </c>
      <c r="R141" s="812" t="b">
        <f t="shared" si="38"/>
        <v>0</v>
      </c>
      <c r="CT141" t="s">
        <v>1706</v>
      </c>
      <c r="CV141">
        <v>9600</v>
      </c>
    </row>
    <row r="142" spans="9:100">
      <c r="I142"/>
      <c r="O142" t="s">
        <v>2587</v>
      </c>
      <c r="P142">
        <v>0</v>
      </c>
      <c r="Q142" s="969">
        <f t="shared" si="34"/>
        <v>0</v>
      </c>
      <c r="R142" s="812" t="b">
        <f t="shared" si="38"/>
        <v>1</v>
      </c>
      <c r="CT142" t="s">
        <v>792</v>
      </c>
      <c r="CV142">
        <v>9600</v>
      </c>
    </row>
    <row r="143" spans="9:100">
      <c r="I143"/>
      <c r="O143" t="s">
        <v>3347</v>
      </c>
      <c r="P143"/>
      <c r="Q143" s="969">
        <f t="shared" si="34"/>
        <v>0</v>
      </c>
      <c r="R143" s="812" t="b">
        <f t="shared" si="38"/>
        <v>1</v>
      </c>
      <c r="Z143"/>
      <c r="AG143" s="800" t="s">
        <v>3345</v>
      </c>
      <c r="AI143" s="800" t="s">
        <v>31</v>
      </c>
      <c r="CT143" t="s">
        <v>635</v>
      </c>
      <c r="CV143">
        <v>5800</v>
      </c>
    </row>
    <row r="144" spans="9:100" ht="29">
      <c r="I144"/>
      <c r="N144" t="s">
        <v>2460</v>
      </c>
      <c r="O144" t="s">
        <v>2700</v>
      </c>
      <c r="P144">
        <v>2</v>
      </c>
      <c r="Q144" s="969"/>
      <c r="W144" s="810" t="s">
        <v>3346</v>
      </c>
      <c r="X144" s="995" t="s">
        <v>21</v>
      </c>
      <c r="Z144"/>
      <c r="AG144" s="810" t="s">
        <v>3346</v>
      </c>
      <c r="AH144" s="810" t="s">
        <v>21</v>
      </c>
      <c r="AI144" t="s">
        <v>625</v>
      </c>
      <c r="AJ144" t="s">
        <v>132</v>
      </c>
      <c r="AK144" t="s">
        <v>3357</v>
      </c>
      <c r="CS144" t="s">
        <v>3358</v>
      </c>
      <c r="CV144">
        <v>109680</v>
      </c>
    </row>
    <row r="145" spans="9:100">
      <c r="I145"/>
      <c r="N145" t="s">
        <v>1269</v>
      </c>
      <c r="O145" t="s">
        <v>136</v>
      </c>
      <c r="P145">
        <v>264871</v>
      </c>
      <c r="Q145" s="969"/>
      <c r="W145" t="s">
        <v>530</v>
      </c>
      <c r="X145" s="818" t="s">
        <v>1517</v>
      </c>
      <c r="Z145"/>
      <c r="AG145" t="s">
        <v>126</v>
      </c>
      <c r="AH145" t="s">
        <v>3359</v>
      </c>
      <c r="AI145" s="854"/>
      <c r="AJ145" s="854">
        <v>160</v>
      </c>
      <c r="AK145" s="854">
        <v>160</v>
      </c>
      <c r="CS145" t="s">
        <v>627</v>
      </c>
      <c r="CT145" t="s">
        <v>1404</v>
      </c>
      <c r="CV145">
        <v>3680</v>
      </c>
    </row>
    <row r="146" spans="9:100">
      <c r="I146"/>
      <c r="N146" t="s">
        <v>2022</v>
      </c>
      <c r="O146" t="s">
        <v>136</v>
      </c>
      <c r="P146">
        <v>6557.5248000000001</v>
      </c>
      <c r="Q146" s="969"/>
      <c r="X146" s="818" t="s">
        <v>947</v>
      </c>
      <c r="Z146"/>
      <c r="AH146" t="s">
        <v>3360</v>
      </c>
      <c r="AI146" s="854"/>
      <c r="AJ146" s="854">
        <v>320</v>
      </c>
      <c r="AK146" s="854">
        <v>320</v>
      </c>
      <c r="CT146" t="s">
        <v>970</v>
      </c>
      <c r="CV146">
        <v>3840</v>
      </c>
    </row>
    <row r="147" spans="9:100">
      <c r="I147"/>
      <c r="N147" t="s">
        <v>268</v>
      </c>
      <c r="O147" t="s">
        <v>2700</v>
      </c>
      <c r="P147">
        <v>0</v>
      </c>
      <c r="Q147" s="969">
        <f t="shared" ref="Q147:Q156" si="39">VLOOKUP(N147,$E$4:$I$70,5,FALSE)</f>
        <v>0</v>
      </c>
      <c r="R147" s="812" t="b">
        <f t="shared" ref="R147:R155" si="40">Q147=P147</f>
        <v>1</v>
      </c>
      <c r="X147" s="818" t="s">
        <v>3361</v>
      </c>
      <c r="Z147"/>
      <c r="AH147" t="s">
        <v>3362</v>
      </c>
      <c r="AI147" s="854"/>
      <c r="AJ147" s="854">
        <v>160</v>
      </c>
      <c r="AK147" s="854">
        <v>160</v>
      </c>
      <c r="CT147" t="s">
        <v>806</v>
      </c>
      <c r="CV147">
        <v>1120</v>
      </c>
    </row>
    <row r="148" spans="9:100">
      <c r="I148"/>
      <c r="N148" t="s">
        <v>800</v>
      </c>
      <c r="O148" t="s">
        <v>3113</v>
      </c>
      <c r="P148">
        <v>4</v>
      </c>
      <c r="Q148" s="969">
        <f t="shared" si="39"/>
        <v>4</v>
      </c>
      <c r="R148" s="812" t="b">
        <f t="shared" si="40"/>
        <v>1</v>
      </c>
      <c r="X148" s="818" t="s">
        <v>1653</v>
      </c>
      <c r="Z148"/>
      <c r="AH148" t="s">
        <v>3363</v>
      </c>
      <c r="AI148" s="854"/>
      <c r="AJ148" s="854">
        <v>160</v>
      </c>
      <c r="AK148" s="854">
        <v>160</v>
      </c>
      <c r="CT148" t="s">
        <v>628</v>
      </c>
      <c r="CV148">
        <v>5760</v>
      </c>
    </row>
    <row r="149" spans="9:100">
      <c r="I149"/>
      <c r="N149" t="s">
        <v>931</v>
      </c>
      <c r="O149" t="s">
        <v>3113</v>
      </c>
      <c r="P149">
        <v>4</v>
      </c>
      <c r="Q149" s="969">
        <f t="shared" si="39"/>
        <v>4</v>
      </c>
      <c r="R149" s="812" t="b">
        <f t="shared" si="40"/>
        <v>1</v>
      </c>
      <c r="X149" s="818" t="s">
        <v>941</v>
      </c>
      <c r="Z149"/>
      <c r="AH149" t="s">
        <v>3364</v>
      </c>
      <c r="AI149" s="854"/>
      <c r="AJ149" s="854">
        <v>320</v>
      </c>
      <c r="AK149" s="854">
        <v>320</v>
      </c>
      <c r="CS149" t="s">
        <v>3365</v>
      </c>
      <c r="CV149">
        <v>14400</v>
      </c>
    </row>
    <row r="150" spans="9:100">
      <c r="I150"/>
      <c r="N150" t="s">
        <v>977</v>
      </c>
      <c r="O150" t="s">
        <v>3113</v>
      </c>
      <c r="P150">
        <v>4</v>
      </c>
      <c r="Q150" s="969">
        <f t="shared" si="39"/>
        <v>4</v>
      </c>
      <c r="R150" s="812" t="b">
        <f t="shared" si="40"/>
        <v>1</v>
      </c>
      <c r="X150" s="818" t="s">
        <v>3366</v>
      </c>
      <c r="Z150"/>
      <c r="AH150" t="s">
        <v>3367</v>
      </c>
      <c r="AI150" s="854"/>
      <c r="AJ150" s="854">
        <v>160</v>
      </c>
      <c r="AK150" s="854">
        <v>160</v>
      </c>
      <c r="CS150" t="s">
        <v>487</v>
      </c>
      <c r="CT150" t="s">
        <v>1396</v>
      </c>
      <c r="CV150">
        <v>360</v>
      </c>
    </row>
    <row r="151" spans="9:100">
      <c r="I151"/>
      <c r="N151" t="s">
        <v>229</v>
      </c>
      <c r="O151" t="s">
        <v>3113</v>
      </c>
      <c r="P151">
        <v>1</v>
      </c>
      <c r="Q151" s="969">
        <f t="shared" si="39"/>
        <v>1</v>
      </c>
      <c r="R151" s="812" t="b">
        <f t="shared" si="40"/>
        <v>1</v>
      </c>
      <c r="X151" s="818" t="s">
        <v>944</v>
      </c>
      <c r="Z151"/>
      <c r="AH151" t="s">
        <v>3368</v>
      </c>
      <c r="AI151" s="854"/>
      <c r="AJ151" s="854">
        <v>160</v>
      </c>
      <c r="AK151" s="854">
        <v>160</v>
      </c>
      <c r="CT151" t="s">
        <v>2605</v>
      </c>
      <c r="CV151">
        <v>384</v>
      </c>
    </row>
    <row r="152" spans="9:100">
      <c r="I152"/>
      <c r="N152" t="s">
        <v>3273</v>
      </c>
      <c r="O152" t="s">
        <v>136</v>
      </c>
      <c r="P152" s="855">
        <v>27569</v>
      </c>
      <c r="Q152" s="969">
        <f t="shared" si="39"/>
        <v>69066.840218182158</v>
      </c>
      <c r="R152" s="812" t="b">
        <f t="shared" si="40"/>
        <v>0</v>
      </c>
      <c r="X152" s="818" t="s">
        <v>938</v>
      </c>
      <c r="Z152"/>
      <c r="AH152" t="s">
        <v>3369</v>
      </c>
      <c r="AI152" s="854"/>
      <c r="AJ152" s="854">
        <v>160</v>
      </c>
      <c r="AK152" s="854">
        <v>160</v>
      </c>
      <c r="CT152" t="s">
        <v>2491</v>
      </c>
      <c r="CV152">
        <v>768</v>
      </c>
    </row>
    <row r="153" spans="9:100">
      <c r="I153"/>
      <c r="N153" t="s">
        <v>2669</v>
      </c>
      <c r="O153" t="s">
        <v>3347</v>
      </c>
      <c r="P153"/>
      <c r="Q153" s="969" t="e">
        <f t="shared" si="39"/>
        <v>#N/A</v>
      </c>
      <c r="R153" s="812" t="e">
        <f t="shared" si="40"/>
        <v>#N/A</v>
      </c>
      <c r="X153" s="818" t="s">
        <v>3370</v>
      </c>
      <c r="Z153"/>
      <c r="AH153" t="s">
        <v>3371</v>
      </c>
      <c r="AI153" s="854"/>
      <c r="AJ153" s="854">
        <v>160</v>
      </c>
      <c r="AK153" s="854">
        <v>160</v>
      </c>
      <c r="CT153" t="s">
        <v>2494</v>
      </c>
      <c r="CV153">
        <v>768</v>
      </c>
    </row>
    <row r="154" spans="9:100">
      <c r="I154"/>
      <c r="N154" t="s">
        <v>82</v>
      </c>
      <c r="O154" t="s">
        <v>3113</v>
      </c>
      <c r="P154">
        <v>1192.1666666666667</v>
      </c>
      <c r="Q154" s="969" t="e">
        <f t="shared" si="39"/>
        <v>#N/A</v>
      </c>
      <c r="R154" s="812" t="e">
        <f t="shared" si="40"/>
        <v>#N/A</v>
      </c>
      <c r="X154" s="818" t="s">
        <v>3372</v>
      </c>
      <c r="Z154"/>
      <c r="AH154" t="s">
        <v>3373</v>
      </c>
      <c r="AI154" s="854"/>
      <c r="AJ154" s="854">
        <v>160</v>
      </c>
      <c r="AK154" s="854">
        <v>160</v>
      </c>
      <c r="CT154" t="s">
        <v>649</v>
      </c>
      <c r="CV154">
        <v>768</v>
      </c>
    </row>
    <row r="155" spans="9:100">
      <c r="I155"/>
      <c r="O155" t="s">
        <v>136</v>
      </c>
      <c r="P155">
        <v>40787.081500539942</v>
      </c>
      <c r="Q155" s="969">
        <f t="shared" si="39"/>
        <v>0</v>
      </c>
      <c r="R155" s="812" t="b">
        <f t="shared" si="40"/>
        <v>0</v>
      </c>
      <c r="X155" s="818" t="s">
        <v>2007</v>
      </c>
      <c r="Z155"/>
      <c r="AH155" t="s">
        <v>3374</v>
      </c>
      <c r="AI155" s="854"/>
      <c r="AJ155" s="854">
        <v>160</v>
      </c>
      <c r="AK155" s="854">
        <v>160</v>
      </c>
      <c r="CS155" t="s">
        <v>3375</v>
      </c>
      <c r="CV155">
        <v>3048</v>
      </c>
    </row>
    <row r="156" spans="9:100">
      <c r="I156"/>
      <c r="N156" t="s">
        <v>178</v>
      </c>
      <c r="O156" t="s">
        <v>3113</v>
      </c>
      <c r="P156">
        <v>25</v>
      </c>
      <c r="Q156" s="969" t="e">
        <f t="shared" si="39"/>
        <v>#N/A</v>
      </c>
      <c r="R156" s="812" t="e">
        <f>Q156-P156</f>
        <v>#N/A</v>
      </c>
      <c r="X156" s="818" t="s">
        <v>3376</v>
      </c>
      <c r="Z156"/>
      <c r="AH156" t="s">
        <v>3377</v>
      </c>
      <c r="AI156" s="854"/>
      <c r="AJ156" s="854">
        <v>160</v>
      </c>
      <c r="AK156" s="854">
        <v>160</v>
      </c>
      <c r="CS156" t="s">
        <v>703</v>
      </c>
      <c r="CT156" t="s">
        <v>1540</v>
      </c>
      <c r="CV156">
        <v>160</v>
      </c>
    </row>
    <row r="157" spans="9:100">
      <c r="I157"/>
      <c r="N157" t="s">
        <v>823</v>
      </c>
      <c r="O157" t="s">
        <v>136</v>
      </c>
      <c r="P157">
        <v>682</v>
      </c>
      <c r="W157" t="s">
        <v>3378</v>
      </c>
      <c r="Z157"/>
      <c r="AH157" t="s">
        <v>3379</v>
      </c>
      <c r="AI157" s="854"/>
      <c r="AJ157" s="854">
        <v>160</v>
      </c>
      <c r="AK157" s="854">
        <v>160</v>
      </c>
      <c r="CT157" t="s">
        <v>1474</v>
      </c>
      <c r="CU157" t="s">
        <v>136</v>
      </c>
      <c r="CV157">
        <v>848</v>
      </c>
    </row>
    <row r="158" spans="9:100">
      <c r="I158"/>
      <c r="N158" t="s">
        <v>91</v>
      </c>
      <c r="O158" t="s">
        <v>3380</v>
      </c>
      <c r="P158">
        <v>1989</v>
      </c>
      <c r="W158" t="s">
        <v>196</v>
      </c>
      <c r="X158" s="818" t="s">
        <v>1524</v>
      </c>
      <c r="Z158"/>
      <c r="AH158" t="s">
        <v>3381</v>
      </c>
      <c r="AI158" s="854"/>
      <c r="AJ158" s="854">
        <v>160</v>
      </c>
      <c r="AK158" s="854">
        <v>160</v>
      </c>
      <c r="CT158" t="s">
        <v>704</v>
      </c>
      <c r="CV158">
        <v>1530</v>
      </c>
    </row>
    <row r="159" spans="9:100">
      <c r="I159"/>
      <c r="N159" t="s">
        <v>3357</v>
      </c>
      <c r="P159">
        <v>10769027.535423959</v>
      </c>
      <c r="X159" s="818" t="s">
        <v>3382</v>
      </c>
      <c r="Z159"/>
      <c r="AH159" t="s">
        <v>3383</v>
      </c>
      <c r="AI159" s="854"/>
      <c r="AJ159" s="854">
        <v>160</v>
      </c>
      <c r="AK159" s="854">
        <v>160</v>
      </c>
      <c r="CT159" t="s">
        <v>707</v>
      </c>
      <c r="CV159">
        <v>1530</v>
      </c>
    </row>
    <row r="160" spans="9:100">
      <c r="I160"/>
      <c r="P160"/>
      <c r="X160" s="818" t="s">
        <v>1661</v>
      </c>
      <c r="Z160"/>
      <c r="AH160" t="s">
        <v>3384</v>
      </c>
      <c r="AI160" s="854"/>
      <c r="AJ160" s="854">
        <v>160</v>
      </c>
      <c r="AK160" s="854">
        <v>160</v>
      </c>
      <c r="CT160" t="s">
        <v>710</v>
      </c>
      <c r="CV160">
        <v>1118</v>
      </c>
    </row>
    <row r="161" spans="9:100">
      <c r="I161"/>
      <c r="P161"/>
      <c r="X161" s="818" t="s">
        <v>3385</v>
      </c>
      <c r="Z161"/>
      <c r="AG161" t="s">
        <v>3386</v>
      </c>
      <c r="AI161" s="854"/>
      <c r="AJ161" s="854">
        <v>2880</v>
      </c>
      <c r="AK161" s="854">
        <v>2880</v>
      </c>
      <c r="CT161" t="s">
        <v>713</v>
      </c>
      <c r="CV161">
        <v>1118</v>
      </c>
    </row>
    <row r="162" spans="9:100">
      <c r="I162"/>
      <c r="P162"/>
      <c r="X162" s="818" t="s">
        <v>3387</v>
      </c>
      <c r="Z162"/>
      <c r="AG162" t="s">
        <v>214</v>
      </c>
      <c r="AH162" t="s">
        <v>1521</v>
      </c>
      <c r="AI162" s="854"/>
      <c r="AJ162" s="854">
        <v>1440</v>
      </c>
      <c r="AK162" s="854">
        <v>1440</v>
      </c>
      <c r="CT162" t="s">
        <v>716</v>
      </c>
      <c r="CV162">
        <v>1118</v>
      </c>
    </row>
    <row r="163" spans="9:100">
      <c r="I163"/>
      <c r="P163"/>
      <c r="X163" s="818" t="s">
        <v>2506</v>
      </c>
      <c r="Z163"/>
      <c r="AH163" t="s">
        <v>2513</v>
      </c>
      <c r="AI163" s="854"/>
      <c r="AJ163" s="854">
        <v>1440</v>
      </c>
      <c r="AK163" s="854">
        <v>1440</v>
      </c>
      <c r="CT163" t="s">
        <v>719</v>
      </c>
      <c r="CV163">
        <v>1118</v>
      </c>
    </row>
    <row r="164" spans="9:100">
      <c r="I164"/>
      <c r="P164"/>
      <c r="X164" s="818" t="s">
        <v>3372</v>
      </c>
      <c r="Z164"/>
      <c r="AH164" t="s">
        <v>216</v>
      </c>
      <c r="AI164" s="854"/>
      <c r="AJ164" s="854">
        <v>480</v>
      </c>
      <c r="AK164" s="854">
        <v>480</v>
      </c>
      <c r="CT164" t="s">
        <v>722</v>
      </c>
      <c r="CV164">
        <v>1118</v>
      </c>
    </row>
    <row r="165" spans="9:100">
      <c r="I165"/>
      <c r="P165"/>
      <c r="X165" s="818" t="s">
        <v>3388</v>
      </c>
      <c r="Z165"/>
      <c r="AH165" t="s">
        <v>2525</v>
      </c>
      <c r="AI165" s="854"/>
      <c r="AJ165" s="854">
        <v>1200</v>
      </c>
      <c r="AK165" s="854">
        <v>1200</v>
      </c>
      <c r="CT165" t="s">
        <v>725</v>
      </c>
      <c r="CV165">
        <v>1118</v>
      </c>
    </row>
    <row r="166" spans="9:100">
      <c r="I166"/>
      <c r="P166"/>
      <c r="W166" t="s">
        <v>3389</v>
      </c>
      <c r="Z166"/>
      <c r="AH166" t="s">
        <v>2522</v>
      </c>
      <c r="AI166" s="854"/>
      <c r="AJ166" s="854">
        <v>480</v>
      </c>
      <c r="AK166" s="854">
        <v>480</v>
      </c>
      <c r="CT166" t="s">
        <v>728</v>
      </c>
      <c r="CV166">
        <v>559</v>
      </c>
    </row>
    <row r="167" spans="9:100">
      <c r="I167"/>
      <c r="P167"/>
      <c r="W167" t="s">
        <v>3357</v>
      </c>
      <c r="Z167"/>
      <c r="AH167" t="s">
        <v>1443</v>
      </c>
      <c r="AI167" s="854"/>
      <c r="AJ167" s="854">
        <v>480</v>
      </c>
      <c r="AK167" s="854">
        <v>480</v>
      </c>
      <c r="CT167" t="s">
        <v>731</v>
      </c>
      <c r="CV167">
        <v>559</v>
      </c>
    </row>
    <row r="168" spans="9:100">
      <c r="I168"/>
      <c r="P168"/>
      <c r="AH168" t="s">
        <v>2543</v>
      </c>
      <c r="AI168" s="854"/>
      <c r="AJ168" s="854">
        <v>0</v>
      </c>
      <c r="AK168" s="854">
        <v>0</v>
      </c>
      <c r="CS168" t="s">
        <v>3390</v>
      </c>
      <c r="CV168">
        <v>11894</v>
      </c>
    </row>
    <row r="169" spans="9:100">
      <c r="I169"/>
      <c r="P169"/>
      <c r="AH169" t="s">
        <v>2530</v>
      </c>
      <c r="AI169" s="854"/>
      <c r="AJ169" s="854">
        <v>0</v>
      </c>
      <c r="AK169" s="854">
        <v>0</v>
      </c>
      <c r="CS169" t="s">
        <v>734</v>
      </c>
      <c r="CT169" t="s">
        <v>1939</v>
      </c>
      <c r="CV169">
        <v>320</v>
      </c>
    </row>
    <row r="170" spans="9:100">
      <c r="I170"/>
      <c r="P170"/>
      <c r="AH170" t="s">
        <v>2516</v>
      </c>
      <c r="AI170" s="854"/>
      <c r="AJ170" s="854">
        <v>1440</v>
      </c>
      <c r="AK170" s="854">
        <v>1440</v>
      </c>
      <c r="CT170" t="s">
        <v>863</v>
      </c>
      <c r="CV170">
        <v>480</v>
      </c>
    </row>
    <row r="171" spans="9:100">
      <c r="I171"/>
      <c r="P171"/>
      <c r="AH171" t="s">
        <v>2519</v>
      </c>
      <c r="AI171" s="854"/>
      <c r="AJ171" s="854">
        <v>1440</v>
      </c>
      <c r="AK171" s="854">
        <v>1440</v>
      </c>
      <c r="CT171" t="s">
        <v>894</v>
      </c>
      <c r="CV171">
        <v>160</v>
      </c>
    </row>
    <row r="172" spans="9:100">
      <c r="I172"/>
      <c r="P172"/>
      <c r="AG172" t="s">
        <v>3391</v>
      </c>
      <c r="AI172" s="854"/>
      <c r="AJ172" s="854">
        <v>8400</v>
      </c>
      <c r="AK172" s="854">
        <v>8400</v>
      </c>
      <c r="CT172" t="s">
        <v>735</v>
      </c>
      <c r="CV172">
        <v>640</v>
      </c>
    </row>
    <row r="173" spans="9:100">
      <c r="I173"/>
      <c r="P173"/>
      <c r="AG173" t="s">
        <v>537</v>
      </c>
      <c r="AH173" t="s">
        <v>2445</v>
      </c>
      <c r="AI173" s="854"/>
      <c r="AJ173" s="854">
        <v>2880</v>
      </c>
      <c r="AK173" s="854">
        <v>2880</v>
      </c>
      <c r="CT173" t="s">
        <v>981</v>
      </c>
      <c r="CV173">
        <v>640</v>
      </c>
    </row>
    <row r="174" spans="9:100">
      <c r="I174"/>
      <c r="P174"/>
      <c r="AH174" t="s">
        <v>547</v>
      </c>
      <c r="AI174" s="854"/>
      <c r="AJ174" s="854">
        <v>1920</v>
      </c>
      <c r="AK174" s="854">
        <v>1920</v>
      </c>
      <c r="CT174" t="s">
        <v>2535</v>
      </c>
      <c r="CV174">
        <v>320</v>
      </c>
    </row>
    <row r="175" spans="9:100">
      <c r="I175"/>
      <c r="P175"/>
      <c r="AH175" t="s">
        <v>1446</v>
      </c>
      <c r="AI175" s="854"/>
      <c r="AJ175" s="854">
        <v>2880</v>
      </c>
      <c r="AK175" s="854">
        <v>2880</v>
      </c>
      <c r="CS175" t="s">
        <v>3392</v>
      </c>
      <c r="CV175">
        <v>2560</v>
      </c>
    </row>
    <row r="176" spans="9:100">
      <c r="I176"/>
      <c r="P176"/>
      <c r="AG176" t="s">
        <v>3393</v>
      </c>
      <c r="AI176" s="854"/>
      <c r="AJ176" s="854">
        <v>7680</v>
      </c>
      <c r="AK176" s="854">
        <v>7680</v>
      </c>
      <c r="CS176" t="s">
        <v>784</v>
      </c>
      <c r="CT176" t="s">
        <v>2433</v>
      </c>
      <c r="CU176" t="s">
        <v>136</v>
      </c>
      <c r="CV176">
        <v>432.44</v>
      </c>
    </row>
    <row r="177" spans="9:100">
      <c r="I177"/>
      <c r="P177"/>
      <c r="AG177" t="s">
        <v>517</v>
      </c>
      <c r="AH177" t="s">
        <v>520</v>
      </c>
      <c r="AI177" s="854"/>
      <c r="AJ177" s="854">
        <v>6000</v>
      </c>
      <c r="AK177" s="854">
        <v>6000</v>
      </c>
      <c r="CT177" t="s">
        <v>3394</v>
      </c>
      <c r="CU177" t="s">
        <v>136</v>
      </c>
      <c r="CV177">
        <v>928.45</v>
      </c>
    </row>
    <row r="178" spans="9:100">
      <c r="I178"/>
      <c r="P178"/>
      <c r="AH178" t="s">
        <v>2464</v>
      </c>
      <c r="AI178" s="854"/>
      <c r="AJ178" s="854">
        <v>4000</v>
      </c>
      <c r="AK178" s="854">
        <v>4000</v>
      </c>
      <c r="CT178" t="s">
        <v>2427</v>
      </c>
      <c r="CU178" t="s">
        <v>136</v>
      </c>
      <c r="CV178">
        <v>5392.34</v>
      </c>
    </row>
    <row r="179" spans="9:100">
      <c r="I179"/>
      <c r="P179"/>
      <c r="AH179" t="s">
        <v>2467</v>
      </c>
      <c r="AI179" s="854"/>
      <c r="AJ179" s="854">
        <v>4000</v>
      </c>
      <c r="AK179" s="854">
        <v>4000</v>
      </c>
      <c r="CS179" t="s">
        <v>3395</v>
      </c>
      <c r="CV179">
        <v>6753.2300000000005</v>
      </c>
    </row>
    <row r="180" spans="9:100">
      <c r="I180"/>
      <c r="P180"/>
      <c r="AH180" t="s">
        <v>925</v>
      </c>
      <c r="AI180" s="854"/>
      <c r="AJ180" s="854">
        <v>8400</v>
      </c>
      <c r="AK180" s="854">
        <v>8400</v>
      </c>
      <c r="CS180" t="s">
        <v>205</v>
      </c>
      <c r="CT180" t="s">
        <v>3396</v>
      </c>
      <c r="CU180" t="s">
        <v>3397</v>
      </c>
      <c r="CV180">
        <v>356</v>
      </c>
    </row>
    <row r="181" spans="9:100">
      <c r="I181"/>
      <c r="P181"/>
      <c r="AG181" t="s">
        <v>3398</v>
      </c>
      <c r="AI181" s="854"/>
      <c r="AJ181" s="854">
        <v>22400</v>
      </c>
      <c r="AK181" s="854">
        <v>22400</v>
      </c>
      <c r="CS181" t="s">
        <v>3399</v>
      </c>
      <c r="CV181">
        <v>356</v>
      </c>
    </row>
    <row r="182" spans="9:100">
      <c r="I182"/>
      <c r="P182"/>
      <c r="AG182" t="s">
        <v>458</v>
      </c>
      <c r="AH182" t="s">
        <v>1674</v>
      </c>
      <c r="AI182" s="854"/>
      <c r="AJ182" s="854">
        <v>3360</v>
      </c>
      <c r="AK182" s="854">
        <v>3360</v>
      </c>
      <c r="CS182" t="s">
        <v>1642</v>
      </c>
      <c r="CT182" t="s">
        <v>3400</v>
      </c>
      <c r="CU182" t="s">
        <v>136</v>
      </c>
      <c r="CV182">
        <v>6017.14</v>
      </c>
    </row>
    <row r="183" spans="9:100">
      <c r="I183"/>
      <c r="P183"/>
      <c r="AH183" t="s">
        <v>570</v>
      </c>
      <c r="AI183" s="854"/>
      <c r="AJ183" s="854">
        <v>9120</v>
      </c>
      <c r="AK183" s="854">
        <v>9120</v>
      </c>
      <c r="CT183" t="s">
        <v>2593</v>
      </c>
      <c r="CU183" t="s">
        <v>136</v>
      </c>
      <c r="CV183">
        <v>2400</v>
      </c>
    </row>
    <row r="184" spans="9:100">
      <c r="I184"/>
      <c r="P184"/>
      <c r="AH184" t="s">
        <v>573</v>
      </c>
      <c r="AI184" s="854"/>
      <c r="AJ184" s="854">
        <v>10140</v>
      </c>
      <c r="AK184" s="854">
        <v>10140</v>
      </c>
      <c r="CT184" t="s">
        <v>2428</v>
      </c>
      <c r="CU184" t="s">
        <v>136</v>
      </c>
      <c r="CV184">
        <v>360</v>
      </c>
    </row>
    <row r="185" spans="9:100">
      <c r="I185"/>
      <c r="P185"/>
      <c r="AH185" t="s">
        <v>567</v>
      </c>
      <c r="AI185" s="854"/>
      <c r="AJ185" s="854">
        <v>34920</v>
      </c>
      <c r="AK185" s="854">
        <v>34920</v>
      </c>
      <c r="CS185" t="s">
        <v>3401</v>
      </c>
      <c r="CV185">
        <v>8777.14</v>
      </c>
    </row>
    <row r="186" spans="9:100">
      <c r="I186"/>
      <c r="P186"/>
      <c r="AH186" t="s">
        <v>1548</v>
      </c>
      <c r="AI186" s="854"/>
      <c r="AJ186" s="854">
        <v>6583</v>
      </c>
      <c r="AK186" s="854">
        <v>6583</v>
      </c>
      <c r="CS186" t="s">
        <v>1993</v>
      </c>
      <c r="CT186" t="s">
        <v>2595</v>
      </c>
      <c r="CU186" t="s">
        <v>242</v>
      </c>
      <c r="CV186">
        <v>1</v>
      </c>
    </row>
    <row r="187" spans="9:100">
      <c r="I187"/>
      <c r="P187"/>
      <c r="AH187" t="s">
        <v>1551</v>
      </c>
      <c r="AI187" s="854"/>
      <c r="AJ187" s="854">
        <v>6583</v>
      </c>
      <c r="AK187" s="854">
        <v>6583</v>
      </c>
      <c r="CS187" t="s">
        <v>3402</v>
      </c>
      <c r="CV187">
        <v>1</v>
      </c>
    </row>
    <row r="188" spans="9:100">
      <c r="I188"/>
      <c r="P188"/>
      <c r="AH188" t="s">
        <v>1554</v>
      </c>
      <c r="AI188" s="854"/>
      <c r="AJ188" s="854">
        <v>6583</v>
      </c>
      <c r="AK188" s="854">
        <v>6583</v>
      </c>
      <c r="CS188" t="s">
        <v>80</v>
      </c>
      <c r="CT188" t="s">
        <v>172</v>
      </c>
      <c r="CU188" t="s">
        <v>136</v>
      </c>
      <c r="CV188">
        <v>71575</v>
      </c>
    </row>
    <row r="189" spans="9:100">
      <c r="I189"/>
      <c r="P189"/>
      <c r="AH189" t="s">
        <v>1557</v>
      </c>
      <c r="AI189" s="854"/>
      <c r="AJ189" s="854">
        <v>6583</v>
      </c>
      <c r="AK189" s="854">
        <v>6583</v>
      </c>
      <c r="CT189" t="s">
        <v>1884</v>
      </c>
      <c r="CU189" t="s">
        <v>136</v>
      </c>
      <c r="CV189">
        <v>5031.47</v>
      </c>
    </row>
    <row r="190" spans="9:100">
      <c r="I190"/>
      <c r="P190"/>
      <c r="AH190" t="s">
        <v>1560</v>
      </c>
      <c r="AI190" s="854"/>
      <c r="AJ190" s="854">
        <v>6583</v>
      </c>
      <c r="AK190" s="854">
        <v>6583</v>
      </c>
      <c r="CT190" t="s">
        <v>1356</v>
      </c>
      <c r="CU190" t="s">
        <v>136</v>
      </c>
      <c r="CV190">
        <v>17366.919999999998</v>
      </c>
    </row>
    <row r="191" spans="9:100">
      <c r="I191"/>
      <c r="P191"/>
      <c r="AH191" t="s">
        <v>1563</v>
      </c>
      <c r="AI191" s="854"/>
      <c r="AJ191" s="854">
        <v>6583</v>
      </c>
      <c r="AK191" s="854">
        <v>6583</v>
      </c>
      <c r="CT191" t="s">
        <v>1470</v>
      </c>
      <c r="CU191" t="s">
        <v>136</v>
      </c>
      <c r="CV191">
        <v>5100.2299999999996</v>
      </c>
    </row>
    <row r="192" spans="9:100">
      <c r="I192"/>
      <c r="P192"/>
      <c r="AH192" t="s">
        <v>1566</v>
      </c>
      <c r="AI192" s="854"/>
      <c r="AJ192" s="854">
        <v>6583</v>
      </c>
      <c r="AK192" s="854">
        <v>6583</v>
      </c>
      <c r="CT192" t="s">
        <v>1427</v>
      </c>
      <c r="CU192" t="s">
        <v>136</v>
      </c>
      <c r="CV192">
        <v>18207.39</v>
      </c>
    </row>
    <row r="193" spans="9:100">
      <c r="I193"/>
      <c r="P193"/>
      <c r="AH193" t="s">
        <v>460</v>
      </c>
      <c r="AI193" s="854"/>
      <c r="AJ193" s="854">
        <v>6583</v>
      </c>
      <c r="AK193" s="854">
        <v>6583</v>
      </c>
      <c r="CT193" t="s">
        <v>1432</v>
      </c>
      <c r="CU193" t="s">
        <v>136</v>
      </c>
      <c r="CV193">
        <v>0</v>
      </c>
    </row>
    <row r="194" spans="9:100">
      <c r="I194"/>
      <c r="P194"/>
      <c r="AH194" t="s">
        <v>463</v>
      </c>
      <c r="AI194" s="854"/>
      <c r="AJ194" s="854">
        <v>6583</v>
      </c>
      <c r="AK194" s="854">
        <v>6583</v>
      </c>
      <c r="CT194" t="s">
        <v>3403</v>
      </c>
      <c r="CU194" t="s">
        <v>136</v>
      </c>
      <c r="CV194">
        <v>5944.1</v>
      </c>
    </row>
    <row r="195" spans="9:100">
      <c r="I195"/>
      <c r="P195"/>
      <c r="AH195" t="s">
        <v>466</v>
      </c>
      <c r="AI195" s="854"/>
      <c r="AJ195" s="854">
        <v>6583</v>
      </c>
      <c r="AK195" s="854">
        <v>6583</v>
      </c>
      <c r="CT195" t="s">
        <v>2589</v>
      </c>
      <c r="CU195" t="s">
        <v>136</v>
      </c>
      <c r="CV195">
        <v>1451.9</v>
      </c>
    </row>
    <row r="196" spans="9:100">
      <c r="I196"/>
      <c r="P196"/>
      <c r="AH196" t="s">
        <v>469</v>
      </c>
      <c r="AI196" s="854"/>
      <c r="AJ196" s="854">
        <v>6583</v>
      </c>
      <c r="AK196" s="854">
        <v>6583</v>
      </c>
      <c r="CT196" t="s">
        <v>246</v>
      </c>
      <c r="CU196" t="s">
        <v>136</v>
      </c>
      <c r="CV196">
        <v>230545.88</v>
      </c>
    </row>
    <row r="197" spans="9:100">
      <c r="I197"/>
      <c r="P197"/>
      <c r="AH197" t="s">
        <v>3404</v>
      </c>
      <c r="AI197" s="854"/>
      <c r="AJ197" s="854">
        <v>1280</v>
      </c>
      <c r="AK197" s="854">
        <v>1280</v>
      </c>
      <c r="CT197" t="s">
        <v>247</v>
      </c>
      <c r="CU197" t="s">
        <v>136</v>
      </c>
      <c r="CV197">
        <v>128865.8</v>
      </c>
    </row>
    <row r="198" spans="9:100">
      <c r="I198"/>
      <c r="P198"/>
      <c r="AH198" t="s">
        <v>3405</v>
      </c>
      <c r="AI198" s="854"/>
      <c r="AJ198" s="854">
        <v>800</v>
      </c>
      <c r="AK198" s="854">
        <v>800</v>
      </c>
      <c r="CT198" t="s">
        <v>2576</v>
      </c>
      <c r="CU198" t="s">
        <v>136</v>
      </c>
      <c r="CV198">
        <v>5180.4399999999996</v>
      </c>
    </row>
    <row r="199" spans="9:100">
      <c r="I199"/>
      <c r="P199"/>
      <c r="AH199" t="s">
        <v>2079</v>
      </c>
      <c r="AI199" s="854"/>
      <c r="AJ199" s="854">
        <v>400</v>
      </c>
      <c r="AK199" s="854">
        <v>400</v>
      </c>
      <c r="CT199" t="s">
        <v>156</v>
      </c>
      <c r="CU199" t="s">
        <v>136</v>
      </c>
      <c r="CV199">
        <v>37375</v>
      </c>
    </row>
    <row r="200" spans="9:100">
      <c r="I200"/>
      <c r="P200"/>
      <c r="AH200" t="s">
        <v>2068</v>
      </c>
      <c r="AI200" s="854"/>
      <c r="AJ200" s="854">
        <v>640</v>
      </c>
      <c r="AK200" s="854">
        <v>640</v>
      </c>
      <c r="CT200" t="s">
        <v>1214</v>
      </c>
      <c r="CU200" t="s">
        <v>136</v>
      </c>
      <c r="CV200">
        <v>290000</v>
      </c>
    </row>
    <row r="201" spans="9:100">
      <c r="I201"/>
      <c r="AH201" t="s">
        <v>1041</v>
      </c>
      <c r="AI201" s="854"/>
      <c r="AJ201" s="854">
        <v>425</v>
      </c>
      <c r="AK201" s="854">
        <v>425</v>
      </c>
      <c r="CT201" t="s">
        <v>1244</v>
      </c>
      <c r="CU201" t="s">
        <v>136</v>
      </c>
      <c r="CV201">
        <v>14600</v>
      </c>
    </row>
    <row r="202" spans="9:100">
      <c r="I202"/>
      <c r="AH202" t="s">
        <v>1962</v>
      </c>
      <c r="AI202" s="854"/>
      <c r="AJ202" s="854">
        <v>160</v>
      </c>
      <c r="AK202" s="854">
        <v>160</v>
      </c>
      <c r="CT202" t="s">
        <v>1223</v>
      </c>
      <c r="CU202" t="s">
        <v>136</v>
      </c>
      <c r="CV202">
        <v>17500</v>
      </c>
    </row>
    <row r="203" spans="9:100">
      <c r="I203"/>
      <c r="AH203" t="s">
        <v>2082</v>
      </c>
      <c r="AI203" s="854"/>
      <c r="AJ203" s="854">
        <v>400</v>
      </c>
      <c r="AK203" s="854">
        <v>400</v>
      </c>
      <c r="CT203" t="s">
        <v>1233</v>
      </c>
      <c r="CU203" t="s">
        <v>136</v>
      </c>
      <c r="CV203">
        <v>14600</v>
      </c>
    </row>
    <row r="204" spans="9:100">
      <c r="I204"/>
      <c r="AH204" t="s">
        <v>1035</v>
      </c>
      <c r="AI204" s="854"/>
      <c r="AJ204" s="854">
        <v>800</v>
      </c>
      <c r="AK204" s="854">
        <v>800</v>
      </c>
      <c r="CT204" t="s">
        <v>1371</v>
      </c>
      <c r="CU204" t="s">
        <v>136</v>
      </c>
      <c r="CV204">
        <v>322700</v>
      </c>
    </row>
    <row r="205" spans="9:100">
      <c r="I205"/>
      <c r="AH205" t="s">
        <v>1038</v>
      </c>
      <c r="AI205" s="854"/>
      <c r="AJ205" s="854">
        <v>800</v>
      </c>
      <c r="AK205" s="854">
        <v>800</v>
      </c>
      <c r="CT205" t="s">
        <v>1373</v>
      </c>
      <c r="CU205" t="s">
        <v>136</v>
      </c>
      <c r="CV205">
        <v>27500</v>
      </c>
    </row>
    <row r="206" spans="9:100">
      <c r="I206"/>
      <c r="AG206" t="s">
        <v>3406</v>
      </c>
      <c r="AI206" s="854"/>
      <c r="AJ206" s="854">
        <v>135658</v>
      </c>
      <c r="AK206" s="854">
        <v>135658</v>
      </c>
      <c r="CT206" t="s">
        <v>1372</v>
      </c>
      <c r="CU206" t="s">
        <v>136</v>
      </c>
      <c r="CV206">
        <v>22500</v>
      </c>
    </row>
    <row r="207" spans="9:100">
      <c r="I207"/>
      <c r="AG207" t="s">
        <v>606</v>
      </c>
      <c r="AH207" t="s">
        <v>2572</v>
      </c>
      <c r="AI207" s="854">
        <v>14400</v>
      </c>
      <c r="AJ207" s="854"/>
      <c r="AK207" s="854">
        <v>14400</v>
      </c>
      <c r="CT207" t="s">
        <v>1171</v>
      </c>
      <c r="CU207" t="s">
        <v>136</v>
      </c>
      <c r="CV207">
        <v>55000</v>
      </c>
    </row>
    <row r="208" spans="9:100">
      <c r="I208"/>
      <c r="AH208" t="s">
        <v>2575</v>
      </c>
      <c r="AI208" s="854">
        <v>14400</v>
      </c>
      <c r="AJ208" s="854"/>
      <c r="AK208" s="854">
        <v>14400</v>
      </c>
      <c r="CT208" t="s">
        <v>3407</v>
      </c>
      <c r="CU208" t="s">
        <v>136</v>
      </c>
      <c r="CV208">
        <v>27250</v>
      </c>
    </row>
    <row r="209" spans="9:100">
      <c r="I209"/>
      <c r="AH209" t="s">
        <v>1412</v>
      </c>
      <c r="AI209" s="854">
        <v>4000</v>
      </c>
      <c r="AJ209" s="854"/>
      <c r="AK209" s="854">
        <v>4000</v>
      </c>
      <c r="CT209" t="s">
        <v>3408</v>
      </c>
      <c r="CU209" t="s">
        <v>136</v>
      </c>
      <c r="CV209">
        <v>9460</v>
      </c>
    </row>
    <row r="210" spans="9:100">
      <c r="I210"/>
      <c r="AH210" t="s">
        <v>623</v>
      </c>
      <c r="AI210" s="854">
        <v>35600</v>
      </c>
      <c r="AJ210" s="854"/>
      <c r="AK210" s="854">
        <v>35600</v>
      </c>
      <c r="CT210" t="s">
        <v>3409</v>
      </c>
      <c r="CU210" t="s">
        <v>136</v>
      </c>
      <c r="CV210">
        <v>56730</v>
      </c>
    </row>
    <row r="211" spans="9:100">
      <c r="I211"/>
      <c r="AH211" t="s">
        <v>904</v>
      </c>
      <c r="AI211" s="854">
        <v>340</v>
      </c>
      <c r="AJ211" s="854"/>
      <c r="AK211" s="854">
        <v>340</v>
      </c>
      <c r="CT211" t="s">
        <v>3410</v>
      </c>
      <c r="CU211" t="s">
        <v>136</v>
      </c>
      <c r="CV211">
        <v>31830</v>
      </c>
    </row>
    <row r="212" spans="9:100">
      <c r="I212"/>
      <c r="AH212" t="s">
        <v>907</v>
      </c>
      <c r="AI212" s="854">
        <v>340</v>
      </c>
      <c r="AJ212" s="854"/>
      <c r="AK212" s="854">
        <v>340</v>
      </c>
      <c r="CT212" t="s">
        <v>3411</v>
      </c>
      <c r="CU212" t="s">
        <v>136</v>
      </c>
      <c r="CV212">
        <v>48240</v>
      </c>
    </row>
    <row r="213" spans="9:100">
      <c r="I213"/>
      <c r="AH213" t="s">
        <v>1000</v>
      </c>
      <c r="AI213" s="854">
        <v>1200</v>
      </c>
      <c r="AJ213" s="854"/>
      <c r="AK213" s="854">
        <v>1200</v>
      </c>
      <c r="CT213" t="s">
        <v>3412</v>
      </c>
      <c r="CU213" t="s">
        <v>136</v>
      </c>
      <c r="CV213">
        <v>16950</v>
      </c>
    </row>
    <row r="214" spans="9:100">
      <c r="I214"/>
      <c r="AH214" t="s">
        <v>1795</v>
      </c>
      <c r="AI214" s="854">
        <v>10800</v>
      </c>
      <c r="AJ214" s="854"/>
      <c r="AK214" s="854">
        <v>10800</v>
      </c>
      <c r="CT214" t="s">
        <v>1246</v>
      </c>
      <c r="CU214" t="s">
        <v>136</v>
      </c>
      <c r="CV214">
        <v>42080</v>
      </c>
    </row>
    <row r="215" spans="9:100">
      <c r="I215"/>
      <c r="AH215" t="s">
        <v>1504</v>
      </c>
      <c r="AI215" s="854">
        <v>3600</v>
      </c>
      <c r="AJ215" s="854"/>
      <c r="AK215" s="854">
        <v>3600</v>
      </c>
      <c r="CT215" t="s">
        <v>1334</v>
      </c>
      <c r="CU215" t="s">
        <v>136</v>
      </c>
      <c r="CV215">
        <v>33576</v>
      </c>
    </row>
    <row r="216" spans="9:100">
      <c r="I216"/>
      <c r="AH216" t="s">
        <v>1706</v>
      </c>
      <c r="AI216" s="854">
        <v>9600</v>
      </c>
      <c r="AJ216" s="854"/>
      <c r="AK216" s="854">
        <v>9600</v>
      </c>
      <c r="CS216" t="s">
        <v>3413</v>
      </c>
      <c r="CV216" s="855">
        <v>1557160.13</v>
      </c>
    </row>
    <row r="217" spans="9:100">
      <c r="I217"/>
      <c r="AH217" t="s">
        <v>792</v>
      </c>
      <c r="AI217" s="854">
        <v>9600</v>
      </c>
      <c r="AJ217" s="854"/>
      <c r="AK217" s="854">
        <v>9600</v>
      </c>
      <c r="CS217" t="s">
        <v>255</v>
      </c>
      <c r="CT217" t="s">
        <v>2662</v>
      </c>
      <c r="CU217" t="s">
        <v>136</v>
      </c>
      <c r="CV217">
        <v>4550.9799999999996</v>
      </c>
    </row>
    <row r="218" spans="9:100">
      <c r="I218"/>
      <c r="AH218" t="s">
        <v>635</v>
      </c>
      <c r="AI218" s="854">
        <v>5800</v>
      </c>
      <c r="AJ218" s="854"/>
      <c r="AK218" s="854">
        <v>5800</v>
      </c>
      <c r="CT218" t="s">
        <v>1952</v>
      </c>
      <c r="CU218" t="s">
        <v>136</v>
      </c>
      <c r="CV218">
        <v>1911.3</v>
      </c>
    </row>
    <row r="219" spans="9:100">
      <c r="I219"/>
      <c r="AG219" t="s">
        <v>3358</v>
      </c>
      <c r="AI219" s="854">
        <v>109680</v>
      </c>
      <c r="AJ219" s="854"/>
      <c r="AK219" s="854">
        <v>109680</v>
      </c>
      <c r="CT219" t="s">
        <v>2663</v>
      </c>
      <c r="CU219" t="s">
        <v>136</v>
      </c>
      <c r="CV219">
        <v>7969.14</v>
      </c>
    </row>
    <row r="220" spans="9:100">
      <c r="I220"/>
      <c r="AG220" t="s">
        <v>627</v>
      </c>
      <c r="AH220" t="s">
        <v>1404</v>
      </c>
      <c r="AI220" s="854">
        <v>3680</v>
      </c>
      <c r="AJ220" s="854"/>
      <c r="AK220" s="854">
        <v>3680</v>
      </c>
      <c r="CT220" t="s">
        <v>2664</v>
      </c>
      <c r="CU220" t="s">
        <v>3414</v>
      </c>
      <c r="CV220">
        <v>5787.68</v>
      </c>
    </row>
    <row r="221" spans="9:100">
      <c r="I221"/>
      <c r="AH221" t="s">
        <v>970</v>
      </c>
      <c r="AI221" s="854">
        <v>3840</v>
      </c>
      <c r="AJ221" s="854"/>
      <c r="AK221" s="854">
        <v>3840</v>
      </c>
      <c r="CT221" t="s">
        <v>2665</v>
      </c>
      <c r="CU221" t="s">
        <v>136</v>
      </c>
      <c r="CV221">
        <v>5411.65</v>
      </c>
    </row>
    <row r="222" spans="9:100">
      <c r="I222"/>
      <c r="AH222" t="s">
        <v>806</v>
      </c>
      <c r="AI222" s="854">
        <v>1120</v>
      </c>
      <c r="AJ222" s="854"/>
      <c r="AK222" s="854">
        <v>1120</v>
      </c>
      <c r="CT222" t="s">
        <v>3415</v>
      </c>
      <c r="CU222" t="s">
        <v>136</v>
      </c>
      <c r="CV222">
        <v>384.89</v>
      </c>
    </row>
    <row r="223" spans="9:100">
      <c r="I223"/>
      <c r="AH223" t="s">
        <v>628</v>
      </c>
      <c r="AI223" s="854">
        <v>5760</v>
      </c>
      <c r="AJ223" s="854"/>
      <c r="AK223" s="854">
        <v>5760</v>
      </c>
      <c r="CT223" t="s">
        <v>1492</v>
      </c>
      <c r="CU223" t="s">
        <v>136</v>
      </c>
      <c r="CV223">
        <v>6428.69</v>
      </c>
    </row>
    <row r="224" spans="9:100">
      <c r="I224"/>
      <c r="AG224" t="s">
        <v>3365</v>
      </c>
      <c r="AI224" s="854">
        <v>14400</v>
      </c>
      <c r="AJ224" s="854"/>
      <c r="AK224" s="854">
        <v>14400</v>
      </c>
      <c r="CT224" t="s">
        <v>2582</v>
      </c>
      <c r="CU224" t="s">
        <v>136</v>
      </c>
      <c r="CV224">
        <v>985.34</v>
      </c>
    </row>
    <row r="225" spans="9:100">
      <c r="I225"/>
      <c r="AG225" t="s">
        <v>487</v>
      </c>
      <c r="AH225" t="s">
        <v>1396</v>
      </c>
      <c r="AI225" s="854">
        <v>360</v>
      </c>
      <c r="AJ225" s="854"/>
      <c r="AK225" s="854">
        <v>360</v>
      </c>
      <c r="CT225" t="s">
        <v>257</v>
      </c>
      <c r="CU225" t="s">
        <v>136</v>
      </c>
      <c r="CV225">
        <v>11423.76</v>
      </c>
    </row>
    <row r="226" spans="9:100">
      <c r="I226"/>
      <c r="AH226" t="s">
        <v>2605</v>
      </c>
      <c r="AI226" s="854">
        <v>384</v>
      </c>
      <c r="AJ226" s="854"/>
      <c r="AK226" s="854">
        <v>384</v>
      </c>
      <c r="CT226" t="s">
        <v>878</v>
      </c>
      <c r="CU226" t="s">
        <v>136</v>
      </c>
      <c r="CV226">
        <v>25393</v>
      </c>
    </row>
    <row r="227" spans="9:100">
      <c r="I227"/>
      <c r="AH227" t="s">
        <v>2491</v>
      </c>
      <c r="AI227" s="854">
        <v>768</v>
      </c>
      <c r="AJ227" s="854"/>
      <c r="AK227" s="854">
        <v>768</v>
      </c>
      <c r="CT227" t="s">
        <v>2585</v>
      </c>
      <c r="CU227" t="s">
        <v>136</v>
      </c>
      <c r="CV227">
        <v>979.44</v>
      </c>
    </row>
    <row r="228" spans="9:100">
      <c r="I228"/>
      <c r="AH228" t="s">
        <v>2494</v>
      </c>
      <c r="AI228" s="854">
        <v>768</v>
      </c>
      <c r="AJ228" s="854"/>
      <c r="AK228" s="854">
        <v>768</v>
      </c>
      <c r="CT228" t="s">
        <v>822</v>
      </c>
      <c r="CU228" t="s">
        <v>136</v>
      </c>
      <c r="CV228">
        <v>1784.35</v>
      </c>
    </row>
    <row r="229" spans="9:100">
      <c r="I229"/>
      <c r="AH229" t="s">
        <v>649</v>
      </c>
      <c r="AI229" s="854">
        <v>768</v>
      </c>
      <c r="AJ229" s="854"/>
      <c r="AK229" s="854">
        <v>768</v>
      </c>
      <c r="CT229" t="s">
        <v>820</v>
      </c>
      <c r="CU229" t="s">
        <v>136</v>
      </c>
      <c r="CV229">
        <v>5554.73</v>
      </c>
    </row>
    <row r="230" spans="9:100">
      <c r="I230"/>
      <c r="AG230" t="s">
        <v>3375</v>
      </c>
      <c r="AI230" s="854">
        <v>3048</v>
      </c>
      <c r="AJ230" s="854"/>
      <c r="AK230" s="854">
        <v>3048</v>
      </c>
      <c r="CT230" t="s">
        <v>3416</v>
      </c>
      <c r="CU230" t="s">
        <v>136</v>
      </c>
      <c r="CV230">
        <v>4260.3</v>
      </c>
    </row>
    <row r="231" spans="9:100">
      <c r="I231"/>
      <c r="AG231" t="s">
        <v>703</v>
      </c>
      <c r="AH231" t="s">
        <v>1540</v>
      </c>
      <c r="AI231" s="854">
        <v>160</v>
      </c>
      <c r="AJ231" s="854"/>
      <c r="AK231" s="854">
        <v>160</v>
      </c>
      <c r="CT231" t="s">
        <v>962</v>
      </c>
      <c r="CU231" t="s">
        <v>136</v>
      </c>
      <c r="CV231">
        <v>4260.3</v>
      </c>
    </row>
    <row r="232" spans="9:100">
      <c r="I232"/>
      <c r="AH232" t="s">
        <v>1474</v>
      </c>
      <c r="AI232" s="854">
        <v>848</v>
      </c>
      <c r="AJ232" s="854"/>
      <c r="AK232" s="854">
        <v>848</v>
      </c>
      <c r="CS232" t="s">
        <v>3417</v>
      </c>
      <c r="CV232">
        <v>87085.55</v>
      </c>
    </row>
    <row r="233" spans="9:100">
      <c r="I233"/>
      <c r="AH233" t="s">
        <v>704</v>
      </c>
      <c r="AI233" s="854">
        <v>1530</v>
      </c>
      <c r="AJ233" s="854"/>
      <c r="AK233" s="854">
        <v>1530</v>
      </c>
      <c r="CS233" t="s">
        <v>3357</v>
      </c>
      <c r="CV233" s="854">
        <v>2701704.2399999988</v>
      </c>
    </row>
    <row r="234" spans="9:100">
      <c r="I234"/>
      <c r="AH234" t="s">
        <v>707</v>
      </c>
      <c r="AI234" s="854">
        <v>1530</v>
      </c>
      <c r="AJ234" s="854"/>
      <c r="AK234" s="854">
        <v>1530</v>
      </c>
    </row>
    <row r="235" spans="9:100">
      <c r="I235"/>
      <c r="AH235" t="s">
        <v>710</v>
      </c>
      <c r="AI235" s="854">
        <v>1118</v>
      </c>
      <c r="AJ235" s="854"/>
      <c r="AK235" s="854">
        <v>1118</v>
      </c>
    </row>
    <row r="236" spans="9:100">
      <c r="I236"/>
      <c r="AH236" t="s">
        <v>713</v>
      </c>
      <c r="AI236" s="854">
        <v>1118</v>
      </c>
      <c r="AJ236" s="854"/>
      <c r="AK236" s="854">
        <v>1118</v>
      </c>
    </row>
    <row r="237" spans="9:100">
      <c r="I237"/>
      <c r="AH237" t="s">
        <v>716</v>
      </c>
      <c r="AI237" s="854">
        <v>1118</v>
      </c>
      <c r="AJ237" s="854"/>
      <c r="AK237" s="854">
        <v>1118</v>
      </c>
    </row>
    <row r="238" spans="9:100">
      <c r="I238"/>
      <c r="AH238" t="s">
        <v>719</v>
      </c>
      <c r="AI238" s="854">
        <v>1118</v>
      </c>
      <c r="AJ238" s="854"/>
      <c r="AK238" s="854">
        <v>1118</v>
      </c>
    </row>
    <row r="239" spans="9:100">
      <c r="I239"/>
      <c r="AH239" t="s">
        <v>722</v>
      </c>
      <c r="AI239" s="854">
        <v>1118</v>
      </c>
      <c r="AJ239" s="854"/>
      <c r="AK239" s="854">
        <v>1118</v>
      </c>
    </row>
    <row r="240" spans="9:100">
      <c r="I240"/>
      <c r="AH240" t="s">
        <v>725</v>
      </c>
      <c r="AI240" s="854">
        <v>1118</v>
      </c>
      <c r="AJ240" s="854"/>
      <c r="AK240" s="854">
        <v>1118</v>
      </c>
    </row>
    <row r="241" spans="9:37">
      <c r="I241" s="854"/>
      <c r="AH241" t="s">
        <v>728</v>
      </c>
      <c r="AI241" s="854">
        <v>559</v>
      </c>
      <c r="AJ241" s="854"/>
      <c r="AK241" s="854">
        <v>559</v>
      </c>
    </row>
    <row r="242" spans="9:37">
      <c r="AH242" t="s">
        <v>731</v>
      </c>
      <c r="AI242" s="854">
        <v>559</v>
      </c>
      <c r="AJ242" s="854"/>
      <c r="AK242" s="854">
        <v>559</v>
      </c>
    </row>
    <row r="243" spans="9:37">
      <c r="AG243" t="s">
        <v>3390</v>
      </c>
      <c r="AI243" s="854">
        <v>11894</v>
      </c>
      <c r="AJ243" s="854"/>
      <c r="AK243" s="854">
        <v>11894</v>
      </c>
    </row>
    <row r="244" spans="9:37">
      <c r="AG244" t="s">
        <v>734</v>
      </c>
      <c r="AH244" t="s">
        <v>1939</v>
      </c>
      <c r="AI244" s="854">
        <v>320</v>
      </c>
      <c r="AJ244" s="854"/>
      <c r="AK244" s="854">
        <v>320</v>
      </c>
    </row>
    <row r="245" spans="9:37">
      <c r="AH245" t="s">
        <v>863</v>
      </c>
      <c r="AI245" s="854">
        <v>480</v>
      </c>
      <c r="AJ245" s="854"/>
      <c r="AK245" s="854">
        <v>480</v>
      </c>
    </row>
    <row r="246" spans="9:37">
      <c r="AH246" t="s">
        <v>894</v>
      </c>
      <c r="AI246" s="854">
        <v>160</v>
      </c>
      <c r="AJ246" s="854"/>
      <c r="AK246" s="854">
        <v>160</v>
      </c>
    </row>
    <row r="247" spans="9:37">
      <c r="AH247" t="s">
        <v>735</v>
      </c>
      <c r="AI247" s="854">
        <v>640</v>
      </c>
      <c r="AJ247" s="854"/>
      <c r="AK247" s="854">
        <v>640</v>
      </c>
    </row>
    <row r="248" spans="9:37">
      <c r="AH248" t="s">
        <v>981</v>
      </c>
      <c r="AI248" s="854">
        <v>640</v>
      </c>
      <c r="AJ248" s="854"/>
      <c r="AK248" s="854">
        <v>640</v>
      </c>
    </row>
    <row r="249" spans="9:37">
      <c r="AH249" t="s">
        <v>2535</v>
      </c>
      <c r="AI249" s="854">
        <v>320</v>
      </c>
      <c r="AJ249" s="854"/>
      <c r="AK249" s="854">
        <v>320</v>
      </c>
    </row>
    <row r="250" spans="9:37">
      <c r="AG250" t="s">
        <v>3392</v>
      </c>
      <c r="AI250" s="854">
        <v>2560</v>
      </c>
      <c r="AJ250" s="854"/>
      <c r="AK250" s="854">
        <v>2560</v>
      </c>
    </row>
    <row r="251" spans="9:37">
      <c r="AG251" t="s">
        <v>3357</v>
      </c>
      <c r="AI251" s="854">
        <v>141582</v>
      </c>
      <c r="AJ251" s="854">
        <v>177018</v>
      </c>
      <c r="AK251" s="854">
        <v>318600</v>
      </c>
    </row>
    <row r="338" spans="7:7">
      <c r="G338" t="s">
        <v>2953</v>
      </c>
    </row>
  </sheetData>
  <autoFilter ref="D4:W97" xr:uid="{00000000-0009-0000-0000-00000A000000}"/>
  <mergeCells count="11">
    <mergeCell ref="N3:S3"/>
    <mergeCell ref="K3:M3"/>
    <mergeCell ref="D73:D90"/>
    <mergeCell ref="D5:D11"/>
    <mergeCell ref="D54:D70"/>
    <mergeCell ref="D50:D53"/>
    <mergeCell ref="D12:D16"/>
    <mergeCell ref="D17:D33"/>
    <mergeCell ref="D47:D49"/>
    <mergeCell ref="D41:D46"/>
    <mergeCell ref="D34:D40"/>
  </mergeCells>
  <conditionalFormatting sqref="S9:V9">
    <cfRule type="dataBar" priority="6">
      <dataBar>
        <cfvo type="min"/>
        <cfvo type="max"/>
        <color rgb="FFFF555A"/>
      </dataBar>
    </cfRule>
  </conditionalFormatting>
  <conditionalFormatting sqref="S7:V8">
    <cfRule type="dataBar" priority="5">
      <dataBar>
        <cfvo type="min"/>
        <cfvo type="max"/>
        <color rgb="FFFF555A"/>
      </dataBar>
    </cfRule>
  </conditionalFormatting>
  <conditionalFormatting sqref="S6:V6">
    <cfRule type="dataBar" priority="4">
      <dataBar>
        <cfvo type="min"/>
        <cfvo type="max"/>
        <color rgb="FFFF555A"/>
      </dataBar>
    </cfRule>
  </conditionalFormatting>
  <conditionalFormatting sqref="S8:V8">
    <cfRule type="dataBar" priority="3">
      <dataBar>
        <cfvo type="min"/>
        <cfvo type="max"/>
        <color rgb="FFFF555A"/>
      </dataBar>
    </cfRule>
  </conditionalFormatting>
  <conditionalFormatting sqref="Y73:Y90">
    <cfRule type="dataBar" priority="2">
      <dataBar>
        <cfvo type="min"/>
        <cfvo type="max"/>
        <color rgb="FFFF0000"/>
      </dataBar>
    </cfRule>
  </conditionalFormatting>
  <conditionalFormatting sqref="S5:V6 S23:V23 S29:V29 S10:V17 S34:V70 V6:V70 T6:T70">
    <cfRule type="dataBar" priority="23">
      <dataBar>
        <cfvo type="min"/>
        <cfvo type="max"/>
        <color rgb="FFFF555A"/>
      </dataBar>
    </cfRule>
  </conditionalFormatting>
  <conditionalFormatting sqref="V73:V89">
    <cfRule type="dataBar" priority="1">
      <dataBar>
        <cfvo type="min"/>
        <cfvo type="max"/>
        <color rgb="FFFF555A"/>
      </dataBar>
    </cfRule>
  </conditionalFormatting>
  <pageMargins left="0.70866141732283472" right="0.70866141732283472" top="0.74803149606299213" bottom="0.74803149606299213" header="0.31496062992125984" footer="0.31496062992125984"/>
  <pageSetup scale="10"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tabColor rgb="FF7030A0"/>
  </sheetPr>
  <dimension ref="A2:U980"/>
  <sheetViews>
    <sheetView topLeftCell="G54" zoomScaleNormal="100" workbookViewId="0">
      <selection activeCell="R54" sqref="R54"/>
    </sheetView>
  </sheetViews>
  <sheetFormatPr defaultColWidth="9.1796875" defaultRowHeight="14.5"/>
  <cols>
    <col min="1" max="1" width="6.54296875" style="1099" customWidth="1"/>
    <col min="2" max="2" width="12.7265625" customWidth="1"/>
    <col min="3" max="3" width="6.54296875" customWidth="1"/>
    <col min="4" max="4" width="19.81640625" style="7" customWidth="1"/>
    <col min="5" max="5" width="6.54296875" customWidth="1"/>
    <col min="6" max="6" width="25.26953125" style="7" customWidth="1"/>
    <col min="7" max="7" width="6.54296875" customWidth="1"/>
    <col min="8" max="8" width="28.453125" style="7" customWidth="1"/>
    <col min="9" max="9" width="10.81640625" style="818" bestFit="1" customWidth="1"/>
    <col min="10" max="10" width="10.81640625" bestFit="1" customWidth="1"/>
    <col min="11" max="11" width="10.26953125" bestFit="1" customWidth="1"/>
    <col min="12" max="12" width="12.453125" bestFit="1" customWidth="1"/>
    <col min="13" max="13" width="11.1796875" bestFit="1" customWidth="1"/>
    <col min="14" max="16" width="10.81640625" bestFit="1" customWidth="1"/>
    <col min="17" max="19" width="9.81640625" bestFit="1" customWidth="1"/>
    <col min="20" max="20" width="8.453125" bestFit="1" customWidth="1"/>
    <col min="21" max="21" width="9.81640625" bestFit="1" customWidth="1"/>
  </cols>
  <sheetData>
    <row r="2" spans="1:21" hidden="1">
      <c r="A2" s="2454" t="s">
        <v>6564</v>
      </c>
      <c r="B2" s="2454"/>
      <c r="C2" s="2454" t="s">
        <v>6565</v>
      </c>
      <c r="D2" s="2454"/>
      <c r="E2" s="2454" t="s">
        <v>6585</v>
      </c>
      <c r="F2" s="2454"/>
      <c r="G2" s="2454" t="s">
        <v>6586</v>
      </c>
      <c r="H2" s="2454"/>
    </row>
    <row r="3" spans="1:21" s="1099" customFormat="1">
      <c r="I3" s="1270"/>
      <c r="J3" s="1270"/>
      <c r="K3" s="1270"/>
      <c r="L3" s="1270"/>
      <c r="M3" s="1270"/>
      <c r="N3" s="1270"/>
      <c r="O3"/>
      <c r="P3"/>
      <c r="Q3"/>
      <c r="R3"/>
      <c r="S3"/>
      <c r="T3"/>
      <c r="U3"/>
    </row>
    <row r="4" spans="1:21" s="1099" customFormat="1">
      <c r="A4" s="1269" t="s">
        <v>5</v>
      </c>
      <c r="B4" s="1269" t="s">
        <v>6</v>
      </c>
      <c r="C4" s="1269" t="s">
        <v>7</v>
      </c>
      <c r="D4" s="1271" t="s">
        <v>8</v>
      </c>
      <c r="E4" s="1269" t="s">
        <v>9</v>
      </c>
      <c r="F4" s="1271" t="s">
        <v>10</v>
      </c>
      <c r="G4" s="1269" t="s">
        <v>11</v>
      </c>
      <c r="H4" s="1271" t="s">
        <v>12</v>
      </c>
      <c r="O4"/>
      <c r="P4"/>
      <c r="Q4"/>
      <c r="R4"/>
      <c r="S4"/>
      <c r="T4"/>
      <c r="U4"/>
    </row>
    <row r="5" spans="1:21" s="1099" customFormat="1">
      <c r="A5" s="1099">
        <v>1000</v>
      </c>
      <c r="B5" s="1099" t="s">
        <v>78</v>
      </c>
      <c r="C5" s="1099">
        <v>1100</v>
      </c>
      <c r="D5" s="1099" t="s">
        <v>79</v>
      </c>
      <c r="E5" s="1099">
        <v>1100</v>
      </c>
      <c r="F5" s="1099" t="s">
        <v>79</v>
      </c>
      <c r="G5" s="1099">
        <v>1100</v>
      </c>
      <c r="H5" s="1100" t="s">
        <v>79</v>
      </c>
      <c r="I5" s="1270"/>
      <c r="J5" s="1270"/>
      <c r="K5" s="1270"/>
      <c r="L5" s="1270"/>
      <c r="M5" s="1270"/>
      <c r="N5" s="1270"/>
      <c r="O5"/>
      <c r="P5"/>
      <c r="Q5"/>
      <c r="R5"/>
      <c r="S5"/>
      <c r="T5"/>
      <c r="U5"/>
    </row>
    <row r="6" spans="1:21" s="1099" customFormat="1">
      <c r="C6" s="1099" t="s">
        <v>3347</v>
      </c>
      <c r="D6" s="1099" t="s">
        <v>3347</v>
      </c>
      <c r="E6" s="1099" t="s">
        <v>3347</v>
      </c>
      <c r="F6" s="1099" t="s">
        <v>3347</v>
      </c>
      <c r="G6" s="1099" t="s">
        <v>3347</v>
      </c>
      <c r="H6" s="1100" t="s">
        <v>3347</v>
      </c>
      <c r="I6" s="1270"/>
      <c r="J6" s="1270"/>
      <c r="K6" s="1270"/>
      <c r="L6" s="1270"/>
      <c r="M6" s="1270"/>
      <c r="N6" s="1270"/>
      <c r="O6"/>
      <c r="P6"/>
      <c r="Q6"/>
      <c r="R6"/>
      <c r="S6"/>
      <c r="T6"/>
      <c r="U6"/>
    </row>
    <row r="7" spans="1:21" s="1099" customFormat="1" ht="26.5">
      <c r="A7" s="1099">
        <v>2000</v>
      </c>
      <c r="B7" s="1099" t="s">
        <v>119</v>
      </c>
      <c r="C7" s="1099">
        <v>2500</v>
      </c>
      <c r="D7" s="1099" t="s">
        <v>452</v>
      </c>
      <c r="E7" s="1099">
        <v>2540</v>
      </c>
      <c r="F7" s="1099" t="s">
        <v>790</v>
      </c>
      <c r="G7" s="1099">
        <v>2540</v>
      </c>
      <c r="H7" s="1100" t="s">
        <v>790</v>
      </c>
      <c r="I7" s="1270"/>
      <c r="J7" s="1270"/>
      <c r="K7" s="1270"/>
      <c r="L7" s="1270"/>
      <c r="M7" s="1270"/>
      <c r="N7" s="1270"/>
      <c r="O7"/>
      <c r="P7"/>
      <c r="Q7"/>
      <c r="R7"/>
      <c r="S7"/>
      <c r="T7"/>
      <c r="U7"/>
    </row>
    <row r="8" spans="1:21" s="1099" customFormat="1">
      <c r="E8" s="1099">
        <v>2550</v>
      </c>
      <c r="F8" s="1099" t="s">
        <v>819</v>
      </c>
      <c r="G8" s="1099">
        <v>2550</v>
      </c>
      <c r="H8" s="1100" t="s">
        <v>819</v>
      </c>
      <c r="I8" s="1270"/>
      <c r="J8" s="1270"/>
      <c r="K8" s="1270"/>
      <c r="L8" s="1270"/>
      <c r="M8" s="1270"/>
      <c r="N8" s="1270"/>
      <c r="O8"/>
      <c r="P8"/>
      <c r="Q8"/>
      <c r="R8"/>
      <c r="S8"/>
      <c r="T8"/>
      <c r="U8"/>
    </row>
    <row r="9" spans="1:21" s="1099" customFormat="1">
      <c r="E9" s="1099" t="s">
        <v>453</v>
      </c>
      <c r="F9" s="1099" t="s">
        <v>454</v>
      </c>
      <c r="G9" s="1099">
        <v>2511</v>
      </c>
      <c r="H9" s="1100" t="s">
        <v>565</v>
      </c>
      <c r="I9" s="1270"/>
      <c r="J9" s="1270"/>
      <c r="K9" s="1270"/>
      <c r="L9" s="1270"/>
      <c r="M9" s="1270"/>
      <c r="N9" s="1270"/>
      <c r="O9"/>
      <c r="P9"/>
      <c r="Q9"/>
      <c r="R9"/>
      <c r="S9"/>
      <c r="T9"/>
      <c r="U9"/>
    </row>
    <row r="10" spans="1:21" s="1099" customFormat="1">
      <c r="G10" s="1099">
        <v>2512</v>
      </c>
      <c r="H10" s="1100" t="s">
        <v>456</v>
      </c>
      <c r="I10" s="1270"/>
      <c r="J10" s="1270"/>
      <c r="K10" s="1270"/>
      <c r="L10" s="1270"/>
      <c r="M10" s="1270"/>
      <c r="N10" s="1270"/>
      <c r="O10"/>
      <c r="P10"/>
      <c r="Q10"/>
      <c r="R10"/>
      <c r="S10"/>
      <c r="T10"/>
      <c r="U10"/>
    </row>
    <row r="11" spans="1:21" s="1099" customFormat="1">
      <c r="G11" s="1099" t="s">
        <v>4127</v>
      </c>
      <c r="H11" s="1100" t="s">
        <v>454</v>
      </c>
      <c r="I11" s="1270"/>
      <c r="J11" s="1270"/>
      <c r="K11" s="1270"/>
      <c r="L11" s="1270"/>
      <c r="M11" s="1270"/>
      <c r="N11" s="1270"/>
      <c r="O11"/>
      <c r="P11"/>
      <c r="Q11"/>
      <c r="R11"/>
      <c r="S11"/>
      <c r="T11"/>
      <c r="U11"/>
    </row>
    <row r="12" spans="1:21" s="1099" customFormat="1">
      <c r="G12" s="1099" t="s">
        <v>564</v>
      </c>
      <c r="H12" s="1100" t="s">
        <v>565</v>
      </c>
      <c r="I12" s="1270"/>
      <c r="J12" s="1270"/>
      <c r="K12" s="1270"/>
      <c r="L12" s="1270"/>
      <c r="M12" s="1270"/>
      <c r="N12" s="1270"/>
      <c r="O12"/>
      <c r="P12"/>
      <c r="Q12"/>
      <c r="R12"/>
      <c r="S12"/>
      <c r="T12"/>
      <c r="U12"/>
    </row>
    <row r="13" spans="1:21" s="1099" customFormat="1">
      <c r="G13" s="1099" t="s">
        <v>455</v>
      </c>
      <c r="H13" s="1100" t="s">
        <v>456</v>
      </c>
      <c r="I13" s="1270"/>
      <c r="J13" s="1270"/>
      <c r="K13" s="1270"/>
      <c r="L13" s="1270"/>
      <c r="M13" s="1270"/>
      <c r="N13" s="1270"/>
      <c r="O13"/>
      <c r="P13"/>
      <c r="Q13"/>
      <c r="R13"/>
      <c r="S13"/>
      <c r="T13"/>
      <c r="U13"/>
    </row>
    <row r="14" spans="1:21" s="1099" customFormat="1">
      <c r="G14" s="1099" t="s">
        <v>513</v>
      </c>
      <c r="H14" s="1100" t="s">
        <v>514</v>
      </c>
      <c r="I14" s="1270"/>
      <c r="J14" s="1270"/>
      <c r="K14" s="1270"/>
      <c r="L14" s="1270"/>
      <c r="M14" s="1270"/>
      <c r="N14" s="1270"/>
      <c r="O14"/>
      <c r="P14"/>
      <c r="Q14"/>
      <c r="R14"/>
      <c r="S14"/>
      <c r="T14"/>
      <c r="U14"/>
    </row>
    <row r="15" spans="1:21" s="1099" customFormat="1">
      <c r="G15" s="1099" t="s">
        <v>528</v>
      </c>
      <c r="H15" s="1100" t="s">
        <v>514</v>
      </c>
      <c r="I15" s="1270"/>
      <c r="J15" s="1270"/>
      <c r="K15" s="1270"/>
      <c r="L15" s="1270"/>
      <c r="M15" s="1270"/>
      <c r="N15" s="1270"/>
      <c r="O15"/>
      <c r="P15"/>
      <c r="Q15"/>
      <c r="R15"/>
      <c r="S15"/>
      <c r="T15"/>
      <c r="U15"/>
    </row>
    <row r="16" spans="1:21" s="1099" customFormat="1">
      <c r="E16" s="1099" t="s">
        <v>604</v>
      </c>
      <c r="F16" s="1099" t="s">
        <v>605</v>
      </c>
      <c r="G16" s="1099">
        <v>2521</v>
      </c>
      <c r="H16" s="1100" t="s">
        <v>621</v>
      </c>
      <c r="I16" s="1270"/>
      <c r="J16" s="1270"/>
      <c r="K16" s="1270"/>
      <c r="L16" s="1270"/>
      <c r="M16" s="1270"/>
      <c r="N16" s="1270"/>
      <c r="O16"/>
      <c r="P16"/>
      <c r="Q16"/>
      <c r="R16"/>
      <c r="S16"/>
      <c r="T16"/>
      <c r="U16"/>
    </row>
    <row r="17" spans="3:21" s="1099" customFormat="1">
      <c r="G17" s="1099" t="s">
        <v>620</v>
      </c>
      <c r="H17" s="1100" t="s">
        <v>621</v>
      </c>
      <c r="I17" s="1270"/>
      <c r="J17" s="1270"/>
      <c r="K17" s="1270"/>
      <c r="L17" s="1270"/>
      <c r="M17" s="1270"/>
      <c r="N17" s="1270"/>
      <c r="O17"/>
      <c r="P17"/>
      <c r="Q17"/>
      <c r="R17"/>
      <c r="S17"/>
      <c r="T17"/>
      <c r="U17"/>
    </row>
    <row r="18" spans="3:21" s="1099" customFormat="1">
      <c r="G18" s="1099" t="s">
        <v>643</v>
      </c>
      <c r="H18" s="1100" t="s">
        <v>621</v>
      </c>
      <c r="I18" s="1270"/>
      <c r="J18" s="1270"/>
      <c r="K18" s="1270"/>
      <c r="L18" s="1270"/>
      <c r="M18" s="1270"/>
      <c r="N18" s="1270"/>
      <c r="O18"/>
      <c r="P18"/>
      <c r="Q18"/>
      <c r="R18"/>
      <c r="S18"/>
      <c r="T18"/>
      <c r="U18"/>
    </row>
    <row r="19" spans="3:21" s="1099" customFormat="1">
      <c r="G19" s="1099" t="s">
        <v>683</v>
      </c>
      <c r="H19" s="1100" t="s">
        <v>684</v>
      </c>
      <c r="I19" s="1270"/>
      <c r="J19" s="1270"/>
      <c r="K19" s="1270"/>
      <c r="L19" s="1270"/>
      <c r="M19" s="1270"/>
      <c r="N19" s="1270"/>
      <c r="O19"/>
      <c r="P19"/>
      <c r="Q19"/>
      <c r="R19"/>
      <c r="S19"/>
      <c r="T19"/>
      <c r="U19"/>
    </row>
    <row r="20" spans="3:21" s="1099" customFormat="1">
      <c r="G20" s="1099">
        <v>2523</v>
      </c>
      <c r="H20" s="1100" t="s">
        <v>605</v>
      </c>
      <c r="I20" s="1270"/>
      <c r="J20" s="1270"/>
      <c r="K20" s="1270"/>
      <c r="L20" s="1270"/>
      <c r="M20" s="1270"/>
      <c r="N20" s="1270"/>
      <c r="O20"/>
      <c r="P20"/>
      <c r="Q20"/>
      <c r="R20"/>
      <c r="S20"/>
      <c r="T20"/>
      <c r="U20"/>
    </row>
    <row r="21" spans="3:21" s="1099" customFormat="1">
      <c r="E21" s="1099" t="s">
        <v>700</v>
      </c>
      <c r="F21" s="1099" t="s">
        <v>701</v>
      </c>
      <c r="G21" s="1099" t="s">
        <v>700</v>
      </c>
      <c r="H21" s="1100" t="s">
        <v>701</v>
      </c>
      <c r="I21" s="1270"/>
      <c r="J21" s="1270"/>
      <c r="K21" s="1270"/>
      <c r="L21" s="1270"/>
      <c r="M21" s="1270"/>
      <c r="N21" s="1270"/>
      <c r="O21"/>
      <c r="P21"/>
      <c r="Q21"/>
      <c r="R21"/>
      <c r="S21"/>
      <c r="T21"/>
      <c r="U21"/>
    </row>
    <row r="22" spans="3:21" s="1099" customFormat="1">
      <c r="E22" s="1099" t="s">
        <v>3347</v>
      </c>
      <c r="F22" s="1099" t="s">
        <v>3347</v>
      </c>
      <c r="G22" s="1099" t="s">
        <v>3347</v>
      </c>
      <c r="H22" s="1100" t="s">
        <v>3347</v>
      </c>
      <c r="I22" s="1270"/>
      <c r="J22" s="1270"/>
      <c r="K22" s="1270"/>
      <c r="L22" s="1270"/>
      <c r="M22" s="1270"/>
      <c r="N22" s="1270"/>
      <c r="O22"/>
      <c r="P22"/>
      <c r="Q22"/>
      <c r="R22"/>
      <c r="S22"/>
      <c r="T22"/>
      <c r="U22"/>
    </row>
    <row r="23" spans="3:21" s="1099" customFormat="1">
      <c r="C23" s="1099" t="s">
        <v>3347</v>
      </c>
      <c r="D23" s="1099" t="s">
        <v>3347</v>
      </c>
      <c r="E23" s="1099" t="s">
        <v>3347</v>
      </c>
      <c r="F23" s="1099" t="s">
        <v>3347</v>
      </c>
      <c r="G23" s="1099" t="s">
        <v>3347</v>
      </c>
      <c r="H23" s="1100" t="s">
        <v>3347</v>
      </c>
      <c r="I23" s="1270"/>
      <c r="J23" s="1270"/>
      <c r="K23" s="1270"/>
      <c r="L23" s="1270"/>
      <c r="M23" s="1270"/>
      <c r="N23" s="1270"/>
      <c r="O23"/>
      <c r="P23"/>
      <c r="Q23"/>
      <c r="R23"/>
      <c r="S23"/>
      <c r="T23"/>
      <c r="U23"/>
    </row>
    <row r="24" spans="3:21" s="1099" customFormat="1" ht="26.5">
      <c r="C24" s="1099">
        <v>2100</v>
      </c>
      <c r="D24" s="1099" t="s">
        <v>120</v>
      </c>
      <c r="E24" s="1099">
        <v>2110</v>
      </c>
      <c r="F24" s="1099" t="s">
        <v>122</v>
      </c>
      <c r="G24" s="1099">
        <v>2110</v>
      </c>
      <c r="H24" s="1100" t="s">
        <v>122</v>
      </c>
      <c r="I24" s="1270"/>
      <c r="J24" s="1270"/>
      <c r="K24" s="1270"/>
      <c r="L24" s="1270"/>
      <c r="M24" s="1270"/>
      <c r="N24" s="1270"/>
      <c r="O24"/>
      <c r="P24"/>
      <c r="Q24"/>
      <c r="R24"/>
      <c r="S24"/>
      <c r="T24"/>
      <c r="U24"/>
    </row>
    <row r="25" spans="3:21" s="1099" customFormat="1">
      <c r="E25" s="1099">
        <v>2130</v>
      </c>
      <c r="F25" s="1099" t="s">
        <v>148</v>
      </c>
      <c r="G25" s="1099">
        <v>2131</v>
      </c>
      <c r="H25" s="1100" t="s">
        <v>149</v>
      </c>
      <c r="I25" s="1270"/>
      <c r="J25" s="1270"/>
      <c r="K25" s="1270"/>
      <c r="L25" s="1270"/>
      <c r="M25" s="1270"/>
      <c r="N25" s="1270"/>
      <c r="O25"/>
      <c r="P25"/>
      <c r="Q25"/>
      <c r="R25"/>
      <c r="S25"/>
      <c r="T25"/>
      <c r="U25"/>
    </row>
    <row r="26" spans="3:21" s="1099" customFormat="1">
      <c r="G26" s="1099">
        <v>2133</v>
      </c>
      <c r="H26" s="1100" t="s">
        <v>3485</v>
      </c>
      <c r="I26" s="1270"/>
      <c r="J26" s="1270"/>
      <c r="K26" s="1270"/>
      <c r="L26" s="1270"/>
      <c r="M26" s="1270"/>
      <c r="N26" s="1270"/>
      <c r="O26"/>
      <c r="P26"/>
      <c r="Q26"/>
      <c r="R26"/>
      <c r="S26"/>
      <c r="T26"/>
      <c r="U26"/>
    </row>
    <row r="27" spans="3:21" s="1099" customFormat="1">
      <c r="G27" s="1099">
        <v>2134</v>
      </c>
      <c r="H27" s="1100" t="s">
        <v>3347</v>
      </c>
      <c r="I27" s="1270"/>
      <c r="J27" s="1270"/>
      <c r="K27" s="1270"/>
      <c r="L27" s="1270"/>
      <c r="M27" s="1270"/>
      <c r="N27" s="1270"/>
      <c r="O27"/>
      <c r="P27"/>
      <c r="Q27"/>
      <c r="R27"/>
      <c r="S27"/>
      <c r="T27"/>
      <c r="U27"/>
    </row>
    <row r="28" spans="3:21" s="1099" customFormat="1">
      <c r="G28" s="1099">
        <v>2136</v>
      </c>
      <c r="H28" s="1100" t="s">
        <v>119</v>
      </c>
      <c r="I28" s="1270"/>
      <c r="J28" s="1270"/>
      <c r="K28" s="1270"/>
      <c r="L28" s="1270"/>
      <c r="M28" s="1270"/>
      <c r="N28" s="1270"/>
      <c r="O28"/>
      <c r="P28"/>
      <c r="Q28"/>
      <c r="R28"/>
      <c r="S28"/>
      <c r="T28"/>
      <c r="U28"/>
    </row>
    <row r="29" spans="3:21" s="1099" customFormat="1">
      <c r="G29" s="1099">
        <v>2138</v>
      </c>
      <c r="H29" s="1100" t="s">
        <v>1245</v>
      </c>
      <c r="I29" s="1270"/>
      <c r="J29" s="1270"/>
      <c r="K29" s="1270"/>
      <c r="L29" s="1270"/>
      <c r="M29" s="1270"/>
      <c r="N29" s="1270"/>
      <c r="O29"/>
      <c r="P29"/>
      <c r="Q29"/>
      <c r="R29"/>
      <c r="S29"/>
      <c r="T29"/>
      <c r="U29"/>
    </row>
    <row r="30" spans="3:21" s="1099" customFormat="1">
      <c r="G30" s="1099">
        <v>2139</v>
      </c>
      <c r="H30" s="1100" t="s">
        <v>172</v>
      </c>
      <c r="I30" s="1270"/>
      <c r="J30" s="1270"/>
      <c r="K30" s="1270"/>
      <c r="L30" s="1270"/>
      <c r="M30" s="1270"/>
      <c r="N30" s="1270"/>
      <c r="O30"/>
      <c r="P30"/>
      <c r="Q30"/>
      <c r="R30"/>
      <c r="S30"/>
      <c r="T30"/>
      <c r="U30"/>
    </row>
    <row r="31" spans="3:21" s="1099" customFormat="1">
      <c r="E31" s="1099">
        <v>2140</v>
      </c>
      <c r="F31" s="1099" t="s">
        <v>176</v>
      </c>
      <c r="G31" s="1099">
        <v>2140</v>
      </c>
      <c r="H31" s="1100" t="s">
        <v>176</v>
      </c>
      <c r="I31" s="1270"/>
      <c r="J31" s="1270"/>
      <c r="K31" s="1270"/>
      <c r="L31" s="1270"/>
      <c r="M31" s="1270"/>
      <c r="N31" s="1270"/>
      <c r="O31"/>
      <c r="P31"/>
      <c r="Q31"/>
      <c r="R31"/>
      <c r="S31"/>
      <c r="T31"/>
      <c r="U31"/>
    </row>
    <row r="32" spans="3:21" s="1099" customFormat="1" ht="26.5">
      <c r="G32" s="1099">
        <v>2142</v>
      </c>
      <c r="H32" s="1100" t="s">
        <v>3491</v>
      </c>
      <c r="I32" s="1270"/>
      <c r="J32" s="1270"/>
      <c r="K32" s="1270"/>
      <c r="L32" s="1270"/>
      <c r="M32" s="1270"/>
      <c r="N32" s="1270"/>
      <c r="O32"/>
      <c r="P32"/>
      <c r="Q32"/>
      <c r="R32"/>
      <c r="S32"/>
      <c r="T32"/>
      <c r="U32"/>
    </row>
    <row r="33" spans="3:21" s="1099" customFormat="1" ht="26.5">
      <c r="E33" s="1099" t="s">
        <v>133</v>
      </c>
      <c r="F33" s="1099" t="s">
        <v>122</v>
      </c>
      <c r="G33" s="1099">
        <v>2110</v>
      </c>
      <c r="H33" s="1100" t="s">
        <v>122</v>
      </c>
      <c r="I33" s="1270"/>
      <c r="J33" s="1270"/>
      <c r="K33" s="1270"/>
      <c r="L33" s="1270"/>
      <c r="M33" s="1270"/>
      <c r="N33" s="1270"/>
      <c r="O33"/>
      <c r="P33"/>
      <c r="Q33"/>
      <c r="R33"/>
      <c r="S33"/>
      <c r="T33"/>
      <c r="U33"/>
    </row>
    <row r="34" spans="3:21" s="1099" customFormat="1">
      <c r="E34" s="1099" t="s">
        <v>175</v>
      </c>
      <c r="F34" s="1099" t="s">
        <v>176</v>
      </c>
      <c r="G34" s="1099">
        <v>2140</v>
      </c>
      <c r="H34" s="1100" t="s">
        <v>176</v>
      </c>
      <c r="I34" s="1270"/>
      <c r="J34" s="1270"/>
      <c r="K34" s="1270"/>
      <c r="L34" s="1270"/>
      <c r="M34" s="1270"/>
      <c r="N34" s="1270"/>
      <c r="O34"/>
      <c r="P34"/>
      <c r="Q34"/>
      <c r="R34"/>
      <c r="S34"/>
      <c r="T34"/>
      <c r="U34"/>
    </row>
    <row r="35" spans="3:21" s="1099" customFormat="1" ht="26.5">
      <c r="G35" s="1099">
        <v>2142</v>
      </c>
      <c r="H35" s="1100" t="s">
        <v>3491</v>
      </c>
      <c r="I35" s="1270"/>
      <c r="J35" s="1270"/>
      <c r="K35" s="1270"/>
      <c r="L35" s="1270"/>
      <c r="M35" s="1270"/>
      <c r="N35" s="1270"/>
      <c r="O35"/>
      <c r="P35"/>
      <c r="Q35"/>
      <c r="R35"/>
      <c r="S35"/>
      <c r="T35"/>
      <c r="U35"/>
    </row>
    <row r="36" spans="3:21" s="1099" customFormat="1">
      <c r="G36" s="1099">
        <v>2143</v>
      </c>
      <c r="H36" s="1100" t="s">
        <v>3494</v>
      </c>
      <c r="I36" s="1270"/>
      <c r="J36" s="1270"/>
      <c r="K36" s="1270"/>
      <c r="L36" s="1270"/>
      <c r="M36" s="1270"/>
      <c r="N36" s="1270"/>
      <c r="O36"/>
      <c r="P36"/>
      <c r="Q36"/>
      <c r="R36"/>
      <c r="S36"/>
      <c r="T36"/>
      <c r="U36"/>
    </row>
    <row r="37" spans="3:21" s="1099" customFormat="1">
      <c r="G37" s="1099">
        <v>2144</v>
      </c>
      <c r="H37" s="1100" t="s">
        <v>3495</v>
      </c>
      <c r="I37" s="1270"/>
      <c r="J37" s="1270"/>
      <c r="K37" s="1270"/>
      <c r="L37" s="1270"/>
      <c r="M37" s="1270"/>
      <c r="N37" s="1270"/>
      <c r="O37"/>
      <c r="P37"/>
      <c r="Q37"/>
      <c r="R37"/>
      <c r="S37"/>
      <c r="T37"/>
      <c r="U37"/>
    </row>
    <row r="38" spans="3:21" s="1099" customFormat="1">
      <c r="G38" s="1099" t="s">
        <v>3684</v>
      </c>
      <c r="H38" s="1100" t="s">
        <v>176</v>
      </c>
      <c r="I38" s="1270"/>
      <c r="J38" s="1270"/>
      <c r="K38" s="1270"/>
      <c r="L38" s="1270"/>
      <c r="M38" s="1270"/>
      <c r="N38" s="1270"/>
      <c r="O38"/>
      <c r="P38"/>
      <c r="Q38"/>
      <c r="R38"/>
      <c r="S38"/>
      <c r="T38"/>
      <c r="U38"/>
    </row>
    <row r="39" spans="3:21" s="1099" customFormat="1" ht="26.5">
      <c r="G39" s="1099" t="s">
        <v>3703</v>
      </c>
      <c r="H39" s="1100" t="s">
        <v>3491</v>
      </c>
      <c r="I39" s="1270"/>
      <c r="J39" s="1270"/>
      <c r="K39" s="1270"/>
      <c r="L39" s="1270"/>
      <c r="M39" s="1270"/>
      <c r="N39" s="1270"/>
      <c r="O39"/>
      <c r="P39"/>
      <c r="Q39"/>
      <c r="R39"/>
      <c r="S39"/>
      <c r="T39"/>
      <c r="U39"/>
    </row>
    <row r="40" spans="3:21" s="1099" customFormat="1">
      <c r="G40" s="1099" t="s">
        <v>3750</v>
      </c>
      <c r="H40" s="1100" t="s">
        <v>3494</v>
      </c>
      <c r="I40" s="1270"/>
      <c r="J40" s="1270"/>
      <c r="K40" s="1270"/>
      <c r="L40" s="1270"/>
      <c r="M40" s="1270"/>
      <c r="N40" s="1270"/>
      <c r="O40"/>
      <c r="P40"/>
      <c r="Q40"/>
      <c r="R40"/>
      <c r="S40"/>
      <c r="T40"/>
      <c r="U40"/>
    </row>
    <row r="41" spans="3:21" s="1099" customFormat="1">
      <c r="G41" s="1099" t="s">
        <v>3878</v>
      </c>
      <c r="H41" s="1100" t="s">
        <v>3495</v>
      </c>
      <c r="I41" s="1270"/>
      <c r="J41" s="1270"/>
      <c r="K41" s="1270"/>
      <c r="L41" s="1270"/>
      <c r="M41" s="1270"/>
      <c r="N41" s="1270"/>
      <c r="O41"/>
      <c r="P41"/>
      <c r="Q41"/>
      <c r="R41"/>
      <c r="S41"/>
      <c r="T41"/>
      <c r="U41"/>
    </row>
    <row r="42" spans="3:21" s="1099" customFormat="1">
      <c r="E42" s="1099" t="s">
        <v>3347</v>
      </c>
      <c r="F42" s="1099" t="s">
        <v>3347</v>
      </c>
      <c r="G42" s="1099" t="s">
        <v>3347</v>
      </c>
      <c r="H42" s="1100" t="s">
        <v>3347</v>
      </c>
      <c r="I42" s="1270"/>
      <c r="J42" s="1270"/>
      <c r="K42" s="1270"/>
      <c r="L42" s="1270"/>
      <c r="M42" s="1270"/>
      <c r="N42" s="1270"/>
      <c r="O42"/>
      <c r="P42"/>
      <c r="Q42"/>
      <c r="R42"/>
      <c r="S42"/>
      <c r="T42"/>
      <c r="U42"/>
    </row>
    <row r="43" spans="3:21" s="1099" customFormat="1" ht="26.5">
      <c r="C43" s="1099">
        <v>2200</v>
      </c>
      <c r="D43" s="1099" t="s">
        <v>208</v>
      </c>
      <c r="E43" s="1099">
        <v>2220</v>
      </c>
      <c r="F43" s="1099" t="s">
        <v>210</v>
      </c>
      <c r="G43" s="1099">
        <v>2221</v>
      </c>
      <c r="H43" s="1100" t="s">
        <v>3496</v>
      </c>
      <c r="I43" s="1270"/>
      <c r="J43" s="1270"/>
      <c r="K43" s="1270"/>
      <c r="L43" s="1270"/>
      <c r="M43" s="1270"/>
      <c r="N43" s="1270"/>
      <c r="O43"/>
      <c r="P43"/>
      <c r="Q43"/>
      <c r="R43"/>
      <c r="S43"/>
      <c r="T43"/>
      <c r="U43"/>
    </row>
    <row r="44" spans="3:21" s="1099" customFormat="1">
      <c r="G44" s="1099">
        <v>2225</v>
      </c>
      <c r="H44" s="1100" t="s">
        <v>3498</v>
      </c>
      <c r="I44" s="1270"/>
      <c r="J44" s="1270"/>
      <c r="K44" s="1270"/>
      <c r="L44" s="1270"/>
      <c r="M44" s="1270"/>
      <c r="N44" s="1270"/>
      <c r="O44"/>
      <c r="P44"/>
      <c r="Q44"/>
      <c r="R44"/>
      <c r="S44"/>
      <c r="T44"/>
      <c r="U44"/>
    </row>
    <row r="45" spans="3:21" s="1099" customFormat="1">
      <c r="G45" s="1099">
        <v>2230</v>
      </c>
      <c r="H45" s="1100" t="s">
        <v>3499</v>
      </c>
      <c r="I45" s="1270"/>
      <c r="J45" s="1270"/>
      <c r="K45" s="1270"/>
      <c r="L45" s="1270"/>
      <c r="M45" s="1270"/>
      <c r="N45" s="1270"/>
      <c r="O45"/>
      <c r="P45"/>
      <c r="Q45"/>
      <c r="R45"/>
      <c r="S45"/>
      <c r="T45"/>
      <c r="U45"/>
    </row>
    <row r="46" spans="3:21" s="1099" customFormat="1">
      <c r="E46" s="1099">
        <v>2240</v>
      </c>
      <c r="F46" s="1099" t="s">
        <v>3500</v>
      </c>
      <c r="G46" s="1099">
        <v>2240</v>
      </c>
      <c r="H46" s="1100" t="s">
        <v>3500</v>
      </c>
      <c r="I46" s="1270"/>
      <c r="J46" s="1270"/>
      <c r="K46" s="1270"/>
      <c r="L46" s="1270"/>
      <c r="M46" s="1270"/>
      <c r="N46" s="1270"/>
      <c r="O46"/>
      <c r="P46"/>
      <c r="Q46"/>
      <c r="R46"/>
      <c r="S46"/>
      <c r="T46"/>
      <c r="U46"/>
    </row>
    <row r="47" spans="3:21" s="1099" customFormat="1">
      <c r="E47" s="1099" t="s">
        <v>209</v>
      </c>
      <c r="F47" s="1099" t="s">
        <v>210</v>
      </c>
      <c r="G47" s="1099" t="s">
        <v>211</v>
      </c>
      <c r="H47" s="1100" t="s">
        <v>212</v>
      </c>
      <c r="I47" s="1270"/>
      <c r="J47" s="1270"/>
      <c r="K47" s="1270"/>
      <c r="L47" s="1270"/>
      <c r="M47" s="1270"/>
      <c r="N47" s="1270"/>
      <c r="O47"/>
      <c r="P47"/>
      <c r="Q47"/>
      <c r="R47"/>
      <c r="S47"/>
      <c r="T47"/>
      <c r="U47"/>
    </row>
    <row r="48" spans="3:21" s="1099" customFormat="1">
      <c r="E48" s="1099" t="s">
        <v>3347</v>
      </c>
      <c r="F48" s="1099" t="s">
        <v>3347</v>
      </c>
      <c r="G48" s="1099" t="s">
        <v>3347</v>
      </c>
      <c r="H48" s="1100" t="s">
        <v>3347</v>
      </c>
      <c r="I48" s="1270"/>
      <c r="J48" s="1270"/>
      <c r="K48" s="1270"/>
      <c r="L48" s="1270"/>
      <c r="M48" s="1270"/>
      <c r="N48" s="1270"/>
      <c r="O48"/>
      <c r="P48"/>
      <c r="Q48"/>
      <c r="R48"/>
      <c r="S48"/>
      <c r="T48"/>
      <c r="U48"/>
    </row>
    <row r="49" spans="2:21" s="1099" customFormat="1">
      <c r="C49" s="1099">
        <v>2300</v>
      </c>
      <c r="D49" s="1099" t="s">
        <v>222</v>
      </c>
      <c r="E49" s="1099">
        <v>2340</v>
      </c>
      <c r="F49" s="1099" t="s">
        <v>224</v>
      </c>
      <c r="G49" s="1099">
        <v>2345</v>
      </c>
      <c r="H49" s="1100" t="s">
        <v>254</v>
      </c>
      <c r="I49" s="1270"/>
      <c r="J49" s="1270"/>
      <c r="K49" s="1270"/>
      <c r="L49" s="1270"/>
      <c r="M49" s="1270"/>
      <c r="N49" s="1270"/>
      <c r="O49"/>
      <c r="P49"/>
      <c r="Q49"/>
      <c r="R49"/>
      <c r="S49"/>
      <c r="T49"/>
      <c r="U49"/>
    </row>
    <row r="50" spans="2:21" s="1099" customFormat="1">
      <c r="G50" s="1099" t="s">
        <v>244</v>
      </c>
      <c r="H50" s="1100" t="s">
        <v>245</v>
      </c>
      <c r="I50" s="1270"/>
      <c r="J50" s="1270"/>
      <c r="K50" s="1270"/>
      <c r="L50" s="1270"/>
      <c r="M50" s="1270"/>
      <c r="N50" s="1270"/>
      <c r="O50"/>
      <c r="P50"/>
      <c r="Q50"/>
      <c r="R50"/>
      <c r="S50"/>
      <c r="T50"/>
      <c r="U50"/>
    </row>
    <row r="51" spans="2:21" s="1099" customFormat="1">
      <c r="E51" s="1099" t="s">
        <v>223</v>
      </c>
      <c r="F51" s="1099" t="s">
        <v>224</v>
      </c>
      <c r="G51" s="1099">
        <v>2341</v>
      </c>
      <c r="H51" s="1100" t="s">
        <v>245</v>
      </c>
      <c r="I51" s="1270"/>
      <c r="J51" s="1270"/>
      <c r="K51" s="1270"/>
      <c r="L51" s="1270"/>
      <c r="M51" s="1270"/>
      <c r="N51" s="1270"/>
      <c r="O51"/>
      <c r="P51"/>
      <c r="Q51"/>
      <c r="R51"/>
      <c r="S51"/>
      <c r="T51"/>
      <c r="U51"/>
    </row>
    <row r="52" spans="2:21" s="1099" customFormat="1">
      <c r="G52" s="1099">
        <v>2342</v>
      </c>
      <c r="H52" s="1100" t="s">
        <v>226</v>
      </c>
      <c r="I52" s="1270"/>
      <c r="J52" s="1270"/>
      <c r="K52" s="1270"/>
      <c r="L52" s="1270"/>
      <c r="M52" s="1270"/>
      <c r="N52" s="1270"/>
      <c r="O52"/>
      <c r="P52"/>
      <c r="Q52"/>
      <c r="R52"/>
      <c r="S52"/>
      <c r="T52"/>
      <c r="U52"/>
    </row>
    <row r="53" spans="2:21" s="1099" customFormat="1">
      <c r="G53" s="1099" t="s">
        <v>244</v>
      </c>
      <c r="H53" s="1100" t="s">
        <v>245</v>
      </c>
      <c r="I53" s="1270"/>
      <c r="J53" s="1270"/>
      <c r="K53" s="1270"/>
      <c r="L53" s="1270"/>
      <c r="M53" s="1270"/>
      <c r="N53" s="1270"/>
      <c r="O53"/>
      <c r="P53"/>
      <c r="Q53"/>
      <c r="R53"/>
      <c r="S53"/>
      <c r="T53"/>
      <c r="U53"/>
    </row>
    <row r="54" spans="2:21" s="1099" customFormat="1">
      <c r="G54" s="1099" t="s">
        <v>233</v>
      </c>
      <c r="H54" s="1100" t="s">
        <v>226</v>
      </c>
      <c r="I54" s="1270"/>
      <c r="J54" s="1270"/>
      <c r="K54" s="1270"/>
      <c r="L54" s="1270"/>
      <c r="M54" s="1270"/>
      <c r="N54" s="1270"/>
      <c r="O54"/>
      <c r="P54"/>
      <c r="Q54"/>
      <c r="R54"/>
      <c r="S54"/>
      <c r="T54"/>
      <c r="U54"/>
    </row>
    <row r="55" spans="2:21" s="1099" customFormat="1">
      <c r="G55" s="1099" t="s">
        <v>225</v>
      </c>
      <c r="H55" s="1100" t="s">
        <v>226</v>
      </c>
      <c r="I55" s="1270"/>
      <c r="J55" s="1270"/>
      <c r="K55" s="1270"/>
      <c r="L55" s="1270"/>
      <c r="M55" s="1270"/>
      <c r="N55" s="1270"/>
      <c r="O55"/>
      <c r="P55"/>
      <c r="Q55"/>
      <c r="R55"/>
      <c r="S55"/>
      <c r="T55"/>
      <c r="U55"/>
    </row>
    <row r="56" spans="2:21" s="1099" customFormat="1">
      <c r="E56" s="1099" t="s">
        <v>263</v>
      </c>
      <c r="F56" s="1099" t="s">
        <v>264</v>
      </c>
      <c r="G56" s="1099" t="s">
        <v>265</v>
      </c>
      <c r="H56" s="1100" t="s">
        <v>266</v>
      </c>
      <c r="I56" s="1270"/>
      <c r="J56" s="1270"/>
      <c r="K56" s="1270"/>
      <c r="L56" s="1270"/>
      <c r="M56" s="1270"/>
      <c r="N56" s="1270"/>
      <c r="O56"/>
      <c r="P56"/>
      <c r="Q56"/>
      <c r="R56"/>
      <c r="S56"/>
      <c r="T56"/>
      <c r="U56"/>
    </row>
    <row r="57" spans="2:21">
      <c r="B57" s="1099"/>
      <c r="C57" s="1099"/>
      <c r="D57" s="1099"/>
      <c r="E57" s="1099"/>
      <c r="F57" s="1099"/>
      <c r="G57" s="1099" t="s">
        <v>280</v>
      </c>
      <c r="H57" s="1100" t="s">
        <v>266</v>
      </c>
      <c r="I57" s="1270"/>
      <c r="J57" s="1270"/>
      <c r="K57" s="1270"/>
      <c r="L57" s="1270"/>
      <c r="M57" s="1270"/>
      <c r="N57" s="1270"/>
    </row>
    <row r="58" spans="2:21" s="1099" customFormat="1">
      <c r="E58" s="1099" t="s">
        <v>3347</v>
      </c>
      <c r="F58" s="1099" t="s">
        <v>3347</v>
      </c>
      <c r="G58" s="1099" t="s">
        <v>3347</v>
      </c>
      <c r="H58" s="1100" t="s">
        <v>3347</v>
      </c>
      <c r="I58" s="1270"/>
      <c r="J58" s="1270"/>
      <c r="K58" s="1270"/>
      <c r="L58" s="1270"/>
      <c r="M58" s="1270"/>
      <c r="N58" s="1270"/>
      <c r="O58"/>
      <c r="P58"/>
      <c r="Q58"/>
      <c r="R58"/>
      <c r="S58"/>
      <c r="T58"/>
      <c r="U58"/>
    </row>
    <row r="59" spans="2:21" s="1099" customFormat="1">
      <c r="C59" s="1099">
        <v>2400</v>
      </c>
      <c r="D59" s="1099" t="s">
        <v>451</v>
      </c>
      <c r="E59" s="1099">
        <v>2430</v>
      </c>
      <c r="F59" s="1099" t="s">
        <v>1511</v>
      </c>
      <c r="G59" s="1099">
        <v>2430</v>
      </c>
      <c r="H59" s="1100" t="s">
        <v>1511</v>
      </c>
      <c r="I59" s="1270"/>
      <c r="J59" s="1270"/>
      <c r="K59" s="1270"/>
      <c r="L59" s="1270"/>
      <c r="M59" s="1270"/>
      <c r="N59" s="1270"/>
      <c r="O59"/>
      <c r="P59"/>
      <c r="Q59"/>
      <c r="R59"/>
      <c r="S59"/>
      <c r="T59"/>
      <c r="U59"/>
    </row>
    <row r="60" spans="2:21" s="1099" customFormat="1">
      <c r="G60" s="1099">
        <v>2435</v>
      </c>
      <c r="H60" s="1100" t="s">
        <v>1538</v>
      </c>
      <c r="I60" s="1270"/>
      <c r="J60" s="1270"/>
      <c r="K60" s="1270"/>
      <c r="L60" s="1270"/>
      <c r="M60" s="1270"/>
      <c r="N60" s="1270"/>
      <c r="O60"/>
      <c r="P60"/>
      <c r="Q60"/>
      <c r="R60"/>
      <c r="S60"/>
      <c r="T60"/>
      <c r="U60"/>
    </row>
    <row r="61" spans="2:21" s="1099" customFormat="1">
      <c r="E61" s="1099" t="s">
        <v>3347</v>
      </c>
      <c r="F61" s="1099" t="s">
        <v>3347</v>
      </c>
      <c r="G61" s="1099" t="s">
        <v>3347</v>
      </c>
      <c r="H61" s="1100" t="s">
        <v>3347</v>
      </c>
      <c r="I61" s="1270"/>
      <c r="J61" s="1270"/>
      <c r="K61" s="1270"/>
      <c r="L61" s="1270"/>
      <c r="M61" s="1270"/>
      <c r="N61" s="1270"/>
      <c r="O61"/>
      <c r="P61"/>
      <c r="Q61"/>
      <c r="R61"/>
      <c r="S61"/>
      <c r="T61"/>
      <c r="U61"/>
    </row>
    <row r="62" spans="2:21" s="1099" customFormat="1">
      <c r="C62" s="1099">
        <v>2600</v>
      </c>
      <c r="D62" s="1099" t="s">
        <v>838</v>
      </c>
      <c r="E62" s="1099">
        <v>2610</v>
      </c>
      <c r="F62" s="1099" t="s">
        <v>840</v>
      </c>
      <c r="G62" s="1099">
        <v>2611</v>
      </c>
      <c r="H62" s="1100" t="s">
        <v>877</v>
      </c>
      <c r="I62" s="1270"/>
      <c r="J62" s="1270"/>
      <c r="K62" s="1270"/>
      <c r="L62" s="1270"/>
      <c r="M62" s="1270"/>
      <c r="N62" s="1270"/>
      <c r="O62"/>
      <c r="P62"/>
      <c r="Q62"/>
      <c r="R62"/>
      <c r="S62"/>
      <c r="T62"/>
      <c r="U62"/>
    </row>
    <row r="63" spans="2:21" s="1099" customFormat="1">
      <c r="E63" s="1099" t="s">
        <v>839</v>
      </c>
      <c r="F63" s="1099" t="s">
        <v>840</v>
      </c>
      <c r="G63" s="1099">
        <v>2614</v>
      </c>
      <c r="H63" s="1100" t="s">
        <v>880</v>
      </c>
      <c r="I63" s="1270"/>
      <c r="J63" s="1270"/>
      <c r="K63" s="1270"/>
      <c r="L63" s="1270"/>
      <c r="M63" s="1270"/>
      <c r="N63" s="1270"/>
      <c r="O63"/>
      <c r="P63"/>
      <c r="Q63"/>
      <c r="R63"/>
      <c r="S63"/>
      <c r="T63"/>
      <c r="U63"/>
    </row>
    <row r="64" spans="2:21" s="1099" customFormat="1">
      <c r="G64" s="1099" t="s">
        <v>4356</v>
      </c>
      <c r="H64" s="1100" t="s">
        <v>840</v>
      </c>
      <c r="I64" s="1270"/>
      <c r="J64" s="1270"/>
      <c r="K64" s="1270"/>
      <c r="L64" s="1270"/>
      <c r="M64" s="1270"/>
      <c r="N64" s="1270"/>
      <c r="O64"/>
      <c r="P64"/>
      <c r="Q64"/>
      <c r="R64"/>
      <c r="S64"/>
      <c r="T64"/>
      <c r="U64"/>
    </row>
    <row r="65" spans="3:21" s="1099" customFormat="1">
      <c r="G65" s="1099" t="s">
        <v>861</v>
      </c>
      <c r="H65" s="1100" t="s">
        <v>842</v>
      </c>
      <c r="I65" s="1270"/>
      <c r="J65" s="1270"/>
      <c r="K65" s="1270"/>
      <c r="L65" s="1270"/>
      <c r="M65" s="1270"/>
      <c r="N65" s="1270"/>
      <c r="O65"/>
      <c r="P65"/>
      <c r="Q65"/>
      <c r="R65"/>
      <c r="S65"/>
      <c r="T65"/>
      <c r="U65"/>
    </row>
    <row r="66" spans="3:21" s="1099" customFormat="1">
      <c r="G66" s="1099" t="s">
        <v>841</v>
      </c>
      <c r="H66" s="1100" t="s">
        <v>842</v>
      </c>
      <c r="I66" s="1270"/>
      <c r="J66" s="1270"/>
      <c r="K66" s="1270"/>
      <c r="L66" s="1270"/>
      <c r="M66" s="1270"/>
      <c r="N66" s="1270"/>
      <c r="O66"/>
      <c r="P66"/>
      <c r="Q66"/>
      <c r="R66"/>
      <c r="S66"/>
      <c r="T66"/>
      <c r="U66"/>
    </row>
    <row r="67" spans="3:21" s="1099" customFormat="1">
      <c r="G67" s="1099" t="s">
        <v>892</v>
      </c>
      <c r="H67" s="1100" t="s">
        <v>880</v>
      </c>
      <c r="I67" s="1270"/>
      <c r="J67" s="1270"/>
      <c r="K67" s="1270"/>
      <c r="L67" s="1270"/>
      <c r="M67" s="1270"/>
      <c r="N67" s="1270"/>
      <c r="O67"/>
      <c r="P67"/>
      <c r="Q67"/>
      <c r="R67"/>
      <c r="S67"/>
      <c r="T67"/>
      <c r="U67"/>
    </row>
    <row r="68" spans="3:21" s="1099" customFormat="1">
      <c r="G68" s="1099" t="s">
        <v>879</v>
      </c>
      <c r="H68" s="1100" t="s">
        <v>880</v>
      </c>
      <c r="I68" s="1270"/>
      <c r="J68" s="1270"/>
      <c r="K68" s="1270"/>
      <c r="L68" s="1270"/>
      <c r="M68" s="1270"/>
      <c r="N68" s="1270"/>
      <c r="O68"/>
      <c r="P68"/>
      <c r="Q68"/>
      <c r="R68"/>
      <c r="S68"/>
      <c r="T68"/>
      <c r="U68"/>
    </row>
    <row r="69" spans="3:21" s="1099" customFormat="1">
      <c r="G69" s="1099" t="s">
        <v>901</v>
      </c>
      <c r="H69" s="1100" t="s">
        <v>902</v>
      </c>
      <c r="I69" s="1270"/>
      <c r="J69" s="1270"/>
      <c r="K69" s="1270"/>
      <c r="L69" s="1270"/>
      <c r="M69" s="1270"/>
      <c r="N69" s="1270"/>
      <c r="O69"/>
      <c r="P69"/>
      <c r="Q69"/>
      <c r="R69"/>
      <c r="S69"/>
      <c r="T69"/>
      <c r="U69"/>
    </row>
    <row r="70" spans="3:21" s="1099" customFormat="1">
      <c r="G70" s="1099" t="s">
        <v>4395</v>
      </c>
      <c r="H70" s="1100" t="s">
        <v>701</v>
      </c>
      <c r="I70" s="1270"/>
      <c r="J70" s="1270"/>
      <c r="K70" s="1270"/>
      <c r="L70" s="1270"/>
      <c r="M70" s="1270"/>
      <c r="N70" s="1270"/>
      <c r="O70"/>
      <c r="P70"/>
      <c r="Q70"/>
      <c r="R70"/>
      <c r="S70"/>
      <c r="T70"/>
      <c r="U70"/>
    </row>
    <row r="71" spans="3:21" s="1099" customFormat="1">
      <c r="G71" s="1099">
        <v>2616</v>
      </c>
      <c r="H71" s="1100" t="s">
        <v>910</v>
      </c>
      <c r="I71" s="1270"/>
      <c r="J71" s="1270"/>
      <c r="K71" s="1270"/>
      <c r="L71" s="1270"/>
      <c r="M71" s="1270"/>
      <c r="N71" s="1270"/>
      <c r="O71"/>
      <c r="P71"/>
      <c r="Q71"/>
      <c r="R71"/>
      <c r="S71"/>
      <c r="T71"/>
      <c r="U71"/>
    </row>
    <row r="72" spans="3:21" s="1099" customFormat="1">
      <c r="E72" s="1099" t="s">
        <v>3347</v>
      </c>
      <c r="F72" s="1099" t="s">
        <v>3347</v>
      </c>
      <c r="G72" s="1099" t="s">
        <v>3347</v>
      </c>
      <c r="H72" s="1100" t="s">
        <v>3347</v>
      </c>
      <c r="I72" s="1270"/>
      <c r="J72" s="1270"/>
      <c r="K72" s="1270"/>
      <c r="L72" s="1270"/>
      <c r="M72" s="1270"/>
      <c r="N72" s="1270"/>
      <c r="O72"/>
      <c r="P72"/>
      <c r="Q72"/>
      <c r="R72"/>
      <c r="S72"/>
      <c r="T72"/>
      <c r="U72"/>
    </row>
    <row r="73" spans="3:21" s="1099" customFormat="1">
      <c r="C73" s="1099">
        <v>2700</v>
      </c>
      <c r="D73" s="1099" t="s">
        <v>912</v>
      </c>
      <c r="E73" s="1099">
        <v>2730</v>
      </c>
      <c r="F73" s="1099" t="s">
        <v>958</v>
      </c>
      <c r="G73" s="1099">
        <v>2731</v>
      </c>
      <c r="H73" s="1100" t="s">
        <v>1010</v>
      </c>
      <c r="I73" s="1270"/>
      <c r="J73" s="1270"/>
      <c r="K73" s="1270"/>
      <c r="L73" s="1270"/>
      <c r="M73" s="1270"/>
      <c r="N73" s="1270"/>
      <c r="O73"/>
      <c r="P73"/>
      <c r="Q73"/>
      <c r="R73"/>
      <c r="S73"/>
      <c r="T73"/>
      <c r="U73"/>
    </row>
    <row r="74" spans="3:21" s="1099" customFormat="1">
      <c r="G74" s="1099">
        <v>2735</v>
      </c>
      <c r="H74" s="1100" t="s">
        <v>959</v>
      </c>
      <c r="I74" s="1270"/>
      <c r="J74" s="1270"/>
      <c r="K74" s="1270"/>
      <c r="L74" s="1270"/>
      <c r="M74" s="1270"/>
      <c r="N74" s="1270"/>
      <c r="O74"/>
      <c r="P74"/>
      <c r="Q74"/>
      <c r="R74"/>
      <c r="S74"/>
      <c r="T74"/>
      <c r="U74"/>
    </row>
    <row r="75" spans="3:21" s="1099" customFormat="1">
      <c r="E75" s="1099" t="s">
        <v>839</v>
      </c>
      <c r="F75" s="1099" t="s">
        <v>840</v>
      </c>
      <c r="G75" s="1099" t="s">
        <v>841</v>
      </c>
      <c r="H75" s="1100" t="s">
        <v>842</v>
      </c>
      <c r="I75" s="1270"/>
      <c r="J75" s="1270"/>
      <c r="K75" s="1270"/>
      <c r="L75" s="1270"/>
      <c r="M75" s="1270"/>
      <c r="N75" s="1270"/>
      <c r="O75"/>
      <c r="P75"/>
      <c r="Q75"/>
      <c r="R75"/>
      <c r="S75"/>
      <c r="T75"/>
      <c r="U75"/>
    </row>
    <row r="76" spans="3:21" s="1099" customFormat="1">
      <c r="E76" s="1099" t="s">
        <v>922</v>
      </c>
      <c r="F76" s="1099" t="s">
        <v>923</v>
      </c>
      <c r="G76" s="1099">
        <v>2720</v>
      </c>
      <c r="H76" s="1100" t="s">
        <v>923</v>
      </c>
      <c r="I76" s="1270"/>
      <c r="J76" s="1270"/>
      <c r="K76" s="1270"/>
      <c r="L76" s="1270"/>
      <c r="M76" s="1270"/>
      <c r="N76" s="1270"/>
      <c r="O76"/>
      <c r="P76"/>
      <c r="Q76"/>
      <c r="R76"/>
      <c r="S76"/>
      <c r="T76"/>
      <c r="U76"/>
    </row>
    <row r="77" spans="3:21" s="1099" customFormat="1">
      <c r="G77" s="1099" t="s">
        <v>922</v>
      </c>
      <c r="H77" s="1100" t="s">
        <v>923</v>
      </c>
      <c r="I77" s="1270"/>
      <c r="J77" s="1270"/>
      <c r="K77" s="1270"/>
      <c r="L77" s="1270"/>
      <c r="M77" s="1270"/>
      <c r="N77" s="1270"/>
      <c r="O77"/>
      <c r="P77"/>
      <c r="Q77"/>
      <c r="R77"/>
      <c r="S77"/>
      <c r="T77"/>
      <c r="U77"/>
    </row>
    <row r="78" spans="3:21" s="1099" customFormat="1">
      <c r="G78" s="1099" t="s">
        <v>929</v>
      </c>
      <c r="H78" s="1100" t="s">
        <v>923</v>
      </c>
      <c r="I78" s="1270"/>
      <c r="J78" s="1270"/>
      <c r="K78" s="1270"/>
      <c r="L78" s="1270"/>
      <c r="M78" s="1270"/>
      <c r="N78" s="1270"/>
      <c r="O78"/>
      <c r="P78"/>
      <c r="Q78"/>
      <c r="R78"/>
      <c r="S78"/>
      <c r="T78"/>
      <c r="U78"/>
    </row>
    <row r="79" spans="3:21" s="1099" customFormat="1">
      <c r="E79" s="1099" t="s">
        <v>966</v>
      </c>
      <c r="F79" s="1099" t="s">
        <v>958</v>
      </c>
      <c r="G79" s="1099" t="s">
        <v>967</v>
      </c>
      <c r="H79" s="1100" t="s">
        <v>968</v>
      </c>
      <c r="I79" s="1270"/>
      <c r="J79" s="1270"/>
      <c r="K79" s="1270"/>
      <c r="L79" s="1270"/>
      <c r="M79" s="1270"/>
      <c r="N79" s="1270"/>
      <c r="O79"/>
      <c r="P79"/>
      <c r="Q79"/>
      <c r="R79"/>
      <c r="S79"/>
      <c r="T79"/>
      <c r="U79"/>
    </row>
    <row r="80" spans="3:21" s="1099" customFormat="1">
      <c r="G80" s="1099" t="s">
        <v>975</v>
      </c>
      <c r="H80" s="1100" t="s">
        <v>968</v>
      </c>
      <c r="I80" s="1270"/>
      <c r="J80" s="1270"/>
      <c r="K80" s="1270"/>
      <c r="L80" s="1270"/>
      <c r="M80" s="1270"/>
      <c r="N80" s="1270"/>
      <c r="O80"/>
      <c r="P80"/>
      <c r="Q80"/>
      <c r="R80"/>
      <c r="S80"/>
      <c r="T80"/>
      <c r="U80"/>
    </row>
    <row r="81" spans="1:21">
      <c r="B81" s="1099"/>
      <c r="C81" s="1099"/>
      <c r="D81" s="1099"/>
      <c r="E81" s="1099"/>
      <c r="F81" s="1099"/>
      <c r="G81" s="1099" t="s">
        <v>997</v>
      </c>
      <c r="H81" s="1100" t="s">
        <v>998</v>
      </c>
      <c r="I81" s="1270"/>
      <c r="J81" s="1270"/>
      <c r="K81" s="1270"/>
      <c r="L81" s="1270"/>
      <c r="M81" s="1270"/>
      <c r="N81" s="1270"/>
    </row>
    <row r="82" spans="1:21" s="1099" customFormat="1">
      <c r="G82" s="1099" t="s">
        <v>1002</v>
      </c>
      <c r="H82" s="1100" t="s">
        <v>998</v>
      </c>
      <c r="I82" s="1270"/>
      <c r="J82" s="1270"/>
      <c r="K82" s="1270"/>
      <c r="L82" s="1270"/>
      <c r="M82" s="1270"/>
      <c r="N82" s="1270"/>
      <c r="O82"/>
      <c r="P82"/>
      <c r="Q82"/>
      <c r="R82"/>
      <c r="S82"/>
      <c r="T82"/>
      <c r="U82"/>
    </row>
    <row r="83" spans="1:21" s="1099" customFormat="1">
      <c r="G83" s="1099" t="s">
        <v>6587</v>
      </c>
      <c r="H83" s="1100" t="s">
        <v>1010</v>
      </c>
      <c r="I83" s="1270"/>
      <c r="J83" s="1270"/>
      <c r="K83" s="1270"/>
      <c r="L83" s="1270"/>
      <c r="M83" s="1270"/>
      <c r="N83" s="1270"/>
      <c r="O83"/>
      <c r="P83"/>
      <c r="Q83"/>
      <c r="R83"/>
      <c r="S83"/>
      <c r="T83"/>
      <c r="U83"/>
    </row>
    <row r="84" spans="1:21" s="1099" customFormat="1">
      <c r="E84" s="1099" t="s">
        <v>1026</v>
      </c>
      <c r="F84" s="1099" t="s">
        <v>913</v>
      </c>
      <c r="G84" s="1099">
        <v>2750</v>
      </c>
      <c r="H84" s="1100" t="s">
        <v>913</v>
      </c>
      <c r="I84" s="1270"/>
      <c r="J84" s="1270"/>
      <c r="K84" s="1270"/>
      <c r="L84" s="1270"/>
      <c r="M84" s="1270"/>
      <c r="N84" s="1270"/>
      <c r="O84"/>
      <c r="P84"/>
      <c r="Q84"/>
      <c r="R84"/>
      <c r="S84"/>
      <c r="T84"/>
      <c r="U84"/>
    </row>
    <row r="85" spans="1:21" s="1099" customFormat="1">
      <c r="G85" s="1099" t="s">
        <v>1026</v>
      </c>
      <c r="H85" s="1100" t="s">
        <v>913</v>
      </c>
      <c r="I85" s="1270"/>
      <c r="J85" s="1270"/>
      <c r="K85" s="1270"/>
      <c r="L85" s="1270"/>
      <c r="M85" s="1270"/>
      <c r="N85" s="1270"/>
      <c r="O85"/>
      <c r="P85"/>
      <c r="Q85"/>
      <c r="R85"/>
      <c r="S85"/>
      <c r="T85"/>
      <c r="U85"/>
    </row>
    <row r="86" spans="1:21" s="1099" customFormat="1">
      <c r="E86" s="1099" t="s">
        <v>3347</v>
      </c>
      <c r="F86" s="1099" t="s">
        <v>3347</v>
      </c>
      <c r="G86" s="1099" t="s">
        <v>3347</v>
      </c>
      <c r="H86" s="1100" t="s">
        <v>3347</v>
      </c>
      <c r="I86" s="1270"/>
      <c r="J86" s="1270"/>
      <c r="K86" s="1270"/>
      <c r="L86" s="1270"/>
      <c r="M86" s="1270"/>
      <c r="N86" s="1270"/>
      <c r="O86"/>
      <c r="P86"/>
      <c r="Q86"/>
      <c r="R86"/>
      <c r="S86"/>
      <c r="T86"/>
      <c r="U86"/>
    </row>
    <row r="87" spans="1:21" s="1099" customFormat="1">
      <c r="E87" s="1099">
        <v>2710</v>
      </c>
      <c r="F87" s="1099" t="s">
        <v>917</v>
      </c>
      <c r="G87" s="1099">
        <v>2710</v>
      </c>
      <c r="H87" s="1100" t="s">
        <v>917</v>
      </c>
      <c r="I87" s="1270"/>
      <c r="J87" s="1270"/>
      <c r="K87" s="1270"/>
      <c r="L87" s="1270"/>
      <c r="M87" s="1270"/>
      <c r="N87" s="1270"/>
      <c r="O87"/>
      <c r="P87"/>
      <c r="Q87"/>
      <c r="R87"/>
      <c r="S87"/>
      <c r="T87"/>
      <c r="U87"/>
    </row>
    <row r="88" spans="1:21" s="1099" customFormat="1">
      <c r="E88" s="1099" t="s">
        <v>6588</v>
      </c>
      <c r="F88" s="1099" t="s">
        <v>913</v>
      </c>
      <c r="G88" s="1099" t="s">
        <v>121</v>
      </c>
      <c r="H88" s="1100" t="s">
        <v>913</v>
      </c>
      <c r="I88" s="1270"/>
      <c r="J88" s="1270"/>
      <c r="K88" s="1270"/>
      <c r="L88" s="1270"/>
      <c r="M88" s="1270"/>
      <c r="N88" s="1270"/>
      <c r="O88"/>
      <c r="P88"/>
      <c r="Q88"/>
      <c r="R88"/>
      <c r="S88"/>
      <c r="T88"/>
      <c r="U88"/>
    </row>
    <row r="89" spans="1:21" s="1099" customFormat="1">
      <c r="A89" s="1099">
        <v>3000</v>
      </c>
      <c r="B89" s="1099" t="s">
        <v>1316</v>
      </c>
      <c r="C89" s="1099">
        <v>3500</v>
      </c>
      <c r="D89" s="1099" t="s">
        <v>452</v>
      </c>
      <c r="E89" s="1099">
        <v>3510</v>
      </c>
      <c r="F89" s="1099" t="s">
        <v>454</v>
      </c>
      <c r="G89" s="1099">
        <v>3512</v>
      </c>
      <c r="H89" s="1100" t="s">
        <v>456</v>
      </c>
      <c r="I89" s="1270"/>
      <c r="J89" s="1270"/>
      <c r="K89" s="1270"/>
      <c r="L89" s="1270"/>
      <c r="M89" s="1270"/>
      <c r="N89" s="1270"/>
      <c r="O89"/>
      <c r="P89"/>
      <c r="Q89"/>
      <c r="R89"/>
      <c r="S89"/>
      <c r="T89"/>
      <c r="U89"/>
    </row>
    <row r="90" spans="1:21" s="1099" customFormat="1">
      <c r="B90" s="1099" t="s">
        <v>1072</v>
      </c>
      <c r="C90" s="1099" t="s">
        <v>3347</v>
      </c>
      <c r="D90" s="1099" t="s">
        <v>3347</v>
      </c>
      <c r="E90" s="1099" t="s">
        <v>3347</v>
      </c>
      <c r="F90" s="1099" t="s">
        <v>3347</v>
      </c>
      <c r="G90" s="1099" t="s">
        <v>3347</v>
      </c>
      <c r="H90" s="1100" t="s">
        <v>3347</v>
      </c>
      <c r="I90" s="1270"/>
      <c r="J90" s="1270"/>
      <c r="K90" s="1270"/>
      <c r="L90" s="1270"/>
      <c r="M90" s="1270"/>
      <c r="N90" s="1270"/>
      <c r="O90"/>
      <c r="P90"/>
      <c r="Q90"/>
      <c r="R90"/>
      <c r="S90"/>
      <c r="T90"/>
      <c r="U90"/>
    </row>
    <row r="91" spans="1:21" s="1099" customFormat="1">
      <c r="C91" s="1099">
        <v>3100</v>
      </c>
      <c r="D91" s="1099" t="s">
        <v>120</v>
      </c>
      <c r="E91" s="1099">
        <v>3110</v>
      </c>
      <c r="F91" s="1099" t="s">
        <v>122</v>
      </c>
      <c r="G91" s="1099">
        <v>3114</v>
      </c>
      <c r="H91" s="1100" t="s">
        <v>3535</v>
      </c>
      <c r="I91" s="1270"/>
      <c r="J91" s="1270"/>
      <c r="K91" s="1270"/>
      <c r="L91" s="1270"/>
      <c r="M91" s="1270"/>
      <c r="N91" s="1270"/>
      <c r="O91"/>
      <c r="P91"/>
      <c r="Q91"/>
      <c r="R91"/>
      <c r="S91"/>
      <c r="T91"/>
      <c r="U91"/>
    </row>
    <row r="92" spans="1:21" s="1099" customFormat="1">
      <c r="E92" s="1099">
        <v>3130</v>
      </c>
      <c r="F92" s="1099" t="s">
        <v>148</v>
      </c>
      <c r="G92" s="1099">
        <v>3130</v>
      </c>
      <c r="H92" s="1100" t="s">
        <v>148</v>
      </c>
      <c r="I92" s="1270"/>
      <c r="J92" s="1270"/>
      <c r="K92" s="1270"/>
      <c r="L92" s="1270"/>
      <c r="M92" s="1270"/>
      <c r="N92" s="1270"/>
      <c r="O92"/>
      <c r="P92"/>
      <c r="Q92"/>
      <c r="R92"/>
      <c r="S92"/>
      <c r="T92"/>
      <c r="U92"/>
    </row>
    <row r="93" spans="1:21" s="1099" customFormat="1">
      <c r="G93" s="1099">
        <v>3131</v>
      </c>
      <c r="H93" s="1100" t="s">
        <v>203</v>
      </c>
      <c r="I93" s="1270"/>
      <c r="J93" s="1270"/>
      <c r="K93" s="1270"/>
      <c r="L93" s="1270"/>
      <c r="M93" s="1270"/>
      <c r="N93" s="1270"/>
      <c r="O93"/>
      <c r="P93"/>
      <c r="Q93"/>
      <c r="R93"/>
      <c r="S93"/>
      <c r="T93"/>
      <c r="U93"/>
    </row>
    <row r="94" spans="1:21" s="1099" customFormat="1">
      <c r="G94" s="1099">
        <v>3132</v>
      </c>
      <c r="H94" s="1100" t="s">
        <v>1247</v>
      </c>
      <c r="I94" s="1270"/>
      <c r="J94" s="1270"/>
      <c r="K94" s="1270"/>
      <c r="L94" s="1270"/>
      <c r="M94" s="1270"/>
      <c r="N94" s="1270"/>
      <c r="O94"/>
      <c r="P94"/>
      <c r="Q94"/>
      <c r="R94"/>
      <c r="S94"/>
      <c r="T94"/>
      <c r="U94"/>
    </row>
    <row r="95" spans="1:21" s="1099" customFormat="1">
      <c r="G95" s="1099">
        <v>3133</v>
      </c>
      <c r="H95" s="1100" t="s">
        <v>1253</v>
      </c>
      <c r="I95" s="1270"/>
      <c r="J95" s="1270"/>
      <c r="K95" s="1270"/>
      <c r="L95" s="1270"/>
      <c r="M95" s="1270"/>
      <c r="N95" s="1270"/>
      <c r="O95"/>
      <c r="P95"/>
      <c r="Q95"/>
      <c r="R95"/>
      <c r="S95"/>
      <c r="T95"/>
      <c r="U95"/>
    </row>
    <row r="96" spans="1:21" s="1099" customFormat="1">
      <c r="G96" s="1099">
        <v>3134</v>
      </c>
      <c r="H96" s="1100" t="s">
        <v>1254</v>
      </c>
      <c r="I96" s="1270"/>
      <c r="J96" s="1270"/>
      <c r="K96" s="1270"/>
      <c r="L96" s="1270"/>
      <c r="M96" s="1270"/>
      <c r="N96" s="1270"/>
      <c r="O96"/>
      <c r="P96"/>
      <c r="Q96"/>
      <c r="R96"/>
      <c r="S96"/>
      <c r="T96"/>
      <c r="U96"/>
    </row>
    <row r="97" spans="7:21" s="1099" customFormat="1">
      <c r="G97" s="1099">
        <v>3135</v>
      </c>
      <c r="H97" s="1100" t="s">
        <v>1255</v>
      </c>
      <c r="I97" s="1270"/>
      <c r="J97" s="1270"/>
      <c r="K97" s="1270"/>
      <c r="L97" s="1270"/>
      <c r="M97" s="1270"/>
      <c r="N97" s="1270"/>
      <c r="O97"/>
      <c r="P97"/>
      <c r="Q97"/>
      <c r="R97"/>
      <c r="S97"/>
      <c r="T97"/>
      <c r="U97"/>
    </row>
    <row r="98" spans="7:21" s="1099" customFormat="1">
      <c r="G98" s="1099">
        <v>3136</v>
      </c>
      <c r="H98" s="1100" t="s">
        <v>1192</v>
      </c>
      <c r="I98" s="1270"/>
      <c r="J98" s="1270"/>
      <c r="K98" s="1270"/>
      <c r="L98" s="1270"/>
      <c r="M98" s="1270"/>
      <c r="N98" s="1270"/>
      <c r="O98"/>
      <c r="P98"/>
      <c r="Q98"/>
      <c r="R98"/>
      <c r="S98"/>
      <c r="T98"/>
      <c r="U98"/>
    </row>
    <row r="99" spans="7:21" s="1099" customFormat="1">
      <c r="G99" s="1099">
        <v>3138</v>
      </c>
      <c r="H99" s="1100" t="s">
        <v>3551</v>
      </c>
      <c r="I99" s="1270"/>
      <c r="J99" s="1270"/>
      <c r="K99" s="1270"/>
      <c r="L99" s="1270"/>
      <c r="M99" s="1270"/>
      <c r="N99" s="1270"/>
      <c r="O99"/>
      <c r="P99"/>
      <c r="Q99"/>
      <c r="R99"/>
      <c r="S99"/>
      <c r="T99"/>
      <c r="U99"/>
    </row>
    <row r="100" spans="7:21" s="1099" customFormat="1">
      <c r="H100" s="1100" t="s">
        <v>3549</v>
      </c>
      <c r="I100" s="1270"/>
      <c r="J100" s="1270"/>
      <c r="K100" s="1270"/>
      <c r="L100" s="1270"/>
      <c r="M100" s="1270"/>
      <c r="N100" s="1270"/>
      <c r="O100"/>
      <c r="P100"/>
      <c r="Q100"/>
      <c r="R100"/>
      <c r="S100"/>
      <c r="T100"/>
      <c r="U100"/>
    </row>
    <row r="101" spans="7:21" s="1099" customFormat="1">
      <c r="H101" s="1100" t="s">
        <v>1170</v>
      </c>
      <c r="I101" s="1270"/>
      <c r="J101" s="1270"/>
      <c r="K101" s="1270"/>
      <c r="L101" s="1270"/>
      <c r="M101" s="1270"/>
      <c r="N101" s="1270"/>
      <c r="O101"/>
      <c r="P101"/>
      <c r="Q101"/>
      <c r="R101"/>
      <c r="S101"/>
      <c r="T101"/>
      <c r="U101"/>
    </row>
    <row r="102" spans="7:21" s="1099" customFormat="1">
      <c r="H102" s="1100" t="s">
        <v>1213</v>
      </c>
      <c r="I102" s="1270"/>
      <c r="J102" s="1270"/>
      <c r="K102" s="1270"/>
      <c r="L102" s="1270"/>
      <c r="M102" s="1270"/>
      <c r="N102" s="1270"/>
      <c r="O102"/>
      <c r="P102"/>
      <c r="Q102"/>
      <c r="R102"/>
      <c r="S102"/>
      <c r="T102"/>
      <c r="U102"/>
    </row>
    <row r="103" spans="7:21" s="1099" customFormat="1">
      <c r="H103" s="1100" t="s">
        <v>1222</v>
      </c>
      <c r="I103" s="1270"/>
      <c r="J103" s="1270"/>
      <c r="K103" s="1270"/>
      <c r="L103" s="1270"/>
      <c r="M103" s="1270"/>
      <c r="N103" s="1270"/>
      <c r="O103"/>
      <c r="P103"/>
      <c r="Q103"/>
      <c r="R103"/>
      <c r="S103"/>
      <c r="T103"/>
      <c r="U103"/>
    </row>
    <row r="104" spans="7:21" s="1099" customFormat="1">
      <c r="H104" s="1100" t="s">
        <v>1232</v>
      </c>
      <c r="I104" s="1270"/>
      <c r="J104" s="1270"/>
      <c r="K104" s="1270"/>
      <c r="L104" s="1270"/>
      <c r="M104" s="1270"/>
      <c r="N104" s="1270"/>
      <c r="O104"/>
      <c r="P104"/>
      <c r="Q104"/>
      <c r="R104"/>
      <c r="S104"/>
      <c r="T104"/>
      <c r="U104"/>
    </row>
    <row r="105" spans="7:21" s="1099" customFormat="1">
      <c r="H105" s="1100" t="s">
        <v>1243</v>
      </c>
      <c r="I105" s="1270"/>
      <c r="J105" s="1270"/>
      <c r="K105" s="1270"/>
      <c r="L105" s="1270"/>
      <c r="M105" s="1270"/>
      <c r="N105" s="1270"/>
      <c r="O105"/>
      <c r="P105"/>
      <c r="Q105"/>
      <c r="R105"/>
      <c r="S105"/>
      <c r="T105"/>
      <c r="U105"/>
    </row>
    <row r="106" spans="7:21" s="1099" customFormat="1">
      <c r="H106" s="1100" t="s">
        <v>1245</v>
      </c>
      <c r="I106" s="1270"/>
      <c r="J106" s="1270"/>
      <c r="K106" s="1270"/>
      <c r="L106" s="1270"/>
      <c r="M106" s="1270"/>
      <c r="N106" s="1270"/>
      <c r="O106"/>
      <c r="P106"/>
      <c r="Q106"/>
      <c r="R106"/>
      <c r="S106"/>
      <c r="T106"/>
      <c r="U106"/>
    </row>
    <row r="107" spans="7:21" s="1099" customFormat="1">
      <c r="H107" s="1100" t="s">
        <v>1276</v>
      </c>
      <c r="I107" s="1270"/>
      <c r="J107" s="1270"/>
      <c r="K107" s="1270"/>
      <c r="L107" s="1270"/>
      <c r="M107" s="1270"/>
      <c r="N107" s="1270"/>
      <c r="O107"/>
      <c r="P107"/>
      <c r="Q107"/>
      <c r="R107"/>
      <c r="S107"/>
      <c r="T107"/>
      <c r="U107"/>
    </row>
    <row r="108" spans="7:21" s="1099" customFormat="1">
      <c r="H108" s="1100" t="s">
        <v>1165</v>
      </c>
      <c r="I108" s="1270"/>
      <c r="J108" s="1270"/>
      <c r="K108" s="1270"/>
      <c r="L108" s="1270"/>
      <c r="M108" s="1270"/>
      <c r="N108" s="1270"/>
      <c r="O108"/>
      <c r="P108"/>
      <c r="Q108"/>
      <c r="R108"/>
      <c r="S108"/>
      <c r="T108"/>
      <c r="U108"/>
    </row>
    <row r="109" spans="7:21" s="1099" customFormat="1">
      <c r="H109" s="1100" t="s">
        <v>1225</v>
      </c>
      <c r="I109" s="1270"/>
      <c r="J109" s="1270"/>
      <c r="K109" s="1270"/>
      <c r="L109" s="1270"/>
      <c r="M109" s="1270"/>
      <c r="N109" s="1270"/>
      <c r="O109"/>
      <c r="P109"/>
      <c r="Q109"/>
      <c r="R109"/>
      <c r="S109"/>
      <c r="T109"/>
      <c r="U109"/>
    </row>
    <row r="110" spans="7:21" s="1099" customFormat="1">
      <c r="H110" s="1100" t="s">
        <v>1226</v>
      </c>
      <c r="I110" s="1270"/>
      <c r="J110" s="1270"/>
      <c r="K110" s="1270"/>
      <c r="L110" s="1270"/>
      <c r="M110" s="1270"/>
      <c r="N110" s="1270"/>
      <c r="O110"/>
      <c r="P110"/>
      <c r="Q110"/>
      <c r="R110"/>
      <c r="S110"/>
      <c r="T110"/>
      <c r="U110"/>
    </row>
    <row r="111" spans="7:21" s="1099" customFormat="1">
      <c r="H111" s="1100" t="s">
        <v>1228</v>
      </c>
      <c r="I111" s="1270"/>
      <c r="J111" s="1270"/>
      <c r="K111" s="1270"/>
      <c r="L111" s="1270"/>
      <c r="M111" s="1270"/>
      <c r="N111" s="1270"/>
      <c r="O111"/>
      <c r="P111"/>
      <c r="Q111"/>
      <c r="R111"/>
      <c r="S111"/>
      <c r="T111"/>
      <c r="U111"/>
    </row>
    <row r="112" spans="7:21" s="1099" customFormat="1">
      <c r="H112" s="1100" t="s">
        <v>1230</v>
      </c>
      <c r="I112" s="1270"/>
      <c r="J112" s="1270"/>
      <c r="K112" s="1270"/>
      <c r="L112" s="1270"/>
      <c r="M112" s="1270"/>
      <c r="N112" s="1270"/>
      <c r="O112"/>
      <c r="P112"/>
      <c r="Q112"/>
      <c r="R112"/>
      <c r="S112"/>
      <c r="T112"/>
      <c r="U112"/>
    </row>
    <row r="113" spans="8:21" s="1099" customFormat="1">
      <c r="H113" s="1100" t="s">
        <v>1205</v>
      </c>
      <c r="I113" s="1270"/>
      <c r="J113" s="1270"/>
      <c r="K113" s="1270"/>
      <c r="L113" s="1270"/>
      <c r="M113" s="1270"/>
      <c r="N113" s="1270"/>
      <c r="O113"/>
      <c r="P113"/>
      <c r="Q113"/>
      <c r="R113"/>
      <c r="S113"/>
      <c r="T113"/>
      <c r="U113"/>
    </row>
    <row r="114" spans="8:21" s="1099" customFormat="1">
      <c r="H114" s="1100" t="s">
        <v>1207</v>
      </c>
      <c r="I114" s="1270"/>
      <c r="J114" s="1270"/>
      <c r="K114" s="1270"/>
      <c r="L114" s="1270"/>
      <c r="M114" s="1270"/>
      <c r="N114" s="1270"/>
      <c r="O114"/>
      <c r="P114"/>
      <c r="Q114"/>
      <c r="R114"/>
      <c r="S114"/>
      <c r="T114"/>
      <c r="U114"/>
    </row>
    <row r="115" spans="8:21" s="1099" customFormat="1">
      <c r="H115" s="1100" t="s">
        <v>1209</v>
      </c>
      <c r="I115" s="1270"/>
      <c r="J115" s="1270"/>
      <c r="K115" s="1270"/>
      <c r="L115" s="1270"/>
      <c r="M115" s="1270"/>
      <c r="N115" s="1270"/>
      <c r="O115"/>
      <c r="P115"/>
      <c r="Q115"/>
      <c r="R115"/>
      <c r="S115"/>
      <c r="T115"/>
      <c r="U115"/>
    </row>
    <row r="116" spans="8:21" s="1099" customFormat="1">
      <c r="H116" s="1100" t="s">
        <v>1211</v>
      </c>
      <c r="I116" s="1270"/>
      <c r="J116" s="1270"/>
      <c r="K116" s="1270"/>
      <c r="L116" s="1270"/>
      <c r="M116" s="1270"/>
      <c r="N116" s="1270"/>
      <c r="O116"/>
      <c r="P116"/>
      <c r="Q116"/>
      <c r="R116"/>
      <c r="S116"/>
      <c r="T116"/>
      <c r="U116"/>
    </row>
    <row r="117" spans="8:21" s="1099" customFormat="1">
      <c r="H117" s="1100" t="s">
        <v>1195</v>
      </c>
      <c r="I117" s="1270"/>
      <c r="J117" s="1270"/>
      <c r="K117" s="1270"/>
      <c r="L117" s="1270"/>
      <c r="M117" s="1270"/>
      <c r="N117" s="1270"/>
      <c r="O117"/>
      <c r="P117"/>
      <c r="Q117"/>
      <c r="R117"/>
      <c r="S117"/>
      <c r="T117"/>
      <c r="U117"/>
    </row>
    <row r="118" spans="8:21" s="1099" customFormat="1">
      <c r="H118" s="1100" t="s">
        <v>1198</v>
      </c>
      <c r="I118" s="1270"/>
      <c r="J118" s="1270"/>
      <c r="K118" s="1270"/>
      <c r="L118" s="1270"/>
      <c r="M118" s="1270"/>
      <c r="N118" s="1270"/>
      <c r="O118"/>
      <c r="P118"/>
      <c r="Q118"/>
      <c r="R118"/>
      <c r="S118"/>
      <c r="T118"/>
      <c r="U118"/>
    </row>
    <row r="119" spans="8:21" s="1099" customFormat="1">
      <c r="H119" s="1100" t="s">
        <v>1200</v>
      </c>
      <c r="I119" s="1270"/>
      <c r="J119" s="1270"/>
      <c r="K119" s="1270"/>
      <c r="L119" s="1270"/>
      <c r="M119" s="1270"/>
      <c r="N119" s="1270"/>
      <c r="O119"/>
      <c r="P119"/>
      <c r="Q119"/>
      <c r="R119"/>
      <c r="S119"/>
      <c r="T119"/>
      <c r="U119"/>
    </row>
    <row r="120" spans="8:21" s="1099" customFormat="1">
      <c r="H120" s="1100" t="s">
        <v>1202</v>
      </c>
      <c r="I120" s="1270"/>
      <c r="J120" s="1270"/>
      <c r="K120" s="1270"/>
      <c r="L120" s="1270"/>
      <c r="M120" s="1270"/>
      <c r="N120" s="1270"/>
      <c r="O120"/>
      <c r="P120"/>
      <c r="Q120"/>
      <c r="R120"/>
      <c r="S120"/>
      <c r="T120"/>
      <c r="U120"/>
    </row>
    <row r="121" spans="8:21" s="1099" customFormat="1">
      <c r="H121" s="1100" t="s">
        <v>6589</v>
      </c>
      <c r="I121" s="1270"/>
      <c r="J121" s="1270"/>
      <c r="K121" s="1270"/>
      <c r="L121" s="1270"/>
      <c r="M121" s="1270"/>
      <c r="N121" s="1270"/>
      <c r="O121"/>
      <c r="P121"/>
      <c r="Q121"/>
      <c r="R121"/>
      <c r="S121"/>
      <c r="T121"/>
      <c r="U121"/>
    </row>
    <row r="122" spans="8:21" s="1099" customFormat="1">
      <c r="H122" s="1100" t="s">
        <v>6590</v>
      </c>
      <c r="I122" s="1270"/>
      <c r="J122" s="1270"/>
      <c r="K122" s="1270"/>
      <c r="L122" s="1270"/>
      <c r="M122" s="1270"/>
      <c r="N122" s="1270"/>
      <c r="O122"/>
      <c r="P122"/>
      <c r="Q122"/>
      <c r="R122"/>
      <c r="S122"/>
      <c r="T122"/>
      <c r="U122"/>
    </row>
    <row r="123" spans="8:21" s="1099" customFormat="1">
      <c r="H123" s="1100" t="s">
        <v>6591</v>
      </c>
      <c r="I123" s="1270"/>
      <c r="J123" s="1270"/>
      <c r="K123" s="1270"/>
      <c r="L123" s="1270"/>
      <c r="M123" s="1270"/>
      <c r="N123" s="1270"/>
      <c r="O123"/>
      <c r="P123"/>
      <c r="Q123"/>
      <c r="R123"/>
      <c r="S123"/>
      <c r="T123"/>
      <c r="U123"/>
    </row>
    <row r="124" spans="8:21" s="1099" customFormat="1">
      <c r="H124" s="1100" t="s">
        <v>6592</v>
      </c>
      <c r="I124" s="1270"/>
      <c r="J124" s="1270"/>
      <c r="K124" s="1270"/>
      <c r="L124" s="1270"/>
      <c r="M124" s="1270"/>
      <c r="N124" s="1270"/>
      <c r="O124"/>
      <c r="P124"/>
      <c r="Q124"/>
      <c r="R124"/>
      <c r="S124"/>
      <c r="T124"/>
      <c r="U124"/>
    </row>
    <row r="125" spans="8:21" s="1099" customFormat="1">
      <c r="H125" s="1100" t="s">
        <v>6593</v>
      </c>
      <c r="I125" s="1270"/>
      <c r="J125" s="1270"/>
      <c r="K125" s="1270"/>
      <c r="L125" s="1270"/>
      <c r="M125" s="1270"/>
      <c r="N125" s="1270"/>
      <c r="O125"/>
      <c r="P125"/>
      <c r="Q125"/>
      <c r="R125"/>
      <c r="S125"/>
      <c r="T125"/>
      <c r="U125"/>
    </row>
    <row r="126" spans="8:21" s="1099" customFormat="1">
      <c r="H126" s="1100" t="s">
        <v>6594</v>
      </c>
      <c r="I126" s="1270"/>
      <c r="J126" s="1270"/>
      <c r="K126" s="1270"/>
      <c r="L126" s="1270"/>
      <c r="M126" s="1270"/>
      <c r="N126" s="1270"/>
      <c r="O126"/>
      <c r="P126"/>
      <c r="Q126"/>
      <c r="R126"/>
      <c r="S126"/>
      <c r="T126"/>
      <c r="U126"/>
    </row>
    <row r="127" spans="8:21" s="1099" customFormat="1">
      <c r="H127" s="1100" t="s">
        <v>6595</v>
      </c>
      <c r="I127" s="1270"/>
      <c r="J127" s="1270"/>
      <c r="K127" s="1270"/>
      <c r="L127" s="1270"/>
      <c r="M127" s="1270"/>
      <c r="N127" s="1270"/>
      <c r="O127"/>
      <c r="P127"/>
      <c r="Q127"/>
      <c r="R127"/>
      <c r="S127"/>
      <c r="T127"/>
      <c r="U127"/>
    </row>
    <row r="128" spans="8:21" s="1099" customFormat="1">
      <c r="H128" s="1100" t="s">
        <v>6596</v>
      </c>
      <c r="I128" s="1270"/>
      <c r="J128" s="1270"/>
      <c r="K128" s="1270"/>
      <c r="L128" s="1270"/>
      <c r="M128" s="1270"/>
      <c r="N128" s="1270"/>
      <c r="O128"/>
      <c r="P128"/>
      <c r="Q128"/>
      <c r="R128"/>
      <c r="S128"/>
      <c r="T128"/>
      <c r="U128"/>
    </row>
    <row r="129" spans="3:21" s="1099" customFormat="1">
      <c r="H129" s="1100" t="s">
        <v>6597</v>
      </c>
      <c r="I129" s="1270"/>
      <c r="J129" s="1270"/>
      <c r="K129" s="1270"/>
      <c r="L129" s="1270"/>
      <c r="M129" s="1270"/>
      <c r="N129" s="1270"/>
      <c r="O129"/>
      <c r="P129"/>
      <c r="Q129"/>
      <c r="R129"/>
      <c r="S129"/>
      <c r="T129"/>
      <c r="U129"/>
    </row>
    <row r="130" spans="3:21" s="1099" customFormat="1">
      <c r="H130" s="1100" t="s">
        <v>6598</v>
      </c>
      <c r="I130" s="1270"/>
      <c r="J130" s="1270"/>
      <c r="K130" s="1270"/>
      <c r="L130" s="1270"/>
      <c r="M130" s="1270"/>
      <c r="N130" s="1270"/>
      <c r="O130"/>
      <c r="P130"/>
      <c r="Q130"/>
      <c r="R130"/>
      <c r="S130"/>
      <c r="T130"/>
      <c r="U130"/>
    </row>
    <row r="131" spans="3:21" s="1099" customFormat="1">
      <c r="H131" s="1100" t="s">
        <v>6599</v>
      </c>
      <c r="I131" s="1270"/>
      <c r="J131" s="1270"/>
      <c r="K131" s="1270"/>
      <c r="L131" s="1270"/>
      <c r="M131" s="1270"/>
      <c r="N131" s="1270"/>
      <c r="O131"/>
      <c r="P131"/>
      <c r="Q131"/>
      <c r="R131"/>
      <c r="S131"/>
      <c r="T131"/>
      <c r="U131"/>
    </row>
    <row r="132" spans="3:21" s="1099" customFormat="1">
      <c r="H132" s="1100" t="s">
        <v>1235</v>
      </c>
      <c r="I132" s="1270"/>
      <c r="J132" s="1270"/>
      <c r="K132" s="1270"/>
      <c r="L132" s="1270"/>
      <c r="M132" s="1270"/>
      <c r="N132" s="1270"/>
      <c r="O132"/>
      <c r="P132"/>
      <c r="Q132"/>
      <c r="R132"/>
      <c r="S132"/>
      <c r="T132"/>
      <c r="U132"/>
    </row>
    <row r="133" spans="3:21" s="1099" customFormat="1" ht="26.5">
      <c r="H133" s="1100" t="s">
        <v>1193</v>
      </c>
      <c r="I133" s="1270"/>
      <c r="J133" s="1270"/>
      <c r="K133" s="1270"/>
      <c r="L133" s="1270"/>
      <c r="M133" s="1270"/>
      <c r="N133" s="1270"/>
      <c r="O133"/>
      <c r="P133"/>
      <c r="Q133"/>
      <c r="R133"/>
      <c r="S133"/>
      <c r="T133"/>
      <c r="U133"/>
    </row>
    <row r="134" spans="3:21" s="1099" customFormat="1">
      <c r="G134" s="1099">
        <v>3139</v>
      </c>
      <c r="H134" s="1100" t="s">
        <v>1172</v>
      </c>
      <c r="I134" s="1270"/>
      <c r="J134" s="1270"/>
      <c r="K134" s="1270"/>
      <c r="L134" s="1270"/>
      <c r="M134" s="1270"/>
      <c r="N134" s="1270"/>
      <c r="O134"/>
      <c r="P134"/>
      <c r="Q134"/>
      <c r="R134"/>
      <c r="S134"/>
      <c r="T134"/>
      <c r="U134"/>
    </row>
    <row r="135" spans="3:21" s="1099" customFormat="1">
      <c r="G135" s="1099" t="s">
        <v>2678</v>
      </c>
      <c r="H135" s="1100" t="s">
        <v>3541</v>
      </c>
      <c r="I135" s="1270"/>
      <c r="J135" s="1270"/>
      <c r="K135" s="1270"/>
      <c r="L135" s="1270"/>
      <c r="M135" s="1270"/>
      <c r="N135" s="1270"/>
      <c r="O135"/>
      <c r="P135"/>
      <c r="Q135"/>
      <c r="R135"/>
      <c r="S135"/>
      <c r="T135"/>
      <c r="U135"/>
    </row>
    <row r="136" spans="3:21" s="1099" customFormat="1">
      <c r="H136" s="1100" t="s">
        <v>3542</v>
      </c>
      <c r="I136" s="1270"/>
      <c r="J136" s="1270"/>
      <c r="K136" s="1270"/>
      <c r="L136" s="1270"/>
      <c r="M136" s="1270"/>
      <c r="N136" s="1270"/>
      <c r="O136"/>
      <c r="P136"/>
      <c r="Q136"/>
      <c r="R136"/>
      <c r="S136"/>
      <c r="T136"/>
      <c r="U136"/>
    </row>
    <row r="137" spans="3:21" s="1099" customFormat="1">
      <c r="H137" s="1100" t="s">
        <v>3543</v>
      </c>
      <c r="I137" s="1270"/>
      <c r="J137" s="1270"/>
      <c r="K137" s="1270"/>
      <c r="L137" s="1270"/>
      <c r="M137" s="1270"/>
      <c r="N137" s="1270"/>
      <c r="O137"/>
      <c r="P137"/>
      <c r="Q137"/>
      <c r="R137"/>
      <c r="S137"/>
      <c r="T137"/>
      <c r="U137"/>
    </row>
    <row r="138" spans="3:21" s="1099" customFormat="1">
      <c r="H138" s="1100" t="s">
        <v>3544</v>
      </c>
      <c r="I138" s="1270"/>
      <c r="J138" s="1270"/>
      <c r="K138" s="1270"/>
      <c r="L138" s="1270"/>
      <c r="M138" s="1270"/>
      <c r="N138" s="1270"/>
      <c r="O138"/>
      <c r="P138"/>
      <c r="Q138"/>
      <c r="R138"/>
      <c r="S138"/>
      <c r="T138"/>
      <c r="U138"/>
    </row>
    <row r="139" spans="3:21" s="1099" customFormat="1">
      <c r="E139" s="1099" t="s">
        <v>1073</v>
      </c>
      <c r="F139" s="1099" t="s">
        <v>122</v>
      </c>
      <c r="G139" s="1099" t="s">
        <v>1074</v>
      </c>
      <c r="H139" s="1100" t="s">
        <v>1075</v>
      </c>
      <c r="I139" s="1270"/>
      <c r="J139" s="1270"/>
      <c r="K139" s="1270"/>
      <c r="L139" s="1270"/>
      <c r="M139" s="1270"/>
      <c r="N139" s="1270"/>
      <c r="O139"/>
      <c r="P139"/>
      <c r="Q139"/>
      <c r="R139"/>
      <c r="S139"/>
      <c r="T139"/>
      <c r="U139"/>
    </row>
    <row r="140" spans="3:21" s="1099" customFormat="1">
      <c r="G140" s="1099" t="s">
        <v>1112</v>
      </c>
      <c r="H140" s="1100" t="s">
        <v>1113</v>
      </c>
      <c r="I140" s="1270"/>
      <c r="J140" s="1270"/>
      <c r="K140" s="1270"/>
      <c r="L140" s="1270"/>
      <c r="M140" s="1270"/>
      <c r="N140" s="1270"/>
      <c r="O140"/>
      <c r="P140"/>
      <c r="Q140"/>
      <c r="R140"/>
      <c r="S140"/>
      <c r="T140"/>
      <c r="U140"/>
    </row>
    <row r="141" spans="3:21" s="1099" customFormat="1">
      <c r="G141" s="1099" t="s">
        <v>1142</v>
      </c>
      <c r="H141" s="1100" t="s">
        <v>1143</v>
      </c>
      <c r="I141" s="1270"/>
      <c r="J141" s="1270"/>
      <c r="K141" s="1270"/>
      <c r="L141" s="1270"/>
      <c r="M141" s="1270"/>
      <c r="N141" s="1270"/>
      <c r="O141"/>
      <c r="P141"/>
      <c r="Q141"/>
      <c r="R141"/>
      <c r="S141"/>
      <c r="T141"/>
      <c r="U141"/>
    </row>
    <row r="142" spans="3:21" s="1099" customFormat="1">
      <c r="E142" s="1099" t="s">
        <v>1277</v>
      </c>
      <c r="F142" s="1099" t="s">
        <v>1278</v>
      </c>
      <c r="G142" s="1099" t="s">
        <v>1277</v>
      </c>
      <c r="H142" s="1100" t="s">
        <v>1278</v>
      </c>
      <c r="I142" s="1270"/>
      <c r="J142" s="1270"/>
      <c r="K142" s="1270"/>
      <c r="L142" s="1270"/>
      <c r="M142" s="1270"/>
      <c r="N142" s="1270"/>
      <c r="O142"/>
      <c r="P142"/>
      <c r="Q142"/>
      <c r="R142"/>
      <c r="S142"/>
      <c r="T142"/>
      <c r="U142"/>
    </row>
    <row r="143" spans="3:21" s="1099" customFormat="1">
      <c r="E143" s="1099" t="s">
        <v>3347</v>
      </c>
      <c r="F143" s="1099" t="s">
        <v>3347</v>
      </c>
      <c r="G143" s="1099" t="s">
        <v>3347</v>
      </c>
      <c r="H143" s="1100" t="s">
        <v>3347</v>
      </c>
      <c r="I143" s="1270"/>
      <c r="J143" s="1270"/>
      <c r="K143" s="1270"/>
      <c r="L143" s="1270"/>
      <c r="M143" s="1270"/>
      <c r="N143" s="1270"/>
      <c r="O143"/>
      <c r="P143"/>
      <c r="Q143"/>
      <c r="R143"/>
      <c r="S143"/>
      <c r="T143"/>
      <c r="U143"/>
    </row>
    <row r="144" spans="3:21" s="1099" customFormat="1">
      <c r="C144" s="1099">
        <v>3200</v>
      </c>
      <c r="D144" s="1099" t="s">
        <v>120</v>
      </c>
      <c r="E144" s="1099">
        <v>3210</v>
      </c>
      <c r="F144" s="1099" t="s">
        <v>2421</v>
      </c>
      <c r="G144" s="1099">
        <v>3212</v>
      </c>
      <c r="H144" s="1100" t="s">
        <v>2422</v>
      </c>
      <c r="I144" s="1270"/>
      <c r="J144" s="1270"/>
      <c r="K144" s="1270"/>
      <c r="L144" s="1270"/>
      <c r="M144" s="1270"/>
      <c r="N144" s="1270"/>
      <c r="O144"/>
      <c r="P144"/>
      <c r="Q144"/>
      <c r="R144"/>
      <c r="S144"/>
      <c r="T144"/>
      <c r="U144"/>
    </row>
    <row r="145" spans="1:21" s="1099" customFormat="1">
      <c r="F145" s="1099" t="s">
        <v>1311</v>
      </c>
      <c r="G145" s="1099">
        <v>3213</v>
      </c>
      <c r="H145" s="1100" t="s">
        <v>1307</v>
      </c>
      <c r="I145" s="1270"/>
      <c r="J145" s="1270"/>
      <c r="K145" s="1270"/>
      <c r="L145" s="1270"/>
      <c r="M145" s="1270"/>
      <c r="N145" s="1270"/>
      <c r="O145"/>
      <c r="P145"/>
      <c r="Q145"/>
      <c r="R145"/>
      <c r="S145"/>
      <c r="T145"/>
      <c r="U145"/>
    </row>
    <row r="146" spans="1:21" s="1099" customFormat="1">
      <c r="A146" s="1099">
        <v>4000</v>
      </c>
      <c r="B146" s="1099" t="s">
        <v>2420</v>
      </c>
      <c r="C146" s="1099">
        <v>4100</v>
      </c>
      <c r="D146" s="1099" t="s">
        <v>120</v>
      </c>
      <c r="E146" s="1099">
        <v>4130</v>
      </c>
      <c r="F146" s="1099" t="s">
        <v>148</v>
      </c>
      <c r="G146" s="1099">
        <v>4131</v>
      </c>
      <c r="H146" s="1100" t="s">
        <v>1330</v>
      </c>
      <c r="I146" s="1270"/>
      <c r="J146" s="1270"/>
      <c r="K146" s="1270"/>
      <c r="L146" s="1270"/>
      <c r="M146" s="1270"/>
      <c r="N146" s="1270"/>
      <c r="O146"/>
      <c r="P146"/>
      <c r="Q146"/>
      <c r="R146"/>
      <c r="S146"/>
      <c r="T146"/>
      <c r="U146"/>
    </row>
    <row r="147" spans="1:21" s="1099" customFormat="1">
      <c r="B147" s="1099" t="s">
        <v>119</v>
      </c>
      <c r="C147" s="1099">
        <v>4100</v>
      </c>
      <c r="D147" s="1099" t="s">
        <v>120</v>
      </c>
      <c r="E147" s="1099">
        <v>4130</v>
      </c>
      <c r="F147" s="1099" t="s">
        <v>148</v>
      </c>
      <c r="G147" s="1099">
        <v>4131</v>
      </c>
      <c r="H147" s="1100" t="s">
        <v>1330</v>
      </c>
      <c r="I147" s="1270"/>
      <c r="J147" s="1270"/>
      <c r="K147" s="1270"/>
      <c r="L147" s="1270"/>
      <c r="M147" s="1270"/>
      <c r="N147" s="1270"/>
      <c r="O147"/>
      <c r="P147"/>
      <c r="Q147"/>
      <c r="R147"/>
      <c r="S147"/>
      <c r="T147"/>
      <c r="U147"/>
    </row>
    <row r="148" spans="1:21" s="1099" customFormat="1">
      <c r="B148" s="1099" t="s">
        <v>1316</v>
      </c>
      <c r="C148" s="1099">
        <v>4100</v>
      </c>
      <c r="D148" s="1099" t="s">
        <v>120</v>
      </c>
      <c r="E148" s="1099">
        <v>4130</v>
      </c>
      <c r="F148" s="1099" t="s">
        <v>148</v>
      </c>
      <c r="G148" s="1099">
        <v>4131</v>
      </c>
      <c r="H148" s="1100" t="s">
        <v>1330</v>
      </c>
      <c r="I148" s="1270"/>
      <c r="J148" s="1270"/>
      <c r="K148" s="1270"/>
      <c r="L148" s="1270"/>
      <c r="M148" s="1270"/>
      <c r="N148" s="1270"/>
      <c r="O148"/>
      <c r="P148"/>
      <c r="Q148"/>
      <c r="R148"/>
      <c r="S148"/>
      <c r="T148"/>
      <c r="U148"/>
    </row>
    <row r="149" spans="1:21" s="1099" customFormat="1">
      <c r="H149" s="1100" t="s">
        <v>1390</v>
      </c>
      <c r="I149" s="1270"/>
      <c r="J149" s="1270"/>
      <c r="K149" s="1270"/>
      <c r="L149" s="1270"/>
      <c r="M149" s="1270"/>
      <c r="N149" s="1270"/>
      <c r="O149"/>
      <c r="P149"/>
      <c r="Q149"/>
      <c r="R149"/>
      <c r="S149"/>
      <c r="T149"/>
      <c r="U149"/>
    </row>
    <row r="150" spans="1:21" s="1099" customFormat="1">
      <c r="H150" s="1100" t="s">
        <v>1957</v>
      </c>
      <c r="I150" s="1270"/>
      <c r="J150" s="1270"/>
      <c r="K150" s="1270"/>
      <c r="L150" s="1270"/>
      <c r="M150" s="1270"/>
      <c r="N150" s="1270"/>
      <c r="O150"/>
      <c r="P150"/>
      <c r="Q150"/>
      <c r="R150"/>
      <c r="S150"/>
      <c r="T150"/>
      <c r="U150"/>
    </row>
    <row r="151" spans="1:21" s="1099" customFormat="1">
      <c r="G151" s="1099">
        <v>4133</v>
      </c>
      <c r="H151" s="1100" t="s">
        <v>1368</v>
      </c>
      <c r="I151" s="1270"/>
      <c r="J151" s="1270"/>
      <c r="K151" s="1270"/>
      <c r="L151" s="1270"/>
      <c r="M151" s="1270"/>
      <c r="N151" s="1270"/>
      <c r="O151"/>
      <c r="P151"/>
      <c r="Q151"/>
      <c r="R151"/>
      <c r="S151"/>
      <c r="T151"/>
      <c r="U151"/>
    </row>
    <row r="152" spans="1:21" s="1099" customFormat="1">
      <c r="G152" s="1099">
        <v>4135</v>
      </c>
      <c r="H152" s="1100" t="s">
        <v>3553</v>
      </c>
      <c r="I152" s="1270"/>
      <c r="J152" s="1270"/>
      <c r="K152" s="1270"/>
      <c r="L152" s="1270"/>
      <c r="M152" s="1270"/>
      <c r="N152" s="1270"/>
      <c r="O152"/>
      <c r="P152"/>
      <c r="Q152"/>
      <c r="R152"/>
      <c r="S152"/>
      <c r="T152"/>
      <c r="U152"/>
    </row>
    <row r="153" spans="1:21" s="1099" customFormat="1">
      <c r="G153" s="1099">
        <v>4138</v>
      </c>
      <c r="H153" s="1100" t="s">
        <v>1245</v>
      </c>
      <c r="I153" s="1270"/>
      <c r="J153" s="1270"/>
      <c r="K153" s="1270"/>
      <c r="L153" s="1270"/>
      <c r="M153" s="1270"/>
      <c r="N153" s="1270"/>
      <c r="O153"/>
      <c r="P153"/>
      <c r="Q153"/>
      <c r="R153"/>
      <c r="S153"/>
      <c r="T153"/>
      <c r="U153"/>
    </row>
    <row r="154" spans="1:21" s="1099" customFormat="1">
      <c r="G154" s="1099">
        <v>4139</v>
      </c>
      <c r="H154" s="1100" t="s">
        <v>172</v>
      </c>
      <c r="I154" s="1270"/>
      <c r="J154" s="1270"/>
      <c r="K154" s="1270"/>
      <c r="L154" s="1270"/>
      <c r="M154" s="1270"/>
      <c r="N154" s="1270"/>
      <c r="O154"/>
      <c r="P154"/>
      <c r="Q154"/>
      <c r="R154"/>
      <c r="S154"/>
      <c r="T154"/>
      <c r="U154"/>
    </row>
    <row r="155" spans="1:21" s="1099" customFormat="1">
      <c r="E155" s="1099">
        <v>4140</v>
      </c>
      <c r="F155" s="1099" t="s">
        <v>176</v>
      </c>
      <c r="G155" s="1099">
        <v>4140</v>
      </c>
      <c r="H155" s="1100" t="s">
        <v>176</v>
      </c>
      <c r="I155" s="1270"/>
      <c r="J155" s="1270"/>
      <c r="K155" s="1270"/>
      <c r="L155" s="1270"/>
      <c r="M155" s="1270"/>
      <c r="N155" s="1270"/>
      <c r="O155"/>
      <c r="P155"/>
      <c r="Q155"/>
      <c r="R155"/>
      <c r="S155"/>
      <c r="T155"/>
      <c r="U155"/>
    </row>
    <row r="156" spans="1:21" s="1099" customFormat="1">
      <c r="E156" s="1099" t="s">
        <v>1389</v>
      </c>
      <c r="F156" s="1099" t="s">
        <v>176</v>
      </c>
      <c r="G156" s="1099">
        <v>4141</v>
      </c>
      <c r="H156" s="1100" t="s">
        <v>1390</v>
      </c>
      <c r="I156" s="1270"/>
      <c r="J156" s="1270"/>
      <c r="K156" s="1270"/>
      <c r="L156" s="1270"/>
      <c r="M156" s="1270"/>
      <c r="N156" s="1270"/>
      <c r="O156"/>
      <c r="P156"/>
      <c r="Q156"/>
      <c r="R156"/>
      <c r="S156"/>
      <c r="T156"/>
      <c r="U156"/>
    </row>
    <row r="157" spans="1:21" s="1099" customFormat="1" ht="26.5">
      <c r="G157" s="1099">
        <v>4142</v>
      </c>
      <c r="H157" s="1100" t="s">
        <v>3491</v>
      </c>
      <c r="I157" s="1270"/>
      <c r="J157" s="1270"/>
      <c r="K157" s="1270"/>
      <c r="L157" s="1270"/>
      <c r="M157" s="1270"/>
      <c r="N157" s="1270"/>
      <c r="O157"/>
      <c r="P157"/>
      <c r="Q157"/>
      <c r="R157"/>
      <c r="S157"/>
      <c r="T157"/>
      <c r="U157"/>
    </row>
    <row r="158" spans="1:21" s="1099" customFormat="1">
      <c r="H158" s="1100" t="s">
        <v>3495</v>
      </c>
      <c r="I158" s="1270"/>
      <c r="J158" s="1270"/>
      <c r="K158" s="1270"/>
      <c r="L158" s="1270"/>
      <c r="M158" s="1270"/>
      <c r="N158" s="1270"/>
      <c r="O158"/>
      <c r="P158"/>
      <c r="Q158"/>
      <c r="R158"/>
      <c r="S158"/>
      <c r="T158"/>
      <c r="U158"/>
    </row>
    <row r="159" spans="1:21" s="1099" customFormat="1">
      <c r="G159" s="1099">
        <v>4143</v>
      </c>
      <c r="H159" s="1100" t="s">
        <v>3494</v>
      </c>
      <c r="I159" s="1270"/>
      <c r="J159" s="1270"/>
      <c r="K159" s="1270"/>
      <c r="L159" s="1270"/>
      <c r="M159" s="1270"/>
      <c r="N159" s="1270"/>
      <c r="O159"/>
      <c r="P159"/>
      <c r="Q159"/>
      <c r="R159"/>
      <c r="S159"/>
      <c r="T159"/>
      <c r="U159"/>
    </row>
    <row r="160" spans="1:21" s="1099" customFormat="1">
      <c r="G160" s="1099">
        <v>4144</v>
      </c>
      <c r="H160" s="1100" t="s">
        <v>3495</v>
      </c>
      <c r="I160" s="1270"/>
      <c r="J160" s="1270"/>
      <c r="K160" s="1270"/>
      <c r="L160" s="1270"/>
      <c r="M160" s="1270"/>
      <c r="N160" s="1270"/>
      <c r="O160"/>
      <c r="P160"/>
      <c r="Q160"/>
      <c r="R160"/>
      <c r="S160"/>
      <c r="T160"/>
      <c r="U160"/>
    </row>
    <row r="161" spans="2:21" s="1099" customFormat="1">
      <c r="G161" s="1099" t="s">
        <v>4459</v>
      </c>
      <c r="H161" s="1100" t="s">
        <v>1390</v>
      </c>
      <c r="I161" s="1270"/>
      <c r="J161" s="1270"/>
      <c r="K161" s="1270"/>
      <c r="L161" s="1270"/>
      <c r="M161" s="1270"/>
      <c r="N161" s="1270"/>
      <c r="O161"/>
      <c r="P161"/>
      <c r="Q161"/>
      <c r="R161"/>
      <c r="S161"/>
      <c r="T161"/>
      <c r="U161"/>
    </row>
    <row r="162" spans="2:21" s="1099" customFormat="1" ht="26.5">
      <c r="G162" s="1099" t="s">
        <v>4505</v>
      </c>
      <c r="H162" s="1100" t="s">
        <v>3491</v>
      </c>
      <c r="I162" s="1270"/>
      <c r="J162" s="1270"/>
      <c r="K162" s="1270"/>
      <c r="L162" s="1270"/>
      <c r="M162" s="1270"/>
      <c r="N162" s="1270"/>
      <c r="O162"/>
      <c r="P162"/>
      <c r="Q162"/>
      <c r="R162"/>
      <c r="S162"/>
      <c r="T162"/>
      <c r="U162"/>
    </row>
    <row r="163" spans="2:21" s="1099" customFormat="1">
      <c r="G163" s="1099" t="s">
        <v>4624</v>
      </c>
      <c r="H163" s="1100" t="s">
        <v>3494</v>
      </c>
      <c r="I163" s="1270"/>
      <c r="J163" s="1270"/>
      <c r="K163" s="1270"/>
      <c r="L163" s="1270"/>
      <c r="M163" s="1270"/>
      <c r="N163" s="1270"/>
      <c r="O163"/>
      <c r="P163"/>
      <c r="Q163"/>
      <c r="R163"/>
      <c r="S163"/>
      <c r="T163"/>
      <c r="U163"/>
    </row>
    <row r="164" spans="2:21" s="1099" customFormat="1">
      <c r="G164" s="1099" t="s">
        <v>4735</v>
      </c>
      <c r="H164" s="1100" t="s">
        <v>3495</v>
      </c>
      <c r="I164" s="1270"/>
      <c r="J164" s="1270"/>
      <c r="K164" s="1270"/>
      <c r="L164" s="1270"/>
      <c r="M164" s="1270"/>
      <c r="N164" s="1270"/>
      <c r="O164"/>
      <c r="P164"/>
      <c r="Q164"/>
      <c r="R164"/>
      <c r="S164"/>
      <c r="T164"/>
      <c r="U164"/>
    </row>
    <row r="165" spans="2:21" s="1099" customFormat="1">
      <c r="E165" s="1099" t="s">
        <v>3347</v>
      </c>
      <c r="F165" s="1099" t="s">
        <v>3347</v>
      </c>
      <c r="G165" s="1099" t="s">
        <v>3347</v>
      </c>
      <c r="H165" s="1100" t="s">
        <v>3347</v>
      </c>
      <c r="I165" s="1270"/>
      <c r="J165" s="1270"/>
      <c r="K165" s="1270"/>
      <c r="L165" s="1270"/>
      <c r="M165" s="1270"/>
      <c r="N165" s="1270"/>
      <c r="O165"/>
      <c r="P165"/>
      <c r="Q165"/>
      <c r="R165"/>
      <c r="S165"/>
      <c r="T165"/>
      <c r="U165"/>
    </row>
    <row r="166" spans="2:21" s="1099" customFormat="1" ht="26.5">
      <c r="E166" s="1099">
        <v>4110</v>
      </c>
      <c r="F166" s="1099" t="s">
        <v>122</v>
      </c>
      <c r="G166" s="1099">
        <v>4110</v>
      </c>
      <c r="H166" s="1100" t="s">
        <v>122</v>
      </c>
      <c r="I166" s="1270"/>
      <c r="J166" s="1270"/>
      <c r="K166" s="1270"/>
      <c r="L166" s="1270"/>
      <c r="M166" s="1270"/>
      <c r="N166" s="1270"/>
      <c r="O166"/>
      <c r="P166"/>
      <c r="Q166"/>
      <c r="R166"/>
      <c r="S166"/>
      <c r="T166"/>
      <c r="U166"/>
    </row>
    <row r="167" spans="2:21" s="1099" customFormat="1">
      <c r="F167" s="1099" t="s">
        <v>148</v>
      </c>
      <c r="G167" s="1099">
        <v>4136</v>
      </c>
      <c r="H167" s="1100" t="s">
        <v>1072</v>
      </c>
      <c r="I167" s="1270"/>
      <c r="J167" s="1270"/>
      <c r="K167" s="1270"/>
      <c r="L167" s="1270"/>
      <c r="M167" s="1270"/>
      <c r="N167" s="1270"/>
      <c r="O167"/>
      <c r="P167"/>
      <c r="Q167"/>
      <c r="R167"/>
      <c r="S167"/>
      <c r="T167"/>
      <c r="U167"/>
    </row>
    <row r="168" spans="2:21" s="1099" customFormat="1">
      <c r="C168" s="1099">
        <v>4200</v>
      </c>
      <c r="D168" s="1099" t="s">
        <v>1394</v>
      </c>
      <c r="E168" s="1099">
        <v>4210</v>
      </c>
      <c r="F168" s="1099" t="s">
        <v>1311</v>
      </c>
      <c r="G168" s="1099">
        <v>4211</v>
      </c>
      <c r="H168" s="1100" t="s">
        <v>1402</v>
      </c>
      <c r="I168" s="1270"/>
      <c r="J168" s="1270"/>
      <c r="K168" s="1270"/>
      <c r="L168" s="1270"/>
      <c r="M168" s="1270"/>
      <c r="N168" s="1270"/>
      <c r="O168"/>
      <c r="P168"/>
      <c r="Q168"/>
      <c r="R168"/>
      <c r="S168"/>
      <c r="T168"/>
      <c r="U168"/>
    </row>
    <row r="169" spans="2:21" s="1099" customFormat="1">
      <c r="G169" s="1099">
        <v>4212</v>
      </c>
      <c r="H169" s="1100" t="s">
        <v>1410</v>
      </c>
      <c r="I169" s="1270"/>
      <c r="J169" s="1270"/>
      <c r="K169" s="1270"/>
      <c r="L169" s="1270"/>
      <c r="M169" s="1270"/>
      <c r="N169" s="1270"/>
      <c r="O169"/>
      <c r="P169"/>
      <c r="Q169"/>
      <c r="R169"/>
      <c r="S169"/>
      <c r="T169"/>
      <c r="U169"/>
    </row>
    <row r="170" spans="2:21" s="1099" customFormat="1">
      <c r="G170" s="1099">
        <v>4213</v>
      </c>
      <c r="H170" s="1100" t="s">
        <v>1307</v>
      </c>
      <c r="I170" s="1270"/>
      <c r="J170" s="1270"/>
      <c r="K170" s="1270"/>
      <c r="L170" s="1270"/>
      <c r="M170" s="1270"/>
      <c r="N170" s="1270"/>
      <c r="O170"/>
      <c r="P170"/>
      <c r="Q170"/>
      <c r="R170"/>
      <c r="S170"/>
      <c r="T170"/>
      <c r="U170"/>
    </row>
    <row r="171" spans="2:21" s="1099" customFormat="1">
      <c r="E171" s="1099">
        <v>4220</v>
      </c>
      <c r="F171" s="1099" t="s">
        <v>454</v>
      </c>
      <c r="G171" s="1099">
        <v>4222</v>
      </c>
      <c r="H171" s="1100" t="s">
        <v>1418</v>
      </c>
      <c r="I171" s="1270"/>
      <c r="J171" s="1270"/>
      <c r="K171" s="1270"/>
      <c r="L171" s="1270"/>
      <c r="M171" s="1270"/>
      <c r="N171" s="1270"/>
      <c r="O171"/>
      <c r="P171"/>
      <c r="Q171"/>
      <c r="R171"/>
      <c r="S171"/>
      <c r="T171"/>
      <c r="U171"/>
    </row>
    <row r="172" spans="2:21" s="1099" customFormat="1">
      <c r="F172" s="1099" t="s">
        <v>3560</v>
      </c>
      <c r="G172" s="1099">
        <v>4221</v>
      </c>
      <c r="H172" s="1100" t="s">
        <v>3561</v>
      </c>
      <c r="I172" s="1270"/>
      <c r="J172" s="1270"/>
      <c r="K172" s="1270"/>
      <c r="L172" s="1270"/>
      <c r="M172" s="1270"/>
      <c r="N172" s="1270"/>
      <c r="O172"/>
      <c r="P172"/>
      <c r="Q172"/>
      <c r="R172"/>
      <c r="S172"/>
      <c r="T172"/>
      <c r="U172"/>
    </row>
    <row r="173" spans="2:21">
      <c r="B173" s="1099"/>
      <c r="C173" s="1099"/>
      <c r="D173" s="1099"/>
      <c r="E173" s="1099">
        <v>4230</v>
      </c>
      <c r="F173" s="1099" t="s">
        <v>1419</v>
      </c>
      <c r="G173" s="1099">
        <v>4230</v>
      </c>
      <c r="H173" s="1100" t="s">
        <v>1419</v>
      </c>
      <c r="I173" s="1270"/>
      <c r="J173" s="1270"/>
      <c r="K173" s="1270"/>
      <c r="L173" s="1270"/>
      <c r="M173" s="1270"/>
      <c r="N173" s="1270"/>
    </row>
    <row r="174" spans="2:21" s="1099" customFormat="1">
      <c r="F174" s="1099" t="s">
        <v>1423</v>
      </c>
      <c r="G174" s="1099">
        <v>4230</v>
      </c>
      <c r="H174" s="1100" t="s">
        <v>1423</v>
      </c>
      <c r="I174" s="1270"/>
      <c r="J174" s="1270"/>
      <c r="K174" s="1270"/>
      <c r="L174" s="1270"/>
      <c r="M174" s="1270"/>
      <c r="N174" s="1270"/>
      <c r="O174"/>
      <c r="P174"/>
      <c r="Q174"/>
      <c r="R174"/>
      <c r="S174"/>
      <c r="T174"/>
      <c r="U174"/>
    </row>
    <row r="175" spans="2:21" s="1099" customFormat="1">
      <c r="E175" s="1099">
        <v>4250</v>
      </c>
      <c r="F175" s="1099" t="s">
        <v>1426</v>
      </c>
      <c r="G175" s="1099">
        <v>4250</v>
      </c>
      <c r="H175" s="1100" t="s">
        <v>1426</v>
      </c>
      <c r="I175" s="1270"/>
      <c r="J175" s="1270"/>
      <c r="K175" s="1270"/>
      <c r="L175" s="1270"/>
      <c r="M175" s="1270"/>
      <c r="N175" s="1270"/>
      <c r="O175"/>
      <c r="P175"/>
      <c r="Q175"/>
      <c r="R175"/>
      <c r="S175"/>
      <c r="T175"/>
      <c r="U175"/>
    </row>
    <row r="176" spans="2:21" s="1099" customFormat="1">
      <c r="E176" s="1099">
        <v>4280</v>
      </c>
      <c r="F176" s="1099" t="s">
        <v>1439</v>
      </c>
      <c r="G176" s="1099" t="s">
        <v>1440</v>
      </c>
      <c r="H176" s="1100" t="s">
        <v>1441</v>
      </c>
      <c r="I176" s="1270"/>
      <c r="J176" s="1270"/>
      <c r="K176" s="1270"/>
      <c r="L176" s="1270"/>
      <c r="M176" s="1270"/>
      <c r="N176" s="1270"/>
      <c r="O176"/>
      <c r="P176"/>
      <c r="Q176"/>
      <c r="R176"/>
      <c r="S176"/>
      <c r="T176"/>
      <c r="U176"/>
    </row>
    <row r="177" spans="3:21" s="1099" customFormat="1">
      <c r="E177" s="1099" t="s">
        <v>1438</v>
      </c>
      <c r="F177" s="1099" t="s">
        <v>1439</v>
      </c>
      <c r="G177" s="1099">
        <v>4281</v>
      </c>
      <c r="H177" s="1100" t="s">
        <v>1441</v>
      </c>
      <c r="I177" s="1270"/>
      <c r="J177" s="1270"/>
      <c r="K177" s="1270"/>
      <c r="L177" s="1270"/>
      <c r="M177" s="1270"/>
      <c r="N177" s="1270"/>
      <c r="O177"/>
      <c r="P177"/>
      <c r="Q177"/>
      <c r="R177"/>
      <c r="S177"/>
      <c r="T177"/>
      <c r="U177"/>
    </row>
    <row r="178" spans="3:21" s="1099" customFormat="1">
      <c r="G178" s="1099" t="s">
        <v>1440</v>
      </c>
      <c r="H178" s="1100" t="s">
        <v>1441</v>
      </c>
      <c r="I178" s="1270"/>
      <c r="J178" s="1270"/>
      <c r="K178" s="1270"/>
      <c r="L178" s="1270"/>
      <c r="M178" s="1270"/>
      <c r="N178" s="1270"/>
      <c r="O178"/>
      <c r="P178"/>
      <c r="Q178"/>
      <c r="R178"/>
      <c r="S178"/>
      <c r="T178"/>
      <c r="U178"/>
    </row>
    <row r="179" spans="3:21" s="1099" customFormat="1">
      <c r="E179" s="1099" t="s">
        <v>3347</v>
      </c>
      <c r="F179" s="1099" t="s">
        <v>3347</v>
      </c>
      <c r="G179" s="1099" t="s">
        <v>3347</v>
      </c>
      <c r="H179" s="1100" t="s">
        <v>3347</v>
      </c>
      <c r="I179" s="1270"/>
      <c r="J179" s="1270"/>
      <c r="K179" s="1270"/>
      <c r="L179" s="1270"/>
      <c r="M179" s="1270"/>
      <c r="N179" s="1270"/>
      <c r="O179"/>
      <c r="P179"/>
      <c r="Q179"/>
      <c r="R179"/>
      <c r="S179"/>
      <c r="T179"/>
      <c r="U179"/>
    </row>
    <row r="180" spans="3:21" s="1099" customFormat="1">
      <c r="C180" s="1099" t="s">
        <v>3347</v>
      </c>
      <c r="D180" s="1099" t="s">
        <v>3347</v>
      </c>
      <c r="E180" s="1099" t="s">
        <v>3347</v>
      </c>
      <c r="F180" s="1099" t="s">
        <v>3347</v>
      </c>
      <c r="G180" s="1099" t="s">
        <v>3347</v>
      </c>
      <c r="H180" s="1100" t="s">
        <v>3347</v>
      </c>
      <c r="I180" s="1270"/>
      <c r="J180" s="1270"/>
      <c r="K180" s="1270"/>
      <c r="L180" s="1270"/>
      <c r="M180" s="1270"/>
      <c r="N180" s="1270"/>
      <c r="O180"/>
      <c r="P180"/>
      <c r="Q180"/>
      <c r="R180"/>
      <c r="S180"/>
      <c r="T180"/>
      <c r="U180"/>
    </row>
    <row r="181" spans="3:21" s="1099" customFormat="1">
      <c r="C181" s="1099">
        <v>4300</v>
      </c>
      <c r="D181" s="1099" t="s">
        <v>222</v>
      </c>
      <c r="E181" s="1099">
        <v>4380</v>
      </c>
      <c r="F181" s="1099" t="s">
        <v>1466</v>
      </c>
      <c r="G181" s="1099">
        <v>4381</v>
      </c>
      <c r="H181" s="1100" t="s">
        <v>1467</v>
      </c>
      <c r="I181" s="1270"/>
      <c r="J181" s="1270"/>
      <c r="K181" s="1270"/>
      <c r="L181" s="1270"/>
      <c r="M181" s="1270"/>
      <c r="N181" s="1270"/>
      <c r="O181"/>
      <c r="P181"/>
      <c r="Q181"/>
      <c r="R181"/>
      <c r="S181"/>
      <c r="T181"/>
      <c r="U181"/>
    </row>
    <row r="182" spans="3:21" s="1099" customFormat="1">
      <c r="G182" s="1099">
        <v>4382</v>
      </c>
      <c r="H182" s="1100" t="s">
        <v>1502</v>
      </c>
      <c r="I182" s="1270"/>
      <c r="J182" s="1270"/>
      <c r="K182" s="1270"/>
      <c r="L182" s="1270"/>
      <c r="M182" s="1270"/>
      <c r="N182" s="1270"/>
      <c r="O182"/>
      <c r="P182"/>
      <c r="Q182"/>
      <c r="R182"/>
      <c r="S182"/>
      <c r="T182"/>
      <c r="U182"/>
    </row>
    <row r="183" spans="3:21" s="1099" customFormat="1">
      <c r="G183" s="1099">
        <v>4385</v>
      </c>
      <c r="H183" s="1100" t="s">
        <v>1484</v>
      </c>
      <c r="I183" s="1270"/>
      <c r="J183" s="1270"/>
      <c r="K183" s="1270"/>
      <c r="L183" s="1270"/>
      <c r="M183" s="1270"/>
      <c r="N183" s="1270"/>
      <c r="O183"/>
      <c r="P183"/>
      <c r="Q183"/>
      <c r="R183"/>
      <c r="S183"/>
      <c r="T183"/>
      <c r="U183"/>
    </row>
    <row r="184" spans="3:21" s="1099" customFormat="1">
      <c r="E184" s="1099" t="s">
        <v>1471</v>
      </c>
      <c r="F184" s="1099" t="s">
        <v>1466</v>
      </c>
      <c r="G184" s="1099">
        <v>4381</v>
      </c>
      <c r="H184" s="1100" t="s">
        <v>1467</v>
      </c>
      <c r="I184" s="1270"/>
      <c r="J184" s="1270"/>
      <c r="K184" s="1270"/>
      <c r="L184" s="1270"/>
      <c r="M184" s="1270"/>
      <c r="N184" s="1270"/>
      <c r="O184"/>
      <c r="P184"/>
      <c r="Q184"/>
      <c r="R184"/>
      <c r="S184"/>
      <c r="T184"/>
      <c r="U184"/>
    </row>
    <row r="185" spans="3:21" s="1099" customFormat="1">
      <c r="G185" s="1099">
        <v>4382</v>
      </c>
      <c r="H185" s="1100" t="s">
        <v>1502</v>
      </c>
      <c r="I185" s="1270"/>
      <c r="J185" s="1270"/>
      <c r="K185" s="1270"/>
      <c r="L185" s="1270"/>
      <c r="M185" s="1270"/>
      <c r="N185" s="1270"/>
      <c r="O185"/>
      <c r="P185"/>
      <c r="Q185"/>
      <c r="R185"/>
      <c r="S185"/>
      <c r="T185"/>
      <c r="U185"/>
    </row>
    <row r="186" spans="3:21" s="1099" customFormat="1">
      <c r="G186" s="1099">
        <v>4385</v>
      </c>
      <c r="H186" s="1100" t="s">
        <v>1484</v>
      </c>
      <c r="I186" s="1270"/>
      <c r="J186" s="1270"/>
      <c r="K186" s="1270"/>
      <c r="L186" s="1270"/>
      <c r="M186" s="1270"/>
      <c r="N186" s="1270"/>
      <c r="O186"/>
      <c r="P186"/>
      <c r="Q186"/>
      <c r="R186"/>
      <c r="S186"/>
      <c r="T186"/>
      <c r="U186"/>
    </row>
    <row r="187" spans="3:21" s="1099" customFormat="1">
      <c r="G187" s="1099" t="s">
        <v>1472</v>
      </c>
      <c r="H187" s="1100" t="s">
        <v>1467</v>
      </c>
      <c r="I187" s="1270"/>
      <c r="J187" s="1270"/>
      <c r="K187" s="1270"/>
      <c r="L187" s="1270"/>
      <c r="M187" s="1270"/>
      <c r="N187" s="1270"/>
      <c r="O187"/>
      <c r="P187"/>
      <c r="Q187"/>
      <c r="R187"/>
      <c r="S187"/>
      <c r="T187"/>
      <c r="U187"/>
    </row>
    <row r="188" spans="3:21" s="1099" customFormat="1">
      <c r="G188" s="1099" t="s">
        <v>4806</v>
      </c>
      <c r="H188" s="1100" t="s">
        <v>1467</v>
      </c>
      <c r="I188" s="1270"/>
      <c r="J188" s="1270"/>
      <c r="K188" s="1270"/>
      <c r="L188" s="1270"/>
      <c r="M188" s="1270"/>
      <c r="N188" s="1270"/>
      <c r="O188"/>
      <c r="P188"/>
      <c r="Q188"/>
      <c r="R188"/>
      <c r="S188"/>
      <c r="T188"/>
      <c r="U188"/>
    </row>
    <row r="189" spans="3:21" s="1099" customFormat="1">
      <c r="E189" s="1099" t="s">
        <v>3347</v>
      </c>
      <c r="F189" s="1099" t="s">
        <v>3347</v>
      </c>
      <c r="G189" s="1099" t="s">
        <v>3347</v>
      </c>
      <c r="H189" s="1100" t="s">
        <v>3347</v>
      </c>
      <c r="I189" s="1270"/>
      <c r="J189" s="1270"/>
      <c r="K189" s="1270"/>
      <c r="L189" s="1270"/>
      <c r="M189" s="1270"/>
      <c r="N189" s="1270"/>
      <c r="O189"/>
      <c r="P189"/>
      <c r="Q189"/>
      <c r="R189"/>
      <c r="S189"/>
      <c r="T189"/>
      <c r="U189"/>
    </row>
    <row r="190" spans="3:21" s="1099" customFormat="1">
      <c r="C190" s="1099">
        <v>4400</v>
      </c>
      <c r="D190" s="1099" t="s">
        <v>451</v>
      </c>
      <c r="E190" s="1099">
        <v>4410</v>
      </c>
      <c r="F190" s="1099" t="s">
        <v>3570</v>
      </c>
      <c r="G190" s="1099">
        <v>4410</v>
      </c>
      <c r="H190" s="1100" t="s">
        <v>3570</v>
      </c>
      <c r="I190" s="1270"/>
      <c r="J190" s="1270"/>
      <c r="K190" s="1270"/>
      <c r="L190" s="1270"/>
      <c r="M190" s="1270"/>
      <c r="N190" s="1270"/>
      <c r="O190"/>
      <c r="P190"/>
      <c r="Q190"/>
      <c r="R190"/>
      <c r="S190"/>
      <c r="T190"/>
      <c r="U190"/>
    </row>
    <row r="191" spans="3:21" s="1099" customFormat="1">
      <c r="E191" s="1099">
        <v>4430</v>
      </c>
      <c r="F191" s="1099" t="s">
        <v>1511</v>
      </c>
      <c r="G191" s="1099">
        <v>4430</v>
      </c>
      <c r="H191" s="1100" t="s">
        <v>1511</v>
      </c>
      <c r="I191" s="1270"/>
      <c r="J191" s="1270"/>
      <c r="K191" s="1270"/>
      <c r="L191" s="1270"/>
      <c r="M191" s="1270"/>
      <c r="N191" s="1270"/>
      <c r="O191"/>
      <c r="P191"/>
      <c r="Q191"/>
      <c r="R191"/>
      <c r="S191"/>
      <c r="T191"/>
      <c r="U191"/>
    </row>
    <row r="192" spans="3:21" s="1099" customFormat="1">
      <c r="G192" s="1099">
        <v>4436</v>
      </c>
      <c r="H192" s="1100" t="s">
        <v>3578</v>
      </c>
      <c r="I192" s="1270"/>
      <c r="J192" s="1270"/>
      <c r="K192" s="1270"/>
      <c r="L192" s="1270"/>
      <c r="M192" s="1270"/>
      <c r="N192" s="1270"/>
      <c r="O192"/>
      <c r="P192"/>
      <c r="Q192"/>
      <c r="R192"/>
      <c r="S192"/>
      <c r="T192"/>
      <c r="U192"/>
    </row>
    <row r="193" spans="2:21" s="1099" customFormat="1">
      <c r="G193" s="1099">
        <v>4439</v>
      </c>
      <c r="H193" s="1100" t="s">
        <v>701</v>
      </c>
      <c r="I193" s="1270"/>
      <c r="J193" s="1270"/>
      <c r="K193" s="1270"/>
      <c r="L193" s="1270"/>
      <c r="M193" s="1270"/>
      <c r="N193" s="1270"/>
      <c r="O193"/>
      <c r="P193"/>
      <c r="Q193"/>
      <c r="R193"/>
      <c r="S193"/>
      <c r="T193"/>
      <c r="U193"/>
    </row>
    <row r="194" spans="2:21" s="1099" customFormat="1">
      <c r="E194" s="1099" t="s">
        <v>1513</v>
      </c>
      <c r="F194" s="1099" t="s">
        <v>1511</v>
      </c>
      <c r="G194" s="1099" t="s">
        <v>1519</v>
      </c>
      <c r="H194" s="1100" t="s">
        <v>1515</v>
      </c>
      <c r="I194" s="1270"/>
      <c r="J194" s="1270"/>
      <c r="K194" s="1270"/>
      <c r="L194" s="1270"/>
      <c r="M194" s="1270"/>
      <c r="N194" s="1270"/>
      <c r="O194"/>
      <c r="P194"/>
      <c r="Q194"/>
      <c r="R194"/>
      <c r="S194"/>
      <c r="T194"/>
      <c r="U194"/>
    </row>
    <row r="195" spans="2:21" s="1099" customFormat="1">
      <c r="G195" s="1099" t="s">
        <v>1514</v>
      </c>
      <c r="H195" s="1100" t="s">
        <v>1515</v>
      </c>
      <c r="I195" s="1270"/>
      <c r="J195" s="1270"/>
      <c r="K195" s="1270"/>
      <c r="L195" s="1270"/>
      <c r="M195" s="1270"/>
      <c r="N195" s="1270"/>
      <c r="O195"/>
      <c r="P195"/>
      <c r="Q195"/>
      <c r="R195"/>
      <c r="S195"/>
      <c r="T195"/>
      <c r="U195"/>
    </row>
    <row r="196" spans="2:21" s="1099" customFormat="1">
      <c r="G196" s="1099" t="s">
        <v>1530</v>
      </c>
      <c r="H196" s="1100" t="s">
        <v>1531</v>
      </c>
      <c r="I196" s="1270"/>
      <c r="J196" s="1270"/>
      <c r="K196" s="1270"/>
      <c r="L196" s="1270"/>
      <c r="M196" s="1270"/>
      <c r="N196" s="1270"/>
      <c r="O196"/>
      <c r="P196"/>
      <c r="Q196"/>
      <c r="R196"/>
      <c r="S196"/>
      <c r="T196"/>
      <c r="U196"/>
    </row>
    <row r="197" spans="2:21" s="1099" customFormat="1">
      <c r="G197" s="1099" t="s">
        <v>4883</v>
      </c>
      <c r="H197" s="1100" t="s">
        <v>3574</v>
      </c>
      <c r="I197" s="1270"/>
      <c r="J197" s="1270"/>
      <c r="K197" s="1270"/>
      <c r="L197" s="1270"/>
      <c r="M197" s="1270"/>
      <c r="N197" s="1270"/>
      <c r="O197"/>
      <c r="P197"/>
      <c r="Q197"/>
      <c r="R197"/>
      <c r="S197"/>
      <c r="T197"/>
      <c r="U197"/>
    </row>
    <row r="198" spans="2:21" s="1099" customFormat="1">
      <c r="G198" s="1099" t="s">
        <v>1537</v>
      </c>
      <c r="H198" s="1100" t="s">
        <v>1538</v>
      </c>
      <c r="I198" s="1270"/>
      <c r="J198" s="1270"/>
      <c r="K198" s="1270"/>
      <c r="L198" s="1270"/>
      <c r="M198" s="1270"/>
      <c r="N198" s="1270"/>
      <c r="O198"/>
      <c r="P198"/>
      <c r="Q198"/>
      <c r="R198"/>
      <c r="S198"/>
      <c r="T198"/>
      <c r="U198"/>
    </row>
    <row r="199" spans="2:21" s="1099" customFormat="1">
      <c r="G199" s="1099">
        <v>4434</v>
      </c>
      <c r="H199" s="1100" t="s">
        <v>3574</v>
      </c>
      <c r="I199" s="1270"/>
      <c r="J199" s="1270"/>
      <c r="K199" s="1270"/>
      <c r="L199" s="1270"/>
      <c r="M199" s="1270"/>
      <c r="N199" s="1270"/>
      <c r="O199"/>
      <c r="P199"/>
      <c r="Q199"/>
      <c r="R199"/>
      <c r="S199"/>
      <c r="T199"/>
      <c r="U199"/>
    </row>
    <row r="200" spans="2:21">
      <c r="B200" s="1099"/>
      <c r="C200" s="1099"/>
      <c r="D200" s="1099"/>
      <c r="E200" s="1099" t="s">
        <v>3347</v>
      </c>
      <c r="F200" s="1099" t="s">
        <v>3347</v>
      </c>
      <c r="G200" s="1099" t="s">
        <v>3347</v>
      </c>
      <c r="H200" s="1100" t="s">
        <v>3347</v>
      </c>
      <c r="I200" s="1270"/>
      <c r="J200" s="1270"/>
      <c r="K200" s="1270"/>
      <c r="L200" s="1270"/>
      <c r="M200" s="1270"/>
      <c r="N200" s="1270"/>
    </row>
    <row r="201" spans="2:21" s="1099" customFormat="1">
      <c r="D201" s="1099" t="s">
        <v>452</v>
      </c>
      <c r="E201" s="1099" t="s">
        <v>1513</v>
      </c>
      <c r="F201" s="1099" t="s">
        <v>1511</v>
      </c>
      <c r="G201" s="1099" t="s">
        <v>1530</v>
      </c>
      <c r="H201" s="1100" t="s">
        <v>1531</v>
      </c>
      <c r="I201" s="1270"/>
      <c r="J201" s="1270"/>
      <c r="K201" s="1270"/>
      <c r="L201" s="1270"/>
      <c r="M201" s="1270"/>
      <c r="N201" s="1270"/>
      <c r="O201"/>
      <c r="P201"/>
      <c r="Q201"/>
      <c r="R201"/>
      <c r="S201"/>
      <c r="T201"/>
      <c r="U201"/>
    </row>
    <row r="202" spans="2:21" s="1099" customFormat="1">
      <c r="C202" s="1099">
        <v>4500</v>
      </c>
      <c r="D202" s="1099" t="s">
        <v>452</v>
      </c>
      <c r="E202" s="1099">
        <v>4520</v>
      </c>
      <c r="F202" s="1099" t="s">
        <v>605</v>
      </c>
      <c r="G202" s="1099">
        <v>4521</v>
      </c>
      <c r="H202" s="1100" t="s">
        <v>621</v>
      </c>
      <c r="I202" s="1270"/>
      <c r="J202" s="1270"/>
      <c r="K202" s="1270"/>
      <c r="L202" s="1270"/>
      <c r="M202" s="1270"/>
      <c r="N202" s="1270"/>
      <c r="O202"/>
      <c r="P202"/>
      <c r="Q202"/>
      <c r="R202"/>
      <c r="S202"/>
      <c r="T202"/>
      <c r="U202"/>
    </row>
    <row r="203" spans="2:21" s="1099" customFormat="1">
      <c r="E203" s="1099">
        <v>4540</v>
      </c>
      <c r="F203" s="1099" t="s">
        <v>1882</v>
      </c>
      <c r="G203" s="1099">
        <v>4540</v>
      </c>
      <c r="H203" s="1100" t="s">
        <v>1883</v>
      </c>
      <c r="I203" s="1270"/>
      <c r="J203" s="1270"/>
      <c r="K203" s="1270"/>
      <c r="L203" s="1270"/>
      <c r="M203" s="1270"/>
      <c r="N203" s="1270"/>
      <c r="O203"/>
      <c r="P203"/>
      <c r="Q203"/>
      <c r="R203"/>
      <c r="S203"/>
      <c r="T203"/>
      <c r="U203"/>
    </row>
    <row r="204" spans="2:21" s="1099" customFormat="1">
      <c r="E204" s="1099" t="s">
        <v>1546</v>
      </c>
      <c r="F204" s="1099" t="s">
        <v>454</v>
      </c>
      <c r="G204" s="1099">
        <v>4510</v>
      </c>
      <c r="H204" s="1100" t="s">
        <v>454</v>
      </c>
      <c r="I204" s="1270"/>
      <c r="J204" s="1270"/>
      <c r="K204" s="1270"/>
      <c r="L204" s="1270"/>
      <c r="M204" s="1270"/>
      <c r="N204" s="1270"/>
      <c r="O204"/>
      <c r="P204"/>
      <c r="Q204"/>
      <c r="R204"/>
      <c r="S204"/>
      <c r="T204"/>
      <c r="U204"/>
    </row>
    <row r="205" spans="2:21" s="1099" customFormat="1">
      <c r="G205" s="1099">
        <v>4511</v>
      </c>
      <c r="H205" s="1100" t="s">
        <v>565</v>
      </c>
      <c r="I205" s="1270"/>
      <c r="J205" s="1270"/>
      <c r="K205" s="1270"/>
      <c r="L205" s="1270"/>
      <c r="M205" s="1270"/>
      <c r="N205" s="1270"/>
      <c r="O205"/>
      <c r="P205"/>
      <c r="Q205"/>
      <c r="R205"/>
      <c r="S205"/>
      <c r="T205"/>
      <c r="U205"/>
    </row>
    <row r="206" spans="2:21" s="1099" customFormat="1">
      <c r="G206" s="1099">
        <v>4512</v>
      </c>
      <c r="H206" s="1100" t="s">
        <v>456</v>
      </c>
      <c r="I206" s="1270"/>
      <c r="J206" s="1270"/>
      <c r="K206" s="1270"/>
      <c r="L206" s="1270"/>
      <c r="M206" s="1270"/>
      <c r="N206" s="1270"/>
      <c r="O206"/>
      <c r="P206"/>
      <c r="Q206"/>
      <c r="R206"/>
      <c r="S206"/>
      <c r="T206"/>
      <c r="U206"/>
    </row>
    <row r="207" spans="2:21" s="1099" customFormat="1">
      <c r="G207" s="1099">
        <v>4513</v>
      </c>
      <c r="H207" s="1100" t="s">
        <v>514</v>
      </c>
      <c r="I207" s="1270"/>
      <c r="J207" s="1270"/>
      <c r="K207" s="1270"/>
      <c r="L207" s="1270"/>
      <c r="M207" s="1270"/>
      <c r="N207" s="1270"/>
      <c r="O207"/>
      <c r="P207"/>
      <c r="Q207"/>
      <c r="R207"/>
      <c r="S207"/>
      <c r="T207"/>
      <c r="U207"/>
    </row>
    <row r="208" spans="2:21" s="1099" customFormat="1">
      <c r="E208" s="1099" t="s">
        <v>1692</v>
      </c>
      <c r="F208" s="1099" t="s">
        <v>605</v>
      </c>
      <c r="G208" s="1099">
        <v>4521</v>
      </c>
      <c r="H208" s="1100" t="s">
        <v>621</v>
      </c>
      <c r="I208" s="1270"/>
      <c r="J208" s="1270"/>
      <c r="K208" s="1270"/>
      <c r="L208" s="1270"/>
      <c r="M208" s="1270"/>
      <c r="N208" s="1270"/>
      <c r="O208"/>
      <c r="P208"/>
      <c r="Q208"/>
      <c r="R208"/>
      <c r="S208"/>
      <c r="T208"/>
      <c r="U208"/>
    </row>
    <row r="209" spans="3:21" s="1099" customFormat="1">
      <c r="G209" s="1099">
        <v>4522</v>
      </c>
      <c r="H209" s="1100" t="s">
        <v>684</v>
      </c>
      <c r="I209" s="1270"/>
      <c r="J209" s="1270"/>
      <c r="K209" s="1270"/>
      <c r="L209" s="1270"/>
      <c r="M209" s="1270"/>
      <c r="N209" s="1270"/>
      <c r="O209"/>
      <c r="P209"/>
      <c r="Q209"/>
      <c r="R209"/>
      <c r="S209"/>
      <c r="T209"/>
      <c r="U209"/>
    </row>
    <row r="210" spans="3:21" s="1099" customFormat="1">
      <c r="G210" s="1099">
        <v>4523</v>
      </c>
      <c r="H210" s="1100" t="s">
        <v>1793</v>
      </c>
      <c r="I210" s="1270"/>
      <c r="J210" s="1270"/>
      <c r="K210" s="1270"/>
      <c r="L210" s="1270"/>
      <c r="M210" s="1270"/>
      <c r="N210" s="1270"/>
      <c r="O210"/>
      <c r="P210"/>
      <c r="Q210"/>
      <c r="R210"/>
      <c r="S210"/>
      <c r="T210"/>
      <c r="U210"/>
    </row>
    <row r="211" spans="3:21" s="1099" customFormat="1">
      <c r="E211" s="1099" t="s">
        <v>1809</v>
      </c>
      <c r="F211" s="1099" t="s">
        <v>1511</v>
      </c>
      <c r="G211" s="1099">
        <v>4530</v>
      </c>
      <c r="H211" s="1100" t="s">
        <v>1511</v>
      </c>
      <c r="I211" s="1270"/>
      <c r="J211" s="1270"/>
      <c r="K211" s="1270"/>
      <c r="L211" s="1270"/>
      <c r="M211" s="1270"/>
      <c r="N211" s="1270"/>
      <c r="O211"/>
      <c r="P211"/>
      <c r="Q211"/>
      <c r="R211"/>
      <c r="S211"/>
      <c r="T211"/>
      <c r="U211"/>
    </row>
    <row r="212" spans="3:21" s="1099" customFormat="1">
      <c r="F212" s="1099" t="s">
        <v>1466</v>
      </c>
      <c r="G212" s="1099">
        <v>4530</v>
      </c>
      <c r="H212" s="1100" t="s">
        <v>1466</v>
      </c>
      <c r="I212" s="1270"/>
      <c r="J212" s="1270"/>
      <c r="K212" s="1270"/>
      <c r="L212" s="1270"/>
      <c r="M212" s="1270"/>
      <c r="N212" s="1270"/>
      <c r="O212"/>
      <c r="P212"/>
      <c r="Q212"/>
      <c r="R212"/>
      <c r="S212"/>
      <c r="T212"/>
      <c r="U212"/>
    </row>
    <row r="213" spans="3:21" s="1099" customFormat="1">
      <c r="F213" s="1099" t="s">
        <v>176</v>
      </c>
      <c r="G213" s="1099">
        <v>4530</v>
      </c>
      <c r="H213" s="1100" t="s">
        <v>176</v>
      </c>
      <c r="I213" s="1270"/>
      <c r="J213" s="1270"/>
      <c r="K213" s="1270"/>
      <c r="L213" s="1270"/>
      <c r="M213" s="1270"/>
      <c r="N213" s="1270"/>
      <c r="O213"/>
      <c r="P213"/>
      <c r="Q213"/>
      <c r="R213"/>
      <c r="S213"/>
      <c r="T213"/>
      <c r="U213"/>
    </row>
    <row r="214" spans="3:21" s="1099" customFormat="1">
      <c r="F214" s="1099" t="s">
        <v>701</v>
      </c>
      <c r="G214" s="1099">
        <v>4530</v>
      </c>
      <c r="H214" s="1100" t="s">
        <v>701</v>
      </c>
      <c r="I214" s="1270"/>
      <c r="J214" s="1270"/>
      <c r="K214" s="1270"/>
      <c r="L214" s="1270"/>
      <c r="M214" s="1270"/>
      <c r="N214" s="1270"/>
      <c r="O214"/>
      <c r="P214"/>
      <c r="Q214"/>
      <c r="R214"/>
      <c r="S214"/>
      <c r="T214"/>
      <c r="U214"/>
    </row>
    <row r="215" spans="3:21" s="1099" customFormat="1">
      <c r="F215" s="1099" t="s">
        <v>1956</v>
      </c>
      <c r="G215" s="1099">
        <v>4530</v>
      </c>
      <c r="H215" s="1100" t="s">
        <v>1956</v>
      </c>
      <c r="I215" s="1270"/>
      <c r="J215" s="1270"/>
      <c r="K215" s="1270"/>
      <c r="L215" s="1270"/>
      <c r="M215" s="1270"/>
      <c r="N215" s="1270"/>
      <c r="O215"/>
      <c r="P215"/>
      <c r="Q215"/>
      <c r="R215"/>
      <c r="S215"/>
      <c r="T215"/>
      <c r="U215"/>
    </row>
    <row r="216" spans="3:21" s="1099" customFormat="1">
      <c r="F216" s="1099" t="s">
        <v>605</v>
      </c>
      <c r="G216" s="1099">
        <v>4530</v>
      </c>
      <c r="H216" s="1100" t="s">
        <v>605</v>
      </c>
      <c r="I216" s="1270"/>
      <c r="J216" s="1270"/>
      <c r="K216" s="1270"/>
      <c r="L216" s="1270"/>
      <c r="M216" s="1270"/>
      <c r="N216" s="1270"/>
      <c r="O216"/>
      <c r="P216"/>
      <c r="Q216"/>
      <c r="R216"/>
      <c r="S216"/>
      <c r="T216"/>
      <c r="U216"/>
    </row>
    <row r="217" spans="3:21" s="1099" customFormat="1">
      <c r="F217" s="1099" t="s">
        <v>1882</v>
      </c>
      <c r="G217" s="1099">
        <v>4530</v>
      </c>
      <c r="H217" s="1100" t="s">
        <v>1882</v>
      </c>
      <c r="I217" s="1270"/>
      <c r="J217" s="1270"/>
      <c r="K217" s="1270"/>
      <c r="L217" s="1270"/>
      <c r="M217" s="1270"/>
      <c r="N217" s="1270"/>
      <c r="O217"/>
      <c r="P217"/>
      <c r="Q217"/>
      <c r="R217"/>
      <c r="S217"/>
      <c r="T217"/>
      <c r="U217"/>
    </row>
    <row r="218" spans="3:21" s="1099" customFormat="1">
      <c r="E218" s="1099" t="s">
        <v>1885</v>
      </c>
      <c r="F218" s="1099" t="s">
        <v>1882</v>
      </c>
      <c r="G218" s="1099">
        <v>4540</v>
      </c>
      <c r="H218" s="1100" t="s">
        <v>1883</v>
      </c>
      <c r="I218" s="1270"/>
      <c r="J218" s="1270"/>
      <c r="K218" s="1270"/>
      <c r="L218" s="1270"/>
      <c r="M218" s="1270"/>
      <c r="N218" s="1270"/>
      <c r="O218"/>
      <c r="P218"/>
      <c r="Q218"/>
      <c r="R218"/>
      <c r="S218"/>
      <c r="T218"/>
      <c r="U218"/>
    </row>
    <row r="219" spans="3:21" s="1099" customFormat="1">
      <c r="E219" s="1099" t="s">
        <v>3347</v>
      </c>
      <c r="F219" s="1099" t="s">
        <v>3347</v>
      </c>
      <c r="G219" s="1099" t="s">
        <v>3347</v>
      </c>
      <c r="H219" s="1100" t="s">
        <v>3347</v>
      </c>
      <c r="I219" s="1270"/>
      <c r="J219" s="1270"/>
      <c r="K219" s="1270"/>
      <c r="L219" s="1270"/>
      <c r="M219" s="1270"/>
      <c r="N219" s="1270"/>
      <c r="O219"/>
      <c r="P219"/>
      <c r="Q219"/>
      <c r="R219"/>
      <c r="S219"/>
      <c r="T219"/>
      <c r="U219"/>
    </row>
    <row r="220" spans="3:21" s="1099" customFormat="1">
      <c r="C220" s="1099">
        <v>4600</v>
      </c>
      <c r="D220" s="1099" t="s">
        <v>838</v>
      </c>
      <c r="E220" s="1099">
        <v>4610</v>
      </c>
      <c r="F220" s="1099" t="s">
        <v>1924</v>
      </c>
      <c r="G220" s="1099">
        <v>4611</v>
      </c>
      <c r="H220" s="1100" t="s">
        <v>877</v>
      </c>
      <c r="I220" s="1270"/>
      <c r="J220" s="1270"/>
      <c r="K220" s="1270"/>
      <c r="L220" s="1270"/>
      <c r="M220" s="1270"/>
      <c r="N220" s="1270"/>
      <c r="O220"/>
      <c r="P220"/>
      <c r="Q220"/>
      <c r="R220"/>
      <c r="S220"/>
      <c r="T220"/>
      <c r="U220"/>
    </row>
    <row r="221" spans="3:21" s="1099" customFormat="1">
      <c r="G221" s="1099">
        <v>4613</v>
      </c>
      <c r="H221" s="1100" t="s">
        <v>842</v>
      </c>
      <c r="I221" s="1270"/>
      <c r="J221" s="1270"/>
      <c r="K221" s="1270"/>
      <c r="L221" s="1270"/>
      <c r="M221" s="1270"/>
      <c r="N221" s="1270"/>
      <c r="O221"/>
      <c r="P221"/>
      <c r="Q221"/>
      <c r="R221"/>
      <c r="S221"/>
      <c r="T221"/>
      <c r="U221"/>
    </row>
    <row r="222" spans="3:21" s="1099" customFormat="1">
      <c r="G222" s="1099" t="s">
        <v>1937</v>
      </c>
      <c r="H222" s="1100" t="s">
        <v>842</v>
      </c>
      <c r="I222" s="1270"/>
      <c r="J222" s="1270"/>
      <c r="K222" s="1270"/>
      <c r="L222" s="1270"/>
      <c r="M222" s="1270"/>
      <c r="N222" s="1270"/>
      <c r="O222"/>
      <c r="P222"/>
      <c r="Q222"/>
      <c r="R222"/>
      <c r="S222"/>
      <c r="T222"/>
      <c r="U222"/>
    </row>
    <row r="223" spans="3:21" s="1099" customFormat="1">
      <c r="G223" s="1099" t="s">
        <v>1925</v>
      </c>
      <c r="H223" s="1100" t="s">
        <v>842</v>
      </c>
      <c r="I223" s="1270"/>
      <c r="J223" s="1270"/>
      <c r="K223" s="1270"/>
      <c r="L223" s="1270"/>
      <c r="M223" s="1270"/>
      <c r="N223" s="1270"/>
      <c r="O223"/>
      <c r="P223"/>
      <c r="Q223"/>
      <c r="R223"/>
      <c r="S223"/>
      <c r="T223"/>
      <c r="U223"/>
    </row>
    <row r="224" spans="3:21" s="1099" customFormat="1">
      <c r="G224" s="1099">
        <v>4614</v>
      </c>
      <c r="H224" s="1100" t="s">
        <v>880</v>
      </c>
      <c r="I224" s="1270"/>
      <c r="J224" s="1270"/>
      <c r="K224" s="1270"/>
      <c r="L224" s="1270"/>
      <c r="M224" s="1270"/>
      <c r="N224" s="1270"/>
      <c r="O224"/>
      <c r="P224"/>
      <c r="Q224"/>
      <c r="R224"/>
      <c r="S224"/>
      <c r="T224"/>
      <c r="U224"/>
    </row>
    <row r="225" spans="1:21" s="1099" customFormat="1">
      <c r="G225" s="1099">
        <v>4619</v>
      </c>
      <c r="H225" s="1100" t="s">
        <v>6600</v>
      </c>
      <c r="I225" s="1270"/>
      <c r="J225" s="1270"/>
      <c r="K225" s="1270"/>
      <c r="L225" s="1270"/>
      <c r="M225" s="1270"/>
      <c r="N225" s="1270"/>
      <c r="O225"/>
      <c r="P225"/>
      <c r="Q225"/>
      <c r="R225"/>
      <c r="S225"/>
      <c r="T225"/>
      <c r="U225"/>
    </row>
    <row r="226" spans="1:21" s="1099" customFormat="1">
      <c r="E226" s="1099" t="s">
        <v>3347</v>
      </c>
      <c r="F226" s="1099" t="s">
        <v>3347</v>
      </c>
      <c r="G226" s="1099" t="s">
        <v>3347</v>
      </c>
      <c r="H226" s="1100" t="s">
        <v>3347</v>
      </c>
      <c r="I226" s="1270"/>
      <c r="J226" s="1270"/>
      <c r="K226" s="1270"/>
      <c r="L226" s="1270"/>
      <c r="M226" s="1270"/>
      <c r="N226" s="1270"/>
      <c r="O226"/>
      <c r="P226"/>
      <c r="Q226"/>
      <c r="R226"/>
      <c r="S226"/>
      <c r="T226"/>
      <c r="U226"/>
    </row>
    <row r="227" spans="1:21" s="1099" customFormat="1">
      <c r="C227" s="1099">
        <v>4700</v>
      </c>
      <c r="D227" s="1099" t="s">
        <v>912</v>
      </c>
      <c r="E227" s="1099">
        <v>4710</v>
      </c>
      <c r="F227" s="1099" t="s">
        <v>1956</v>
      </c>
      <c r="G227" s="1099">
        <v>4711</v>
      </c>
      <c r="H227" s="1100" t="s">
        <v>3584</v>
      </c>
      <c r="I227" s="1270"/>
      <c r="J227" s="1270"/>
      <c r="K227" s="1270"/>
      <c r="L227" s="1270"/>
      <c r="M227" s="1270"/>
      <c r="N227" s="1270"/>
      <c r="O227"/>
      <c r="P227"/>
      <c r="Q227"/>
      <c r="R227"/>
      <c r="S227"/>
      <c r="T227"/>
      <c r="U227"/>
    </row>
    <row r="228" spans="1:21" s="1099" customFormat="1">
      <c r="G228" s="1099">
        <v>4712</v>
      </c>
      <c r="H228" s="1100" t="s">
        <v>1957</v>
      </c>
      <c r="I228" s="1270"/>
      <c r="J228" s="1270"/>
      <c r="K228" s="1270"/>
      <c r="L228" s="1270"/>
      <c r="M228" s="1270"/>
      <c r="N228" s="1270"/>
      <c r="O228"/>
      <c r="P228"/>
      <c r="Q228"/>
      <c r="R228"/>
      <c r="S228"/>
      <c r="T228"/>
      <c r="U228"/>
    </row>
    <row r="229" spans="1:21" s="1099" customFormat="1">
      <c r="E229" s="1099">
        <v>4720</v>
      </c>
      <c r="F229" s="1099" t="s">
        <v>923</v>
      </c>
      <c r="G229" s="1099">
        <v>4720</v>
      </c>
      <c r="H229" s="1100" t="s">
        <v>923</v>
      </c>
      <c r="I229" s="1270"/>
      <c r="J229" s="1270"/>
      <c r="K229" s="1270"/>
      <c r="L229" s="1270"/>
      <c r="M229" s="1270"/>
      <c r="N229" s="1270"/>
      <c r="O229"/>
      <c r="P229"/>
      <c r="Q229"/>
      <c r="R229"/>
      <c r="S229"/>
      <c r="T229"/>
      <c r="U229"/>
    </row>
    <row r="230" spans="1:21" s="1099" customFormat="1">
      <c r="E230" s="1099">
        <v>4730</v>
      </c>
      <c r="F230" s="1099" t="s">
        <v>958</v>
      </c>
      <c r="G230" s="1099">
        <v>4731</v>
      </c>
      <c r="H230" s="1100" t="s">
        <v>968</v>
      </c>
      <c r="I230" s="1270"/>
      <c r="J230" s="1270"/>
      <c r="K230" s="1270"/>
      <c r="L230" s="1270"/>
      <c r="M230" s="1270"/>
      <c r="N230" s="1270"/>
      <c r="O230"/>
      <c r="P230"/>
      <c r="Q230"/>
      <c r="R230"/>
      <c r="S230"/>
      <c r="T230"/>
      <c r="U230"/>
    </row>
    <row r="231" spans="1:21">
      <c r="B231" s="1099"/>
      <c r="C231" s="1099"/>
      <c r="D231" s="1099"/>
      <c r="E231" s="1099"/>
      <c r="F231" s="1099"/>
      <c r="G231" s="1099">
        <v>4732</v>
      </c>
      <c r="H231" s="1100" t="s">
        <v>998</v>
      </c>
      <c r="I231" s="1270"/>
      <c r="J231" s="1270"/>
      <c r="K231" s="1270"/>
      <c r="L231" s="1270"/>
      <c r="M231" s="1270"/>
      <c r="N231" s="1270"/>
    </row>
    <row r="232" spans="1:21" s="1099" customFormat="1">
      <c r="G232" s="1099">
        <v>4733</v>
      </c>
      <c r="H232" s="1100" t="s">
        <v>2035</v>
      </c>
      <c r="I232" s="1270"/>
      <c r="J232" s="1270"/>
      <c r="K232" s="1270"/>
      <c r="L232" s="1270"/>
      <c r="M232" s="1270"/>
      <c r="N232" s="1270"/>
      <c r="O232"/>
      <c r="P232"/>
      <c r="Q232"/>
      <c r="R232"/>
      <c r="S232"/>
      <c r="T232"/>
      <c r="U232"/>
    </row>
    <row r="233" spans="1:21" s="1099" customFormat="1">
      <c r="G233" s="1099">
        <v>4734</v>
      </c>
      <c r="H233" s="1100" t="s">
        <v>1010</v>
      </c>
      <c r="I233" s="1270"/>
      <c r="J233" s="1270"/>
      <c r="K233" s="1270"/>
      <c r="L233" s="1270"/>
      <c r="M233" s="1270"/>
      <c r="N233" s="1270"/>
      <c r="O233"/>
      <c r="P233"/>
      <c r="Q233"/>
      <c r="R233"/>
      <c r="S233"/>
      <c r="T233"/>
      <c r="U233"/>
    </row>
    <row r="234" spans="1:21" s="1099" customFormat="1">
      <c r="E234" s="1099">
        <v>4750</v>
      </c>
      <c r="F234" s="1099" t="s">
        <v>913</v>
      </c>
      <c r="G234" s="1099">
        <v>4750</v>
      </c>
      <c r="H234" s="1100" t="s">
        <v>913</v>
      </c>
      <c r="I234" s="1270"/>
      <c r="J234" s="1270"/>
      <c r="K234" s="1270"/>
      <c r="L234" s="1270"/>
      <c r="M234" s="1270"/>
      <c r="N234" s="1270"/>
      <c r="O234"/>
      <c r="P234"/>
      <c r="Q234"/>
      <c r="R234"/>
      <c r="S234"/>
      <c r="T234"/>
      <c r="U234"/>
    </row>
    <row r="235" spans="1:21" s="1099" customFormat="1">
      <c r="E235" s="1099" t="s">
        <v>1973</v>
      </c>
      <c r="F235" s="1099" t="s">
        <v>923</v>
      </c>
      <c r="G235" s="1099">
        <v>4720</v>
      </c>
      <c r="H235" s="1100" t="s">
        <v>923</v>
      </c>
      <c r="I235" s="1270"/>
      <c r="J235" s="1270"/>
      <c r="K235" s="1270"/>
      <c r="L235" s="1270"/>
      <c r="M235" s="1270"/>
      <c r="N235" s="1270"/>
      <c r="O235"/>
      <c r="P235"/>
      <c r="Q235"/>
      <c r="R235"/>
      <c r="S235"/>
      <c r="T235"/>
      <c r="U235"/>
    </row>
    <row r="236" spans="1:21" s="1099" customFormat="1">
      <c r="E236" s="1099" t="s">
        <v>3347</v>
      </c>
      <c r="F236" s="1099" t="s">
        <v>3347</v>
      </c>
      <c r="G236" s="1099" t="s">
        <v>3347</v>
      </c>
      <c r="H236" s="1100" t="s">
        <v>3347</v>
      </c>
      <c r="I236" s="1270"/>
      <c r="J236" s="1270"/>
      <c r="K236" s="1270"/>
      <c r="L236" s="1270"/>
      <c r="M236" s="1270"/>
      <c r="N236" s="1270"/>
      <c r="O236"/>
      <c r="P236"/>
      <c r="Q236"/>
      <c r="R236"/>
      <c r="S236"/>
      <c r="T236"/>
      <c r="U236"/>
    </row>
    <row r="237" spans="1:21" s="1099" customFormat="1">
      <c r="E237" s="1099">
        <v>4740</v>
      </c>
      <c r="F237" s="1099" t="s">
        <v>917</v>
      </c>
      <c r="G237" s="1099">
        <v>4740</v>
      </c>
      <c r="H237" s="1100" t="s">
        <v>917</v>
      </c>
      <c r="I237" s="1270"/>
      <c r="J237" s="1270"/>
      <c r="K237" s="1270"/>
      <c r="L237" s="1270"/>
      <c r="M237" s="1270"/>
      <c r="N237" s="1270"/>
      <c r="O237"/>
      <c r="P237"/>
      <c r="Q237"/>
      <c r="R237"/>
      <c r="S237"/>
      <c r="T237"/>
      <c r="U237"/>
    </row>
    <row r="238" spans="1:21" s="1099" customFormat="1">
      <c r="B238" s="1099" t="s">
        <v>1072</v>
      </c>
      <c r="C238" s="1099">
        <v>4100</v>
      </c>
      <c r="D238" s="1099" t="s">
        <v>120</v>
      </c>
      <c r="E238" s="1099">
        <v>4130</v>
      </c>
      <c r="F238" s="1099" t="s">
        <v>148</v>
      </c>
      <c r="G238" s="1099">
        <v>4131</v>
      </c>
      <c r="H238" s="1100" t="s">
        <v>1330</v>
      </c>
      <c r="I238" s="1270"/>
      <c r="J238" s="1270"/>
      <c r="K238" s="1270"/>
      <c r="L238" s="1270"/>
      <c r="M238" s="1270"/>
      <c r="N238" s="1270"/>
      <c r="O238"/>
      <c r="P238"/>
      <c r="Q238"/>
      <c r="R238"/>
      <c r="S238"/>
      <c r="T238"/>
      <c r="U238"/>
    </row>
    <row r="239" spans="1:21" s="1099" customFormat="1" ht="39.5">
      <c r="A239" s="1099">
        <v>7000</v>
      </c>
      <c r="B239" s="1100" t="s">
        <v>2420</v>
      </c>
      <c r="C239" s="1099">
        <v>7200</v>
      </c>
      <c r="D239" s="1099" t="s">
        <v>119</v>
      </c>
      <c r="E239" s="1099">
        <v>7210</v>
      </c>
      <c r="F239" s="1099" t="s">
        <v>2421</v>
      </c>
      <c r="G239" s="1099">
        <v>7211</v>
      </c>
      <c r="H239" s="1100" t="s">
        <v>2426</v>
      </c>
      <c r="I239" s="1270"/>
      <c r="J239" s="1270"/>
      <c r="K239" s="1270"/>
      <c r="L239" s="1270"/>
      <c r="M239" s="1270"/>
      <c r="N239" s="1270"/>
      <c r="O239"/>
      <c r="P239"/>
      <c r="Q239"/>
      <c r="R239"/>
      <c r="S239"/>
      <c r="T239"/>
      <c r="U239"/>
    </row>
    <row r="240" spans="1:21" s="1099" customFormat="1">
      <c r="B240" s="1100"/>
      <c r="G240" s="1099">
        <v>7212</v>
      </c>
      <c r="H240" s="1100" t="s">
        <v>2422</v>
      </c>
      <c r="I240" s="1270"/>
      <c r="J240" s="1270"/>
      <c r="K240" s="1270"/>
      <c r="L240" s="1270"/>
      <c r="M240" s="1270"/>
      <c r="N240" s="1270"/>
      <c r="O240"/>
      <c r="P240"/>
      <c r="Q240"/>
      <c r="R240"/>
      <c r="S240"/>
      <c r="T240"/>
      <c r="U240"/>
    </row>
    <row r="241" spans="2:21" s="1099" customFormat="1">
      <c r="B241" s="1100"/>
      <c r="G241" s="1099">
        <v>7213</v>
      </c>
      <c r="H241" s="1100" t="s">
        <v>2594</v>
      </c>
      <c r="I241" s="1270"/>
      <c r="J241" s="1270"/>
      <c r="K241" s="1270"/>
      <c r="L241" s="1270"/>
      <c r="M241" s="1270"/>
      <c r="N241" s="1270"/>
      <c r="O241"/>
      <c r="P241"/>
      <c r="Q241"/>
      <c r="R241"/>
      <c r="S241"/>
      <c r="T241"/>
      <c r="U241"/>
    </row>
    <row r="242" spans="2:21" s="1099" customFormat="1">
      <c r="B242" s="1100"/>
      <c r="G242" s="1099">
        <v>7214</v>
      </c>
      <c r="H242" s="1100" t="s">
        <v>3596</v>
      </c>
      <c r="I242" s="1270"/>
      <c r="J242" s="1270"/>
      <c r="K242" s="1270"/>
      <c r="L242" s="1270"/>
      <c r="M242" s="1270"/>
      <c r="N242" s="1270"/>
      <c r="O242"/>
      <c r="P242"/>
      <c r="Q242"/>
      <c r="R242"/>
      <c r="S242"/>
      <c r="T242"/>
      <c r="U242"/>
    </row>
    <row r="243" spans="2:21" s="1099" customFormat="1">
      <c r="B243" s="1100"/>
      <c r="E243" s="1099">
        <v>7230</v>
      </c>
      <c r="F243" s="1099" t="s">
        <v>2430</v>
      </c>
      <c r="G243" s="1099">
        <v>7231</v>
      </c>
      <c r="H243" s="1100" t="s">
        <v>2443</v>
      </c>
      <c r="I243" s="1270"/>
      <c r="J243" s="1270"/>
      <c r="K243" s="1270"/>
      <c r="L243" s="1270"/>
      <c r="M243" s="1270"/>
      <c r="N243" s="1270"/>
      <c r="O243"/>
      <c r="P243"/>
      <c r="Q243"/>
      <c r="R243"/>
      <c r="S243"/>
      <c r="T243"/>
      <c r="U243"/>
    </row>
    <row r="244" spans="2:21" s="1099" customFormat="1">
      <c r="B244" s="1100"/>
      <c r="G244" s="1099">
        <v>7232</v>
      </c>
      <c r="H244" s="1100" t="s">
        <v>2486</v>
      </c>
      <c r="I244" s="1270"/>
      <c r="J244" s="1270"/>
      <c r="K244" s="1270"/>
      <c r="L244" s="1270"/>
      <c r="M244" s="1270"/>
      <c r="N244" s="1270"/>
      <c r="O244"/>
      <c r="P244"/>
      <c r="Q244"/>
      <c r="R244"/>
      <c r="S244"/>
      <c r="T244"/>
      <c r="U244"/>
    </row>
    <row r="245" spans="2:21" s="1099" customFormat="1">
      <c r="B245" s="1100"/>
      <c r="G245" s="1099">
        <v>7234</v>
      </c>
      <c r="H245" s="1100" t="s">
        <v>2431</v>
      </c>
      <c r="I245" s="1270"/>
      <c r="J245" s="1270"/>
      <c r="K245" s="1270"/>
      <c r="L245" s="1270"/>
      <c r="M245" s="1270"/>
      <c r="N245" s="1270"/>
      <c r="O245"/>
      <c r="P245"/>
      <c r="Q245"/>
      <c r="R245"/>
      <c r="S245"/>
      <c r="T245"/>
      <c r="U245"/>
    </row>
    <row r="246" spans="2:21" s="1099" customFormat="1">
      <c r="B246" s="1100"/>
      <c r="G246" s="1099">
        <v>7235</v>
      </c>
      <c r="H246" s="1100" t="s">
        <v>2459</v>
      </c>
      <c r="I246" s="1270"/>
      <c r="J246" s="1270"/>
      <c r="K246" s="1270"/>
      <c r="L246" s="1270"/>
      <c r="M246" s="1270"/>
      <c r="N246" s="1270"/>
      <c r="O246"/>
      <c r="P246"/>
      <c r="Q246"/>
      <c r="R246"/>
      <c r="S246"/>
      <c r="T246"/>
      <c r="U246"/>
    </row>
    <row r="247" spans="2:21" s="1099" customFormat="1">
      <c r="B247" s="1100"/>
      <c r="G247" s="1099">
        <v>7238</v>
      </c>
      <c r="H247" s="1100" t="s">
        <v>3599</v>
      </c>
      <c r="I247" s="1270"/>
      <c r="J247" s="1270"/>
      <c r="K247" s="1270"/>
      <c r="L247" s="1270"/>
      <c r="M247" s="1270"/>
      <c r="N247" s="1270"/>
      <c r="O247"/>
      <c r="P247"/>
      <c r="Q247"/>
      <c r="R247"/>
      <c r="S247"/>
      <c r="T247"/>
      <c r="U247"/>
    </row>
    <row r="248" spans="2:21" s="1099" customFormat="1">
      <c r="B248" s="1100"/>
      <c r="E248" s="1099">
        <v>7240</v>
      </c>
      <c r="F248" s="1099" t="s">
        <v>3600</v>
      </c>
      <c r="G248" s="1099">
        <v>7241</v>
      </c>
      <c r="H248" s="1100" t="s">
        <v>3601</v>
      </c>
      <c r="I248" s="1270"/>
      <c r="J248" s="1270"/>
      <c r="K248" s="1270"/>
      <c r="L248" s="1270"/>
      <c r="M248" s="1270"/>
      <c r="N248" s="1270"/>
      <c r="O248"/>
      <c r="P248"/>
      <c r="Q248"/>
      <c r="R248"/>
      <c r="S248"/>
      <c r="T248"/>
      <c r="U248"/>
    </row>
    <row r="249" spans="2:21" s="1099" customFormat="1">
      <c r="B249" s="1100"/>
      <c r="G249" s="1099">
        <v>7242</v>
      </c>
      <c r="H249" s="1100" t="s">
        <v>3602</v>
      </c>
      <c r="I249" s="1270"/>
      <c r="J249" s="1270"/>
      <c r="K249" s="1270"/>
      <c r="L249" s="1270"/>
      <c r="M249" s="1270"/>
      <c r="N249" s="1270"/>
      <c r="O249"/>
      <c r="P249"/>
      <c r="Q249"/>
      <c r="R249"/>
      <c r="S249"/>
      <c r="T249"/>
      <c r="U249"/>
    </row>
    <row r="250" spans="2:21" s="1099" customFormat="1">
      <c r="B250" s="1100"/>
      <c r="G250" s="1099">
        <v>7244</v>
      </c>
      <c r="H250" s="1100" t="s">
        <v>3603</v>
      </c>
      <c r="I250" s="1270"/>
      <c r="J250" s="1270"/>
      <c r="K250" s="1270"/>
      <c r="L250" s="1270"/>
      <c r="M250" s="1270"/>
      <c r="N250" s="1270"/>
      <c r="O250"/>
      <c r="P250"/>
      <c r="Q250"/>
      <c r="R250"/>
      <c r="S250"/>
      <c r="T250"/>
      <c r="U250"/>
    </row>
    <row r="251" spans="2:21" s="1099" customFormat="1">
      <c r="B251" s="1100"/>
      <c r="G251" s="1099">
        <v>7243</v>
      </c>
      <c r="H251" s="1100" t="s">
        <v>6601</v>
      </c>
      <c r="I251" s="1270"/>
      <c r="J251" s="1270"/>
      <c r="K251" s="1270"/>
      <c r="L251" s="1270"/>
      <c r="M251" s="1270"/>
      <c r="N251" s="1270"/>
      <c r="O251"/>
      <c r="P251"/>
      <c r="Q251"/>
      <c r="R251"/>
      <c r="S251"/>
      <c r="T251"/>
      <c r="U251"/>
    </row>
    <row r="252" spans="2:21" s="1099" customFormat="1">
      <c r="B252" s="1100"/>
      <c r="G252" s="1099">
        <v>7245</v>
      </c>
      <c r="H252" s="1100" t="s">
        <v>6602</v>
      </c>
      <c r="I252" s="1270"/>
      <c r="J252" s="1270"/>
      <c r="K252" s="1270"/>
      <c r="L252" s="1270"/>
      <c r="M252" s="1270"/>
      <c r="N252" s="1270"/>
      <c r="O252"/>
      <c r="P252"/>
      <c r="Q252"/>
      <c r="R252"/>
      <c r="S252"/>
      <c r="T252"/>
      <c r="U252"/>
    </row>
    <row r="253" spans="2:21" s="1099" customFormat="1">
      <c r="B253" s="1100"/>
      <c r="E253" s="1099">
        <v>7250</v>
      </c>
      <c r="F253" s="1099" t="s">
        <v>2569</v>
      </c>
      <c r="G253" s="1099">
        <v>7251</v>
      </c>
      <c r="H253" s="1100" t="s">
        <v>2570</v>
      </c>
      <c r="I253" s="1270"/>
      <c r="J253" s="1270"/>
      <c r="K253" s="1270"/>
      <c r="L253" s="1270"/>
      <c r="M253" s="1270"/>
      <c r="N253" s="1270"/>
      <c r="O253"/>
      <c r="P253"/>
      <c r="Q253"/>
      <c r="R253"/>
      <c r="S253"/>
      <c r="T253"/>
      <c r="U253"/>
    </row>
    <row r="254" spans="2:21" s="1099" customFormat="1">
      <c r="B254" s="1100"/>
      <c r="G254" s="1099">
        <v>7252</v>
      </c>
      <c r="H254" s="1100" t="s">
        <v>3607</v>
      </c>
      <c r="I254" s="1270"/>
      <c r="J254" s="1270"/>
      <c r="K254" s="1270"/>
      <c r="L254" s="1270"/>
      <c r="M254" s="1270"/>
      <c r="N254" s="1270"/>
      <c r="O254"/>
      <c r="P254"/>
      <c r="Q254"/>
      <c r="R254"/>
      <c r="S254"/>
      <c r="T254"/>
      <c r="U254"/>
    </row>
    <row r="255" spans="2:21" s="1099" customFormat="1">
      <c r="B255" s="1100"/>
      <c r="E255" s="1099">
        <v>7270</v>
      </c>
      <c r="F255" s="1099" t="s">
        <v>2580</v>
      </c>
      <c r="G255" s="1099">
        <v>7271</v>
      </c>
      <c r="H255" s="1100" t="s">
        <v>3609</v>
      </c>
      <c r="I255" s="1270"/>
      <c r="J255" s="1270"/>
      <c r="K255" s="1270"/>
      <c r="L255" s="1270"/>
      <c r="M255" s="1270"/>
      <c r="N255" s="1270"/>
      <c r="O255"/>
      <c r="P255"/>
      <c r="Q255"/>
      <c r="R255"/>
      <c r="S255"/>
      <c r="T255"/>
      <c r="U255"/>
    </row>
    <row r="256" spans="2:21" s="1099" customFormat="1">
      <c r="B256" s="1100"/>
      <c r="G256" s="1099">
        <v>7273</v>
      </c>
      <c r="H256" s="1100" t="s">
        <v>2581</v>
      </c>
      <c r="I256" s="1270"/>
      <c r="J256" s="1270"/>
      <c r="K256" s="1270"/>
      <c r="L256" s="1270"/>
      <c r="M256" s="1270"/>
      <c r="N256" s="1270"/>
      <c r="O256"/>
      <c r="P256"/>
      <c r="Q256"/>
      <c r="R256"/>
      <c r="S256"/>
      <c r="T256"/>
      <c r="U256"/>
    </row>
    <row r="257" spans="2:21" s="1099" customFormat="1">
      <c r="B257" s="1100"/>
      <c r="G257" s="1099">
        <v>7275</v>
      </c>
      <c r="H257" s="1100" t="s">
        <v>3611</v>
      </c>
      <c r="I257" s="1270"/>
      <c r="J257" s="1270"/>
      <c r="K257" s="1270"/>
      <c r="L257" s="1270"/>
      <c r="M257" s="1270"/>
      <c r="N257" s="1270"/>
      <c r="O257"/>
      <c r="P257"/>
      <c r="Q257"/>
      <c r="R257"/>
      <c r="S257"/>
      <c r="T257"/>
      <c r="U257"/>
    </row>
    <row r="258" spans="2:21" s="1099" customFormat="1">
      <c r="B258" s="1100"/>
      <c r="E258" s="1099" t="s">
        <v>3347</v>
      </c>
      <c r="F258" s="1099" t="s">
        <v>3347</v>
      </c>
      <c r="G258" s="1099" t="s">
        <v>3347</v>
      </c>
      <c r="H258" s="1100" t="s">
        <v>3347</v>
      </c>
      <c r="I258" s="1270"/>
      <c r="J258" s="1270"/>
      <c r="K258" s="1270"/>
      <c r="L258" s="1270"/>
      <c r="M258" s="1270"/>
      <c r="N258" s="1270"/>
      <c r="O258"/>
      <c r="P258"/>
      <c r="Q258"/>
      <c r="R258"/>
      <c r="S258"/>
      <c r="T258"/>
      <c r="U258"/>
    </row>
    <row r="259" spans="2:21" s="1099" customFormat="1">
      <c r="B259" s="1100"/>
      <c r="C259" s="1099" t="s">
        <v>3347</v>
      </c>
      <c r="D259" s="1099" t="s">
        <v>3347</v>
      </c>
      <c r="E259" s="1099" t="s">
        <v>3347</v>
      </c>
      <c r="F259" s="1099" t="s">
        <v>3347</v>
      </c>
      <c r="G259" s="1099" t="s">
        <v>3347</v>
      </c>
      <c r="H259" s="1100" t="s">
        <v>3347</v>
      </c>
      <c r="I259" s="1270"/>
      <c r="J259" s="1270"/>
      <c r="K259" s="1270"/>
      <c r="L259" s="1270"/>
      <c r="M259" s="1270"/>
      <c r="N259" s="1270"/>
      <c r="O259"/>
      <c r="P259"/>
      <c r="Q259"/>
      <c r="R259"/>
      <c r="S259"/>
      <c r="T259"/>
      <c r="U259"/>
    </row>
    <row r="260" spans="2:21">
      <c r="B260" s="1100"/>
      <c r="C260" s="1099">
        <v>7100</v>
      </c>
      <c r="D260" s="1099" t="s">
        <v>78</v>
      </c>
      <c r="E260" s="1099">
        <v>7110</v>
      </c>
      <c r="F260" s="1099" t="s">
        <v>3588</v>
      </c>
      <c r="G260" s="1099">
        <v>7111</v>
      </c>
      <c r="H260" s="1100" t="s">
        <v>3589</v>
      </c>
      <c r="I260" s="1270"/>
      <c r="J260" s="1270"/>
      <c r="K260" s="1270"/>
      <c r="L260" s="1270"/>
      <c r="M260" s="1270"/>
      <c r="N260" s="1270"/>
    </row>
    <row r="261" spans="2:21" s="1099" customFormat="1">
      <c r="B261" s="1100"/>
      <c r="E261" s="1099">
        <v>7120</v>
      </c>
      <c r="F261" s="1099" t="s">
        <v>3591</v>
      </c>
      <c r="G261" s="1099">
        <v>7121</v>
      </c>
      <c r="H261" s="1100" t="s">
        <v>3592</v>
      </c>
      <c r="I261" s="1270"/>
      <c r="J261" s="1270"/>
      <c r="K261" s="1270"/>
      <c r="L261" s="1270"/>
      <c r="M261" s="1270"/>
      <c r="N261" s="1270"/>
      <c r="O261"/>
      <c r="P261"/>
      <c r="Q261"/>
      <c r="R261"/>
      <c r="S261"/>
      <c r="T261"/>
      <c r="U261"/>
    </row>
    <row r="262" spans="2:21" s="1099" customFormat="1">
      <c r="B262" s="1100"/>
      <c r="G262" s="1099">
        <v>7122</v>
      </c>
      <c r="H262" s="1100" t="s">
        <v>3593</v>
      </c>
      <c r="I262" s="1270"/>
      <c r="J262" s="1270"/>
      <c r="K262" s="1270"/>
      <c r="L262" s="1270"/>
      <c r="M262" s="1270"/>
      <c r="N262" s="1270"/>
      <c r="O262"/>
      <c r="P262"/>
      <c r="Q262"/>
      <c r="R262"/>
      <c r="S262"/>
      <c r="T262"/>
      <c r="U262"/>
    </row>
    <row r="263" spans="2:21" s="1099" customFormat="1">
      <c r="B263" s="1100"/>
      <c r="G263" s="1099">
        <v>7123</v>
      </c>
      <c r="H263" s="1100" t="s">
        <v>3594</v>
      </c>
      <c r="I263" s="1270"/>
      <c r="J263" s="1270"/>
      <c r="K263" s="1270"/>
      <c r="L263" s="1270"/>
      <c r="M263" s="1270"/>
      <c r="N263" s="1270"/>
      <c r="O263"/>
      <c r="P263"/>
      <c r="Q263"/>
      <c r="R263"/>
      <c r="S263"/>
      <c r="T263"/>
      <c r="U263"/>
    </row>
    <row r="264" spans="2:21" s="1099" customFormat="1">
      <c r="B264" s="1100"/>
      <c r="E264" s="1099" t="s">
        <v>3347</v>
      </c>
      <c r="F264" s="1099" t="s">
        <v>3347</v>
      </c>
      <c r="G264" s="1099" t="s">
        <v>3347</v>
      </c>
      <c r="H264" s="1100" t="s">
        <v>3347</v>
      </c>
      <c r="I264" s="1270"/>
      <c r="J264" s="1270"/>
      <c r="K264" s="1270"/>
      <c r="L264" s="1270"/>
      <c r="M264" s="1270"/>
      <c r="N264" s="1270"/>
      <c r="O264"/>
      <c r="P264"/>
      <c r="Q264"/>
      <c r="R264"/>
      <c r="S264"/>
      <c r="T264"/>
      <c r="U264"/>
    </row>
    <row r="265" spans="2:21" s="1099" customFormat="1">
      <c r="B265" s="1100"/>
      <c r="C265" s="1099">
        <v>7300</v>
      </c>
      <c r="D265" s="1099" t="s">
        <v>1072</v>
      </c>
      <c r="E265" s="1099" t="s">
        <v>3347</v>
      </c>
      <c r="F265" s="1099" t="s">
        <v>3347</v>
      </c>
      <c r="G265" s="1099" t="s">
        <v>3347</v>
      </c>
      <c r="H265" s="1100" t="s">
        <v>3347</v>
      </c>
      <c r="I265" s="1270"/>
      <c r="J265" s="1270"/>
      <c r="K265" s="1270"/>
      <c r="L265" s="1270"/>
      <c r="M265" s="1270"/>
      <c r="N265" s="1270"/>
      <c r="O265"/>
      <c r="P265"/>
      <c r="Q265"/>
      <c r="R265"/>
      <c r="S265"/>
      <c r="T265"/>
      <c r="U265"/>
    </row>
    <row r="266" spans="2:21" s="1099" customFormat="1">
      <c r="B266" s="1100"/>
      <c r="E266" s="1099">
        <v>7340</v>
      </c>
      <c r="F266" s="1099" t="s">
        <v>3600</v>
      </c>
      <c r="G266" s="1099">
        <v>7340</v>
      </c>
      <c r="H266" s="1100" t="s">
        <v>3600</v>
      </c>
      <c r="I266" s="1270"/>
      <c r="J266" s="1270"/>
      <c r="K266" s="1270"/>
      <c r="L266" s="1270"/>
      <c r="M266" s="1270"/>
      <c r="N266" s="1270"/>
      <c r="O266"/>
      <c r="P266"/>
      <c r="Q266"/>
      <c r="R266"/>
      <c r="S266"/>
      <c r="T266"/>
      <c r="U266"/>
    </row>
    <row r="267" spans="2:21" s="1099" customFormat="1">
      <c r="B267" s="1100"/>
      <c r="C267" s="1099">
        <v>7400</v>
      </c>
      <c r="D267" s="1099" t="s">
        <v>1316</v>
      </c>
      <c r="E267" s="1099">
        <v>7410</v>
      </c>
      <c r="F267" s="1099" t="s">
        <v>2421</v>
      </c>
      <c r="G267" s="1099">
        <v>7411</v>
      </c>
      <c r="H267" s="1100" t="s">
        <v>2426</v>
      </c>
      <c r="I267" s="1270"/>
      <c r="J267" s="1270"/>
      <c r="K267" s="1270"/>
      <c r="L267" s="1270"/>
      <c r="M267" s="1270"/>
      <c r="N267" s="1270"/>
      <c r="O267"/>
      <c r="P267"/>
      <c r="Q267"/>
      <c r="R267"/>
      <c r="S267"/>
      <c r="T267"/>
      <c r="U267"/>
    </row>
    <row r="268" spans="2:21" s="1099" customFormat="1">
      <c r="B268" s="1100"/>
      <c r="G268" s="1099">
        <v>7412</v>
      </c>
      <c r="H268" s="1100" t="s">
        <v>2594</v>
      </c>
      <c r="I268" s="1270"/>
      <c r="J268" s="1270"/>
      <c r="K268" s="1270"/>
      <c r="L268" s="1270"/>
      <c r="M268" s="1270"/>
      <c r="N268" s="1270"/>
      <c r="O268"/>
      <c r="P268"/>
      <c r="Q268"/>
      <c r="R268"/>
      <c r="S268"/>
      <c r="T268"/>
      <c r="U268"/>
    </row>
    <row r="269" spans="2:21" s="1099" customFormat="1">
      <c r="B269" s="1100"/>
      <c r="E269" s="1099">
        <v>7430</v>
      </c>
      <c r="F269" s="1099" t="s">
        <v>2430</v>
      </c>
      <c r="G269" s="1099">
        <v>7431</v>
      </c>
      <c r="H269" s="1100" t="s">
        <v>2443</v>
      </c>
      <c r="I269" s="1270"/>
      <c r="J269" s="1270"/>
      <c r="K269" s="1270"/>
      <c r="L269" s="1270"/>
      <c r="M269" s="1270"/>
      <c r="N269" s="1270"/>
      <c r="O269"/>
      <c r="P269"/>
      <c r="Q269"/>
      <c r="R269"/>
      <c r="S269"/>
      <c r="T269"/>
      <c r="U269"/>
    </row>
    <row r="270" spans="2:21" s="1099" customFormat="1">
      <c r="B270" s="1100"/>
      <c r="G270" s="1099">
        <v>7432</v>
      </c>
      <c r="H270" s="1100" t="s">
        <v>2486</v>
      </c>
      <c r="I270" s="1270"/>
      <c r="J270" s="1270"/>
      <c r="K270" s="1270"/>
      <c r="L270" s="1270"/>
      <c r="M270" s="1270"/>
      <c r="N270" s="1270"/>
      <c r="O270"/>
      <c r="P270"/>
      <c r="Q270"/>
      <c r="R270"/>
      <c r="S270"/>
      <c r="T270"/>
      <c r="U270"/>
    </row>
    <row r="271" spans="2:21" s="1099" customFormat="1">
      <c r="B271" s="1100"/>
      <c r="G271" s="1099">
        <v>7434</v>
      </c>
      <c r="H271" s="1100" t="s">
        <v>2431</v>
      </c>
      <c r="I271" s="1270"/>
      <c r="J271" s="1270"/>
      <c r="K271" s="1270"/>
      <c r="L271" s="1270"/>
      <c r="M271" s="1270"/>
      <c r="N271" s="1270"/>
      <c r="O271"/>
      <c r="P271"/>
      <c r="Q271"/>
      <c r="R271"/>
      <c r="S271"/>
      <c r="T271"/>
      <c r="U271"/>
    </row>
    <row r="272" spans="2:21" s="1099" customFormat="1">
      <c r="B272" s="1100"/>
      <c r="G272" s="1099">
        <v>7435</v>
      </c>
      <c r="H272" s="1100" t="s">
        <v>2459</v>
      </c>
      <c r="I272" s="1270"/>
      <c r="J272" s="1270"/>
      <c r="K272" s="1270"/>
      <c r="L272" s="1270"/>
      <c r="M272" s="1270"/>
      <c r="N272" s="1270"/>
      <c r="O272"/>
      <c r="P272"/>
      <c r="Q272"/>
      <c r="R272"/>
      <c r="S272"/>
      <c r="T272"/>
      <c r="U272"/>
    </row>
    <row r="273" spans="1:21" s="1099" customFormat="1">
      <c r="B273" s="1100"/>
      <c r="E273" s="1099">
        <v>7470</v>
      </c>
      <c r="F273" s="1099" t="s">
        <v>2580</v>
      </c>
      <c r="G273" s="1099">
        <v>7470</v>
      </c>
      <c r="H273" s="1100" t="s">
        <v>2580</v>
      </c>
      <c r="I273" s="1270"/>
      <c r="J273" s="1270"/>
      <c r="K273" s="1270"/>
      <c r="L273" s="1270"/>
      <c r="M273" s="1270"/>
      <c r="N273" s="1270"/>
      <c r="O273"/>
      <c r="P273"/>
      <c r="Q273"/>
      <c r="R273"/>
      <c r="S273"/>
      <c r="T273"/>
      <c r="U273"/>
    </row>
    <row r="274" spans="1:21" s="1099" customFormat="1">
      <c r="B274" s="1100"/>
      <c r="G274" s="1099">
        <v>7471</v>
      </c>
      <c r="H274" s="1100" t="s">
        <v>3609</v>
      </c>
      <c r="I274" s="1270"/>
      <c r="J274" s="1270"/>
      <c r="K274" s="1270"/>
      <c r="L274" s="1270"/>
      <c r="M274" s="1270"/>
      <c r="N274" s="1270"/>
      <c r="O274"/>
      <c r="P274"/>
      <c r="Q274"/>
      <c r="R274"/>
      <c r="S274"/>
      <c r="T274"/>
      <c r="U274"/>
    </row>
    <row r="275" spans="1:21" s="1099" customFormat="1">
      <c r="B275" s="1100"/>
      <c r="G275" s="1099">
        <v>7473</v>
      </c>
      <c r="H275" s="1100" t="s">
        <v>2581</v>
      </c>
      <c r="I275" s="1270"/>
      <c r="J275" s="1270"/>
      <c r="K275" s="1270"/>
      <c r="L275" s="1270"/>
      <c r="M275" s="1270"/>
      <c r="N275" s="1270"/>
      <c r="O275"/>
      <c r="P275"/>
      <c r="Q275"/>
      <c r="R275"/>
      <c r="S275"/>
      <c r="T275"/>
      <c r="U275"/>
    </row>
    <row r="276" spans="1:21" s="1099" customFormat="1">
      <c r="B276" s="1100"/>
      <c r="G276" s="1099">
        <v>7475</v>
      </c>
      <c r="H276" s="1100" t="s">
        <v>3611</v>
      </c>
      <c r="I276" s="1270"/>
      <c r="J276" s="1270"/>
      <c r="K276" s="1270"/>
      <c r="L276" s="1270"/>
      <c r="M276" s="1270"/>
      <c r="N276" s="1270"/>
      <c r="O276"/>
      <c r="P276"/>
      <c r="Q276"/>
      <c r="R276"/>
      <c r="S276"/>
      <c r="T276"/>
      <c r="U276"/>
    </row>
    <row r="277" spans="1:21" s="1099" customFormat="1">
      <c r="B277" s="1100"/>
      <c r="E277" s="1099">
        <v>7480</v>
      </c>
      <c r="F277" s="1099" t="s">
        <v>3613</v>
      </c>
      <c r="G277" s="1099">
        <v>7482</v>
      </c>
      <c r="H277" s="1100" t="s">
        <v>3617</v>
      </c>
      <c r="I277" s="1270"/>
      <c r="J277" s="1270"/>
      <c r="K277" s="1270"/>
      <c r="L277" s="1270"/>
      <c r="M277" s="1270"/>
      <c r="N277" s="1270"/>
      <c r="O277"/>
      <c r="P277"/>
      <c r="Q277"/>
      <c r="R277"/>
      <c r="S277"/>
      <c r="T277"/>
      <c r="U277"/>
    </row>
    <row r="278" spans="1:21" s="1099" customFormat="1">
      <c r="B278" s="1100"/>
      <c r="G278" s="1099">
        <v>7484</v>
      </c>
      <c r="H278" s="1100" t="s">
        <v>3618</v>
      </c>
      <c r="I278" s="1270"/>
      <c r="J278" s="1270"/>
      <c r="K278" s="1270"/>
      <c r="L278" s="1270"/>
      <c r="M278" s="1270"/>
      <c r="N278" s="1270"/>
      <c r="O278"/>
      <c r="P278"/>
      <c r="Q278"/>
      <c r="R278"/>
      <c r="S278"/>
      <c r="T278"/>
      <c r="U278"/>
    </row>
    <row r="279" spans="1:21" s="1099" customFormat="1">
      <c r="B279" s="1100"/>
      <c r="E279" s="1099" t="s">
        <v>2656</v>
      </c>
      <c r="F279" s="1099" t="s">
        <v>2569</v>
      </c>
      <c r="G279" s="1099" t="s">
        <v>2657</v>
      </c>
      <c r="H279" s="1100" t="s">
        <v>2570</v>
      </c>
      <c r="I279" s="1270"/>
      <c r="J279" s="1270"/>
      <c r="K279" s="1270"/>
      <c r="L279" s="1270"/>
      <c r="M279" s="1270"/>
      <c r="N279" s="1270"/>
      <c r="O279"/>
      <c r="P279"/>
      <c r="Q279"/>
      <c r="R279"/>
      <c r="S279"/>
      <c r="T279"/>
      <c r="U279"/>
    </row>
    <row r="280" spans="1:21" s="1099" customFormat="1">
      <c r="B280" s="1100"/>
      <c r="E280" s="1099" t="s">
        <v>3347</v>
      </c>
      <c r="F280" s="1099" t="s">
        <v>3347</v>
      </c>
      <c r="G280" s="1099" t="s">
        <v>3347</v>
      </c>
      <c r="H280" s="1100" t="s">
        <v>3347</v>
      </c>
      <c r="I280" s="1270"/>
      <c r="J280" s="1270"/>
      <c r="K280" s="1270"/>
      <c r="L280" s="1270"/>
      <c r="M280" s="1270"/>
      <c r="N280" s="1270"/>
      <c r="O280"/>
      <c r="P280"/>
      <c r="Q280"/>
      <c r="R280"/>
      <c r="S280"/>
      <c r="T280"/>
      <c r="U280"/>
    </row>
    <row r="281" spans="1:21" s="1099" customFormat="1">
      <c r="B281" s="1100"/>
      <c r="E281" s="1099">
        <v>7440</v>
      </c>
      <c r="F281" s="1099" t="s">
        <v>3600</v>
      </c>
      <c r="G281" s="1099">
        <v>7441</v>
      </c>
      <c r="H281" s="1100" t="s">
        <v>3601</v>
      </c>
      <c r="I281" s="1270"/>
      <c r="J281" s="1270"/>
      <c r="K281" s="1270"/>
      <c r="L281" s="1270"/>
      <c r="M281" s="1270"/>
      <c r="N281" s="1270"/>
      <c r="O281"/>
      <c r="P281"/>
      <c r="Q281"/>
      <c r="R281"/>
      <c r="S281"/>
      <c r="T281"/>
      <c r="U281"/>
    </row>
    <row r="282" spans="1:21" s="1099" customFormat="1">
      <c r="B282" s="1100"/>
      <c r="G282" s="1099">
        <v>7443</v>
      </c>
      <c r="H282" s="1100" t="s">
        <v>6601</v>
      </c>
      <c r="I282" s="1270"/>
      <c r="J282" s="1270"/>
      <c r="K282" s="1270"/>
      <c r="L282" s="1270"/>
      <c r="M282" s="1270"/>
      <c r="N282" s="1270"/>
      <c r="O282"/>
      <c r="P282"/>
      <c r="Q282"/>
      <c r="R282"/>
      <c r="S282"/>
      <c r="T282"/>
      <c r="U282"/>
    </row>
    <row r="283" spans="1:21" s="1099" customFormat="1">
      <c r="B283" s="1100"/>
      <c r="G283" s="1099">
        <v>7444</v>
      </c>
      <c r="H283" s="1100" t="s">
        <v>3603</v>
      </c>
      <c r="I283" s="1270"/>
      <c r="J283" s="1270"/>
      <c r="K283" s="1270"/>
      <c r="L283" s="1270"/>
      <c r="M283" s="1270"/>
      <c r="N283" s="1270"/>
      <c r="O283"/>
      <c r="P283"/>
      <c r="Q283"/>
      <c r="R283"/>
      <c r="S283"/>
      <c r="T283"/>
      <c r="U283"/>
    </row>
    <row r="284" spans="1:21" s="1099" customFormat="1">
      <c r="B284" s="1100"/>
      <c r="G284" s="1099">
        <v>7445</v>
      </c>
      <c r="H284" s="1100" t="s">
        <v>6602</v>
      </c>
      <c r="I284" s="1270"/>
      <c r="J284" s="1270"/>
      <c r="K284" s="1270"/>
      <c r="L284" s="1270"/>
      <c r="M284" s="1270"/>
      <c r="N284" s="1270"/>
      <c r="O284"/>
      <c r="P284"/>
      <c r="Q284"/>
      <c r="R284"/>
      <c r="S284"/>
      <c r="T284"/>
      <c r="U284"/>
    </row>
    <row r="285" spans="1:21" s="1099" customFormat="1">
      <c r="A285" s="1099">
        <v>8000</v>
      </c>
      <c r="B285" s="1099" t="s">
        <v>2666</v>
      </c>
      <c r="C285" s="1099" t="s">
        <v>3347</v>
      </c>
      <c r="D285" s="1099" t="s">
        <v>3347</v>
      </c>
      <c r="E285" s="1099" t="s">
        <v>3347</v>
      </c>
      <c r="F285" s="1099" t="s">
        <v>3347</v>
      </c>
      <c r="G285" s="1099" t="s">
        <v>3347</v>
      </c>
      <c r="H285" s="1100" t="s">
        <v>3347</v>
      </c>
      <c r="I285" s="1270"/>
      <c r="J285" s="1270"/>
      <c r="K285" s="1270"/>
      <c r="L285" s="1270"/>
      <c r="M285" s="1270"/>
      <c r="N285" s="1270"/>
      <c r="O285"/>
      <c r="P285"/>
      <c r="Q285"/>
      <c r="R285"/>
      <c r="S285"/>
      <c r="T285"/>
      <c r="U285"/>
    </row>
    <row r="286" spans="1:21" s="1099" customFormat="1">
      <c r="C286" s="1099">
        <v>8100</v>
      </c>
      <c r="D286" s="1099" t="s">
        <v>2666</v>
      </c>
      <c r="E286" s="1099">
        <v>8110</v>
      </c>
      <c r="F286" s="1099" t="s">
        <v>2667</v>
      </c>
      <c r="G286" s="1099">
        <v>8111</v>
      </c>
      <c r="H286" s="1100" t="s">
        <v>2667</v>
      </c>
      <c r="I286" s="1270"/>
      <c r="J286" s="1270"/>
      <c r="K286" s="1270"/>
      <c r="L286" s="1270"/>
      <c r="M286" s="1270"/>
      <c r="N286" s="1270"/>
      <c r="O286"/>
      <c r="P286"/>
      <c r="Q286"/>
      <c r="R286"/>
      <c r="S286"/>
      <c r="T286"/>
      <c r="U286"/>
    </row>
    <row r="287" spans="1:21" s="1099" customFormat="1" ht="26.5">
      <c r="H287" s="1100" t="s">
        <v>2675</v>
      </c>
      <c r="I287" s="1270"/>
      <c r="J287" s="1270"/>
      <c r="K287" s="1270"/>
      <c r="L287" s="1270"/>
      <c r="M287" s="1270"/>
      <c r="N287" s="1270"/>
      <c r="O287"/>
      <c r="P287"/>
      <c r="Q287"/>
      <c r="R287"/>
      <c r="S287"/>
      <c r="T287"/>
      <c r="U287"/>
    </row>
    <row r="288" spans="1:21" s="1099" customFormat="1" ht="26.5">
      <c r="G288" s="1099">
        <v>8112</v>
      </c>
      <c r="H288" s="1100" t="s">
        <v>2675</v>
      </c>
      <c r="I288" s="1270"/>
      <c r="J288" s="1270"/>
      <c r="K288" s="1270"/>
      <c r="L288" s="1270"/>
      <c r="M288" s="1270"/>
      <c r="N288" s="1270"/>
      <c r="O288"/>
      <c r="P288"/>
      <c r="Q288"/>
      <c r="R288"/>
      <c r="S288"/>
      <c r="T288"/>
      <c r="U288"/>
    </row>
    <row r="289" spans="1:21" ht="26.5">
      <c r="B289" s="1099"/>
      <c r="C289" s="1099"/>
      <c r="D289" s="1099"/>
      <c r="E289" s="1099">
        <v>8120</v>
      </c>
      <c r="F289" s="1099" t="s">
        <v>3636</v>
      </c>
      <c r="G289" s="1099">
        <v>8121</v>
      </c>
      <c r="H289" s="1100" t="s">
        <v>2675</v>
      </c>
      <c r="I289" s="1270"/>
      <c r="J289" s="1270"/>
      <c r="K289" s="1270"/>
      <c r="L289" s="1270"/>
      <c r="M289" s="1270"/>
      <c r="N289" s="1270"/>
    </row>
    <row r="290" spans="1:21" s="1099" customFormat="1">
      <c r="G290" s="1099" t="s">
        <v>2678</v>
      </c>
      <c r="H290" s="1100" t="s">
        <v>3159</v>
      </c>
      <c r="I290" s="1270"/>
      <c r="J290" s="1270"/>
      <c r="K290" s="1270"/>
      <c r="L290" s="1270"/>
      <c r="M290" s="1270"/>
      <c r="N290" s="1270"/>
      <c r="O290"/>
      <c r="P290"/>
      <c r="Q290"/>
      <c r="R290"/>
      <c r="S290"/>
      <c r="T290"/>
      <c r="U290"/>
    </row>
    <row r="291" spans="1:21" s="1099" customFormat="1">
      <c r="H291" s="1100" t="s">
        <v>3638</v>
      </c>
      <c r="I291" s="1270"/>
      <c r="J291" s="1270"/>
      <c r="K291" s="1270"/>
      <c r="L291" s="1270"/>
      <c r="M291" s="1270"/>
      <c r="N291" s="1270"/>
      <c r="O291"/>
      <c r="P291"/>
      <c r="Q291"/>
      <c r="R291"/>
      <c r="S291"/>
      <c r="T291"/>
      <c r="U291"/>
    </row>
    <row r="292" spans="1:21" s="1099" customFormat="1">
      <c r="E292" s="1099" t="s">
        <v>2678</v>
      </c>
      <c r="F292" s="1099" t="s">
        <v>2682</v>
      </c>
      <c r="G292" s="1099" t="s">
        <v>2678</v>
      </c>
      <c r="H292" s="1100" t="s">
        <v>2692</v>
      </c>
      <c r="I292" s="1270"/>
      <c r="J292" s="1270"/>
      <c r="K292" s="1270"/>
      <c r="L292" s="1270"/>
      <c r="M292" s="1270"/>
      <c r="N292" s="1270"/>
      <c r="O292"/>
      <c r="P292"/>
      <c r="Q292"/>
      <c r="R292"/>
      <c r="S292"/>
      <c r="T292"/>
      <c r="U292"/>
    </row>
    <row r="293" spans="1:21" s="1099" customFormat="1" ht="26.5">
      <c r="H293" s="1100" t="s">
        <v>2683</v>
      </c>
      <c r="I293" s="1270"/>
      <c r="J293" s="1270"/>
      <c r="K293" s="1270"/>
      <c r="L293" s="1270"/>
      <c r="M293" s="1270"/>
      <c r="N293" s="1270"/>
      <c r="O293"/>
      <c r="P293"/>
      <c r="Q293"/>
      <c r="R293"/>
      <c r="S293"/>
      <c r="T293"/>
      <c r="U293"/>
    </row>
    <row r="294" spans="1:21" s="1099" customFormat="1" ht="26.5">
      <c r="H294" s="1100" t="s">
        <v>2742</v>
      </c>
      <c r="I294" s="1270"/>
      <c r="J294" s="1270"/>
      <c r="K294" s="1270"/>
      <c r="L294" s="1270"/>
      <c r="M294" s="1270"/>
      <c r="N294" s="1270"/>
      <c r="O294"/>
      <c r="P294"/>
      <c r="Q294"/>
      <c r="R294"/>
      <c r="S294"/>
      <c r="T294"/>
      <c r="U294"/>
    </row>
    <row r="295" spans="1:21" s="1099" customFormat="1">
      <c r="H295" s="1100" t="s">
        <v>2686</v>
      </c>
      <c r="I295" s="1270"/>
      <c r="J295" s="1270"/>
      <c r="K295" s="1270"/>
      <c r="L295" s="1270"/>
      <c r="M295" s="1270"/>
      <c r="N295" s="1270"/>
      <c r="O295"/>
      <c r="P295"/>
      <c r="Q295"/>
      <c r="R295"/>
      <c r="S295"/>
      <c r="T295"/>
      <c r="U295"/>
    </row>
    <row r="296" spans="1:21" s="1099" customFormat="1">
      <c r="F296" s="1099" t="s">
        <v>2694</v>
      </c>
      <c r="G296" s="1099" t="s">
        <v>2678</v>
      </c>
      <c r="H296" s="1100" t="s">
        <v>2695</v>
      </c>
      <c r="I296" s="1270"/>
      <c r="J296" s="1270"/>
      <c r="K296" s="1270"/>
      <c r="L296" s="1270"/>
      <c r="M296" s="1270"/>
      <c r="N296" s="1270"/>
      <c r="O296"/>
      <c r="P296"/>
      <c r="Q296"/>
      <c r="R296"/>
      <c r="S296"/>
      <c r="T296"/>
      <c r="U296"/>
    </row>
    <row r="297" spans="1:21" s="1099" customFormat="1" ht="26.5">
      <c r="H297" s="1100" t="s">
        <v>2743</v>
      </c>
      <c r="I297" s="1270"/>
      <c r="J297" s="1270"/>
      <c r="K297" s="1270"/>
      <c r="L297" s="1270"/>
      <c r="M297" s="1270"/>
      <c r="N297" s="1270"/>
      <c r="O297"/>
      <c r="P297"/>
      <c r="Q297"/>
      <c r="R297"/>
      <c r="S297"/>
      <c r="T297"/>
      <c r="U297"/>
    </row>
    <row r="298" spans="1:21" s="1099" customFormat="1">
      <c r="E298" s="1099" t="s">
        <v>3347</v>
      </c>
      <c r="F298" s="1099" t="s">
        <v>3347</v>
      </c>
      <c r="G298" s="1099" t="s">
        <v>3347</v>
      </c>
      <c r="H298" s="1100" t="s">
        <v>3347</v>
      </c>
      <c r="I298" s="1270"/>
      <c r="J298" s="1270"/>
      <c r="K298" s="1270"/>
      <c r="L298" s="1270"/>
      <c r="M298" s="1270"/>
      <c r="N298" s="1270"/>
      <c r="O298"/>
      <c r="P298"/>
      <c r="Q298"/>
      <c r="R298"/>
      <c r="S298"/>
      <c r="T298"/>
      <c r="U298"/>
    </row>
    <row r="299" spans="1:21" s="1099" customFormat="1" ht="26.5">
      <c r="A299" s="1099">
        <v>9000</v>
      </c>
      <c r="B299" s="1099" t="s">
        <v>2745</v>
      </c>
      <c r="C299" s="1099">
        <v>9100</v>
      </c>
      <c r="D299" s="1099" t="s">
        <v>2745</v>
      </c>
      <c r="E299" s="1099">
        <v>9120</v>
      </c>
      <c r="F299" s="1099" t="s">
        <v>6603</v>
      </c>
      <c r="G299" s="1099">
        <v>9121</v>
      </c>
      <c r="H299" s="1100" t="s">
        <v>3643</v>
      </c>
      <c r="I299" s="1270"/>
      <c r="J299" s="1270"/>
      <c r="K299" s="1270"/>
      <c r="L299" s="1270"/>
      <c r="M299" s="1270"/>
      <c r="N299" s="1270"/>
      <c r="O299"/>
      <c r="P299"/>
      <c r="Q299"/>
      <c r="R299"/>
      <c r="S299"/>
      <c r="T299"/>
      <c r="U299"/>
    </row>
    <row r="300" spans="1:21" s="1099" customFormat="1">
      <c r="E300" s="1099">
        <v>9190</v>
      </c>
      <c r="F300" s="1099" t="s">
        <v>2746</v>
      </c>
      <c r="G300" s="1099">
        <v>9191</v>
      </c>
      <c r="H300" s="1100" t="s">
        <v>2747</v>
      </c>
      <c r="I300" s="1270"/>
      <c r="J300" s="1270"/>
      <c r="K300" s="1270"/>
      <c r="L300" s="1270"/>
      <c r="M300" s="1270"/>
      <c r="N300" s="1270"/>
      <c r="O300"/>
      <c r="P300"/>
      <c r="Q300"/>
      <c r="R300"/>
      <c r="S300"/>
      <c r="T300"/>
      <c r="U300"/>
    </row>
    <row r="301" spans="1:21" s="1099" customFormat="1">
      <c r="E301" s="1099" t="s">
        <v>3347</v>
      </c>
      <c r="F301" s="1099" t="s">
        <v>3347</v>
      </c>
      <c r="G301" s="1099" t="s">
        <v>3347</v>
      </c>
      <c r="H301" s="1100" t="s">
        <v>3347</v>
      </c>
      <c r="I301" s="1270"/>
      <c r="J301" s="1270"/>
      <c r="K301" s="1270"/>
      <c r="L301" s="1270"/>
      <c r="M301" s="1270"/>
      <c r="N301" s="1270"/>
      <c r="O301"/>
      <c r="P301"/>
      <c r="Q301"/>
      <c r="R301"/>
      <c r="S301"/>
      <c r="T301"/>
      <c r="U301"/>
    </row>
    <row r="302" spans="1:21" s="1099" customFormat="1" ht="26.5">
      <c r="A302" s="1100" t="s">
        <v>3357</v>
      </c>
      <c r="B302" s="1100"/>
      <c r="C302" s="1100"/>
      <c r="D302" s="1100"/>
      <c r="E302" s="1100"/>
      <c r="F302" s="1100"/>
      <c r="G302" s="1100"/>
      <c r="H302" s="1100"/>
      <c r="I302" s="1270"/>
      <c r="J302" s="1270"/>
      <c r="K302" s="1270"/>
      <c r="L302" s="1270"/>
      <c r="M302" s="1270"/>
      <c r="N302" s="1270"/>
      <c r="O302"/>
      <c r="P302"/>
      <c r="Q302"/>
      <c r="R302"/>
      <c r="S302"/>
      <c r="T302"/>
      <c r="U302"/>
    </row>
    <row r="303" spans="1:21" s="1099" customFormat="1">
      <c r="A303"/>
      <c r="B303"/>
      <c r="C303"/>
      <c r="D303"/>
      <c r="E303"/>
      <c r="F303"/>
      <c r="G303"/>
      <c r="H303"/>
      <c r="I303"/>
      <c r="J303"/>
      <c r="K303"/>
      <c r="L303"/>
      <c r="M303"/>
      <c r="N303"/>
      <c r="O303"/>
      <c r="P303"/>
      <c r="Q303"/>
      <c r="R303"/>
      <c r="S303"/>
      <c r="T303"/>
      <c r="U303"/>
    </row>
    <row r="304" spans="1:21" s="1099" customFormat="1">
      <c r="A304"/>
      <c r="B304"/>
      <c r="C304"/>
      <c r="D304"/>
      <c r="E304"/>
      <c r="F304"/>
      <c r="G304"/>
      <c r="H304"/>
      <c r="I304"/>
      <c r="J304"/>
      <c r="K304"/>
      <c r="L304"/>
      <c r="M304"/>
      <c r="N304"/>
      <c r="O304"/>
      <c r="P304"/>
      <c r="Q304"/>
      <c r="R304"/>
      <c r="S304"/>
      <c r="T304"/>
      <c r="U304"/>
    </row>
    <row r="305" spans="1:21" s="1099" customFormat="1">
      <c r="A305"/>
      <c r="B305"/>
      <c r="C305"/>
      <c r="D305"/>
      <c r="E305"/>
      <c r="F305"/>
      <c r="G305"/>
      <c r="H305"/>
      <c r="I305"/>
      <c r="J305"/>
      <c r="K305"/>
      <c r="L305"/>
      <c r="M305"/>
      <c r="N305"/>
      <c r="O305"/>
      <c r="P305"/>
      <c r="Q305"/>
      <c r="R305"/>
      <c r="S305"/>
      <c r="T305"/>
      <c r="U305"/>
    </row>
    <row r="306" spans="1:21" s="1099" customFormat="1">
      <c r="A306"/>
      <c r="B306"/>
      <c r="C306"/>
      <c r="D306"/>
      <c r="E306"/>
      <c r="F306"/>
      <c r="G306"/>
      <c r="H306"/>
      <c r="I306"/>
      <c r="J306"/>
      <c r="K306"/>
      <c r="L306"/>
      <c r="M306"/>
      <c r="N306"/>
      <c r="O306"/>
      <c r="P306"/>
      <c r="Q306"/>
      <c r="R306"/>
      <c r="S306"/>
      <c r="T306"/>
      <c r="U306"/>
    </row>
    <row r="307" spans="1:21" s="1099" customFormat="1">
      <c r="A307"/>
      <c r="B307"/>
      <c r="C307"/>
      <c r="D307"/>
      <c r="E307"/>
      <c r="F307"/>
      <c r="G307"/>
      <c r="H307"/>
      <c r="I307"/>
      <c r="J307"/>
      <c r="K307"/>
      <c r="L307"/>
      <c r="M307"/>
      <c r="N307"/>
      <c r="O307"/>
      <c r="P307"/>
      <c r="Q307"/>
      <c r="R307"/>
      <c r="S307"/>
      <c r="T307"/>
      <c r="U307"/>
    </row>
    <row r="308" spans="1:21" s="1099" customFormat="1">
      <c r="A308"/>
      <c r="B308"/>
      <c r="C308"/>
      <c r="D308"/>
      <c r="E308"/>
      <c r="F308"/>
      <c r="G308"/>
      <c r="H308"/>
      <c r="I308"/>
      <c r="J308"/>
      <c r="K308"/>
      <c r="L308"/>
      <c r="M308"/>
      <c r="N308"/>
      <c r="O308"/>
      <c r="P308"/>
      <c r="Q308"/>
      <c r="R308"/>
      <c r="S308"/>
      <c r="T308"/>
      <c r="U308"/>
    </row>
    <row r="309" spans="1:21" s="1099" customFormat="1">
      <c r="A309"/>
      <c r="B309"/>
      <c r="C309"/>
      <c r="D309"/>
      <c r="E309"/>
      <c r="F309"/>
      <c r="G309"/>
      <c r="H309"/>
      <c r="I309"/>
      <c r="J309"/>
      <c r="K309"/>
      <c r="L309"/>
      <c r="M309"/>
      <c r="N309"/>
      <c r="O309"/>
      <c r="P309"/>
      <c r="Q309"/>
      <c r="R309"/>
      <c r="S309"/>
      <c r="T309"/>
      <c r="U309"/>
    </row>
    <row r="310" spans="1:21" s="1099" customFormat="1">
      <c r="A310"/>
      <c r="B310"/>
      <c r="C310"/>
      <c r="D310"/>
      <c r="E310"/>
      <c r="F310"/>
      <c r="G310"/>
      <c r="H310"/>
      <c r="I310"/>
      <c r="J310"/>
      <c r="K310"/>
      <c r="L310"/>
      <c r="M310"/>
      <c r="N310"/>
      <c r="O310"/>
      <c r="P310"/>
      <c r="Q310"/>
      <c r="R310"/>
      <c r="S310"/>
      <c r="T310"/>
      <c r="U310"/>
    </row>
    <row r="311" spans="1:21" s="1099" customFormat="1">
      <c r="A311"/>
      <c r="B311"/>
      <c r="C311"/>
      <c r="D311"/>
      <c r="E311"/>
      <c r="F311"/>
      <c r="G311"/>
      <c r="H311"/>
      <c r="I311"/>
      <c r="J311"/>
      <c r="K311"/>
      <c r="L311"/>
      <c r="M311"/>
      <c r="N311"/>
      <c r="O311"/>
      <c r="P311"/>
      <c r="Q311"/>
      <c r="R311"/>
      <c r="S311"/>
      <c r="T311"/>
      <c r="U311"/>
    </row>
    <row r="312" spans="1:21" s="1099" customFormat="1">
      <c r="A312"/>
      <c r="B312"/>
      <c r="C312"/>
      <c r="D312"/>
      <c r="E312"/>
      <c r="F312"/>
      <c r="G312"/>
      <c r="H312"/>
      <c r="I312"/>
      <c r="J312"/>
      <c r="K312"/>
      <c r="L312"/>
      <c r="M312"/>
      <c r="N312"/>
      <c r="O312"/>
      <c r="P312"/>
      <c r="Q312"/>
      <c r="R312"/>
      <c r="S312"/>
      <c r="T312"/>
      <c r="U312"/>
    </row>
    <row r="313" spans="1:21" s="1099" customFormat="1">
      <c r="A313"/>
      <c r="B313"/>
      <c r="C313"/>
      <c r="D313"/>
      <c r="E313"/>
      <c r="F313"/>
      <c r="G313"/>
      <c r="H313"/>
      <c r="I313"/>
      <c r="J313"/>
      <c r="K313"/>
      <c r="L313"/>
      <c r="M313"/>
      <c r="N313"/>
      <c r="O313"/>
      <c r="P313"/>
      <c r="Q313"/>
      <c r="R313"/>
      <c r="S313"/>
      <c r="T313"/>
      <c r="U313"/>
    </row>
    <row r="314" spans="1:21" s="1099" customFormat="1">
      <c r="A314"/>
      <c r="B314"/>
      <c r="C314"/>
      <c r="D314"/>
      <c r="E314"/>
      <c r="F314"/>
      <c r="G314"/>
      <c r="H314"/>
      <c r="I314"/>
      <c r="J314"/>
      <c r="K314"/>
      <c r="L314"/>
      <c r="M314"/>
      <c r="N314"/>
      <c r="O314"/>
      <c r="P314"/>
      <c r="Q314"/>
      <c r="R314"/>
      <c r="S314"/>
      <c r="T314"/>
      <c r="U314"/>
    </row>
    <row r="315" spans="1:21" s="1099" customFormat="1">
      <c r="A315"/>
      <c r="B315"/>
      <c r="C315"/>
      <c r="D315"/>
      <c r="E315"/>
      <c r="F315"/>
      <c r="G315"/>
      <c r="H315"/>
      <c r="I315"/>
      <c r="J315"/>
      <c r="K315"/>
      <c r="L315"/>
      <c r="M315"/>
      <c r="N315"/>
      <c r="O315"/>
      <c r="P315"/>
      <c r="Q315"/>
      <c r="R315"/>
      <c r="S315"/>
      <c r="T315"/>
      <c r="U315"/>
    </row>
    <row r="316" spans="1:21" s="1099" customFormat="1">
      <c r="A316"/>
      <c r="B316"/>
      <c r="C316"/>
      <c r="D316"/>
      <c r="E316"/>
      <c r="F316"/>
      <c r="G316"/>
      <c r="H316"/>
      <c r="I316"/>
      <c r="J316"/>
      <c r="K316"/>
      <c r="L316"/>
      <c r="M316"/>
      <c r="N316"/>
      <c r="O316"/>
      <c r="P316"/>
      <c r="Q316"/>
      <c r="R316"/>
      <c r="S316"/>
      <c r="T316"/>
      <c r="U316"/>
    </row>
    <row r="317" spans="1:21" s="1099" customFormat="1">
      <c r="A317"/>
      <c r="B317"/>
      <c r="C317"/>
      <c r="D317"/>
      <c r="E317"/>
      <c r="F317"/>
      <c r="G317"/>
      <c r="H317"/>
      <c r="I317"/>
      <c r="J317"/>
      <c r="K317"/>
      <c r="L317"/>
      <c r="M317"/>
      <c r="N317"/>
      <c r="O317"/>
      <c r="P317"/>
      <c r="Q317"/>
      <c r="R317"/>
      <c r="S317"/>
      <c r="T317"/>
      <c r="U317"/>
    </row>
    <row r="318" spans="1:21">
      <c r="A318"/>
      <c r="D318"/>
      <c r="F318"/>
      <c r="H318"/>
      <c r="I318"/>
    </row>
    <row r="319" spans="1:21" s="1099" customFormat="1">
      <c r="A319"/>
      <c r="B319"/>
      <c r="C319"/>
      <c r="D319"/>
      <c r="E319"/>
      <c r="F319"/>
      <c r="G319"/>
      <c r="H319"/>
      <c r="I319"/>
      <c r="J319"/>
      <c r="K319"/>
      <c r="L319"/>
      <c r="M319"/>
      <c r="N319"/>
      <c r="O319"/>
      <c r="P319"/>
      <c r="Q319"/>
      <c r="R319"/>
      <c r="S319"/>
      <c r="T319"/>
      <c r="U319"/>
    </row>
    <row r="320" spans="1:21" s="1099" customFormat="1">
      <c r="A320"/>
      <c r="B320"/>
      <c r="C320"/>
      <c r="D320"/>
      <c r="E320"/>
      <c r="F320"/>
      <c r="G320"/>
      <c r="H320"/>
      <c r="I320"/>
      <c r="J320"/>
      <c r="K320"/>
      <c r="L320"/>
      <c r="M320"/>
      <c r="N320"/>
      <c r="O320"/>
      <c r="P320"/>
      <c r="Q320"/>
      <c r="R320"/>
      <c r="S320"/>
      <c r="T320"/>
      <c r="U320"/>
    </row>
    <row r="321" spans="1:21" s="1099" customFormat="1">
      <c r="A321"/>
      <c r="B321"/>
      <c r="C321"/>
      <c r="D321"/>
      <c r="E321"/>
      <c r="F321"/>
      <c r="G321"/>
      <c r="H321"/>
      <c r="I321"/>
      <c r="J321"/>
      <c r="K321"/>
      <c r="L321"/>
      <c r="M321"/>
      <c r="N321"/>
      <c r="O321"/>
      <c r="P321"/>
      <c r="Q321"/>
      <c r="R321"/>
      <c r="S321"/>
      <c r="T321"/>
      <c r="U321"/>
    </row>
    <row r="322" spans="1:21" s="1099" customFormat="1">
      <c r="A322"/>
      <c r="B322"/>
      <c r="C322"/>
      <c r="D322"/>
      <c r="E322"/>
      <c r="F322"/>
      <c r="G322"/>
      <c r="H322"/>
      <c r="I322"/>
      <c r="J322"/>
      <c r="K322"/>
      <c r="L322"/>
      <c r="M322"/>
      <c r="N322"/>
      <c r="O322"/>
      <c r="P322"/>
      <c r="Q322"/>
      <c r="R322"/>
      <c r="S322"/>
      <c r="T322"/>
      <c r="U322"/>
    </row>
    <row r="323" spans="1:21" s="1099" customFormat="1">
      <c r="A323"/>
      <c r="B323"/>
      <c r="C323"/>
      <c r="D323"/>
      <c r="E323"/>
      <c r="F323"/>
      <c r="G323"/>
      <c r="H323"/>
      <c r="I323"/>
      <c r="J323"/>
      <c r="K323"/>
      <c r="L323"/>
      <c r="M323"/>
      <c r="N323"/>
      <c r="O323"/>
      <c r="P323"/>
      <c r="Q323"/>
      <c r="R323"/>
      <c r="S323"/>
      <c r="T323"/>
      <c r="U323"/>
    </row>
    <row r="324" spans="1:21" s="1099" customFormat="1">
      <c r="A324"/>
      <c r="B324"/>
      <c r="C324"/>
      <c r="D324"/>
      <c r="E324"/>
      <c r="F324"/>
      <c r="G324"/>
      <c r="H324"/>
      <c r="I324"/>
      <c r="J324"/>
      <c r="K324"/>
      <c r="L324"/>
      <c r="M324"/>
      <c r="N324"/>
      <c r="O324"/>
      <c r="P324"/>
      <c r="Q324"/>
      <c r="R324"/>
      <c r="S324"/>
      <c r="T324"/>
      <c r="U324"/>
    </row>
    <row r="325" spans="1:21" s="1099" customFormat="1">
      <c r="A325"/>
      <c r="B325"/>
      <c r="C325"/>
      <c r="D325"/>
      <c r="E325"/>
      <c r="F325"/>
      <c r="G325"/>
      <c r="H325"/>
      <c r="I325"/>
      <c r="J325"/>
      <c r="K325"/>
      <c r="L325"/>
      <c r="M325"/>
      <c r="N325"/>
      <c r="O325"/>
      <c r="P325"/>
      <c r="Q325"/>
      <c r="R325"/>
      <c r="S325"/>
      <c r="T325"/>
      <c r="U325"/>
    </row>
    <row r="326" spans="1:21" s="1099" customFormat="1">
      <c r="A326"/>
      <c r="B326"/>
      <c r="C326"/>
      <c r="D326"/>
      <c r="E326"/>
      <c r="F326"/>
      <c r="G326"/>
      <c r="H326"/>
      <c r="I326"/>
      <c r="J326"/>
      <c r="K326"/>
      <c r="L326"/>
      <c r="M326"/>
      <c r="N326"/>
      <c r="O326"/>
      <c r="P326"/>
      <c r="Q326"/>
      <c r="R326"/>
      <c r="S326"/>
      <c r="T326"/>
      <c r="U326"/>
    </row>
    <row r="327" spans="1:21" s="1099" customFormat="1">
      <c r="A327"/>
      <c r="B327"/>
      <c r="C327"/>
      <c r="D327"/>
      <c r="E327"/>
      <c r="F327"/>
      <c r="G327"/>
      <c r="H327"/>
      <c r="I327"/>
      <c r="J327"/>
      <c r="K327"/>
      <c r="L327"/>
      <c r="M327"/>
      <c r="N327"/>
      <c r="O327"/>
      <c r="P327"/>
      <c r="Q327"/>
      <c r="R327"/>
      <c r="S327"/>
      <c r="T327"/>
      <c r="U327"/>
    </row>
    <row r="328" spans="1:21" s="1099" customFormat="1">
      <c r="A328"/>
      <c r="B328"/>
      <c r="C328"/>
      <c r="D328"/>
      <c r="E328"/>
      <c r="F328"/>
      <c r="G328"/>
      <c r="H328"/>
      <c r="I328"/>
      <c r="J328"/>
      <c r="K328"/>
      <c r="L328"/>
      <c r="M328"/>
      <c r="N328"/>
      <c r="O328"/>
      <c r="P328"/>
      <c r="Q328"/>
      <c r="R328"/>
      <c r="S328"/>
      <c r="T328"/>
      <c r="U328"/>
    </row>
    <row r="329" spans="1:21" s="1099" customFormat="1">
      <c r="A329"/>
      <c r="B329"/>
      <c r="C329"/>
      <c r="D329"/>
      <c r="E329"/>
      <c r="F329"/>
      <c r="G329"/>
      <c r="H329"/>
      <c r="I329"/>
      <c r="J329"/>
      <c r="K329"/>
      <c r="L329"/>
      <c r="M329"/>
      <c r="N329"/>
      <c r="O329"/>
      <c r="P329"/>
      <c r="Q329"/>
      <c r="R329"/>
      <c r="S329"/>
      <c r="T329"/>
      <c r="U329"/>
    </row>
    <row r="330" spans="1:21" s="1099" customFormat="1">
      <c r="A330"/>
      <c r="B330"/>
      <c r="C330"/>
      <c r="D330"/>
      <c r="E330"/>
      <c r="F330"/>
      <c r="G330"/>
      <c r="H330"/>
      <c r="I330"/>
      <c r="J330"/>
      <c r="K330"/>
      <c r="L330"/>
      <c r="M330"/>
      <c r="N330"/>
      <c r="O330"/>
      <c r="P330"/>
      <c r="Q330"/>
      <c r="R330"/>
      <c r="S330"/>
      <c r="T330"/>
      <c r="U330"/>
    </row>
    <row r="331" spans="1:21" s="1099" customFormat="1">
      <c r="A331"/>
      <c r="B331"/>
      <c r="C331"/>
      <c r="D331"/>
      <c r="E331"/>
      <c r="F331"/>
      <c r="G331"/>
      <c r="H331"/>
      <c r="I331"/>
      <c r="J331"/>
      <c r="K331"/>
      <c r="L331"/>
      <c r="M331"/>
      <c r="N331"/>
      <c r="O331"/>
      <c r="P331"/>
      <c r="Q331"/>
      <c r="R331"/>
      <c r="S331"/>
      <c r="T331"/>
      <c r="U331"/>
    </row>
    <row r="332" spans="1:21" s="1099" customFormat="1">
      <c r="A332"/>
      <c r="B332"/>
      <c r="C332"/>
      <c r="D332"/>
      <c r="E332"/>
      <c r="F332"/>
      <c r="G332"/>
      <c r="H332"/>
      <c r="I332"/>
      <c r="J332"/>
      <c r="K332"/>
      <c r="L332"/>
      <c r="M332"/>
      <c r="N332"/>
      <c r="O332"/>
      <c r="P332"/>
      <c r="Q332"/>
      <c r="R332"/>
      <c r="S332"/>
      <c r="T332"/>
      <c r="U332"/>
    </row>
    <row r="333" spans="1:21" s="1099" customFormat="1">
      <c r="A333"/>
      <c r="B333"/>
      <c r="C333"/>
      <c r="D333"/>
      <c r="E333"/>
      <c r="F333"/>
      <c r="G333"/>
      <c r="H333"/>
      <c r="I333"/>
      <c r="J333"/>
      <c r="K333"/>
      <c r="L333"/>
      <c r="M333"/>
      <c r="N333"/>
      <c r="O333"/>
      <c r="P333"/>
      <c r="Q333"/>
      <c r="R333"/>
      <c r="S333"/>
      <c r="T333"/>
      <c r="U333"/>
    </row>
    <row r="334" spans="1:21" s="1099" customFormat="1">
      <c r="A334"/>
      <c r="B334"/>
      <c r="C334"/>
      <c r="D334"/>
      <c r="E334"/>
      <c r="F334"/>
      <c r="G334"/>
      <c r="H334"/>
      <c r="I334"/>
      <c r="J334"/>
      <c r="K334"/>
      <c r="L334"/>
      <c r="M334"/>
      <c r="N334"/>
      <c r="O334"/>
      <c r="P334"/>
      <c r="Q334"/>
      <c r="R334"/>
      <c r="S334"/>
      <c r="T334"/>
      <c r="U334"/>
    </row>
    <row r="335" spans="1:21" s="1099" customFormat="1">
      <c r="A335"/>
      <c r="B335"/>
      <c r="C335"/>
      <c r="D335"/>
      <c r="E335"/>
      <c r="F335"/>
      <c r="G335"/>
      <c r="H335"/>
      <c r="I335"/>
      <c r="J335"/>
      <c r="K335"/>
      <c r="L335"/>
      <c r="M335"/>
      <c r="N335"/>
      <c r="O335"/>
      <c r="P335"/>
      <c r="Q335"/>
      <c r="R335"/>
      <c r="S335"/>
      <c r="T335"/>
      <c r="U335"/>
    </row>
    <row r="336" spans="1:21" s="1099" customFormat="1">
      <c r="A336"/>
      <c r="B336"/>
      <c r="C336"/>
      <c r="D336"/>
      <c r="E336"/>
      <c r="F336"/>
      <c r="G336"/>
      <c r="H336"/>
      <c r="I336"/>
      <c r="J336"/>
      <c r="K336"/>
      <c r="L336"/>
      <c r="M336"/>
      <c r="N336"/>
      <c r="O336"/>
      <c r="P336"/>
      <c r="Q336"/>
      <c r="R336"/>
      <c r="S336"/>
      <c r="T336"/>
      <c r="U336"/>
    </row>
    <row r="337" spans="1:21" s="1099" customFormat="1">
      <c r="A337"/>
      <c r="B337"/>
      <c r="C337"/>
      <c r="D337"/>
      <c r="E337"/>
      <c r="F337"/>
      <c r="G337"/>
      <c r="H337"/>
      <c r="I337"/>
      <c r="J337"/>
      <c r="K337"/>
      <c r="L337"/>
      <c r="M337"/>
      <c r="N337"/>
      <c r="O337"/>
      <c r="P337"/>
      <c r="Q337"/>
      <c r="R337"/>
      <c r="S337"/>
      <c r="T337"/>
      <c r="U337"/>
    </row>
    <row r="338" spans="1:21" s="1099" customFormat="1">
      <c r="A338"/>
      <c r="B338"/>
      <c r="C338"/>
      <c r="D338"/>
      <c r="E338"/>
      <c r="F338"/>
      <c r="G338"/>
      <c r="H338"/>
      <c r="I338"/>
      <c r="J338"/>
      <c r="K338"/>
      <c r="L338"/>
      <c r="M338"/>
      <c r="N338"/>
      <c r="O338"/>
      <c r="P338"/>
      <c r="Q338"/>
      <c r="R338"/>
      <c r="S338"/>
      <c r="T338"/>
      <c r="U338"/>
    </row>
    <row r="339" spans="1:21" s="1099" customFormat="1">
      <c r="A339"/>
      <c r="B339"/>
      <c r="C339"/>
      <c r="D339"/>
      <c r="E339"/>
      <c r="F339"/>
      <c r="G339"/>
      <c r="H339"/>
      <c r="I339"/>
      <c r="J339"/>
      <c r="K339"/>
      <c r="L339"/>
      <c r="M339"/>
      <c r="N339"/>
      <c r="O339"/>
      <c r="P339"/>
      <c r="Q339"/>
      <c r="R339"/>
      <c r="S339"/>
      <c r="T339"/>
      <c r="U339"/>
    </row>
    <row r="340" spans="1:21" s="1099" customFormat="1">
      <c r="A340"/>
      <c r="B340"/>
      <c r="C340"/>
      <c r="D340"/>
      <c r="E340"/>
      <c r="F340"/>
      <c r="G340"/>
      <c r="H340"/>
      <c r="I340"/>
      <c r="J340"/>
      <c r="K340"/>
      <c r="L340"/>
      <c r="M340"/>
      <c r="N340"/>
      <c r="O340"/>
      <c r="P340"/>
      <c r="Q340"/>
      <c r="R340"/>
      <c r="S340"/>
      <c r="T340"/>
      <c r="U340"/>
    </row>
    <row r="341" spans="1:21" s="1099" customFormat="1">
      <c r="A341"/>
      <c r="B341"/>
      <c r="C341"/>
      <c r="D341"/>
      <c r="E341"/>
      <c r="F341"/>
      <c r="G341"/>
      <c r="H341"/>
      <c r="I341"/>
      <c r="J341"/>
      <c r="K341"/>
      <c r="L341"/>
      <c r="M341"/>
      <c r="N341"/>
      <c r="O341"/>
      <c r="P341"/>
      <c r="Q341"/>
      <c r="R341"/>
      <c r="S341"/>
      <c r="T341"/>
      <c r="U341"/>
    </row>
    <row r="342" spans="1:21" s="1099" customFormat="1">
      <c r="A342"/>
      <c r="B342"/>
      <c r="C342"/>
      <c r="D342"/>
      <c r="E342"/>
      <c r="F342"/>
      <c r="G342"/>
      <c r="H342"/>
      <c r="I342"/>
      <c r="J342"/>
      <c r="K342"/>
      <c r="L342"/>
      <c r="M342"/>
      <c r="N342"/>
      <c r="O342"/>
      <c r="P342"/>
      <c r="Q342"/>
      <c r="R342"/>
      <c r="S342"/>
      <c r="T342"/>
      <c r="U342"/>
    </row>
    <row r="343" spans="1:21" s="1099" customFormat="1">
      <c r="A343"/>
      <c r="B343"/>
      <c r="C343"/>
      <c r="D343"/>
      <c r="E343"/>
      <c r="F343"/>
      <c r="G343"/>
      <c r="H343"/>
      <c r="I343"/>
      <c r="J343"/>
      <c r="K343"/>
      <c r="L343"/>
      <c r="M343"/>
      <c r="N343"/>
      <c r="O343"/>
      <c r="P343"/>
      <c r="Q343"/>
      <c r="R343"/>
      <c r="S343"/>
      <c r="T343"/>
      <c r="U343"/>
    </row>
    <row r="344" spans="1:21" s="1099" customFormat="1">
      <c r="A344"/>
      <c r="B344"/>
      <c r="C344"/>
      <c r="D344"/>
      <c r="E344"/>
      <c r="F344"/>
      <c r="G344"/>
      <c r="H344"/>
      <c r="I344"/>
      <c r="J344"/>
      <c r="K344"/>
      <c r="L344"/>
      <c r="M344"/>
      <c r="N344"/>
      <c r="O344"/>
      <c r="P344"/>
      <c r="Q344"/>
      <c r="R344"/>
      <c r="S344"/>
      <c r="T344"/>
      <c r="U344"/>
    </row>
    <row r="345" spans="1:21" s="1099" customFormat="1">
      <c r="A345"/>
      <c r="B345"/>
      <c r="C345"/>
      <c r="D345"/>
      <c r="E345"/>
      <c r="F345"/>
      <c r="G345"/>
      <c r="H345"/>
      <c r="I345"/>
      <c r="J345"/>
      <c r="K345"/>
      <c r="L345"/>
      <c r="M345"/>
      <c r="N345"/>
      <c r="O345"/>
      <c r="P345"/>
      <c r="Q345"/>
      <c r="R345"/>
      <c r="S345"/>
      <c r="T345"/>
      <c r="U345"/>
    </row>
    <row r="346" spans="1:21" s="1099" customFormat="1">
      <c r="A346"/>
      <c r="B346"/>
      <c r="C346"/>
      <c r="D346"/>
      <c r="E346"/>
      <c r="F346"/>
      <c r="G346"/>
      <c r="H346"/>
      <c r="I346"/>
      <c r="J346"/>
      <c r="K346"/>
      <c r="L346"/>
      <c r="M346"/>
      <c r="N346"/>
      <c r="O346"/>
      <c r="P346"/>
      <c r="Q346"/>
      <c r="R346"/>
      <c r="S346"/>
      <c r="T346"/>
      <c r="U346"/>
    </row>
    <row r="347" spans="1:21" s="1099" customFormat="1">
      <c r="A347"/>
      <c r="B347"/>
      <c r="C347"/>
      <c r="D347"/>
      <c r="E347"/>
      <c r="F347"/>
      <c r="G347"/>
      <c r="H347"/>
      <c r="I347"/>
      <c r="J347"/>
      <c r="K347"/>
      <c r="L347"/>
      <c r="M347"/>
      <c r="N347"/>
      <c r="O347"/>
      <c r="P347"/>
      <c r="Q347"/>
      <c r="R347"/>
      <c r="S347"/>
      <c r="T347"/>
      <c r="U347"/>
    </row>
    <row r="348" spans="1:21" s="1099" customFormat="1">
      <c r="A348"/>
      <c r="B348"/>
      <c r="C348"/>
      <c r="D348"/>
      <c r="E348"/>
      <c r="F348"/>
      <c r="G348"/>
      <c r="H348"/>
      <c r="I348"/>
      <c r="J348"/>
      <c r="K348"/>
      <c r="L348"/>
      <c r="M348"/>
      <c r="N348"/>
      <c r="O348"/>
      <c r="P348"/>
      <c r="Q348"/>
      <c r="R348"/>
      <c r="S348"/>
      <c r="T348"/>
      <c r="U348"/>
    </row>
    <row r="349" spans="1:21" s="1099" customFormat="1">
      <c r="A349"/>
      <c r="B349"/>
      <c r="C349"/>
      <c r="D349"/>
      <c r="E349"/>
      <c r="F349"/>
      <c r="G349"/>
      <c r="H349"/>
      <c r="I349"/>
      <c r="J349"/>
      <c r="K349"/>
      <c r="L349"/>
      <c r="M349"/>
      <c r="N349"/>
      <c r="O349"/>
      <c r="P349"/>
      <c r="Q349"/>
      <c r="R349"/>
      <c r="S349"/>
      <c r="T349"/>
      <c r="U349"/>
    </row>
    <row r="350" spans="1:21" s="1099" customFormat="1">
      <c r="A350"/>
      <c r="B350"/>
      <c r="C350"/>
      <c r="D350"/>
      <c r="E350"/>
      <c r="F350"/>
      <c r="G350"/>
      <c r="H350"/>
      <c r="I350"/>
      <c r="J350"/>
      <c r="K350"/>
      <c r="L350"/>
      <c r="M350"/>
      <c r="N350"/>
      <c r="O350"/>
      <c r="P350"/>
      <c r="Q350"/>
      <c r="R350"/>
      <c r="S350"/>
      <c r="T350"/>
      <c r="U350"/>
    </row>
    <row r="351" spans="1:21" s="1099" customFormat="1">
      <c r="A351"/>
      <c r="B351"/>
      <c r="C351"/>
      <c r="D351"/>
      <c r="E351"/>
      <c r="F351"/>
      <c r="G351"/>
      <c r="H351"/>
      <c r="I351"/>
      <c r="J351"/>
      <c r="K351"/>
      <c r="L351"/>
      <c r="M351"/>
      <c r="N351"/>
      <c r="O351"/>
      <c r="P351"/>
      <c r="Q351"/>
      <c r="R351"/>
      <c r="S351"/>
      <c r="T351"/>
      <c r="U351"/>
    </row>
    <row r="352" spans="1:21" s="1099" customFormat="1">
      <c r="A352"/>
      <c r="B352"/>
      <c r="C352"/>
      <c r="D352"/>
      <c r="E352"/>
      <c r="F352"/>
      <c r="G352"/>
      <c r="H352"/>
      <c r="I352"/>
      <c r="J352"/>
      <c r="K352"/>
      <c r="L352"/>
      <c r="M352"/>
      <c r="N352"/>
      <c r="O352"/>
      <c r="P352"/>
      <c r="Q352"/>
      <c r="R352"/>
      <c r="S352"/>
      <c r="T352"/>
      <c r="U352"/>
    </row>
    <row r="353" spans="1:21" s="1099" customFormat="1">
      <c r="A353"/>
      <c r="B353"/>
      <c r="C353"/>
      <c r="D353"/>
      <c r="E353"/>
      <c r="F353"/>
      <c r="G353"/>
      <c r="H353"/>
      <c r="I353"/>
      <c r="J353"/>
      <c r="K353"/>
      <c r="L353"/>
      <c r="M353"/>
      <c r="N353"/>
      <c r="O353"/>
      <c r="P353"/>
      <c r="Q353"/>
      <c r="R353"/>
      <c r="S353"/>
      <c r="T353"/>
      <c r="U353"/>
    </row>
    <row r="354" spans="1:21" s="1099" customFormat="1">
      <c r="A354"/>
      <c r="B354"/>
      <c r="C354"/>
      <c r="D354"/>
      <c r="E354"/>
      <c r="F354"/>
      <c r="G354"/>
      <c r="H354"/>
      <c r="I354"/>
      <c r="J354"/>
      <c r="K354"/>
      <c r="L354"/>
      <c r="M354"/>
      <c r="N354"/>
      <c r="O354"/>
      <c r="P354"/>
      <c r="Q354"/>
      <c r="R354"/>
      <c r="S354"/>
      <c r="T354"/>
      <c r="U354"/>
    </row>
    <row r="355" spans="1:21" s="1099" customFormat="1">
      <c r="A355"/>
      <c r="B355"/>
      <c r="C355"/>
      <c r="D355"/>
      <c r="E355"/>
      <c r="F355"/>
      <c r="G355"/>
      <c r="H355"/>
      <c r="I355"/>
      <c r="J355"/>
      <c r="K355"/>
      <c r="L355"/>
      <c r="M355"/>
      <c r="N355"/>
      <c r="O355"/>
      <c r="P355"/>
      <c r="Q355"/>
      <c r="R355"/>
      <c r="S355"/>
      <c r="T355"/>
      <c r="U355"/>
    </row>
    <row r="356" spans="1:21" s="1099" customFormat="1">
      <c r="A356"/>
      <c r="B356"/>
      <c r="C356"/>
      <c r="D356"/>
      <c r="E356"/>
      <c r="F356"/>
      <c r="G356"/>
      <c r="H356"/>
      <c r="I356"/>
      <c r="J356"/>
      <c r="K356"/>
      <c r="L356"/>
      <c r="M356"/>
      <c r="N356"/>
      <c r="O356"/>
      <c r="P356"/>
      <c r="Q356"/>
      <c r="R356"/>
      <c r="S356"/>
      <c r="T356"/>
      <c r="U356"/>
    </row>
    <row r="357" spans="1:21" s="1099" customFormat="1">
      <c r="A357"/>
      <c r="B357"/>
      <c r="C357"/>
      <c r="D357"/>
      <c r="E357"/>
      <c r="F357"/>
      <c r="G357"/>
      <c r="H357"/>
      <c r="I357"/>
      <c r="J357"/>
      <c r="K357"/>
      <c r="L357"/>
      <c r="M357"/>
      <c r="N357"/>
      <c r="O357"/>
      <c r="P357"/>
      <c r="Q357"/>
      <c r="R357"/>
      <c r="S357"/>
      <c r="T357"/>
      <c r="U357"/>
    </row>
    <row r="358" spans="1:21" s="1099" customFormat="1">
      <c r="A358"/>
      <c r="B358"/>
      <c r="C358"/>
      <c r="D358"/>
      <c r="E358"/>
      <c r="F358"/>
      <c r="G358"/>
      <c r="H358"/>
      <c r="I358"/>
      <c r="J358"/>
      <c r="K358"/>
      <c r="L358"/>
      <c r="M358"/>
      <c r="N358"/>
    </row>
    <row r="359" spans="1:21" s="1099" customFormat="1">
      <c r="A359"/>
      <c r="B359"/>
      <c r="C359"/>
      <c r="D359"/>
      <c r="E359"/>
      <c r="F359"/>
      <c r="G359"/>
      <c r="H359"/>
      <c r="I359"/>
      <c r="J359"/>
      <c r="K359"/>
      <c r="L359"/>
      <c r="M359"/>
      <c r="N359"/>
    </row>
    <row r="360" spans="1:21" s="1099" customFormat="1">
      <c r="A360"/>
      <c r="B360"/>
      <c r="C360"/>
      <c r="D360"/>
      <c r="E360"/>
      <c r="F360"/>
      <c r="G360"/>
      <c r="H360"/>
      <c r="I360"/>
      <c r="J360"/>
      <c r="K360"/>
      <c r="L360"/>
      <c r="M360"/>
      <c r="N360"/>
    </row>
    <row r="361" spans="1:21" s="1099" customFormat="1">
      <c r="A361"/>
      <c r="B361"/>
      <c r="C361"/>
      <c r="D361"/>
      <c r="E361"/>
      <c r="F361"/>
      <c r="G361"/>
      <c r="H361"/>
      <c r="I361"/>
      <c r="J361"/>
      <c r="K361"/>
      <c r="L361"/>
      <c r="M361"/>
      <c r="N361"/>
    </row>
    <row r="362" spans="1:21" s="1099" customFormat="1">
      <c r="A362"/>
      <c r="B362"/>
      <c r="C362"/>
      <c r="D362"/>
      <c r="E362"/>
      <c r="F362"/>
      <c r="G362"/>
      <c r="H362"/>
      <c r="I362"/>
      <c r="J362"/>
      <c r="K362"/>
      <c r="L362"/>
      <c r="M362"/>
      <c r="N362"/>
    </row>
    <row r="363" spans="1:21" s="1099" customFormat="1">
      <c r="A363"/>
      <c r="B363"/>
      <c r="C363"/>
      <c r="D363"/>
      <c r="E363"/>
      <c r="F363"/>
      <c r="G363"/>
      <c r="H363"/>
      <c r="I363"/>
      <c r="J363"/>
      <c r="K363"/>
      <c r="L363"/>
      <c r="M363"/>
      <c r="N363"/>
    </row>
    <row r="364" spans="1:21" s="1099" customFormat="1">
      <c r="A364"/>
      <c r="B364"/>
      <c r="C364"/>
      <c r="D364"/>
      <c r="E364"/>
      <c r="F364"/>
      <c r="G364"/>
      <c r="H364"/>
      <c r="I364"/>
      <c r="J364"/>
      <c r="K364"/>
      <c r="L364"/>
      <c r="M364"/>
      <c r="N364"/>
    </row>
    <row r="365" spans="1:21" s="1099" customFormat="1">
      <c r="A365"/>
      <c r="B365"/>
      <c r="C365"/>
      <c r="D365"/>
      <c r="E365"/>
      <c r="F365"/>
      <c r="G365"/>
      <c r="H365"/>
      <c r="I365"/>
      <c r="J365"/>
      <c r="K365"/>
      <c r="L365"/>
      <c r="M365"/>
      <c r="N365"/>
    </row>
    <row r="366" spans="1:21" s="1099" customFormat="1">
      <c r="A366"/>
      <c r="B366"/>
      <c r="C366"/>
      <c r="D366"/>
      <c r="E366"/>
      <c r="F366"/>
      <c r="G366"/>
      <c r="H366"/>
      <c r="I366"/>
      <c r="J366"/>
      <c r="K366"/>
      <c r="L366"/>
      <c r="M366"/>
      <c r="N366"/>
    </row>
    <row r="367" spans="1:21" s="1099" customFormat="1">
      <c r="A367"/>
      <c r="B367"/>
      <c r="C367"/>
      <c r="D367"/>
      <c r="E367"/>
      <c r="F367"/>
      <c r="G367"/>
      <c r="H367"/>
      <c r="I367"/>
      <c r="J367"/>
      <c r="K367"/>
      <c r="L367"/>
      <c r="M367"/>
      <c r="N367"/>
    </row>
    <row r="368" spans="1:21" s="1099" customFormat="1">
      <c r="A368"/>
      <c r="B368"/>
      <c r="C368"/>
      <c r="D368"/>
      <c r="E368"/>
      <c r="F368"/>
      <c r="G368"/>
      <c r="H368"/>
      <c r="I368"/>
      <c r="J368"/>
      <c r="K368"/>
      <c r="L368"/>
      <c r="M368"/>
      <c r="N368"/>
    </row>
    <row r="369" spans="1:14" s="1099" customFormat="1">
      <c r="A369"/>
      <c r="B369"/>
      <c r="C369"/>
      <c r="D369"/>
      <c r="E369"/>
      <c r="F369"/>
      <c r="G369"/>
      <c r="H369"/>
      <c r="I369"/>
      <c r="J369"/>
      <c r="K369"/>
      <c r="L369"/>
      <c r="M369"/>
      <c r="N369"/>
    </row>
    <row r="370" spans="1:14" s="1099" customFormat="1">
      <c r="A370"/>
      <c r="B370"/>
      <c r="C370"/>
      <c r="D370"/>
      <c r="E370"/>
      <c r="F370"/>
      <c r="G370"/>
      <c r="H370"/>
      <c r="I370"/>
      <c r="J370"/>
      <c r="K370"/>
      <c r="L370"/>
      <c r="M370"/>
      <c r="N370"/>
    </row>
    <row r="371" spans="1:14" s="1099" customFormat="1">
      <c r="A371"/>
      <c r="B371"/>
      <c r="C371"/>
      <c r="D371"/>
      <c r="E371"/>
      <c r="F371"/>
      <c r="G371"/>
      <c r="H371"/>
      <c r="I371"/>
      <c r="J371"/>
      <c r="K371"/>
      <c r="L371"/>
      <c r="M371"/>
      <c r="N371"/>
    </row>
    <row r="372" spans="1:14" s="1099" customFormat="1">
      <c r="A372"/>
      <c r="B372"/>
      <c r="C372"/>
      <c r="D372"/>
      <c r="E372"/>
      <c r="F372"/>
      <c r="G372"/>
      <c r="H372"/>
      <c r="I372"/>
      <c r="J372"/>
      <c r="K372"/>
      <c r="L372"/>
      <c r="M372"/>
      <c r="N372"/>
    </row>
    <row r="373" spans="1:14" s="1099" customFormat="1">
      <c r="A373"/>
      <c r="B373"/>
      <c r="C373"/>
      <c r="D373"/>
      <c r="E373"/>
      <c r="F373"/>
      <c r="G373"/>
      <c r="H373"/>
      <c r="I373"/>
      <c r="J373"/>
      <c r="K373"/>
      <c r="L373"/>
      <c r="M373"/>
      <c r="N373"/>
    </row>
    <row r="374" spans="1:14" s="1099" customFormat="1">
      <c r="A374"/>
      <c r="B374"/>
      <c r="C374"/>
      <c r="D374"/>
      <c r="E374"/>
      <c r="F374"/>
      <c r="G374"/>
      <c r="H374"/>
      <c r="I374"/>
      <c r="J374"/>
      <c r="K374"/>
      <c r="L374"/>
      <c r="M374"/>
      <c r="N374"/>
    </row>
    <row r="375" spans="1:14" s="1099" customFormat="1">
      <c r="A375"/>
      <c r="B375"/>
      <c r="C375"/>
      <c r="D375"/>
      <c r="E375"/>
      <c r="F375"/>
      <c r="G375"/>
      <c r="H375"/>
      <c r="I375"/>
      <c r="J375"/>
      <c r="K375"/>
      <c r="L375"/>
      <c r="M375"/>
      <c r="N375"/>
    </row>
    <row r="376" spans="1:14" s="1099" customFormat="1">
      <c r="A376"/>
      <c r="B376"/>
      <c r="C376"/>
      <c r="D376"/>
      <c r="E376"/>
      <c r="F376"/>
      <c r="G376"/>
      <c r="H376"/>
      <c r="I376"/>
      <c r="J376"/>
      <c r="K376"/>
      <c r="L376"/>
      <c r="M376"/>
      <c r="N376"/>
    </row>
    <row r="377" spans="1:14" s="1099" customFormat="1">
      <c r="A377"/>
      <c r="B377"/>
      <c r="C377"/>
      <c r="D377"/>
      <c r="E377"/>
      <c r="F377"/>
      <c r="G377"/>
      <c r="H377"/>
      <c r="I377"/>
      <c r="J377"/>
      <c r="K377"/>
      <c r="L377"/>
      <c r="M377"/>
      <c r="N377"/>
    </row>
    <row r="378" spans="1:14" s="1099" customFormat="1">
      <c r="A378"/>
      <c r="B378"/>
      <c r="C378"/>
      <c r="D378"/>
      <c r="E378"/>
      <c r="F378"/>
      <c r="G378"/>
      <c r="H378"/>
      <c r="I378"/>
      <c r="J378"/>
      <c r="K378"/>
      <c r="L378"/>
      <c r="M378"/>
      <c r="N378"/>
    </row>
    <row r="379" spans="1:14" s="1099" customFormat="1">
      <c r="A379"/>
      <c r="B379"/>
      <c r="C379"/>
      <c r="D379"/>
      <c r="E379"/>
      <c r="F379"/>
      <c r="G379"/>
      <c r="H379"/>
      <c r="I379"/>
      <c r="J379"/>
      <c r="K379"/>
      <c r="L379"/>
      <c r="M379"/>
      <c r="N379"/>
    </row>
    <row r="380" spans="1:14" s="1099" customFormat="1">
      <c r="A380"/>
      <c r="B380"/>
      <c r="C380"/>
      <c r="D380"/>
      <c r="E380"/>
      <c r="F380"/>
      <c r="G380"/>
      <c r="H380"/>
      <c r="I380"/>
      <c r="J380"/>
      <c r="K380"/>
      <c r="L380"/>
      <c r="M380"/>
      <c r="N380"/>
    </row>
    <row r="381" spans="1:14" s="1099" customFormat="1">
      <c r="A381"/>
      <c r="B381"/>
      <c r="C381"/>
      <c r="D381"/>
      <c r="E381"/>
      <c r="F381"/>
      <c r="G381"/>
      <c r="H381"/>
      <c r="I381"/>
      <c r="J381"/>
      <c r="K381"/>
      <c r="L381"/>
      <c r="M381"/>
      <c r="N381"/>
    </row>
    <row r="382" spans="1:14" s="1099" customFormat="1">
      <c r="A382"/>
      <c r="B382"/>
      <c r="C382"/>
      <c r="D382"/>
      <c r="E382"/>
      <c r="F382"/>
      <c r="G382"/>
      <c r="H382"/>
      <c r="I382"/>
      <c r="J382"/>
      <c r="K382"/>
      <c r="L382"/>
      <c r="M382"/>
      <c r="N382"/>
    </row>
    <row r="383" spans="1:14" s="1099" customFormat="1">
      <c r="A383"/>
      <c r="B383"/>
      <c r="C383"/>
      <c r="D383"/>
      <c r="E383"/>
      <c r="F383"/>
      <c r="G383"/>
      <c r="H383"/>
      <c r="I383"/>
      <c r="J383"/>
      <c r="K383"/>
      <c r="L383"/>
      <c r="M383"/>
      <c r="N383"/>
    </row>
    <row r="384" spans="1:14" s="1099" customFormat="1">
      <c r="A384"/>
      <c r="B384"/>
      <c r="C384"/>
      <c r="D384"/>
      <c r="E384"/>
      <c r="F384"/>
      <c r="G384"/>
      <c r="H384"/>
      <c r="I384"/>
      <c r="J384"/>
      <c r="K384"/>
      <c r="L384"/>
      <c r="M384"/>
      <c r="N384"/>
    </row>
    <row r="385" spans="1:14" s="1099" customFormat="1">
      <c r="A385"/>
      <c r="B385"/>
      <c r="C385"/>
      <c r="D385"/>
      <c r="E385"/>
      <c r="F385"/>
      <c r="G385"/>
      <c r="H385"/>
      <c r="I385"/>
      <c r="J385"/>
      <c r="K385"/>
      <c r="L385"/>
      <c r="M385"/>
      <c r="N385"/>
    </row>
    <row r="386" spans="1:14" s="1099" customFormat="1">
      <c r="A386"/>
      <c r="B386"/>
      <c r="C386"/>
      <c r="D386"/>
      <c r="E386"/>
      <c r="F386"/>
      <c r="G386"/>
      <c r="H386"/>
      <c r="I386"/>
      <c r="J386"/>
      <c r="K386"/>
      <c r="L386"/>
      <c r="M386"/>
      <c r="N386"/>
    </row>
    <row r="387" spans="1:14" s="1099" customFormat="1">
      <c r="A387"/>
      <c r="B387"/>
      <c r="C387"/>
      <c r="D387"/>
      <c r="E387"/>
      <c r="F387"/>
      <c r="G387"/>
      <c r="H387"/>
      <c r="I387"/>
      <c r="J387"/>
      <c r="K387"/>
      <c r="L387"/>
      <c r="M387"/>
      <c r="N387"/>
    </row>
    <row r="388" spans="1:14" s="1099" customFormat="1">
      <c r="A388"/>
      <c r="B388"/>
      <c r="C388"/>
      <c r="D388"/>
      <c r="E388"/>
      <c r="F388"/>
      <c r="G388"/>
      <c r="H388"/>
      <c r="I388"/>
      <c r="J388"/>
      <c r="K388"/>
      <c r="L388"/>
      <c r="M388"/>
      <c r="N388"/>
    </row>
    <row r="389" spans="1:14" s="1099" customFormat="1">
      <c r="A389"/>
      <c r="B389"/>
      <c r="C389"/>
      <c r="D389"/>
      <c r="E389"/>
      <c r="F389"/>
      <c r="G389"/>
      <c r="H389"/>
      <c r="I389"/>
      <c r="J389"/>
      <c r="K389"/>
      <c r="L389"/>
      <c r="M389"/>
      <c r="N389"/>
    </row>
    <row r="390" spans="1:14" s="1099" customFormat="1">
      <c r="A390"/>
      <c r="B390"/>
      <c r="C390"/>
      <c r="D390"/>
      <c r="E390"/>
      <c r="F390"/>
      <c r="G390"/>
      <c r="H390"/>
      <c r="I390"/>
      <c r="J390"/>
      <c r="K390"/>
      <c r="L390"/>
      <c r="M390"/>
      <c r="N390"/>
    </row>
    <row r="391" spans="1:14" s="1099" customFormat="1">
      <c r="A391"/>
      <c r="B391"/>
      <c r="C391"/>
      <c r="D391"/>
      <c r="E391"/>
      <c r="F391"/>
      <c r="G391"/>
      <c r="H391"/>
      <c r="I391"/>
      <c r="J391"/>
      <c r="K391"/>
      <c r="L391"/>
      <c r="M391"/>
      <c r="N391"/>
    </row>
    <row r="392" spans="1:14" s="1099" customFormat="1">
      <c r="A392"/>
      <c r="B392"/>
      <c r="C392"/>
      <c r="D392"/>
      <c r="E392"/>
      <c r="F392"/>
      <c r="G392"/>
      <c r="H392"/>
      <c r="I392"/>
      <c r="J392"/>
      <c r="K392"/>
      <c r="L392"/>
      <c r="M392"/>
      <c r="N392"/>
    </row>
    <row r="393" spans="1:14" s="1099" customFormat="1">
      <c r="A393"/>
      <c r="B393"/>
      <c r="C393"/>
      <c r="D393"/>
      <c r="E393"/>
      <c r="F393"/>
      <c r="G393"/>
      <c r="H393"/>
      <c r="I393"/>
      <c r="J393"/>
      <c r="K393"/>
      <c r="L393"/>
      <c r="M393"/>
      <c r="N393"/>
    </row>
    <row r="394" spans="1:14" s="1099" customFormat="1">
      <c r="A394"/>
      <c r="B394"/>
      <c r="C394"/>
      <c r="D394"/>
      <c r="E394"/>
      <c r="F394"/>
      <c r="G394"/>
      <c r="H394"/>
      <c r="I394"/>
      <c r="J394"/>
      <c r="K394"/>
      <c r="L394"/>
      <c r="M394"/>
      <c r="N394"/>
    </row>
    <row r="395" spans="1:14" s="1099" customFormat="1">
      <c r="A395"/>
      <c r="B395"/>
      <c r="C395"/>
      <c r="D395"/>
      <c r="E395"/>
      <c r="F395"/>
      <c r="G395"/>
      <c r="H395"/>
      <c r="I395"/>
      <c r="J395"/>
      <c r="K395"/>
      <c r="L395"/>
      <c r="M395"/>
      <c r="N395"/>
    </row>
    <row r="396" spans="1:14" s="1099" customFormat="1">
      <c r="A396"/>
      <c r="B396"/>
      <c r="C396"/>
      <c r="D396"/>
      <c r="E396"/>
      <c r="F396"/>
      <c r="G396"/>
      <c r="H396"/>
      <c r="I396"/>
      <c r="J396"/>
      <c r="K396"/>
      <c r="L396"/>
      <c r="M396"/>
      <c r="N396"/>
    </row>
    <row r="397" spans="1:14" s="1099" customFormat="1">
      <c r="A397"/>
      <c r="B397"/>
      <c r="C397"/>
      <c r="D397"/>
      <c r="E397"/>
      <c r="F397"/>
      <c r="G397"/>
      <c r="H397"/>
      <c r="I397"/>
      <c r="J397"/>
      <c r="K397"/>
      <c r="L397"/>
      <c r="M397"/>
      <c r="N397"/>
    </row>
    <row r="398" spans="1:14" s="1099" customFormat="1">
      <c r="A398"/>
      <c r="B398"/>
      <c r="C398"/>
      <c r="D398"/>
      <c r="E398"/>
      <c r="F398"/>
      <c r="G398"/>
      <c r="H398"/>
      <c r="I398"/>
      <c r="J398"/>
      <c r="K398"/>
      <c r="L398"/>
      <c r="M398"/>
      <c r="N398"/>
    </row>
    <row r="399" spans="1:14" s="1099" customFormat="1" ht="13">
      <c r="D399" s="1100"/>
      <c r="F399" s="1100"/>
      <c r="H399" s="1100"/>
    </row>
    <row r="400" spans="1:14" s="1099" customFormat="1" ht="13">
      <c r="D400" s="1100"/>
      <c r="F400" s="1100"/>
      <c r="H400" s="1100"/>
    </row>
    <row r="401" spans="4:8" s="1099" customFormat="1" ht="13">
      <c r="D401" s="1100"/>
      <c r="F401" s="1100"/>
      <c r="H401" s="1100"/>
    </row>
    <row r="402" spans="4:8" s="1099" customFormat="1" ht="13">
      <c r="D402" s="1100"/>
      <c r="F402" s="1100"/>
      <c r="H402" s="1100"/>
    </row>
    <row r="403" spans="4:8" s="1099" customFormat="1" ht="13">
      <c r="D403" s="1100"/>
      <c r="F403" s="1100"/>
      <c r="H403" s="1100"/>
    </row>
    <row r="404" spans="4:8" s="1099" customFormat="1" ht="13">
      <c r="D404" s="1100"/>
      <c r="F404" s="1100"/>
      <c r="H404" s="1100"/>
    </row>
    <row r="405" spans="4:8" s="1099" customFormat="1" ht="13">
      <c r="D405" s="1100"/>
      <c r="F405" s="1100"/>
      <c r="H405" s="1100"/>
    </row>
    <row r="406" spans="4:8" s="1099" customFormat="1" ht="13">
      <c r="D406" s="1100"/>
      <c r="F406" s="1100"/>
      <c r="H406" s="1100"/>
    </row>
    <row r="407" spans="4:8" s="1099" customFormat="1" ht="13">
      <c r="D407" s="1100"/>
      <c r="F407" s="1100"/>
      <c r="H407" s="1100"/>
    </row>
    <row r="408" spans="4:8" s="1099" customFormat="1" ht="13">
      <c r="D408" s="1100"/>
      <c r="F408" s="1100"/>
      <c r="H408" s="1100"/>
    </row>
    <row r="409" spans="4:8" s="1099" customFormat="1" ht="13">
      <c r="D409" s="1100"/>
      <c r="F409" s="1100"/>
      <c r="H409" s="1100"/>
    </row>
    <row r="410" spans="4:8" s="1099" customFormat="1" ht="13">
      <c r="D410" s="1100"/>
      <c r="F410" s="1100"/>
      <c r="H410" s="1100"/>
    </row>
    <row r="411" spans="4:8" s="1099" customFormat="1" ht="13">
      <c r="D411" s="1100"/>
      <c r="F411" s="1100"/>
      <c r="H411" s="1100"/>
    </row>
    <row r="412" spans="4:8" s="1099" customFormat="1" ht="13">
      <c r="D412" s="1100"/>
      <c r="F412" s="1100"/>
      <c r="H412" s="1100"/>
    </row>
    <row r="413" spans="4:8" s="1099" customFormat="1" ht="13">
      <c r="D413" s="1100"/>
      <c r="F413" s="1100"/>
      <c r="H413" s="1100"/>
    </row>
    <row r="414" spans="4:8" s="1099" customFormat="1" ht="13">
      <c r="D414" s="1100"/>
      <c r="F414" s="1100"/>
      <c r="H414" s="1100"/>
    </row>
    <row r="415" spans="4:8" s="1099" customFormat="1" ht="13">
      <c r="D415" s="1100"/>
      <c r="F415" s="1100"/>
      <c r="H415" s="1100"/>
    </row>
    <row r="416" spans="4:8" s="1099" customFormat="1" ht="13">
      <c r="D416" s="1100"/>
      <c r="F416" s="1100"/>
      <c r="H416" s="1100"/>
    </row>
    <row r="417" spans="4:8" s="1099" customFormat="1" ht="13">
      <c r="D417" s="1100"/>
      <c r="F417" s="1100"/>
      <c r="H417" s="1100"/>
    </row>
    <row r="418" spans="4:8" s="1099" customFormat="1" ht="13">
      <c r="D418" s="1100"/>
      <c r="F418" s="1100"/>
      <c r="H418" s="1100"/>
    </row>
    <row r="419" spans="4:8" s="1099" customFormat="1" ht="13">
      <c r="D419" s="1100"/>
      <c r="F419" s="1100"/>
      <c r="H419" s="1100"/>
    </row>
    <row r="420" spans="4:8" s="1099" customFormat="1" ht="13">
      <c r="D420" s="1100"/>
      <c r="F420" s="1100"/>
      <c r="H420" s="1100"/>
    </row>
    <row r="421" spans="4:8" s="1099" customFormat="1" ht="13">
      <c r="D421" s="1100"/>
      <c r="F421" s="1100"/>
      <c r="H421" s="1100"/>
    </row>
    <row r="422" spans="4:8" s="1099" customFormat="1" ht="13">
      <c r="D422" s="1100"/>
      <c r="F422" s="1100"/>
      <c r="H422" s="1100"/>
    </row>
    <row r="423" spans="4:8" s="1099" customFormat="1" ht="13">
      <c r="D423" s="1100"/>
      <c r="F423" s="1100"/>
      <c r="H423" s="1100"/>
    </row>
    <row r="424" spans="4:8" s="1099" customFormat="1" ht="13">
      <c r="D424" s="1100"/>
      <c r="F424" s="1100"/>
      <c r="H424" s="1100"/>
    </row>
    <row r="425" spans="4:8" s="1099" customFormat="1" ht="13">
      <c r="D425" s="1100"/>
      <c r="F425" s="1100"/>
      <c r="H425" s="1100"/>
    </row>
    <row r="426" spans="4:8" s="1099" customFormat="1" ht="13">
      <c r="D426" s="1100"/>
      <c r="F426" s="1100"/>
      <c r="H426" s="1100"/>
    </row>
    <row r="427" spans="4:8" s="1099" customFormat="1" ht="13">
      <c r="D427" s="1100"/>
      <c r="F427" s="1100"/>
      <c r="H427" s="1100"/>
    </row>
    <row r="428" spans="4:8" s="1099" customFormat="1" ht="13">
      <c r="D428" s="1100"/>
      <c r="F428" s="1100"/>
      <c r="H428" s="1100"/>
    </row>
    <row r="429" spans="4:8" s="1099" customFormat="1" ht="13">
      <c r="D429" s="1100"/>
      <c r="F429" s="1100"/>
      <c r="H429" s="1100"/>
    </row>
    <row r="430" spans="4:8" s="1099" customFormat="1" ht="13">
      <c r="D430" s="1100"/>
      <c r="F430" s="1100"/>
      <c r="H430" s="1100"/>
    </row>
    <row r="431" spans="4:8" s="1099" customFormat="1" ht="13">
      <c r="D431" s="1100"/>
      <c r="F431" s="1100"/>
      <c r="H431" s="1100"/>
    </row>
    <row r="432" spans="4:8" s="1099" customFormat="1" ht="13">
      <c r="D432" s="1100"/>
      <c r="F432" s="1100"/>
      <c r="H432" s="1100"/>
    </row>
    <row r="433" spans="4:8" s="1099" customFormat="1" ht="13">
      <c r="D433" s="1100"/>
      <c r="F433" s="1100"/>
      <c r="H433" s="1100"/>
    </row>
    <row r="434" spans="4:8" s="1099" customFormat="1" ht="13">
      <c r="D434" s="1100"/>
      <c r="F434" s="1100"/>
      <c r="H434" s="1100"/>
    </row>
    <row r="435" spans="4:8" s="1099" customFormat="1" ht="13">
      <c r="D435" s="1100"/>
      <c r="F435" s="1100"/>
      <c r="H435" s="1100"/>
    </row>
    <row r="436" spans="4:8" s="1099" customFormat="1" ht="13">
      <c r="D436" s="1100"/>
      <c r="F436" s="1100"/>
      <c r="H436" s="1100"/>
    </row>
    <row r="437" spans="4:8" s="1099" customFormat="1" ht="13">
      <c r="D437" s="1100"/>
      <c r="F437" s="1100"/>
      <c r="H437" s="1100"/>
    </row>
    <row r="438" spans="4:8" s="1099" customFormat="1" ht="13">
      <c r="D438" s="1100"/>
      <c r="F438" s="1100"/>
      <c r="H438" s="1100"/>
    </row>
    <row r="439" spans="4:8" s="1099" customFormat="1" ht="13">
      <c r="D439" s="1100"/>
      <c r="F439" s="1100"/>
      <c r="H439" s="1100"/>
    </row>
    <row r="440" spans="4:8" s="1099" customFormat="1" ht="13">
      <c r="D440" s="1100"/>
      <c r="F440" s="1100"/>
      <c r="H440" s="1100"/>
    </row>
    <row r="441" spans="4:8" s="1099" customFormat="1" ht="13">
      <c r="D441" s="1100"/>
      <c r="F441" s="1100"/>
      <c r="H441" s="1100"/>
    </row>
    <row r="442" spans="4:8" s="1099" customFormat="1" ht="13">
      <c r="D442" s="1100"/>
      <c r="F442" s="1100"/>
      <c r="H442" s="1100"/>
    </row>
    <row r="443" spans="4:8" s="1099" customFormat="1" ht="13">
      <c r="D443" s="1100"/>
      <c r="F443" s="1100"/>
      <c r="H443" s="1100"/>
    </row>
    <row r="444" spans="4:8" s="1099" customFormat="1" ht="13">
      <c r="D444" s="1100"/>
      <c r="F444" s="1100"/>
      <c r="H444" s="1100"/>
    </row>
    <row r="445" spans="4:8" s="1099" customFormat="1" ht="13">
      <c r="D445" s="1100"/>
      <c r="F445" s="1100"/>
      <c r="H445" s="1100"/>
    </row>
    <row r="446" spans="4:8" s="1099" customFormat="1" ht="13">
      <c r="D446" s="1100"/>
      <c r="F446" s="1100"/>
      <c r="H446" s="1100"/>
    </row>
    <row r="447" spans="4:8" s="1099" customFormat="1" ht="13">
      <c r="D447" s="1100"/>
      <c r="F447" s="1100"/>
      <c r="H447" s="1100"/>
    </row>
    <row r="448" spans="4:8" s="1099" customFormat="1" ht="13">
      <c r="D448" s="1100"/>
      <c r="F448" s="1100"/>
      <c r="H448" s="1100"/>
    </row>
    <row r="449" spans="4:8" s="1099" customFormat="1" ht="13">
      <c r="D449" s="1100"/>
      <c r="F449" s="1100"/>
      <c r="H449" s="1100"/>
    </row>
    <row r="450" spans="4:8" s="1099" customFormat="1" ht="13">
      <c r="D450" s="1100"/>
      <c r="F450" s="1100"/>
      <c r="H450" s="1100"/>
    </row>
    <row r="451" spans="4:8" s="1099" customFormat="1" ht="13">
      <c r="D451" s="1100"/>
      <c r="F451" s="1100"/>
      <c r="H451" s="1100"/>
    </row>
    <row r="452" spans="4:8" s="1099" customFormat="1" ht="13">
      <c r="D452" s="1100"/>
      <c r="F452" s="1100"/>
      <c r="H452" s="1100"/>
    </row>
    <row r="453" spans="4:8" s="1099" customFormat="1" ht="13">
      <c r="D453" s="1100"/>
      <c r="F453" s="1100"/>
      <c r="H453" s="1100"/>
    </row>
    <row r="454" spans="4:8" s="1099" customFormat="1" ht="13">
      <c r="D454" s="1100"/>
      <c r="F454" s="1100"/>
      <c r="H454" s="1100"/>
    </row>
    <row r="455" spans="4:8" s="1099" customFormat="1" ht="13">
      <c r="D455" s="1100"/>
      <c r="F455" s="1100"/>
      <c r="H455" s="1100"/>
    </row>
    <row r="456" spans="4:8" s="1099" customFormat="1" ht="13">
      <c r="D456" s="1100"/>
      <c r="F456" s="1100"/>
      <c r="H456" s="1100"/>
    </row>
    <row r="457" spans="4:8" s="1099" customFormat="1" ht="13">
      <c r="D457" s="1100"/>
      <c r="F457" s="1100"/>
      <c r="H457" s="1100"/>
    </row>
    <row r="458" spans="4:8" s="1099" customFormat="1" ht="13">
      <c r="D458" s="1100"/>
      <c r="F458" s="1100"/>
      <c r="H458" s="1100"/>
    </row>
    <row r="459" spans="4:8" s="1099" customFormat="1" ht="13">
      <c r="D459" s="1100"/>
      <c r="F459" s="1100"/>
      <c r="H459" s="1100"/>
    </row>
    <row r="460" spans="4:8" s="1099" customFormat="1" ht="13">
      <c r="D460" s="1100"/>
      <c r="F460" s="1100"/>
      <c r="H460" s="1100"/>
    </row>
    <row r="461" spans="4:8" s="1099" customFormat="1" ht="13">
      <c r="D461" s="1100"/>
      <c r="F461" s="1100"/>
      <c r="H461" s="1100"/>
    </row>
    <row r="462" spans="4:8" s="1099" customFormat="1" ht="13">
      <c r="D462" s="1100"/>
      <c r="F462" s="1100"/>
      <c r="H462" s="1100"/>
    </row>
    <row r="463" spans="4:8" s="1099" customFormat="1" ht="13">
      <c r="D463" s="1100"/>
      <c r="F463" s="1100"/>
      <c r="H463" s="1100"/>
    </row>
    <row r="464" spans="4:8" s="1099" customFormat="1" ht="13">
      <c r="D464" s="1100"/>
      <c r="F464" s="1100"/>
      <c r="H464" s="1100"/>
    </row>
    <row r="465" spans="4:8" s="1099" customFormat="1" ht="13">
      <c r="D465" s="1100"/>
      <c r="F465" s="1100"/>
      <c r="H465" s="1100"/>
    </row>
    <row r="466" spans="4:8" s="1099" customFormat="1" ht="13">
      <c r="D466" s="1100"/>
      <c r="F466" s="1100"/>
      <c r="H466" s="1100"/>
    </row>
    <row r="467" spans="4:8" s="1099" customFormat="1" ht="13">
      <c r="D467" s="1100"/>
      <c r="F467" s="1100"/>
      <c r="H467" s="1100"/>
    </row>
    <row r="468" spans="4:8" s="1099" customFormat="1" ht="13">
      <c r="D468" s="1100"/>
      <c r="F468" s="1100"/>
      <c r="H468" s="1100"/>
    </row>
    <row r="469" spans="4:8" s="1099" customFormat="1" ht="13">
      <c r="D469" s="1100"/>
      <c r="F469" s="1100"/>
      <c r="H469" s="1100"/>
    </row>
    <row r="470" spans="4:8" s="1099" customFormat="1" ht="13">
      <c r="D470" s="1100"/>
      <c r="F470" s="1100"/>
      <c r="H470" s="1100"/>
    </row>
    <row r="471" spans="4:8" s="1099" customFormat="1" ht="13">
      <c r="D471" s="1100"/>
      <c r="F471" s="1100"/>
      <c r="H471" s="1100"/>
    </row>
    <row r="472" spans="4:8" s="1099" customFormat="1" ht="13">
      <c r="D472" s="1100"/>
      <c r="F472" s="1100"/>
      <c r="H472" s="1100"/>
    </row>
    <row r="473" spans="4:8" s="1099" customFormat="1" ht="13">
      <c r="D473" s="1100"/>
      <c r="F473" s="1100"/>
      <c r="H473" s="1100"/>
    </row>
    <row r="474" spans="4:8" s="1099" customFormat="1" ht="13">
      <c r="D474" s="1100"/>
      <c r="F474" s="1100"/>
      <c r="H474" s="1100"/>
    </row>
    <row r="475" spans="4:8" s="1099" customFormat="1" ht="13">
      <c r="D475" s="1100"/>
      <c r="F475" s="1100"/>
      <c r="H475" s="1100"/>
    </row>
    <row r="476" spans="4:8" s="1099" customFormat="1" ht="13">
      <c r="D476" s="1100"/>
      <c r="F476" s="1100"/>
      <c r="H476" s="1100"/>
    </row>
    <row r="477" spans="4:8" s="1099" customFormat="1" ht="13">
      <c r="D477" s="1100"/>
      <c r="F477" s="1100"/>
      <c r="H477" s="1100"/>
    </row>
    <row r="478" spans="4:8" s="1099" customFormat="1" ht="13">
      <c r="D478" s="1100"/>
      <c r="F478" s="1100"/>
      <c r="H478" s="1100"/>
    </row>
    <row r="479" spans="4:8" s="1099" customFormat="1" ht="13">
      <c r="D479" s="1100"/>
      <c r="F479" s="1100"/>
      <c r="H479" s="1100"/>
    </row>
    <row r="480" spans="4:8" s="1099" customFormat="1" ht="13">
      <c r="D480" s="1100"/>
      <c r="F480" s="1100"/>
      <c r="H480" s="1100"/>
    </row>
    <row r="481" spans="4:9" s="1099" customFormat="1" ht="13">
      <c r="D481" s="1100"/>
      <c r="F481" s="1100"/>
      <c r="H481" s="1100"/>
    </row>
    <row r="482" spans="4:9" s="1099" customFormat="1" ht="13">
      <c r="D482" s="1100"/>
      <c r="F482" s="1100"/>
      <c r="H482" s="1100"/>
    </row>
    <row r="483" spans="4:9" s="1099" customFormat="1" ht="13">
      <c r="D483" s="1100"/>
      <c r="F483" s="1100"/>
      <c r="H483" s="1100"/>
    </row>
    <row r="484" spans="4:9" s="1099" customFormat="1" ht="13">
      <c r="D484" s="1100"/>
      <c r="F484" s="1100"/>
      <c r="H484" s="1100"/>
    </row>
    <row r="485" spans="4:9" s="1099" customFormat="1" ht="13">
      <c r="D485" s="1100"/>
      <c r="F485" s="1100"/>
      <c r="H485" s="1100"/>
    </row>
    <row r="486" spans="4:9">
      <c r="I486"/>
    </row>
    <row r="487" spans="4:9">
      <c r="I487"/>
    </row>
    <row r="488" spans="4:9">
      <c r="I488"/>
    </row>
    <row r="489" spans="4:9">
      <c r="I489"/>
    </row>
    <row r="490" spans="4:9">
      <c r="I490"/>
    </row>
    <row r="491" spans="4:9">
      <c r="I491"/>
    </row>
    <row r="492" spans="4:9">
      <c r="I492"/>
    </row>
    <row r="493" spans="4:9">
      <c r="I493"/>
    </row>
    <row r="494" spans="4:9">
      <c r="I494"/>
    </row>
    <row r="495" spans="4:9">
      <c r="I495"/>
    </row>
    <row r="496" spans="4: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9">
      <c r="I561"/>
    </row>
    <row r="562" spans="9:9">
      <c r="I562"/>
    </row>
    <row r="563" spans="9:9">
      <c r="I563"/>
    </row>
    <row r="564" spans="9:9">
      <c r="I564"/>
    </row>
    <row r="565" spans="9:9">
      <c r="I565"/>
    </row>
    <row r="566" spans="9:9">
      <c r="I566"/>
    </row>
    <row r="567" spans="9:9">
      <c r="I567"/>
    </row>
    <row r="568" spans="9:9">
      <c r="I568"/>
    </row>
    <row r="569" spans="9:9">
      <c r="I569"/>
    </row>
    <row r="570" spans="9:9">
      <c r="I570"/>
    </row>
    <row r="571" spans="9:9">
      <c r="I571"/>
    </row>
    <row r="572" spans="9:9">
      <c r="I572"/>
    </row>
    <row r="573" spans="9:9">
      <c r="I573"/>
    </row>
    <row r="574" spans="9:9">
      <c r="I574"/>
    </row>
    <row r="575" spans="9:9">
      <c r="I575"/>
    </row>
    <row r="576" spans="9:9">
      <c r="I576"/>
    </row>
    <row r="577" spans="9:9">
      <c r="I577"/>
    </row>
    <row r="578" spans="9:9">
      <c r="I578"/>
    </row>
    <row r="579" spans="9:9">
      <c r="I579"/>
    </row>
    <row r="580" spans="9:9">
      <c r="I580"/>
    </row>
    <row r="581" spans="9:9">
      <c r="I581"/>
    </row>
    <row r="582" spans="9:9">
      <c r="I582"/>
    </row>
    <row r="583" spans="9:9">
      <c r="I583"/>
    </row>
    <row r="584" spans="9:9">
      <c r="I584"/>
    </row>
    <row r="585" spans="9:9">
      <c r="I585"/>
    </row>
    <row r="586" spans="9:9">
      <c r="I586"/>
    </row>
    <row r="587" spans="9:9">
      <c r="I587"/>
    </row>
    <row r="588" spans="9:9">
      <c r="I588"/>
    </row>
    <row r="589" spans="9:9">
      <c r="I589"/>
    </row>
    <row r="590" spans="9:9">
      <c r="I590"/>
    </row>
    <row r="591" spans="9:9">
      <c r="I591"/>
    </row>
    <row r="592" spans="9:9">
      <c r="I592"/>
    </row>
    <row r="593" spans="9:9">
      <c r="I593"/>
    </row>
    <row r="594" spans="9:9">
      <c r="I594"/>
    </row>
    <row r="595" spans="9:9">
      <c r="I595"/>
    </row>
    <row r="596" spans="9:9">
      <c r="I596"/>
    </row>
    <row r="597" spans="9:9">
      <c r="I597"/>
    </row>
    <row r="598" spans="9:9">
      <c r="I598"/>
    </row>
    <row r="599" spans="9:9">
      <c r="I599"/>
    </row>
    <row r="600" spans="9:9">
      <c r="I600"/>
    </row>
    <row r="601" spans="9:9">
      <c r="I601"/>
    </row>
    <row r="602" spans="9:9">
      <c r="I602"/>
    </row>
    <row r="603" spans="9:9">
      <c r="I603"/>
    </row>
    <row r="604" spans="9:9">
      <c r="I604"/>
    </row>
    <row r="605" spans="9:9">
      <c r="I605"/>
    </row>
    <row r="606" spans="9:9">
      <c r="I606"/>
    </row>
    <row r="607" spans="9:9">
      <c r="I607"/>
    </row>
    <row r="608" spans="9:9">
      <c r="I608"/>
    </row>
    <row r="609" spans="9:9">
      <c r="I609"/>
    </row>
    <row r="610" spans="9:9">
      <c r="I610"/>
    </row>
    <row r="611" spans="9:9">
      <c r="I611"/>
    </row>
    <row r="612" spans="9:9">
      <c r="I612"/>
    </row>
    <row r="613" spans="9:9">
      <c r="I613"/>
    </row>
    <row r="614" spans="9:9">
      <c r="I614"/>
    </row>
    <row r="615" spans="9:9">
      <c r="I615"/>
    </row>
    <row r="616" spans="9:9">
      <c r="I616"/>
    </row>
    <row r="617" spans="9:9">
      <c r="I617"/>
    </row>
    <row r="618" spans="9:9">
      <c r="I618"/>
    </row>
    <row r="619" spans="9:9">
      <c r="I619"/>
    </row>
    <row r="620" spans="9:9">
      <c r="I620"/>
    </row>
    <row r="621" spans="9:9">
      <c r="I621"/>
    </row>
    <row r="622" spans="9:9">
      <c r="I622"/>
    </row>
    <row r="623" spans="9:9">
      <c r="I623"/>
    </row>
    <row r="624" spans="9:9">
      <c r="I624"/>
    </row>
    <row r="625" spans="9:9">
      <c r="I625"/>
    </row>
    <row r="626" spans="9:9">
      <c r="I626"/>
    </row>
    <row r="627" spans="9:9">
      <c r="I627"/>
    </row>
    <row r="628" spans="9:9">
      <c r="I628"/>
    </row>
    <row r="629" spans="9:9">
      <c r="I629"/>
    </row>
    <row r="630" spans="9:9">
      <c r="I630"/>
    </row>
    <row r="631" spans="9:9">
      <c r="I631"/>
    </row>
    <row r="632" spans="9:9">
      <c r="I632"/>
    </row>
    <row r="633" spans="9:9">
      <c r="I633"/>
    </row>
    <row r="634" spans="9:9">
      <c r="I634"/>
    </row>
    <row r="635" spans="9:9">
      <c r="I635"/>
    </row>
    <row r="636" spans="9:9">
      <c r="I636"/>
    </row>
    <row r="637" spans="9:9">
      <c r="I637"/>
    </row>
    <row r="638" spans="9:9">
      <c r="I638"/>
    </row>
    <row r="639" spans="9:9">
      <c r="I639"/>
    </row>
    <row r="640" spans="9:9">
      <c r="I640"/>
    </row>
    <row r="641" spans="9:9">
      <c r="I641"/>
    </row>
    <row r="642" spans="9:9">
      <c r="I642"/>
    </row>
    <row r="643" spans="9:9">
      <c r="I643"/>
    </row>
    <row r="644" spans="9:9">
      <c r="I644"/>
    </row>
    <row r="645" spans="9:9">
      <c r="I645"/>
    </row>
    <row r="646" spans="9:9">
      <c r="I646"/>
    </row>
    <row r="647" spans="9:9">
      <c r="I647"/>
    </row>
    <row r="648" spans="9:9">
      <c r="I648"/>
    </row>
    <row r="649" spans="9:9">
      <c r="I649"/>
    </row>
    <row r="650" spans="9:9">
      <c r="I650"/>
    </row>
    <row r="651" spans="9:9">
      <c r="I651"/>
    </row>
    <row r="652" spans="9:9">
      <c r="I652"/>
    </row>
    <row r="653" spans="9:9">
      <c r="I653"/>
    </row>
    <row r="654" spans="9:9">
      <c r="I654"/>
    </row>
    <row r="655" spans="9:9">
      <c r="I655"/>
    </row>
    <row r="656" spans="9:9">
      <c r="I656"/>
    </row>
    <row r="657" spans="9:9">
      <c r="I657"/>
    </row>
    <row r="658" spans="9:9">
      <c r="I658"/>
    </row>
    <row r="659" spans="9:9">
      <c r="I659"/>
    </row>
    <row r="660" spans="9:9">
      <c r="I660"/>
    </row>
    <row r="661" spans="9:9">
      <c r="I661"/>
    </row>
    <row r="662" spans="9:9">
      <c r="I662"/>
    </row>
    <row r="663" spans="9:9">
      <c r="I663"/>
    </row>
    <row r="664" spans="9:9">
      <c r="I664"/>
    </row>
    <row r="665" spans="9:9">
      <c r="I665"/>
    </row>
    <row r="666" spans="9:9">
      <c r="I666"/>
    </row>
    <row r="667" spans="9:9">
      <c r="I667"/>
    </row>
    <row r="668" spans="9:9">
      <c r="I668"/>
    </row>
    <row r="669" spans="9:9">
      <c r="I669"/>
    </row>
    <row r="670" spans="9:9">
      <c r="I670"/>
    </row>
    <row r="671" spans="9:9">
      <c r="I671"/>
    </row>
    <row r="672" spans="9:9">
      <c r="I672"/>
    </row>
    <row r="673" spans="9:9">
      <c r="I673"/>
    </row>
    <row r="674" spans="9:9">
      <c r="I674"/>
    </row>
    <row r="675" spans="9:9">
      <c r="I675"/>
    </row>
    <row r="676" spans="9:9">
      <c r="I676"/>
    </row>
    <row r="677" spans="9:9">
      <c r="I677"/>
    </row>
    <row r="678" spans="9:9">
      <c r="I678"/>
    </row>
    <row r="679" spans="9:9">
      <c r="I679"/>
    </row>
    <row r="680" spans="9:9">
      <c r="I680"/>
    </row>
    <row r="681" spans="9:9">
      <c r="I681"/>
    </row>
    <row r="682" spans="9:9">
      <c r="I682"/>
    </row>
    <row r="683" spans="9:9">
      <c r="I683"/>
    </row>
    <row r="684" spans="9:9">
      <c r="I684"/>
    </row>
    <row r="685" spans="9:9">
      <c r="I685"/>
    </row>
    <row r="686" spans="9:9">
      <c r="I686"/>
    </row>
    <row r="687" spans="9:9">
      <c r="I687"/>
    </row>
    <row r="688" spans="9:9">
      <c r="I688"/>
    </row>
    <row r="689" spans="9:9">
      <c r="I689"/>
    </row>
    <row r="690" spans="9:9">
      <c r="I690"/>
    </row>
    <row r="691" spans="9:9">
      <c r="I691"/>
    </row>
    <row r="692" spans="9:9">
      <c r="I692"/>
    </row>
    <row r="693" spans="9:9">
      <c r="I693"/>
    </row>
    <row r="694" spans="9:9">
      <c r="I694"/>
    </row>
    <row r="695" spans="9:9">
      <c r="I695"/>
    </row>
    <row r="696" spans="9:9">
      <c r="I696"/>
    </row>
    <row r="697" spans="9:9">
      <c r="I697"/>
    </row>
    <row r="698" spans="9:9">
      <c r="I698"/>
    </row>
    <row r="699" spans="9:9">
      <c r="I699"/>
    </row>
    <row r="700" spans="9:9">
      <c r="I700"/>
    </row>
    <row r="701" spans="9:9">
      <c r="I701"/>
    </row>
    <row r="702" spans="9:9">
      <c r="I702"/>
    </row>
    <row r="703" spans="9:9">
      <c r="I703"/>
    </row>
    <row r="704" spans="9:9">
      <c r="I704"/>
    </row>
    <row r="705" spans="9:9">
      <c r="I705"/>
    </row>
    <row r="706" spans="9:9">
      <c r="I706"/>
    </row>
    <row r="707" spans="9:9">
      <c r="I707"/>
    </row>
    <row r="708" spans="9:9">
      <c r="I708"/>
    </row>
    <row r="709" spans="9:9">
      <c r="I709"/>
    </row>
    <row r="710" spans="9:9">
      <c r="I710"/>
    </row>
    <row r="711" spans="9:9">
      <c r="I711"/>
    </row>
    <row r="712" spans="9:9">
      <c r="I712"/>
    </row>
    <row r="713" spans="9:9">
      <c r="I713"/>
    </row>
    <row r="714" spans="9:9">
      <c r="I714"/>
    </row>
    <row r="715" spans="9:9">
      <c r="I715"/>
    </row>
    <row r="716" spans="9:9">
      <c r="I716"/>
    </row>
    <row r="717" spans="9:9">
      <c r="I717"/>
    </row>
    <row r="718" spans="9:9">
      <c r="I718"/>
    </row>
    <row r="719" spans="9:9">
      <c r="I719"/>
    </row>
    <row r="720" spans="9:9">
      <c r="I720"/>
    </row>
    <row r="721" spans="9:9">
      <c r="I721"/>
    </row>
    <row r="722" spans="9:9">
      <c r="I722"/>
    </row>
    <row r="723" spans="9:9">
      <c r="I723"/>
    </row>
    <row r="724" spans="9:9">
      <c r="I724"/>
    </row>
    <row r="725" spans="9:9">
      <c r="I725"/>
    </row>
    <row r="726" spans="9:9">
      <c r="I726"/>
    </row>
    <row r="727" spans="9:9">
      <c r="I727"/>
    </row>
    <row r="728" spans="9:9">
      <c r="I728"/>
    </row>
    <row r="729" spans="9:9">
      <c r="I729"/>
    </row>
    <row r="730" spans="9:9">
      <c r="I730"/>
    </row>
    <row r="731" spans="9:9">
      <c r="I731"/>
    </row>
    <row r="732" spans="9:9">
      <c r="I732"/>
    </row>
    <row r="733" spans="9:9">
      <c r="I733"/>
    </row>
    <row r="734" spans="9:9">
      <c r="I734"/>
    </row>
    <row r="735" spans="9:9">
      <c r="I735"/>
    </row>
    <row r="736" spans="9:9">
      <c r="I736"/>
    </row>
    <row r="737" spans="9:9">
      <c r="I737"/>
    </row>
    <row r="738" spans="9:9">
      <c r="I738"/>
    </row>
    <row r="739" spans="9:9">
      <c r="I739"/>
    </row>
    <row r="740" spans="9:9">
      <c r="I740"/>
    </row>
    <row r="741" spans="9:9">
      <c r="I741"/>
    </row>
    <row r="742" spans="9:9">
      <c r="I742"/>
    </row>
    <row r="743" spans="9:9">
      <c r="I743"/>
    </row>
    <row r="744" spans="9:9">
      <c r="I744"/>
    </row>
    <row r="745" spans="9:9">
      <c r="I745"/>
    </row>
    <row r="746" spans="9:9">
      <c r="I746"/>
    </row>
    <row r="747" spans="9:9">
      <c r="I747"/>
    </row>
    <row r="748" spans="9:9">
      <c r="I748"/>
    </row>
    <row r="749" spans="9:9">
      <c r="I749"/>
    </row>
    <row r="750" spans="9:9">
      <c r="I750"/>
    </row>
    <row r="751" spans="9:9">
      <c r="I751"/>
    </row>
    <row r="752" spans="9:9">
      <c r="I752"/>
    </row>
    <row r="753" spans="9:9">
      <c r="I753"/>
    </row>
    <row r="754" spans="9:9">
      <c r="I754"/>
    </row>
    <row r="755" spans="9:9">
      <c r="I755"/>
    </row>
    <row r="756" spans="9:9">
      <c r="I756"/>
    </row>
    <row r="757" spans="9:9">
      <c r="I757"/>
    </row>
    <row r="758" spans="9:9">
      <c r="I758"/>
    </row>
    <row r="759" spans="9:9">
      <c r="I759"/>
    </row>
    <row r="760" spans="9:9">
      <c r="I760"/>
    </row>
    <row r="761" spans="9:9">
      <c r="I761"/>
    </row>
    <row r="762" spans="9:9">
      <c r="I762"/>
    </row>
    <row r="763" spans="9:9">
      <c r="I763"/>
    </row>
    <row r="764" spans="9:9">
      <c r="I764"/>
    </row>
    <row r="765" spans="9:9">
      <c r="I765"/>
    </row>
    <row r="766" spans="9:9">
      <c r="I766"/>
    </row>
    <row r="767" spans="9:9">
      <c r="I767"/>
    </row>
    <row r="768" spans="9:9">
      <c r="I768"/>
    </row>
    <row r="769" spans="9:9">
      <c r="I769"/>
    </row>
    <row r="770" spans="9:9">
      <c r="I770"/>
    </row>
    <row r="771" spans="9:9">
      <c r="I771"/>
    </row>
    <row r="772" spans="9:9">
      <c r="I772"/>
    </row>
    <row r="773" spans="9:9">
      <c r="I773"/>
    </row>
    <row r="774" spans="9:9">
      <c r="I774"/>
    </row>
    <row r="775" spans="9:9">
      <c r="I775"/>
    </row>
    <row r="776" spans="9:9">
      <c r="I776"/>
    </row>
    <row r="777" spans="9:9">
      <c r="I777"/>
    </row>
    <row r="778" spans="9:9">
      <c r="I778"/>
    </row>
    <row r="779" spans="9:9">
      <c r="I779"/>
    </row>
    <row r="780" spans="9:9">
      <c r="I780"/>
    </row>
    <row r="781" spans="9:9">
      <c r="I781"/>
    </row>
    <row r="782" spans="9:9">
      <c r="I782"/>
    </row>
    <row r="783" spans="9:9">
      <c r="I783"/>
    </row>
    <row r="784" spans="9:9">
      <c r="I784"/>
    </row>
    <row r="785" spans="9:9">
      <c r="I785"/>
    </row>
    <row r="786" spans="9:9">
      <c r="I786"/>
    </row>
    <row r="787" spans="9:9">
      <c r="I787"/>
    </row>
    <row r="788" spans="9:9">
      <c r="I788"/>
    </row>
    <row r="789" spans="9:9">
      <c r="I789"/>
    </row>
    <row r="790" spans="9:9">
      <c r="I790"/>
    </row>
    <row r="791" spans="9:9">
      <c r="I791"/>
    </row>
    <row r="792" spans="9:9">
      <c r="I792"/>
    </row>
    <row r="793" spans="9:9">
      <c r="I793"/>
    </row>
    <row r="794" spans="9:9">
      <c r="I794"/>
    </row>
    <row r="795" spans="9:9">
      <c r="I795"/>
    </row>
    <row r="796" spans="9:9">
      <c r="I796"/>
    </row>
    <row r="797" spans="9:9">
      <c r="I797"/>
    </row>
    <row r="798" spans="9:9">
      <c r="I798"/>
    </row>
    <row r="799" spans="9:9">
      <c r="I799"/>
    </row>
    <row r="800" spans="9:9">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9:9">
      <c r="I849"/>
    </row>
    <row r="850" spans="9:9">
      <c r="I850"/>
    </row>
    <row r="851" spans="9:9">
      <c r="I851"/>
    </row>
    <row r="852" spans="9:9">
      <c r="I852"/>
    </row>
    <row r="853" spans="9:9">
      <c r="I853"/>
    </row>
    <row r="854" spans="9:9">
      <c r="I854"/>
    </row>
    <row r="855" spans="9:9">
      <c r="I855"/>
    </row>
    <row r="856" spans="9:9">
      <c r="I856"/>
    </row>
    <row r="857" spans="9:9">
      <c r="I857"/>
    </row>
    <row r="858" spans="9:9">
      <c r="I858"/>
    </row>
    <row r="859" spans="9:9">
      <c r="I859"/>
    </row>
    <row r="860" spans="9:9">
      <c r="I860"/>
    </row>
    <row r="861" spans="9:9">
      <c r="I861"/>
    </row>
    <row r="862" spans="9:9">
      <c r="I862"/>
    </row>
    <row r="863" spans="9:9">
      <c r="I863"/>
    </row>
    <row r="864" spans="9:9">
      <c r="I864"/>
    </row>
    <row r="865" spans="9:9">
      <c r="I865"/>
    </row>
    <row r="866" spans="9:9">
      <c r="I866"/>
    </row>
    <row r="867" spans="9:9">
      <c r="I867"/>
    </row>
    <row r="868" spans="9:9">
      <c r="I868"/>
    </row>
    <row r="869" spans="9:9">
      <c r="I869"/>
    </row>
    <row r="870" spans="9:9">
      <c r="I870"/>
    </row>
    <row r="871" spans="9:9">
      <c r="I871"/>
    </row>
    <row r="872" spans="9:9">
      <c r="I872"/>
    </row>
    <row r="873" spans="9:9">
      <c r="I873"/>
    </row>
    <row r="874" spans="9:9">
      <c r="I874"/>
    </row>
    <row r="875" spans="9:9">
      <c r="I875"/>
    </row>
    <row r="876" spans="9:9">
      <c r="I876"/>
    </row>
    <row r="877" spans="9:9">
      <c r="I877"/>
    </row>
    <row r="878" spans="9:9">
      <c r="I878"/>
    </row>
    <row r="879" spans="9:9">
      <c r="I879"/>
    </row>
    <row r="880" spans="9:9">
      <c r="I880"/>
    </row>
    <row r="881" spans="9:9">
      <c r="I881"/>
    </row>
    <row r="882" spans="9:9">
      <c r="I882"/>
    </row>
    <row r="883" spans="9:9">
      <c r="I883"/>
    </row>
    <row r="884" spans="9:9">
      <c r="I884"/>
    </row>
    <row r="885" spans="9:9">
      <c r="I885"/>
    </row>
    <row r="886" spans="9:9">
      <c r="I886"/>
    </row>
    <row r="887" spans="9:9">
      <c r="I887"/>
    </row>
    <row r="888" spans="9:9">
      <c r="I888"/>
    </row>
    <row r="889" spans="9:9">
      <c r="I889"/>
    </row>
    <row r="890" spans="9:9">
      <c r="I890"/>
    </row>
    <row r="891" spans="9:9">
      <c r="I891"/>
    </row>
    <row r="892" spans="9:9">
      <c r="I892"/>
    </row>
    <row r="893" spans="9:9">
      <c r="I893"/>
    </row>
    <row r="894" spans="9:9">
      <c r="I894"/>
    </row>
    <row r="895" spans="9:9">
      <c r="I895"/>
    </row>
    <row r="896" spans="9:9">
      <c r="I896"/>
    </row>
    <row r="897" spans="9:9">
      <c r="I897"/>
    </row>
    <row r="898" spans="9:9">
      <c r="I898"/>
    </row>
    <row r="899" spans="9:9">
      <c r="I899"/>
    </row>
    <row r="900" spans="9:9">
      <c r="I900"/>
    </row>
    <row r="901" spans="9:9">
      <c r="I901"/>
    </row>
    <row r="902" spans="9:9">
      <c r="I902"/>
    </row>
    <row r="903" spans="9:9">
      <c r="I903"/>
    </row>
    <row r="904" spans="9:9">
      <c r="I904"/>
    </row>
    <row r="905" spans="9:9">
      <c r="I905"/>
    </row>
    <row r="906" spans="9:9">
      <c r="I906"/>
    </row>
    <row r="907" spans="9:9">
      <c r="I907"/>
    </row>
    <row r="908" spans="9:9">
      <c r="I908"/>
    </row>
    <row r="909" spans="9:9">
      <c r="I909"/>
    </row>
    <row r="910" spans="9:9">
      <c r="I910"/>
    </row>
    <row r="911" spans="9:9">
      <c r="I911"/>
    </row>
    <row r="912" spans="9:9">
      <c r="I912"/>
    </row>
    <row r="913" spans="9:9">
      <c r="I913"/>
    </row>
    <row r="914" spans="9:9">
      <c r="I914"/>
    </row>
    <row r="915" spans="9:9">
      <c r="I915"/>
    </row>
    <row r="916" spans="9:9">
      <c r="I916"/>
    </row>
    <row r="917" spans="9:9">
      <c r="I917"/>
    </row>
    <row r="918" spans="9:9">
      <c r="I918"/>
    </row>
    <row r="919" spans="9:9">
      <c r="I919"/>
    </row>
    <row r="920" spans="9:9">
      <c r="I920"/>
    </row>
    <row r="921" spans="9:9">
      <c r="I921"/>
    </row>
    <row r="922" spans="9:9">
      <c r="I922"/>
    </row>
    <row r="923" spans="9:9">
      <c r="I923"/>
    </row>
    <row r="924" spans="9:9">
      <c r="I924"/>
    </row>
    <row r="925" spans="9:9">
      <c r="I925"/>
    </row>
    <row r="926" spans="9:9">
      <c r="I926"/>
    </row>
    <row r="927" spans="9:9">
      <c r="I927"/>
    </row>
    <row r="928" spans="9:9">
      <c r="I928"/>
    </row>
    <row r="929" spans="9:9">
      <c r="I929"/>
    </row>
    <row r="930" spans="9:9">
      <c r="I930"/>
    </row>
    <row r="931" spans="9:9">
      <c r="I931"/>
    </row>
    <row r="932" spans="9:9">
      <c r="I932"/>
    </row>
    <row r="933" spans="9:9">
      <c r="I933"/>
    </row>
    <row r="934" spans="9:9">
      <c r="I934"/>
    </row>
    <row r="935" spans="9:9">
      <c r="I935"/>
    </row>
    <row r="936" spans="9:9">
      <c r="I936"/>
    </row>
    <row r="937" spans="9:9">
      <c r="I937"/>
    </row>
    <row r="938" spans="9:9">
      <c r="I938"/>
    </row>
    <row r="939" spans="9:9">
      <c r="I939"/>
    </row>
    <row r="940" spans="9:9">
      <c r="I940"/>
    </row>
    <row r="941" spans="9:9">
      <c r="I941"/>
    </row>
    <row r="942" spans="9:9">
      <c r="I942"/>
    </row>
    <row r="943" spans="9:9">
      <c r="I943"/>
    </row>
    <row r="944" spans="9:9">
      <c r="I944"/>
    </row>
    <row r="945" spans="9:9">
      <c r="I945"/>
    </row>
    <row r="946" spans="9:9">
      <c r="I946"/>
    </row>
    <row r="947" spans="9:9">
      <c r="I947"/>
    </row>
    <row r="948" spans="9:9">
      <c r="I948"/>
    </row>
    <row r="949" spans="9:9">
      <c r="I949"/>
    </row>
    <row r="950" spans="9:9">
      <c r="I950"/>
    </row>
    <row r="951" spans="9:9">
      <c r="I951"/>
    </row>
    <row r="952" spans="9:9">
      <c r="I952"/>
    </row>
    <row r="953" spans="9:9">
      <c r="I953"/>
    </row>
    <row r="954" spans="9:9">
      <c r="I954"/>
    </row>
    <row r="955" spans="9:9">
      <c r="I955"/>
    </row>
    <row r="956" spans="9:9">
      <c r="I956"/>
    </row>
    <row r="957" spans="9:9">
      <c r="I957"/>
    </row>
    <row r="958" spans="9:9">
      <c r="I958"/>
    </row>
    <row r="959" spans="9:9">
      <c r="I959"/>
    </row>
    <row r="960" spans="9:9">
      <c r="I960"/>
    </row>
    <row r="961" spans="9:9">
      <c r="I961"/>
    </row>
    <row r="962" spans="9:9">
      <c r="I962"/>
    </row>
    <row r="963" spans="9:9">
      <c r="I963"/>
    </row>
    <row r="964" spans="9:9">
      <c r="I964"/>
    </row>
    <row r="965" spans="9:9">
      <c r="I965"/>
    </row>
    <row r="966" spans="9:9">
      <c r="I966"/>
    </row>
    <row r="967" spans="9:9">
      <c r="I967"/>
    </row>
    <row r="968" spans="9:9">
      <c r="I968"/>
    </row>
    <row r="969" spans="9:9">
      <c r="I969"/>
    </row>
    <row r="970" spans="9:9">
      <c r="I970"/>
    </row>
    <row r="971" spans="9:9">
      <c r="I971"/>
    </row>
    <row r="972" spans="9:9">
      <c r="I972"/>
    </row>
    <row r="973" spans="9:9">
      <c r="I973"/>
    </row>
    <row r="974" spans="9:9">
      <c r="I974"/>
    </row>
    <row r="975" spans="9:9">
      <c r="I975"/>
    </row>
    <row r="976" spans="9:9">
      <c r="I976"/>
    </row>
    <row r="977" spans="9:9">
      <c r="I977"/>
    </row>
    <row r="978" spans="9:9">
      <c r="I978"/>
    </row>
    <row r="979" spans="9:9">
      <c r="I979"/>
    </row>
    <row r="980" spans="9:9">
      <c r="I980"/>
    </row>
  </sheetData>
  <mergeCells count="4">
    <mergeCell ref="A2:B2"/>
    <mergeCell ref="C2:D2"/>
    <mergeCell ref="E2:F2"/>
    <mergeCell ref="G2:H2"/>
  </mergeCells>
  <pageMargins left="0.7" right="0.7" top="0.75" bottom="0.75" header="0.3" footer="0.3"/>
  <pageSetup paperSize="17"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filterMode="1"/>
  <dimension ref="A1:AB428"/>
  <sheetViews>
    <sheetView zoomScale="70" zoomScaleNormal="70" workbookViewId="0">
      <selection activeCell="G3" sqref="G3"/>
    </sheetView>
  </sheetViews>
  <sheetFormatPr defaultColWidth="9.1796875" defaultRowHeight="14.5"/>
  <cols>
    <col min="1" max="1" width="7.81640625" style="1334" bestFit="1" customWidth="1"/>
    <col min="2" max="2" width="35.453125" style="7" customWidth="1"/>
    <col min="3" max="3" width="18.1796875" style="1426" customWidth="1"/>
    <col min="4" max="4" width="14.26953125" style="1334" customWidth="1"/>
    <col min="5" max="5" width="14.7265625" style="1535" customWidth="1"/>
    <col min="6" max="6" width="15.26953125" style="1536" customWidth="1"/>
    <col min="7" max="7" width="16.7265625" style="1462" customWidth="1"/>
    <col min="8" max="8" width="12.26953125" style="1462" customWidth="1"/>
    <col min="9" max="9" width="15.1796875" style="1462" customWidth="1"/>
    <col min="10" max="10" width="15.81640625" style="1463" customWidth="1"/>
    <col min="11" max="11" width="15.81640625" style="1537" customWidth="1"/>
    <col min="12" max="12" width="3.7265625" style="19" customWidth="1"/>
    <col min="13" max="13" width="16.54296875" style="1538" customWidth="1"/>
    <col min="14" max="14" width="16.54296875" style="1425" customWidth="1"/>
    <col min="15" max="15" width="14.7265625" style="1425" bestFit="1" customWidth="1"/>
    <col min="16" max="16" width="17.26953125" style="1425" customWidth="1"/>
    <col min="17" max="17" width="15" style="1425" customWidth="1"/>
    <col min="18" max="18" width="16.26953125" style="1381" customWidth="1"/>
    <col min="19" max="19" width="3.7265625" style="1425" customWidth="1"/>
    <col min="20" max="20" width="15" style="1462" customWidth="1"/>
    <col min="21" max="21" width="17.1796875" style="1462" customWidth="1"/>
    <col min="22" max="23" width="11.81640625" style="7" customWidth="1"/>
    <col min="24" max="24" width="14.453125" style="7" customWidth="1"/>
    <col min="25" max="16384" width="9.1796875" style="7"/>
  </cols>
  <sheetData>
    <row r="1" spans="1:24">
      <c r="A1" s="2471" t="s">
        <v>2783</v>
      </c>
      <c r="B1" s="2473" t="s">
        <v>2784</v>
      </c>
      <c r="C1" s="2475" t="s">
        <v>7772</v>
      </c>
      <c r="D1" s="2476"/>
      <c r="E1" s="2477" t="s">
        <v>7773</v>
      </c>
      <c r="F1" s="2478"/>
      <c r="G1" s="2478"/>
      <c r="H1" s="2478"/>
      <c r="I1" s="2478"/>
      <c r="J1" s="2478"/>
      <c r="K1" s="2479"/>
      <c r="L1" s="1324"/>
      <c r="M1" s="2480" t="s">
        <v>7774</v>
      </c>
      <c r="N1" s="2481"/>
      <c r="O1" s="2481"/>
      <c r="P1" s="2481"/>
      <c r="Q1" s="2481"/>
      <c r="R1" s="2482"/>
      <c r="S1" s="163"/>
      <c r="T1" s="2469" t="s">
        <v>7775</v>
      </c>
      <c r="U1" s="2470"/>
      <c r="V1" s="163"/>
      <c r="W1" s="163"/>
      <c r="X1" s="387"/>
    </row>
    <row r="2" spans="1:24" s="1334" customFormat="1" ht="34.5" customHeight="1" thickBot="1">
      <c r="A2" s="2472"/>
      <c r="B2" s="2474"/>
      <c r="C2" s="1325" t="s">
        <v>23</v>
      </c>
      <c r="D2" s="1326" t="s">
        <v>24</v>
      </c>
      <c r="E2" s="1327" t="s">
        <v>25</v>
      </c>
      <c r="F2" s="1328" t="s">
        <v>2785</v>
      </c>
      <c r="G2" s="1329" t="s">
        <v>2786</v>
      </c>
      <c r="H2" s="1329" t="s">
        <v>2787</v>
      </c>
      <c r="I2" s="1329" t="s">
        <v>2788</v>
      </c>
      <c r="J2" s="1329" t="s">
        <v>2789</v>
      </c>
      <c r="K2" s="1330" t="s">
        <v>7776</v>
      </c>
      <c r="L2" s="1331"/>
      <c r="M2" s="1327" t="s">
        <v>2785</v>
      </c>
      <c r="N2" s="1329" t="s">
        <v>2786</v>
      </c>
      <c r="O2" s="1329" t="s">
        <v>2787</v>
      </c>
      <c r="P2" s="1329" t="s">
        <v>2788</v>
      </c>
      <c r="Q2" s="1329" t="s">
        <v>2789</v>
      </c>
      <c r="R2" s="1330" t="s">
        <v>7776</v>
      </c>
      <c r="S2" s="1331"/>
      <c r="T2" s="1332" t="s">
        <v>2789</v>
      </c>
      <c r="U2" s="1333" t="s">
        <v>3200</v>
      </c>
      <c r="V2" s="1331"/>
      <c r="W2" s="1331"/>
      <c r="X2" s="1331"/>
    </row>
    <row r="3" spans="1:24">
      <c r="A3" s="1335"/>
      <c r="B3" t="s">
        <v>7777</v>
      </c>
      <c r="C3" s="1336"/>
      <c r="D3" s="1337"/>
      <c r="E3" s="1338"/>
      <c r="F3" s="1339">
        <v>0.1</v>
      </c>
      <c r="G3" s="1340">
        <v>100</v>
      </c>
      <c r="H3" s="1340"/>
      <c r="I3" s="1340">
        <v>150</v>
      </c>
      <c r="J3" s="1341"/>
      <c r="K3" s="1342"/>
      <c r="L3" s="1343"/>
      <c r="M3" s="1344">
        <v>0.1</v>
      </c>
      <c r="N3" s="1340">
        <v>100</v>
      </c>
      <c r="O3" s="1340"/>
      <c r="P3" s="1340">
        <v>150</v>
      </c>
      <c r="Q3" s="1345"/>
      <c r="R3" s="1346"/>
      <c r="S3" s="1345"/>
      <c r="T3" s="1347"/>
      <c r="U3" s="1348"/>
      <c r="V3" s="388"/>
      <c r="W3" s="388"/>
      <c r="X3" s="1349"/>
    </row>
    <row r="4" spans="1:24">
      <c r="A4" s="1335"/>
      <c r="B4" t="s">
        <v>7778</v>
      </c>
      <c r="C4" s="1336"/>
      <c r="D4" s="1337"/>
      <c r="E4" s="1338"/>
      <c r="F4" s="1350"/>
      <c r="G4" s="1340"/>
      <c r="H4" s="1340">
        <v>0.96600000000000008</v>
      </c>
      <c r="I4" s="1340"/>
      <c r="J4" s="1341"/>
      <c r="K4" s="1342"/>
      <c r="L4" s="1343"/>
      <c r="M4" s="1351"/>
      <c r="N4" s="1352"/>
      <c r="O4" s="1352">
        <v>0.96600000000000008</v>
      </c>
      <c r="P4" s="1352"/>
      <c r="Q4" s="1345"/>
      <c r="R4" s="1346"/>
      <c r="S4" s="1345"/>
      <c r="T4" s="1347"/>
      <c r="U4" s="1348"/>
      <c r="V4" s="388"/>
      <c r="W4" s="388"/>
      <c r="X4" s="1349"/>
    </row>
    <row r="5" spans="1:24">
      <c r="A5" s="1335"/>
      <c r="B5" t="s">
        <v>2993</v>
      </c>
      <c r="C5" s="1336"/>
      <c r="D5" s="1337"/>
      <c r="E5" s="1338"/>
      <c r="F5" s="1353"/>
      <c r="G5" s="1354"/>
      <c r="H5" s="1355"/>
      <c r="I5" s="1355">
        <f>750000*0.5</f>
        <v>375000</v>
      </c>
      <c r="J5" s="1341"/>
      <c r="K5" s="1342"/>
      <c r="L5" s="1356"/>
      <c r="M5" s="1357"/>
      <c r="N5" s="1358"/>
      <c r="O5" s="1358"/>
      <c r="P5" s="1358">
        <f>750000*0.5</f>
        <v>375000</v>
      </c>
      <c r="Q5" s="1345"/>
      <c r="R5" s="1346"/>
      <c r="S5" s="1345"/>
      <c r="T5" s="1347"/>
      <c r="U5" s="1348"/>
      <c r="V5" s="388"/>
      <c r="W5" s="388"/>
      <c r="X5" s="1349"/>
    </row>
    <row r="6" spans="1:24">
      <c r="A6" s="1335"/>
      <c r="B6" t="s">
        <v>3050</v>
      </c>
      <c r="C6" s="1336"/>
      <c r="D6" s="1337"/>
      <c r="E6" s="1338"/>
      <c r="F6" s="1353"/>
      <c r="G6" s="1354"/>
      <c r="H6" s="1355"/>
      <c r="I6" s="1355">
        <f>5000000*0.5</f>
        <v>2500000</v>
      </c>
      <c r="J6" s="1341"/>
      <c r="K6" s="1342"/>
      <c r="L6" s="1356"/>
      <c r="M6" s="1357"/>
      <c r="N6" s="1358"/>
      <c r="O6" s="1358"/>
      <c r="P6" s="1358">
        <f>5000000*0.5</f>
        <v>2500000</v>
      </c>
      <c r="Q6" s="1345"/>
      <c r="R6" s="1346"/>
      <c r="S6" s="1345"/>
      <c r="T6" s="1347"/>
      <c r="U6" s="1348"/>
      <c r="V6" s="388"/>
      <c r="W6" s="388"/>
      <c r="X6" s="1349"/>
    </row>
    <row r="7" spans="1:24">
      <c r="A7" s="1335"/>
      <c r="B7" t="s">
        <v>3072</v>
      </c>
      <c r="C7" s="1336"/>
      <c r="D7" s="1337"/>
      <c r="E7" s="1338"/>
      <c r="F7" s="1353"/>
      <c r="G7" s="1354"/>
      <c r="H7" s="1355"/>
      <c r="I7" s="1355">
        <f>486388*0.5</f>
        <v>243194</v>
      </c>
      <c r="J7" s="1341"/>
      <c r="K7" s="1342"/>
      <c r="L7" s="1356"/>
      <c r="M7" s="1357"/>
      <c r="N7" s="1358"/>
      <c r="O7" s="1358"/>
      <c r="P7" s="1358">
        <f>486388*0.5</f>
        <v>243194</v>
      </c>
      <c r="Q7" s="1345"/>
      <c r="R7" s="1346"/>
      <c r="S7" s="1345"/>
      <c r="T7" s="1347"/>
      <c r="U7" s="1348"/>
      <c r="V7" s="388"/>
      <c r="W7" s="388"/>
      <c r="X7" s="1349"/>
    </row>
    <row r="8" spans="1:24">
      <c r="A8" s="1335"/>
      <c r="B8" t="s">
        <v>3115</v>
      </c>
      <c r="C8" s="1336"/>
      <c r="D8" s="1337"/>
      <c r="E8" s="1338"/>
      <c r="F8" s="1353"/>
      <c r="G8" s="1354"/>
      <c r="H8" s="1355"/>
      <c r="I8" s="1355">
        <f>850000*0.5</f>
        <v>425000</v>
      </c>
      <c r="J8" s="1341"/>
      <c r="K8" s="1342"/>
      <c r="L8" s="1356"/>
      <c r="M8" s="1357"/>
      <c r="N8" s="1358"/>
      <c r="O8" s="1358"/>
      <c r="P8" s="1358">
        <f>850000*0.5</f>
        <v>425000</v>
      </c>
      <c r="Q8" s="1345"/>
      <c r="R8" s="1346"/>
      <c r="S8" s="1345"/>
      <c r="T8" s="1347"/>
      <c r="U8" s="1348"/>
      <c r="V8" s="388"/>
      <c r="W8" s="388"/>
      <c r="X8" s="1349"/>
    </row>
    <row r="9" spans="1:24">
      <c r="A9" s="1335"/>
      <c r="B9" t="s">
        <v>3129</v>
      </c>
      <c r="C9" s="1336"/>
      <c r="D9" s="1337"/>
      <c r="E9" s="1338"/>
      <c r="F9" s="1353"/>
      <c r="G9" s="1354"/>
      <c r="H9" s="1355"/>
      <c r="I9" s="1355">
        <f>649910*0.5</f>
        <v>324955</v>
      </c>
      <c r="J9" s="1341"/>
      <c r="K9" s="1342"/>
      <c r="L9" s="1356"/>
      <c r="M9" s="1357"/>
      <c r="N9" s="1358"/>
      <c r="O9" s="1358"/>
      <c r="P9" s="1358">
        <f>649910*0.5</f>
        <v>324955</v>
      </c>
      <c r="Q9" s="1345"/>
      <c r="R9" s="1346"/>
      <c r="S9" s="1345"/>
      <c r="T9" s="1347"/>
      <c r="U9" s="1348"/>
      <c r="V9" s="388"/>
      <c r="W9" s="388"/>
      <c r="X9" s="1349"/>
    </row>
    <row r="10" spans="1:24" ht="14.25" customHeight="1">
      <c r="A10" s="1335"/>
      <c r="B10" t="s">
        <v>3086</v>
      </c>
      <c r="C10" s="1336"/>
      <c r="D10" s="1337"/>
      <c r="E10" s="1338"/>
      <c r="F10" s="1353"/>
      <c r="G10" s="1354"/>
      <c r="H10" s="1355"/>
      <c r="I10" s="1355">
        <f>1145000*0.5</f>
        <v>572500</v>
      </c>
      <c r="J10" s="1341"/>
      <c r="K10" s="1342"/>
      <c r="L10" s="1356"/>
      <c r="M10" s="1357"/>
      <c r="N10" s="1358"/>
      <c r="O10" s="1358"/>
      <c r="P10" s="1358">
        <f>1145000*0.5</f>
        <v>572500</v>
      </c>
      <c r="Q10" s="1345"/>
      <c r="R10" s="1346"/>
      <c r="S10" s="1345"/>
      <c r="T10" s="1347"/>
      <c r="U10" s="1348"/>
      <c r="V10" s="388"/>
      <c r="W10" s="388"/>
      <c r="X10" s="1349"/>
    </row>
    <row r="11" spans="1:24">
      <c r="A11" s="1335"/>
      <c r="B11" t="s">
        <v>2949</v>
      </c>
      <c r="C11" s="1336"/>
      <c r="D11" s="1337"/>
      <c r="E11" s="1338"/>
      <c r="F11" s="1353"/>
      <c r="G11" s="1354"/>
      <c r="H11" s="1354">
        <v>10.48</v>
      </c>
      <c r="I11" s="1354"/>
      <c r="J11" s="1341"/>
      <c r="K11" s="1342"/>
      <c r="L11" s="1343"/>
      <c r="M11" s="1359"/>
      <c r="N11" s="1345"/>
      <c r="O11" s="1345">
        <v>10.48</v>
      </c>
      <c r="P11" s="1345"/>
      <c r="Q11" s="1345"/>
      <c r="R11" s="1346"/>
      <c r="S11" s="1345"/>
      <c r="T11" s="1347"/>
      <c r="U11" s="1348"/>
      <c r="V11" s="388"/>
      <c r="W11" s="388"/>
      <c r="X11" s="1349"/>
    </row>
    <row r="12" spans="1:24">
      <c r="A12" s="1335"/>
      <c r="B12" t="s">
        <v>2954</v>
      </c>
      <c r="C12" s="1336"/>
      <c r="D12" s="1337"/>
      <c r="E12" s="1338"/>
      <c r="F12" s="1353"/>
      <c r="G12" s="1354"/>
      <c r="H12" s="1354">
        <v>15</v>
      </c>
      <c r="I12" s="1354"/>
      <c r="J12" s="1341"/>
      <c r="K12" s="1342"/>
      <c r="L12" s="1343"/>
      <c r="M12" s="1359"/>
      <c r="N12" s="1345"/>
      <c r="O12" s="1345">
        <v>15</v>
      </c>
      <c r="P12" s="1345"/>
      <c r="Q12" s="1345"/>
      <c r="R12" s="1346"/>
      <c r="S12" s="1345"/>
      <c r="T12" s="1347"/>
      <c r="U12" s="1348"/>
      <c r="V12" s="388"/>
      <c r="W12" s="388"/>
      <c r="X12" s="1349"/>
    </row>
    <row r="13" spans="1:24">
      <c r="A13" s="1335"/>
      <c r="B13" t="s">
        <v>7779</v>
      </c>
      <c r="C13" s="1336"/>
      <c r="D13" s="1337"/>
      <c r="E13" s="1338"/>
      <c r="F13" s="1353"/>
      <c r="G13" s="1354"/>
      <c r="H13" s="1354">
        <v>0.89</v>
      </c>
      <c r="I13" s="1354"/>
      <c r="J13" s="1341"/>
      <c r="K13" s="1342"/>
      <c r="L13" s="1343"/>
      <c r="M13" s="1359"/>
      <c r="N13" s="1345"/>
      <c r="O13" s="1345">
        <v>0.89</v>
      </c>
      <c r="P13" s="1345"/>
      <c r="Q13" s="1345"/>
      <c r="R13" s="1346"/>
      <c r="S13" s="1345"/>
      <c r="T13" s="1347"/>
      <c r="U13" s="1348"/>
      <c r="V13" s="388"/>
      <c r="W13" s="388"/>
      <c r="X13" s="1349"/>
    </row>
    <row r="14" spans="1:24">
      <c r="A14" s="1335"/>
      <c r="B14" t="s">
        <v>7780</v>
      </c>
      <c r="C14" s="1336"/>
      <c r="D14" s="1337"/>
      <c r="E14" s="1338"/>
      <c r="F14" s="1353"/>
      <c r="G14" s="1354"/>
      <c r="H14" s="1354">
        <v>650</v>
      </c>
      <c r="I14" s="1354"/>
      <c r="J14" s="1341"/>
      <c r="K14" s="1342"/>
      <c r="L14" s="1343"/>
      <c r="M14" s="1359"/>
      <c r="N14" s="1345"/>
      <c r="O14" s="1345">
        <v>650</v>
      </c>
      <c r="P14" s="1345"/>
      <c r="Q14" s="1345"/>
      <c r="R14" s="1346"/>
      <c r="S14" s="1345"/>
      <c r="T14" s="1347"/>
      <c r="U14" s="1348"/>
      <c r="V14" s="388"/>
      <c r="W14" s="388"/>
      <c r="X14" s="1349"/>
    </row>
    <row r="15" spans="1:24">
      <c r="A15" s="1335"/>
      <c r="B15"/>
      <c r="C15" s="1336"/>
      <c r="D15" s="1337"/>
      <c r="E15" s="1338"/>
      <c r="F15" s="1353"/>
      <c r="G15" s="1354"/>
      <c r="H15" s="1354"/>
      <c r="I15" s="1354"/>
      <c r="J15" s="1341"/>
      <c r="K15" s="1342"/>
      <c r="L15" s="1343"/>
      <c r="M15" s="1359"/>
      <c r="N15" s="1345"/>
      <c r="O15" s="1345"/>
      <c r="P15" s="1345"/>
      <c r="Q15" s="1345"/>
      <c r="R15" s="1346"/>
      <c r="S15" s="1345"/>
      <c r="T15" s="1347"/>
      <c r="U15" s="1348"/>
      <c r="V15" s="388"/>
      <c r="W15" s="388"/>
      <c r="X15" s="1349"/>
    </row>
    <row r="16" spans="1:24">
      <c r="A16" s="1335"/>
      <c r="B16"/>
      <c r="C16" s="1336"/>
      <c r="D16" s="1337"/>
      <c r="E16" s="1338"/>
      <c r="F16" s="1353"/>
      <c r="G16" s="1354"/>
      <c r="H16" s="1354"/>
      <c r="I16" s="1354"/>
      <c r="J16" s="1341"/>
      <c r="K16" s="1342"/>
      <c r="L16" s="1343"/>
      <c r="M16" s="1359"/>
      <c r="N16" s="1345"/>
      <c r="O16" s="1345"/>
      <c r="P16" s="1345"/>
      <c r="Q16" s="1345"/>
      <c r="R16" s="1346"/>
      <c r="S16" s="1345"/>
      <c r="T16" s="1347"/>
      <c r="U16" s="1348"/>
      <c r="V16" s="388"/>
      <c r="W16" s="388"/>
      <c r="X16" s="1349"/>
    </row>
    <row r="17" spans="1:28" ht="15" thickBot="1">
      <c r="A17" s="1335"/>
      <c r="B17"/>
      <c r="C17" s="1336"/>
      <c r="D17" s="1337"/>
      <c r="E17" s="1338"/>
      <c r="F17" s="1353"/>
      <c r="G17" s="1354"/>
      <c r="H17" s="1354"/>
      <c r="I17" s="1354"/>
      <c r="J17" s="1341"/>
      <c r="K17" s="1342"/>
      <c r="L17" s="1343"/>
      <c r="M17" s="1359"/>
      <c r="N17" s="1345"/>
      <c r="O17" s="1345"/>
      <c r="P17" s="1345"/>
      <c r="Q17" s="1345"/>
      <c r="R17" s="1346"/>
      <c r="S17" s="1345"/>
      <c r="T17" s="1347"/>
      <c r="U17" s="1348"/>
      <c r="V17" s="388"/>
      <c r="W17" s="388"/>
      <c r="X17" s="1349"/>
    </row>
    <row r="18" spans="1:28">
      <c r="A18" s="2471" t="s">
        <v>2783</v>
      </c>
      <c r="B18" s="2473" t="s">
        <v>2784</v>
      </c>
      <c r="C18" s="2475" t="s">
        <v>7772</v>
      </c>
      <c r="D18" s="2476"/>
      <c r="E18" s="2477" t="s">
        <v>7773</v>
      </c>
      <c r="F18" s="2478"/>
      <c r="G18" s="2478"/>
      <c r="H18" s="2478"/>
      <c r="I18" s="2478"/>
      <c r="J18" s="2478"/>
      <c r="K18" s="2479"/>
      <c r="L18" s="1324"/>
      <c r="M18" s="2480" t="s">
        <v>7774</v>
      </c>
      <c r="N18" s="2481"/>
      <c r="O18" s="2481"/>
      <c r="P18" s="2481"/>
      <c r="Q18" s="2481"/>
      <c r="R18" s="2482"/>
      <c r="S18" s="163"/>
      <c r="T18" s="2469" t="s">
        <v>7775</v>
      </c>
      <c r="U18" s="2470"/>
      <c r="V18" s="163"/>
      <c r="W18" s="163"/>
      <c r="X18" s="387"/>
    </row>
    <row r="19" spans="1:28" s="1334" customFormat="1" ht="34.5" customHeight="1" thickBot="1">
      <c r="A19" s="2472"/>
      <c r="B19" s="2474"/>
      <c r="C19" s="1325" t="s">
        <v>23</v>
      </c>
      <c r="D19" s="1326" t="s">
        <v>24</v>
      </c>
      <c r="E19" s="1327" t="s">
        <v>25</v>
      </c>
      <c r="F19" s="1328" t="s">
        <v>2785</v>
      </c>
      <c r="G19" s="1329" t="s">
        <v>2786</v>
      </c>
      <c r="H19" s="1329" t="s">
        <v>2787</v>
      </c>
      <c r="I19" s="1329" t="s">
        <v>2788</v>
      </c>
      <c r="J19" s="1329" t="s">
        <v>2789</v>
      </c>
      <c r="K19" s="1330" t="s">
        <v>7776</v>
      </c>
      <c r="L19" s="1331"/>
      <c r="M19" s="1327" t="s">
        <v>2785</v>
      </c>
      <c r="N19" s="1329" t="s">
        <v>2786</v>
      </c>
      <c r="O19" s="1329" t="s">
        <v>2787</v>
      </c>
      <c r="P19" s="1329" t="s">
        <v>2788</v>
      </c>
      <c r="Q19" s="1329" t="s">
        <v>2789</v>
      </c>
      <c r="R19" s="1330" t="s">
        <v>7776</v>
      </c>
      <c r="S19" s="1331"/>
      <c r="T19" s="1332" t="s">
        <v>2789</v>
      </c>
      <c r="U19" s="1333" t="s">
        <v>3200</v>
      </c>
      <c r="V19" s="1331"/>
      <c r="W19" s="1331"/>
      <c r="X19" s="1331"/>
    </row>
    <row r="20" spans="1:28">
      <c r="A20" s="1323" t="s">
        <v>2791</v>
      </c>
      <c r="B20" s="1062" t="s">
        <v>2792</v>
      </c>
      <c r="C20" s="1363">
        <v>0</v>
      </c>
      <c r="D20" s="1364" t="s">
        <v>136</v>
      </c>
      <c r="E20" s="1365">
        <f>SUM(E21:E22)</f>
        <v>0.66304280877752275</v>
      </c>
      <c r="F20" s="1365">
        <f>SUM(F21:F22)</f>
        <v>2.3513912237188102</v>
      </c>
      <c r="G20" s="1462">
        <f>SUM(G21:G22)</f>
        <v>64.769399164054335</v>
      </c>
      <c r="I20" s="1462">
        <f>SUM(I21:I22)</f>
        <v>24.809766080526931</v>
      </c>
      <c r="J20" s="1463">
        <f>SUM(J21:J22)</f>
        <v>89.579165244581262</v>
      </c>
      <c r="K20" s="1464">
        <f>C20*J20</f>
        <v>0</v>
      </c>
      <c r="L20" s="1641"/>
      <c r="M20" s="1370">
        <f>SUM(M21:M22)</f>
        <v>2.3513912237188102</v>
      </c>
      <c r="N20" s="1425">
        <f>SUM(N21:N22)</f>
        <v>64.769399164054335</v>
      </c>
      <c r="P20" s="1425">
        <f>SUM(P21:P22)</f>
        <v>24.809766080526931</v>
      </c>
      <c r="Q20" s="1425">
        <f>SUM(Q21:Q22)</f>
        <v>89.579165244581262</v>
      </c>
      <c r="R20" s="1465">
        <f>C20*Q20</f>
        <v>0</v>
      </c>
      <c r="T20" s="1642">
        <f>J20-Q20</f>
        <v>0</v>
      </c>
      <c r="U20" s="1466">
        <f>K20-R20</f>
        <v>0</v>
      </c>
      <c r="V20" s="1244"/>
      <c r="W20" s="1244"/>
      <c r="X20" s="1244"/>
    </row>
    <row r="21" spans="1:28" hidden="1">
      <c r="A21" s="1323" t="s">
        <v>5976</v>
      </c>
      <c r="B21" s="1362" t="s">
        <v>2793</v>
      </c>
      <c r="C21" s="1363"/>
      <c r="D21" s="1364" t="s">
        <v>136</v>
      </c>
      <c r="E21" s="1365">
        <v>0.5</v>
      </c>
      <c r="F21" s="1365">
        <v>1</v>
      </c>
      <c r="G21" s="1366">
        <f>E21*G3</f>
        <v>50</v>
      </c>
      <c r="H21" s="1366"/>
      <c r="I21" s="1366">
        <v>10</v>
      </c>
      <c r="J21" s="1367">
        <f>SUM(G21:I21)</f>
        <v>60</v>
      </c>
      <c r="K21" s="1368"/>
      <c r="L21" s="1369"/>
      <c r="M21" s="1370">
        <v>1</v>
      </c>
      <c r="N21" s="1371">
        <f>E21*G3</f>
        <v>50</v>
      </c>
      <c r="O21" s="1371"/>
      <c r="P21" s="1371">
        <v>10</v>
      </c>
      <c r="Q21" s="1371">
        <f>SUM(N21:P21)</f>
        <v>60</v>
      </c>
      <c r="R21" s="1372"/>
      <c r="S21" s="1371"/>
      <c r="T21" s="1347">
        <f>J21-Q21</f>
        <v>0</v>
      </c>
      <c r="U21" s="1348"/>
      <c r="V21" s="1373"/>
      <c r="W21" s="1373"/>
      <c r="X21" s="1244"/>
    </row>
    <row r="22" spans="1:28" hidden="1">
      <c r="A22" s="1323" t="s">
        <v>5976</v>
      </c>
      <c r="B22" s="1362" t="s">
        <v>2795</v>
      </c>
      <c r="C22" s="1363"/>
      <c r="D22" s="1364" t="s">
        <v>2688</v>
      </c>
      <c r="E22" s="1365">
        <v>0.16304280877752278</v>
      </c>
      <c r="F22" s="1365">
        <v>1.3513912237188099</v>
      </c>
      <c r="G22" s="1366">
        <v>14.769399164054338</v>
      </c>
      <c r="H22" s="1366"/>
      <c r="I22" s="1366">
        <v>14.809766080526931</v>
      </c>
      <c r="J22" s="1367">
        <v>29.579165244581262</v>
      </c>
      <c r="K22" s="1368"/>
      <c r="L22" s="1369"/>
      <c r="M22" s="1370">
        <f>D425</f>
        <v>1.3513912237188102</v>
      </c>
      <c r="N22" s="1371">
        <f>D423</f>
        <v>14.769399164054338</v>
      </c>
      <c r="O22" s="1371"/>
      <c r="P22" s="1371">
        <f>D424</f>
        <v>14.809766080526931</v>
      </c>
      <c r="Q22" s="1371">
        <f>D422</f>
        <v>29.579165244581262</v>
      </c>
      <c r="R22" s="1372"/>
      <c r="S22" s="1371"/>
      <c r="T22" s="1347">
        <f>J22-Q22</f>
        <v>0</v>
      </c>
      <c r="U22" s="1348"/>
      <c r="V22" s="1373"/>
      <c r="W22" s="1373"/>
      <c r="X22" s="1244"/>
    </row>
    <row r="23" spans="1:28" hidden="1">
      <c r="A23" s="1323" t="s">
        <v>3688</v>
      </c>
      <c r="B23" s="1362"/>
      <c r="C23" s="1363"/>
      <c r="D23" s="1364"/>
      <c r="E23" s="1374"/>
      <c r="F23" s="1374"/>
      <c r="G23" s="1375"/>
      <c r="H23" s="1375"/>
      <c r="I23" s="1375"/>
      <c r="J23" s="1376"/>
      <c r="K23" s="1377"/>
      <c r="L23" s="1378"/>
      <c r="M23" s="1379"/>
      <c r="N23" s="1380">
        <f>SUM(M24:P24)</f>
        <v>46.395834702450124</v>
      </c>
      <c r="O23" s="1381"/>
      <c r="P23" s="1380"/>
      <c r="Q23" s="1380"/>
      <c r="R23" s="1382"/>
      <c r="S23" s="1380"/>
      <c r="T23" s="1347"/>
      <c r="U23" s="1348"/>
      <c r="V23" s="1383"/>
      <c r="W23" s="1383"/>
      <c r="X23" s="927"/>
    </row>
    <row r="24" spans="1:28" s="1062" customFormat="1" ht="29">
      <c r="A24" s="1392" t="s">
        <v>80</v>
      </c>
      <c r="B24" s="1062" t="s">
        <v>2797</v>
      </c>
      <c r="C24" s="1363">
        <v>35124.354874523691</v>
      </c>
      <c r="D24" s="1393" t="s">
        <v>136</v>
      </c>
      <c r="E24" s="1394">
        <f>E25*1.5</f>
        <v>0.24456421316628418</v>
      </c>
      <c r="F24" s="1394">
        <f>F25*1.5</f>
        <v>2.0270868355782148</v>
      </c>
      <c r="G24" s="1412">
        <f>G25*1.5</f>
        <v>22.154098746081509</v>
      </c>
      <c r="H24" s="1412"/>
      <c r="I24" s="1412">
        <f>I25*1.5</f>
        <v>22.214649120790398</v>
      </c>
      <c r="J24" s="1413">
        <f>J25*1.5</f>
        <v>44.368747866871892</v>
      </c>
      <c r="K24" s="1471">
        <f>C24*J24</f>
        <v>1558423.6454142744</v>
      </c>
      <c r="L24" s="1643"/>
      <c r="M24" s="1644">
        <f>M25*1.5</f>
        <v>2.0270868355782152</v>
      </c>
      <c r="N24" s="1416">
        <f>N25*1.5</f>
        <v>22.154098746081509</v>
      </c>
      <c r="O24" s="1401"/>
      <c r="P24" s="1416">
        <f>P25*1.5</f>
        <v>22.214649120790398</v>
      </c>
      <c r="Q24" s="1416">
        <f>Q25*1.5</f>
        <v>44.368747866871892</v>
      </c>
      <c r="R24" s="1473">
        <f>C24*Q24</f>
        <v>1558423.6454142744</v>
      </c>
      <c r="S24" s="1401"/>
      <c r="T24" s="1645">
        <f>J24-Q24</f>
        <v>0</v>
      </c>
      <c r="U24" s="1646">
        <f>K24-R24</f>
        <v>0</v>
      </c>
      <c r="V24" s="1647"/>
      <c r="W24" s="1647"/>
      <c r="X24" s="1406"/>
    </row>
    <row r="25" spans="1:28" s="1062" customFormat="1" hidden="1">
      <c r="A25" s="1323" t="s">
        <v>5976</v>
      </c>
      <c r="B25" s="1362" t="s">
        <v>82</v>
      </c>
      <c r="C25" s="1363"/>
      <c r="D25" s="1393" t="s">
        <v>2688</v>
      </c>
      <c r="E25" s="1394">
        <v>0.16304280877752278</v>
      </c>
      <c r="F25" s="1394">
        <v>1.3513912237188099</v>
      </c>
      <c r="G25" s="1395">
        <v>14.769399164054338</v>
      </c>
      <c r="H25" s="1395"/>
      <c r="I25" s="1395">
        <v>14.809766080526931</v>
      </c>
      <c r="J25" s="1396">
        <v>29.579165244581262</v>
      </c>
      <c r="K25" s="1397"/>
      <c r="L25" s="1398"/>
      <c r="M25" s="1399">
        <f>D425</f>
        <v>1.3513912237188102</v>
      </c>
      <c r="N25" s="1400">
        <f>D423</f>
        <v>14.769399164054338</v>
      </c>
      <c r="O25" s="1401"/>
      <c r="P25" s="1400">
        <f>D424</f>
        <v>14.809766080526931</v>
      </c>
      <c r="Q25" s="1400">
        <f>D422</f>
        <v>29.579165244581262</v>
      </c>
      <c r="R25" s="1402"/>
      <c r="S25" s="1400"/>
      <c r="T25" s="1403">
        <f>J25-Q25</f>
        <v>0</v>
      </c>
      <c r="U25" s="1404"/>
      <c r="V25" s="1405"/>
      <c r="W25" s="1405"/>
      <c r="X25" s="1406"/>
    </row>
    <row r="26" spans="1:28" s="1062" customFormat="1" hidden="1">
      <c r="A26" s="1392" t="s">
        <v>3688</v>
      </c>
      <c r="B26" s="1362"/>
      <c r="C26" s="1363"/>
      <c r="D26" s="1393"/>
      <c r="E26" s="1394"/>
      <c r="F26" s="1394"/>
      <c r="G26" s="1395"/>
      <c r="H26" s="1395"/>
      <c r="I26" s="1395"/>
      <c r="J26" s="1407"/>
      <c r="K26" s="1397"/>
      <c r="L26" s="1398"/>
      <c r="M26" s="1408"/>
      <c r="N26" s="1400"/>
      <c r="O26" s="1401"/>
      <c r="P26" s="1400"/>
      <c r="Q26" s="1407"/>
      <c r="R26" s="1402"/>
      <c r="S26" s="1400"/>
      <c r="T26" s="1403"/>
      <c r="U26" s="1404"/>
      <c r="V26" s="1405"/>
      <c r="W26" s="1405"/>
      <c r="X26" s="1409"/>
    </row>
    <row r="27" spans="1:28" s="1062" customFormat="1">
      <c r="A27" s="1392" t="s">
        <v>150</v>
      </c>
      <c r="B27" s="1062" t="s">
        <v>2800</v>
      </c>
      <c r="C27" s="1363">
        <v>3291322.9011440291</v>
      </c>
      <c r="D27" s="1393" t="s">
        <v>136</v>
      </c>
      <c r="E27" s="1394">
        <f>E28*0.5</f>
        <v>1.2689880937499998E-2</v>
      </c>
      <c r="F27" s="1394">
        <f>F28*0.5</f>
        <v>0.14624999999999999</v>
      </c>
      <c r="G27" s="1412">
        <f>G28*0.5</f>
        <v>1.2689880937499998</v>
      </c>
      <c r="H27" s="1412"/>
      <c r="I27" s="1412">
        <f>I28*0.5</f>
        <v>0.39654534577546297</v>
      </c>
      <c r="J27" s="1413">
        <f>J28*0.5</f>
        <v>1.8102953457754629</v>
      </c>
      <c r="K27" s="1471">
        <f>C27*J27</f>
        <v>5958266.5293852296</v>
      </c>
      <c r="L27" s="1643"/>
      <c r="M27" s="1408">
        <f>M28*0.5</f>
        <v>0.14624999999999999</v>
      </c>
      <c r="N27" s="1416">
        <f>N28*0.5</f>
        <v>1.2689880937499998</v>
      </c>
      <c r="O27" s="1401"/>
      <c r="P27" s="1416">
        <f>P28*0.5</f>
        <v>0.39654534577546297</v>
      </c>
      <c r="Q27" s="1416">
        <f>Q28*0.5</f>
        <v>1.8102953457754629</v>
      </c>
      <c r="R27" s="1473">
        <f>C27*Q27</f>
        <v>5958266.5293852296</v>
      </c>
      <c r="S27" s="1401"/>
      <c r="T27" s="1645">
        <f>J27-Q27</f>
        <v>0</v>
      </c>
      <c r="U27" s="1474">
        <f>K27-R27</f>
        <v>0</v>
      </c>
      <c r="V27" s="1647"/>
      <c r="W27" s="1647">
        <f>F27-M27</f>
        <v>0</v>
      </c>
      <c r="X27" s="1647">
        <f t="shared" ref="X27:AB27" si="0">G27-N27</f>
        <v>0</v>
      </c>
      <c r="Y27" s="1647">
        <f t="shared" si="0"/>
        <v>0</v>
      </c>
      <c r="Z27" s="1647">
        <f t="shared" si="0"/>
        <v>0</v>
      </c>
      <c r="AA27" s="1647">
        <f t="shared" si="0"/>
        <v>0</v>
      </c>
      <c r="AB27" s="1647">
        <f t="shared" si="0"/>
        <v>0</v>
      </c>
    </row>
    <row r="28" spans="1:28" s="1062" customFormat="1" hidden="1">
      <c r="A28" s="1323" t="s">
        <v>5976</v>
      </c>
      <c r="B28" s="1362" t="s">
        <v>2801</v>
      </c>
      <c r="C28" s="1363"/>
      <c r="D28" s="1393" t="s">
        <v>2688</v>
      </c>
      <c r="E28" s="1394">
        <v>2.5379761874999997E-2</v>
      </c>
      <c r="F28" s="1394">
        <v>0.29249999999999998</v>
      </c>
      <c r="G28" s="1395">
        <v>2.5379761874999995</v>
      </c>
      <c r="H28" s="1395"/>
      <c r="I28" s="1395">
        <v>0.79309069155092593</v>
      </c>
      <c r="J28" s="1396">
        <v>3.6205906915509258</v>
      </c>
      <c r="K28" s="1397"/>
      <c r="L28" s="1398"/>
      <c r="M28" s="1408">
        <f>D417</f>
        <v>0.29249999999999998</v>
      </c>
      <c r="N28" s="1400">
        <f>(E28*G3)</f>
        <v>2.5379761874999995</v>
      </c>
      <c r="O28" s="1401"/>
      <c r="P28" s="1400">
        <f>D416-M28</f>
        <v>0.79309069155092593</v>
      </c>
      <c r="Q28" s="1400">
        <f>D414</f>
        <v>3.6205906915509258</v>
      </c>
      <c r="R28" s="1402"/>
      <c r="S28" s="1400"/>
      <c r="T28" s="1403">
        <f>J28-Q28</f>
        <v>0</v>
      </c>
      <c r="U28" s="1404"/>
      <c r="V28" s="1405"/>
      <c r="W28" s="1405"/>
      <c r="X28" s="1406"/>
    </row>
    <row r="29" spans="1:28" s="1062" customFormat="1" hidden="1">
      <c r="A29" s="1392" t="s">
        <v>7781</v>
      </c>
      <c r="B29" s="1362"/>
      <c r="C29" s="1363"/>
      <c r="D29" s="1393"/>
      <c r="E29" s="1394"/>
      <c r="F29" s="1394"/>
      <c r="G29" s="1395"/>
      <c r="H29" s="1395"/>
      <c r="I29" s="1395"/>
      <c r="J29" s="1396"/>
      <c r="K29" s="1397"/>
      <c r="L29" s="1398"/>
      <c r="M29" s="1408"/>
      <c r="N29" s="1400"/>
      <c r="O29" s="1401"/>
      <c r="P29" s="1400"/>
      <c r="Q29" s="1400"/>
      <c r="R29" s="1402"/>
      <c r="S29" s="1400"/>
      <c r="T29" s="1403"/>
      <c r="U29" s="1404"/>
      <c r="V29" s="1405"/>
      <c r="W29" s="1405"/>
      <c r="X29" s="1406"/>
    </row>
    <row r="30" spans="1:28" s="1062" customFormat="1">
      <c r="A30" s="1392" t="s">
        <v>255</v>
      </c>
      <c r="B30" s="1062" t="s">
        <v>2802</v>
      </c>
      <c r="C30" s="1363">
        <v>120231.76000000001</v>
      </c>
      <c r="D30" s="1393" t="s">
        <v>136</v>
      </c>
      <c r="E30" s="1394">
        <f>(E31*0.5)+E39</f>
        <v>4.4489880937500004E-2</v>
      </c>
      <c r="F30" s="1394">
        <f>(F31*0.5)+F39</f>
        <v>0.17804999999999999</v>
      </c>
      <c r="G30" s="1412">
        <f>(G31*0.5)+G39</f>
        <v>4.4489880937499997</v>
      </c>
      <c r="H30" s="1412"/>
      <c r="I30" s="1412">
        <f>(I31*0.5)+I39</f>
        <v>0.71454534577546303</v>
      </c>
      <c r="J30" s="1413">
        <f>(J31*0.5)+J39</f>
        <v>5.3082953457754627</v>
      </c>
      <c r="K30" s="1471">
        <f>C30*J30</f>
        <v>638225.69202239253</v>
      </c>
      <c r="L30" s="1643"/>
      <c r="M30" s="1408">
        <f>(M31*0.5)+M39</f>
        <v>0.17804999999999999</v>
      </c>
      <c r="N30" s="1416">
        <f>(N31*0.5)+N39</f>
        <v>4.4489880937499997</v>
      </c>
      <c r="O30" s="1401"/>
      <c r="P30" s="1416">
        <f>(P31*0.5)+P39</f>
        <v>0.71454534577546303</v>
      </c>
      <c r="Q30" s="1416">
        <f>(Q31*0.5)+Q39</f>
        <v>5.3082953457754627</v>
      </c>
      <c r="R30" s="1473">
        <f>C30*Q30</f>
        <v>638225.69202239253</v>
      </c>
      <c r="S30" s="1401"/>
      <c r="T30" s="1645">
        <f>J30-Q30</f>
        <v>0</v>
      </c>
      <c r="U30" s="1474">
        <f>K30-R30</f>
        <v>0</v>
      </c>
      <c r="V30" s="1647"/>
      <c r="W30" s="1647"/>
      <c r="X30" s="1406"/>
    </row>
    <row r="31" spans="1:28" s="1062" customFormat="1" hidden="1">
      <c r="A31" s="1323" t="s">
        <v>5976</v>
      </c>
      <c r="B31" s="1362" t="s">
        <v>2801</v>
      </c>
      <c r="C31" s="1363"/>
      <c r="D31" s="1393" t="s">
        <v>2688</v>
      </c>
      <c r="E31" s="1394">
        <f>E28</f>
        <v>2.5379761874999997E-2</v>
      </c>
      <c r="F31" s="1394">
        <f>F28</f>
        <v>0.29249999999999998</v>
      </c>
      <c r="G31" s="1412">
        <f>G28</f>
        <v>2.5379761874999995</v>
      </c>
      <c r="H31" s="1412"/>
      <c r="I31" s="1412">
        <f>I28</f>
        <v>0.79309069155092593</v>
      </c>
      <c r="J31" s="1413">
        <f>J28</f>
        <v>3.6205906915509258</v>
      </c>
      <c r="K31" s="1414"/>
      <c r="L31" s="1415"/>
      <c r="M31" s="1408">
        <f>M28</f>
        <v>0.29249999999999998</v>
      </c>
      <c r="N31" s="1416">
        <f>N28</f>
        <v>2.5379761874999995</v>
      </c>
      <c r="O31" s="1401"/>
      <c r="P31" s="1416">
        <f>P28</f>
        <v>0.79309069155092593</v>
      </c>
      <c r="Q31" s="1416">
        <f>Q28</f>
        <v>3.6205906915509258</v>
      </c>
      <c r="R31" s="1417"/>
      <c r="S31" s="1416"/>
      <c r="T31" s="1403">
        <f>J31-Q31</f>
        <v>0</v>
      </c>
      <c r="U31" s="1404"/>
      <c r="V31" s="1418"/>
      <c r="W31" s="1418"/>
      <c r="X31" s="1406"/>
    </row>
    <row r="32" spans="1:28" s="1062" customFormat="1" hidden="1">
      <c r="A32" s="1392" t="s">
        <v>7781</v>
      </c>
      <c r="B32" s="1362"/>
      <c r="C32" s="1363"/>
      <c r="D32" s="1393"/>
      <c r="E32" s="1394"/>
      <c r="F32" s="1394"/>
      <c r="G32" s="1395"/>
      <c r="H32" s="1395"/>
      <c r="I32" s="1395"/>
      <c r="J32" s="1396"/>
      <c r="K32" s="1397"/>
      <c r="L32" s="1398"/>
      <c r="M32" s="1408"/>
      <c r="N32" s="1400"/>
      <c r="O32" s="1401"/>
      <c r="P32" s="1400"/>
      <c r="Q32" s="1400"/>
      <c r="R32" s="1402"/>
      <c r="S32" s="1400"/>
      <c r="T32" s="1403"/>
      <c r="U32" s="1404"/>
      <c r="V32" s="1405"/>
      <c r="W32" s="1405"/>
      <c r="X32" s="1406"/>
    </row>
    <row r="33" spans="1:24" s="1062" customFormat="1">
      <c r="A33" s="1392" t="s">
        <v>1269</v>
      </c>
      <c r="B33" s="1062" t="s">
        <v>2804</v>
      </c>
      <c r="C33" s="1363">
        <v>263371</v>
      </c>
      <c r="D33" s="1393" t="s">
        <v>136</v>
      </c>
      <c r="E33" s="1394">
        <f>E34*1.5</f>
        <v>1.9034821406249999E-2</v>
      </c>
      <c r="F33" s="1394">
        <f>F34*1.5</f>
        <v>0.21937499999999999</v>
      </c>
      <c r="G33" s="1412">
        <f>G34*1.5</f>
        <v>1.9034821406249995</v>
      </c>
      <c r="H33" s="1412"/>
      <c r="I33" s="1412">
        <f>I34*1.5</f>
        <v>0.59481801866319439</v>
      </c>
      <c r="J33" s="1413">
        <f>J34*1.5</f>
        <v>2.7154430186631942</v>
      </c>
      <c r="K33" s="1471">
        <f>C33*J33</f>
        <v>715168.94326834416</v>
      </c>
      <c r="L33" s="1643"/>
      <c r="M33" s="1408">
        <f>M34*1.5</f>
        <v>0.21937499999999999</v>
      </c>
      <c r="N33" s="1416">
        <f>N34*1.5</f>
        <v>1.9034821406249995</v>
      </c>
      <c r="O33" s="1401"/>
      <c r="P33" s="1416">
        <f>P34*1.5</f>
        <v>0.59481801866319439</v>
      </c>
      <c r="Q33" s="1416">
        <f>Q34*1.5</f>
        <v>2.7154430186631942</v>
      </c>
      <c r="R33" s="1473">
        <f>C33*Q33</f>
        <v>715168.94326834416</v>
      </c>
      <c r="S33" s="1401"/>
      <c r="T33" s="1645">
        <f>J33-Q33</f>
        <v>0</v>
      </c>
      <c r="U33" s="1474">
        <f>K33-R33</f>
        <v>0</v>
      </c>
      <c r="V33" s="1647"/>
      <c r="W33" s="1647"/>
      <c r="X33" s="1406"/>
    </row>
    <row r="34" spans="1:24" s="1062" customFormat="1" hidden="1">
      <c r="A34" s="1323" t="s">
        <v>5976</v>
      </c>
      <c r="B34" s="1362" t="s">
        <v>2805</v>
      </c>
      <c r="C34" s="1363"/>
      <c r="D34" s="1393" t="s">
        <v>136</v>
      </c>
      <c r="E34" s="1394">
        <f>E27</f>
        <v>1.2689880937499998E-2</v>
      </c>
      <c r="F34" s="1394">
        <f>F27</f>
        <v>0.14624999999999999</v>
      </c>
      <c r="G34" s="1412">
        <f>G27</f>
        <v>1.2689880937499998</v>
      </c>
      <c r="H34" s="1412"/>
      <c r="I34" s="1412">
        <f>I27</f>
        <v>0.39654534577546297</v>
      </c>
      <c r="J34" s="1413">
        <f>J27</f>
        <v>1.8102953457754629</v>
      </c>
      <c r="K34" s="1414"/>
      <c r="L34" s="1415"/>
      <c r="M34" s="1408">
        <f>M27</f>
        <v>0.14624999999999999</v>
      </c>
      <c r="N34" s="1416">
        <f>N27</f>
        <v>1.2689880937499998</v>
      </c>
      <c r="O34" s="1401"/>
      <c r="P34" s="1416">
        <f>P27</f>
        <v>0.39654534577546297</v>
      </c>
      <c r="Q34" s="1416">
        <f>Q27</f>
        <v>1.8102953457754629</v>
      </c>
      <c r="R34" s="1417"/>
      <c r="S34" s="1416"/>
      <c r="T34" s="1403">
        <f>J34-Q34</f>
        <v>0</v>
      </c>
      <c r="U34" s="1404"/>
      <c r="V34" s="1418"/>
      <c r="W34" s="1418"/>
      <c r="X34" s="1406"/>
    </row>
    <row r="35" spans="1:24" s="1062" customFormat="1" hidden="1">
      <c r="A35" s="1392" t="s">
        <v>7781</v>
      </c>
      <c r="B35" s="1362"/>
      <c r="C35" s="1363"/>
      <c r="D35" s="1393"/>
      <c r="E35" s="1394"/>
      <c r="F35" s="1394"/>
      <c r="G35" s="1395"/>
      <c r="H35" s="1395"/>
      <c r="I35" s="1395"/>
      <c r="J35" s="1396"/>
      <c r="K35" s="1397"/>
      <c r="L35" s="1398"/>
      <c r="M35" s="1408"/>
      <c r="N35" s="1400"/>
      <c r="O35" s="1401"/>
      <c r="P35" s="1400"/>
      <c r="Q35" s="1400"/>
      <c r="R35" s="1402"/>
      <c r="S35" s="1400"/>
      <c r="T35" s="1403"/>
      <c r="U35" s="1419"/>
      <c r="V35" s="1405"/>
      <c r="W35" s="1405"/>
      <c r="X35" s="1406"/>
    </row>
    <row r="36" spans="1:24" s="1062" customFormat="1">
      <c r="A36" s="1392" t="s">
        <v>205</v>
      </c>
      <c r="B36" s="1062" t="s">
        <v>206</v>
      </c>
      <c r="C36" s="1363">
        <v>383</v>
      </c>
      <c r="D36" s="1393" t="s">
        <v>242</v>
      </c>
      <c r="E36" s="1394">
        <f>E37</f>
        <v>6</v>
      </c>
      <c r="F36" s="1394">
        <f>F37</f>
        <v>45</v>
      </c>
      <c r="G36" s="1395">
        <f>G37</f>
        <v>600</v>
      </c>
      <c r="H36" s="1395"/>
      <c r="I36" s="1395">
        <f>I37</f>
        <v>450</v>
      </c>
      <c r="J36" s="1396">
        <f>J37</f>
        <v>1095</v>
      </c>
      <c r="K36" s="1471">
        <f>C36*J36</f>
        <v>419385</v>
      </c>
      <c r="L36" s="1643"/>
      <c r="M36" s="1408">
        <f>M37</f>
        <v>45</v>
      </c>
      <c r="N36" s="1400">
        <f>N37</f>
        <v>600</v>
      </c>
      <c r="O36" s="1401"/>
      <c r="P36" s="1400">
        <f>P37</f>
        <v>450</v>
      </c>
      <c r="Q36" s="1400">
        <f>Q37</f>
        <v>1095</v>
      </c>
      <c r="R36" s="1473">
        <f>C36*Q36</f>
        <v>419385</v>
      </c>
      <c r="S36" s="1401"/>
      <c r="T36" s="1645">
        <f>J36-Q36</f>
        <v>0</v>
      </c>
      <c r="U36" s="1474">
        <f>K36-R36</f>
        <v>0</v>
      </c>
      <c r="V36" s="1405"/>
      <c r="W36" s="1405"/>
      <c r="X36" s="1406"/>
    </row>
    <row r="37" spans="1:24" s="1062" customFormat="1" hidden="1">
      <c r="A37" s="1323" t="s">
        <v>5976</v>
      </c>
      <c r="B37" s="1362" t="s">
        <v>2806</v>
      </c>
      <c r="C37" s="1363"/>
      <c r="D37" s="1393" t="s">
        <v>242</v>
      </c>
      <c r="E37" s="1394">
        <f>3*2</f>
        <v>6</v>
      </c>
      <c r="F37" s="1394">
        <f>I37*F3</f>
        <v>45</v>
      </c>
      <c r="G37" s="1395">
        <f>E37*G3</f>
        <v>600</v>
      </c>
      <c r="H37" s="1395"/>
      <c r="I37" s="1395">
        <f>(I3*E37)/2</f>
        <v>450</v>
      </c>
      <c r="J37" s="1396">
        <f>SUM(F37:I37)</f>
        <v>1095</v>
      </c>
      <c r="K37" s="1397"/>
      <c r="L37" s="1398"/>
      <c r="M37" s="1408">
        <f>P37*$M$3</f>
        <v>45</v>
      </c>
      <c r="N37" s="1400">
        <f>E37*G3</f>
        <v>600</v>
      </c>
      <c r="O37" s="1401"/>
      <c r="P37" s="1400">
        <f>(P3*E37)/2</f>
        <v>450</v>
      </c>
      <c r="Q37" s="1400">
        <f>SUM(M37:P37)</f>
        <v>1095</v>
      </c>
      <c r="R37" s="1402"/>
      <c r="S37" s="1400"/>
      <c r="T37" s="1403">
        <f>J37-Q37</f>
        <v>0</v>
      </c>
      <c r="U37" s="1404"/>
      <c r="V37" s="1405"/>
      <c r="W37" s="1405"/>
      <c r="X37" s="1406"/>
    </row>
    <row r="38" spans="1:24" s="1062" customFormat="1" hidden="1">
      <c r="A38" s="1392" t="s">
        <v>7781</v>
      </c>
      <c r="B38" s="1362"/>
      <c r="C38" s="1363"/>
      <c r="D38" s="1393"/>
      <c r="E38" s="1394"/>
      <c r="F38" s="1394"/>
      <c r="G38" s="1395"/>
      <c r="H38" s="1395"/>
      <c r="I38" s="1395"/>
      <c r="J38" s="1396"/>
      <c r="K38" s="1397"/>
      <c r="L38" s="1398"/>
      <c r="M38" s="1408"/>
      <c r="N38" s="1400"/>
      <c r="O38" s="1401"/>
      <c r="P38" s="1400"/>
      <c r="Q38" s="1400"/>
      <c r="R38" s="1402"/>
      <c r="S38" s="1400"/>
      <c r="T38" s="1403"/>
      <c r="U38" s="1404"/>
      <c r="V38" s="1405"/>
      <c r="W38" s="1405"/>
      <c r="X38" s="1406"/>
    </row>
    <row r="39" spans="1:24" s="1062" customFormat="1">
      <c r="A39" s="1392" t="s">
        <v>823</v>
      </c>
      <c r="B39" s="1062" t="s">
        <v>824</v>
      </c>
      <c r="C39" s="1363">
        <v>682</v>
      </c>
      <c r="D39" s="1393" t="s">
        <v>136</v>
      </c>
      <c r="E39" s="1394">
        <f>E40</f>
        <v>3.1800000000000002E-2</v>
      </c>
      <c r="F39" s="1394">
        <f>F40</f>
        <v>3.1800000000000009E-2</v>
      </c>
      <c r="G39" s="1395">
        <f>G40</f>
        <v>3.18</v>
      </c>
      <c r="H39" s="1395"/>
      <c r="I39" s="1395">
        <f>I40</f>
        <v>0.31800000000000006</v>
      </c>
      <c r="J39" s="1396">
        <f>J40</f>
        <v>3.4980000000000002</v>
      </c>
      <c r="K39" s="1471">
        <f>C39*J39</f>
        <v>2385.636</v>
      </c>
      <c r="L39" s="1643"/>
      <c r="M39" s="1408">
        <f>M40</f>
        <v>3.1800000000000009E-2</v>
      </c>
      <c r="N39" s="1400">
        <f>N40</f>
        <v>3.18</v>
      </c>
      <c r="O39" s="1401"/>
      <c r="P39" s="1400">
        <f>P40</f>
        <v>0.31800000000000006</v>
      </c>
      <c r="Q39" s="1400">
        <f>Q40</f>
        <v>3.4980000000000002</v>
      </c>
      <c r="R39" s="1473">
        <f>C39*Q39</f>
        <v>2385.636</v>
      </c>
      <c r="S39" s="1401"/>
      <c r="T39" s="1645">
        <f>J39-Q39</f>
        <v>0</v>
      </c>
      <c r="U39" s="1474">
        <f>K39-R39</f>
        <v>0</v>
      </c>
      <c r="V39" s="1405"/>
      <c r="W39" s="1405"/>
      <c r="X39" s="1406"/>
    </row>
    <row r="40" spans="1:24" s="1062" customFormat="1" ht="29" hidden="1">
      <c r="A40" s="1323" t="s">
        <v>5976</v>
      </c>
      <c r="B40" s="1362" t="s">
        <v>2808</v>
      </c>
      <c r="C40" s="1363"/>
      <c r="D40" s="1393" t="s">
        <v>136</v>
      </c>
      <c r="E40" s="1394">
        <f>0.01*3.18</f>
        <v>3.1800000000000002E-2</v>
      </c>
      <c r="F40" s="1394">
        <f>I40*F3</f>
        <v>3.1800000000000009E-2</v>
      </c>
      <c r="G40" s="1395">
        <f>$E$40*G3</f>
        <v>3.18</v>
      </c>
      <c r="H40" s="1395"/>
      <c r="I40" s="1395">
        <f>G40*0.1</f>
        <v>0.31800000000000006</v>
      </c>
      <c r="J40" s="1396">
        <f>SUM(G40:I40)</f>
        <v>3.4980000000000002</v>
      </c>
      <c r="K40" s="1397"/>
      <c r="L40" s="1398"/>
      <c r="M40" s="1408">
        <f>P40*M3</f>
        <v>3.1800000000000009E-2</v>
      </c>
      <c r="N40" s="1400">
        <f>$E$40*N3</f>
        <v>3.18</v>
      </c>
      <c r="O40" s="1401"/>
      <c r="P40" s="1400">
        <f>N40*0.1</f>
        <v>0.31800000000000006</v>
      </c>
      <c r="Q40" s="1400">
        <f>SUM(N40:P40)</f>
        <v>3.4980000000000002</v>
      </c>
      <c r="R40" s="1402"/>
      <c r="S40" s="1400"/>
      <c r="T40" s="1403">
        <f>J40-Q40</f>
        <v>0</v>
      </c>
      <c r="U40" s="1404"/>
      <c r="V40" s="1405"/>
      <c r="W40" s="1405"/>
      <c r="X40" s="1406"/>
    </row>
    <row r="41" spans="1:24" hidden="1">
      <c r="A41" s="1323" t="s">
        <v>7781</v>
      </c>
      <c r="C41" s="1424"/>
      <c r="D41" s="1364"/>
      <c r="E41" s="1365"/>
      <c r="F41" s="1365"/>
      <c r="G41" s="1366"/>
      <c r="H41" s="1366"/>
      <c r="I41" s="1366"/>
      <c r="J41" s="1367"/>
      <c r="K41" s="1368"/>
      <c r="L41" s="1369"/>
      <c r="M41" s="1370"/>
      <c r="N41" s="1371"/>
      <c r="P41" s="1371"/>
      <c r="Q41" s="1371"/>
      <c r="R41" s="1372"/>
      <c r="S41" s="1371"/>
      <c r="T41" s="1347"/>
      <c r="U41" s="1348"/>
      <c r="V41" s="1373"/>
      <c r="W41" s="1373"/>
      <c r="X41" s="1244"/>
    </row>
    <row r="42" spans="1:24">
      <c r="A42" s="1323" t="s">
        <v>2809</v>
      </c>
      <c r="B42" s="185" t="s">
        <v>2767</v>
      </c>
      <c r="C42" s="1363">
        <v>0</v>
      </c>
      <c r="D42" s="1364" t="s">
        <v>2688</v>
      </c>
      <c r="E42" s="1365">
        <f>E43</f>
        <v>3.4693401880877751E-2</v>
      </c>
      <c r="F42" s="1365">
        <f>F43</f>
        <v>0.40997347480106111</v>
      </c>
      <c r="G42" s="1366">
        <f>G43</f>
        <v>2.9301567398119128</v>
      </c>
      <c r="H42" s="1366"/>
      <c r="I42" s="1366">
        <f>I43</f>
        <v>3.2887072686189938</v>
      </c>
      <c r="J42" s="1367">
        <f>J43</f>
        <v>6.2188640084309066</v>
      </c>
      <c r="K42" s="1464">
        <f>C42*J42</f>
        <v>0</v>
      </c>
      <c r="L42" s="1641"/>
      <c r="M42" s="1370">
        <f>M43</f>
        <v>0.40997347480106111</v>
      </c>
      <c r="N42" s="1371">
        <f>N43</f>
        <v>2.9301567398119128</v>
      </c>
      <c r="P42" s="1371">
        <f>P43</f>
        <v>3.2887072686189938</v>
      </c>
      <c r="Q42" s="1371">
        <f>Q43</f>
        <v>6.2188640084309066</v>
      </c>
      <c r="R42" s="1465">
        <f>C42*Q42</f>
        <v>0</v>
      </c>
      <c r="T42" s="1642">
        <f>J42-Q42</f>
        <v>0</v>
      </c>
      <c r="U42" s="1466">
        <f>K42-R42</f>
        <v>0</v>
      </c>
      <c r="V42" s="1373"/>
      <c r="W42" s="1373"/>
      <c r="X42" s="1244"/>
    </row>
    <row r="43" spans="1:24" hidden="1">
      <c r="A43" s="1323" t="s">
        <v>5976</v>
      </c>
      <c r="B43" s="185" t="s">
        <v>2810</v>
      </c>
      <c r="C43" s="1363"/>
      <c r="D43" s="1364" t="s">
        <v>2688</v>
      </c>
      <c r="E43" s="1365">
        <v>3.4693401880877751E-2</v>
      </c>
      <c r="F43" s="1365">
        <v>0.40997347480106111</v>
      </c>
      <c r="G43" s="1366">
        <v>2.9301567398119128</v>
      </c>
      <c r="H43" s="1366"/>
      <c r="I43" s="1366">
        <v>3.2887072686189938</v>
      </c>
      <c r="J43" s="1367">
        <v>6.2188640084309066</v>
      </c>
      <c r="K43" s="1368"/>
      <c r="L43" s="1369"/>
      <c r="M43" s="1370">
        <f>D389</f>
        <v>0.40997347480106111</v>
      </c>
      <c r="N43" s="1371">
        <f>D387</f>
        <v>2.9301567398119128</v>
      </c>
      <c r="P43" s="1371">
        <f>D388</f>
        <v>3.2887072686189938</v>
      </c>
      <c r="Q43" s="1371">
        <f>D386</f>
        <v>6.2188640084309066</v>
      </c>
      <c r="R43" s="1372"/>
      <c r="S43" s="1371"/>
      <c r="T43" s="1347">
        <f>J43-Q43</f>
        <v>0</v>
      </c>
      <c r="U43" s="1348"/>
      <c r="V43" s="1373"/>
      <c r="W43" s="1373"/>
      <c r="X43" s="1244"/>
    </row>
    <row r="44" spans="1:24" hidden="1">
      <c r="A44" s="1323" t="s">
        <v>7781</v>
      </c>
      <c r="C44" s="1424"/>
      <c r="D44" s="1364"/>
      <c r="E44" s="1365"/>
      <c r="F44" s="1365"/>
      <c r="G44" s="1366"/>
      <c r="H44" s="1366"/>
      <c r="I44" s="1366"/>
      <c r="J44" s="1367"/>
      <c r="K44" s="1368"/>
      <c r="L44" s="1369"/>
      <c r="M44" s="1370"/>
      <c r="N44" s="1371"/>
      <c r="P44" s="1371"/>
      <c r="Q44" s="1371"/>
      <c r="R44" s="1372"/>
      <c r="S44" s="1371"/>
      <c r="T44" s="1347"/>
      <c r="U44" s="1348"/>
      <c r="V44" s="1373"/>
      <c r="W44" s="1373"/>
      <c r="X44" s="1244"/>
    </row>
    <row r="45" spans="1:24">
      <c r="A45" s="1323" t="s">
        <v>2811</v>
      </c>
      <c r="B45" s="185" t="s">
        <v>2812</v>
      </c>
      <c r="C45" s="1363">
        <v>0</v>
      </c>
      <c r="D45" s="1364" t="s">
        <v>136</v>
      </c>
      <c r="E45" s="1365">
        <f>E46*5</f>
        <v>0.17346700940438875</v>
      </c>
      <c r="F45" s="1365">
        <f>F46*5</f>
        <v>2.0498673740053057</v>
      </c>
      <c r="G45" s="1495">
        <f>G46*5</f>
        <v>14.650783699059565</v>
      </c>
      <c r="H45" s="1495"/>
      <c r="I45" s="1495">
        <f>I46*5</f>
        <v>16.443536343094969</v>
      </c>
      <c r="J45" s="1496">
        <f>J46*5</f>
        <v>31.094320042154532</v>
      </c>
      <c r="K45" s="1464">
        <f>C45*J45</f>
        <v>0</v>
      </c>
      <c r="L45" s="1641"/>
      <c r="M45" s="1370">
        <f>M46*5</f>
        <v>2.0498673740053057</v>
      </c>
      <c r="N45" s="1499">
        <f>N46*5</f>
        <v>14.650783699059565</v>
      </c>
      <c r="P45" s="1499">
        <f>P46*5</f>
        <v>16.443536343094969</v>
      </c>
      <c r="Q45" s="1499">
        <f>Q46*5</f>
        <v>31.094320042154532</v>
      </c>
      <c r="R45" s="1465">
        <f>C45*Q45</f>
        <v>0</v>
      </c>
      <c r="T45" s="1642">
        <f>J45-Q45</f>
        <v>0</v>
      </c>
      <c r="U45" s="1466">
        <f>K45-R45</f>
        <v>0</v>
      </c>
      <c r="V45" s="1648"/>
      <c r="W45" s="1648"/>
      <c r="X45" s="1244"/>
    </row>
    <row r="46" spans="1:24" hidden="1">
      <c r="A46" s="1323" t="s">
        <v>5976</v>
      </c>
      <c r="B46" s="185" t="s">
        <v>2812</v>
      </c>
      <c r="C46" s="1363"/>
      <c r="D46" s="1364" t="s">
        <v>2700</v>
      </c>
      <c r="E46" s="1365">
        <v>3.4693401880877751E-2</v>
      </c>
      <c r="F46" s="1365">
        <v>0.40997347480106111</v>
      </c>
      <c r="G46" s="1366">
        <v>2.9301567398119128</v>
      </c>
      <c r="H46" s="1366"/>
      <c r="I46" s="1366">
        <v>3.2887072686189938</v>
      </c>
      <c r="J46" s="1367">
        <v>6.2188640084309066</v>
      </c>
      <c r="K46" s="1368"/>
      <c r="L46" s="1369"/>
      <c r="M46" s="1370">
        <f>D389</f>
        <v>0.40997347480106111</v>
      </c>
      <c r="N46" s="1371">
        <f>D387</f>
        <v>2.9301567398119128</v>
      </c>
      <c r="P46" s="1371">
        <f>D388</f>
        <v>3.2887072686189938</v>
      </c>
      <c r="Q46" s="1371">
        <f>D386</f>
        <v>6.2188640084309066</v>
      </c>
      <c r="R46" s="1372"/>
      <c r="S46" s="1371"/>
      <c r="T46" s="1347">
        <f>J46-Q46</f>
        <v>0</v>
      </c>
      <c r="U46" s="1348"/>
      <c r="V46" s="1373"/>
      <c r="W46" s="1373"/>
      <c r="X46" s="1244"/>
    </row>
    <row r="47" spans="1:24" hidden="1">
      <c r="A47" s="1323" t="s">
        <v>7781</v>
      </c>
      <c r="B47" s="185"/>
      <c r="D47" s="1364"/>
      <c r="E47" s="1365"/>
      <c r="F47" s="1365"/>
      <c r="G47" s="1366"/>
      <c r="H47" s="1366"/>
      <c r="I47" s="1366"/>
      <c r="J47" s="1367"/>
      <c r="K47" s="1368"/>
      <c r="L47" s="1369"/>
      <c r="M47" s="1370"/>
      <c r="N47" s="1371"/>
      <c r="P47" s="1371"/>
      <c r="Q47" s="1371"/>
      <c r="R47" s="1372"/>
      <c r="S47" s="1371"/>
      <c r="T47" s="1347"/>
      <c r="U47" s="1348"/>
      <c r="V47" s="1373"/>
      <c r="W47" s="1373"/>
      <c r="X47" s="1244"/>
    </row>
    <row r="48" spans="1:24">
      <c r="A48" s="1323" t="s">
        <v>1768</v>
      </c>
      <c r="B48" s="1062" t="s">
        <v>3420</v>
      </c>
      <c r="C48" s="1363">
        <v>135</v>
      </c>
      <c r="D48" s="1364" t="s">
        <v>242</v>
      </c>
      <c r="E48" s="1365">
        <f>SUM(E49:E52)</f>
        <v>8.1</v>
      </c>
      <c r="F48" s="1365">
        <f>SUM(F49:F52)</f>
        <v>106.5</v>
      </c>
      <c r="G48" s="1366">
        <f>SUM(G49:G52)</f>
        <v>810</v>
      </c>
      <c r="H48" s="1366"/>
      <c r="I48" s="1366">
        <f>SUM(I49:I52)</f>
        <v>1065</v>
      </c>
      <c r="J48" s="1367">
        <f>SUM(J49:J52)</f>
        <v>1981.5</v>
      </c>
      <c r="K48" s="1464">
        <f>C48*J48</f>
        <v>267502.5</v>
      </c>
      <c r="L48" s="1641"/>
      <c r="M48" s="1370">
        <f>SUM(M49:M52)</f>
        <v>106.5</v>
      </c>
      <c r="N48" s="1371">
        <f>SUM(N49:N52)</f>
        <v>810</v>
      </c>
      <c r="P48" s="1371">
        <f>SUM(P49:P52)</f>
        <v>1065</v>
      </c>
      <c r="Q48" s="1371">
        <f>SUM(Q49:Q52)</f>
        <v>1981.5</v>
      </c>
      <c r="R48" s="1465">
        <f>C48*Q48</f>
        <v>267502.5</v>
      </c>
      <c r="T48" s="1642">
        <f>J48-Q48</f>
        <v>0</v>
      </c>
      <c r="U48" s="1466">
        <f>K48-R48</f>
        <v>0</v>
      </c>
      <c r="V48" s="1373"/>
      <c r="W48" s="1373"/>
      <c r="X48" s="1244"/>
    </row>
    <row r="49" spans="1:24" hidden="1">
      <c r="A49" s="1323" t="s">
        <v>5976</v>
      </c>
      <c r="B49" s="1362" t="s">
        <v>2813</v>
      </c>
      <c r="C49" s="1363"/>
      <c r="D49" s="1364" t="s">
        <v>242</v>
      </c>
      <c r="E49" s="1365">
        <v>5</v>
      </c>
      <c r="F49" s="1365">
        <f>I49*F3</f>
        <v>75</v>
      </c>
      <c r="G49" s="1366">
        <f>$E$49*$G$3</f>
        <v>500</v>
      </c>
      <c r="H49" s="1366"/>
      <c r="I49" s="1366">
        <f>$I$3*E49</f>
        <v>750</v>
      </c>
      <c r="J49" s="1367">
        <f>SUM(F49:I49)</f>
        <v>1325</v>
      </c>
      <c r="K49" s="1368"/>
      <c r="L49" s="1369"/>
      <c r="M49" s="1370">
        <f>P49*$M$3</f>
        <v>75</v>
      </c>
      <c r="N49" s="1371">
        <f>E49*$N$3</f>
        <v>500</v>
      </c>
      <c r="P49" s="1371">
        <f>$P$3*E49</f>
        <v>750</v>
      </c>
      <c r="Q49" s="1371">
        <f>SUM(M49:P49)</f>
        <v>1325</v>
      </c>
      <c r="R49" s="1372"/>
      <c r="S49" s="1371"/>
      <c r="T49" s="1347">
        <f>J49-Q49</f>
        <v>0</v>
      </c>
      <c r="U49" s="1427"/>
      <c r="V49" s="1373"/>
      <c r="W49" s="1373"/>
      <c r="X49" s="1244"/>
    </row>
    <row r="50" spans="1:24" hidden="1">
      <c r="A50" s="1323" t="s">
        <v>5976</v>
      </c>
      <c r="B50" s="185" t="s">
        <v>2815</v>
      </c>
      <c r="C50" s="1424"/>
      <c r="D50" s="1364" t="s">
        <v>242</v>
      </c>
      <c r="E50" s="1365">
        <v>1</v>
      </c>
      <c r="F50" s="1365"/>
      <c r="G50" s="1366">
        <f>$E$50*$G$3</f>
        <v>100</v>
      </c>
      <c r="H50" s="1366"/>
      <c r="I50" s="1428">
        <v>0</v>
      </c>
      <c r="J50" s="1367">
        <f>SUM(F50:I50)</f>
        <v>100</v>
      </c>
      <c r="K50" s="1368"/>
      <c r="L50" s="1369"/>
      <c r="M50" s="1370"/>
      <c r="N50" s="1371">
        <f>E50*$N$3</f>
        <v>100</v>
      </c>
      <c r="P50" s="1429">
        <v>0</v>
      </c>
      <c r="Q50" s="1371">
        <f>SUM(M50:P50)</f>
        <v>100</v>
      </c>
      <c r="R50" s="1372"/>
      <c r="S50" s="1371"/>
      <c r="T50" s="1347">
        <f>J50-Q50</f>
        <v>0</v>
      </c>
      <c r="U50" s="1427"/>
      <c r="V50" s="1373"/>
      <c r="W50" s="1373"/>
      <c r="X50" s="1244"/>
    </row>
    <row r="51" spans="1:24" hidden="1">
      <c r="A51" s="1323" t="s">
        <v>5976</v>
      </c>
      <c r="B51" s="1362" t="s">
        <v>2817</v>
      </c>
      <c r="C51" s="1363"/>
      <c r="D51" s="1364" t="s">
        <v>242</v>
      </c>
      <c r="E51" s="1365">
        <v>2</v>
      </c>
      <c r="F51" s="1365">
        <f>I51*F3</f>
        <v>30</v>
      </c>
      <c r="G51" s="1366">
        <f>$E$51*$G$3</f>
        <v>200</v>
      </c>
      <c r="H51" s="1366"/>
      <c r="I51" s="1366">
        <f>$I$3*E51</f>
        <v>300</v>
      </c>
      <c r="J51" s="1367">
        <f>SUM(F51:I51)</f>
        <v>530</v>
      </c>
      <c r="K51" s="1368"/>
      <c r="L51" s="1369"/>
      <c r="M51" s="1370">
        <f>P51*$M$3</f>
        <v>30</v>
      </c>
      <c r="N51" s="1371">
        <f>E51*$N$3</f>
        <v>200</v>
      </c>
      <c r="P51" s="1371">
        <f>$P$3*E51</f>
        <v>300</v>
      </c>
      <c r="Q51" s="1371">
        <f>SUM(M51:P51)</f>
        <v>530</v>
      </c>
      <c r="R51" s="1372"/>
      <c r="S51" s="1371"/>
      <c r="T51" s="1347">
        <f>J51-Q51</f>
        <v>0</v>
      </c>
      <c r="U51" s="1427"/>
      <c r="V51" s="1373"/>
      <c r="W51" s="1373"/>
      <c r="X51" s="1244"/>
    </row>
    <row r="52" spans="1:24" hidden="1">
      <c r="A52" s="1323" t="s">
        <v>5976</v>
      </c>
      <c r="B52" s="1362" t="s">
        <v>2819</v>
      </c>
      <c r="C52" s="1363"/>
      <c r="D52" s="1364" t="s">
        <v>242</v>
      </c>
      <c r="E52" s="1365">
        <f>2/20</f>
        <v>0.1</v>
      </c>
      <c r="F52" s="1365">
        <f>I52*F3</f>
        <v>1.5</v>
      </c>
      <c r="G52" s="1366">
        <f>$E$52*$G$3</f>
        <v>10</v>
      </c>
      <c r="H52" s="1366"/>
      <c r="I52" s="1366">
        <f>$I$3*E52</f>
        <v>15</v>
      </c>
      <c r="J52" s="1367">
        <f>SUM(F52:I52)</f>
        <v>26.5</v>
      </c>
      <c r="K52" s="1368"/>
      <c r="L52" s="1369"/>
      <c r="M52" s="1370">
        <f>P52*$M$3</f>
        <v>1.5</v>
      </c>
      <c r="N52" s="1371">
        <f>E52*$N$3</f>
        <v>10</v>
      </c>
      <c r="P52" s="1371">
        <f>$P$3*E52</f>
        <v>15</v>
      </c>
      <c r="Q52" s="1371">
        <f>SUM(M52:P52)</f>
        <v>26.5</v>
      </c>
      <c r="R52" s="1372"/>
      <c r="S52" s="1371"/>
      <c r="T52" s="1347">
        <f>J52-Q52</f>
        <v>0</v>
      </c>
      <c r="U52" s="1427"/>
      <c r="V52" s="1373"/>
      <c r="W52" s="1373"/>
      <c r="X52" s="1244"/>
    </row>
    <row r="53" spans="1:24" hidden="1">
      <c r="A53" s="1323" t="s">
        <v>7781</v>
      </c>
      <c r="B53" s="1362"/>
      <c r="C53" s="1363"/>
      <c r="D53" s="1364"/>
      <c r="E53" s="1365"/>
      <c r="F53" s="1365"/>
      <c r="G53" s="1428"/>
      <c r="H53" s="1428"/>
      <c r="I53" s="1428"/>
      <c r="J53" s="1430"/>
      <c r="K53" s="1431"/>
      <c r="L53" s="1432"/>
      <c r="M53" s="1370"/>
      <c r="N53" s="1429"/>
      <c r="P53" s="1429"/>
      <c r="Q53" s="1429"/>
      <c r="R53" s="1433"/>
      <c r="S53" s="1429"/>
      <c r="T53" s="1347"/>
      <c r="U53" s="1434"/>
      <c r="V53" s="1435"/>
      <c r="W53" s="1435"/>
      <c r="X53" s="1244"/>
    </row>
    <row r="54" spans="1:24">
      <c r="A54" s="1323" t="s">
        <v>2123</v>
      </c>
      <c r="B54" s="7" t="s">
        <v>2124</v>
      </c>
      <c r="C54" s="1363">
        <v>53</v>
      </c>
      <c r="D54" s="1364" t="s">
        <v>242</v>
      </c>
      <c r="E54" s="1365">
        <f>SUM(E55:E58)</f>
        <v>19.2</v>
      </c>
      <c r="F54" s="1365">
        <f>SUM(F55:F58)</f>
        <v>213</v>
      </c>
      <c r="G54" s="1366">
        <f>SUM(G55:G58)</f>
        <v>1920</v>
      </c>
      <c r="H54" s="1366"/>
      <c r="I54" s="1366">
        <f>SUM(I55:I58)</f>
        <v>2130</v>
      </c>
      <c r="J54" s="1367">
        <f>SUM(J55:J58)</f>
        <v>4263</v>
      </c>
      <c r="K54" s="1464">
        <f>C54*J54</f>
        <v>225939</v>
      </c>
      <c r="L54" s="1641"/>
      <c r="M54" s="1370">
        <f>SUM(M55:M58)</f>
        <v>213</v>
      </c>
      <c r="N54" s="1371">
        <f>SUM(N55:N58)</f>
        <v>1920</v>
      </c>
      <c r="P54" s="1371">
        <f>SUM(P55:P58)</f>
        <v>2130</v>
      </c>
      <c r="Q54" s="1371">
        <f>SUM(Q55:Q58)</f>
        <v>4263</v>
      </c>
      <c r="R54" s="1465">
        <f>C54*Q54</f>
        <v>225939</v>
      </c>
      <c r="T54" s="1642">
        <f>J54-Q54</f>
        <v>0</v>
      </c>
      <c r="U54" s="1466">
        <f>K54-R54</f>
        <v>0</v>
      </c>
      <c r="V54" s="1373"/>
      <c r="W54" s="1373"/>
      <c r="X54" s="1244"/>
    </row>
    <row r="55" spans="1:24" hidden="1">
      <c r="A55" s="1323" t="s">
        <v>5976</v>
      </c>
      <c r="B55" s="1362" t="s">
        <v>2813</v>
      </c>
      <c r="C55" s="1363"/>
      <c r="D55" s="1364" t="s">
        <v>242</v>
      </c>
      <c r="E55" s="1365">
        <f>10</f>
        <v>10</v>
      </c>
      <c r="F55" s="1365">
        <f>I55*F3</f>
        <v>150</v>
      </c>
      <c r="G55" s="1366">
        <f>E55*$G$3</f>
        <v>1000</v>
      </c>
      <c r="H55" s="1366"/>
      <c r="I55" s="1366">
        <f>$I$3*E55</f>
        <v>1500</v>
      </c>
      <c r="J55" s="1367">
        <f>SUM(F55:I55)</f>
        <v>2650</v>
      </c>
      <c r="K55" s="1368"/>
      <c r="L55" s="1369"/>
      <c r="M55" s="1370">
        <f>P55*$M$3</f>
        <v>150</v>
      </c>
      <c r="N55" s="1371">
        <f>E55*$N$3</f>
        <v>1000</v>
      </c>
      <c r="P55" s="1371">
        <f>$P$3*E55</f>
        <v>1500</v>
      </c>
      <c r="Q55" s="1371">
        <f>SUM(M55:P55)</f>
        <v>2650</v>
      </c>
      <c r="R55" s="1372"/>
      <c r="S55" s="1371"/>
      <c r="T55" s="1347">
        <f>J55-Q55</f>
        <v>0</v>
      </c>
      <c r="U55" s="1348"/>
      <c r="V55" s="1373"/>
      <c r="W55" s="1373"/>
      <c r="X55" s="1244"/>
    </row>
    <row r="56" spans="1:24" hidden="1">
      <c r="A56" s="1323" t="s">
        <v>5976</v>
      </c>
      <c r="B56" s="185" t="s">
        <v>2815</v>
      </c>
      <c r="C56" s="1363"/>
      <c r="D56" s="1364" t="s">
        <v>242</v>
      </c>
      <c r="E56" s="1365">
        <v>5</v>
      </c>
      <c r="F56" s="1365"/>
      <c r="G56" s="1366">
        <f>E56*$G$3</f>
        <v>500</v>
      </c>
      <c r="H56" s="1366"/>
      <c r="I56" s="1428">
        <v>0</v>
      </c>
      <c r="J56" s="1367">
        <f>SUM(F56:I56)</f>
        <v>500</v>
      </c>
      <c r="K56" s="1368"/>
      <c r="L56" s="1369"/>
      <c r="M56" s="1370"/>
      <c r="N56" s="1371">
        <f>E56*$N$3</f>
        <v>500</v>
      </c>
      <c r="P56" s="1429">
        <v>0</v>
      </c>
      <c r="Q56" s="1371">
        <f>SUM(M56:P56)</f>
        <v>500</v>
      </c>
      <c r="R56" s="1372"/>
      <c r="S56" s="1371"/>
      <c r="T56" s="1347">
        <f>J56-Q56</f>
        <v>0</v>
      </c>
      <c r="U56" s="1348"/>
      <c r="V56" s="1373"/>
      <c r="W56" s="1373"/>
      <c r="X56" s="1244"/>
    </row>
    <row r="57" spans="1:24" hidden="1">
      <c r="A57" s="1323" t="s">
        <v>5976</v>
      </c>
      <c r="B57" s="1362" t="s">
        <v>2817</v>
      </c>
      <c r="C57" s="1363"/>
      <c r="D57" s="1364" t="s">
        <v>242</v>
      </c>
      <c r="E57" s="1365">
        <v>4</v>
      </c>
      <c r="F57" s="1365">
        <f>I57*F3</f>
        <v>60</v>
      </c>
      <c r="G57" s="1366">
        <f>E57*$G$3</f>
        <v>400</v>
      </c>
      <c r="H57" s="1366"/>
      <c r="I57" s="1366">
        <f>$I$3*E57</f>
        <v>600</v>
      </c>
      <c r="J57" s="1367">
        <f>SUM(F57:I57)</f>
        <v>1060</v>
      </c>
      <c r="K57" s="1368"/>
      <c r="L57" s="1369"/>
      <c r="M57" s="1370">
        <f>P57*$M$3</f>
        <v>60</v>
      </c>
      <c r="N57" s="1371">
        <f>E57*$N$3</f>
        <v>400</v>
      </c>
      <c r="P57" s="1371">
        <f>$P$3*E57</f>
        <v>600</v>
      </c>
      <c r="Q57" s="1371">
        <f>SUM(M57:P57)</f>
        <v>1060</v>
      </c>
      <c r="R57" s="1372"/>
      <c r="S57" s="1371"/>
      <c r="T57" s="1347">
        <f>J57-Q57</f>
        <v>0</v>
      </c>
      <c r="U57" s="1348"/>
      <c r="V57" s="1373"/>
      <c r="W57" s="1373"/>
      <c r="X57" s="1244"/>
    </row>
    <row r="58" spans="1:24" hidden="1">
      <c r="A58" s="1323" t="s">
        <v>5976</v>
      </c>
      <c r="B58" s="1362" t="s">
        <v>2819</v>
      </c>
      <c r="C58" s="1363"/>
      <c r="D58" s="1364" t="s">
        <v>242</v>
      </c>
      <c r="E58" s="1365">
        <f>2/10</f>
        <v>0.2</v>
      </c>
      <c r="F58" s="1365">
        <f>I58*F3</f>
        <v>3</v>
      </c>
      <c r="G58" s="1366">
        <f>E58*$G$3</f>
        <v>20</v>
      </c>
      <c r="H58" s="1366"/>
      <c r="I58" s="1366">
        <f>$I$3*E58</f>
        <v>30</v>
      </c>
      <c r="J58" s="1367">
        <f>SUM(F58:I58)</f>
        <v>53</v>
      </c>
      <c r="K58" s="1368"/>
      <c r="L58" s="1369"/>
      <c r="M58" s="1370">
        <f>P58*$M$3</f>
        <v>3</v>
      </c>
      <c r="N58" s="1371">
        <f>E58*$N$3</f>
        <v>20</v>
      </c>
      <c r="P58" s="1371">
        <f>$P$3*E58</f>
        <v>30</v>
      </c>
      <c r="Q58" s="1371">
        <f>SUM(M58:P58)</f>
        <v>53</v>
      </c>
      <c r="R58" s="1372"/>
      <c r="S58" s="1371"/>
      <c r="T58" s="1347">
        <f>J58-Q58</f>
        <v>0</v>
      </c>
      <c r="U58" s="1348"/>
      <c r="V58" s="1373"/>
      <c r="W58" s="1373"/>
      <c r="X58" s="1244"/>
    </row>
    <row r="59" spans="1:24" hidden="1">
      <c r="A59" s="1323" t="s">
        <v>7781</v>
      </c>
      <c r="B59" s="1362"/>
      <c r="C59" s="1363"/>
      <c r="D59" s="1364"/>
      <c r="E59" s="1365"/>
      <c r="F59" s="1365"/>
      <c r="G59" s="1428"/>
      <c r="H59" s="1428"/>
      <c r="I59" s="1428"/>
      <c r="J59" s="1430"/>
      <c r="K59" s="1431"/>
      <c r="L59" s="1432"/>
      <c r="M59" s="1370"/>
      <c r="N59" s="1429"/>
      <c r="P59" s="1429"/>
      <c r="Q59" s="1429"/>
      <c r="R59" s="1433"/>
      <c r="S59" s="1429"/>
      <c r="T59" s="1347"/>
      <c r="U59" s="1348"/>
      <c r="V59" s="1435"/>
      <c r="W59" s="1435"/>
      <c r="X59" s="1244"/>
    </row>
    <row r="60" spans="1:24">
      <c r="A60" s="1323" t="s">
        <v>2120</v>
      </c>
      <c r="B60" s="7" t="s">
        <v>2121</v>
      </c>
      <c r="C60" s="1363">
        <v>6</v>
      </c>
      <c r="D60" s="1364" t="s">
        <v>242</v>
      </c>
      <c r="E60" s="1365">
        <f>SUM(E61:E64)</f>
        <v>168</v>
      </c>
      <c r="F60" s="1365">
        <f>SUM(F61:F64)</f>
        <v>2220</v>
      </c>
      <c r="G60" s="1366">
        <f>SUM(G61:G64)</f>
        <v>16800</v>
      </c>
      <c r="H60" s="1366"/>
      <c r="I60" s="1366">
        <f>SUM(I61:I64)</f>
        <v>22200</v>
      </c>
      <c r="J60" s="1367">
        <f>SUM(J61:J64)</f>
        <v>41220</v>
      </c>
      <c r="K60" s="1464">
        <f>C60*J60</f>
        <v>247320</v>
      </c>
      <c r="L60" s="1641"/>
      <c r="M60" s="1370">
        <f>SUM(M61:M64)</f>
        <v>2220</v>
      </c>
      <c r="N60" s="1371">
        <f>SUM(N61:N64)</f>
        <v>16800</v>
      </c>
      <c r="P60" s="1371">
        <f>SUM(P61:P64)</f>
        <v>22200</v>
      </c>
      <c r="Q60" s="1371">
        <f>SUM(Q61:Q64)</f>
        <v>41220</v>
      </c>
      <c r="R60" s="1465">
        <f>C60*Q60</f>
        <v>247320</v>
      </c>
      <c r="T60" s="1642">
        <f>J60-Q60</f>
        <v>0</v>
      </c>
      <c r="U60" s="1466">
        <f>K60-R60</f>
        <v>0</v>
      </c>
      <c r="V60" s="1373"/>
      <c r="W60" s="1373"/>
      <c r="X60" s="1244"/>
    </row>
    <row r="61" spans="1:24" hidden="1">
      <c r="A61" s="1323" t="s">
        <v>5976</v>
      </c>
      <c r="B61" s="1362" t="s">
        <v>2813</v>
      </c>
      <c r="C61" s="1363"/>
      <c r="D61" s="1364" t="s">
        <v>242</v>
      </c>
      <c r="E61" s="1365">
        <f>4*3*10</f>
        <v>120</v>
      </c>
      <c r="F61" s="1365">
        <f>I61*F3</f>
        <v>1800</v>
      </c>
      <c r="G61" s="1366">
        <f>E61*$G$3</f>
        <v>12000</v>
      </c>
      <c r="H61" s="1366"/>
      <c r="I61" s="1366">
        <f>$I$3*E61</f>
        <v>18000</v>
      </c>
      <c r="J61" s="1367">
        <f>SUM(F61:I61)</f>
        <v>31800</v>
      </c>
      <c r="K61" s="1368"/>
      <c r="L61" s="1369"/>
      <c r="M61" s="1370">
        <f>P61*$M$3</f>
        <v>1800</v>
      </c>
      <c r="N61" s="1371">
        <f>E61*$N$3</f>
        <v>12000</v>
      </c>
      <c r="P61" s="1371">
        <f>$P$3*E61</f>
        <v>18000</v>
      </c>
      <c r="Q61" s="1371">
        <f>SUM(M61:P61)</f>
        <v>31800</v>
      </c>
      <c r="R61" s="1372"/>
      <c r="S61" s="1371"/>
      <c r="T61" s="1347">
        <f>J61-Q61</f>
        <v>0</v>
      </c>
      <c r="U61" s="1348"/>
      <c r="V61" s="1373"/>
      <c r="W61" s="1373"/>
      <c r="X61" s="1244"/>
    </row>
    <row r="62" spans="1:24" hidden="1">
      <c r="A62" s="1323" t="s">
        <v>5976</v>
      </c>
      <c r="B62" s="185" t="s">
        <v>2815</v>
      </c>
      <c r="C62" s="1363"/>
      <c r="D62" s="1364" t="s">
        <v>242</v>
      </c>
      <c r="E62" s="1365">
        <v>20</v>
      </c>
      <c r="F62" s="1365"/>
      <c r="G62" s="1366">
        <f>E62*$G$3</f>
        <v>2000</v>
      </c>
      <c r="H62" s="1366"/>
      <c r="I62" s="1428">
        <v>0</v>
      </c>
      <c r="J62" s="1367">
        <f>SUM(F62:I62)</f>
        <v>2000</v>
      </c>
      <c r="K62" s="1368"/>
      <c r="L62" s="1369"/>
      <c r="M62" s="1370"/>
      <c r="N62" s="1371">
        <f>E62*$N$3</f>
        <v>2000</v>
      </c>
      <c r="P62" s="1429">
        <v>0</v>
      </c>
      <c r="Q62" s="1371">
        <f>SUM(M62:P62)</f>
        <v>2000</v>
      </c>
      <c r="R62" s="1372"/>
      <c r="S62" s="1371"/>
      <c r="T62" s="1347">
        <f>J62-Q62</f>
        <v>0</v>
      </c>
      <c r="U62" s="1348"/>
      <c r="V62" s="1373"/>
      <c r="W62" s="1373"/>
      <c r="X62" s="1244"/>
    </row>
    <row r="63" spans="1:24" hidden="1">
      <c r="A63" s="1323" t="s">
        <v>5976</v>
      </c>
      <c r="B63" s="1362" t="s">
        <v>2817</v>
      </c>
      <c r="C63" s="1363"/>
      <c r="D63" s="1364" t="s">
        <v>242</v>
      </c>
      <c r="E63" s="1365">
        <f>2*10</f>
        <v>20</v>
      </c>
      <c r="F63" s="1365">
        <f>I63*F3</f>
        <v>300</v>
      </c>
      <c r="G63" s="1366">
        <f>E63*$G$3</f>
        <v>2000</v>
      </c>
      <c r="H63" s="1366"/>
      <c r="I63" s="1366">
        <f>$I$3*E63</f>
        <v>3000</v>
      </c>
      <c r="J63" s="1367">
        <f>SUM(F63:I63)</f>
        <v>5300</v>
      </c>
      <c r="K63" s="1368"/>
      <c r="L63" s="1369"/>
      <c r="M63" s="1370">
        <f>P63*$M$3</f>
        <v>300</v>
      </c>
      <c r="N63" s="1371">
        <f>E63*$N$3</f>
        <v>2000</v>
      </c>
      <c r="P63" s="1371">
        <f>$P$3*E63</f>
        <v>3000</v>
      </c>
      <c r="Q63" s="1371">
        <f>SUM(M63:P63)</f>
        <v>5300</v>
      </c>
      <c r="R63" s="1372"/>
      <c r="S63" s="1371"/>
      <c r="T63" s="1347">
        <f>J63-Q63</f>
        <v>0</v>
      </c>
      <c r="U63" s="1348"/>
      <c r="V63" s="1373"/>
      <c r="W63" s="1373"/>
      <c r="X63" s="1244"/>
    </row>
    <row r="64" spans="1:24" hidden="1">
      <c r="A64" s="1323" t="s">
        <v>5976</v>
      </c>
      <c r="B64" s="1362" t="s">
        <v>2819</v>
      </c>
      <c r="C64" s="1363"/>
      <c r="D64" s="1364" t="s">
        <v>242</v>
      </c>
      <c r="E64" s="1365">
        <f>2*2*2</f>
        <v>8</v>
      </c>
      <c r="F64" s="1365">
        <f>I64*F3</f>
        <v>120</v>
      </c>
      <c r="G64" s="1366">
        <f>E64*$G$3</f>
        <v>800</v>
      </c>
      <c r="H64" s="1366"/>
      <c r="I64" s="1366">
        <f>$I$3*E64</f>
        <v>1200</v>
      </c>
      <c r="J64" s="1367">
        <f>SUM(F64:I64)</f>
        <v>2120</v>
      </c>
      <c r="K64" s="1368"/>
      <c r="L64" s="1369"/>
      <c r="M64" s="1370">
        <f>P64*$M$3</f>
        <v>120</v>
      </c>
      <c r="N64" s="1371">
        <f>E64*$N$3</f>
        <v>800</v>
      </c>
      <c r="P64" s="1371">
        <f>$P$3*E64</f>
        <v>1200</v>
      </c>
      <c r="Q64" s="1371">
        <f>SUM(M64:P64)</f>
        <v>2120</v>
      </c>
      <c r="R64" s="1372"/>
      <c r="S64" s="1371"/>
      <c r="T64" s="1347">
        <f>J64-Q64</f>
        <v>0</v>
      </c>
      <c r="U64" s="1348"/>
      <c r="V64" s="1373"/>
      <c r="W64" s="1373"/>
      <c r="X64" s="1244"/>
    </row>
    <row r="65" spans="1:24" hidden="1">
      <c r="A65" s="1323" t="s">
        <v>7781</v>
      </c>
      <c r="B65" s="1362"/>
      <c r="C65" s="1363"/>
      <c r="D65" s="1364"/>
      <c r="E65" s="1365"/>
      <c r="F65" s="1365"/>
      <c r="G65" s="1428"/>
      <c r="H65" s="1428"/>
      <c r="I65" s="1428"/>
      <c r="J65" s="1430"/>
      <c r="K65" s="1431"/>
      <c r="L65" s="1432"/>
      <c r="M65" s="1370"/>
      <c r="N65" s="1429"/>
      <c r="P65" s="1429"/>
      <c r="Q65" s="1429"/>
      <c r="R65" s="1433"/>
      <c r="S65" s="1429"/>
      <c r="T65" s="1347"/>
      <c r="U65" s="1348"/>
      <c r="V65" s="1435"/>
      <c r="W65" s="1435"/>
      <c r="X65" s="1244"/>
    </row>
    <row r="66" spans="1:24">
      <c r="A66" s="1323" t="s">
        <v>2129</v>
      </c>
      <c r="B66" s="1062" t="s">
        <v>2130</v>
      </c>
      <c r="C66" s="1363">
        <v>264</v>
      </c>
      <c r="D66" s="1364" t="s">
        <v>242</v>
      </c>
      <c r="E66" s="1365">
        <f>SUM(E67:E70)</f>
        <v>6.666666666666667</v>
      </c>
      <c r="F66" s="1365">
        <f>SUM(F67:F70)</f>
        <v>25</v>
      </c>
      <c r="G66" s="1495">
        <f>SUM(G67:G70)</f>
        <v>666.66666666666663</v>
      </c>
      <c r="H66" s="1495"/>
      <c r="I66" s="1495">
        <f>SUM(I67:I70)</f>
        <v>250</v>
      </c>
      <c r="J66" s="1496">
        <f>SUM(J67:J70)</f>
        <v>941.66666666666663</v>
      </c>
      <c r="K66" s="1464">
        <f>C66*J66</f>
        <v>248600</v>
      </c>
      <c r="L66" s="1641"/>
      <c r="M66" s="1370">
        <f>SUM(M67:M70)</f>
        <v>25</v>
      </c>
      <c r="N66" s="1499">
        <f>SUM(N67:N70)</f>
        <v>666.66666666666663</v>
      </c>
      <c r="P66" s="1499">
        <f>SUM(P67:P70)</f>
        <v>250</v>
      </c>
      <c r="Q66" s="1499">
        <f>SUM(Q67:Q70)</f>
        <v>941.66666666666663</v>
      </c>
      <c r="R66" s="1465">
        <f>C66*Q66</f>
        <v>248600</v>
      </c>
      <c r="T66" s="1642">
        <f>J66-Q66</f>
        <v>0</v>
      </c>
      <c r="U66" s="1466">
        <f>K66-R66</f>
        <v>0</v>
      </c>
      <c r="V66" s="1502"/>
      <c r="W66" s="1502"/>
      <c r="X66" s="1244"/>
    </row>
    <row r="67" spans="1:24" hidden="1">
      <c r="A67" s="1323" t="s">
        <v>5976</v>
      </c>
      <c r="B67" s="1362" t="s">
        <v>2813</v>
      </c>
      <c r="C67" s="1363"/>
      <c r="D67" s="1364" t="s">
        <v>242</v>
      </c>
      <c r="E67" s="1365">
        <v>2</v>
      </c>
      <c r="F67" s="1365">
        <f>I67*F3</f>
        <v>0</v>
      </c>
      <c r="G67" s="1366">
        <f>E67*$G$3</f>
        <v>200</v>
      </c>
      <c r="H67" s="1366"/>
      <c r="I67" s="1366">
        <v>0</v>
      </c>
      <c r="J67" s="1367">
        <f>SUM(F67:I67)</f>
        <v>200</v>
      </c>
      <c r="K67" s="1368"/>
      <c r="L67" s="1369"/>
      <c r="M67" s="1370">
        <f>P67*$M$3</f>
        <v>0</v>
      </c>
      <c r="N67" s="1371">
        <f>E67*$N$3</f>
        <v>200</v>
      </c>
      <c r="P67" s="1371">
        <v>0</v>
      </c>
      <c r="Q67" s="1371">
        <f>SUM(M67:P67)</f>
        <v>200</v>
      </c>
      <c r="R67" s="1372"/>
      <c r="S67" s="1371"/>
      <c r="T67" s="1347">
        <f>J67-Q67</f>
        <v>0</v>
      </c>
      <c r="U67" s="1427"/>
      <c r="V67" s="1373"/>
      <c r="W67" s="1373"/>
      <c r="X67" s="1244"/>
    </row>
    <row r="68" spans="1:24" hidden="1">
      <c r="A68" s="1323" t="s">
        <v>5976</v>
      </c>
      <c r="B68" s="185" t="s">
        <v>2815</v>
      </c>
      <c r="C68" s="1424"/>
      <c r="D68" s="1364" t="s">
        <v>242</v>
      </c>
      <c r="E68" s="1365">
        <v>3</v>
      </c>
      <c r="F68" s="1365"/>
      <c r="G68" s="1366">
        <f>E68*$G$3</f>
        <v>300</v>
      </c>
      <c r="H68" s="1366"/>
      <c r="I68" s="1428">
        <v>0</v>
      </c>
      <c r="J68" s="1367">
        <f>SUM(F68:I68)</f>
        <v>300</v>
      </c>
      <c r="K68" s="1368"/>
      <c r="L68" s="1369"/>
      <c r="M68" s="1370"/>
      <c r="N68" s="1371">
        <f>E68*$N$3</f>
        <v>300</v>
      </c>
      <c r="P68" s="1429">
        <v>0</v>
      </c>
      <c r="Q68" s="1371">
        <f>SUM(M68:P68)</f>
        <v>300</v>
      </c>
      <c r="R68" s="1372"/>
      <c r="S68" s="1371"/>
      <c r="T68" s="1347">
        <f>J68-Q68</f>
        <v>0</v>
      </c>
      <c r="U68" s="1427"/>
      <c r="V68" s="1373"/>
      <c r="W68" s="1373"/>
      <c r="X68" s="1244"/>
    </row>
    <row r="69" spans="1:24" hidden="1">
      <c r="A69" s="1323" t="s">
        <v>5976</v>
      </c>
      <c r="B69" s="1362" t="s">
        <v>2817</v>
      </c>
      <c r="C69" s="1363"/>
      <c r="D69" s="1364" t="s">
        <v>242</v>
      </c>
      <c r="E69" s="1365">
        <v>1</v>
      </c>
      <c r="F69" s="1365">
        <f>I69*F3</f>
        <v>15</v>
      </c>
      <c r="G69" s="1366">
        <f>E69*$G$3</f>
        <v>100</v>
      </c>
      <c r="H69" s="1366"/>
      <c r="I69" s="1366">
        <f>$I$3*E69</f>
        <v>150</v>
      </c>
      <c r="J69" s="1367">
        <f>SUM(F69:I69)</f>
        <v>265</v>
      </c>
      <c r="K69" s="1368"/>
      <c r="L69" s="1369"/>
      <c r="M69" s="1370">
        <f>P69*$M$3</f>
        <v>15</v>
      </c>
      <c r="N69" s="1371">
        <f>E69*$N$3</f>
        <v>100</v>
      </c>
      <c r="P69" s="1371">
        <f>$P$3*E69</f>
        <v>150</v>
      </c>
      <c r="Q69" s="1371">
        <f>SUM(M69:P69)</f>
        <v>265</v>
      </c>
      <c r="R69" s="1372"/>
      <c r="S69" s="1371"/>
      <c r="T69" s="1347">
        <f>J69-Q69</f>
        <v>0</v>
      </c>
      <c r="U69" s="1427"/>
      <c r="V69" s="1373"/>
      <c r="W69" s="1373"/>
      <c r="X69" s="1244"/>
    </row>
    <row r="70" spans="1:24" hidden="1">
      <c r="A70" s="1323" t="s">
        <v>5976</v>
      </c>
      <c r="B70" s="1362" t="s">
        <v>2819</v>
      </c>
      <c r="C70" s="1363"/>
      <c r="D70" s="1364" t="s">
        <v>242</v>
      </c>
      <c r="E70" s="1365">
        <f>2/3</f>
        <v>0.66666666666666663</v>
      </c>
      <c r="F70" s="1365">
        <f>I70*F3</f>
        <v>10</v>
      </c>
      <c r="G70" s="1366">
        <f>E70*$G$3</f>
        <v>66.666666666666657</v>
      </c>
      <c r="H70" s="1366"/>
      <c r="I70" s="1366">
        <f>$I$3*E70</f>
        <v>100</v>
      </c>
      <c r="J70" s="1367">
        <f>SUM(F70:I70)</f>
        <v>176.66666666666666</v>
      </c>
      <c r="K70" s="1368"/>
      <c r="L70" s="1369"/>
      <c r="M70" s="1370">
        <f>P70*$M$3</f>
        <v>10</v>
      </c>
      <c r="N70" s="1371">
        <f>E70*$N$3</f>
        <v>66.666666666666657</v>
      </c>
      <c r="P70" s="1371">
        <f>$P$3*E70</f>
        <v>100</v>
      </c>
      <c r="Q70" s="1371">
        <f>SUM(M70:P70)</f>
        <v>176.66666666666666</v>
      </c>
      <c r="R70" s="1372"/>
      <c r="S70" s="1371"/>
      <c r="T70" s="1347">
        <f>J70-Q70</f>
        <v>0</v>
      </c>
      <c r="U70" s="1427"/>
      <c r="V70" s="1373"/>
      <c r="W70" s="1373"/>
      <c r="X70" s="1244"/>
    </row>
    <row r="71" spans="1:24" hidden="1">
      <c r="A71" s="1323" t="s">
        <v>7781</v>
      </c>
      <c r="B71" s="1362"/>
      <c r="C71" s="1363"/>
      <c r="D71" s="1364"/>
      <c r="E71" s="1365"/>
      <c r="F71" s="1365"/>
      <c r="G71" s="1428"/>
      <c r="H71" s="1428"/>
      <c r="I71" s="1428"/>
      <c r="J71" s="1430"/>
      <c r="K71" s="1431"/>
      <c r="L71" s="1432"/>
      <c r="M71" s="1370"/>
      <c r="N71" s="1429"/>
      <c r="P71" s="1429"/>
      <c r="Q71" s="1429"/>
      <c r="R71" s="1433"/>
      <c r="S71" s="1429"/>
      <c r="T71" s="1347"/>
      <c r="U71" s="1434"/>
      <c r="V71" s="1435"/>
      <c r="W71" s="1435"/>
      <c r="X71" s="1244"/>
    </row>
    <row r="72" spans="1:24">
      <c r="A72" s="1323" t="s">
        <v>2127</v>
      </c>
      <c r="B72" s="7" t="s">
        <v>2177</v>
      </c>
      <c r="C72" s="1363">
        <v>143</v>
      </c>
      <c r="D72" s="1364" t="s">
        <v>242</v>
      </c>
      <c r="E72" s="1365">
        <f>SUM(E73:E76)</f>
        <v>10</v>
      </c>
      <c r="F72" s="1365">
        <f>SUM(F73:F76)</f>
        <v>45</v>
      </c>
      <c r="G72" s="1495">
        <f>SUM(G73:G76)</f>
        <v>1000</v>
      </c>
      <c r="H72" s="1495"/>
      <c r="I72" s="1495">
        <f>SUM(I73:I76)</f>
        <v>450</v>
      </c>
      <c r="J72" s="1496">
        <f>SUM(J73:J76)</f>
        <v>1495</v>
      </c>
      <c r="K72" s="1464">
        <f>C72*J72</f>
        <v>213785</v>
      </c>
      <c r="L72" s="1641"/>
      <c r="M72" s="1370">
        <f>SUM(M73:M76)</f>
        <v>45</v>
      </c>
      <c r="N72" s="1499">
        <f>SUM(N73:N76)</f>
        <v>1000</v>
      </c>
      <c r="P72" s="1499">
        <f>SUM(P73:P76)</f>
        <v>450</v>
      </c>
      <c r="Q72" s="1499">
        <f>SUM(Q73:Q76)</f>
        <v>1495</v>
      </c>
      <c r="R72" s="1465">
        <f>C72*Q72</f>
        <v>213785</v>
      </c>
      <c r="T72" s="1642">
        <f>J72-Q72</f>
        <v>0</v>
      </c>
      <c r="U72" s="1466">
        <f>K72-R72</f>
        <v>0</v>
      </c>
      <c r="V72" s="1502"/>
      <c r="W72" s="1502"/>
      <c r="X72" s="1244"/>
    </row>
    <row r="73" spans="1:24" hidden="1">
      <c r="A73" s="1323" t="s">
        <v>5976</v>
      </c>
      <c r="B73" s="1362" t="s">
        <v>2813</v>
      </c>
      <c r="C73" s="1363"/>
      <c r="D73" s="1364" t="s">
        <v>242</v>
      </c>
      <c r="E73" s="1365">
        <v>3</v>
      </c>
      <c r="F73" s="1365">
        <f>I73*F3</f>
        <v>0</v>
      </c>
      <c r="G73" s="1366">
        <f>E73*$G$3</f>
        <v>300</v>
      </c>
      <c r="H73" s="1366"/>
      <c r="I73" s="1366">
        <v>0</v>
      </c>
      <c r="J73" s="1367">
        <f>SUM(F73:I73)</f>
        <v>300</v>
      </c>
      <c r="K73" s="1368"/>
      <c r="L73" s="1369"/>
      <c r="M73" s="1370">
        <f>P73*$M$3</f>
        <v>0</v>
      </c>
      <c r="N73" s="1371">
        <f>E73*$N$3</f>
        <v>300</v>
      </c>
      <c r="P73" s="1371">
        <v>0</v>
      </c>
      <c r="Q73" s="1371">
        <f>SUM(M73:P73)</f>
        <v>300</v>
      </c>
      <c r="R73" s="1372"/>
      <c r="S73" s="1371"/>
      <c r="T73" s="1347">
        <f>J73-Q73</f>
        <v>0</v>
      </c>
      <c r="U73" s="1427"/>
      <c r="V73" s="1373"/>
      <c r="W73" s="1373"/>
      <c r="X73" s="1244"/>
    </row>
    <row r="74" spans="1:24" hidden="1">
      <c r="A74" s="1323" t="s">
        <v>5976</v>
      </c>
      <c r="B74" s="185" t="s">
        <v>2815</v>
      </c>
      <c r="C74" s="1363"/>
      <c r="D74" s="1364" t="s">
        <v>242</v>
      </c>
      <c r="E74" s="1365">
        <v>4</v>
      </c>
      <c r="F74" s="1365"/>
      <c r="G74" s="1366">
        <f>E74*$G$3</f>
        <v>400</v>
      </c>
      <c r="H74" s="1366"/>
      <c r="I74" s="1428">
        <v>0</v>
      </c>
      <c r="J74" s="1367">
        <f>SUM(F74:I74)</f>
        <v>400</v>
      </c>
      <c r="K74" s="1368"/>
      <c r="L74" s="1369"/>
      <c r="M74" s="1370"/>
      <c r="N74" s="1371">
        <f>E74*$N$3</f>
        <v>400</v>
      </c>
      <c r="P74" s="1429">
        <v>0</v>
      </c>
      <c r="Q74" s="1371">
        <f>SUM(M74:P74)</f>
        <v>400</v>
      </c>
      <c r="R74" s="1372"/>
      <c r="S74" s="1371"/>
      <c r="T74" s="1347">
        <f>J74-Q74</f>
        <v>0</v>
      </c>
      <c r="U74" s="1427"/>
      <c r="V74" s="1373"/>
      <c r="W74" s="1373"/>
      <c r="X74" s="1244"/>
    </row>
    <row r="75" spans="1:24" hidden="1">
      <c r="A75" s="1323" t="s">
        <v>5976</v>
      </c>
      <c r="B75" s="1362" t="s">
        <v>2817</v>
      </c>
      <c r="C75" s="1363"/>
      <c r="D75" s="1364" t="s">
        <v>242</v>
      </c>
      <c r="E75" s="1365">
        <v>1</v>
      </c>
      <c r="F75" s="1365">
        <f>I75*F3</f>
        <v>15</v>
      </c>
      <c r="G75" s="1366">
        <f>E75*$G$3</f>
        <v>100</v>
      </c>
      <c r="H75" s="1366"/>
      <c r="I75" s="1366">
        <f>$I$3*E75</f>
        <v>150</v>
      </c>
      <c r="J75" s="1367">
        <f>SUM(F75:I75)</f>
        <v>265</v>
      </c>
      <c r="K75" s="1368"/>
      <c r="L75" s="1369"/>
      <c r="M75" s="1370">
        <f>P75*$M$3</f>
        <v>15</v>
      </c>
      <c r="N75" s="1371">
        <f>E75*$N$3</f>
        <v>100</v>
      </c>
      <c r="P75" s="1371">
        <f>$P$3*E75</f>
        <v>150</v>
      </c>
      <c r="Q75" s="1371">
        <f>SUM(M75:P75)</f>
        <v>265</v>
      </c>
      <c r="R75" s="1372"/>
      <c r="S75" s="1371"/>
      <c r="T75" s="1347">
        <f>J75-Q75</f>
        <v>0</v>
      </c>
      <c r="U75" s="1427"/>
      <c r="V75" s="1373"/>
      <c r="W75" s="1373"/>
      <c r="X75" s="1244"/>
    </row>
    <row r="76" spans="1:24" hidden="1">
      <c r="A76" s="1323" t="s">
        <v>5976</v>
      </c>
      <c r="B76" s="1362" t="s">
        <v>2819</v>
      </c>
      <c r="C76" s="1363"/>
      <c r="D76" s="1364" t="s">
        <v>242</v>
      </c>
      <c r="E76" s="1365">
        <v>2</v>
      </c>
      <c r="F76" s="1365">
        <f>I76*F3</f>
        <v>30</v>
      </c>
      <c r="G76" s="1366">
        <f>E76*$G$3</f>
        <v>200</v>
      </c>
      <c r="H76" s="1366"/>
      <c r="I76" s="1366">
        <f>$I$3*E76</f>
        <v>300</v>
      </c>
      <c r="J76" s="1367">
        <f>SUM(F76:I76)</f>
        <v>530</v>
      </c>
      <c r="K76" s="1368"/>
      <c r="L76" s="1369"/>
      <c r="M76" s="1370">
        <f>P76*$M$3</f>
        <v>30</v>
      </c>
      <c r="N76" s="1371">
        <f>E76*$N$3</f>
        <v>200</v>
      </c>
      <c r="P76" s="1371">
        <f>$P$3*E76</f>
        <v>300</v>
      </c>
      <c r="Q76" s="1371">
        <f>SUM(M76:P76)</f>
        <v>530</v>
      </c>
      <c r="R76" s="1372"/>
      <c r="S76" s="1371"/>
      <c r="T76" s="1347">
        <f>J76-Q76</f>
        <v>0</v>
      </c>
      <c r="U76" s="1427"/>
      <c r="V76" s="1373"/>
      <c r="W76" s="1373"/>
      <c r="X76" s="1244"/>
    </row>
    <row r="77" spans="1:24" hidden="1">
      <c r="A77" s="1323" t="s">
        <v>7781</v>
      </c>
      <c r="B77" s="1362"/>
      <c r="C77" s="1363"/>
      <c r="D77" s="1364"/>
      <c r="E77" s="1365"/>
      <c r="F77" s="1365"/>
      <c r="G77" s="1428"/>
      <c r="H77" s="1428"/>
      <c r="I77" s="1428"/>
      <c r="J77" s="1430"/>
      <c r="K77" s="1431"/>
      <c r="L77" s="1432"/>
      <c r="M77" s="1370"/>
      <c r="N77" s="1429"/>
      <c r="P77" s="1429"/>
      <c r="Q77" s="1429"/>
      <c r="R77" s="1433"/>
      <c r="S77" s="1429"/>
      <c r="T77" s="1347"/>
      <c r="U77" s="1434"/>
      <c r="V77" s="1435"/>
      <c r="W77" s="1435"/>
      <c r="X77" s="1244"/>
    </row>
    <row r="78" spans="1:24">
      <c r="A78" s="1323" t="s">
        <v>2125</v>
      </c>
      <c r="B78" s="7" t="s">
        <v>2126</v>
      </c>
      <c r="C78" s="1363">
        <v>323</v>
      </c>
      <c r="D78" s="1364" t="s">
        <v>242</v>
      </c>
      <c r="E78" s="1365">
        <f>SUM(E79:E82)</f>
        <v>13</v>
      </c>
      <c r="F78" s="1365">
        <f>SUM(F79:F82)</f>
        <v>120</v>
      </c>
      <c r="G78" s="1495">
        <f>SUM(G79:G82)</f>
        <v>1300</v>
      </c>
      <c r="H78" s="1495"/>
      <c r="I78" s="1495">
        <f>SUM(I79:I82)</f>
        <v>1200</v>
      </c>
      <c r="J78" s="1496">
        <f>SUM(J79:J82)</f>
        <v>2620</v>
      </c>
      <c r="K78" s="1464">
        <f>C78*J78</f>
        <v>846260</v>
      </c>
      <c r="L78" s="1641"/>
      <c r="M78" s="1370">
        <f>SUM(M79:M82)</f>
        <v>120</v>
      </c>
      <c r="N78" s="1499">
        <f>SUM(N79:N82)</f>
        <v>1300</v>
      </c>
      <c r="P78" s="1499">
        <f>SUM(P79:P82)</f>
        <v>1200</v>
      </c>
      <c r="Q78" s="1499">
        <f>SUM(Q79:Q82)</f>
        <v>2620</v>
      </c>
      <c r="R78" s="1465">
        <f>C78*Q78</f>
        <v>846260</v>
      </c>
      <c r="T78" s="1642">
        <f>J78-Q78</f>
        <v>0</v>
      </c>
      <c r="U78" s="1466">
        <f>K78-R78</f>
        <v>0</v>
      </c>
      <c r="V78" s="1502"/>
      <c r="W78" s="1502"/>
      <c r="X78" s="1244"/>
    </row>
    <row r="79" spans="1:24" hidden="1">
      <c r="A79" s="1323" t="s">
        <v>5976</v>
      </c>
      <c r="B79" s="1362" t="s">
        <v>2813</v>
      </c>
      <c r="C79" s="1363"/>
      <c r="D79" s="1364" t="s">
        <v>242</v>
      </c>
      <c r="E79" s="1365">
        <v>5</v>
      </c>
      <c r="F79" s="1365">
        <f>I79*F3</f>
        <v>75</v>
      </c>
      <c r="G79" s="1366">
        <f>E79*$G$3</f>
        <v>500</v>
      </c>
      <c r="H79" s="1366"/>
      <c r="I79" s="1366">
        <f>$I$3*E79</f>
        <v>750</v>
      </c>
      <c r="J79" s="1367">
        <f>SUM(F79:I79)</f>
        <v>1325</v>
      </c>
      <c r="K79" s="1368"/>
      <c r="L79" s="1369"/>
      <c r="M79" s="1370">
        <f>P79*$M$3</f>
        <v>75</v>
      </c>
      <c r="N79" s="1371">
        <f>E79*$N$3</f>
        <v>500</v>
      </c>
      <c r="P79" s="1371">
        <f>$P$3*E79</f>
        <v>750</v>
      </c>
      <c r="Q79" s="1371">
        <f>SUM(M79:P79)</f>
        <v>1325</v>
      </c>
      <c r="R79" s="1372"/>
      <c r="S79" s="1371"/>
      <c r="T79" s="1347">
        <f>J79-Q79</f>
        <v>0</v>
      </c>
      <c r="U79" s="1427"/>
      <c r="V79" s="1373"/>
      <c r="W79" s="1373"/>
      <c r="X79" s="1244"/>
    </row>
    <row r="80" spans="1:24" hidden="1">
      <c r="A80" s="1323" t="s">
        <v>5976</v>
      </c>
      <c r="B80" s="185" t="s">
        <v>2815</v>
      </c>
      <c r="C80" s="1363"/>
      <c r="D80" s="1364" t="s">
        <v>242</v>
      </c>
      <c r="E80" s="1365">
        <v>5</v>
      </c>
      <c r="F80" s="1365"/>
      <c r="G80" s="1366">
        <f>E80*$G$3</f>
        <v>500</v>
      </c>
      <c r="H80" s="1366"/>
      <c r="I80" s="1428">
        <v>0</v>
      </c>
      <c r="J80" s="1367">
        <f>SUM(F80:I80)</f>
        <v>500</v>
      </c>
      <c r="K80" s="1368"/>
      <c r="L80" s="1369"/>
      <c r="M80" s="1370"/>
      <c r="N80" s="1371">
        <f>E80*$N$3</f>
        <v>500</v>
      </c>
      <c r="P80" s="1429">
        <v>0</v>
      </c>
      <c r="Q80" s="1371">
        <f>SUM(M80:P80)</f>
        <v>500</v>
      </c>
      <c r="R80" s="1372"/>
      <c r="S80" s="1371"/>
      <c r="T80" s="1347">
        <f>J80-Q80</f>
        <v>0</v>
      </c>
      <c r="U80" s="1427"/>
      <c r="V80" s="1373"/>
      <c r="W80" s="1373"/>
      <c r="X80" s="1244"/>
    </row>
    <row r="81" spans="1:24" hidden="1">
      <c r="A81" s="1323" t="s">
        <v>5976</v>
      </c>
      <c r="B81" s="1362" t="s">
        <v>2817</v>
      </c>
      <c r="C81" s="1363"/>
      <c r="D81" s="1364" t="s">
        <v>242</v>
      </c>
      <c r="E81" s="1365">
        <v>1</v>
      </c>
      <c r="F81" s="1365">
        <f>I81*F3</f>
        <v>15</v>
      </c>
      <c r="G81" s="1366">
        <f>E81*$G$3</f>
        <v>100</v>
      </c>
      <c r="H81" s="1366"/>
      <c r="I81" s="1366">
        <f>$I$3*E81</f>
        <v>150</v>
      </c>
      <c r="J81" s="1367">
        <f>SUM(F81:I81)</f>
        <v>265</v>
      </c>
      <c r="K81" s="1368"/>
      <c r="L81" s="1369"/>
      <c r="M81" s="1370">
        <f>P81*$M$3</f>
        <v>15</v>
      </c>
      <c r="N81" s="1371">
        <f>E81*$N$3</f>
        <v>100</v>
      </c>
      <c r="P81" s="1371">
        <f>$P$3*E81</f>
        <v>150</v>
      </c>
      <c r="Q81" s="1371">
        <f>SUM(M81:P81)</f>
        <v>265</v>
      </c>
      <c r="R81" s="1372"/>
      <c r="S81" s="1371"/>
      <c r="T81" s="1347">
        <f>J81-Q81</f>
        <v>0</v>
      </c>
      <c r="U81" s="1427"/>
      <c r="V81" s="1373"/>
      <c r="W81" s="1373"/>
      <c r="X81" s="1244"/>
    </row>
    <row r="82" spans="1:24" hidden="1">
      <c r="A82" s="1323" t="s">
        <v>5976</v>
      </c>
      <c r="B82" s="1362" t="s">
        <v>2819</v>
      </c>
      <c r="C82" s="1363"/>
      <c r="D82" s="1364" t="s">
        <v>242</v>
      </c>
      <c r="E82" s="1365">
        <v>2</v>
      </c>
      <c r="F82" s="1365">
        <f>I82*F3</f>
        <v>30</v>
      </c>
      <c r="G82" s="1366">
        <f>E82*$G$3</f>
        <v>200</v>
      </c>
      <c r="H82" s="1366"/>
      <c r="I82" s="1366">
        <f>$I$3*E82</f>
        <v>300</v>
      </c>
      <c r="J82" s="1367">
        <f>SUM(F82:I82)</f>
        <v>530</v>
      </c>
      <c r="K82" s="1368"/>
      <c r="L82" s="1369"/>
      <c r="M82" s="1370">
        <f>P82*$M$3</f>
        <v>30</v>
      </c>
      <c r="N82" s="1371">
        <f>E82*$N$3</f>
        <v>200</v>
      </c>
      <c r="P82" s="1371">
        <f>$P$3*E82</f>
        <v>300</v>
      </c>
      <c r="Q82" s="1371">
        <f>SUM(M82:P82)</f>
        <v>530</v>
      </c>
      <c r="R82" s="1372"/>
      <c r="S82" s="1371"/>
      <c r="T82" s="1347">
        <f>J82-Q82</f>
        <v>0</v>
      </c>
      <c r="U82" s="1427"/>
      <c r="V82" s="1373"/>
      <c r="W82" s="1373"/>
      <c r="X82" s="1244"/>
    </row>
    <row r="83" spans="1:24" hidden="1">
      <c r="A83" s="1323" t="s">
        <v>7781</v>
      </c>
      <c r="B83" s="185"/>
      <c r="D83" s="1364"/>
      <c r="E83" s="1365"/>
      <c r="F83" s="1365"/>
      <c r="G83" s="1366"/>
      <c r="H83" s="1366"/>
      <c r="I83" s="1366"/>
      <c r="J83" s="1367"/>
      <c r="K83" s="1368"/>
      <c r="L83" s="1369"/>
      <c r="M83" s="1370"/>
      <c r="N83" s="1371"/>
      <c r="P83" s="1371"/>
      <c r="Q83" s="1371"/>
      <c r="R83" s="1372"/>
      <c r="S83" s="1371"/>
      <c r="T83" s="1347"/>
      <c r="U83" s="1427"/>
      <c r="V83" s="1373"/>
      <c r="W83" s="1373"/>
      <c r="X83" s="1244"/>
    </row>
    <row r="84" spans="1:24">
      <c r="A84" s="1323" t="s">
        <v>196</v>
      </c>
      <c r="B84" s="1062" t="s">
        <v>197</v>
      </c>
      <c r="C84" s="1363">
        <v>21</v>
      </c>
      <c r="D84" s="1364" t="s">
        <v>242</v>
      </c>
      <c r="E84" s="1365">
        <f>SUM(E85:E89)</f>
        <v>9.6666666666666661</v>
      </c>
      <c r="F84" s="1365">
        <f>SUM(F85:F89)</f>
        <v>107.5</v>
      </c>
      <c r="G84" s="1366">
        <f>SUM(G85:G89)</f>
        <v>966.66666666666663</v>
      </c>
      <c r="H84" s="1366"/>
      <c r="I84" s="1366">
        <f>SUM(I85:I89)</f>
        <v>1075</v>
      </c>
      <c r="J84" s="1367">
        <f>SUM(J85:J89)</f>
        <v>2149.1666666666665</v>
      </c>
      <c r="K84" s="1464">
        <f>C84*J84</f>
        <v>45132.5</v>
      </c>
      <c r="L84" s="1641"/>
      <c r="M84" s="1370">
        <f>SUM(M85:M89)</f>
        <v>107.5</v>
      </c>
      <c r="N84" s="1371">
        <f>SUM(N85:N89)</f>
        <v>966.66666666666663</v>
      </c>
      <c r="P84" s="1371">
        <f>SUM(P85:P89)</f>
        <v>1075</v>
      </c>
      <c r="Q84" s="1371">
        <f>SUM(Q85:Q89)</f>
        <v>2149.1666666666665</v>
      </c>
      <c r="R84" s="1465">
        <f>C84*Q84</f>
        <v>45132.5</v>
      </c>
      <c r="T84" s="1642">
        <f>J84-Q84</f>
        <v>0</v>
      </c>
      <c r="U84" s="1466">
        <f>K84-R84</f>
        <v>0</v>
      </c>
      <c r="V84" s="1373"/>
      <c r="W84" s="1373"/>
      <c r="X84" s="1244"/>
    </row>
    <row r="85" spans="1:24" hidden="1">
      <c r="A85" s="1323" t="s">
        <v>5976</v>
      </c>
      <c r="B85" s="1362" t="s">
        <v>2832</v>
      </c>
      <c r="C85" s="1363"/>
      <c r="D85" s="1364" t="s">
        <v>242</v>
      </c>
      <c r="E85" s="1365">
        <v>2</v>
      </c>
      <c r="F85" s="1365">
        <f>I85*F3</f>
        <v>30</v>
      </c>
      <c r="G85" s="1366">
        <f>E85*$G$3</f>
        <v>200</v>
      </c>
      <c r="H85" s="1366"/>
      <c r="I85" s="1366">
        <f>$I$3*E85</f>
        <v>300</v>
      </c>
      <c r="J85" s="1367">
        <f>SUM(F85:I85)</f>
        <v>530</v>
      </c>
      <c r="K85" s="1368"/>
      <c r="L85" s="1369"/>
      <c r="M85" s="1370">
        <f>P85*$M$3</f>
        <v>30</v>
      </c>
      <c r="N85" s="1371">
        <f>E85*$N$3</f>
        <v>200</v>
      </c>
      <c r="P85" s="1371">
        <f>$P$3*E85</f>
        <v>300</v>
      </c>
      <c r="Q85" s="1371">
        <f>SUM(M85:P85)</f>
        <v>530</v>
      </c>
      <c r="R85" s="1372"/>
      <c r="S85" s="1371"/>
      <c r="T85" s="1347">
        <f>J85-Q85</f>
        <v>0</v>
      </c>
      <c r="U85" s="1427"/>
      <c r="V85" s="1373"/>
      <c r="W85" s="1373"/>
      <c r="X85" s="1244"/>
    </row>
    <row r="86" spans="1:24" hidden="1">
      <c r="A86" s="1323" t="s">
        <v>5976</v>
      </c>
      <c r="B86" s="1362" t="s">
        <v>2834</v>
      </c>
      <c r="C86" s="1363"/>
      <c r="D86" s="1364" t="s">
        <v>242</v>
      </c>
      <c r="E86" s="1365">
        <v>0.5</v>
      </c>
      <c r="F86" s="1365">
        <f>I86*F3</f>
        <v>7.5</v>
      </c>
      <c r="G86" s="1366">
        <f>E86*$G$3</f>
        <v>50</v>
      </c>
      <c r="H86" s="1366"/>
      <c r="I86" s="1366">
        <f>$I$3*E86</f>
        <v>75</v>
      </c>
      <c r="J86" s="1367">
        <f>SUM(F86:I86)</f>
        <v>132.5</v>
      </c>
      <c r="K86" s="1368"/>
      <c r="L86" s="1369"/>
      <c r="M86" s="1370">
        <f>P86*$M$3</f>
        <v>7.5</v>
      </c>
      <c r="N86" s="1371">
        <f>E86*$N$3</f>
        <v>50</v>
      </c>
      <c r="P86" s="1371">
        <f>$P$3*E86</f>
        <v>75</v>
      </c>
      <c r="Q86" s="1371">
        <f>SUM(M86:P86)</f>
        <v>132.5</v>
      </c>
      <c r="R86" s="1372"/>
      <c r="S86" s="1371"/>
      <c r="T86" s="1347">
        <f>J86-Q86</f>
        <v>0</v>
      </c>
      <c r="U86" s="1427"/>
      <c r="V86" s="1373"/>
      <c r="W86" s="1373"/>
      <c r="X86" s="1244"/>
    </row>
    <row r="87" spans="1:24" hidden="1">
      <c r="A87" s="1323" t="s">
        <v>5976</v>
      </c>
      <c r="B87" s="185" t="s">
        <v>2815</v>
      </c>
      <c r="C87" s="1424"/>
      <c r="D87" s="1364" t="s">
        <v>242</v>
      </c>
      <c r="E87" s="1365">
        <v>2.5</v>
      </c>
      <c r="F87" s="1365"/>
      <c r="G87" s="1366">
        <f>E87*$G$3</f>
        <v>250</v>
      </c>
      <c r="H87" s="1366"/>
      <c r="I87" s="1428">
        <v>0</v>
      </c>
      <c r="J87" s="1367">
        <f>SUM(F87:I87)</f>
        <v>250</v>
      </c>
      <c r="K87" s="1368"/>
      <c r="L87" s="1369"/>
      <c r="M87" s="1370"/>
      <c r="N87" s="1371">
        <f>E87*$N$3</f>
        <v>250</v>
      </c>
      <c r="P87" s="1429">
        <v>0</v>
      </c>
      <c r="Q87" s="1371">
        <f>SUM(M87:P87)</f>
        <v>250</v>
      </c>
      <c r="R87" s="1372"/>
      <c r="S87" s="1371"/>
      <c r="T87" s="1347">
        <f>J87-Q87</f>
        <v>0</v>
      </c>
      <c r="U87" s="1427"/>
      <c r="V87" s="1373"/>
      <c r="W87" s="1373"/>
      <c r="X87" s="1244"/>
    </row>
    <row r="88" spans="1:24" hidden="1">
      <c r="A88" s="1323" t="s">
        <v>5976</v>
      </c>
      <c r="B88" s="1362" t="s">
        <v>2817</v>
      </c>
      <c r="C88" s="1363"/>
      <c r="D88" s="1364" t="s">
        <v>242</v>
      </c>
      <c r="E88" s="1365">
        <v>4</v>
      </c>
      <c r="F88" s="1365">
        <f>I88*F3</f>
        <v>60</v>
      </c>
      <c r="G88" s="1366">
        <f>E88*$G$3</f>
        <v>400</v>
      </c>
      <c r="H88" s="1366"/>
      <c r="I88" s="1366">
        <f>$I$3*E88</f>
        <v>600</v>
      </c>
      <c r="J88" s="1367">
        <f>SUM(F88:I88)</f>
        <v>1060</v>
      </c>
      <c r="K88" s="1368"/>
      <c r="L88" s="1369"/>
      <c r="M88" s="1370">
        <f>P88*$M$3</f>
        <v>60</v>
      </c>
      <c r="N88" s="1371">
        <f>E88*$N$3</f>
        <v>400</v>
      </c>
      <c r="P88" s="1371">
        <f>$P$3*E88</f>
        <v>600</v>
      </c>
      <c r="Q88" s="1371">
        <f>SUM(M88:P88)</f>
        <v>1060</v>
      </c>
      <c r="R88" s="1372"/>
      <c r="S88" s="1371"/>
      <c r="T88" s="1347">
        <f>J88-Q88</f>
        <v>0</v>
      </c>
      <c r="U88" s="1427"/>
      <c r="V88" s="1373"/>
      <c r="W88" s="1373"/>
      <c r="X88" s="1244"/>
    </row>
    <row r="89" spans="1:24" hidden="1">
      <c r="A89" s="1323" t="s">
        <v>5976</v>
      </c>
      <c r="B89" s="1362" t="s">
        <v>2819</v>
      </c>
      <c r="C89" s="1363"/>
      <c r="D89" s="1364" t="s">
        <v>242</v>
      </c>
      <c r="E89" s="1365">
        <f>2/3</f>
        <v>0.66666666666666663</v>
      </c>
      <c r="F89" s="1365">
        <f>I89*F3</f>
        <v>10</v>
      </c>
      <c r="G89" s="1366">
        <f>E89*$G$3</f>
        <v>66.666666666666657</v>
      </c>
      <c r="H89" s="1366"/>
      <c r="I89" s="1366">
        <f>$I$3*E89</f>
        <v>100</v>
      </c>
      <c r="J89" s="1367">
        <f>SUM(F89:I89)</f>
        <v>176.66666666666666</v>
      </c>
      <c r="K89" s="1368"/>
      <c r="L89" s="1369"/>
      <c r="M89" s="1370">
        <f>P89*$M$3</f>
        <v>10</v>
      </c>
      <c r="N89" s="1371">
        <f>E89*$N$3</f>
        <v>66.666666666666657</v>
      </c>
      <c r="P89" s="1371">
        <f>$P$3*E89</f>
        <v>100</v>
      </c>
      <c r="Q89" s="1371">
        <f>SUM(M89:P89)</f>
        <v>176.66666666666666</v>
      </c>
      <c r="R89" s="1372"/>
      <c r="S89" s="1371"/>
      <c r="T89" s="1347">
        <f>J89-Q89</f>
        <v>0</v>
      </c>
      <c r="U89" s="1427"/>
      <c r="V89" s="1373"/>
      <c r="W89" s="1373"/>
      <c r="X89" s="1244"/>
    </row>
    <row r="90" spans="1:24" hidden="1">
      <c r="A90" s="1323" t="s">
        <v>7781</v>
      </c>
      <c r="B90" s="1362"/>
      <c r="C90" s="1363"/>
      <c r="D90" s="1364"/>
      <c r="E90" s="1365"/>
      <c r="F90" s="1365"/>
      <c r="G90" s="1428"/>
      <c r="H90" s="1428"/>
      <c r="I90" s="1428"/>
      <c r="J90" s="1430"/>
      <c r="K90" s="1431"/>
      <c r="L90" s="1432"/>
      <c r="M90" s="1370"/>
      <c r="N90" s="1429"/>
      <c r="P90" s="1429"/>
      <c r="Q90" s="1429"/>
      <c r="R90" s="1433"/>
      <c r="S90" s="1429"/>
      <c r="T90" s="1347"/>
      <c r="U90" s="1434"/>
      <c r="V90" s="1435"/>
      <c r="W90" s="1435"/>
      <c r="X90" s="1244"/>
    </row>
    <row r="91" spans="1:24">
      <c r="A91" s="1323" t="s">
        <v>530</v>
      </c>
      <c r="B91" s="7" t="s">
        <v>531</v>
      </c>
      <c r="C91" s="1363">
        <v>26</v>
      </c>
      <c r="D91" s="1364" t="s">
        <v>242</v>
      </c>
      <c r="E91" s="1365">
        <f>SUM(E92:E96)</f>
        <v>31</v>
      </c>
      <c r="F91" s="1365">
        <f>SUM(F92:F96)</f>
        <v>390</v>
      </c>
      <c r="G91" s="1366">
        <f>SUM(G92:G96)</f>
        <v>3100</v>
      </c>
      <c r="H91" s="1366"/>
      <c r="I91" s="1366">
        <f>SUM(I92:I96)</f>
        <v>3900</v>
      </c>
      <c r="J91" s="1367">
        <f>SUM(J92:J96)</f>
        <v>7390</v>
      </c>
      <c r="K91" s="1464">
        <f>C91*J91</f>
        <v>192140</v>
      </c>
      <c r="L91" s="1641"/>
      <c r="M91" s="1370">
        <f>SUM(M92:M96)</f>
        <v>390</v>
      </c>
      <c r="N91" s="1371">
        <f>SUM(N92:N96)</f>
        <v>3100</v>
      </c>
      <c r="P91" s="1371">
        <f>SUM(P92:P96)</f>
        <v>3900</v>
      </c>
      <c r="Q91" s="1371">
        <f>SUM(Q92:Q96)</f>
        <v>7390</v>
      </c>
      <c r="R91" s="1465">
        <f>C91*Q91</f>
        <v>192140</v>
      </c>
      <c r="T91" s="1642">
        <f>J91-Q91</f>
        <v>0</v>
      </c>
      <c r="U91" s="1466">
        <f>K91-R91</f>
        <v>0</v>
      </c>
      <c r="V91" s="1373"/>
      <c r="W91" s="1373"/>
      <c r="X91" s="1244"/>
    </row>
    <row r="92" spans="1:24" hidden="1">
      <c r="A92" s="1323" t="s">
        <v>5976</v>
      </c>
      <c r="B92" s="1362" t="s">
        <v>2813</v>
      </c>
      <c r="C92" s="1363"/>
      <c r="D92" s="1364" t="s">
        <v>242</v>
      </c>
      <c r="E92" s="1365">
        <v>16</v>
      </c>
      <c r="F92" s="1365">
        <f>I92*F3</f>
        <v>240</v>
      </c>
      <c r="G92" s="1366">
        <f>E92*$G$3</f>
        <v>1600</v>
      </c>
      <c r="H92" s="1366"/>
      <c r="I92" s="1366">
        <f>$I$3*E92</f>
        <v>2400</v>
      </c>
      <c r="J92" s="1367">
        <f>SUM(F92:I92)</f>
        <v>4240</v>
      </c>
      <c r="K92" s="1368"/>
      <c r="L92" s="1369"/>
      <c r="M92" s="1370">
        <f>P92*$M$3</f>
        <v>240</v>
      </c>
      <c r="N92" s="1371">
        <f>E92*$N$3</f>
        <v>1600</v>
      </c>
      <c r="P92" s="1371">
        <f>$P$3*E92</f>
        <v>2400</v>
      </c>
      <c r="Q92" s="1371">
        <f>SUM(M92:P92)</f>
        <v>4240</v>
      </c>
      <c r="R92" s="1372"/>
      <c r="S92" s="1371"/>
      <c r="T92" s="1347">
        <f>J92-Q92</f>
        <v>0</v>
      </c>
      <c r="U92" s="1427"/>
      <c r="V92" s="1373"/>
      <c r="W92" s="1373"/>
      <c r="X92" s="1244"/>
    </row>
    <row r="93" spans="1:24" hidden="1">
      <c r="A93" s="1323" t="s">
        <v>5976</v>
      </c>
      <c r="B93" s="185" t="s">
        <v>2815</v>
      </c>
      <c r="C93" s="1363"/>
      <c r="D93" s="1364" t="s">
        <v>242</v>
      </c>
      <c r="E93" s="1365">
        <v>5</v>
      </c>
      <c r="F93" s="1365"/>
      <c r="G93" s="1366">
        <f>E93*$G$3</f>
        <v>500</v>
      </c>
      <c r="H93" s="1366"/>
      <c r="I93" s="1428">
        <v>0</v>
      </c>
      <c r="J93" s="1367">
        <f>SUM(F93:I93)</f>
        <v>500</v>
      </c>
      <c r="K93" s="1368"/>
      <c r="L93" s="1369"/>
      <c r="M93" s="1370"/>
      <c r="N93" s="1371">
        <f>E93*$N$3</f>
        <v>500</v>
      </c>
      <c r="P93" s="1429">
        <v>0</v>
      </c>
      <c r="Q93" s="1371">
        <f>SUM(M93:P93)</f>
        <v>500</v>
      </c>
      <c r="R93" s="1372"/>
      <c r="S93" s="1371"/>
      <c r="T93" s="1347">
        <f>J93-Q93</f>
        <v>0</v>
      </c>
      <c r="U93" s="1427"/>
      <c r="V93" s="1373"/>
      <c r="W93" s="1373"/>
      <c r="X93" s="1244"/>
    </row>
    <row r="94" spans="1:24" hidden="1">
      <c r="A94" s="1323" t="s">
        <v>5976</v>
      </c>
      <c r="B94" s="1362" t="s">
        <v>2834</v>
      </c>
      <c r="C94" s="1363"/>
      <c r="D94" s="1364" t="s">
        <v>242</v>
      </c>
      <c r="E94" s="1365">
        <v>2</v>
      </c>
      <c r="F94" s="1365">
        <f>I94*F3</f>
        <v>30</v>
      </c>
      <c r="G94" s="1366">
        <f>E94*$G$3</f>
        <v>200</v>
      </c>
      <c r="H94" s="1366"/>
      <c r="I94" s="1366">
        <f>$I$3*E94</f>
        <v>300</v>
      </c>
      <c r="J94" s="1367">
        <f>SUM(F94:I94)</f>
        <v>530</v>
      </c>
      <c r="K94" s="1368"/>
      <c r="L94" s="1369"/>
      <c r="M94" s="1370">
        <f>P94*$M$3</f>
        <v>30</v>
      </c>
      <c r="N94" s="1371">
        <f>E94*$N$3</f>
        <v>200</v>
      </c>
      <c r="P94" s="1371">
        <f>$P$3*E94</f>
        <v>300</v>
      </c>
      <c r="Q94" s="1371">
        <f>SUM(M94:P94)</f>
        <v>530</v>
      </c>
      <c r="R94" s="1372"/>
      <c r="S94" s="1371"/>
      <c r="T94" s="1347">
        <f>J94-Q94</f>
        <v>0</v>
      </c>
      <c r="U94" s="1427"/>
      <c r="V94" s="1373"/>
      <c r="W94" s="1373"/>
      <c r="X94" s="1244"/>
    </row>
    <row r="95" spans="1:24" hidden="1">
      <c r="A95" s="1323" t="s">
        <v>5976</v>
      </c>
      <c r="B95" s="1362" t="s">
        <v>2817</v>
      </c>
      <c r="C95" s="1363"/>
      <c r="D95" s="1364" t="s">
        <v>242</v>
      </c>
      <c r="E95" s="1365">
        <v>6</v>
      </c>
      <c r="F95" s="1365">
        <f>I95*F3</f>
        <v>90</v>
      </c>
      <c r="G95" s="1366">
        <f>E95*$G$3</f>
        <v>600</v>
      </c>
      <c r="H95" s="1366"/>
      <c r="I95" s="1366">
        <f>$I$3*E95</f>
        <v>900</v>
      </c>
      <c r="J95" s="1367">
        <f>SUM(F95:I95)</f>
        <v>1590</v>
      </c>
      <c r="K95" s="1368"/>
      <c r="L95" s="1369"/>
      <c r="M95" s="1370">
        <f>P95*$M$3</f>
        <v>90</v>
      </c>
      <c r="N95" s="1371">
        <f>E95*$N$3</f>
        <v>600</v>
      </c>
      <c r="P95" s="1371">
        <f>$P$3*E95</f>
        <v>900</v>
      </c>
      <c r="Q95" s="1371">
        <f>SUM(M95:P95)</f>
        <v>1590</v>
      </c>
      <c r="R95" s="1372"/>
      <c r="S95" s="1371"/>
      <c r="T95" s="1347">
        <f>J95-Q95</f>
        <v>0</v>
      </c>
      <c r="U95" s="1427"/>
      <c r="V95" s="1373"/>
      <c r="W95" s="1373"/>
      <c r="X95" s="1244"/>
    </row>
    <row r="96" spans="1:24" hidden="1">
      <c r="A96" s="1323" t="s">
        <v>5976</v>
      </c>
      <c r="B96" s="1362" t="s">
        <v>2819</v>
      </c>
      <c r="C96" s="1363"/>
      <c r="D96" s="1364" t="s">
        <v>242</v>
      </c>
      <c r="E96" s="1365">
        <v>2</v>
      </c>
      <c r="F96" s="1365">
        <f>I96*F3</f>
        <v>30</v>
      </c>
      <c r="G96" s="1366">
        <f>E96*$G$3</f>
        <v>200</v>
      </c>
      <c r="H96" s="1366"/>
      <c r="I96" s="1366">
        <f>$I$3*E96</f>
        <v>300</v>
      </c>
      <c r="J96" s="1367">
        <f>SUM(F96:I96)</f>
        <v>530</v>
      </c>
      <c r="K96" s="1368"/>
      <c r="L96" s="1369"/>
      <c r="M96" s="1370">
        <f>P96*$M$3</f>
        <v>30</v>
      </c>
      <c r="N96" s="1371">
        <f>E96*$N$3</f>
        <v>200</v>
      </c>
      <c r="P96" s="1371">
        <f>$P$3*E96</f>
        <v>300</v>
      </c>
      <c r="Q96" s="1371">
        <f>SUM(M96:P96)</f>
        <v>530</v>
      </c>
      <c r="R96" s="1372"/>
      <c r="S96" s="1371"/>
      <c r="T96" s="1347">
        <f>J96-Q96</f>
        <v>0</v>
      </c>
      <c r="U96" s="1427"/>
      <c r="V96" s="1373"/>
      <c r="W96" s="1373"/>
      <c r="X96" s="1244"/>
    </row>
    <row r="97" spans="1:24" hidden="1">
      <c r="A97" s="1323" t="s">
        <v>7781</v>
      </c>
      <c r="B97" s="1362"/>
      <c r="C97" s="1363"/>
      <c r="D97" s="1364"/>
      <c r="E97" s="1365"/>
      <c r="F97" s="1365"/>
      <c r="G97" s="1428"/>
      <c r="H97" s="1428"/>
      <c r="I97" s="1428"/>
      <c r="J97" s="1430"/>
      <c r="K97" s="1431"/>
      <c r="L97" s="1432"/>
      <c r="M97" s="1370"/>
      <c r="N97" s="1429"/>
      <c r="P97" s="1429"/>
      <c r="Q97" s="1429"/>
      <c r="R97" s="1433"/>
      <c r="S97" s="1429"/>
      <c r="T97" s="1347"/>
      <c r="U97" s="1434"/>
      <c r="V97" s="1435"/>
      <c r="W97" s="1435"/>
      <c r="X97" s="1244"/>
    </row>
    <row r="98" spans="1:24" s="906" customFormat="1">
      <c r="A98" s="1436" t="s">
        <v>3325</v>
      </c>
      <c r="B98" s="906" t="s">
        <v>3421</v>
      </c>
      <c r="C98" s="1438">
        <v>0</v>
      </c>
      <c r="D98" s="1439" t="s">
        <v>242</v>
      </c>
      <c r="E98" s="1440">
        <f>SUM(E99:E103)</f>
        <v>269</v>
      </c>
      <c r="F98" s="1440">
        <f>SUM(F99:F103)</f>
        <v>2910</v>
      </c>
      <c r="G98" s="1649">
        <f>SUM(G99:G103)</f>
        <v>26900</v>
      </c>
      <c r="H98" s="1649"/>
      <c r="I98" s="1649">
        <f>SUM(I99:I103)</f>
        <v>29100</v>
      </c>
      <c r="J98" s="1444">
        <f>SUM(J99:J103)</f>
        <v>58910</v>
      </c>
      <c r="K98" s="1464">
        <f>C98*J98</f>
        <v>0</v>
      </c>
      <c r="L98" s="1641"/>
      <c r="M98" s="1441">
        <f>SUM(M99:M103)</f>
        <v>2910</v>
      </c>
      <c r="N98" s="1448">
        <f>SUM(N99:N103)</f>
        <v>26900</v>
      </c>
      <c r="O98" s="1442"/>
      <c r="P98" s="1448">
        <f>SUM(P99:P103)</f>
        <v>29100</v>
      </c>
      <c r="Q98" s="1448">
        <f>SUM(Q99:Q103)</f>
        <v>58910</v>
      </c>
      <c r="R98" s="1465">
        <f>C98*Q98</f>
        <v>0</v>
      </c>
      <c r="S98" s="1425"/>
      <c r="T98" s="1642">
        <f>J98-Q98</f>
        <v>0</v>
      </c>
      <c r="U98" s="1466">
        <f>K98-R98</f>
        <v>0</v>
      </c>
      <c r="V98" s="1450"/>
      <c r="W98" s="1450"/>
      <c r="X98" s="1244"/>
    </row>
    <row r="99" spans="1:24" s="906" customFormat="1" hidden="1">
      <c r="A99" s="1323" t="s">
        <v>5976</v>
      </c>
      <c r="B99" s="1437" t="s">
        <v>2813</v>
      </c>
      <c r="C99" s="1438"/>
      <c r="D99" s="1439" t="s">
        <v>242</v>
      </c>
      <c r="E99" s="1440">
        <v>150</v>
      </c>
      <c r="F99" s="1440">
        <f>I99*F3</f>
        <v>2250</v>
      </c>
      <c r="G99" s="1443">
        <f>E99*$G$3</f>
        <v>15000</v>
      </c>
      <c r="H99" s="1443"/>
      <c r="I99" s="1443">
        <f>$I$3*E99</f>
        <v>22500</v>
      </c>
      <c r="J99" s="1444">
        <f>SUM(F99:I99)</f>
        <v>39750</v>
      </c>
      <c r="K99" s="1445"/>
      <c r="L99" s="1446"/>
      <c r="M99" s="1441">
        <f>P99*$M$3</f>
        <v>2250</v>
      </c>
      <c r="N99" s="1447">
        <f>E99*$N$3</f>
        <v>15000</v>
      </c>
      <c r="O99" s="1442"/>
      <c r="P99" s="1447">
        <f>$P$3*E99</f>
        <v>22500</v>
      </c>
      <c r="Q99" s="1448">
        <f>SUM(M99:P99)</f>
        <v>39750</v>
      </c>
      <c r="R99" s="1449"/>
      <c r="S99" s="1448"/>
      <c r="T99" s="1347">
        <f>J99-Q99</f>
        <v>0</v>
      </c>
      <c r="U99" s="1348"/>
      <c r="V99" s="1450"/>
      <c r="W99" s="1450"/>
      <c r="X99" s="927"/>
    </row>
    <row r="100" spans="1:24" s="906" customFormat="1" hidden="1">
      <c r="A100" s="1323" t="s">
        <v>5976</v>
      </c>
      <c r="B100" s="1437" t="s">
        <v>2815</v>
      </c>
      <c r="C100" s="1438"/>
      <c r="D100" s="1439" t="s">
        <v>242</v>
      </c>
      <c r="E100" s="1440">
        <v>75</v>
      </c>
      <c r="F100" s="1440"/>
      <c r="G100" s="1443">
        <f>E100*$G$3</f>
        <v>7500</v>
      </c>
      <c r="H100" s="1443"/>
      <c r="I100" s="1443">
        <v>0</v>
      </c>
      <c r="J100" s="1444">
        <f>SUM(F100:I100)</f>
        <v>7500</v>
      </c>
      <c r="K100" s="1445"/>
      <c r="L100" s="1446"/>
      <c r="M100" s="1441"/>
      <c r="N100" s="1447">
        <f>E100*$N$3</f>
        <v>7500</v>
      </c>
      <c r="O100" s="1442"/>
      <c r="P100" s="1447">
        <v>0</v>
      </c>
      <c r="Q100" s="1448">
        <f>SUM(M100:P100)</f>
        <v>7500</v>
      </c>
      <c r="R100" s="1449"/>
      <c r="S100" s="1448"/>
      <c r="T100" s="1347">
        <f>J100-Q100</f>
        <v>0</v>
      </c>
      <c r="U100" s="1348"/>
      <c r="V100" s="1450"/>
      <c r="W100" s="1450"/>
      <c r="X100" s="927"/>
    </row>
    <row r="101" spans="1:24" s="906" customFormat="1" hidden="1">
      <c r="A101" s="1323" t="s">
        <v>5976</v>
      </c>
      <c r="B101" s="1437" t="s">
        <v>2834</v>
      </c>
      <c r="C101" s="1438"/>
      <c r="D101" s="1439" t="s">
        <v>242</v>
      </c>
      <c r="E101" s="1440">
        <v>4</v>
      </c>
      <c r="F101" s="1440">
        <f>I101*F3</f>
        <v>60</v>
      </c>
      <c r="G101" s="1443">
        <f>E101*$G$3</f>
        <v>400</v>
      </c>
      <c r="H101" s="1443"/>
      <c r="I101" s="1443">
        <f>$I$3*E101</f>
        <v>600</v>
      </c>
      <c r="J101" s="1444">
        <f>SUM(F101:I101)</f>
        <v>1060</v>
      </c>
      <c r="K101" s="1445"/>
      <c r="L101" s="1446"/>
      <c r="M101" s="1441">
        <f>P101*$M$3</f>
        <v>60</v>
      </c>
      <c r="N101" s="1447">
        <f>E101*$N$3</f>
        <v>400</v>
      </c>
      <c r="O101" s="1442"/>
      <c r="P101" s="1447">
        <f>$P$3*E101</f>
        <v>600</v>
      </c>
      <c r="Q101" s="1448">
        <f>SUM(M101:P101)</f>
        <v>1060</v>
      </c>
      <c r="R101" s="1449"/>
      <c r="S101" s="1448"/>
      <c r="T101" s="1347">
        <f>J101-Q101</f>
        <v>0</v>
      </c>
      <c r="U101" s="1348"/>
      <c r="V101" s="1450"/>
      <c r="W101" s="1450"/>
      <c r="X101" s="927"/>
    </row>
    <row r="102" spans="1:24" s="906" customFormat="1" hidden="1">
      <c r="A102" s="1323" t="s">
        <v>5976</v>
      </c>
      <c r="B102" s="1437" t="s">
        <v>2817</v>
      </c>
      <c r="C102" s="1438"/>
      <c r="D102" s="1439" t="s">
        <v>242</v>
      </c>
      <c r="E102" s="1440">
        <v>20</v>
      </c>
      <c r="F102" s="1440">
        <f>I102*F3</f>
        <v>300</v>
      </c>
      <c r="G102" s="1443">
        <f>E102*$G$3</f>
        <v>2000</v>
      </c>
      <c r="H102" s="1443"/>
      <c r="I102" s="1443">
        <f>$I$3*E102</f>
        <v>3000</v>
      </c>
      <c r="J102" s="1444">
        <f>SUM(F102:I102)</f>
        <v>5300</v>
      </c>
      <c r="K102" s="1445"/>
      <c r="L102" s="1446"/>
      <c r="M102" s="1441">
        <f>P102*$M$3</f>
        <v>300</v>
      </c>
      <c r="N102" s="1447">
        <f>E102*$N$3</f>
        <v>2000</v>
      </c>
      <c r="O102" s="1442"/>
      <c r="P102" s="1447">
        <f>$P$3*E102</f>
        <v>3000</v>
      </c>
      <c r="Q102" s="1448">
        <f>SUM(M102:P102)</f>
        <v>5300</v>
      </c>
      <c r="R102" s="1449"/>
      <c r="S102" s="1448"/>
      <c r="T102" s="1347">
        <f>J102-Q102</f>
        <v>0</v>
      </c>
      <c r="U102" s="1348"/>
      <c r="V102" s="1450"/>
      <c r="W102" s="1450"/>
      <c r="X102" s="927"/>
    </row>
    <row r="103" spans="1:24" s="906" customFormat="1" hidden="1">
      <c r="A103" s="1323" t="s">
        <v>5976</v>
      </c>
      <c r="B103" s="1437" t="s">
        <v>2819</v>
      </c>
      <c r="C103" s="1438"/>
      <c r="D103" s="1439" t="s">
        <v>242</v>
      </c>
      <c r="E103" s="1440">
        <v>20</v>
      </c>
      <c r="F103" s="1440">
        <f>I103*F3</f>
        <v>300</v>
      </c>
      <c r="G103" s="1443">
        <f>E103*$G$3</f>
        <v>2000</v>
      </c>
      <c r="H103" s="1443"/>
      <c r="I103" s="1443">
        <f>$I$3*E103</f>
        <v>3000</v>
      </c>
      <c r="J103" s="1444">
        <f>SUM(F103:I103)</f>
        <v>5300</v>
      </c>
      <c r="K103" s="1445"/>
      <c r="L103" s="1446"/>
      <c r="M103" s="1441">
        <f>P103*$M$3</f>
        <v>300</v>
      </c>
      <c r="N103" s="1447">
        <f>E103*$N$3</f>
        <v>2000</v>
      </c>
      <c r="O103" s="1442"/>
      <c r="P103" s="1447">
        <f>$P$3*E103</f>
        <v>3000</v>
      </c>
      <c r="Q103" s="1448">
        <f>SUM(M103:P103)</f>
        <v>5300</v>
      </c>
      <c r="R103" s="1449"/>
      <c r="S103" s="1448"/>
      <c r="T103" s="1347">
        <f>J103-Q103</f>
        <v>0</v>
      </c>
      <c r="U103" s="1348"/>
      <c r="V103" s="1450"/>
      <c r="W103" s="1450"/>
      <c r="X103" s="927"/>
    </row>
    <row r="104" spans="1:24" hidden="1">
      <c r="A104" s="1323" t="s">
        <v>7781</v>
      </c>
      <c r="B104" s="1362"/>
      <c r="C104" s="1363"/>
      <c r="D104" s="1364"/>
      <c r="E104" s="1374"/>
      <c r="F104" s="1374"/>
      <c r="G104" s="1451"/>
      <c r="H104" s="1451"/>
      <c r="I104" s="1451"/>
      <c r="J104" s="1452"/>
      <c r="K104" s="1453"/>
      <c r="L104" s="1454"/>
      <c r="M104" s="1379"/>
      <c r="N104" s="1455"/>
      <c r="P104" s="1455"/>
      <c r="Q104" s="1455"/>
      <c r="R104" s="1456"/>
      <c r="S104" s="1455"/>
      <c r="T104" s="1347"/>
      <c r="U104" s="1348"/>
      <c r="V104" s="1457"/>
      <c r="W104" s="1457"/>
      <c r="X104" s="927"/>
    </row>
    <row r="105" spans="1:24" ht="29">
      <c r="A105" s="1323" t="s">
        <v>188</v>
      </c>
      <c r="B105" s="1062" t="s">
        <v>2841</v>
      </c>
      <c r="C105" s="1363">
        <v>12</v>
      </c>
      <c r="D105" s="1393" t="s">
        <v>242</v>
      </c>
      <c r="E105" s="1394">
        <f>SUM(E106:E110)</f>
        <v>15.5</v>
      </c>
      <c r="F105" s="1394">
        <f>SUM(F106:F110)</f>
        <v>195</v>
      </c>
      <c r="G105" s="1395">
        <f>SUM(G106:G110)</f>
        <v>1550</v>
      </c>
      <c r="H105" s="1395"/>
      <c r="I105" s="1395">
        <f>SUM(I106:I110)</f>
        <v>1950</v>
      </c>
      <c r="J105" s="1396">
        <f>SUM(J106:J110)</f>
        <v>3695</v>
      </c>
      <c r="K105" s="1464">
        <f>C105*J105</f>
        <v>44340</v>
      </c>
      <c r="L105" s="1641"/>
      <c r="M105" s="1408">
        <f>SUM(M106:M110)</f>
        <v>195</v>
      </c>
      <c r="N105" s="1400">
        <f>SUM(N106:N110)</f>
        <v>1550</v>
      </c>
      <c r="P105" s="1400">
        <f>SUM(P106:P110)</f>
        <v>1950</v>
      </c>
      <c r="Q105" s="1400">
        <f>SUM(Q106:Q110)</f>
        <v>3695</v>
      </c>
      <c r="R105" s="1465">
        <f>C105*Q105</f>
        <v>44340</v>
      </c>
      <c r="T105" s="1642">
        <f>J105-Q105</f>
        <v>0</v>
      </c>
      <c r="U105" s="1466">
        <f>K105-R105</f>
        <v>0</v>
      </c>
      <c r="V105" s="1405"/>
      <c r="W105" s="1405"/>
      <c r="X105" s="1244"/>
    </row>
    <row r="106" spans="1:24" hidden="1">
      <c r="A106" s="1323" t="s">
        <v>5976</v>
      </c>
      <c r="B106" s="1362" t="s">
        <v>2832</v>
      </c>
      <c r="C106" s="1363"/>
      <c r="D106" s="1393" t="s">
        <v>242</v>
      </c>
      <c r="E106" s="1394">
        <v>2</v>
      </c>
      <c r="F106" s="1394">
        <f>I106*F3</f>
        <v>30</v>
      </c>
      <c r="G106" s="1366">
        <f>E106*$G$3</f>
        <v>200</v>
      </c>
      <c r="H106" s="1366"/>
      <c r="I106" s="1366">
        <f>$I$3*E106</f>
        <v>300</v>
      </c>
      <c r="J106" s="1396">
        <f>SUM(F106:I106)</f>
        <v>530</v>
      </c>
      <c r="K106" s="1397"/>
      <c r="L106" s="1398"/>
      <c r="M106" s="1370">
        <f>P106*$M$3</f>
        <v>30</v>
      </c>
      <c r="N106" s="1371">
        <f>E106*$N$3</f>
        <v>200</v>
      </c>
      <c r="P106" s="1371">
        <f>$P$3*E106</f>
        <v>300</v>
      </c>
      <c r="Q106" s="1400">
        <f>SUM(M106:P106)</f>
        <v>530</v>
      </c>
      <c r="R106" s="1402"/>
      <c r="S106" s="1400"/>
      <c r="T106" s="1347">
        <f>J106-Q106</f>
        <v>0</v>
      </c>
      <c r="U106" s="1348"/>
      <c r="V106" s="1405"/>
      <c r="W106" s="1405"/>
      <c r="X106" s="1244"/>
    </row>
    <row r="107" spans="1:24" hidden="1">
      <c r="A107" s="1323" t="s">
        <v>5976</v>
      </c>
      <c r="B107" s="1362" t="s">
        <v>2842</v>
      </c>
      <c r="C107" s="1363"/>
      <c r="D107" s="1393" t="s">
        <v>242</v>
      </c>
      <c r="E107" s="1394">
        <v>4</v>
      </c>
      <c r="F107" s="1394">
        <f>I107*F3</f>
        <v>60</v>
      </c>
      <c r="G107" s="1366">
        <f>E107*$G$3</f>
        <v>400</v>
      </c>
      <c r="H107" s="1366"/>
      <c r="I107" s="1366">
        <f>$I$3*E107</f>
        <v>600</v>
      </c>
      <c r="J107" s="1396">
        <f>SUM(F107:I107)</f>
        <v>1060</v>
      </c>
      <c r="K107" s="1397"/>
      <c r="L107" s="1398"/>
      <c r="M107" s="1370">
        <f>P107*$M$3</f>
        <v>60</v>
      </c>
      <c r="N107" s="1371">
        <f>E107*$N$3</f>
        <v>400</v>
      </c>
      <c r="P107" s="1371">
        <f>$P$3*E107</f>
        <v>600</v>
      </c>
      <c r="Q107" s="1400">
        <f>SUM(M107:P107)</f>
        <v>1060</v>
      </c>
      <c r="R107" s="1402"/>
      <c r="S107" s="1400"/>
      <c r="T107" s="1347">
        <f>J107-Q107</f>
        <v>0</v>
      </c>
      <c r="U107" s="1348"/>
      <c r="V107" s="1405"/>
      <c r="W107" s="1405"/>
      <c r="X107" s="1244"/>
    </row>
    <row r="108" spans="1:24" hidden="1">
      <c r="A108" s="1323" t="s">
        <v>5976</v>
      </c>
      <c r="B108" s="1362" t="s">
        <v>2815</v>
      </c>
      <c r="C108" s="1363"/>
      <c r="D108" s="1393" t="s">
        <v>242</v>
      </c>
      <c r="E108" s="1394">
        <v>2.5</v>
      </c>
      <c r="F108" s="1394"/>
      <c r="G108" s="1366">
        <f>E108*$G$3</f>
        <v>250</v>
      </c>
      <c r="H108" s="1366"/>
      <c r="I108" s="1395">
        <v>0</v>
      </c>
      <c r="J108" s="1396">
        <f>SUM(F108:I108)</f>
        <v>250</v>
      </c>
      <c r="K108" s="1397"/>
      <c r="L108" s="1398"/>
      <c r="M108" s="1408"/>
      <c r="N108" s="1371">
        <f>E108*$N$3</f>
        <v>250</v>
      </c>
      <c r="P108" s="1400">
        <v>0</v>
      </c>
      <c r="Q108" s="1400">
        <f>SUM(M108:P108)</f>
        <v>250</v>
      </c>
      <c r="R108" s="1402"/>
      <c r="S108" s="1400"/>
      <c r="T108" s="1347">
        <f>J108-Q108</f>
        <v>0</v>
      </c>
      <c r="U108" s="1348"/>
      <c r="V108" s="1405"/>
      <c r="W108" s="1405"/>
      <c r="X108" s="1244"/>
    </row>
    <row r="109" spans="1:24" hidden="1">
      <c r="A109" s="1323" t="s">
        <v>5976</v>
      </c>
      <c r="B109" s="1362" t="s">
        <v>2817</v>
      </c>
      <c r="C109" s="1363"/>
      <c r="D109" s="1393" t="s">
        <v>242</v>
      </c>
      <c r="E109" s="1394">
        <v>5</v>
      </c>
      <c r="F109" s="1394">
        <f>I109*F3</f>
        <v>75</v>
      </c>
      <c r="G109" s="1366">
        <f>E109*$G$3</f>
        <v>500</v>
      </c>
      <c r="H109" s="1366"/>
      <c r="I109" s="1366">
        <f>$I$3*E109</f>
        <v>750</v>
      </c>
      <c r="J109" s="1396">
        <f>SUM(F109:I109)</f>
        <v>1325</v>
      </c>
      <c r="K109" s="1397"/>
      <c r="L109" s="1398"/>
      <c r="M109" s="1370">
        <f>P109*$M$3</f>
        <v>75</v>
      </c>
      <c r="N109" s="1371">
        <f>E109*$N$3</f>
        <v>500</v>
      </c>
      <c r="P109" s="1371">
        <f>$P$3*E109</f>
        <v>750</v>
      </c>
      <c r="Q109" s="1400">
        <f>SUM(M109:P109)</f>
        <v>1325</v>
      </c>
      <c r="R109" s="1402"/>
      <c r="S109" s="1400"/>
      <c r="T109" s="1347">
        <f>J109-Q109</f>
        <v>0</v>
      </c>
      <c r="U109" s="1348"/>
      <c r="V109" s="1405"/>
      <c r="W109" s="1405"/>
      <c r="X109" s="1244"/>
    </row>
    <row r="110" spans="1:24" hidden="1">
      <c r="A110" s="1323" t="s">
        <v>5976</v>
      </c>
      <c r="B110" s="1362" t="s">
        <v>2819</v>
      </c>
      <c r="C110" s="1363"/>
      <c r="D110" s="1393" t="s">
        <v>242</v>
      </c>
      <c r="E110" s="1394">
        <v>2</v>
      </c>
      <c r="F110" s="1394">
        <f>I110*F3</f>
        <v>30</v>
      </c>
      <c r="G110" s="1366">
        <f>E110*$G$3</f>
        <v>200</v>
      </c>
      <c r="H110" s="1366"/>
      <c r="I110" s="1366">
        <f>$I$3*E110</f>
        <v>300</v>
      </c>
      <c r="J110" s="1396">
        <f>SUM(F110:I110)</f>
        <v>530</v>
      </c>
      <c r="K110" s="1397"/>
      <c r="L110" s="1398"/>
      <c r="M110" s="1370">
        <f>P110*$M$3</f>
        <v>30</v>
      </c>
      <c r="N110" s="1371">
        <f>E110*$N$3</f>
        <v>200</v>
      </c>
      <c r="P110" s="1371">
        <f>$P$3*E110</f>
        <v>300</v>
      </c>
      <c r="Q110" s="1400">
        <f>SUM(M110:P110)</f>
        <v>530</v>
      </c>
      <c r="R110" s="1402"/>
      <c r="S110" s="1400"/>
      <c r="T110" s="1347">
        <f>J110-Q110</f>
        <v>0</v>
      </c>
      <c r="U110" s="1348"/>
      <c r="V110" s="1405"/>
      <c r="W110" s="1405"/>
      <c r="X110" s="1244"/>
    </row>
    <row r="111" spans="1:24" hidden="1">
      <c r="A111" s="1323" t="s">
        <v>7781</v>
      </c>
      <c r="B111" s="1362"/>
      <c r="C111" s="1363"/>
      <c r="D111" s="1364"/>
      <c r="E111" s="1365"/>
      <c r="F111" s="1365"/>
      <c r="G111" s="1366"/>
      <c r="H111" s="1366"/>
      <c r="I111" s="1366"/>
      <c r="J111" s="1367"/>
      <c r="K111" s="1368"/>
      <c r="L111" s="1369"/>
      <c r="M111" s="1370"/>
      <c r="N111" s="1371"/>
      <c r="P111" s="1371"/>
      <c r="Q111" s="1371"/>
      <c r="R111" s="1372"/>
      <c r="S111" s="1371"/>
      <c r="T111" s="1347"/>
      <c r="U111" s="1348"/>
      <c r="V111" s="1373"/>
      <c r="W111" s="1373"/>
      <c r="X111" s="1244"/>
    </row>
    <row r="112" spans="1:24" ht="29">
      <c r="A112" s="1323" t="s">
        <v>178</v>
      </c>
      <c r="B112" s="7" t="s">
        <v>1948</v>
      </c>
      <c r="C112" s="1363">
        <v>4</v>
      </c>
      <c r="D112" s="1364" t="s">
        <v>242</v>
      </c>
      <c r="E112" s="1365">
        <f>SUM(E113:E117)</f>
        <v>42.724999999999994</v>
      </c>
      <c r="F112" s="1365">
        <f>SUM(F113:F117)</f>
        <v>564.75</v>
      </c>
      <c r="G112" s="1366">
        <f>SUM(G113:G117)</f>
        <v>4272.5</v>
      </c>
      <c r="H112" s="1366"/>
      <c r="I112" s="1366">
        <f>SUM(I113:I117)</f>
        <v>5647.5</v>
      </c>
      <c r="J112" s="1367">
        <f>SUM(J113:J117)</f>
        <v>10484.75</v>
      </c>
      <c r="K112" s="1464">
        <f>C112*J112</f>
        <v>41939</v>
      </c>
      <c r="L112" s="1641"/>
      <c r="M112" s="1370">
        <f>SUM(M113:M117)</f>
        <v>564.75</v>
      </c>
      <c r="N112" s="1371">
        <f>SUM(N113:N117)</f>
        <v>4272.5</v>
      </c>
      <c r="P112" s="1371">
        <f>SUM(P113:P117)</f>
        <v>5647.5</v>
      </c>
      <c r="Q112" s="1371">
        <f>SUM(Q113:Q117)</f>
        <v>10484.75</v>
      </c>
      <c r="R112" s="1465">
        <f>C112*Q112</f>
        <v>41939</v>
      </c>
      <c r="T112" s="1642">
        <f>J112-Q112</f>
        <v>0</v>
      </c>
      <c r="U112" s="1466">
        <f>K112-R112</f>
        <v>0</v>
      </c>
      <c r="V112" s="1373"/>
      <c r="W112" s="1373"/>
      <c r="X112" s="1244"/>
    </row>
    <row r="113" spans="1:24" hidden="1">
      <c r="A113" s="1323" t="s">
        <v>5976</v>
      </c>
      <c r="B113" s="1362" t="s">
        <v>2813</v>
      </c>
      <c r="C113" s="1363"/>
      <c r="D113" s="1364" t="s">
        <v>242</v>
      </c>
      <c r="E113" s="1365">
        <v>14</v>
      </c>
      <c r="F113" s="1365">
        <f>I113*F3</f>
        <v>210</v>
      </c>
      <c r="G113" s="1366">
        <f>E113*$G$3</f>
        <v>1400</v>
      </c>
      <c r="H113" s="1366"/>
      <c r="I113" s="1366">
        <f>$I$3*E113</f>
        <v>2100</v>
      </c>
      <c r="J113" s="1367">
        <f>SUM(F113:I113)</f>
        <v>3710</v>
      </c>
      <c r="K113" s="1368"/>
      <c r="L113" s="1458"/>
      <c r="M113" s="1370">
        <f>P113*$M$3</f>
        <v>210</v>
      </c>
      <c r="N113" s="1371">
        <f>E113*$N$3</f>
        <v>1400</v>
      </c>
      <c r="P113" s="1371">
        <f>$P$3*E113</f>
        <v>2100</v>
      </c>
      <c r="Q113" s="1371">
        <f>SUM(M113:P113)</f>
        <v>3710</v>
      </c>
      <c r="R113" s="1372"/>
      <c r="S113" s="1371"/>
      <c r="T113" s="1347">
        <f>J113-Q113</f>
        <v>0</v>
      </c>
      <c r="U113" s="1427"/>
      <c r="V113" s="1459"/>
      <c r="W113" s="1459"/>
      <c r="X113" s="1244"/>
    </row>
    <row r="114" spans="1:24" hidden="1">
      <c r="A114" s="1323" t="s">
        <v>5976</v>
      </c>
      <c r="B114" s="1362" t="s">
        <v>2842</v>
      </c>
      <c r="C114" s="1363"/>
      <c r="D114" s="1364" t="s">
        <v>242</v>
      </c>
      <c r="E114" s="1365">
        <f>AVERAGE(E107,E121)</f>
        <v>9.65</v>
      </c>
      <c r="F114" s="1365">
        <f>I114*F3</f>
        <v>144.75</v>
      </c>
      <c r="G114" s="1366">
        <f>E114*$G$3</f>
        <v>965</v>
      </c>
      <c r="H114" s="1366"/>
      <c r="I114" s="1366">
        <f>$I$3*E114</f>
        <v>1447.5</v>
      </c>
      <c r="J114" s="1367">
        <f>SUM(F114:I114)</f>
        <v>2557.25</v>
      </c>
      <c r="K114" s="1368"/>
      <c r="L114" s="1458"/>
      <c r="M114" s="1370">
        <f>P114*$M$3</f>
        <v>144.75</v>
      </c>
      <c r="N114" s="1371">
        <f>E114*$N$3</f>
        <v>965</v>
      </c>
      <c r="P114" s="1371">
        <f>$P$3*E114</f>
        <v>1447.5</v>
      </c>
      <c r="Q114" s="1371">
        <f>SUM(M114:P114)</f>
        <v>2557.25</v>
      </c>
      <c r="R114" s="1372"/>
      <c r="S114" s="1371"/>
      <c r="T114" s="1347">
        <f>J114-Q114</f>
        <v>0</v>
      </c>
      <c r="U114" s="1427"/>
      <c r="V114" s="1459"/>
      <c r="W114" s="1459"/>
      <c r="X114" s="1244"/>
    </row>
    <row r="115" spans="1:24" hidden="1">
      <c r="A115" s="1323" t="s">
        <v>5976</v>
      </c>
      <c r="B115" s="185" t="s">
        <v>2815</v>
      </c>
      <c r="C115" s="1363"/>
      <c r="D115" s="1364" t="s">
        <v>242</v>
      </c>
      <c r="E115" s="1365">
        <f>AVERAGE(E108,E122)</f>
        <v>5.0750000000000002</v>
      </c>
      <c r="F115" s="1365"/>
      <c r="G115" s="1366">
        <f>E115*$G$3</f>
        <v>507.5</v>
      </c>
      <c r="H115" s="1366"/>
      <c r="I115" s="1366">
        <v>0</v>
      </c>
      <c r="J115" s="1367">
        <f>SUM(F115:I115)</f>
        <v>507.5</v>
      </c>
      <c r="K115" s="1368"/>
      <c r="L115" s="1458"/>
      <c r="M115" s="1370"/>
      <c r="N115" s="1371">
        <f>E115*$N$3</f>
        <v>507.5</v>
      </c>
      <c r="P115" s="1371">
        <v>0</v>
      </c>
      <c r="Q115" s="1371">
        <f>SUM(M115:P115)</f>
        <v>507.5</v>
      </c>
      <c r="R115" s="1372"/>
      <c r="S115" s="1371"/>
      <c r="T115" s="1347">
        <f>J115-Q115</f>
        <v>0</v>
      </c>
      <c r="U115" s="1427"/>
      <c r="V115" s="1459"/>
      <c r="W115" s="1459"/>
      <c r="X115" s="1244"/>
    </row>
    <row r="116" spans="1:24" hidden="1">
      <c r="A116" s="1323" t="s">
        <v>5976</v>
      </c>
      <c r="B116" s="1362" t="s">
        <v>2817</v>
      </c>
      <c r="C116" s="1363"/>
      <c r="D116" s="1364" t="s">
        <v>242</v>
      </c>
      <c r="E116" s="1365">
        <v>8</v>
      </c>
      <c r="F116" s="1365">
        <f>I116*F3</f>
        <v>120</v>
      </c>
      <c r="G116" s="1366">
        <f>E116*$G$3</f>
        <v>800</v>
      </c>
      <c r="H116" s="1366"/>
      <c r="I116" s="1366">
        <f>$I$3*E116</f>
        <v>1200</v>
      </c>
      <c r="J116" s="1367">
        <f>SUM(F116:I116)</f>
        <v>2120</v>
      </c>
      <c r="K116" s="1368"/>
      <c r="L116" s="1458"/>
      <c r="M116" s="1370">
        <f>P116*$M$3</f>
        <v>120</v>
      </c>
      <c r="N116" s="1371">
        <f>E116*$N$3</f>
        <v>800</v>
      </c>
      <c r="P116" s="1371">
        <f>$P$3*E116</f>
        <v>1200</v>
      </c>
      <c r="Q116" s="1371">
        <f>SUM(M116:P116)</f>
        <v>2120</v>
      </c>
      <c r="R116" s="1372"/>
      <c r="S116" s="1371"/>
      <c r="T116" s="1347">
        <f>J116-Q116</f>
        <v>0</v>
      </c>
      <c r="U116" s="1427"/>
      <c r="V116" s="1459"/>
      <c r="W116" s="1459"/>
      <c r="X116" s="1244"/>
    </row>
    <row r="117" spans="1:24" hidden="1">
      <c r="A117" s="1323" t="s">
        <v>5976</v>
      </c>
      <c r="B117" s="1362" t="s">
        <v>2819</v>
      </c>
      <c r="C117" s="1363"/>
      <c r="D117" s="1364" t="s">
        <v>242</v>
      </c>
      <c r="E117" s="1365">
        <v>6</v>
      </c>
      <c r="F117" s="1365">
        <f>I117*F3</f>
        <v>90</v>
      </c>
      <c r="G117" s="1366">
        <f>E117*$G$3</f>
        <v>600</v>
      </c>
      <c r="H117" s="1366"/>
      <c r="I117" s="1366">
        <f>$I$3*E117</f>
        <v>900</v>
      </c>
      <c r="J117" s="1367">
        <f>SUM(F117:I117)</f>
        <v>1590</v>
      </c>
      <c r="K117" s="1368"/>
      <c r="L117" s="1458"/>
      <c r="M117" s="1370">
        <f>P117*$M$3</f>
        <v>90</v>
      </c>
      <c r="N117" s="1371">
        <f>E117*$N$3</f>
        <v>600</v>
      </c>
      <c r="P117" s="1371">
        <f>$P$3*E117</f>
        <v>900</v>
      </c>
      <c r="Q117" s="1371">
        <f>SUM(M117:P117)</f>
        <v>1590</v>
      </c>
      <c r="R117" s="1372"/>
      <c r="S117" s="1371"/>
      <c r="T117" s="1347">
        <f>J117-Q117</f>
        <v>0</v>
      </c>
      <c r="U117" s="1427"/>
      <c r="V117" s="1459"/>
      <c r="W117" s="1459"/>
      <c r="X117" s="1244"/>
    </row>
    <row r="118" spans="1:24" hidden="1">
      <c r="A118" s="1323" t="s">
        <v>7781</v>
      </c>
      <c r="B118" s="1362"/>
      <c r="C118" s="1363"/>
      <c r="D118" s="1364"/>
      <c r="E118" s="1365"/>
      <c r="F118" s="1365"/>
      <c r="G118" s="1366"/>
      <c r="H118" s="1366"/>
      <c r="I118" s="1366"/>
      <c r="J118" s="1367"/>
      <c r="K118" s="1368"/>
      <c r="L118" s="1458"/>
      <c r="M118" s="1370"/>
      <c r="N118" s="1371"/>
      <c r="P118" s="1371"/>
      <c r="Q118" s="1371"/>
      <c r="R118" s="1372"/>
      <c r="S118" s="1371"/>
      <c r="T118" s="1347"/>
      <c r="U118" s="1427"/>
      <c r="V118" s="1459"/>
      <c r="W118" s="1459"/>
      <c r="X118" s="1244"/>
    </row>
    <row r="119" spans="1:24">
      <c r="A119" s="1323" t="s">
        <v>882</v>
      </c>
      <c r="B119" s="7" t="s">
        <v>2848</v>
      </c>
      <c r="C119" s="1363">
        <v>8</v>
      </c>
      <c r="D119" s="1364" t="s">
        <v>242</v>
      </c>
      <c r="E119" s="1365">
        <f>SUM(E120:E124)</f>
        <v>65.790000000000006</v>
      </c>
      <c r="F119" s="1365">
        <f>SUM(F120:F124)</f>
        <v>872.10000000000014</v>
      </c>
      <c r="G119" s="1366">
        <f>SUM(G120:G124)</f>
        <v>6579</v>
      </c>
      <c r="H119" s="1366"/>
      <c r="I119" s="1366">
        <f>SUM(I120:I124)</f>
        <v>8721</v>
      </c>
      <c r="J119" s="1367">
        <f>SUM(J120:J124)</f>
        <v>16172.1</v>
      </c>
      <c r="K119" s="1464">
        <f>C119*J119</f>
        <v>129376.8</v>
      </c>
      <c r="L119" s="1641"/>
      <c r="M119" s="1370">
        <f>SUM(M120:M124)</f>
        <v>872.10000000000014</v>
      </c>
      <c r="N119" s="1371">
        <f>SUM(N120:N124)</f>
        <v>6579</v>
      </c>
      <c r="P119" s="1371">
        <f>SUM(P120:P124)</f>
        <v>8721</v>
      </c>
      <c r="Q119" s="1371">
        <f>SUM(Q120:Q124)</f>
        <v>16172.1</v>
      </c>
      <c r="R119" s="1465">
        <f>C119*Q119</f>
        <v>129376.8</v>
      </c>
      <c r="T119" s="1642">
        <f>J119-Q119</f>
        <v>0</v>
      </c>
      <c r="U119" s="1466">
        <f>K119-R119</f>
        <v>0</v>
      </c>
      <c r="V119" s="1373"/>
      <c r="W119" s="1373"/>
      <c r="X119" s="1244"/>
    </row>
    <row r="120" spans="1:24" hidden="1">
      <c r="A120" s="1323" t="s">
        <v>5976</v>
      </c>
      <c r="B120" s="1362" t="s">
        <v>2813</v>
      </c>
      <c r="C120" s="1363"/>
      <c r="D120" s="1364" t="s">
        <v>242</v>
      </c>
      <c r="E120" s="1365">
        <f>16*1.53</f>
        <v>24.48</v>
      </c>
      <c r="F120" s="1365">
        <f>I120*F3</f>
        <v>367.20000000000005</v>
      </c>
      <c r="G120" s="1366">
        <f>E120*$G$3</f>
        <v>2448</v>
      </c>
      <c r="H120" s="1366"/>
      <c r="I120" s="1366">
        <f>$I$3*E120</f>
        <v>3672</v>
      </c>
      <c r="J120" s="1367">
        <f>SUM(F120:I120)</f>
        <v>6487.2</v>
      </c>
      <c r="K120" s="1368"/>
      <c r="L120" s="1458"/>
      <c r="M120" s="1370">
        <f>P120*$M$3</f>
        <v>367.20000000000005</v>
      </c>
      <c r="N120" s="1371">
        <f>E120*$N$3</f>
        <v>2448</v>
      </c>
      <c r="P120" s="1371">
        <f>$P$3*E120</f>
        <v>3672</v>
      </c>
      <c r="Q120" s="1371">
        <f>SUM(M120:P120)</f>
        <v>6487.2</v>
      </c>
      <c r="R120" s="1372"/>
      <c r="S120" s="1371"/>
      <c r="T120" s="1347">
        <f>J120-Q120</f>
        <v>0</v>
      </c>
      <c r="U120" s="1427"/>
      <c r="V120" s="1459"/>
      <c r="W120" s="1459"/>
      <c r="X120" s="1244"/>
    </row>
    <row r="121" spans="1:24" hidden="1">
      <c r="A121" s="1323" t="s">
        <v>5976</v>
      </c>
      <c r="B121" s="1362" t="s">
        <v>2842</v>
      </c>
      <c r="C121" s="1363"/>
      <c r="D121" s="1364" t="s">
        <v>242</v>
      </c>
      <c r="E121" s="1365">
        <f>1.53*10</f>
        <v>15.3</v>
      </c>
      <c r="F121" s="1365">
        <f>I121*F3</f>
        <v>229.5</v>
      </c>
      <c r="G121" s="1366">
        <f>E121*$G$3</f>
        <v>1530</v>
      </c>
      <c r="H121" s="1366"/>
      <c r="I121" s="1366">
        <f>$I$3*E121</f>
        <v>2295</v>
      </c>
      <c r="J121" s="1367">
        <f>SUM(F121:I121)</f>
        <v>4054.5</v>
      </c>
      <c r="K121" s="1368"/>
      <c r="L121" s="1458"/>
      <c r="M121" s="1370">
        <f>P121*$M$3</f>
        <v>229.5</v>
      </c>
      <c r="N121" s="1371">
        <f>E121*$N$3</f>
        <v>1530</v>
      </c>
      <c r="P121" s="1371">
        <f>$P$3*E121</f>
        <v>2295</v>
      </c>
      <c r="Q121" s="1371">
        <f>SUM(M121:P121)</f>
        <v>4054.5</v>
      </c>
      <c r="R121" s="1372"/>
      <c r="S121" s="1371"/>
      <c r="T121" s="1347">
        <f>J121-Q121</f>
        <v>0</v>
      </c>
      <c r="U121" s="1427"/>
      <c r="V121" s="1459"/>
      <c r="W121" s="1459"/>
      <c r="X121" s="1244"/>
    </row>
    <row r="122" spans="1:24" hidden="1">
      <c r="A122" s="1323" t="s">
        <v>5976</v>
      </c>
      <c r="B122" s="185" t="s">
        <v>2815</v>
      </c>
      <c r="C122" s="1363"/>
      <c r="D122" s="1364" t="s">
        <v>242</v>
      </c>
      <c r="E122" s="1365">
        <f>1.53*5</f>
        <v>7.65</v>
      </c>
      <c r="F122" s="1365"/>
      <c r="G122" s="1366">
        <f>E122*$G$3</f>
        <v>765</v>
      </c>
      <c r="H122" s="1366"/>
      <c r="I122" s="1366">
        <v>0</v>
      </c>
      <c r="J122" s="1367">
        <f>SUM(F122:I122)</f>
        <v>765</v>
      </c>
      <c r="K122" s="1368"/>
      <c r="L122" s="1458"/>
      <c r="M122" s="1370"/>
      <c r="N122" s="1371">
        <f>E122*$N$3</f>
        <v>765</v>
      </c>
      <c r="P122" s="1371">
        <v>0</v>
      </c>
      <c r="Q122" s="1371">
        <f>SUM(M122:P122)</f>
        <v>765</v>
      </c>
      <c r="R122" s="1372"/>
      <c r="S122" s="1371"/>
      <c r="T122" s="1347">
        <f>J122-Q122</f>
        <v>0</v>
      </c>
      <c r="U122" s="1427"/>
      <c r="V122" s="1459"/>
      <c r="W122" s="1459"/>
      <c r="X122" s="1244"/>
    </row>
    <row r="123" spans="1:24" hidden="1">
      <c r="A123" s="1323" t="s">
        <v>5976</v>
      </c>
      <c r="B123" s="1362" t="s">
        <v>2817</v>
      </c>
      <c r="C123" s="1363"/>
      <c r="D123" s="1364" t="s">
        <v>242</v>
      </c>
      <c r="E123" s="1365">
        <f>1.53*8</f>
        <v>12.24</v>
      </c>
      <c r="F123" s="1365">
        <f>I123*F3</f>
        <v>183.60000000000002</v>
      </c>
      <c r="G123" s="1366">
        <f>E123*$G$3</f>
        <v>1224</v>
      </c>
      <c r="H123" s="1366"/>
      <c r="I123" s="1366">
        <f>$I$3*E123</f>
        <v>1836</v>
      </c>
      <c r="J123" s="1367">
        <f>SUM(F123:I123)</f>
        <v>3243.6</v>
      </c>
      <c r="K123" s="1368"/>
      <c r="L123" s="1458"/>
      <c r="M123" s="1370">
        <f>P123*$M$3</f>
        <v>183.60000000000002</v>
      </c>
      <c r="N123" s="1371">
        <f>E123*$N$3</f>
        <v>1224</v>
      </c>
      <c r="P123" s="1371">
        <f>$P$3*E123</f>
        <v>1836</v>
      </c>
      <c r="Q123" s="1371">
        <f>SUM(M123:P123)</f>
        <v>3243.6</v>
      </c>
      <c r="R123" s="1372"/>
      <c r="S123" s="1371"/>
      <c r="T123" s="1347">
        <f>J123-Q123</f>
        <v>0</v>
      </c>
      <c r="U123" s="1427"/>
      <c r="V123" s="1459"/>
      <c r="W123" s="1459"/>
      <c r="X123" s="1244"/>
    </row>
    <row r="124" spans="1:24" hidden="1">
      <c r="A124" s="1323" t="s">
        <v>5976</v>
      </c>
      <c r="B124" s="1362" t="s">
        <v>2819</v>
      </c>
      <c r="C124" s="1363"/>
      <c r="D124" s="1364" t="s">
        <v>242</v>
      </c>
      <c r="E124" s="1365">
        <f>1.53*4</f>
        <v>6.12</v>
      </c>
      <c r="F124" s="1365">
        <f>I124*F3</f>
        <v>91.800000000000011</v>
      </c>
      <c r="G124" s="1366">
        <f>E124*$G$3</f>
        <v>612</v>
      </c>
      <c r="H124" s="1366"/>
      <c r="I124" s="1366">
        <f>$I$3*E124</f>
        <v>918</v>
      </c>
      <c r="J124" s="1367">
        <f>SUM(F124:I124)</f>
        <v>1621.8</v>
      </c>
      <c r="K124" s="1368"/>
      <c r="L124" s="1458"/>
      <c r="M124" s="1370">
        <f>P124*$M$3</f>
        <v>91.800000000000011</v>
      </c>
      <c r="N124" s="1371">
        <f>E124*$N$3</f>
        <v>612</v>
      </c>
      <c r="P124" s="1371">
        <f>$P$3*E124</f>
        <v>918</v>
      </c>
      <c r="Q124" s="1371">
        <f>SUM(M124:P124)</f>
        <v>1621.8</v>
      </c>
      <c r="R124" s="1372"/>
      <c r="S124" s="1371"/>
      <c r="T124" s="1347">
        <f>J124-Q124</f>
        <v>0</v>
      </c>
      <c r="U124" s="1427"/>
      <c r="V124" s="1459"/>
      <c r="W124" s="1459"/>
      <c r="X124" s="1244"/>
    </row>
    <row r="125" spans="1:24" hidden="1">
      <c r="A125" s="1323" t="s">
        <v>7781</v>
      </c>
      <c r="B125" s="1362"/>
      <c r="C125" s="1363"/>
      <c r="D125" s="1364"/>
      <c r="E125" s="1365"/>
      <c r="F125" s="1365"/>
      <c r="G125" s="1366"/>
      <c r="H125" s="1366"/>
      <c r="I125" s="1366"/>
      <c r="J125" s="1367"/>
      <c r="K125" s="1368"/>
      <c r="L125" s="1369"/>
      <c r="M125" s="1370"/>
      <c r="N125" s="1371"/>
      <c r="P125" s="1371"/>
      <c r="Q125" s="1371"/>
      <c r="R125" s="1372"/>
      <c r="S125" s="1371"/>
      <c r="T125" s="1347"/>
      <c r="U125" s="1427"/>
      <c r="V125" s="1373"/>
      <c r="W125" s="1373"/>
      <c r="X125" s="1244"/>
    </row>
    <row r="126" spans="1:24" ht="29">
      <c r="A126" s="1323" t="s">
        <v>855</v>
      </c>
      <c r="B126" s="7" t="s">
        <v>2849</v>
      </c>
      <c r="C126" s="1363">
        <v>2</v>
      </c>
      <c r="D126" s="1364" t="s">
        <v>242</v>
      </c>
      <c r="E126" s="1365">
        <f>SUM(E127:E131)</f>
        <v>418.6</v>
      </c>
      <c r="F126" s="1365">
        <f>SUM(F127:F131)</f>
        <v>5865</v>
      </c>
      <c r="G126" s="1366">
        <f>SUM(G127:G131)</f>
        <v>41860</v>
      </c>
      <c r="H126" s="1366"/>
      <c r="I126" s="1366">
        <f>SUM(I127:I131)</f>
        <v>58650</v>
      </c>
      <c r="J126" s="1367">
        <f>SUM(J127:J131)</f>
        <v>106375</v>
      </c>
      <c r="K126" s="1464">
        <f>C126*J126</f>
        <v>212750</v>
      </c>
      <c r="L126" s="1641"/>
      <c r="M126" s="1370">
        <f>SUM(M127:M131)</f>
        <v>5865</v>
      </c>
      <c r="N126" s="1371">
        <f>SUM(N127:N131)</f>
        <v>41860</v>
      </c>
      <c r="P126" s="1371">
        <f>SUM(P127:P131)</f>
        <v>58650</v>
      </c>
      <c r="Q126" s="1371">
        <f>SUM(Q127:Q131)</f>
        <v>106375</v>
      </c>
      <c r="R126" s="1465">
        <f>C126*Q126</f>
        <v>212750</v>
      </c>
      <c r="T126" s="1642">
        <f>J126-Q126</f>
        <v>0</v>
      </c>
      <c r="U126" s="1466">
        <f>K126-R126</f>
        <v>0</v>
      </c>
      <c r="V126" s="1373"/>
      <c r="W126" s="1373"/>
      <c r="X126" s="1244"/>
    </row>
    <row r="127" spans="1:24" hidden="1">
      <c r="A127" s="1323" t="s">
        <v>5976</v>
      </c>
      <c r="B127" s="1362" t="s">
        <v>2813</v>
      </c>
      <c r="C127" s="1363"/>
      <c r="D127" s="1364" t="s">
        <v>242</v>
      </c>
      <c r="E127" s="1365">
        <f>4*4*10*1.38</f>
        <v>220.79999999999998</v>
      </c>
      <c r="F127" s="1365">
        <f>I127*F3</f>
        <v>3312</v>
      </c>
      <c r="G127" s="1366">
        <f>E127*$G$3</f>
        <v>22080</v>
      </c>
      <c r="H127" s="1366"/>
      <c r="I127" s="1366">
        <f>$I$3*E127</f>
        <v>33120</v>
      </c>
      <c r="J127" s="1367">
        <f>SUM(F127:I127)</f>
        <v>58512</v>
      </c>
      <c r="K127" s="1368"/>
      <c r="L127" s="1369"/>
      <c r="M127" s="1370">
        <f>P127*$M$3</f>
        <v>3312</v>
      </c>
      <c r="N127" s="1371">
        <f>E127*$N$3</f>
        <v>22080</v>
      </c>
      <c r="P127" s="1371">
        <f>$P$3*E127</f>
        <v>33120</v>
      </c>
      <c r="Q127" s="1371">
        <f>SUM(M127:P127)</f>
        <v>58512</v>
      </c>
      <c r="R127" s="1372"/>
      <c r="S127" s="1371"/>
      <c r="T127" s="1347">
        <f>J127-Q127</f>
        <v>0</v>
      </c>
      <c r="U127" s="1427"/>
      <c r="V127" s="1373"/>
      <c r="W127" s="1373"/>
      <c r="X127" s="1244"/>
    </row>
    <row r="128" spans="1:24" hidden="1">
      <c r="A128" s="1323" t="s">
        <v>5976</v>
      </c>
      <c r="B128" s="185" t="s">
        <v>2815</v>
      </c>
      <c r="C128" s="1363"/>
      <c r="D128" s="1364" t="s">
        <v>242</v>
      </c>
      <c r="E128" s="1365">
        <f>2*10*1.38</f>
        <v>27.599999999999998</v>
      </c>
      <c r="F128" s="1365"/>
      <c r="G128" s="1366">
        <f>E128*$G$3</f>
        <v>2760</v>
      </c>
      <c r="H128" s="1366"/>
      <c r="I128" s="1366">
        <v>0</v>
      </c>
      <c r="J128" s="1367">
        <f>SUM(F128:I128)</f>
        <v>2760</v>
      </c>
      <c r="K128" s="1368"/>
      <c r="L128" s="1369"/>
      <c r="M128" s="1370"/>
      <c r="N128" s="1371">
        <f>E128*$N$3</f>
        <v>2760</v>
      </c>
      <c r="P128" s="1371">
        <v>0</v>
      </c>
      <c r="Q128" s="1371">
        <f>SUM(M128:P128)</f>
        <v>2760</v>
      </c>
      <c r="R128" s="1372"/>
      <c r="S128" s="1371"/>
      <c r="T128" s="1347">
        <f>J128-Q128</f>
        <v>0</v>
      </c>
      <c r="U128" s="1427"/>
      <c r="V128" s="1373"/>
      <c r="W128" s="1373"/>
      <c r="X128" s="1244"/>
    </row>
    <row r="129" spans="1:24" hidden="1">
      <c r="A129" s="1323" t="s">
        <v>5976</v>
      </c>
      <c r="B129" s="1362" t="s">
        <v>2842</v>
      </c>
      <c r="C129" s="1363"/>
      <c r="D129" s="1364" t="s">
        <v>242</v>
      </c>
      <c r="E129" s="1365">
        <f>5000000/60000*1.38</f>
        <v>114.99999999999999</v>
      </c>
      <c r="F129" s="1365">
        <f>I129*F3</f>
        <v>1724.9999999999998</v>
      </c>
      <c r="G129" s="1366">
        <f>E129*$G$3</f>
        <v>11499.999999999998</v>
      </c>
      <c r="H129" s="1366"/>
      <c r="I129" s="1366">
        <f>$I$3*E129</f>
        <v>17249.999999999996</v>
      </c>
      <c r="J129" s="1367">
        <f>SUM(F129:I129)</f>
        <v>30474.999999999993</v>
      </c>
      <c r="K129" s="1368"/>
      <c r="L129" s="1369"/>
      <c r="M129" s="1370">
        <f>P129*$M$3</f>
        <v>1724.9999999999998</v>
      </c>
      <c r="N129" s="1371">
        <f>E129*$N$3</f>
        <v>11499.999999999998</v>
      </c>
      <c r="P129" s="1371">
        <f>$P$3*E129</f>
        <v>17249.999999999996</v>
      </c>
      <c r="Q129" s="1371">
        <f>SUM(M129:P129)</f>
        <v>30474.999999999993</v>
      </c>
      <c r="R129" s="1372"/>
      <c r="S129" s="1371"/>
      <c r="T129" s="1347">
        <f>J129-Q129</f>
        <v>0</v>
      </c>
      <c r="U129" s="1427"/>
      <c r="V129" s="1373"/>
      <c r="W129" s="1373"/>
      <c r="X129" s="1244"/>
    </row>
    <row r="130" spans="1:24" hidden="1">
      <c r="A130" s="1323" t="s">
        <v>5976</v>
      </c>
      <c r="B130" s="1362" t="s">
        <v>2817</v>
      </c>
      <c r="C130" s="1363"/>
      <c r="D130" s="1364" t="s">
        <v>242</v>
      </c>
      <c r="E130" s="1365">
        <f>20*1.38</f>
        <v>27.599999999999998</v>
      </c>
      <c r="F130" s="1365">
        <f>I130*F3</f>
        <v>414</v>
      </c>
      <c r="G130" s="1366">
        <f>E130*$G$3</f>
        <v>2760</v>
      </c>
      <c r="H130" s="1366"/>
      <c r="I130" s="1366">
        <f>$I$3*E130</f>
        <v>4140</v>
      </c>
      <c r="J130" s="1367">
        <f>SUM(F130:I130)</f>
        <v>7314</v>
      </c>
      <c r="K130" s="1368"/>
      <c r="L130" s="1369"/>
      <c r="M130" s="1370">
        <f>P130*$M$3</f>
        <v>414</v>
      </c>
      <c r="N130" s="1371">
        <f>E130*$N$3</f>
        <v>2760</v>
      </c>
      <c r="P130" s="1371">
        <f>$P$3*E130</f>
        <v>4140</v>
      </c>
      <c r="Q130" s="1371">
        <f>SUM(M130:P130)</f>
        <v>7314</v>
      </c>
      <c r="R130" s="1372"/>
      <c r="S130" s="1371"/>
      <c r="T130" s="1347">
        <f>J130-Q130</f>
        <v>0</v>
      </c>
      <c r="U130" s="1427"/>
      <c r="V130" s="1373"/>
      <c r="W130" s="1373"/>
      <c r="X130" s="1244"/>
    </row>
    <row r="131" spans="1:24" hidden="1">
      <c r="A131" s="1323" t="s">
        <v>5976</v>
      </c>
      <c r="B131" s="1362" t="s">
        <v>2819</v>
      </c>
      <c r="C131" s="1363"/>
      <c r="D131" s="1364" t="s">
        <v>242</v>
      </c>
      <c r="E131" s="1365">
        <f>20*1.38</f>
        <v>27.599999999999998</v>
      </c>
      <c r="F131" s="1365">
        <f>I131*F3</f>
        <v>414</v>
      </c>
      <c r="G131" s="1366">
        <f>E131*$G$3</f>
        <v>2760</v>
      </c>
      <c r="H131" s="1366"/>
      <c r="I131" s="1366">
        <f>$I$3*E131</f>
        <v>4140</v>
      </c>
      <c r="J131" s="1367">
        <f>SUM(F131:I131)</f>
        <v>7314</v>
      </c>
      <c r="K131" s="1368"/>
      <c r="L131" s="1369"/>
      <c r="M131" s="1370">
        <f>P131*$M$3</f>
        <v>414</v>
      </c>
      <c r="N131" s="1371">
        <f>E131*$N$3</f>
        <v>2760</v>
      </c>
      <c r="P131" s="1371">
        <f>$P$3*E131</f>
        <v>4140</v>
      </c>
      <c r="Q131" s="1371">
        <f>SUM(M131:P131)</f>
        <v>7314</v>
      </c>
      <c r="R131" s="1372"/>
      <c r="S131" s="1371"/>
      <c r="T131" s="1347">
        <f>J131-Q131</f>
        <v>0</v>
      </c>
      <c r="U131" s="1427"/>
      <c r="V131" s="1373"/>
      <c r="W131" s="1373"/>
      <c r="X131" s="1244"/>
    </row>
    <row r="132" spans="1:24" hidden="1">
      <c r="A132" s="1323" t="s">
        <v>7781</v>
      </c>
      <c r="B132" s="1362"/>
      <c r="C132" s="1363"/>
      <c r="D132" s="1364"/>
      <c r="E132" s="1365"/>
      <c r="F132" s="1365"/>
      <c r="G132" s="1366"/>
      <c r="H132" s="1366"/>
      <c r="I132" s="1366"/>
      <c r="J132" s="1367"/>
      <c r="K132" s="1368"/>
      <c r="L132" s="1369"/>
      <c r="M132" s="1370"/>
      <c r="N132" s="1371"/>
      <c r="P132" s="1371"/>
      <c r="Q132" s="1371"/>
      <c r="R132" s="1372"/>
      <c r="S132" s="1371"/>
      <c r="T132" s="1347"/>
      <c r="U132" s="1427"/>
      <c r="V132" s="1373"/>
      <c r="W132" s="1373"/>
      <c r="X132" s="1244"/>
    </row>
    <row r="133" spans="1:24">
      <c r="A133" s="1323" t="s">
        <v>844</v>
      </c>
      <c r="B133" s="7" t="s">
        <v>2850</v>
      </c>
      <c r="C133" s="1363">
        <v>4</v>
      </c>
      <c r="D133" s="1364" t="s">
        <v>242</v>
      </c>
      <c r="E133" s="1365">
        <f>SUM(E134:E138)</f>
        <v>679.40000000000009</v>
      </c>
      <c r="F133" s="1365">
        <f>SUM(F134:F138)</f>
        <v>9417</v>
      </c>
      <c r="G133" s="1366">
        <f>SUM(G134:G138)</f>
        <v>67940</v>
      </c>
      <c r="H133" s="1366"/>
      <c r="I133" s="1366">
        <f>SUM(I134:I138)</f>
        <v>94170</v>
      </c>
      <c r="J133" s="1367">
        <f>SUM(J134:J138)</f>
        <v>171527</v>
      </c>
      <c r="K133" s="1464">
        <f>C133*J133</f>
        <v>686108</v>
      </c>
      <c r="L133" s="1641"/>
      <c r="M133" s="1370">
        <f>SUM(M134:M138)</f>
        <v>9417</v>
      </c>
      <c r="N133" s="1371">
        <f>SUM(N134:N138)</f>
        <v>67940</v>
      </c>
      <c r="P133" s="1371">
        <f>SUM(P134:P138)</f>
        <v>94170</v>
      </c>
      <c r="Q133" s="1371">
        <f>SUM(Q134:Q138)</f>
        <v>171527</v>
      </c>
      <c r="R133" s="1465">
        <f>C133*Q133</f>
        <v>686108</v>
      </c>
      <c r="T133" s="1642">
        <f>J133-Q133</f>
        <v>0</v>
      </c>
      <c r="U133" s="1466">
        <f>K133-R133</f>
        <v>0</v>
      </c>
      <c r="V133" s="1373"/>
      <c r="W133" s="1373"/>
      <c r="X133" s="1244"/>
    </row>
    <row r="134" spans="1:24" hidden="1">
      <c r="A134" s="1323" t="s">
        <v>5976</v>
      </c>
      <c r="B134" s="1362" t="s">
        <v>2813</v>
      </c>
      <c r="C134" s="1363"/>
      <c r="D134" s="1364" t="s">
        <v>242</v>
      </c>
      <c r="E134" s="1365">
        <f>5*5*10*1.29</f>
        <v>322.5</v>
      </c>
      <c r="F134" s="1365">
        <f>I134*F3</f>
        <v>4837.5</v>
      </c>
      <c r="G134" s="1366">
        <f>E134*$G$3</f>
        <v>32250</v>
      </c>
      <c r="H134" s="1366"/>
      <c r="I134" s="1366">
        <f>$I$3*E134</f>
        <v>48375</v>
      </c>
      <c r="J134" s="1367">
        <f>SUM(F134:I134)</f>
        <v>85462.5</v>
      </c>
      <c r="K134" s="1368"/>
      <c r="L134" s="1369"/>
      <c r="M134" s="1370">
        <f>P134*$M$3</f>
        <v>4837.5</v>
      </c>
      <c r="N134" s="1371">
        <f>E134*$N$3</f>
        <v>32250</v>
      </c>
      <c r="P134" s="1371">
        <f>$P$3*E134</f>
        <v>48375</v>
      </c>
      <c r="Q134" s="1371">
        <f>SUM(M134:P134)</f>
        <v>85462.5</v>
      </c>
      <c r="R134" s="1372"/>
      <c r="S134" s="1371"/>
      <c r="T134" s="1347">
        <f>J134-Q134</f>
        <v>0</v>
      </c>
      <c r="U134" s="1427"/>
      <c r="V134" s="1373"/>
      <c r="W134" s="1373"/>
      <c r="X134" s="1244"/>
    </row>
    <row r="135" spans="1:24" hidden="1">
      <c r="A135" s="1323" t="s">
        <v>5976</v>
      </c>
      <c r="B135" s="185" t="s">
        <v>2815</v>
      </c>
      <c r="C135" s="1363"/>
      <c r="D135" s="1364" t="s">
        <v>242</v>
      </c>
      <c r="E135" s="1365">
        <f>2*2*10*1.29</f>
        <v>51.6</v>
      </c>
      <c r="F135" s="1365"/>
      <c r="G135" s="1366">
        <f>E135*$G$3</f>
        <v>5160</v>
      </c>
      <c r="H135" s="1366"/>
      <c r="I135" s="1366">
        <v>0</v>
      </c>
      <c r="J135" s="1367">
        <f>SUM(F135:I135)</f>
        <v>5160</v>
      </c>
      <c r="K135" s="1368"/>
      <c r="L135" s="1369"/>
      <c r="M135" s="1370"/>
      <c r="N135" s="1371">
        <f>E135*$N$3</f>
        <v>5160</v>
      </c>
      <c r="P135" s="1371">
        <v>0</v>
      </c>
      <c r="Q135" s="1371">
        <f>SUM(M135:P135)</f>
        <v>5160</v>
      </c>
      <c r="R135" s="1372"/>
      <c r="S135" s="1371"/>
      <c r="T135" s="1347">
        <f>J135-Q135</f>
        <v>0</v>
      </c>
      <c r="U135" s="1427"/>
      <c r="V135" s="1373"/>
      <c r="W135" s="1373"/>
      <c r="X135" s="1244"/>
    </row>
    <row r="136" spans="1:24" hidden="1">
      <c r="A136" s="1323" t="s">
        <v>5976</v>
      </c>
      <c r="B136" s="1362" t="s">
        <v>2842</v>
      </c>
      <c r="C136" s="1363"/>
      <c r="D136" s="1364" t="s">
        <v>242</v>
      </c>
      <c r="E136" s="1365">
        <f>10000000/60000*1.29</f>
        <v>215</v>
      </c>
      <c r="F136" s="1365">
        <f>I136*F3</f>
        <v>3225</v>
      </c>
      <c r="G136" s="1366">
        <f>E136*$G$3</f>
        <v>21500</v>
      </c>
      <c r="H136" s="1366"/>
      <c r="I136" s="1366">
        <f>$I$3*E136</f>
        <v>32250</v>
      </c>
      <c r="J136" s="1367">
        <f>SUM(F136:I136)</f>
        <v>56975</v>
      </c>
      <c r="K136" s="1368"/>
      <c r="L136" s="1369"/>
      <c r="M136" s="1370">
        <f>P136*$M$3</f>
        <v>3225</v>
      </c>
      <c r="N136" s="1371">
        <f>E136*$N$3</f>
        <v>21500</v>
      </c>
      <c r="P136" s="1371">
        <f>$P$3*E136</f>
        <v>32250</v>
      </c>
      <c r="Q136" s="1371">
        <f>SUM(M136:P136)</f>
        <v>56975</v>
      </c>
      <c r="R136" s="1372"/>
      <c r="S136" s="1371"/>
      <c r="T136" s="1347">
        <f>J136-Q136</f>
        <v>0</v>
      </c>
      <c r="U136" s="1427"/>
      <c r="V136" s="1373"/>
      <c r="W136" s="1373"/>
      <c r="X136" s="1244"/>
    </row>
    <row r="137" spans="1:24" hidden="1">
      <c r="A137" s="1323" t="s">
        <v>5976</v>
      </c>
      <c r="B137" s="1362" t="s">
        <v>2817</v>
      </c>
      <c r="C137" s="1363"/>
      <c r="D137" s="1364" t="s">
        <v>242</v>
      </c>
      <c r="E137" s="1365">
        <f>40*1.29</f>
        <v>51.6</v>
      </c>
      <c r="F137" s="1365">
        <f>I137*F3</f>
        <v>774</v>
      </c>
      <c r="G137" s="1366">
        <f>E137*$G$3</f>
        <v>5160</v>
      </c>
      <c r="H137" s="1366"/>
      <c r="I137" s="1366">
        <f>$I$3*E137</f>
        <v>7740</v>
      </c>
      <c r="J137" s="1367">
        <f>SUM(F137:I137)</f>
        <v>13674</v>
      </c>
      <c r="K137" s="1368"/>
      <c r="L137" s="1369"/>
      <c r="M137" s="1370">
        <f>P137*$M$3</f>
        <v>774</v>
      </c>
      <c r="N137" s="1371">
        <f>E137*$N$3</f>
        <v>5160</v>
      </c>
      <c r="P137" s="1371">
        <f>$P$3*E137</f>
        <v>7740</v>
      </c>
      <c r="Q137" s="1371">
        <f>SUM(M137:P137)</f>
        <v>13674</v>
      </c>
      <c r="R137" s="1372"/>
      <c r="S137" s="1371"/>
      <c r="T137" s="1347">
        <f>J137-Q137</f>
        <v>0</v>
      </c>
      <c r="U137" s="1427"/>
      <c r="V137" s="1373"/>
      <c r="W137" s="1373"/>
      <c r="X137" s="1244"/>
    </row>
    <row r="138" spans="1:24" hidden="1">
      <c r="A138" s="1323" t="s">
        <v>5976</v>
      </c>
      <c r="B138" s="1362" t="s">
        <v>2819</v>
      </c>
      <c r="C138" s="1363"/>
      <c r="D138" s="1364" t="s">
        <v>242</v>
      </c>
      <c r="E138" s="1365">
        <f>30*1.29</f>
        <v>38.700000000000003</v>
      </c>
      <c r="F138" s="1365">
        <f>I138*F3</f>
        <v>580.5</v>
      </c>
      <c r="G138" s="1366">
        <f>E138*$G$3</f>
        <v>3870.0000000000005</v>
      </c>
      <c r="H138" s="1366"/>
      <c r="I138" s="1366">
        <f>$I$3*E138</f>
        <v>5805</v>
      </c>
      <c r="J138" s="1367">
        <f>SUM(F138:I138)</f>
        <v>10255.5</v>
      </c>
      <c r="K138" s="1368"/>
      <c r="L138" s="1369"/>
      <c r="M138" s="1370">
        <f>P138*$M$3</f>
        <v>580.5</v>
      </c>
      <c r="N138" s="1371">
        <f>E138*$N$3</f>
        <v>3870.0000000000005</v>
      </c>
      <c r="P138" s="1371">
        <f>$P$3*E138</f>
        <v>5805</v>
      </c>
      <c r="Q138" s="1371">
        <f>SUM(M138:P138)</f>
        <v>10255.5</v>
      </c>
      <c r="R138" s="1372"/>
      <c r="S138" s="1371"/>
      <c r="T138" s="1347">
        <f>J138-Q138</f>
        <v>0</v>
      </c>
      <c r="U138" s="1427"/>
      <c r="V138" s="1373"/>
      <c r="W138" s="1373"/>
      <c r="X138" s="1244"/>
    </row>
    <row r="139" spans="1:24" hidden="1">
      <c r="A139" s="1323" t="s">
        <v>7781</v>
      </c>
      <c r="B139" s="1362"/>
      <c r="C139" s="1363"/>
      <c r="D139" s="1364"/>
      <c r="E139" s="1365"/>
      <c r="F139" s="1365"/>
      <c r="G139" s="1366"/>
      <c r="H139" s="1366"/>
      <c r="I139" s="1366"/>
      <c r="J139" s="1367"/>
      <c r="K139" s="1368"/>
      <c r="L139" s="1369"/>
      <c r="M139" s="1370"/>
      <c r="N139" s="1371"/>
      <c r="P139" s="1371"/>
      <c r="Q139" s="1371"/>
      <c r="R139" s="1372"/>
      <c r="S139" s="1371"/>
      <c r="T139" s="1347"/>
      <c r="U139" s="1427"/>
      <c r="V139" s="1373"/>
      <c r="W139" s="1373"/>
      <c r="X139" s="1244"/>
    </row>
    <row r="140" spans="1:24" s="1062" customFormat="1" ht="29">
      <c r="A140" s="1392" t="s">
        <v>2460</v>
      </c>
      <c r="B140" s="1062" t="s">
        <v>2851</v>
      </c>
      <c r="C140" s="1363">
        <v>2</v>
      </c>
      <c r="D140" s="1393" t="s">
        <v>2700</v>
      </c>
      <c r="E140" s="1394">
        <v>94.339622641509436</v>
      </c>
      <c r="F140" s="1394">
        <f>I140*F3</f>
        <v>1415.0943396226417</v>
      </c>
      <c r="G140" s="1395">
        <f>E140*$G$3</f>
        <v>9433.9622641509432</v>
      </c>
      <c r="H140" s="1395"/>
      <c r="I140" s="1395">
        <f>$I$3*E140</f>
        <v>14150.943396226416</v>
      </c>
      <c r="J140" s="1396">
        <f>SUM(F140:I140)</f>
        <v>25000</v>
      </c>
      <c r="K140" s="1471">
        <f>C140*J140</f>
        <v>50000</v>
      </c>
      <c r="L140" s="1643"/>
      <c r="M140" s="1408">
        <f>P140*$M$3</f>
        <v>1415.0943396226417</v>
      </c>
      <c r="N140" s="1400">
        <f>E140*$N$3</f>
        <v>9433.9622641509432</v>
      </c>
      <c r="O140" s="1401"/>
      <c r="P140" s="1400">
        <f>$P$3*E140</f>
        <v>14150.943396226416</v>
      </c>
      <c r="Q140" s="1400">
        <f>SUM(M140:P140)</f>
        <v>25000</v>
      </c>
      <c r="R140" s="1473">
        <f>C140*Q140</f>
        <v>50000</v>
      </c>
      <c r="S140" s="1401"/>
      <c r="T140" s="1645">
        <f>J140-Q140</f>
        <v>0</v>
      </c>
      <c r="U140" s="1474">
        <f>K140-R140</f>
        <v>0</v>
      </c>
      <c r="V140" s="1405"/>
      <c r="W140" s="1405"/>
      <c r="X140" s="1406"/>
    </row>
    <row r="141" spans="1:24" hidden="1">
      <c r="A141" s="1323" t="s">
        <v>7781</v>
      </c>
      <c r="B141" s="1362"/>
      <c r="C141" s="1363"/>
      <c r="D141" s="1364"/>
      <c r="E141" s="1365"/>
      <c r="F141" s="1365"/>
      <c r="G141" s="1366"/>
      <c r="H141" s="1366"/>
      <c r="I141" s="1366"/>
      <c r="J141" s="1367"/>
      <c r="K141" s="1368"/>
      <c r="L141" s="1369"/>
      <c r="M141" s="1370"/>
      <c r="N141" s="1371"/>
      <c r="P141" s="1371"/>
      <c r="Q141" s="1371"/>
      <c r="R141" s="1372"/>
      <c r="S141" s="1371"/>
      <c r="T141" s="1347"/>
      <c r="U141" s="1427"/>
      <c r="V141" s="1373"/>
      <c r="W141" s="1373"/>
      <c r="X141" s="1244"/>
    </row>
    <row r="142" spans="1:24" ht="29">
      <c r="A142" s="1323" t="s">
        <v>784</v>
      </c>
      <c r="B142" s="7" t="s">
        <v>2852</v>
      </c>
      <c r="C142" s="1363">
        <v>14321.596161676567</v>
      </c>
      <c r="D142" s="1364" t="s">
        <v>136</v>
      </c>
      <c r="E142" s="1365">
        <f>(SUM(E143:E147)/480)*10.76</f>
        <v>0.22416666666666665</v>
      </c>
      <c r="F142" s="1365">
        <f>(SUM(F143:F147)/480)*10.76</f>
        <v>3.3624999999999998</v>
      </c>
      <c r="G142" s="1495">
        <f>(SUM(G143:G147)/480)*10.76</f>
        <v>22.416666666666668</v>
      </c>
      <c r="H142" s="1495"/>
      <c r="I142" s="1495">
        <f>(SUM(I143:I147)/480)*10.76</f>
        <v>33.625</v>
      </c>
      <c r="J142" s="1496">
        <f>(SUM(J143:J147)/480)*10.76</f>
        <v>59.404166666666661</v>
      </c>
      <c r="K142" s="1464">
        <f>C142*J142</f>
        <v>850762.48532092839</v>
      </c>
      <c r="L142" s="1641"/>
      <c r="M142" s="1370">
        <f>(SUM(M143:M147)/480)*10.76</f>
        <v>3.3624999999999998</v>
      </c>
      <c r="N142" s="1499">
        <f>(SUM(N143:N147)/480)*10.76</f>
        <v>22.416666666666668</v>
      </c>
      <c r="P142" s="1499">
        <f>(SUM(P143:P147)/480)*10.76</f>
        <v>33.625</v>
      </c>
      <c r="Q142" s="1499">
        <f>(SUM(Q143:Q147)/480)*10.76</f>
        <v>59.404166666666661</v>
      </c>
      <c r="R142" s="1465">
        <f>C142*Q142</f>
        <v>850762.48532092839</v>
      </c>
      <c r="T142" s="1642">
        <f>J142-Q142</f>
        <v>0</v>
      </c>
      <c r="U142" s="1466">
        <f>K142-R142</f>
        <v>0</v>
      </c>
      <c r="V142" s="1502"/>
      <c r="W142" s="1502"/>
      <c r="X142" s="1244"/>
    </row>
    <row r="143" spans="1:24" hidden="1">
      <c r="A143" s="1323" t="s">
        <v>5976</v>
      </c>
      <c r="B143" s="1362" t="s">
        <v>2853</v>
      </c>
      <c r="C143" s="1363"/>
      <c r="D143" s="1364" t="s">
        <v>242</v>
      </c>
      <c r="E143" s="1365">
        <v>3</v>
      </c>
      <c r="F143" s="1365">
        <f>I143*F3</f>
        <v>45</v>
      </c>
      <c r="G143" s="1366">
        <f>E143*$G$3</f>
        <v>300</v>
      </c>
      <c r="H143" s="1366"/>
      <c r="I143" s="1366">
        <f>$I$3*E143</f>
        <v>450</v>
      </c>
      <c r="J143" s="1367">
        <f>SUM(F143:I143)</f>
        <v>795</v>
      </c>
      <c r="K143" s="1368"/>
      <c r="L143" s="1369"/>
      <c r="M143" s="1370">
        <f>P143*$M$3</f>
        <v>45</v>
      </c>
      <c r="N143" s="1371">
        <f>E143*$N$3</f>
        <v>300</v>
      </c>
      <c r="P143" s="1371">
        <f>$P$3*E143</f>
        <v>450</v>
      </c>
      <c r="Q143" s="1371">
        <f>SUM(M143:P143)</f>
        <v>795</v>
      </c>
      <c r="R143" s="1372"/>
      <c r="S143" s="1371"/>
      <c r="T143" s="1347">
        <f>J143-Q143</f>
        <v>0</v>
      </c>
      <c r="U143" s="1427"/>
      <c r="V143" s="1373"/>
      <c r="W143" s="1373"/>
      <c r="X143" s="1244"/>
    </row>
    <row r="144" spans="1:24" hidden="1">
      <c r="A144" s="1323" t="s">
        <v>5976</v>
      </c>
      <c r="B144" s="185" t="s">
        <v>2815</v>
      </c>
      <c r="C144" s="1363"/>
      <c r="D144" s="1364" t="s">
        <v>242</v>
      </c>
      <c r="E144" s="1365"/>
      <c r="F144" s="1365"/>
      <c r="G144" s="1366">
        <f>E144*$G$3</f>
        <v>0</v>
      </c>
      <c r="H144" s="1366"/>
      <c r="I144" s="1428"/>
      <c r="J144" s="1367">
        <f>SUM(F144:I144)</f>
        <v>0</v>
      </c>
      <c r="K144" s="1368"/>
      <c r="L144" s="1369"/>
      <c r="M144" s="1370"/>
      <c r="N144" s="1371">
        <f>E144*$N$3</f>
        <v>0</v>
      </c>
      <c r="P144" s="1429"/>
      <c r="Q144" s="1371">
        <f>SUM(M144:P144)</f>
        <v>0</v>
      </c>
      <c r="R144" s="1372"/>
      <c r="S144" s="1371"/>
      <c r="T144" s="1347">
        <f>J144-Q144</f>
        <v>0</v>
      </c>
      <c r="U144" s="1427"/>
      <c r="V144" s="1373"/>
      <c r="W144" s="1373"/>
      <c r="X144" s="1244"/>
    </row>
    <row r="145" spans="1:24" hidden="1">
      <c r="A145" s="1323" t="s">
        <v>5976</v>
      </c>
      <c r="B145" s="1362" t="s">
        <v>2817</v>
      </c>
      <c r="C145" s="1363"/>
      <c r="D145" s="1364" t="s">
        <v>242</v>
      </c>
      <c r="E145" s="1365">
        <v>5</v>
      </c>
      <c r="F145" s="1365">
        <f>I145*F3</f>
        <v>75</v>
      </c>
      <c r="G145" s="1366">
        <f>E145*$G$3</f>
        <v>500</v>
      </c>
      <c r="H145" s="1366"/>
      <c r="I145" s="1366">
        <f>$I$3*E145</f>
        <v>750</v>
      </c>
      <c r="J145" s="1367">
        <f>SUM(F145:I145)</f>
        <v>1325</v>
      </c>
      <c r="K145" s="1368"/>
      <c r="L145" s="1369"/>
      <c r="M145" s="1370">
        <f>P145*$M$3</f>
        <v>75</v>
      </c>
      <c r="N145" s="1371">
        <f>E145*$N$3</f>
        <v>500</v>
      </c>
      <c r="P145" s="1371">
        <f>$P$3*E145</f>
        <v>750</v>
      </c>
      <c r="Q145" s="1371">
        <f>SUM(M145:P145)</f>
        <v>1325</v>
      </c>
      <c r="R145" s="1372"/>
      <c r="S145" s="1371"/>
      <c r="T145" s="1347">
        <f>J145-Q145</f>
        <v>0</v>
      </c>
      <c r="U145" s="1427"/>
      <c r="V145" s="1373"/>
      <c r="W145" s="1373"/>
      <c r="X145" s="1244"/>
    </row>
    <row r="146" spans="1:24" hidden="1">
      <c r="A146" s="1323" t="s">
        <v>5976</v>
      </c>
      <c r="B146" s="1362" t="s">
        <v>2819</v>
      </c>
      <c r="C146" s="1363"/>
      <c r="D146" s="1364" t="s">
        <v>242</v>
      </c>
      <c r="E146" s="1365">
        <v>2</v>
      </c>
      <c r="F146" s="1365">
        <f>I146*F3</f>
        <v>30</v>
      </c>
      <c r="G146" s="1366">
        <f>E146*$G$3</f>
        <v>200</v>
      </c>
      <c r="H146" s="1366"/>
      <c r="I146" s="1366">
        <f>$I$3*E146</f>
        <v>300</v>
      </c>
      <c r="J146" s="1367">
        <f>SUM(F146:I146)</f>
        <v>530</v>
      </c>
      <c r="K146" s="1368"/>
      <c r="L146" s="1369"/>
      <c r="M146" s="1370">
        <f>P146*$M$3</f>
        <v>30</v>
      </c>
      <c r="N146" s="1371">
        <f>E146*$N$3</f>
        <v>200</v>
      </c>
      <c r="P146" s="1371">
        <f>$P$3*E146</f>
        <v>300</v>
      </c>
      <c r="Q146" s="1371">
        <f>SUM(M146:P146)</f>
        <v>530</v>
      </c>
      <c r="R146" s="1372"/>
      <c r="S146" s="1371"/>
      <c r="T146" s="1347">
        <f>J146-Q146</f>
        <v>0</v>
      </c>
      <c r="U146" s="1427"/>
      <c r="V146" s="1373"/>
      <c r="W146" s="1373"/>
      <c r="X146" s="1244"/>
    </row>
    <row r="147" spans="1:24" hidden="1">
      <c r="A147" s="1323" t="s">
        <v>7781</v>
      </c>
      <c r="B147" s="1362"/>
      <c r="C147" s="1363"/>
      <c r="D147" s="1364"/>
      <c r="E147" s="1365"/>
      <c r="F147" s="1365"/>
      <c r="G147" s="1366"/>
      <c r="H147" s="1366"/>
      <c r="K147" s="1464"/>
      <c r="M147" s="1370"/>
      <c r="N147" s="1371"/>
      <c r="R147" s="1465"/>
      <c r="T147" s="1347"/>
      <c r="U147" s="1466"/>
      <c r="X147" s="1244"/>
    </row>
    <row r="148" spans="1:24">
      <c r="A148" s="1323" t="s">
        <v>2857</v>
      </c>
      <c r="B148" s="7" t="s">
        <v>2858</v>
      </c>
      <c r="C148" s="1363">
        <v>3464.8698884758373</v>
      </c>
      <c r="D148" s="1364" t="s">
        <v>136</v>
      </c>
      <c r="E148" s="1365">
        <f>(SUM(E149:E153)/480)*10.76</f>
        <v>0.56041666666666667</v>
      </c>
      <c r="F148" s="1365">
        <f>(SUM(F149:F153)/480)*10.76</f>
        <v>3.3624999999999998</v>
      </c>
      <c r="G148" s="1495">
        <f>(SUM(G149:G153)/480)*10.76</f>
        <v>56.041666666666664</v>
      </c>
      <c r="H148" s="1495"/>
      <c r="I148" s="1495">
        <f>(SUM(I149:I153)/480)*10.76</f>
        <v>84.0625</v>
      </c>
      <c r="J148" s="1496">
        <f>(SUM(J149:J153)/480)*10.76</f>
        <v>143.46666666666667</v>
      </c>
      <c r="K148" s="1464">
        <f>C148*J148</f>
        <v>497093.33333333349</v>
      </c>
      <c r="L148" s="1641"/>
      <c r="M148" s="1370">
        <f>(SUM(M149:M153)/480)*10.76</f>
        <v>3.3624999999999998</v>
      </c>
      <c r="N148" s="1499">
        <f>(SUM(N149:N153)/480)*10.76</f>
        <v>56.041666666666664</v>
      </c>
      <c r="P148" s="1499">
        <f>(SUM(P149:P153)/480)*10.76</f>
        <v>84.0625</v>
      </c>
      <c r="Q148" s="1499">
        <f>(SUM(Q149:Q153)/480)*10.76</f>
        <v>143.46666666666667</v>
      </c>
      <c r="R148" s="1465">
        <f>C148*Q148</f>
        <v>497093.33333333349</v>
      </c>
      <c r="T148" s="1642">
        <f>J148-Q148</f>
        <v>0</v>
      </c>
      <c r="U148" s="1466">
        <f>K148-R148</f>
        <v>0</v>
      </c>
      <c r="V148" s="1502"/>
      <c r="W148" s="1502"/>
      <c r="X148" s="1244"/>
    </row>
    <row r="149" spans="1:24" hidden="1">
      <c r="A149" s="1323" t="s">
        <v>5976</v>
      </c>
      <c r="B149" s="1362" t="s">
        <v>2853</v>
      </c>
      <c r="C149" s="1363"/>
      <c r="D149" s="1364" t="s">
        <v>242</v>
      </c>
      <c r="E149" s="1365">
        <v>3</v>
      </c>
      <c r="F149" s="1365">
        <f>I149*F3</f>
        <v>45</v>
      </c>
      <c r="G149" s="1366">
        <f>E149*$G$3</f>
        <v>300</v>
      </c>
      <c r="H149" s="1366"/>
      <c r="I149" s="1366">
        <f>$I$3*E149</f>
        <v>450</v>
      </c>
      <c r="J149" s="1367">
        <f>SUM(F149:I149)</f>
        <v>795</v>
      </c>
      <c r="K149" s="1368"/>
      <c r="L149" s="1369"/>
      <c r="M149" s="1370">
        <f>P149*$M$3</f>
        <v>45</v>
      </c>
      <c r="N149" s="1371">
        <f>E149*$N$3</f>
        <v>300</v>
      </c>
      <c r="P149" s="1371">
        <f>$P$3*E149</f>
        <v>450</v>
      </c>
      <c r="Q149" s="1371">
        <f>SUM(M149:P149)</f>
        <v>795</v>
      </c>
      <c r="R149" s="1372"/>
      <c r="S149" s="1371"/>
      <c r="T149" s="1347">
        <f>J149-Q149</f>
        <v>0</v>
      </c>
      <c r="U149" s="1427"/>
      <c r="V149" s="1373"/>
      <c r="W149" s="1373"/>
      <c r="X149" s="1244"/>
    </row>
    <row r="150" spans="1:24" hidden="1">
      <c r="A150" s="1323" t="s">
        <v>5976</v>
      </c>
      <c r="B150" s="185" t="s">
        <v>2815</v>
      </c>
      <c r="C150" s="1363"/>
      <c r="D150" s="1364" t="s">
        <v>242</v>
      </c>
      <c r="E150" s="1365">
        <v>15</v>
      </c>
      <c r="F150" s="1365"/>
      <c r="G150" s="1366">
        <f>E150*$G$3</f>
        <v>1500</v>
      </c>
      <c r="H150" s="1366"/>
      <c r="I150" s="1366">
        <f>$I$3*E150</f>
        <v>2250</v>
      </c>
      <c r="J150" s="1367">
        <f>SUM(F150:I150)</f>
        <v>3750</v>
      </c>
      <c r="K150" s="1368"/>
      <c r="L150" s="1369"/>
      <c r="M150" s="1370"/>
      <c r="N150" s="1371">
        <f>E150*$N$3</f>
        <v>1500</v>
      </c>
      <c r="P150" s="1371">
        <f>$P$3*E150</f>
        <v>2250</v>
      </c>
      <c r="Q150" s="1371">
        <f>SUM(M150:P150)</f>
        <v>3750</v>
      </c>
      <c r="R150" s="1372"/>
      <c r="S150" s="1371"/>
      <c r="T150" s="1347">
        <f>J150-Q150</f>
        <v>0</v>
      </c>
      <c r="U150" s="1427"/>
      <c r="V150" s="1373"/>
      <c r="W150" s="1373"/>
      <c r="X150" s="1244"/>
    </row>
    <row r="151" spans="1:24" hidden="1">
      <c r="A151" s="1323" t="s">
        <v>5976</v>
      </c>
      <c r="B151" s="1362" t="s">
        <v>2817</v>
      </c>
      <c r="C151" s="1363"/>
      <c r="D151" s="1364" t="s">
        <v>242</v>
      </c>
      <c r="E151" s="1365">
        <v>5</v>
      </c>
      <c r="F151" s="1365">
        <f>I151*F3</f>
        <v>75</v>
      </c>
      <c r="G151" s="1366">
        <f>E151*$G$3</f>
        <v>500</v>
      </c>
      <c r="H151" s="1366"/>
      <c r="I151" s="1366">
        <f>$I$3*E151</f>
        <v>750</v>
      </c>
      <c r="J151" s="1367">
        <f>SUM(F151:I151)</f>
        <v>1325</v>
      </c>
      <c r="K151" s="1368"/>
      <c r="L151" s="1369"/>
      <c r="M151" s="1370">
        <f>P151*$M$3</f>
        <v>75</v>
      </c>
      <c r="N151" s="1371">
        <f>E151*$N$3</f>
        <v>500</v>
      </c>
      <c r="P151" s="1371">
        <f>$P$3*E151</f>
        <v>750</v>
      </c>
      <c r="Q151" s="1371">
        <f>SUM(M151:P151)</f>
        <v>1325</v>
      </c>
      <c r="R151" s="1372"/>
      <c r="S151" s="1371"/>
      <c r="T151" s="1347">
        <f>J151-Q151</f>
        <v>0</v>
      </c>
      <c r="U151" s="1427"/>
      <c r="V151" s="1373"/>
      <c r="W151" s="1373"/>
      <c r="X151" s="1244"/>
    </row>
    <row r="152" spans="1:24" hidden="1">
      <c r="A152" s="1323" t="s">
        <v>5976</v>
      </c>
      <c r="B152" s="1362" t="s">
        <v>2819</v>
      </c>
      <c r="C152" s="1363"/>
      <c r="D152" s="1364" t="s">
        <v>242</v>
      </c>
      <c r="E152" s="1365">
        <v>2</v>
      </c>
      <c r="F152" s="1365">
        <f>I152*F3</f>
        <v>30</v>
      </c>
      <c r="G152" s="1366">
        <f>E152*$G$3</f>
        <v>200</v>
      </c>
      <c r="H152" s="1366"/>
      <c r="I152" s="1366">
        <f>$I$3*E152</f>
        <v>300</v>
      </c>
      <c r="J152" s="1367">
        <f>SUM(F152:I152)</f>
        <v>530</v>
      </c>
      <c r="K152" s="1368"/>
      <c r="L152" s="1369"/>
      <c r="M152" s="1370">
        <f>P152*$M$3</f>
        <v>30</v>
      </c>
      <c r="N152" s="1371">
        <f>E152*$N$3</f>
        <v>200</v>
      </c>
      <c r="P152" s="1371">
        <f>$P$3*E152</f>
        <v>300</v>
      </c>
      <c r="Q152" s="1371">
        <f>SUM(M152:P152)</f>
        <v>530</v>
      </c>
      <c r="R152" s="1372"/>
      <c r="S152" s="1371"/>
      <c r="T152" s="1347">
        <f>J152-Q152</f>
        <v>0</v>
      </c>
      <c r="U152" s="1427"/>
      <c r="V152" s="1373"/>
      <c r="W152" s="1373"/>
      <c r="X152" s="1244"/>
    </row>
    <row r="153" spans="1:24" hidden="1">
      <c r="A153" s="1323" t="s">
        <v>7781</v>
      </c>
      <c r="B153" s="1362"/>
      <c r="C153" s="1363"/>
      <c r="D153" s="1364"/>
      <c r="E153" s="1365"/>
      <c r="F153" s="1365"/>
      <c r="K153" s="1464"/>
      <c r="M153" s="1370"/>
      <c r="R153" s="1465"/>
      <c r="T153" s="1347"/>
      <c r="U153" s="1466"/>
      <c r="X153" s="1244"/>
    </row>
    <row r="154" spans="1:24" ht="29">
      <c r="A154" s="1323" t="s">
        <v>516</v>
      </c>
      <c r="B154" s="7" t="s">
        <v>2860</v>
      </c>
      <c r="C154" s="1363">
        <v>2157.7843866171006</v>
      </c>
      <c r="D154" s="1364" t="s">
        <v>136</v>
      </c>
      <c r="E154" s="1365">
        <f>(SUM(E156:E159)/480)*10.76</f>
        <v>0.15691666666666668</v>
      </c>
      <c r="F154" s="1365">
        <f>(SUM(F156:F159)/480)*10.76</f>
        <v>2.3537499999999998</v>
      </c>
      <c r="G154" s="1495">
        <f>(SUM(G156:G159)/480)*10.76</f>
        <v>15.691666666666666</v>
      </c>
      <c r="H154" s="1495"/>
      <c r="I154" s="1495">
        <f>(SUM(I156:I159)/480)*10.76</f>
        <v>23.537499999999998</v>
      </c>
      <c r="J154" s="1496">
        <f>(SUM(J156:J159)/480)*10.76</f>
        <v>41.582916666666669</v>
      </c>
      <c r="K154" s="1464">
        <f>C154*J154</f>
        <v>89726.968333333352</v>
      </c>
      <c r="L154" s="1641"/>
      <c r="M154" s="1370">
        <f>(SUM(M156:M159)/480)*10.76</f>
        <v>2.3537499999999998</v>
      </c>
      <c r="N154" s="1499">
        <f>(SUM(N156:N159)/480)*10.76</f>
        <v>15.691666666666666</v>
      </c>
      <c r="P154" s="1499">
        <f>(SUM(P156:P159)/480)*10.76</f>
        <v>23.537499999999998</v>
      </c>
      <c r="Q154" s="1499">
        <f>(SUM(Q156:Q159)/480)*10.76</f>
        <v>41.582916666666669</v>
      </c>
      <c r="R154" s="1465">
        <f>C154*Q154</f>
        <v>89726.968333333352</v>
      </c>
      <c r="T154" s="1642">
        <f>J154-Q154</f>
        <v>0</v>
      </c>
      <c r="U154" s="1466">
        <f>K154-R154</f>
        <v>0</v>
      </c>
      <c r="V154" s="1502"/>
      <c r="W154" s="1502"/>
      <c r="X154" s="1244"/>
    </row>
    <row r="155" spans="1:24" hidden="1">
      <c r="A155" s="1323" t="s">
        <v>5976</v>
      </c>
      <c r="B155" s="1362" t="s">
        <v>2853</v>
      </c>
      <c r="C155" s="1363"/>
      <c r="D155" s="1364" t="s">
        <v>242</v>
      </c>
      <c r="E155" s="1365">
        <v>2</v>
      </c>
      <c r="F155" s="1365">
        <f>I155*F3</f>
        <v>30</v>
      </c>
      <c r="G155" s="1366">
        <f>E155*$G$3</f>
        <v>200</v>
      </c>
      <c r="H155" s="1366"/>
      <c r="I155" s="1366">
        <f>$I$3*E155</f>
        <v>300</v>
      </c>
      <c r="J155" s="1367">
        <f>SUM(F155:I155)</f>
        <v>530</v>
      </c>
      <c r="K155" s="1368"/>
      <c r="L155" s="1369"/>
      <c r="M155" s="1370">
        <f>P155*$M$3</f>
        <v>30</v>
      </c>
      <c r="N155" s="1371">
        <f>E155*$N$3</f>
        <v>200</v>
      </c>
      <c r="P155" s="1371">
        <f>$P$3*E155</f>
        <v>300</v>
      </c>
      <c r="Q155" s="1371">
        <f>SUM(M155:P155)</f>
        <v>530</v>
      </c>
      <c r="R155" s="1372"/>
      <c r="S155" s="1371"/>
      <c r="T155" s="1347">
        <f>J155-Q155</f>
        <v>0</v>
      </c>
      <c r="U155" s="1427"/>
      <c r="V155" s="1373"/>
      <c r="W155" s="1373"/>
      <c r="X155" s="1244"/>
    </row>
    <row r="156" spans="1:24" hidden="1">
      <c r="A156" s="1323" t="s">
        <v>5976</v>
      </c>
      <c r="B156" s="1362" t="s">
        <v>2813</v>
      </c>
      <c r="C156" s="1363"/>
      <c r="D156" s="1364" t="s">
        <v>242</v>
      </c>
      <c r="E156" s="1365">
        <v>3</v>
      </c>
      <c r="F156" s="1365">
        <f>I156*F3</f>
        <v>45</v>
      </c>
      <c r="G156" s="1366">
        <f>E156*$G$3</f>
        <v>300</v>
      </c>
      <c r="H156" s="1366"/>
      <c r="I156" s="1366">
        <f>$I$3*E156</f>
        <v>450</v>
      </c>
      <c r="J156" s="1367">
        <f>SUM(F156:I156)</f>
        <v>795</v>
      </c>
      <c r="K156" s="1368"/>
      <c r="L156" s="1369"/>
      <c r="M156" s="1370">
        <f>P156*$M$3</f>
        <v>45</v>
      </c>
      <c r="N156" s="1371">
        <f>E156*$N$3</f>
        <v>300</v>
      </c>
      <c r="P156" s="1371">
        <f>$P$3*E156</f>
        <v>450</v>
      </c>
      <c r="Q156" s="1371">
        <f>SUM(M156:P156)</f>
        <v>795</v>
      </c>
      <c r="R156" s="1372"/>
      <c r="S156" s="1371"/>
      <c r="T156" s="1347">
        <f>J156-Q156</f>
        <v>0</v>
      </c>
      <c r="U156" s="1427"/>
      <c r="V156" s="1373"/>
      <c r="W156" s="1373"/>
      <c r="X156" s="1244"/>
    </row>
    <row r="157" spans="1:24" hidden="1">
      <c r="A157" s="1323" t="s">
        <v>5976</v>
      </c>
      <c r="B157" s="185" t="s">
        <v>2815</v>
      </c>
      <c r="C157" s="1363"/>
      <c r="D157" s="1364" t="s">
        <v>242</v>
      </c>
      <c r="E157" s="1365"/>
      <c r="F157" s="1365"/>
      <c r="G157" s="1366">
        <f>E157*$G$3</f>
        <v>0</v>
      </c>
      <c r="H157" s="1366"/>
      <c r="I157" s="1428"/>
      <c r="J157" s="1367">
        <f>SUM(F157:I157)</f>
        <v>0</v>
      </c>
      <c r="K157" s="1368"/>
      <c r="L157" s="1369"/>
      <c r="M157" s="1370"/>
      <c r="N157" s="1371">
        <f>E157*$N$3</f>
        <v>0</v>
      </c>
      <c r="P157" s="1429"/>
      <c r="Q157" s="1371">
        <f>SUM(M157:P157)</f>
        <v>0</v>
      </c>
      <c r="R157" s="1372"/>
      <c r="S157" s="1371"/>
      <c r="T157" s="1347">
        <f>J157-Q157</f>
        <v>0</v>
      </c>
      <c r="U157" s="1427"/>
      <c r="V157" s="1373"/>
      <c r="W157" s="1373"/>
      <c r="X157" s="1244"/>
    </row>
    <row r="158" spans="1:24" hidden="1">
      <c r="A158" s="1323" t="s">
        <v>5976</v>
      </c>
      <c r="B158" s="1362" t="s">
        <v>2817</v>
      </c>
      <c r="C158" s="1363"/>
      <c r="D158" s="1364" t="s">
        <v>242</v>
      </c>
      <c r="E158" s="1365">
        <v>2</v>
      </c>
      <c r="F158" s="1365">
        <f>I158*F3</f>
        <v>30</v>
      </c>
      <c r="G158" s="1366">
        <f>E158*$G$3</f>
        <v>200</v>
      </c>
      <c r="H158" s="1366"/>
      <c r="I158" s="1366">
        <f>$I$3*E158</f>
        <v>300</v>
      </c>
      <c r="J158" s="1367">
        <f>SUM(F158:I158)</f>
        <v>530</v>
      </c>
      <c r="K158" s="1368"/>
      <c r="L158" s="1369"/>
      <c r="M158" s="1370">
        <f>P158*$M$3</f>
        <v>30</v>
      </c>
      <c r="N158" s="1371">
        <f>E158*$N$3</f>
        <v>200</v>
      </c>
      <c r="P158" s="1371">
        <f>$P$3*E158</f>
        <v>300</v>
      </c>
      <c r="Q158" s="1371">
        <f>SUM(M158:P158)</f>
        <v>530</v>
      </c>
      <c r="R158" s="1372"/>
      <c r="S158" s="1371"/>
      <c r="T158" s="1347">
        <f>J158-Q158</f>
        <v>0</v>
      </c>
      <c r="U158" s="1427"/>
      <c r="V158" s="1373"/>
      <c r="W158" s="1373"/>
      <c r="X158" s="1244"/>
    </row>
    <row r="159" spans="1:24" hidden="1">
      <c r="A159" s="1323" t="s">
        <v>5976</v>
      </c>
      <c r="B159" s="1362" t="s">
        <v>2819</v>
      </c>
      <c r="C159" s="1363"/>
      <c r="D159" s="1364" t="s">
        <v>242</v>
      </c>
      <c r="E159" s="1365">
        <v>2</v>
      </c>
      <c r="F159" s="1365">
        <f>I159*F3</f>
        <v>30</v>
      </c>
      <c r="G159" s="1366">
        <f>E159*$G$3</f>
        <v>200</v>
      </c>
      <c r="H159" s="1366"/>
      <c r="I159" s="1366">
        <f>$I$3*E159</f>
        <v>300</v>
      </c>
      <c r="J159" s="1367">
        <f>SUM(F159:I159)</f>
        <v>530</v>
      </c>
      <c r="K159" s="1368"/>
      <c r="L159" s="1369"/>
      <c r="M159" s="1370">
        <f>P159*$M$3</f>
        <v>30</v>
      </c>
      <c r="N159" s="1371">
        <f>E159*$N$3</f>
        <v>200</v>
      </c>
      <c r="P159" s="1371">
        <f>$P$3*E159</f>
        <v>300</v>
      </c>
      <c r="Q159" s="1371">
        <f>SUM(M159:P159)</f>
        <v>530</v>
      </c>
      <c r="R159" s="1372"/>
      <c r="S159" s="1371"/>
      <c r="T159" s="1347">
        <f>J159-Q159</f>
        <v>0</v>
      </c>
      <c r="U159" s="1427"/>
      <c r="V159" s="1373"/>
      <c r="W159" s="1373"/>
      <c r="X159" s="1244"/>
    </row>
    <row r="160" spans="1:24" hidden="1">
      <c r="A160" s="1323" t="s">
        <v>7781</v>
      </c>
      <c r="B160" s="1362"/>
      <c r="C160" s="1363"/>
      <c r="D160" s="1364"/>
      <c r="E160" s="1365"/>
      <c r="F160" s="1365"/>
      <c r="G160" s="1366"/>
      <c r="H160" s="1366"/>
      <c r="I160" s="1366"/>
      <c r="J160" s="1367"/>
      <c r="K160" s="1368"/>
      <c r="L160" s="1369"/>
      <c r="M160" s="1370"/>
      <c r="N160" s="1371"/>
      <c r="P160" s="1371"/>
      <c r="Q160" s="1371"/>
      <c r="R160" s="1372"/>
      <c r="S160" s="1371"/>
      <c r="T160" s="1347"/>
      <c r="U160" s="1427"/>
      <c r="V160" s="1373"/>
      <c r="W160" s="1373"/>
      <c r="X160" s="1244"/>
    </row>
    <row r="161" spans="1:24" ht="29">
      <c r="A161" s="1323" t="s">
        <v>1747</v>
      </c>
      <c r="B161" s="7" t="s">
        <v>7782</v>
      </c>
      <c r="C161" s="1363">
        <v>14103.748550185872</v>
      </c>
      <c r="D161" s="1364" t="s">
        <v>136</v>
      </c>
      <c r="E161" s="1365">
        <f>(SUM(E163:E167)/480)*10.76</f>
        <v>0.56041666666666667</v>
      </c>
      <c r="F161" s="1365">
        <f>(SUM(F163:F167)/480)*10.76</f>
        <v>2.3537499999999998</v>
      </c>
      <c r="G161" s="1495">
        <f>(SUM(G163:G167)/480)*10.76</f>
        <v>56.041666666666664</v>
      </c>
      <c r="H161" s="1495"/>
      <c r="I161" s="1495">
        <f>(SUM(I163:I167)/480)*10.76</f>
        <v>84.0625</v>
      </c>
      <c r="J161" s="1496">
        <f>(SUM(J163:J167)/480)*10.76</f>
        <v>142.45791666666668</v>
      </c>
      <c r="K161" s="1464">
        <f>C161*J161</f>
        <v>2009190.6356499998</v>
      </c>
      <c r="L161" s="1641"/>
      <c r="M161" s="1370">
        <f>(SUM(M163:M167)/480)*10.76</f>
        <v>2.3537499999999998</v>
      </c>
      <c r="N161" s="1499">
        <f>(SUM(N163:N167)/480)*10.76</f>
        <v>56.041666666666664</v>
      </c>
      <c r="P161" s="1499">
        <f>(SUM(P163:P167)/480)*10.76</f>
        <v>84.0625</v>
      </c>
      <c r="Q161" s="1499">
        <f>(SUM(Q163:Q167)/480)*10.76</f>
        <v>142.45791666666668</v>
      </c>
      <c r="R161" s="1465">
        <f>C161*Q161</f>
        <v>2009190.6356499998</v>
      </c>
      <c r="T161" s="1642">
        <f>J161-Q161</f>
        <v>0</v>
      </c>
      <c r="U161" s="1466">
        <f>K161-R161</f>
        <v>0</v>
      </c>
      <c r="V161" s="1502"/>
      <c r="W161" s="1502"/>
      <c r="X161" s="1244"/>
    </row>
    <row r="162" spans="1:24" hidden="1">
      <c r="A162" s="1323" t="s">
        <v>5976</v>
      </c>
      <c r="B162" s="1362" t="s">
        <v>2853</v>
      </c>
      <c r="C162" s="1363"/>
      <c r="D162" s="1364" t="s">
        <v>242</v>
      </c>
      <c r="E162" s="1365">
        <v>2</v>
      </c>
      <c r="F162" s="1365">
        <f>I162*F3</f>
        <v>30</v>
      </c>
      <c r="G162" s="1366">
        <f>E162*$G$3</f>
        <v>200</v>
      </c>
      <c r="H162" s="1366"/>
      <c r="I162" s="1366">
        <f>$I$3*E162</f>
        <v>300</v>
      </c>
      <c r="J162" s="1367">
        <f>SUM(F162:I162)</f>
        <v>530</v>
      </c>
      <c r="K162" s="1368"/>
      <c r="L162" s="1369"/>
      <c r="M162" s="1370">
        <f>P162*$M$3</f>
        <v>30</v>
      </c>
      <c r="N162" s="1371">
        <f>E162*$N$3</f>
        <v>200</v>
      </c>
      <c r="P162" s="1371">
        <f>$P$3*E162</f>
        <v>300</v>
      </c>
      <c r="Q162" s="1371">
        <f>SUM(M162:P162)</f>
        <v>530</v>
      </c>
      <c r="R162" s="1372"/>
      <c r="S162" s="1371"/>
      <c r="T162" s="1347">
        <f>J162-Q162</f>
        <v>0</v>
      </c>
      <c r="U162" s="1427"/>
      <c r="V162" s="1373"/>
      <c r="W162" s="1373"/>
      <c r="X162" s="1244"/>
    </row>
    <row r="163" spans="1:24" hidden="1">
      <c r="A163" s="1323" t="s">
        <v>5976</v>
      </c>
      <c r="B163" s="1362" t="s">
        <v>2813</v>
      </c>
      <c r="C163" s="1363"/>
      <c r="D163" s="1364" t="s">
        <v>242</v>
      </c>
      <c r="E163" s="1365">
        <v>3</v>
      </c>
      <c r="F163" s="1365">
        <f>I163*F3</f>
        <v>45</v>
      </c>
      <c r="G163" s="1366">
        <f>E163*$G$3</f>
        <v>300</v>
      </c>
      <c r="H163" s="1366"/>
      <c r="I163" s="1366">
        <f>$I$3*E163</f>
        <v>450</v>
      </c>
      <c r="J163" s="1367">
        <f>SUM(F163:I163)</f>
        <v>795</v>
      </c>
      <c r="K163" s="1368"/>
      <c r="L163" s="1369"/>
      <c r="M163" s="1370">
        <f>P163*$M$3</f>
        <v>45</v>
      </c>
      <c r="N163" s="1371">
        <f>E163*$N$3</f>
        <v>300</v>
      </c>
      <c r="P163" s="1371">
        <f>$P$3*E163</f>
        <v>450</v>
      </c>
      <c r="Q163" s="1371">
        <f>SUM(M163:P163)</f>
        <v>795</v>
      </c>
      <c r="R163" s="1372"/>
      <c r="S163" s="1371"/>
      <c r="T163" s="1347">
        <f>J163-Q163</f>
        <v>0</v>
      </c>
      <c r="U163" s="1427"/>
      <c r="V163" s="1373"/>
      <c r="W163" s="1373"/>
      <c r="X163" s="1244"/>
    </row>
    <row r="164" spans="1:24" hidden="1">
      <c r="A164" s="1323" t="s">
        <v>5976</v>
      </c>
      <c r="B164" s="185" t="s">
        <v>2815</v>
      </c>
      <c r="C164" s="1363"/>
      <c r="D164" s="1364" t="s">
        <v>242</v>
      </c>
      <c r="E164" s="1365">
        <v>18</v>
      </c>
      <c r="F164" s="1365"/>
      <c r="G164" s="1366">
        <f>E164*$G$3</f>
        <v>1800</v>
      </c>
      <c r="H164" s="1366"/>
      <c r="I164" s="1366">
        <f>$I$3*E164</f>
        <v>2700</v>
      </c>
      <c r="J164" s="1367">
        <f>SUM(F164:I164)</f>
        <v>4500</v>
      </c>
      <c r="K164" s="1368"/>
      <c r="L164" s="1369"/>
      <c r="M164" s="1370"/>
      <c r="N164" s="1371">
        <f>E164*$N$3</f>
        <v>1800</v>
      </c>
      <c r="P164" s="1371">
        <f>$P$3*E164</f>
        <v>2700</v>
      </c>
      <c r="Q164" s="1371">
        <f>SUM(M164:P164)</f>
        <v>4500</v>
      </c>
      <c r="R164" s="1372"/>
      <c r="S164" s="1371"/>
      <c r="T164" s="1347">
        <f>J164-Q164</f>
        <v>0</v>
      </c>
      <c r="U164" s="1427"/>
      <c r="V164" s="1373"/>
      <c r="W164" s="1373"/>
      <c r="X164" s="1244"/>
    </row>
    <row r="165" spans="1:24" hidden="1">
      <c r="A165" s="1323" t="s">
        <v>5976</v>
      </c>
      <c r="B165" s="1362" t="s">
        <v>2817</v>
      </c>
      <c r="C165" s="1363"/>
      <c r="D165" s="1364" t="s">
        <v>242</v>
      </c>
      <c r="E165" s="1365">
        <v>2</v>
      </c>
      <c r="F165" s="1365">
        <f>I165*F3</f>
        <v>30</v>
      </c>
      <c r="G165" s="1366">
        <f>E165*$G$3</f>
        <v>200</v>
      </c>
      <c r="H165" s="1366"/>
      <c r="I165" s="1366">
        <f>$I$3*E165</f>
        <v>300</v>
      </c>
      <c r="J165" s="1367">
        <f>SUM(F165:I165)</f>
        <v>530</v>
      </c>
      <c r="K165" s="1368"/>
      <c r="L165" s="1369"/>
      <c r="M165" s="1370">
        <f>P165*$M$3</f>
        <v>30</v>
      </c>
      <c r="N165" s="1371">
        <f>E165*$N$3</f>
        <v>200</v>
      </c>
      <c r="P165" s="1371">
        <f>$P$3*E165</f>
        <v>300</v>
      </c>
      <c r="Q165" s="1371">
        <f>SUM(M165:P165)</f>
        <v>530</v>
      </c>
      <c r="R165" s="1372"/>
      <c r="S165" s="1371"/>
      <c r="T165" s="1347">
        <f>J165-Q165</f>
        <v>0</v>
      </c>
      <c r="U165" s="1427"/>
      <c r="V165" s="1373"/>
      <c r="W165" s="1373"/>
      <c r="X165" s="1244"/>
    </row>
    <row r="166" spans="1:24" hidden="1">
      <c r="A166" s="1323" t="s">
        <v>5976</v>
      </c>
      <c r="B166" s="1362" t="s">
        <v>2819</v>
      </c>
      <c r="C166" s="1363"/>
      <c r="D166" s="1364" t="s">
        <v>242</v>
      </c>
      <c r="E166" s="1365">
        <v>2</v>
      </c>
      <c r="F166" s="1365">
        <f>I166*F3</f>
        <v>30</v>
      </c>
      <c r="G166" s="1366">
        <f>E166*$G$3</f>
        <v>200</v>
      </c>
      <c r="H166" s="1366"/>
      <c r="I166" s="1366">
        <f>$I$3*E166</f>
        <v>300</v>
      </c>
      <c r="J166" s="1367">
        <f>SUM(F166:I166)</f>
        <v>530</v>
      </c>
      <c r="K166" s="1368"/>
      <c r="L166" s="1369"/>
      <c r="M166" s="1370">
        <f>P166*$M$3</f>
        <v>30</v>
      </c>
      <c r="N166" s="1371">
        <f>E166*$N$3</f>
        <v>200</v>
      </c>
      <c r="P166" s="1371">
        <f>$P$3*E166</f>
        <v>300</v>
      </c>
      <c r="Q166" s="1371">
        <f>SUM(M166:P166)</f>
        <v>530</v>
      </c>
      <c r="R166" s="1372"/>
      <c r="S166" s="1371"/>
      <c r="T166" s="1347">
        <f>J166-Q166</f>
        <v>0</v>
      </c>
      <c r="U166" s="1427"/>
      <c r="V166" s="1373"/>
      <c r="W166" s="1373"/>
      <c r="X166" s="1244"/>
    </row>
    <row r="167" spans="1:24" hidden="1">
      <c r="A167" s="1323" t="s">
        <v>7781</v>
      </c>
      <c r="B167" s="1362"/>
      <c r="C167" s="1363"/>
      <c r="D167" s="1364"/>
      <c r="E167" s="1365"/>
      <c r="F167" s="1365"/>
      <c r="K167" s="1464"/>
      <c r="M167" s="1370"/>
      <c r="R167" s="1465"/>
      <c r="T167" s="1347"/>
      <c r="U167" s="1466"/>
      <c r="X167" s="1244"/>
    </row>
    <row r="168" spans="1:24" ht="29">
      <c r="A168" s="1323" t="s">
        <v>1642</v>
      </c>
      <c r="B168" s="7" t="s">
        <v>2866</v>
      </c>
      <c r="C168" s="1363">
        <v>14759.48</v>
      </c>
      <c r="D168" s="1364" t="s">
        <v>136</v>
      </c>
      <c r="E168" s="1365">
        <f>(SUM(E169:E173)/480)*10.76</f>
        <v>0.17933333333333332</v>
      </c>
      <c r="F168" s="1365">
        <f>(SUM(F169:F173)/480)*10.76</f>
        <v>2.69</v>
      </c>
      <c r="G168" s="1495">
        <f>(SUM(G169:G173)/480)*10.76</f>
        <v>17.933333333333334</v>
      </c>
      <c r="H168" s="1495"/>
      <c r="I168" s="1495">
        <f>(SUM(I169:I173)/480)*10.76</f>
        <v>26.9</v>
      </c>
      <c r="J168" s="1496">
        <f>(SUM(J169:J173)/480)*10.76</f>
        <v>47.523333333333333</v>
      </c>
      <c r="K168" s="1464">
        <f>C168*J168</f>
        <v>701419.6878666667</v>
      </c>
      <c r="L168" s="1641"/>
      <c r="M168" s="1370">
        <f>(SUM(M169:M173)/480)*10.76</f>
        <v>2.69</v>
      </c>
      <c r="N168" s="1499">
        <f>(SUM(N169:N173)/480)*10.76</f>
        <v>17.933333333333334</v>
      </c>
      <c r="P168" s="1499">
        <f>(SUM(P169:P173)/480)*10.76</f>
        <v>26.9</v>
      </c>
      <c r="Q168" s="1499">
        <f>(SUM(Q169:Q173)/480)*10.76</f>
        <v>47.523333333333333</v>
      </c>
      <c r="R168" s="1465">
        <f>C168*Q168</f>
        <v>701419.6878666667</v>
      </c>
      <c r="T168" s="1642">
        <f>J168-Q168</f>
        <v>0</v>
      </c>
      <c r="U168" s="1466">
        <f>K168-R168</f>
        <v>0</v>
      </c>
      <c r="V168" s="1502"/>
      <c r="W168" s="1502"/>
      <c r="X168" s="1244"/>
    </row>
    <row r="169" spans="1:24" hidden="1">
      <c r="A169" s="1323" t="s">
        <v>5976</v>
      </c>
      <c r="B169" s="1362" t="s">
        <v>2813</v>
      </c>
      <c r="C169" s="1363"/>
      <c r="D169" s="1364" t="s">
        <v>242</v>
      </c>
      <c r="E169" s="1365">
        <v>2</v>
      </c>
      <c r="F169" s="1365">
        <f>I169*F3</f>
        <v>30</v>
      </c>
      <c r="G169" s="1366">
        <f>E169*$G$3</f>
        <v>200</v>
      </c>
      <c r="H169" s="1366"/>
      <c r="I169" s="1366">
        <f>$I$3*E169</f>
        <v>300</v>
      </c>
      <c r="J169" s="1367">
        <f>SUM(F169:I169)</f>
        <v>530</v>
      </c>
      <c r="K169" s="1368"/>
      <c r="L169" s="1369"/>
      <c r="M169" s="1370">
        <f>P169*$M$3</f>
        <v>30</v>
      </c>
      <c r="N169" s="1371">
        <f>E169*$N$3</f>
        <v>200</v>
      </c>
      <c r="P169" s="1371">
        <f>$P$3*E169</f>
        <v>300</v>
      </c>
      <c r="Q169" s="1371">
        <f>SUM(M169:P169)</f>
        <v>530</v>
      </c>
      <c r="R169" s="1372"/>
      <c r="S169" s="1371"/>
      <c r="T169" s="1347">
        <f>J169-Q169</f>
        <v>0</v>
      </c>
      <c r="U169" s="1427"/>
      <c r="V169" s="1373"/>
      <c r="W169" s="1373"/>
      <c r="X169" s="1244"/>
    </row>
    <row r="170" spans="1:24" hidden="1">
      <c r="A170" s="1323" t="s">
        <v>5976</v>
      </c>
      <c r="B170" s="1362" t="s">
        <v>2853</v>
      </c>
      <c r="C170" s="1363"/>
      <c r="D170" s="1364" t="s">
        <v>242</v>
      </c>
      <c r="E170" s="1365">
        <v>2</v>
      </c>
      <c r="F170" s="1365">
        <f>I170*F3</f>
        <v>30</v>
      </c>
      <c r="G170" s="1366">
        <f>E170*$G$3</f>
        <v>200</v>
      </c>
      <c r="H170" s="1366"/>
      <c r="I170" s="1366">
        <f>$I$3*E170</f>
        <v>300</v>
      </c>
      <c r="J170" s="1367">
        <f>SUM(F170:I170)</f>
        <v>530</v>
      </c>
      <c r="K170" s="1368"/>
      <c r="L170" s="1369"/>
      <c r="M170" s="1370">
        <f>P170*$M$3</f>
        <v>30</v>
      </c>
      <c r="N170" s="1371">
        <f>E170*$N$3</f>
        <v>200</v>
      </c>
      <c r="P170" s="1371">
        <f>$P$3*E170</f>
        <v>300</v>
      </c>
      <c r="Q170" s="1371">
        <f>SUM(M170:P170)</f>
        <v>530</v>
      </c>
      <c r="R170" s="1372"/>
      <c r="S170" s="1371"/>
      <c r="T170" s="1347">
        <f>J170-Q170</f>
        <v>0</v>
      </c>
      <c r="U170" s="1427"/>
      <c r="V170" s="1373"/>
      <c r="W170" s="1373"/>
      <c r="X170" s="1244"/>
    </row>
    <row r="171" spans="1:24" hidden="1">
      <c r="A171" s="1323" t="s">
        <v>5976</v>
      </c>
      <c r="B171" s="185" t="s">
        <v>2815</v>
      </c>
      <c r="C171" s="1363"/>
      <c r="D171" s="1364" t="s">
        <v>242</v>
      </c>
      <c r="E171" s="1365"/>
      <c r="F171" s="1365"/>
      <c r="G171" s="1366">
        <f>E171*$G$3</f>
        <v>0</v>
      </c>
      <c r="H171" s="1366"/>
      <c r="I171" s="1428"/>
      <c r="J171" s="1367">
        <f>SUM(F171:I171)</f>
        <v>0</v>
      </c>
      <c r="K171" s="1368"/>
      <c r="L171" s="1369"/>
      <c r="M171" s="1370"/>
      <c r="N171" s="1371">
        <f>E171*$N$3</f>
        <v>0</v>
      </c>
      <c r="P171" s="1429"/>
      <c r="Q171" s="1371">
        <f>SUM(M171:P171)</f>
        <v>0</v>
      </c>
      <c r="R171" s="1372"/>
      <c r="S171" s="1371"/>
      <c r="T171" s="1347">
        <f>J171-Q171</f>
        <v>0</v>
      </c>
      <c r="U171" s="1427"/>
      <c r="V171" s="1373"/>
      <c r="W171" s="1373"/>
      <c r="X171" s="1244"/>
    </row>
    <row r="172" spans="1:24" hidden="1">
      <c r="A172" s="1323" t="s">
        <v>5976</v>
      </c>
      <c r="B172" s="1362" t="s">
        <v>2817</v>
      </c>
      <c r="C172" s="1363"/>
      <c r="D172" s="1364" t="s">
        <v>242</v>
      </c>
      <c r="E172" s="1365">
        <v>2</v>
      </c>
      <c r="F172" s="1365">
        <f>I172*F3</f>
        <v>30</v>
      </c>
      <c r="G172" s="1366">
        <f>E172*$G$3</f>
        <v>200</v>
      </c>
      <c r="H172" s="1366"/>
      <c r="I172" s="1366">
        <f>$I$3*E172</f>
        <v>300</v>
      </c>
      <c r="J172" s="1367">
        <f>SUM(F172:I172)</f>
        <v>530</v>
      </c>
      <c r="K172" s="1368"/>
      <c r="L172" s="1369"/>
      <c r="M172" s="1370">
        <f>P172*$M$3</f>
        <v>30</v>
      </c>
      <c r="N172" s="1371">
        <f>E172*$N$3</f>
        <v>200</v>
      </c>
      <c r="P172" s="1371">
        <f>$P$3*E172</f>
        <v>300</v>
      </c>
      <c r="Q172" s="1371">
        <f>SUM(M172:P172)</f>
        <v>530</v>
      </c>
      <c r="R172" s="1372"/>
      <c r="S172" s="1371"/>
      <c r="T172" s="1347">
        <f>J172-Q172</f>
        <v>0</v>
      </c>
      <c r="U172" s="1427"/>
      <c r="V172" s="1373"/>
      <c r="W172" s="1373"/>
      <c r="X172" s="1244"/>
    </row>
    <row r="173" spans="1:24" hidden="1">
      <c r="A173" s="1323" t="s">
        <v>5976</v>
      </c>
      <c r="B173" s="1362" t="s">
        <v>2819</v>
      </c>
      <c r="C173" s="1363"/>
      <c r="D173" s="1364" t="s">
        <v>242</v>
      </c>
      <c r="E173" s="1365">
        <v>2</v>
      </c>
      <c r="F173" s="1365">
        <f>I173*F3</f>
        <v>30</v>
      </c>
      <c r="G173" s="1366">
        <f>E173*$G$3</f>
        <v>200</v>
      </c>
      <c r="H173" s="1366"/>
      <c r="I173" s="1366">
        <f>$I$3*E173</f>
        <v>300</v>
      </c>
      <c r="J173" s="1367">
        <f>SUM(F173:I173)</f>
        <v>530</v>
      </c>
      <c r="K173" s="1368"/>
      <c r="L173" s="1369"/>
      <c r="M173" s="1370">
        <f>P173*$M$3</f>
        <v>30</v>
      </c>
      <c r="N173" s="1371">
        <f>E173*$N$3</f>
        <v>200</v>
      </c>
      <c r="P173" s="1371">
        <f>$P$3*E173</f>
        <v>300</v>
      </c>
      <c r="Q173" s="1371">
        <f>SUM(M173:P173)</f>
        <v>530</v>
      </c>
      <c r="R173" s="1372"/>
      <c r="S173" s="1371"/>
      <c r="T173" s="1347">
        <f>J173-Q173</f>
        <v>0</v>
      </c>
      <c r="U173" s="1427"/>
      <c r="V173" s="1373"/>
      <c r="W173" s="1373"/>
      <c r="X173" s="1244"/>
    </row>
    <row r="174" spans="1:24" hidden="1">
      <c r="A174" s="1323" t="s">
        <v>7781</v>
      </c>
      <c r="B174" s="1362"/>
      <c r="C174" s="1363"/>
      <c r="D174" s="1364"/>
      <c r="E174" s="1365"/>
      <c r="F174" s="1365"/>
      <c r="G174" s="1366"/>
      <c r="H174" s="1366"/>
      <c r="I174" s="1366"/>
      <c r="J174" s="1367"/>
      <c r="K174" s="1368"/>
      <c r="L174" s="1369"/>
      <c r="M174" s="1370"/>
      <c r="N174" s="1371"/>
      <c r="P174" s="1371"/>
      <c r="Q174" s="1371"/>
      <c r="R174" s="1372"/>
      <c r="S174" s="1371"/>
      <c r="T174" s="1347"/>
      <c r="U174" s="1427"/>
      <c r="V174" s="1373"/>
      <c r="W174" s="1373"/>
      <c r="X174" s="1244"/>
    </row>
    <row r="175" spans="1:24" ht="29">
      <c r="A175" s="1323" t="s">
        <v>2022</v>
      </c>
      <c r="B175" s="7" t="s">
        <v>2867</v>
      </c>
      <c r="C175" s="1363">
        <v>2130.5248000000001</v>
      </c>
      <c r="D175" s="1364" t="s">
        <v>136</v>
      </c>
      <c r="E175" s="1365">
        <f>(SUM(E176:E181)/480)*10.76</f>
        <v>0.58283333333333331</v>
      </c>
      <c r="F175" s="1365">
        <f>(SUM(F176:F181)/480)*10.76</f>
        <v>2.69</v>
      </c>
      <c r="G175" s="1495">
        <f>(SUM(G176:G181)/480)*10.76</f>
        <v>58.283333333333339</v>
      </c>
      <c r="H175" s="1495"/>
      <c r="I175" s="1495">
        <f>(SUM(I176:I181)/480)*10.76</f>
        <v>87.424999999999997</v>
      </c>
      <c r="J175" s="1496">
        <f>(SUM(J176:J181)/480)*10.76</f>
        <v>148.39833333333331</v>
      </c>
      <c r="K175" s="1464">
        <f>C175*J175</f>
        <v>316166.32944533334</v>
      </c>
      <c r="L175" s="1641"/>
      <c r="M175" s="1370">
        <f>(SUM(M176:M181)/480)*10.76</f>
        <v>2.69</v>
      </c>
      <c r="N175" s="1499">
        <f>(SUM(N176:N181)/480)*10.76</f>
        <v>58.283333333333339</v>
      </c>
      <c r="P175" s="1499">
        <f>(SUM(P176:P181)/480)*10.76</f>
        <v>87.424999999999997</v>
      </c>
      <c r="Q175" s="1499">
        <f>(SUM(Q176:Q181)/480)*10.76</f>
        <v>148.39833333333331</v>
      </c>
      <c r="R175" s="1465">
        <f>C175*Q175</f>
        <v>316166.32944533334</v>
      </c>
      <c r="T175" s="1642">
        <f>J175-Q175</f>
        <v>0</v>
      </c>
      <c r="U175" s="1466">
        <f>K175-R175</f>
        <v>0</v>
      </c>
      <c r="V175" s="1502"/>
      <c r="W175" s="1502"/>
      <c r="X175" s="1244"/>
    </row>
    <row r="176" spans="1:24" hidden="1">
      <c r="A176" s="1323" t="s">
        <v>5976</v>
      </c>
      <c r="B176" s="1362" t="s">
        <v>2813</v>
      </c>
      <c r="C176" s="1363"/>
      <c r="D176" s="1364" t="s">
        <v>242</v>
      </c>
      <c r="E176" s="1365">
        <v>2</v>
      </c>
      <c r="F176" s="1365">
        <f>I176*F3</f>
        <v>30</v>
      </c>
      <c r="G176" s="1366">
        <f>E176*$G$3</f>
        <v>200</v>
      </c>
      <c r="H176" s="1366"/>
      <c r="I176" s="1366">
        <f>$I$3*E176</f>
        <v>300</v>
      </c>
      <c r="J176" s="1367">
        <f>SUM(F176:I176)</f>
        <v>530</v>
      </c>
      <c r="K176" s="1368"/>
      <c r="L176" s="1369"/>
      <c r="M176" s="1370">
        <f>P176*$M$3</f>
        <v>30</v>
      </c>
      <c r="N176" s="1371">
        <f>E176*$N$3</f>
        <v>200</v>
      </c>
      <c r="P176" s="1371">
        <f>$P$3*E176</f>
        <v>300</v>
      </c>
      <c r="Q176" s="1371">
        <f>SUM(M176:P176)</f>
        <v>530</v>
      </c>
      <c r="R176" s="1372"/>
      <c r="S176" s="1371"/>
      <c r="T176" s="1347">
        <f>J176-Q176</f>
        <v>0</v>
      </c>
      <c r="U176" s="1427"/>
      <c r="V176" s="1373"/>
      <c r="W176" s="1373"/>
      <c r="X176" s="1244"/>
    </row>
    <row r="177" spans="1:24" hidden="1">
      <c r="A177" s="1323" t="s">
        <v>5976</v>
      </c>
      <c r="B177" s="1362" t="s">
        <v>2853</v>
      </c>
      <c r="C177" s="1363"/>
      <c r="D177" s="1364" t="s">
        <v>242</v>
      </c>
      <c r="E177" s="1365">
        <v>2</v>
      </c>
      <c r="F177" s="1365">
        <f>I177*F3</f>
        <v>30</v>
      </c>
      <c r="G177" s="1366">
        <f>E177*$G$3</f>
        <v>200</v>
      </c>
      <c r="H177" s="1366"/>
      <c r="I177" s="1366">
        <f>$I$3*E177</f>
        <v>300</v>
      </c>
      <c r="J177" s="1367">
        <f>SUM(F177:I177)</f>
        <v>530</v>
      </c>
      <c r="K177" s="1368"/>
      <c r="L177" s="1369"/>
      <c r="M177" s="1370">
        <f>P177*$M$3</f>
        <v>30</v>
      </c>
      <c r="N177" s="1371">
        <f>E177*$N$3</f>
        <v>200</v>
      </c>
      <c r="P177" s="1371">
        <f>$P$3*E177</f>
        <v>300</v>
      </c>
      <c r="Q177" s="1371">
        <f>SUM(M177:P177)</f>
        <v>530</v>
      </c>
      <c r="R177" s="1372"/>
      <c r="S177" s="1371"/>
      <c r="T177" s="1347">
        <f>J177-Q177</f>
        <v>0</v>
      </c>
      <c r="U177" s="1427"/>
      <c r="V177" s="1373"/>
      <c r="W177" s="1373"/>
      <c r="X177" s="1244"/>
    </row>
    <row r="178" spans="1:24" hidden="1">
      <c r="A178" s="1323" t="s">
        <v>5976</v>
      </c>
      <c r="B178" s="185" t="s">
        <v>2815</v>
      </c>
      <c r="C178" s="1363"/>
      <c r="D178" s="1364" t="s">
        <v>242</v>
      </c>
      <c r="E178" s="1365">
        <v>18</v>
      </c>
      <c r="F178" s="1365"/>
      <c r="G178" s="1366">
        <f>E178*$G$3</f>
        <v>1800</v>
      </c>
      <c r="H178" s="1366"/>
      <c r="I178" s="1366">
        <f>$I$3*E178</f>
        <v>2700</v>
      </c>
      <c r="J178" s="1367">
        <f>SUM(F178:I178)</f>
        <v>4500</v>
      </c>
      <c r="K178" s="1368"/>
      <c r="L178" s="1369"/>
      <c r="M178" s="1370"/>
      <c r="N178" s="1371">
        <f>E178*$N$3</f>
        <v>1800</v>
      </c>
      <c r="P178" s="1371">
        <f>$P$3*E178</f>
        <v>2700</v>
      </c>
      <c r="Q178" s="1371">
        <f>SUM(M178:P178)</f>
        <v>4500</v>
      </c>
      <c r="R178" s="1372"/>
      <c r="S178" s="1371"/>
      <c r="T178" s="1347">
        <f>J178-Q178</f>
        <v>0</v>
      </c>
      <c r="U178" s="1427"/>
      <c r="V178" s="1373"/>
      <c r="W178" s="1373"/>
      <c r="X178" s="1244"/>
    </row>
    <row r="179" spans="1:24" hidden="1">
      <c r="A179" s="1323" t="s">
        <v>5976</v>
      </c>
      <c r="B179" s="1362" t="s">
        <v>2817</v>
      </c>
      <c r="C179" s="1363"/>
      <c r="D179" s="1364" t="s">
        <v>242</v>
      </c>
      <c r="E179" s="1365">
        <v>2</v>
      </c>
      <c r="F179" s="1365">
        <f>I179*F3</f>
        <v>30</v>
      </c>
      <c r="G179" s="1366">
        <f>E179*$G$3</f>
        <v>200</v>
      </c>
      <c r="H179" s="1366"/>
      <c r="I179" s="1366">
        <f>$I$3*E179</f>
        <v>300</v>
      </c>
      <c r="J179" s="1367">
        <f>SUM(F179:I179)</f>
        <v>530</v>
      </c>
      <c r="K179" s="1368"/>
      <c r="L179" s="1369"/>
      <c r="M179" s="1370">
        <f>P179*$M$3</f>
        <v>30</v>
      </c>
      <c r="N179" s="1371">
        <f>E179*$N$3</f>
        <v>200</v>
      </c>
      <c r="P179" s="1371">
        <f>$P$3*E179</f>
        <v>300</v>
      </c>
      <c r="Q179" s="1371">
        <f>SUM(M179:P179)</f>
        <v>530</v>
      </c>
      <c r="R179" s="1372"/>
      <c r="S179" s="1371"/>
      <c r="T179" s="1347">
        <f>J179-Q179</f>
        <v>0</v>
      </c>
      <c r="U179" s="1427"/>
      <c r="V179" s="1373"/>
      <c r="W179" s="1373"/>
      <c r="X179" s="1244"/>
    </row>
    <row r="180" spans="1:24" hidden="1">
      <c r="A180" s="1323" t="s">
        <v>5976</v>
      </c>
      <c r="B180" s="1362" t="s">
        <v>2819</v>
      </c>
      <c r="C180" s="1363"/>
      <c r="D180" s="1364" t="s">
        <v>242</v>
      </c>
      <c r="E180" s="1365">
        <v>2</v>
      </c>
      <c r="F180" s="1365">
        <f>I180*F3</f>
        <v>30</v>
      </c>
      <c r="G180" s="1366">
        <f>E180*$G$3</f>
        <v>200</v>
      </c>
      <c r="H180" s="1366"/>
      <c r="I180" s="1366">
        <f>$I$3*E180</f>
        <v>300</v>
      </c>
      <c r="J180" s="1367">
        <f>SUM(F180:I180)</f>
        <v>530</v>
      </c>
      <c r="K180" s="1368"/>
      <c r="L180" s="1369"/>
      <c r="M180" s="1370">
        <f>P180*$M$3</f>
        <v>30</v>
      </c>
      <c r="N180" s="1371">
        <f>E180*$N$3</f>
        <v>200</v>
      </c>
      <c r="P180" s="1371">
        <f>$P$3*E180</f>
        <v>300</v>
      </c>
      <c r="Q180" s="1371">
        <f>SUM(M180:P180)</f>
        <v>530</v>
      </c>
      <c r="R180" s="1372"/>
      <c r="S180" s="1371"/>
      <c r="T180" s="1347">
        <f>J180-Q180</f>
        <v>0</v>
      </c>
      <c r="U180" s="1427"/>
      <c r="V180" s="1373"/>
      <c r="W180" s="1373"/>
      <c r="X180" s="1244"/>
    </row>
    <row r="181" spans="1:24" hidden="1">
      <c r="A181" s="1323" t="s">
        <v>7781</v>
      </c>
      <c r="B181" s="1362"/>
      <c r="C181" s="1363"/>
      <c r="D181" s="1364"/>
      <c r="E181" s="1365"/>
      <c r="F181" s="1365"/>
      <c r="K181" s="1464"/>
      <c r="M181" s="1370"/>
      <c r="R181" s="1465"/>
      <c r="T181" s="1347"/>
      <c r="U181" s="1466"/>
      <c r="X181" s="1244"/>
    </row>
    <row r="182" spans="1:24">
      <c r="A182" s="1323" t="s">
        <v>125</v>
      </c>
      <c r="B182" s="7" t="s">
        <v>2868</v>
      </c>
      <c r="C182" s="1363">
        <v>267.65799256505574</v>
      </c>
      <c r="D182" s="1364" t="s">
        <v>136</v>
      </c>
      <c r="E182" s="1365">
        <f>(SUM(E183:E187)/480)*10.76</f>
        <v>0.11208333333333333</v>
      </c>
      <c r="F182" s="1365">
        <f>(SUM(F183:F187)/480)*10.76</f>
        <v>1.6812499999999999</v>
      </c>
      <c r="G182" s="1495">
        <f>(SUM(G183:G187)/480)*10.76</f>
        <v>11.208333333333334</v>
      </c>
      <c r="H182" s="1495"/>
      <c r="I182" s="1495">
        <f>(SUM(I183:I187)/480)*10.76</f>
        <v>16.8125</v>
      </c>
      <c r="J182" s="1496">
        <f>(SUM(J183:J187)/480)*10.76</f>
        <v>29.702083333333331</v>
      </c>
      <c r="K182" s="1464">
        <f>C182*J182</f>
        <v>7949.9999999999982</v>
      </c>
      <c r="L182" s="1641"/>
      <c r="M182" s="1370">
        <f>(SUM(M183:M187)/480)*10.76</f>
        <v>1.6812499999999999</v>
      </c>
      <c r="N182" s="1499">
        <f>(SUM(N183:N187)/480)*10.76</f>
        <v>11.208333333333334</v>
      </c>
      <c r="P182" s="1499">
        <f>(SUM(P183:P187)/480)*10.76</f>
        <v>16.8125</v>
      </c>
      <c r="Q182" s="1499">
        <f>(SUM(Q183:Q187)/480)*10.76</f>
        <v>29.702083333333331</v>
      </c>
      <c r="R182" s="1465">
        <f>C182*Q182</f>
        <v>7949.9999999999982</v>
      </c>
      <c r="T182" s="1642">
        <f>J182-Q182</f>
        <v>0</v>
      </c>
      <c r="U182" s="1466">
        <f>K182-R182</f>
        <v>0</v>
      </c>
      <c r="V182" s="1502"/>
      <c r="W182" s="1502"/>
      <c r="X182" s="1244"/>
    </row>
    <row r="183" spans="1:24" hidden="1">
      <c r="A183" s="1323" t="s">
        <v>5976</v>
      </c>
      <c r="B183" s="1362" t="s">
        <v>2853</v>
      </c>
      <c r="C183" s="1363"/>
      <c r="D183" s="1364" t="s">
        <v>242</v>
      </c>
      <c r="E183" s="1365">
        <v>1</v>
      </c>
      <c r="F183" s="1365">
        <f>I183*F3</f>
        <v>15</v>
      </c>
      <c r="G183" s="1366">
        <f>E183*$G$3</f>
        <v>100</v>
      </c>
      <c r="H183" s="1366"/>
      <c r="I183" s="1366">
        <f>$I$3*E183</f>
        <v>150</v>
      </c>
      <c r="J183" s="1367">
        <f>SUM(F183:I183)</f>
        <v>265</v>
      </c>
      <c r="K183" s="1368"/>
      <c r="L183" s="1369"/>
      <c r="M183" s="1370">
        <f>P183*$M$3</f>
        <v>15</v>
      </c>
      <c r="N183" s="1371">
        <f>E183*$N$3</f>
        <v>100</v>
      </c>
      <c r="P183" s="1371">
        <f>$P$3*E183</f>
        <v>150</v>
      </c>
      <c r="Q183" s="1371">
        <f>SUM(M183:P183)</f>
        <v>265</v>
      </c>
      <c r="R183" s="1372"/>
      <c r="S183" s="1371"/>
      <c r="T183" s="1347">
        <f>J183-Q183</f>
        <v>0</v>
      </c>
      <c r="U183" s="1427"/>
      <c r="V183" s="1373"/>
      <c r="W183" s="1373"/>
      <c r="X183" s="1244"/>
    </row>
    <row r="184" spans="1:24" hidden="1">
      <c r="A184" s="1323" t="s">
        <v>5976</v>
      </c>
      <c r="B184" s="185" t="s">
        <v>2815</v>
      </c>
      <c r="C184" s="1363"/>
      <c r="D184" s="1364" t="s">
        <v>242</v>
      </c>
      <c r="E184" s="1365"/>
      <c r="F184" s="1365"/>
      <c r="G184" s="1366">
        <f>E184*$G$3</f>
        <v>0</v>
      </c>
      <c r="H184" s="1366"/>
      <c r="I184" s="1428"/>
      <c r="J184" s="1367">
        <f>SUM(F184:I184)</f>
        <v>0</v>
      </c>
      <c r="K184" s="1368"/>
      <c r="L184" s="1369"/>
      <c r="M184" s="1370"/>
      <c r="N184" s="1371">
        <f>E184*$N$3</f>
        <v>0</v>
      </c>
      <c r="P184" s="1429"/>
      <c r="Q184" s="1371">
        <f>SUM(M184:P184)</f>
        <v>0</v>
      </c>
      <c r="R184" s="1372"/>
      <c r="S184" s="1371"/>
      <c r="T184" s="1347">
        <f>J184-Q184</f>
        <v>0</v>
      </c>
      <c r="U184" s="1427"/>
      <c r="V184" s="1373"/>
      <c r="W184" s="1373"/>
      <c r="X184" s="1244"/>
    </row>
    <row r="185" spans="1:24" hidden="1">
      <c r="A185" s="1323" t="s">
        <v>5976</v>
      </c>
      <c r="B185" s="1362" t="s">
        <v>2817</v>
      </c>
      <c r="C185" s="1363"/>
      <c r="D185" s="1364" t="s">
        <v>242</v>
      </c>
      <c r="E185" s="1365">
        <v>2</v>
      </c>
      <c r="F185" s="1365">
        <f>I185*F3</f>
        <v>30</v>
      </c>
      <c r="G185" s="1366">
        <f>E185*$G$3</f>
        <v>200</v>
      </c>
      <c r="H185" s="1366"/>
      <c r="I185" s="1366">
        <f>$I$3*E185</f>
        <v>300</v>
      </c>
      <c r="J185" s="1367">
        <f>SUM(F185:I185)</f>
        <v>530</v>
      </c>
      <c r="K185" s="1368"/>
      <c r="L185" s="1369"/>
      <c r="M185" s="1370">
        <f>P185*$M$3</f>
        <v>30</v>
      </c>
      <c r="N185" s="1371">
        <f>E185*$N$3</f>
        <v>200</v>
      </c>
      <c r="P185" s="1371">
        <f>$P$3*E185</f>
        <v>300</v>
      </c>
      <c r="Q185" s="1371">
        <f>SUM(M185:P185)</f>
        <v>530</v>
      </c>
      <c r="R185" s="1372"/>
      <c r="S185" s="1371"/>
      <c r="T185" s="1347">
        <f>J185-Q185</f>
        <v>0</v>
      </c>
      <c r="U185" s="1427"/>
      <c r="V185" s="1373"/>
      <c r="W185" s="1373"/>
      <c r="X185" s="1244"/>
    </row>
    <row r="186" spans="1:24" hidden="1">
      <c r="A186" s="1323" t="s">
        <v>5976</v>
      </c>
      <c r="B186" s="1362" t="s">
        <v>2819</v>
      </c>
      <c r="C186" s="1363"/>
      <c r="D186" s="1364" t="s">
        <v>242</v>
      </c>
      <c r="E186" s="1365">
        <v>2</v>
      </c>
      <c r="F186" s="1365">
        <f>I186*F3</f>
        <v>30</v>
      </c>
      <c r="G186" s="1366">
        <f>E186*$G$3</f>
        <v>200</v>
      </c>
      <c r="H186" s="1366"/>
      <c r="I186" s="1366">
        <f>$I$3*E186</f>
        <v>300</v>
      </c>
      <c r="J186" s="1367">
        <f>SUM(F186:I186)</f>
        <v>530</v>
      </c>
      <c r="K186" s="1368"/>
      <c r="L186" s="1369"/>
      <c r="M186" s="1370">
        <f>P186*$M$3</f>
        <v>30</v>
      </c>
      <c r="N186" s="1371">
        <f>E186*$N$3</f>
        <v>200</v>
      </c>
      <c r="P186" s="1371">
        <f>$P$3*E186</f>
        <v>300</v>
      </c>
      <c r="Q186" s="1371">
        <f>SUM(M186:P186)</f>
        <v>530</v>
      </c>
      <c r="R186" s="1372"/>
      <c r="S186" s="1371"/>
      <c r="T186" s="1347">
        <f>J186-Q186</f>
        <v>0</v>
      </c>
      <c r="U186" s="1427"/>
      <c r="V186" s="1373"/>
      <c r="W186" s="1373"/>
      <c r="X186" s="1244"/>
    </row>
    <row r="187" spans="1:24" hidden="1">
      <c r="A187" s="1323" t="s">
        <v>7781</v>
      </c>
      <c r="B187" s="1362"/>
      <c r="C187" s="1363"/>
      <c r="D187" s="1364"/>
      <c r="E187" s="1365"/>
      <c r="F187" s="1365"/>
      <c r="G187" s="1366"/>
      <c r="H187" s="1366"/>
      <c r="K187" s="1464"/>
      <c r="M187" s="1370"/>
      <c r="N187" s="1371"/>
      <c r="R187" s="1465"/>
      <c r="T187" s="1347"/>
      <c r="U187" s="1466"/>
      <c r="X187" s="1244"/>
    </row>
    <row r="188" spans="1:24" hidden="1">
      <c r="A188" s="1323" t="s">
        <v>7781</v>
      </c>
      <c r="B188" s="1362"/>
      <c r="C188" s="1363"/>
      <c r="D188" s="1364"/>
      <c r="E188" s="1365"/>
      <c r="F188" s="1365"/>
      <c r="G188" s="1428"/>
      <c r="H188" s="1428"/>
      <c r="I188" s="1428"/>
      <c r="J188" s="1430"/>
      <c r="K188" s="1431"/>
      <c r="L188" s="1432"/>
      <c r="M188" s="1370"/>
      <c r="N188" s="1429"/>
      <c r="P188" s="1429"/>
      <c r="Q188" s="1429"/>
      <c r="R188" s="1433"/>
      <c r="S188" s="1429"/>
      <c r="T188" s="1347"/>
      <c r="U188" s="1434"/>
      <c r="V188" s="1435"/>
      <c r="W188" s="1435"/>
      <c r="X188" s="1244"/>
    </row>
    <row r="189" spans="1:24">
      <c r="A189" s="1323" t="s">
        <v>145</v>
      </c>
      <c r="B189" s="7" t="s">
        <v>2871</v>
      </c>
      <c r="C189" s="1363">
        <v>1892.9368029739776</v>
      </c>
      <c r="D189" s="1364" t="s">
        <v>136</v>
      </c>
      <c r="E189" s="1365">
        <f>SUM(E190:E193)/(480/10.76)</f>
        <v>0.12329166666666667</v>
      </c>
      <c r="F189" s="1365">
        <f>SUM(F190:F193)/(480/10.76)</f>
        <v>1.1768750000000001</v>
      </c>
      <c r="G189" s="1495">
        <f>SUM(G190:G193)/(480/10.76)</f>
        <v>7.8458333333333341</v>
      </c>
      <c r="H189" s="1495"/>
      <c r="I189" s="1495">
        <f>SUM(I190:I193)/(480/10.76)</f>
        <v>11.768750000000001</v>
      </c>
      <c r="J189" s="1496">
        <f>SUM(J190:J193)/(480/10.76)</f>
        <v>20.791458333333335</v>
      </c>
      <c r="K189" s="1464">
        <f>C189*J189</f>
        <v>39356.916666666664</v>
      </c>
      <c r="L189" s="1641"/>
      <c r="M189" s="1370">
        <f>SUM(M190:M193)/(480/10.76)</f>
        <v>1.1768750000000001</v>
      </c>
      <c r="N189" s="1499">
        <f>SUM(N190:N193)/(480/10.76)</f>
        <v>7.8458333333333341</v>
      </c>
      <c r="P189" s="1499">
        <f>SUM(P190:P193)/(480/10.76)</f>
        <v>11.768750000000001</v>
      </c>
      <c r="Q189" s="1499">
        <f>SUM(Q190:Q193)/(480/10.76)</f>
        <v>20.791458333333335</v>
      </c>
      <c r="R189" s="1465">
        <f>C189*Q189</f>
        <v>39356.916666666664</v>
      </c>
      <c r="T189" s="1642">
        <f>J189-Q189</f>
        <v>0</v>
      </c>
      <c r="U189" s="1466">
        <f>K189-R189</f>
        <v>0</v>
      </c>
      <c r="V189" s="1502"/>
      <c r="W189" s="1502"/>
      <c r="X189" s="1244"/>
    </row>
    <row r="190" spans="1:24" hidden="1">
      <c r="A190" s="1323" t="s">
        <v>5976</v>
      </c>
      <c r="B190" s="1362" t="s">
        <v>2813</v>
      </c>
      <c r="C190" s="1363"/>
      <c r="D190" s="1364" t="s">
        <v>242</v>
      </c>
      <c r="E190" s="1374">
        <v>2</v>
      </c>
      <c r="F190" s="1374">
        <f>I190*F3</f>
        <v>30</v>
      </c>
      <c r="G190" s="1375">
        <f>E190*$G$3</f>
        <v>200</v>
      </c>
      <c r="H190" s="1375"/>
      <c r="I190" s="1375">
        <f>$I$3*E190</f>
        <v>300</v>
      </c>
      <c r="J190" s="1376">
        <f>SUM(F190:I190)</f>
        <v>530</v>
      </c>
      <c r="K190" s="1377"/>
      <c r="L190" s="1378"/>
      <c r="M190" s="1379">
        <f>P190*$M$3</f>
        <v>30</v>
      </c>
      <c r="N190" s="1380">
        <f>E190*$N$3</f>
        <v>200</v>
      </c>
      <c r="P190" s="1380">
        <f>$P$3*E190</f>
        <v>300</v>
      </c>
      <c r="Q190" s="1380">
        <f>SUM(M190:P190)</f>
        <v>530</v>
      </c>
      <c r="R190" s="1382"/>
      <c r="S190" s="1380"/>
      <c r="T190" s="1347">
        <f>J190-Q190</f>
        <v>0</v>
      </c>
      <c r="U190" s="1467"/>
      <c r="V190" s="1383"/>
      <c r="W190" s="1383"/>
      <c r="X190" s="1244"/>
    </row>
    <row r="191" spans="1:24" hidden="1">
      <c r="A191" s="1323" t="s">
        <v>5976</v>
      </c>
      <c r="B191" s="185" t="s">
        <v>2815</v>
      </c>
      <c r="C191" s="1363"/>
      <c r="D191" s="1364" t="s">
        <v>242</v>
      </c>
      <c r="E191" s="1374">
        <v>2</v>
      </c>
      <c r="F191" s="1374"/>
      <c r="G191" s="1375"/>
      <c r="H191" s="1375"/>
      <c r="I191" s="1451"/>
      <c r="J191" s="1376"/>
      <c r="K191" s="1377"/>
      <c r="L191" s="1378"/>
      <c r="M191" s="1379"/>
      <c r="N191" s="1380"/>
      <c r="P191" s="1455"/>
      <c r="Q191" s="1380"/>
      <c r="R191" s="1382"/>
      <c r="S191" s="1380"/>
      <c r="T191" s="1347">
        <f>J191-Q191</f>
        <v>0</v>
      </c>
      <c r="U191" s="1467"/>
      <c r="V191" s="1383"/>
      <c r="W191" s="1383"/>
      <c r="X191" s="1244"/>
    </row>
    <row r="192" spans="1:24" hidden="1">
      <c r="A192" s="1323" t="s">
        <v>5976</v>
      </c>
      <c r="B192" s="1362" t="s">
        <v>2817</v>
      </c>
      <c r="C192" s="1363"/>
      <c r="D192" s="1364" t="s">
        <v>242</v>
      </c>
      <c r="E192" s="1374">
        <v>1</v>
      </c>
      <c r="F192" s="1374">
        <f>I192*F3</f>
        <v>15</v>
      </c>
      <c r="G192" s="1375">
        <f>E192*$G$3</f>
        <v>100</v>
      </c>
      <c r="H192" s="1375"/>
      <c r="I192" s="1375">
        <f>$I$3*E192</f>
        <v>150</v>
      </c>
      <c r="J192" s="1376">
        <f>SUM(F192:I192)</f>
        <v>265</v>
      </c>
      <c r="K192" s="1377"/>
      <c r="L192" s="1378"/>
      <c r="M192" s="1379">
        <f>P192*$M$3</f>
        <v>15</v>
      </c>
      <c r="N192" s="1380">
        <f>E192*$N$3</f>
        <v>100</v>
      </c>
      <c r="P192" s="1380">
        <f>$P$3*E192</f>
        <v>150</v>
      </c>
      <c r="Q192" s="1380">
        <f>SUM(M192:P192)</f>
        <v>265</v>
      </c>
      <c r="R192" s="1382"/>
      <c r="S192" s="1380"/>
      <c r="T192" s="1347">
        <f>J192-Q192</f>
        <v>0</v>
      </c>
      <c r="U192" s="1467"/>
      <c r="V192" s="1383"/>
      <c r="W192" s="1383"/>
      <c r="X192" s="1244"/>
    </row>
    <row r="193" spans="1:24" hidden="1">
      <c r="A193" s="1323" t="s">
        <v>5976</v>
      </c>
      <c r="B193" s="1362" t="s">
        <v>2819</v>
      </c>
      <c r="C193" s="1363"/>
      <c r="D193" s="1364" t="s">
        <v>242</v>
      </c>
      <c r="E193" s="1374">
        <v>0.5</v>
      </c>
      <c r="F193" s="1374">
        <f>I193*F3</f>
        <v>7.5</v>
      </c>
      <c r="G193" s="1375">
        <f>E193*$G$3</f>
        <v>50</v>
      </c>
      <c r="H193" s="1375"/>
      <c r="I193" s="1375">
        <f>$I$3*E193</f>
        <v>75</v>
      </c>
      <c r="J193" s="1376">
        <f>SUM(F193:I193)</f>
        <v>132.5</v>
      </c>
      <c r="K193" s="1377"/>
      <c r="L193" s="1378"/>
      <c r="M193" s="1379">
        <f>P193*$M$3</f>
        <v>7.5</v>
      </c>
      <c r="N193" s="1380">
        <f>E193*$N$3</f>
        <v>50</v>
      </c>
      <c r="P193" s="1380">
        <f>$P$3*E193</f>
        <v>75</v>
      </c>
      <c r="Q193" s="1380">
        <f>SUM(M193:P193)</f>
        <v>132.5</v>
      </c>
      <c r="R193" s="1382"/>
      <c r="S193" s="1380"/>
      <c r="T193" s="1347">
        <f>J193-Q193</f>
        <v>0</v>
      </c>
      <c r="U193" s="1467"/>
      <c r="V193" s="1383"/>
      <c r="W193" s="1383"/>
      <c r="X193" s="1244"/>
    </row>
    <row r="194" spans="1:24" hidden="1">
      <c r="A194" s="1323" t="s">
        <v>7781</v>
      </c>
      <c r="B194" s="1362"/>
      <c r="C194" s="1363"/>
      <c r="D194" s="1364"/>
      <c r="E194" s="1365"/>
      <c r="F194" s="1365"/>
      <c r="G194" s="1366"/>
      <c r="H194" s="1366"/>
      <c r="I194" s="1366"/>
      <c r="J194" s="1367"/>
      <c r="K194" s="1368"/>
      <c r="L194" s="1369"/>
      <c r="M194" s="1370"/>
      <c r="N194" s="1371"/>
      <c r="P194" s="1371"/>
      <c r="Q194" s="1371"/>
      <c r="R194" s="1372"/>
      <c r="S194" s="1371"/>
      <c r="T194" s="1347"/>
      <c r="U194" s="1427"/>
      <c r="V194" s="1373"/>
      <c r="W194" s="1373"/>
      <c r="X194" s="1244"/>
    </row>
    <row r="195" spans="1:24" s="1062" customFormat="1">
      <c r="A195" s="1392" t="s">
        <v>523</v>
      </c>
      <c r="B195" s="1062" t="s">
        <v>7783</v>
      </c>
      <c r="C195" s="1363">
        <v>12481.665427509295</v>
      </c>
      <c r="D195" s="1393" t="s">
        <v>136</v>
      </c>
      <c r="E195" s="1394">
        <f>(SUM(E196:E199)*0.264011481880158)*(1/4)</f>
        <v>0.1452063150340869</v>
      </c>
      <c r="F195" s="1394">
        <f>(SUM(F196:F199)*0.264011481880158)*(1/4)</f>
        <v>2.1780947255113032</v>
      </c>
      <c r="G195" s="1412">
        <f>(SUM(G196:G199)*0.264011481880158)*(1/4)</f>
        <v>14.520631503408691</v>
      </c>
      <c r="H195" s="1412"/>
      <c r="I195" s="1412">
        <f>(SUM(I196:I199)*0.264011481880158)*(1/4)</f>
        <v>21.780947255113034</v>
      </c>
      <c r="J195" s="1413">
        <f>(SUM(J196:J199)*0.264011481880158)*(1/4)</f>
        <v>38.479673484033029</v>
      </c>
      <c r="K195" s="1471">
        <f>C195*J195</f>
        <v>480290.41018750123</v>
      </c>
      <c r="L195" s="1643"/>
      <c r="M195" s="1408">
        <f>(SUM(M196:M199)*0.264011481880158)*(1/4)</f>
        <v>2.1780947255113032</v>
      </c>
      <c r="N195" s="1416">
        <f>(SUM(N196:N199)*0.264011481880158)*(1/4)</f>
        <v>14.520631503408691</v>
      </c>
      <c r="O195" s="1401"/>
      <c r="P195" s="1416">
        <f>(SUM(P196:P199)*0.264011481880158)*(1/4)</f>
        <v>21.780947255113034</v>
      </c>
      <c r="Q195" s="1416">
        <f>(SUM(Q196:Q199)*0.264011481880158)*(1/4)</f>
        <v>38.479673484033029</v>
      </c>
      <c r="R195" s="1473">
        <f>C195*Q195</f>
        <v>480290.41018750123</v>
      </c>
      <c r="S195" s="1401"/>
      <c r="T195" s="1645">
        <f>J195-Q195</f>
        <v>0</v>
      </c>
      <c r="U195" s="1474">
        <f>K195-R195</f>
        <v>0</v>
      </c>
      <c r="V195" s="1647"/>
      <c r="W195" s="1647"/>
      <c r="X195" s="1406"/>
    </row>
    <row r="196" spans="1:24" s="1062" customFormat="1" hidden="1">
      <c r="A196" s="1323" t="s">
        <v>5976</v>
      </c>
      <c r="B196" s="1362" t="s">
        <v>2881</v>
      </c>
      <c r="C196" s="1363"/>
      <c r="D196" s="1393" t="s">
        <v>2688</v>
      </c>
      <c r="E196" s="1394">
        <v>0</v>
      </c>
      <c r="F196" s="1394">
        <f>I196*F3</f>
        <v>0</v>
      </c>
      <c r="G196" s="1395">
        <f>E196*$G$3</f>
        <v>0</v>
      </c>
      <c r="H196" s="1395"/>
      <c r="I196" s="1395">
        <f>$I$3*E196</f>
        <v>0</v>
      </c>
      <c r="J196" s="1396">
        <f>SUM(F196:I196)</f>
        <v>0</v>
      </c>
      <c r="K196" s="1397"/>
      <c r="L196" s="1398"/>
      <c r="M196" s="1408">
        <f>P196*$M$3</f>
        <v>0</v>
      </c>
      <c r="N196" s="1400">
        <f>E196*$N$3</f>
        <v>0</v>
      </c>
      <c r="O196" s="1401"/>
      <c r="P196" s="1400">
        <f>$P$3*E196</f>
        <v>0</v>
      </c>
      <c r="Q196" s="1400">
        <f>SUM(M196:P196)</f>
        <v>0</v>
      </c>
      <c r="R196" s="1402"/>
      <c r="S196" s="1400"/>
      <c r="T196" s="1403">
        <f>J196-Q196</f>
        <v>0</v>
      </c>
      <c r="U196" s="1419"/>
      <c r="V196" s="1405"/>
      <c r="W196" s="1405"/>
      <c r="X196" s="1406"/>
    </row>
    <row r="197" spans="1:24" s="1062" customFormat="1" hidden="1">
      <c r="A197" s="1323" t="s">
        <v>5976</v>
      </c>
      <c r="B197" s="1362" t="s">
        <v>2815</v>
      </c>
      <c r="C197" s="1363"/>
      <c r="D197" s="1393" t="s">
        <v>2688</v>
      </c>
      <c r="E197" s="1394">
        <v>0</v>
      </c>
      <c r="F197" s="1394">
        <f>I197*F3</f>
        <v>0</v>
      </c>
      <c r="G197" s="1395">
        <f>E197*$G$3</f>
        <v>0</v>
      </c>
      <c r="H197" s="1395"/>
      <c r="I197" s="1395">
        <v>0</v>
      </c>
      <c r="J197" s="1396">
        <f>SUM(F197:I197)</f>
        <v>0</v>
      </c>
      <c r="K197" s="1397"/>
      <c r="L197" s="1398"/>
      <c r="M197" s="1408">
        <f>P197*$M$3</f>
        <v>0</v>
      </c>
      <c r="N197" s="1400">
        <f>E197*$N$3</f>
        <v>0</v>
      </c>
      <c r="O197" s="1401"/>
      <c r="P197" s="1400">
        <v>0</v>
      </c>
      <c r="Q197" s="1400">
        <f>SUM(M197:P197)</f>
        <v>0</v>
      </c>
      <c r="R197" s="1402"/>
      <c r="S197" s="1400"/>
      <c r="T197" s="1403">
        <f>J197-Q197</f>
        <v>0</v>
      </c>
      <c r="U197" s="1419"/>
      <c r="V197" s="1405"/>
      <c r="W197" s="1405"/>
      <c r="X197" s="1406"/>
    </row>
    <row r="198" spans="1:24" s="1062" customFormat="1" hidden="1">
      <c r="A198" s="1323" t="s">
        <v>5976</v>
      </c>
      <c r="B198" s="1362" t="s">
        <v>2817</v>
      </c>
      <c r="C198" s="1363"/>
      <c r="D198" s="1393" t="s">
        <v>2688</v>
      </c>
      <c r="E198" s="1394">
        <f>ROUND(0.5/0.264011481880158,-0.1)</f>
        <v>2</v>
      </c>
      <c r="F198" s="1394">
        <f>I198*F3</f>
        <v>30</v>
      </c>
      <c r="G198" s="1395">
        <f>E198*$G$3</f>
        <v>200</v>
      </c>
      <c r="H198" s="1395"/>
      <c r="I198" s="1395">
        <f>$I$3*E198</f>
        <v>300</v>
      </c>
      <c r="J198" s="1396">
        <f>SUM(F198:I198)</f>
        <v>530</v>
      </c>
      <c r="K198" s="1397"/>
      <c r="L198" s="1398"/>
      <c r="M198" s="1408">
        <f>P198*$M$3</f>
        <v>30</v>
      </c>
      <c r="N198" s="1400">
        <f>E198*$N$3</f>
        <v>200</v>
      </c>
      <c r="O198" s="1401"/>
      <c r="P198" s="1400">
        <f>$P$3*E198</f>
        <v>300</v>
      </c>
      <c r="Q198" s="1400">
        <f>SUM(M198:P198)</f>
        <v>530</v>
      </c>
      <c r="R198" s="1402"/>
      <c r="S198" s="1400"/>
      <c r="T198" s="1403">
        <f>J198-Q198</f>
        <v>0</v>
      </c>
      <c r="U198" s="1419"/>
      <c r="V198" s="1405"/>
      <c r="W198" s="1405"/>
      <c r="X198" s="1406"/>
    </row>
    <row r="199" spans="1:24" s="1062" customFormat="1" ht="29" hidden="1">
      <c r="A199" s="1323" t="s">
        <v>5976</v>
      </c>
      <c r="B199" s="1362" t="s">
        <v>2882</v>
      </c>
      <c r="C199" s="1363"/>
      <c r="D199" s="1393" t="s">
        <v>2688</v>
      </c>
      <c r="E199" s="1394">
        <f>2/10</f>
        <v>0.2</v>
      </c>
      <c r="F199" s="1394">
        <f>I199*F3</f>
        <v>3</v>
      </c>
      <c r="G199" s="1395">
        <f>E199*$G$3</f>
        <v>20</v>
      </c>
      <c r="H199" s="1395"/>
      <c r="I199" s="1395">
        <f>$I$3*E199</f>
        <v>30</v>
      </c>
      <c r="J199" s="1396">
        <f>SUM(F199:I199)</f>
        <v>53</v>
      </c>
      <c r="K199" s="1397"/>
      <c r="L199" s="1398"/>
      <c r="M199" s="1408">
        <f>P199*$M$3</f>
        <v>3</v>
      </c>
      <c r="N199" s="1400">
        <f>E199*$N$3</f>
        <v>20</v>
      </c>
      <c r="O199" s="1401"/>
      <c r="P199" s="1400">
        <f>$P$3*E199</f>
        <v>30</v>
      </c>
      <c r="Q199" s="1400">
        <f>SUM(M199:P199)</f>
        <v>53</v>
      </c>
      <c r="R199" s="1402"/>
      <c r="S199" s="1400"/>
      <c r="T199" s="1403">
        <f>J199-Q199</f>
        <v>0</v>
      </c>
      <c r="U199" s="1419"/>
      <c r="V199" s="1405"/>
      <c r="W199" s="1405"/>
      <c r="X199" s="1406"/>
    </row>
    <row r="200" spans="1:24" s="1062" customFormat="1" hidden="1">
      <c r="A200" s="1392" t="s">
        <v>7781</v>
      </c>
      <c r="B200" s="1362"/>
      <c r="C200" s="1363"/>
      <c r="D200" s="1393"/>
      <c r="E200" s="1394"/>
      <c r="F200" s="1394"/>
      <c r="G200" s="1469"/>
      <c r="H200" s="1469"/>
      <c r="I200" s="1469"/>
      <c r="J200" s="1470"/>
      <c r="K200" s="1471"/>
      <c r="L200" s="1472"/>
      <c r="M200" s="1408"/>
      <c r="N200" s="1401"/>
      <c r="O200" s="1401"/>
      <c r="P200" s="1401"/>
      <c r="Q200" s="1401"/>
      <c r="R200" s="1473"/>
      <c r="S200" s="1401"/>
      <c r="T200" s="1403"/>
      <c r="U200" s="1474"/>
      <c r="X200" s="1406"/>
    </row>
    <row r="201" spans="1:24" s="1062" customFormat="1">
      <c r="A201" s="1392" t="s">
        <v>506</v>
      </c>
      <c r="B201" s="1062" t="s">
        <v>7784</v>
      </c>
      <c r="C201" s="1363">
        <v>18151.478289962826</v>
      </c>
      <c r="D201" s="1393" t="s">
        <v>136</v>
      </c>
      <c r="E201" s="1394">
        <f>SUM(E202:E205)</f>
        <v>0.125</v>
      </c>
      <c r="F201" s="1394">
        <f>SUM(F202:F205)</f>
        <v>1.875</v>
      </c>
      <c r="G201" s="1412">
        <f>SUM(G202:G205)</f>
        <v>12.5</v>
      </c>
      <c r="H201" s="1412"/>
      <c r="I201" s="1412">
        <f>SUM(I202:I205)</f>
        <v>18.75</v>
      </c>
      <c r="J201" s="1413">
        <f>SUM(J202:J205)</f>
        <v>33.125</v>
      </c>
      <c r="K201" s="1471">
        <f>C201*J201</f>
        <v>601267.71835501865</v>
      </c>
      <c r="L201" s="1643"/>
      <c r="M201" s="1408">
        <f>SUM(M202:M205)</f>
        <v>1.875</v>
      </c>
      <c r="N201" s="1416">
        <f>SUM(N202:N205)</f>
        <v>12.5</v>
      </c>
      <c r="O201" s="1401"/>
      <c r="P201" s="1416">
        <f>SUM(P202:P205)</f>
        <v>18.75</v>
      </c>
      <c r="Q201" s="1416">
        <f>SUM(Q202:Q205)</f>
        <v>33.125</v>
      </c>
      <c r="R201" s="1473">
        <f>C201*Q201</f>
        <v>601267.71835501865</v>
      </c>
      <c r="S201" s="1401"/>
      <c r="T201" s="1645">
        <f>J201-Q201</f>
        <v>0</v>
      </c>
      <c r="U201" s="1474">
        <f>K201-R201</f>
        <v>0</v>
      </c>
      <c r="V201" s="1647"/>
      <c r="W201" s="1647"/>
      <c r="X201" s="1406"/>
    </row>
    <row r="202" spans="1:24" s="1062" customFormat="1" hidden="1">
      <c r="A202" s="1323" t="s">
        <v>5976</v>
      </c>
      <c r="B202" s="1362" t="s">
        <v>2886</v>
      </c>
      <c r="C202" s="1363"/>
      <c r="D202" s="1393" t="s">
        <v>2688</v>
      </c>
      <c r="E202" s="1394">
        <f>7.5/60</f>
        <v>0.125</v>
      </c>
      <c r="F202" s="1394">
        <f>I202*F3</f>
        <v>1.875</v>
      </c>
      <c r="G202" s="1395">
        <f>E202*$G$3</f>
        <v>12.5</v>
      </c>
      <c r="H202" s="1395"/>
      <c r="I202" s="1395">
        <f>$I$3*E202</f>
        <v>18.75</v>
      </c>
      <c r="J202" s="1396">
        <f>SUM(F202:I202)</f>
        <v>33.125</v>
      </c>
      <c r="K202" s="1397"/>
      <c r="L202" s="1398"/>
      <c r="M202" s="1408">
        <f>P202*$M$3</f>
        <v>1.875</v>
      </c>
      <c r="N202" s="1400">
        <f>E202*$N$3</f>
        <v>12.5</v>
      </c>
      <c r="O202" s="1401"/>
      <c r="P202" s="1400">
        <f>$P$3*E202</f>
        <v>18.75</v>
      </c>
      <c r="Q202" s="1400">
        <f>SUM(M202:P202)</f>
        <v>33.125</v>
      </c>
      <c r="R202" s="1402"/>
      <c r="S202" s="1400"/>
      <c r="T202" s="1403">
        <f>J202-Q202</f>
        <v>0</v>
      </c>
      <c r="U202" s="1419"/>
      <c r="V202" s="1405"/>
      <c r="W202" s="1405"/>
      <c r="X202" s="1406"/>
    </row>
    <row r="203" spans="1:24" s="1062" customFormat="1" hidden="1">
      <c r="A203" s="1323" t="s">
        <v>5976</v>
      </c>
      <c r="B203" s="1362" t="s">
        <v>2815</v>
      </c>
      <c r="C203" s="1363"/>
      <c r="D203" s="1393" t="s">
        <v>2688</v>
      </c>
      <c r="E203" s="1394"/>
      <c r="F203" s="1394">
        <f>I203*F3</f>
        <v>0</v>
      </c>
      <c r="G203" s="1395">
        <f>E203*$G$3</f>
        <v>0</v>
      </c>
      <c r="H203" s="1395"/>
      <c r="I203" s="1475">
        <v>0</v>
      </c>
      <c r="J203" s="1396">
        <f>SUM(G203:I203)</f>
        <v>0</v>
      </c>
      <c r="K203" s="1397"/>
      <c r="L203" s="1398"/>
      <c r="M203" s="1408">
        <f>P203*$M$3</f>
        <v>0</v>
      </c>
      <c r="N203" s="1400">
        <f>E203*$N$3</f>
        <v>0</v>
      </c>
      <c r="O203" s="1401"/>
      <c r="P203" s="1476">
        <v>0</v>
      </c>
      <c r="Q203" s="1400">
        <f>SUM(N203:P203)</f>
        <v>0</v>
      </c>
      <c r="R203" s="1402"/>
      <c r="S203" s="1400"/>
      <c r="T203" s="1403">
        <f>J203-Q203</f>
        <v>0</v>
      </c>
      <c r="U203" s="1419"/>
      <c r="V203" s="1405"/>
      <c r="W203" s="1405"/>
      <c r="X203" s="1406"/>
    </row>
    <row r="204" spans="1:24" s="1062" customFormat="1" hidden="1">
      <c r="A204" s="1323" t="s">
        <v>5976</v>
      </c>
      <c r="B204" s="1362" t="s">
        <v>2817</v>
      </c>
      <c r="C204" s="1363"/>
      <c r="D204" s="1393" t="s">
        <v>2688</v>
      </c>
      <c r="E204" s="1394"/>
      <c r="F204" s="1394">
        <f>I204*F3</f>
        <v>0</v>
      </c>
      <c r="G204" s="1395">
        <f>E204*$G$3</f>
        <v>0</v>
      </c>
      <c r="H204" s="1395"/>
      <c r="I204" s="1395">
        <f>$I$3*E204</f>
        <v>0</v>
      </c>
      <c r="J204" s="1396">
        <f>SUM(G204:I204)</f>
        <v>0</v>
      </c>
      <c r="K204" s="1397"/>
      <c r="L204" s="1398"/>
      <c r="M204" s="1408">
        <f>P204*$M$3</f>
        <v>0</v>
      </c>
      <c r="N204" s="1400">
        <f>E204*$N$3</f>
        <v>0</v>
      </c>
      <c r="O204" s="1401"/>
      <c r="P204" s="1400">
        <f>$P$3*E204</f>
        <v>0</v>
      </c>
      <c r="Q204" s="1400">
        <f>SUM(N204:P204)</f>
        <v>0</v>
      </c>
      <c r="R204" s="1402"/>
      <c r="S204" s="1400"/>
      <c r="T204" s="1403">
        <f>J204-Q204</f>
        <v>0</v>
      </c>
      <c r="U204" s="1419"/>
      <c r="V204" s="1405"/>
      <c r="W204" s="1405"/>
      <c r="X204" s="1406"/>
    </row>
    <row r="205" spans="1:24" s="1062" customFormat="1" hidden="1">
      <c r="A205" s="1323" t="s">
        <v>5976</v>
      </c>
      <c r="B205" s="1362" t="s">
        <v>2819</v>
      </c>
      <c r="C205" s="1363"/>
      <c r="D205" s="1393" t="s">
        <v>2688</v>
      </c>
      <c r="E205" s="1394"/>
      <c r="F205" s="1394">
        <f>I205*F3</f>
        <v>0</v>
      </c>
      <c r="G205" s="1395">
        <f>E205*$G$3</f>
        <v>0</v>
      </c>
      <c r="H205" s="1395"/>
      <c r="I205" s="1395">
        <f>$I$3*E205</f>
        <v>0</v>
      </c>
      <c r="J205" s="1396">
        <f>SUM(G205:I205)</f>
        <v>0</v>
      </c>
      <c r="K205" s="1397"/>
      <c r="L205" s="1398"/>
      <c r="M205" s="1408">
        <f>P205*$M$3</f>
        <v>0</v>
      </c>
      <c r="N205" s="1400">
        <f>E205*$N$3</f>
        <v>0</v>
      </c>
      <c r="O205" s="1401"/>
      <c r="P205" s="1400">
        <f>$P$3*E205</f>
        <v>0</v>
      </c>
      <c r="Q205" s="1400">
        <f>SUM(N205:P205)</f>
        <v>0</v>
      </c>
      <c r="R205" s="1402"/>
      <c r="S205" s="1400"/>
      <c r="T205" s="1403">
        <f>J205-Q205</f>
        <v>0</v>
      </c>
      <c r="U205" s="1419"/>
      <c r="V205" s="1405"/>
      <c r="W205" s="1405"/>
      <c r="X205" s="1406"/>
    </row>
    <row r="206" spans="1:24" s="1062" customFormat="1" hidden="1">
      <c r="A206" s="1392" t="s">
        <v>7785</v>
      </c>
      <c r="B206" s="1362"/>
      <c r="C206" s="1363"/>
      <c r="D206" s="1393"/>
      <c r="E206" s="1394"/>
      <c r="F206" s="1394"/>
      <c r="G206" s="1395"/>
      <c r="H206" s="1395"/>
      <c r="I206" s="1395"/>
      <c r="J206" s="1396"/>
      <c r="K206" s="1397"/>
      <c r="L206" s="1398"/>
      <c r="M206" s="1408"/>
      <c r="N206" s="1400"/>
      <c r="O206" s="1401"/>
      <c r="P206" s="1400"/>
      <c r="Q206" s="1400"/>
      <c r="R206" s="1402"/>
      <c r="S206" s="1400"/>
      <c r="T206" s="1403"/>
      <c r="U206" s="1419"/>
      <c r="V206" s="1405"/>
      <c r="W206" s="1405"/>
      <c r="X206" s="1406"/>
    </row>
    <row r="207" spans="1:24" s="1062" customFormat="1">
      <c r="A207" s="1392" t="s">
        <v>2887</v>
      </c>
      <c r="B207" s="1062" t="s">
        <v>1249</v>
      </c>
      <c r="C207" s="1363">
        <v>4</v>
      </c>
      <c r="D207" s="1393" t="s">
        <v>2700</v>
      </c>
      <c r="E207" s="1394">
        <f>E208</f>
        <v>761.90476190476181</v>
      </c>
      <c r="F207" s="1394">
        <f>F208</f>
        <v>11428.571428571428</v>
      </c>
      <c r="G207" s="1412">
        <f>G208</f>
        <v>76190.476190476184</v>
      </c>
      <c r="H207" s="1412"/>
      <c r="I207" s="1412">
        <f>I208</f>
        <v>114285.71428571428</v>
      </c>
      <c r="J207" s="1413">
        <f>J208</f>
        <v>201904.76190476189</v>
      </c>
      <c r="K207" s="1471">
        <f>C207*J207</f>
        <v>807619.04761904757</v>
      </c>
      <c r="L207" s="1643"/>
      <c r="M207" s="1408">
        <f>M208</f>
        <v>11428.571428571428</v>
      </c>
      <c r="N207" s="1416">
        <f>N208</f>
        <v>76190.476190476184</v>
      </c>
      <c r="O207" s="1401"/>
      <c r="P207" s="1416">
        <f>P208</f>
        <v>114285.71428571428</v>
      </c>
      <c r="Q207" s="1416">
        <f>Q208</f>
        <v>201904.76190476189</v>
      </c>
      <c r="R207" s="1473">
        <f>C207*Q207</f>
        <v>807619.04761904757</v>
      </c>
      <c r="S207" s="1401"/>
      <c r="T207" s="1645">
        <f>J207-Q207</f>
        <v>0</v>
      </c>
      <c r="U207" s="1474">
        <f>K207-R207</f>
        <v>0</v>
      </c>
      <c r="V207" s="1647"/>
      <c r="W207" s="1647"/>
      <c r="X207" s="1406"/>
    </row>
    <row r="208" spans="1:24" s="1062" customFormat="1" hidden="1">
      <c r="A208" s="1323" t="s">
        <v>5976</v>
      </c>
      <c r="B208" s="1362" t="s">
        <v>2886</v>
      </c>
      <c r="C208" s="1363"/>
      <c r="D208" s="1393" t="s">
        <v>2700</v>
      </c>
      <c r="E208" s="1394">
        <f>(16000*(1/3))*(1/7)</f>
        <v>761.90476190476181</v>
      </c>
      <c r="F208" s="1394">
        <f>I208*F3</f>
        <v>11428.571428571428</v>
      </c>
      <c r="G208" s="1395">
        <f>E208*$G$3</f>
        <v>76190.476190476184</v>
      </c>
      <c r="H208" s="1395"/>
      <c r="I208" s="1395">
        <f>$I$3*E208</f>
        <v>114285.71428571428</v>
      </c>
      <c r="J208" s="1396">
        <f>SUM(F208:I208)</f>
        <v>201904.76190476189</v>
      </c>
      <c r="K208" s="1397"/>
      <c r="L208" s="1398"/>
      <c r="M208" s="1408">
        <f>P208*$M$3</f>
        <v>11428.571428571428</v>
      </c>
      <c r="N208" s="1400">
        <f>E208*$N$3</f>
        <v>76190.476190476184</v>
      </c>
      <c r="O208" s="1401"/>
      <c r="P208" s="1400">
        <f>$P$3*E208</f>
        <v>114285.71428571428</v>
      </c>
      <c r="Q208" s="1400">
        <f>SUM(M208:P208)</f>
        <v>201904.76190476189</v>
      </c>
      <c r="R208" s="1402"/>
      <c r="S208" s="1400"/>
      <c r="T208" s="1403">
        <f>J208-Q208</f>
        <v>0</v>
      </c>
      <c r="U208" s="1419"/>
      <c r="V208" s="1405"/>
      <c r="W208" s="1405"/>
      <c r="X208" s="1406"/>
    </row>
    <row r="209" spans="1:24" s="1062" customFormat="1" hidden="1">
      <c r="A209" s="1392" t="s">
        <v>7781</v>
      </c>
      <c r="B209" s="1362"/>
      <c r="C209" s="1363"/>
      <c r="D209" s="1393"/>
      <c r="E209" s="1394"/>
      <c r="F209" s="1394"/>
      <c r="G209" s="1395"/>
      <c r="H209" s="1395"/>
      <c r="I209" s="1475"/>
      <c r="J209" s="1396"/>
      <c r="K209" s="1397"/>
      <c r="L209" s="1398"/>
      <c r="M209" s="1408"/>
      <c r="N209" s="1400"/>
      <c r="O209" s="1401"/>
      <c r="P209" s="1476"/>
      <c r="Q209" s="1400"/>
      <c r="R209" s="1402"/>
      <c r="S209" s="1400"/>
      <c r="T209" s="1403"/>
      <c r="U209" s="1419"/>
      <c r="V209" s="1405"/>
      <c r="W209" s="1405"/>
      <c r="X209" s="1406"/>
    </row>
    <row r="210" spans="1:24">
      <c r="A210" s="1323" t="s">
        <v>2888</v>
      </c>
      <c r="B210" s="7" t="s">
        <v>2889</v>
      </c>
      <c r="C210" s="1363">
        <v>0</v>
      </c>
      <c r="D210" s="1364" t="s">
        <v>242</v>
      </c>
      <c r="E210" s="1365">
        <f>SUM(E211:E214)</f>
        <v>270</v>
      </c>
      <c r="F210" s="1365">
        <f>SUM(F211:F214)</f>
        <v>3450</v>
      </c>
      <c r="G210" s="1366">
        <f>SUM(G211:G214)</f>
        <v>27000</v>
      </c>
      <c r="H210" s="1366"/>
      <c r="I210" s="1366">
        <f>SUM(I211:I214)</f>
        <v>34500</v>
      </c>
      <c r="J210" s="1367">
        <f>SUM(J211:J214)</f>
        <v>64950</v>
      </c>
      <c r="K210" s="1464">
        <f>C210*J210</f>
        <v>0</v>
      </c>
      <c r="L210" s="1641"/>
      <c r="M210" s="1370">
        <f>SUM(M211:M214)</f>
        <v>3450</v>
      </c>
      <c r="N210" s="1371">
        <f>SUM(N211:N214)</f>
        <v>27000</v>
      </c>
      <c r="P210" s="1371">
        <f>SUM(P211:P214)</f>
        <v>34500</v>
      </c>
      <c r="Q210" s="1371">
        <f>SUM(Q211:Q214)</f>
        <v>64950</v>
      </c>
      <c r="R210" s="1465">
        <f>C210*Q210</f>
        <v>0</v>
      </c>
      <c r="T210" s="1642">
        <f>J210-Q210</f>
        <v>0</v>
      </c>
      <c r="U210" s="1466">
        <f>K210-R210</f>
        <v>0</v>
      </c>
      <c r="V210" s="1373"/>
      <c r="W210" s="1373"/>
      <c r="X210" s="1244"/>
    </row>
    <row r="211" spans="1:24" hidden="1">
      <c r="A211" s="1323" t="s">
        <v>5976</v>
      </c>
      <c r="B211" s="1362" t="s">
        <v>2813</v>
      </c>
      <c r="C211" s="1363"/>
      <c r="D211" s="1364" t="s">
        <v>242</v>
      </c>
      <c r="E211" s="1365">
        <v>160</v>
      </c>
      <c r="F211" s="1365">
        <f>I211*F3</f>
        <v>2400</v>
      </c>
      <c r="G211" s="1366">
        <f>E211*$G$3</f>
        <v>16000</v>
      </c>
      <c r="H211" s="1366"/>
      <c r="I211" s="1366">
        <f>$I$3*E211</f>
        <v>24000</v>
      </c>
      <c r="J211" s="1367">
        <f>SUM(F211:I211)</f>
        <v>42400</v>
      </c>
      <c r="K211" s="1368"/>
      <c r="L211" s="1369"/>
      <c r="M211" s="1370">
        <f>P211*$M$3</f>
        <v>2400</v>
      </c>
      <c r="N211" s="1371">
        <f>E211*$N$3</f>
        <v>16000</v>
      </c>
      <c r="P211" s="1371">
        <f>$P$3*E211</f>
        <v>24000</v>
      </c>
      <c r="Q211" s="1371">
        <f>SUM(M211:P211)</f>
        <v>42400</v>
      </c>
      <c r="R211" s="1372"/>
      <c r="S211" s="1371"/>
      <c r="T211" s="1347">
        <f>J211-Q211</f>
        <v>0</v>
      </c>
      <c r="U211" s="1427"/>
      <c r="V211" s="1373"/>
      <c r="W211" s="1373"/>
      <c r="X211" s="1244"/>
    </row>
    <row r="212" spans="1:24" hidden="1">
      <c r="A212" s="1323" t="s">
        <v>5976</v>
      </c>
      <c r="B212" s="185" t="s">
        <v>2815</v>
      </c>
      <c r="C212" s="1363"/>
      <c r="D212" s="1364" t="s">
        <v>242</v>
      </c>
      <c r="E212" s="1365">
        <v>40</v>
      </c>
      <c r="F212" s="1365"/>
      <c r="G212" s="1366">
        <f>E212*$G$3</f>
        <v>4000</v>
      </c>
      <c r="H212" s="1366"/>
      <c r="I212" s="1428">
        <v>0</v>
      </c>
      <c r="J212" s="1367">
        <f>SUM(F212:I212)</f>
        <v>4000</v>
      </c>
      <c r="K212" s="1368"/>
      <c r="L212" s="1369"/>
      <c r="M212" s="1370"/>
      <c r="N212" s="1371">
        <f>E212*$N$3</f>
        <v>4000</v>
      </c>
      <c r="P212" s="1429">
        <v>0</v>
      </c>
      <c r="Q212" s="1371">
        <f>SUM(M212:P212)</f>
        <v>4000</v>
      </c>
      <c r="R212" s="1372"/>
      <c r="S212" s="1371"/>
      <c r="T212" s="1347">
        <f>J212-Q212</f>
        <v>0</v>
      </c>
      <c r="U212" s="1427"/>
      <c r="V212" s="1373"/>
      <c r="W212" s="1373"/>
      <c r="X212" s="1244"/>
    </row>
    <row r="213" spans="1:24" hidden="1">
      <c r="A213" s="1323" t="s">
        <v>5976</v>
      </c>
      <c r="B213" s="1362" t="s">
        <v>2817</v>
      </c>
      <c r="C213" s="1363"/>
      <c r="D213" s="1364" t="s">
        <v>242</v>
      </c>
      <c r="E213" s="1365">
        <v>40</v>
      </c>
      <c r="F213" s="1365">
        <f>I213*F3</f>
        <v>600</v>
      </c>
      <c r="G213" s="1366">
        <f>E213*$G$3</f>
        <v>4000</v>
      </c>
      <c r="H213" s="1366"/>
      <c r="I213" s="1366">
        <f>$I$3*E213</f>
        <v>6000</v>
      </c>
      <c r="J213" s="1367">
        <f>SUM(F213:I213)</f>
        <v>10600</v>
      </c>
      <c r="K213" s="1368"/>
      <c r="L213" s="1369"/>
      <c r="M213" s="1370">
        <f>P213*$M$3</f>
        <v>600</v>
      </c>
      <c r="N213" s="1371">
        <f>E213*$N$3</f>
        <v>4000</v>
      </c>
      <c r="P213" s="1371">
        <f>$P$3*E213</f>
        <v>6000</v>
      </c>
      <c r="Q213" s="1371">
        <f>SUM(M213:P213)</f>
        <v>10600</v>
      </c>
      <c r="R213" s="1372"/>
      <c r="S213" s="1371"/>
      <c r="T213" s="1347">
        <f>J213-Q213</f>
        <v>0</v>
      </c>
      <c r="U213" s="1427"/>
      <c r="V213" s="1373"/>
      <c r="W213" s="1373"/>
      <c r="X213" s="1244"/>
    </row>
    <row r="214" spans="1:24" hidden="1">
      <c r="A214" s="1323" t="s">
        <v>5976</v>
      </c>
      <c r="B214" s="1362" t="s">
        <v>2819</v>
      </c>
      <c r="C214" s="1363"/>
      <c r="D214" s="1364" t="s">
        <v>242</v>
      </c>
      <c r="E214" s="1365">
        <v>30</v>
      </c>
      <c r="F214" s="1365">
        <f>I214*F3</f>
        <v>450</v>
      </c>
      <c r="G214" s="1366">
        <f>E214*$G$3</f>
        <v>3000</v>
      </c>
      <c r="H214" s="1366"/>
      <c r="I214" s="1366">
        <f>$I$3*E214</f>
        <v>4500</v>
      </c>
      <c r="J214" s="1367">
        <f>SUM(F214:I214)</f>
        <v>7950</v>
      </c>
      <c r="K214" s="1368"/>
      <c r="L214" s="1369"/>
      <c r="M214" s="1370">
        <f>P214*$M$3</f>
        <v>450</v>
      </c>
      <c r="N214" s="1371">
        <f>E214*$N$3</f>
        <v>3000</v>
      </c>
      <c r="P214" s="1371">
        <f>$P$3*E214</f>
        <v>4500</v>
      </c>
      <c r="Q214" s="1371">
        <f>SUM(M214:P214)</f>
        <v>7950</v>
      </c>
      <c r="R214" s="1372"/>
      <c r="S214" s="1371"/>
      <c r="T214" s="1347">
        <f>J214-Q214</f>
        <v>0</v>
      </c>
      <c r="U214" s="1427"/>
      <c r="V214" s="1373"/>
      <c r="W214" s="1373"/>
      <c r="X214" s="1244"/>
    </row>
    <row r="215" spans="1:24" hidden="1">
      <c r="A215" s="1323" t="s">
        <v>7785</v>
      </c>
      <c r="B215" s="1362"/>
      <c r="C215" s="1363"/>
      <c r="D215" s="1364"/>
      <c r="E215" s="1365"/>
      <c r="F215" s="1365"/>
      <c r="K215" s="1464"/>
      <c r="M215" s="1370"/>
      <c r="R215" s="1465"/>
      <c r="T215" s="1347"/>
      <c r="U215" s="1466"/>
      <c r="X215" s="1244"/>
    </row>
    <row r="216" spans="1:24">
      <c r="A216" s="1323" t="s">
        <v>800</v>
      </c>
      <c r="B216" s="7" t="s">
        <v>3431</v>
      </c>
      <c r="C216" s="1363">
        <v>2</v>
      </c>
      <c r="D216" s="1364" t="s">
        <v>2700</v>
      </c>
      <c r="E216" s="1365">
        <f>SUM(E217:E220)</f>
        <v>47</v>
      </c>
      <c r="F216" s="1365">
        <f>SUM(F217:F220)</f>
        <v>480</v>
      </c>
      <c r="G216" s="1495">
        <f>SUM(G217:G220)</f>
        <v>4700</v>
      </c>
      <c r="H216" s="1495"/>
      <c r="I216" s="1495">
        <f>SUM(I217:I220)</f>
        <v>4800</v>
      </c>
      <c r="J216" s="1496">
        <f>SUM(J217:J220)</f>
        <v>9980</v>
      </c>
      <c r="K216" s="1464">
        <f>C216*J216</f>
        <v>19960</v>
      </c>
      <c r="L216" s="1641"/>
      <c r="M216" s="1370">
        <f>SUM(M217:M220)</f>
        <v>480</v>
      </c>
      <c r="N216" s="1499">
        <f>SUM(N217:N220)</f>
        <v>4700</v>
      </c>
      <c r="P216" s="1499">
        <f>SUM(P217:P220)</f>
        <v>4800</v>
      </c>
      <c r="Q216" s="1499">
        <f>SUM(Q217:Q220)</f>
        <v>9980</v>
      </c>
      <c r="R216" s="1465">
        <f>C216*Q216</f>
        <v>19960</v>
      </c>
      <c r="T216" s="1642">
        <f>J216-Q216</f>
        <v>0</v>
      </c>
      <c r="U216" s="1466">
        <f>K216-R216</f>
        <v>0</v>
      </c>
      <c r="V216" s="1502"/>
      <c r="W216" s="1502"/>
      <c r="X216" s="1244"/>
    </row>
    <row r="217" spans="1:24" hidden="1">
      <c r="A217" s="1323" t="s">
        <v>5976</v>
      </c>
      <c r="B217" s="1362" t="s">
        <v>2813</v>
      </c>
      <c r="C217" s="1363"/>
      <c r="D217" s="1364" t="s">
        <v>242</v>
      </c>
      <c r="E217" s="1365">
        <v>20</v>
      </c>
      <c r="F217" s="1365">
        <f>I217*F3</f>
        <v>300</v>
      </c>
      <c r="G217" s="1366">
        <f>E217*$G$3</f>
        <v>2000</v>
      </c>
      <c r="H217" s="1366"/>
      <c r="I217" s="1366">
        <f>$I$3*E217</f>
        <v>3000</v>
      </c>
      <c r="J217" s="1367">
        <f>SUM(F217:I217)</f>
        <v>5300</v>
      </c>
      <c r="K217" s="1368"/>
      <c r="L217" s="1369"/>
      <c r="M217" s="1370">
        <f>P217*$M$3</f>
        <v>300</v>
      </c>
      <c r="N217" s="1371">
        <f>E217*$N$3</f>
        <v>2000</v>
      </c>
      <c r="P217" s="1371">
        <f>$P$3*E217</f>
        <v>3000</v>
      </c>
      <c r="Q217" s="1371">
        <f>SUM(M217:P217)</f>
        <v>5300</v>
      </c>
      <c r="R217" s="1372"/>
      <c r="S217" s="1371"/>
      <c r="T217" s="1347">
        <f>J217-Q217</f>
        <v>0</v>
      </c>
      <c r="U217" s="1427"/>
      <c r="V217" s="1373"/>
      <c r="W217" s="1373"/>
      <c r="X217" s="1244"/>
    </row>
    <row r="218" spans="1:24" hidden="1">
      <c r="A218" s="1323" t="s">
        <v>5976</v>
      </c>
      <c r="B218" s="185" t="s">
        <v>2815</v>
      </c>
      <c r="C218" s="1363"/>
      <c r="D218" s="1364" t="s">
        <v>242</v>
      </c>
      <c r="E218" s="1365">
        <v>15</v>
      </c>
      <c r="F218" s="1365"/>
      <c r="G218" s="1366">
        <f>E218*$G$3</f>
        <v>1500</v>
      </c>
      <c r="H218" s="1366"/>
      <c r="I218" s="1428">
        <v>0</v>
      </c>
      <c r="J218" s="1367">
        <f>SUM(F218:I218)</f>
        <v>1500</v>
      </c>
      <c r="K218" s="1368"/>
      <c r="L218" s="1369"/>
      <c r="M218" s="1370"/>
      <c r="N218" s="1371">
        <f>E218*$N$3</f>
        <v>1500</v>
      </c>
      <c r="P218" s="1429">
        <v>0</v>
      </c>
      <c r="Q218" s="1371">
        <f>SUM(M218:P218)</f>
        <v>1500</v>
      </c>
      <c r="R218" s="1372"/>
      <c r="S218" s="1371"/>
      <c r="T218" s="1347">
        <f>J218-Q218</f>
        <v>0</v>
      </c>
      <c r="U218" s="1427"/>
      <c r="V218" s="1373"/>
      <c r="W218" s="1373"/>
      <c r="X218" s="1244"/>
    </row>
    <row r="219" spans="1:24" hidden="1">
      <c r="A219" s="1323" t="s">
        <v>5976</v>
      </c>
      <c r="B219" s="1362" t="s">
        <v>2817</v>
      </c>
      <c r="C219" s="1363"/>
      <c r="D219" s="1364" t="s">
        <v>242</v>
      </c>
      <c r="E219" s="1365">
        <v>6</v>
      </c>
      <c r="F219" s="1365">
        <f>I219*F3</f>
        <v>90</v>
      </c>
      <c r="G219" s="1366">
        <f>E219*$G$3</f>
        <v>600</v>
      </c>
      <c r="H219" s="1366"/>
      <c r="I219" s="1366">
        <f>$I$3*E219</f>
        <v>900</v>
      </c>
      <c r="J219" s="1367">
        <f>SUM(F219:I219)</f>
        <v>1590</v>
      </c>
      <c r="K219" s="1368"/>
      <c r="L219" s="1369"/>
      <c r="M219" s="1370">
        <f>P219*$M$3</f>
        <v>90</v>
      </c>
      <c r="N219" s="1371">
        <f>E219*$N$3</f>
        <v>600</v>
      </c>
      <c r="P219" s="1371">
        <f>$P$3*E219</f>
        <v>900</v>
      </c>
      <c r="Q219" s="1371">
        <f>SUM(M219:P219)</f>
        <v>1590</v>
      </c>
      <c r="R219" s="1372"/>
      <c r="S219" s="1371"/>
      <c r="T219" s="1347">
        <f>J219-Q219</f>
        <v>0</v>
      </c>
      <c r="U219" s="1427"/>
      <c r="V219" s="1373"/>
      <c r="W219" s="1373"/>
      <c r="X219" s="1244"/>
    </row>
    <row r="220" spans="1:24" hidden="1">
      <c r="A220" s="1323" t="s">
        <v>5976</v>
      </c>
      <c r="B220" s="1362" t="s">
        <v>2819</v>
      </c>
      <c r="C220" s="1363"/>
      <c r="D220" s="1364" t="s">
        <v>242</v>
      </c>
      <c r="E220" s="1365">
        <v>6</v>
      </c>
      <c r="F220" s="1365">
        <f>I220*F3</f>
        <v>90</v>
      </c>
      <c r="G220" s="1366">
        <f>E220*$G$3</f>
        <v>600</v>
      </c>
      <c r="H220" s="1366"/>
      <c r="I220" s="1366">
        <f>$I$3*E220</f>
        <v>900</v>
      </c>
      <c r="J220" s="1367">
        <f>SUM(F220:I220)</f>
        <v>1590</v>
      </c>
      <c r="K220" s="1368"/>
      <c r="L220" s="1369"/>
      <c r="M220" s="1370">
        <f>P220*$M$3</f>
        <v>90</v>
      </c>
      <c r="N220" s="1371">
        <f>E220*$N$3</f>
        <v>600</v>
      </c>
      <c r="P220" s="1371">
        <f>$P$3*E220</f>
        <v>900</v>
      </c>
      <c r="Q220" s="1371">
        <f>SUM(M220:P220)</f>
        <v>1590</v>
      </c>
      <c r="R220" s="1372"/>
      <c r="S220" s="1371"/>
      <c r="T220" s="1347">
        <f>J220-Q220</f>
        <v>0</v>
      </c>
      <c r="U220" s="1427"/>
      <c r="V220" s="1373"/>
      <c r="W220" s="1373"/>
      <c r="X220" s="1244"/>
    </row>
    <row r="221" spans="1:24" hidden="1">
      <c r="A221" s="1323" t="s">
        <v>7785</v>
      </c>
      <c r="B221" s="185"/>
      <c r="C221" s="1363"/>
      <c r="D221" s="1364"/>
      <c r="E221" s="1365"/>
      <c r="F221" s="1365"/>
      <c r="G221" s="1366"/>
      <c r="H221" s="1366"/>
      <c r="I221" s="1428"/>
      <c r="J221" s="1367"/>
      <c r="K221" s="1368"/>
      <c r="L221" s="1369"/>
      <c r="M221" s="1370"/>
      <c r="N221" s="1371"/>
      <c r="P221" s="1429"/>
      <c r="Q221" s="1371"/>
      <c r="R221" s="1372"/>
      <c r="S221" s="1371"/>
      <c r="T221" s="1347"/>
      <c r="U221" s="1427"/>
      <c r="V221" s="1373"/>
      <c r="W221" s="1373"/>
      <c r="X221" s="1244"/>
    </row>
    <row r="222" spans="1:24">
      <c r="A222" s="1323" t="s">
        <v>931</v>
      </c>
      <c r="B222" s="7" t="s">
        <v>2895</v>
      </c>
      <c r="C222" s="1363">
        <v>2</v>
      </c>
      <c r="D222" s="1364" t="s">
        <v>2700</v>
      </c>
      <c r="E222" s="1365">
        <f>SUM(E223:E226)</f>
        <v>47</v>
      </c>
      <c r="F222" s="1365">
        <f>SUM(F223:F226)</f>
        <v>480</v>
      </c>
      <c r="G222" s="1495">
        <f>SUM(G223:G226)</f>
        <v>4700</v>
      </c>
      <c r="H222" s="1495"/>
      <c r="I222" s="1495">
        <f>SUM(I223:I226)</f>
        <v>4800</v>
      </c>
      <c r="J222" s="1496">
        <f>SUM(J223:J226)</f>
        <v>9980</v>
      </c>
      <c r="K222" s="1464">
        <f>C222*J222</f>
        <v>19960</v>
      </c>
      <c r="L222" s="1641"/>
      <c r="M222" s="1370">
        <f>SUM(M223:M226)</f>
        <v>480</v>
      </c>
      <c r="N222" s="1499">
        <f>SUM(N223:N226)</f>
        <v>4700</v>
      </c>
      <c r="P222" s="1499">
        <f>SUM(P223:P226)</f>
        <v>4800</v>
      </c>
      <c r="Q222" s="1499">
        <f>SUM(Q223:Q226)</f>
        <v>9980</v>
      </c>
      <c r="R222" s="1465">
        <f>C222*Q222</f>
        <v>19960</v>
      </c>
      <c r="T222" s="1642">
        <f>J222-Q222</f>
        <v>0</v>
      </c>
      <c r="U222" s="1466">
        <f>K222-R222</f>
        <v>0</v>
      </c>
      <c r="V222" s="1502"/>
      <c r="W222" s="1502"/>
      <c r="X222" s="1244"/>
    </row>
    <row r="223" spans="1:24" hidden="1">
      <c r="A223" s="1323" t="s">
        <v>5976</v>
      </c>
      <c r="B223" s="1362" t="s">
        <v>2813</v>
      </c>
      <c r="C223" s="1363"/>
      <c r="D223" s="1364" t="s">
        <v>242</v>
      </c>
      <c r="E223" s="1365">
        <v>20</v>
      </c>
      <c r="F223" s="1365">
        <f>I223*F3</f>
        <v>300</v>
      </c>
      <c r="G223" s="1366">
        <f>E223*$G$3</f>
        <v>2000</v>
      </c>
      <c r="H223" s="1366"/>
      <c r="I223" s="1366">
        <f>$I$3*E223</f>
        <v>3000</v>
      </c>
      <c r="J223" s="1367">
        <f>SUM(F223:I223)</f>
        <v>5300</v>
      </c>
      <c r="K223" s="1368"/>
      <c r="L223" s="1369"/>
      <c r="M223" s="1370">
        <f>P223*$M$3</f>
        <v>300</v>
      </c>
      <c r="N223" s="1371">
        <f>E223*$N$3</f>
        <v>2000</v>
      </c>
      <c r="P223" s="1371">
        <f>$P$3*E223</f>
        <v>3000</v>
      </c>
      <c r="Q223" s="1371">
        <f>SUM(M223:P223)</f>
        <v>5300</v>
      </c>
      <c r="R223" s="1372"/>
      <c r="S223" s="1371"/>
      <c r="T223" s="1347">
        <f>J223-Q223</f>
        <v>0</v>
      </c>
      <c r="U223" s="1427"/>
      <c r="V223" s="1373"/>
      <c r="W223" s="1373"/>
      <c r="X223" s="1244"/>
    </row>
    <row r="224" spans="1:24" hidden="1">
      <c r="A224" s="1323" t="s">
        <v>5976</v>
      </c>
      <c r="B224" s="185" t="s">
        <v>2815</v>
      </c>
      <c r="C224" s="1363"/>
      <c r="D224" s="1364" t="s">
        <v>242</v>
      </c>
      <c r="E224" s="1365">
        <v>15</v>
      </c>
      <c r="F224" s="1365"/>
      <c r="G224" s="1366">
        <f>E224*$G$3</f>
        <v>1500</v>
      </c>
      <c r="H224" s="1366"/>
      <c r="I224" s="1428">
        <v>0</v>
      </c>
      <c r="J224" s="1367">
        <f>SUM(F224:I224)</f>
        <v>1500</v>
      </c>
      <c r="K224" s="1368"/>
      <c r="L224" s="1369"/>
      <c r="M224" s="1370"/>
      <c r="N224" s="1371">
        <f>E224*$N$3</f>
        <v>1500</v>
      </c>
      <c r="P224" s="1429">
        <v>0</v>
      </c>
      <c r="Q224" s="1371">
        <f>SUM(M224:P224)</f>
        <v>1500</v>
      </c>
      <c r="R224" s="1372"/>
      <c r="S224" s="1371"/>
      <c r="T224" s="1347">
        <f>J224-Q224</f>
        <v>0</v>
      </c>
      <c r="U224" s="1427"/>
      <c r="V224" s="1373"/>
      <c r="W224" s="1373"/>
      <c r="X224" s="1244"/>
    </row>
    <row r="225" spans="1:24" hidden="1">
      <c r="A225" s="1323" t="s">
        <v>5976</v>
      </c>
      <c r="B225" s="1362" t="s">
        <v>2817</v>
      </c>
      <c r="C225" s="1363"/>
      <c r="D225" s="1364" t="s">
        <v>242</v>
      </c>
      <c r="E225" s="1365">
        <v>6</v>
      </c>
      <c r="F225" s="1365">
        <f>I225*F3</f>
        <v>90</v>
      </c>
      <c r="G225" s="1366">
        <f>E225*$G$3</f>
        <v>600</v>
      </c>
      <c r="H225" s="1366"/>
      <c r="I225" s="1366">
        <f>$I$3*E225</f>
        <v>900</v>
      </c>
      <c r="J225" s="1367">
        <f>SUM(F225:I225)</f>
        <v>1590</v>
      </c>
      <c r="K225" s="1368"/>
      <c r="L225" s="1369"/>
      <c r="M225" s="1370">
        <f>P225*$M$3</f>
        <v>90</v>
      </c>
      <c r="N225" s="1371">
        <f>E225*$N$3</f>
        <v>600</v>
      </c>
      <c r="P225" s="1371">
        <f>$P$3*E225</f>
        <v>900</v>
      </c>
      <c r="Q225" s="1371">
        <f>SUM(M225:P225)</f>
        <v>1590</v>
      </c>
      <c r="R225" s="1372"/>
      <c r="S225" s="1371"/>
      <c r="T225" s="1347">
        <f>J225-Q225</f>
        <v>0</v>
      </c>
      <c r="U225" s="1427"/>
      <c r="V225" s="1373"/>
      <c r="W225" s="1373"/>
      <c r="X225" s="1244"/>
    </row>
    <row r="226" spans="1:24" hidden="1">
      <c r="A226" s="1323" t="s">
        <v>5976</v>
      </c>
      <c r="B226" s="1362" t="s">
        <v>2819</v>
      </c>
      <c r="C226" s="1363"/>
      <c r="D226" s="1364" t="s">
        <v>242</v>
      </c>
      <c r="E226" s="1365">
        <v>6</v>
      </c>
      <c r="F226" s="1365">
        <f>I226*F3</f>
        <v>90</v>
      </c>
      <c r="G226" s="1366">
        <f>E226*$G$3</f>
        <v>600</v>
      </c>
      <c r="H226" s="1366"/>
      <c r="I226" s="1366">
        <f>$I$3*E226</f>
        <v>900</v>
      </c>
      <c r="J226" s="1367">
        <f>SUM(F226:I226)</f>
        <v>1590</v>
      </c>
      <c r="K226" s="1368"/>
      <c r="L226" s="1369"/>
      <c r="M226" s="1370">
        <f>P226*$M$3</f>
        <v>90</v>
      </c>
      <c r="N226" s="1371">
        <f>E226*$N$3</f>
        <v>600</v>
      </c>
      <c r="P226" s="1371">
        <f>$P$3*E226</f>
        <v>900</v>
      </c>
      <c r="Q226" s="1371">
        <f>SUM(M226:P226)</f>
        <v>1590</v>
      </c>
      <c r="R226" s="1372"/>
      <c r="S226" s="1371"/>
      <c r="T226" s="1347">
        <f>J226-Q226</f>
        <v>0</v>
      </c>
      <c r="U226" s="1427"/>
      <c r="V226" s="1373"/>
      <c r="W226" s="1373"/>
      <c r="X226" s="1244"/>
    </row>
    <row r="227" spans="1:24" hidden="1">
      <c r="A227" s="1323" t="s">
        <v>7781</v>
      </c>
      <c r="B227" s="185"/>
      <c r="C227" s="1363"/>
      <c r="D227" s="1364"/>
      <c r="E227" s="1365"/>
      <c r="F227" s="1365"/>
      <c r="G227" s="1366"/>
      <c r="H227" s="1366"/>
      <c r="I227" s="1428"/>
      <c r="J227" s="1367"/>
      <c r="K227" s="1368"/>
      <c r="L227" s="1369"/>
      <c r="M227" s="1370"/>
      <c r="N227" s="1371"/>
      <c r="P227" s="1429"/>
      <c r="Q227" s="1371"/>
      <c r="R227" s="1372"/>
      <c r="S227" s="1371"/>
      <c r="T227" s="1347"/>
      <c r="U227" s="1427"/>
      <c r="V227" s="1373"/>
      <c r="W227" s="1373"/>
      <c r="X227" s="1244"/>
    </row>
    <row r="228" spans="1:24">
      <c r="A228" s="1323" t="s">
        <v>977</v>
      </c>
      <c r="B228" s="7" t="s">
        <v>2896</v>
      </c>
      <c r="C228" s="1363">
        <v>2</v>
      </c>
      <c r="D228" s="1364" t="s">
        <v>2700</v>
      </c>
      <c r="E228" s="1365">
        <f>SUM(E229:E232)</f>
        <v>51</v>
      </c>
      <c r="F228" s="1365">
        <f>SUM(F229:F232)</f>
        <v>540</v>
      </c>
      <c r="G228" s="1495">
        <f>SUM(G229:G232)</f>
        <v>5100</v>
      </c>
      <c r="H228" s="1495"/>
      <c r="I228" s="1495">
        <f>SUM(I229:I232)</f>
        <v>5400</v>
      </c>
      <c r="J228" s="1496">
        <f>SUM(J229:J232)</f>
        <v>11040</v>
      </c>
      <c r="K228" s="1464">
        <f>C228*J228</f>
        <v>22080</v>
      </c>
      <c r="L228" s="1641"/>
      <c r="M228" s="1370">
        <f>SUM(M229:M232)</f>
        <v>540</v>
      </c>
      <c r="N228" s="1499">
        <f>SUM(N229:N232)</f>
        <v>5100</v>
      </c>
      <c r="P228" s="1499">
        <f>SUM(P229:P232)</f>
        <v>5400</v>
      </c>
      <c r="Q228" s="1499">
        <f>SUM(Q229:Q232)</f>
        <v>11040</v>
      </c>
      <c r="R228" s="1465">
        <f>C228*Q228</f>
        <v>22080</v>
      </c>
      <c r="T228" s="1642">
        <f>J228-Q228</f>
        <v>0</v>
      </c>
      <c r="U228" s="1466">
        <f>K228-R228</f>
        <v>0</v>
      </c>
      <c r="V228" s="1502"/>
      <c r="W228" s="1502"/>
      <c r="X228" s="1244"/>
    </row>
    <row r="229" spans="1:24" hidden="1">
      <c r="A229" s="1323" t="s">
        <v>5976</v>
      </c>
      <c r="B229" s="1362" t="s">
        <v>2813</v>
      </c>
      <c r="C229" s="1363"/>
      <c r="D229" s="1364" t="s">
        <v>242</v>
      </c>
      <c r="E229" s="1365">
        <v>20</v>
      </c>
      <c r="F229" s="1365">
        <f>I229*F3</f>
        <v>300</v>
      </c>
      <c r="G229" s="1366">
        <f>E229*$G$3</f>
        <v>2000</v>
      </c>
      <c r="H229" s="1366"/>
      <c r="I229" s="1366">
        <f>$I$3*E229</f>
        <v>3000</v>
      </c>
      <c r="J229" s="1367">
        <f>SUM(F229:I229)</f>
        <v>5300</v>
      </c>
      <c r="K229" s="1368"/>
      <c r="L229" s="1369"/>
      <c r="M229" s="1370">
        <f>P229*$M$3</f>
        <v>300</v>
      </c>
      <c r="N229" s="1371">
        <f>E229*$N$3</f>
        <v>2000</v>
      </c>
      <c r="P229" s="1371">
        <f>$P$3*E229</f>
        <v>3000</v>
      </c>
      <c r="Q229" s="1371">
        <f>SUM(M229:P229)</f>
        <v>5300</v>
      </c>
      <c r="R229" s="1372"/>
      <c r="S229" s="1371"/>
      <c r="T229" s="1347">
        <f>J229-Q229</f>
        <v>0</v>
      </c>
      <c r="U229" s="1427"/>
      <c r="V229" s="1373"/>
      <c r="W229" s="1373"/>
      <c r="X229" s="1244"/>
    </row>
    <row r="230" spans="1:24" hidden="1">
      <c r="A230" s="1323" t="s">
        <v>5976</v>
      </c>
      <c r="B230" s="185" t="s">
        <v>2815</v>
      </c>
      <c r="C230" s="1363"/>
      <c r="D230" s="1364" t="s">
        <v>242</v>
      </c>
      <c r="E230" s="1365">
        <v>15</v>
      </c>
      <c r="F230" s="1365"/>
      <c r="G230" s="1366">
        <f>E230*$G$3</f>
        <v>1500</v>
      </c>
      <c r="H230" s="1366"/>
      <c r="I230" s="1428">
        <v>0</v>
      </c>
      <c r="J230" s="1367">
        <f>SUM(F230:I230)</f>
        <v>1500</v>
      </c>
      <c r="K230" s="1368"/>
      <c r="L230" s="1369"/>
      <c r="M230" s="1370"/>
      <c r="N230" s="1371">
        <f>E230*$N$3</f>
        <v>1500</v>
      </c>
      <c r="P230" s="1429">
        <v>0</v>
      </c>
      <c r="Q230" s="1371">
        <f>SUM(M230:P230)</f>
        <v>1500</v>
      </c>
      <c r="R230" s="1372"/>
      <c r="S230" s="1371"/>
      <c r="T230" s="1347">
        <f>J230-Q230</f>
        <v>0</v>
      </c>
      <c r="U230" s="1427"/>
      <c r="V230" s="1373"/>
      <c r="W230" s="1373"/>
      <c r="X230" s="1244"/>
    </row>
    <row r="231" spans="1:24" hidden="1">
      <c r="A231" s="1323" t="s">
        <v>5976</v>
      </c>
      <c r="B231" s="1362" t="s">
        <v>2817</v>
      </c>
      <c r="C231" s="1363"/>
      <c r="D231" s="1364" t="s">
        <v>242</v>
      </c>
      <c r="E231" s="1365">
        <v>8</v>
      </c>
      <c r="F231" s="1365">
        <f>I231*F3</f>
        <v>120</v>
      </c>
      <c r="G231" s="1366">
        <f>E231*$G$3</f>
        <v>800</v>
      </c>
      <c r="H231" s="1366"/>
      <c r="I231" s="1366">
        <f>$I$3*E231</f>
        <v>1200</v>
      </c>
      <c r="J231" s="1367">
        <f>SUM(F231:I231)</f>
        <v>2120</v>
      </c>
      <c r="K231" s="1368"/>
      <c r="L231" s="1369"/>
      <c r="M231" s="1370">
        <f>P231*$M$3</f>
        <v>120</v>
      </c>
      <c r="N231" s="1371">
        <f>E231*$N$3</f>
        <v>800</v>
      </c>
      <c r="P231" s="1371">
        <f>$P$3*E231</f>
        <v>1200</v>
      </c>
      <c r="Q231" s="1371">
        <f>SUM(M231:P231)</f>
        <v>2120</v>
      </c>
      <c r="R231" s="1372"/>
      <c r="S231" s="1371"/>
      <c r="T231" s="1347">
        <f>J231-Q231</f>
        <v>0</v>
      </c>
      <c r="U231" s="1427"/>
      <c r="V231" s="1373"/>
      <c r="W231" s="1373"/>
      <c r="X231" s="1244"/>
    </row>
    <row r="232" spans="1:24" hidden="1">
      <c r="A232" s="1323" t="s">
        <v>5976</v>
      </c>
      <c r="B232" s="1362" t="s">
        <v>2819</v>
      </c>
      <c r="C232" s="1363"/>
      <c r="D232" s="1364" t="s">
        <v>242</v>
      </c>
      <c r="E232" s="1365">
        <v>8</v>
      </c>
      <c r="F232" s="1365">
        <f>I232*F3</f>
        <v>120</v>
      </c>
      <c r="G232" s="1366">
        <f>E232*$G$3</f>
        <v>800</v>
      </c>
      <c r="H232" s="1366"/>
      <c r="I232" s="1366">
        <f>$I$3*E232</f>
        <v>1200</v>
      </c>
      <c r="J232" s="1367">
        <f>SUM(F232:I232)</f>
        <v>2120</v>
      </c>
      <c r="K232" s="1368"/>
      <c r="L232" s="1369"/>
      <c r="M232" s="1370">
        <f>P232*$M$3</f>
        <v>120</v>
      </c>
      <c r="N232" s="1371">
        <f>E232*$N$3</f>
        <v>800</v>
      </c>
      <c r="P232" s="1371">
        <f>$P$3*E232</f>
        <v>1200</v>
      </c>
      <c r="Q232" s="1371">
        <f>SUM(M232:P232)</f>
        <v>2120</v>
      </c>
      <c r="R232" s="1372"/>
      <c r="S232" s="1371"/>
      <c r="T232" s="1347">
        <f>J232-Q232</f>
        <v>0</v>
      </c>
      <c r="U232" s="1427"/>
      <c r="V232" s="1373"/>
      <c r="W232" s="1373"/>
      <c r="X232" s="1244"/>
    </row>
    <row r="233" spans="1:24" hidden="1">
      <c r="A233" s="1323" t="s">
        <v>7781</v>
      </c>
      <c r="B233" s="185"/>
      <c r="C233" s="1363"/>
      <c r="D233" s="1364"/>
      <c r="E233" s="1365"/>
      <c r="F233" s="1365"/>
      <c r="G233" s="1366"/>
      <c r="H233" s="1366"/>
      <c r="I233" s="1428"/>
      <c r="J233" s="1367"/>
      <c r="K233" s="1368"/>
      <c r="L233" s="1369"/>
      <c r="M233" s="1370"/>
      <c r="N233" s="1371"/>
      <c r="P233" s="1429"/>
      <c r="Q233" s="1371"/>
      <c r="R233" s="1372"/>
      <c r="S233" s="1371"/>
      <c r="T233" s="1347"/>
      <c r="U233" s="1427"/>
      <c r="V233" s="1373"/>
      <c r="W233" s="1373"/>
      <c r="X233" s="1244"/>
    </row>
    <row r="234" spans="1:24" s="1057" customFormat="1">
      <c r="A234" s="1323" t="s">
        <v>2899</v>
      </c>
      <c r="B234" s="1057" t="s">
        <v>2900</v>
      </c>
      <c r="C234" s="1478">
        <v>0</v>
      </c>
      <c r="D234" s="1479" t="s">
        <v>2700</v>
      </c>
      <c r="E234" s="1480">
        <f>E235</f>
        <v>300</v>
      </c>
      <c r="F234" s="1480">
        <f>F235</f>
        <v>4500</v>
      </c>
      <c r="G234" s="1650">
        <f>G235</f>
        <v>30000</v>
      </c>
      <c r="H234" s="1650"/>
      <c r="I234" s="1650">
        <f>I235</f>
        <v>45000</v>
      </c>
      <c r="J234" s="1482">
        <f>J235</f>
        <v>79500</v>
      </c>
      <c r="K234" s="1464">
        <f>C234*J234</f>
        <v>0</v>
      </c>
      <c r="L234" s="1641"/>
      <c r="M234" s="1485">
        <f>M235</f>
        <v>4500</v>
      </c>
      <c r="N234" s="1488">
        <f>N235</f>
        <v>30000</v>
      </c>
      <c r="O234" s="1487"/>
      <c r="P234" s="1488">
        <f>P235</f>
        <v>45000</v>
      </c>
      <c r="Q234" s="1488">
        <f>Q235</f>
        <v>79500</v>
      </c>
      <c r="R234" s="1465">
        <f>C234*Q234</f>
        <v>0</v>
      </c>
      <c r="S234" s="1425"/>
      <c r="T234" s="1642">
        <f>J234-Q234</f>
        <v>0</v>
      </c>
      <c r="U234" s="1466">
        <f>K234-R234</f>
        <v>0</v>
      </c>
      <c r="V234" s="1491"/>
      <c r="W234" s="1491"/>
      <c r="X234" s="1244"/>
    </row>
    <row r="235" spans="1:24" s="1057" customFormat="1" hidden="1">
      <c r="A235" s="1323" t="s">
        <v>5976</v>
      </c>
      <c r="B235" s="1477" t="s">
        <v>2901</v>
      </c>
      <c r="C235" s="1478"/>
      <c r="D235" s="1479" t="s">
        <v>242</v>
      </c>
      <c r="E235" s="1480">
        <f>1000*0.3</f>
        <v>300</v>
      </c>
      <c r="F235" s="1480">
        <f>I235*F3</f>
        <v>4500</v>
      </c>
      <c r="G235" s="1481">
        <f>E235*$G$3</f>
        <v>30000</v>
      </c>
      <c r="H235" s="1481"/>
      <c r="I235" s="1481">
        <f>$I$3*E235</f>
        <v>45000</v>
      </c>
      <c r="J235" s="1482">
        <f>SUM(F235:I235)</f>
        <v>79500</v>
      </c>
      <c r="K235" s="1483"/>
      <c r="L235" s="1484"/>
      <c r="M235" s="1485">
        <f>P235*$M$3</f>
        <v>4500</v>
      </c>
      <c r="N235" s="1486">
        <f>E235*$N$3</f>
        <v>30000</v>
      </c>
      <c r="O235" s="1487"/>
      <c r="P235" s="1486">
        <f>$P$3*E235</f>
        <v>45000</v>
      </c>
      <c r="Q235" s="1488">
        <f>SUM(M235:P235)</f>
        <v>79500</v>
      </c>
      <c r="R235" s="1489"/>
      <c r="S235" s="1488"/>
      <c r="T235" s="1347">
        <f>J235-Q235</f>
        <v>0</v>
      </c>
      <c r="U235" s="1490"/>
      <c r="V235" s="1491"/>
      <c r="W235" s="1491"/>
      <c r="X235" s="1244"/>
    </row>
    <row r="236" spans="1:24" hidden="1">
      <c r="A236" s="1323" t="s">
        <v>7781</v>
      </c>
      <c r="B236" s="185"/>
      <c r="C236" s="1363"/>
      <c r="D236" s="1364"/>
      <c r="E236" s="1365"/>
      <c r="F236" s="1365"/>
      <c r="G236" s="1366"/>
      <c r="H236" s="1366"/>
      <c r="I236" s="1428"/>
      <c r="J236" s="1367"/>
      <c r="K236" s="1368"/>
      <c r="L236" s="1369"/>
      <c r="M236" s="1370"/>
      <c r="N236" s="1371"/>
      <c r="P236" s="1429"/>
      <c r="Q236" s="1371"/>
      <c r="R236" s="1372"/>
      <c r="S236" s="1371"/>
      <c r="T236" s="1347"/>
      <c r="U236" s="1427"/>
      <c r="V236" s="1373"/>
      <c r="W236" s="1373"/>
      <c r="X236" s="1244"/>
    </row>
    <row r="237" spans="1:24">
      <c r="A237" s="1323" t="s">
        <v>268</v>
      </c>
      <c r="B237" s="7" t="s">
        <v>2904</v>
      </c>
      <c r="C237" s="1363">
        <v>0</v>
      </c>
      <c r="D237" s="1364" t="s">
        <v>2700</v>
      </c>
      <c r="E237" s="1365">
        <f>E238</f>
        <v>14448</v>
      </c>
      <c r="F237" s="1365">
        <f>F238</f>
        <v>216720</v>
      </c>
      <c r="G237" s="1366">
        <f>G238</f>
        <v>1444800</v>
      </c>
      <c r="H237" s="1366"/>
      <c r="I237" s="1366">
        <f>I238</f>
        <v>2167200</v>
      </c>
      <c r="J237" s="1367">
        <f>J238</f>
        <v>3828720</v>
      </c>
      <c r="K237" s="1464">
        <f>C237*J237</f>
        <v>0</v>
      </c>
      <c r="L237" s="1641"/>
      <c r="M237" s="1370">
        <f>M238</f>
        <v>216720</v>
      </c>
      <c r="N237" s="1371">
        <f>N238</f>
        <v>1444800</v>
      </c>
      <c r="P237" s="1371">
        <f>P238</f>
        <v>2167200</v>
      </c>
      <c r="Q237" s="1371">
        <f>Q238</f>
        <v>3828720</v>
      </c>
      <c r="R237" s="1465">
        <f>C237*Q237</f>
        <v>0</v>
      </c>
      <c r="T237" s="1642">
        <f>J237-Q237</f>
        <v>0</v>
      </c>
      <c r="U237" s="1466">
        <f>K237-R237</f>
        <v>0</v>
      </c>
      <c r="V237" s="1373"/>
      <c r="W237" s="1373"/>
      <c r="X237" s="1244"/>
    </row>
    <row r="238" spans="1:24" hidden="1">
      <c r="A238" s="1323" t="s">
        <v>5976</v>
      </c>
      <c r="B238" s="1362" t="s">
        <v>2905</v>
      </c>
      <c r="C238" s="1363"/>
      <c r="D238" s="1364" t="s">
        <v>242</v>
      </c>
      <c r="E238" s="1365">
        <f>(4*4.3*7)*10*12</f>
        <v>14448</v>
      </c>
      <c r="F238" s="1365">
        <f>I238*F3</f>
        <v>216720</v>
      </c>
      <c r="G238" s="1366">
        <f>E238*$G$3</f>
        <v>1444800</v>
      </c>
      <c r="H238" s="1366"/>
      <c r="I238" s="1366">
        <f>$I$3*E238</f>
        <v>2167200</v>
      </c>
      <c r="J238" s="1367">
        <f>SUM(F238:I238)</f>
        <v>3828720</v>
      </c>
      <c r="K238" s="1368"/>
      <c r="L238" s="1369"/>
      <c r="M238" s="1370">
        <f>P238*$M$3</f>
        <v>216720</v>
      </c>
      <c r="N238" s="1371">
        <f>E238*$N$3</f>
        <v>1444800</v>
      </c>
      <c r="P238" s="1371">
        <f>$P$3*E238</f>
        <v>2167200</v>
      </c>
      <c r="Q238" s="1371">
        <f>SUM(M238:P238)</f>
        <v>3828720</v>
      </c>
      <c r="R238" s="1372"/>
      <c r="S238" s="1371"/>
      <c r="T238" s="1347">
        <f>J238-Q238</f>
        <v>0</v>
      </c>
      <c r="U238" s="1427"/>
      <c r="V238" s="1373"/>
      <c r="W238" s="1373"/>
      <c r="X238" s="1244"/>
    </row>
    <row r="239" spans="1:24" hidden="1">
      <c r="A239" s="1323" t="s">
        <v>7781</v>
      </c>
      <c r="B239" s="185"/>
      <c r="C239" s="1363"/>
      <c r="D239" s="1364"/>
      <c r="E239" s="1365"/>
      <c r="F239" s="1365"/>
      <c r="G239" s="1366"/>
      <c r="H239" s="1366"/>
      <c r="I239" s="1428"/>
      <c r="J239" s="1367"/>
      <c r="K239" s="1368"/>
      <c r="L239" s="1369"/>
      <c r="M239" s="1370"/>
      <c r="N239" s="1371"/>
      <c r="P239" s="1429"/>
      <c r="Q239" s="1371"/>
      <c r="R239" s="1372"/>
      <c r="S239" s="1371"/>
      <c r="T239" s="1347"/>
      <c r="U239" s="1427"/>
      <c r="V239" s="1373"/>
      <c r="W239" s="1373"/>
      <c r="X239" s="1244"/>
    </row>
    <row r="240" spans="1:24" s="1062" customFormat="1">
      <c r="A240" s="1392" t="s">
        <v>229</v>
      </c>
      <c r="B240" s="1362" t="s">
        <v>230</v>
      </c>
      <c r="C240" s="1363">
        <v>1.1666666666666667</v>
      </c>
      <c r="D240" s="1393" t="s">
        <v>2719</v>
      </c>
      <c r="E240" s="1394">
        <f>E241</f>
        <v>5018.3999999999996</v>
      </c>
      <c r="F240" s="1394">
        <f>F241</f>
        <v>75276</v>
      </c>
      <c r="G240" s="1395">
        <f>G241</f>
        <v>501839.99999999994</v>
      </c>
      <c r="H240" s="1395"/>
      <c r="I240" s="1395">
        <f>I241</f>
        <v>752760</v>
      </c>
      <c r="J240" s="1396">
        <f>J241</f>
        <v>1329876</v>
      </c>
      <c r="K240" s="1471">
        <f>C240*J240</f>
        <v>1551522</v>
      </c>
      <c r="L240" s="1643"/>
      <c r="M240" s="1408">
        <f>M241</f>
        <v>75276</v>
      </c>
      <c r="N240" s="1400">
        <f>N241</f>
        <v>501839.99999999994</v>
      </c>
      <c r="O240" s="1401"/>
      <c r="P240" s="1400">
        <f>P241</f>
        <v>752760</v>
      </c>
      <c r="Q240" s="1400">
        <f>Q241</f>
        <v>1329876</v>
      </c>
      <c r="R240" s="1473">
        <f>C240*Q240</f>
        <v>1551522</v>
      </c>
      <c r="S240" s="1401"/>
      <c r="T240" s="1645">
        <f>J240-Q240</f>
        <v>0</v>
      </c>
      <c r="U240" s="1474">
        <f>K240-R240</f>
        <v>0</v>
      </c>
      <c r="V240" s="1405"/>
      <c r="W240" s="1405"/>
      <c r="X240" s="1406"/>
    </row>
    <row r="241" spans="1:24" s="1062" customFormat="1" ht="29" hidden="1">
      <c r="A241" s="1323" t="s">
        <v>5976</v>
      </c>
      <c r="B241" s="1362" t="s">
        <v>2907</v>
      </c>
      <c r="C241" s="1363"/>
      <c r="D241" s="1393" t="s">
        <v>2719</v>
      </c>
      <c r="E241" s="1492">
        <f>(850*6*3.28)*0.3</f>
        <v>5018.3999999999996</v>
      </c>
      <c r="F241" s="1394">
        <f>I241*F3</f>
        <v>75276</v>
      </c>
      <c r="G241" s="1395">
        <f>E241*$G$3</f>
        <v>501839.99999999994</v>
      </c>
      <c r="H241" s="1395"/>
      <c r="I241" s="1395">
        <f>$I$3*E241</f>
        <v>752760</v>
      </c>
      <c r="J241" s="1396">
        <f>SUM(F241:I241)</f>
        <v>1329876</v>
      </c>
      <c r="K241" s="1397"/>
      <c r="L241" s="1398"/>
      <c r="M241" s="1408">
        <f>P241*$M$3</f>
        <v>75276</v>
      </c>
      <c r="N241" s="1400">
        <f>E241*$N$3</f>
        <v>501839.99999999994</v>
      </c>
      <c r="O241" s="1401"/>
      <c r="P241" s="1400">
        <f>$P$3*E241</f>
        <v>752760</v>
      </c>
      <c r="Q241" s="1400">
        <f>SUM(M241:P241)</f>
        <v>1329876</v>
      </c>
      <c r="R241" s="1402"/>
      <c r="S241" s="1400"/>
      <c r="T241" s="1403">
        <f>J241-Q241</f>
        <v>0</v>
      </c>
      <c r="U241" s="1419"/>
      <c r="V241" s="1405"/>
      <c r="W241" s="1405"/>
      <c r="X241" s="1406"/>
    </row>
    <row r="242" spans="1:24" s="1062" customFormat="1" hidden="1">
      <c r="A242" s="1392" t="s">
        <v>7781</v>
      </c>
      <c r="B242" s="1362"/>
      <c r="C242" s="1363"/>
      <c r="D242" s="1393"/>
      <c r="E242" s="1394"/>
      <c r="F242" s="1394"/>
      <c r="G242" s="1395"/>
      <c r="H242" s="1395"/>
      <c r="I242" s="1395"/>
      <c r="J242" s="1396"/>
      <c r="K242" s="1397"/>
      <c r="L242" s="1398"/>
      <c r="M242" s="1408"/>
      <c r="N242" s="1400"/>
      <c r="O242" s="1401"/>
      <c r="P242" s="1400"/>
      <c r="Q242" s="1400"/>
      <c r="R242" s="1402"/>
      <c r="S242" s="1400"/>
      <c r="T242" s="1403"/>
      <c r="U242" s="1419"/>
      <c r="V242" s="1405"/>
      <c r="W242" s="1405"/>
      <c r="X242" s="1406"/>
    </row>
    <row r="243" spans="1:24" s="1062" customFormat="1">
      <c r="A243" s="1392" t="s">
        <v>140</v>
      </c>
      <c r="B243" s="1362" t="s">
        <v>2909</v>
      </c>
      <c r="C243" s="1363">
        <v>21385.708384671343</v>
      </c>
      <c r="D243" s="1393" t="s">
        <v>2688</v>
      </c>
      <c r="E243" s="1394">
        <f>E244*0.5</f>
        <v>0</v>
      </c>
      <c r="F243" s="1394">
        <f>F244*0.5</f>
        <v>0</v>
      </c>
      <c r="G243" s="1412">
        <f>G244*0.5</f>
        <v>0</v>
      </c>
      <c r="H243" s="1412"/>
      <c r="I243" s="1412">
        <f>I244*0.5</f>
        <v>0</v>
      </c>
      <c r="J243" s="1413">
        <f>J244*0.5</f>
        <v>0</v>
      </c>
      <c r="K243" s="1471">
        <f>C243*J243</f>
        <v>0</v>
      </c>
      <c r="L243" s="1643"/>
      <c r="M243" s="1408">
        <f>M244*0.5</f>
        <v>0</v>
      </c>
      <c r="N243" s="1416">
        <f>N244*0.5</f>
        <v>0</v>
      </c>
      <c r="O243" s="1401"/>
      <c r="P243" s="1416">
        <f>P244*0.5</f>
        <v>0</v>
      </c>
      <c r="Q243" s="1416">
        <f>Q244*0.5</f>
        <v>0</v>
      </c>
      <c r="R243" s="1473">
        <f>C243*Q243</f>
        <v>0</v>
      </c>
      <c r="S243" s="1401"/>
      <c r="T243" s="1645">
        <f>J243-Q243</f>
        <v>0</v>
      </c>
      <c r="U243" s="1474">
        <f>K243-R243</f>
        <v>0</v>
      </c>
      <c r="V243" s="1647"/>
      <c r="W243" s="1647"/>
      <c r="X243" s="1406"/>
    </row>
    <row r="244" spans="1:24" s="1062" customFormat="1" hidden="1">
      <c r="A244" s="1323" t="s">
        <v>5976</v>
      </c>
      <c r="B244" s="1362" t="s">
        <v>2911</v>
      </c>
      <c r="C244" s="1363"/>
      <c r="D244" s="1393" t="s">
        <v>2688</v>
      </c>
      <c r="E244" s="1394"/>
      <c r="F244" s="1394"/>
      <c r="G244" s="1395"/>
      <c r="H244" s="1395"/>
      <c r="I244" s="1395"/>
      <c r="J244" s="1396"/>
      <c r="K244" s="1397"/>
      <c r="L244" s="1398"/>
      <c r="M244" s="1408"/>
      <c r="N244" s="1400"/>
      <c r="O244" s="1401"/>
      <c r="P244" s="1400"/>
      <c r="Q244" s="1400"/>
      <c r="R244" s="1402"/>
      <c r="S244" s="1400"/>
      <c r="T244" s="1403">
        <f>J244-Q244</f>
        <v>0</v>
      </c>
      <c r="U244" s="1419"/>
      <c r="V244" s="1405"/>
      <c r="W244" s="1405"/>
      <c r="X244" s="1406"/>
    </row>
    <row r="245" spans="1:24" s="1062" customFormat="1" hidden="1">
      <c r="A245" s="1392" t="s">
        <v>7781</v>
      </c>
      <c r="B245" s="1362"/>
      <c r="C245" s="1363"/>
      <c r="D245" s="1393"/>
      <c r="E245" s="1394"/>
      <c r="F245" s="1394"/>
      <c r="G245" s="1395"/>
      <c r="H245" s="1395"/>
      <c r="I245" s="1395"/>
      <c r="J245" s="1396"/>
      <c r="K245" s="1397"/>
      <c r="L245" s="1398"/>
      <c r="M245" s="1408"/>
      <c r="N245" s="1400"/>
      <c r="O245" s="1401"/>
      <c r="P245" s="1400"/>
      <c r="Q245" s="1400"/>
      <c r="R245" s="1402"/>
      <c r="S245" s="1400"/>
      <c r="T245" s="1403"/>
      <c r="U245" s="1419"/>
      <c r="V245" s="1405"/>
      <c r="W245" s="1405"/>
      <c r="X245" s="1406"/>
    </row>
    <row r="246" spans="1:24" s="1062" customFormat="1">
      <c r="A246" s="1392" t="s">
        <v>639</v>
      </c>
      <c r="B246" s="1362" t="s">
        <v>639</v>
      </c>
      <c r="C246" s="1363">
        <v>19623</v>
      </c>
      <c r="D246" s="1393" t="s">
        <v>991</v>
      </c>
      <c r="E246" s="1394">
        <f>E247</f>
        <v>0.25</v>
      </c>
      <c r="F246" s="1394">
        <f>F247</f>
        <v>3.75</v>
      </c>
      <c r="G246" s="1412">
        <f>G247</f>
        <v>25</v>
      </c>
      <c r="H246" s="1412"/>
      <c r="I246" s="1412">
        <f>I247</f>
        <v>37.5</v>
      </c>
      <c r="J246" s="1413">
        <f>J247</f>
        <v>66.25</v>
      </c>
      <c r="K246" s="1471">
        <f>C246*J246</f>
        <v>1300023.75</v>
      </c>
      <c r="L246" s="1643"/>
      <c r="M246" s="1408">
        <f>M247</f>
        <v>3.75</v>
      </c>
      <c r="N246" s="1416">
        <f>N247</f>
        <v>25</v>
      </c>
      <c r="O246" s="1401"/>
      <c r="P246" s="1416">
        <f>P247</f>
        <v>37.5</v>
      </c>
      <c r="Q246" s="1416">
        <f>Q247</f>
        <v>66.25</v>
      </c>
      <c r="R246" s="1473">
        <f>C246*Q246</f>
        <v>1300023.75</v>
      </c>
      <c r="S246" s="1401"/>
      <c r="T246" s="1645">
        <f>J246-Q246</f>
        <v>0</v>
      </c>
      <c r="U246" s="1474">
        <f>K246-R246</f>
        <v>0</v>
      </c>
      <c r="V246" s="1647"/>
      <c r="W246" s="1647"/>
      <c r="X246" s="1406"/>
    </row>
    <row r="247" spans="1:24" s="1062" customFormat="1" hidden="1">
      <c r="A247" s="1323" t="s">
        <v>5976</v>
      </c>
      <c r="B247" s="1362" t="s">
        <v>2912</v>
      </c>
      <c r="C247" s="1363"/>
      <c r="D247" s="1393" t="s">
        <v>991</v>
      </c>
      <c r="E247" s="1394">
        <v>0.25</v>
      </c>
      <c r="F247" s="1394">
        <f>I247*F3</f>
        <v>3.75</v>
      </c>
      <c r="G247" s="1395">
        <f>E247*$G$3</f>
        <v>25</v>
      </c>
      <c r="H247" s="1395"/>
      <c r="I247" s="1395">
        <f>$I$3*E247</f>
        <v>37.5</v>
      </c>
      <c r="J247" s="1396">
        <f>SUM(F247:I247)</f>
        <v>66.25</v>
      </c>
      <c r="K247" s="1397"/>
      <c r="L247" s="1398"/>
      <c r="M247" s="1408">
        <f>P247*$M$3</f>
        <v>3.75</v>
      </c>
      <c r="N247" s="1400">
        <f>E247*$N$3</f>
        <v>25</v>
      </c>
      <c r="O247" s="1401"/>
      <c r="P247" s="1400">
        <f>$P$3*E247</f>
        <v>37.5</v>
      </c>
      <c r="Q247" s="1400">
        <f>SUM(M247:P247)</f>
        <v>66.25</v>
      </c>
      <c r="R247" s="1402"/>
      <c r="S247" s="1400"/>
      <c r="T247" s="1403">
        <f>J247-Q247</f>
        <v>0</v>
      </c>
      <c r="U247" s="1419"/>
      <c r="V247" s="1405"/>
      <c r="W247" s="1405"/>
      <c r="X247" s="1406"/>
    </row>
    <row r="248" spans="1:24" s="1062" customFormat="1" hidden="1">
      <c r="A248" s="1392" t="s">
        <v>7781</v>
      </c>
      <c r="B248" s="1362"/>
      <c r="C248" s="1363"/>
      <c r="D248" s="1393"/>
      <c r="E248" s="1394"/>
      <c r="F248" s="1394"/>
      <c r="G248" s="1395"/>
      <c r="H248" s="1395"/>
      <c r="I248" s="1395"/>
      <c r="J248" s="1396"/>
      <c r="K248" s="1397"/>
      <c r="L248" s="1398"/>
      <c r="M248" s="1408"/>
      <c r="N248" s="1400"/>
      <c r="O248" s="1401"/>
      <c r="P248" s="1400"/>
      <c r="Q248" s="1400"/>
      <c r="R248" s="1402"/>
      <c r="S248" s="1400"/>
      <c r="T248" s="1403"/>
      <c r="U248" s="1419"/>
      <c r="V248" s="1405"/>
      <c r="W248" s="1405"/>
      <c r="X248" s="1406"/>
    </row>
    <row r="249" spans="1:24" s="1062" customFormat="1">
      <c r="A249" s="1392" t="s">
        <v>2914</v>
      </c>
      <c r="B249" s="1362" t="s">
        <v>915</v>
      </c>
      <c r="C249" s="1363">
        <v>34300</v>
      </c>
      <c r="D249" s="1393" t="s">
        <v>991</v>
      </c>
      <c r="E249" s="1394">
        <f>E250</f>
        <v>0.1</v>
      </c>
      <c r="F249" s="1394">
        <f>F250</f>
        <v>1.5</v>
      </c>
      <c r="G249" s="1412">
        <f>G250</f>
        <v>10</v>
      </c>
      <c r="H249" s="1412"/>
      <c r="I249" s="1412">
        <f>I250</f>
        <v>15</v>
      </c>
      <c r="J249" s="1413">
        <f>J250</f>
        <v>26.5</v>
      </c>
      <c r="K249" s="1471">
        <f>C249*J249</f>
        <v>908950</v>
      </c>
      <c r="L249" s="1643"/>
      <c r="M249" s="1408">
        <f>M250</f>
        <v>1.5</v>
      </c>
      <c r="N249" s="1416">
        <f>N250</f>
        <v>10</v>
      </c>
      <c r="O249" s="1401"/>
      <c r="P249" s="1416">
        <f>P250</f>
        <v>15</v>
      </c>
      <c r="Q249" s="1416">
        <f>Q250</f>
        <v>26.5</v>
      </c>
      <c r="R249" s="1473">
        <f>C249*Q249</f>
        <v>908950</v>
      </c>
      <c r="S249" s="1401"/>
      <c r="T249" s="1645">
        <f>J249-Q249</f>
        <v>0</v>
      </c>
      <c r="U249" s="1474">
        <f>K249-R249</f>
        <v>0</v>
      </c>
      <c r="V249" s="1647"/>
      <c r="W249" s="1647"/>
      <c r="X249" s="1406"/>
    </row>
    <row r="250" spans="1:24" hidden="1">
      <c r="A250" s="1323" t="s">
        <v>5976</v>
      </c>
      <c r="B250" s="185" t="s">
        <v>2911</v>
      </c>
      <c r="C250" s="1363"/>
      <c r="D250" s="1364" t="s">
        <v>991</v>
      </c>
      <c r="E250" s="1365">
        <v>0.1</v>
      </c>
      <c r="F250" s="1365">
        <f>I250*F3</f>
        <v>1.5</v>
      </c>
      <c r="G250" s="1366">
        <f>E250*$G$3</f>
        <v>10</v>
      </c>
      <c r="H250" s="1366"/>
      <c r="I250" s="1366">
        <f>$I$3*E250</f>
        <v>15</v>
      </c>
      <c r="J250" s="1367">
        <f>SUM(F250:I250)</f>
        <v>26.5</v>
      </c>
      <c r="K250" s="1368"/>
      <c r="L250" s="1369"/>
      <c r="M250" s="1370">
        <f>P250*$M$3</f>
        <v>1.5</v>
      </c>
      <c r="N250" s="1371">
        <f>E250*$N$3</f>
        <v>10</v>
      </c>
      <c r="P250" s="1371">
        <f>$P$3*E250</f>
        <v>15</v>
      </c>
      <c r="Q250" s="1371">
        <f>SUM(M250:P250)</f>
        <v>26.5</v>
      </c>
      <c r="R250" s="1372"/>
      <c r="S250" s="1371"/>
      <c r="T250" s="1347">
        <f>J250-Q250</f>
        <v>0</v>
      </c>
      <c r="U250" s="1427"/>
      <c r="V250" s="1373"/>
      <c r="W250" s="1373"/>
      <c r="X250" s="1244"/>
    </row>
    <row r="251" spans="1:24" hidden="1">
      <c r="A251" s="1323" t="s">
        <v>7781</v>
      </c>
      <c r="B251" s="185"/>
      <c r="C251" s="1363"/>
      <c r="D251" s="1364"/>
      <c r="E251" s="1365"/>
      <c r="F251" s="1365"/>
      <c r="G251" s="1366"/>
      <c r="H251" s="1366"/>
      <c r="I251" s="1366"/>
      <c r="J251" s="1367"/>
      <c r="K251" s="1368"/>
      <c r="L251" s="1369"/>
      <c r="M251" s="1370"/>
      <c r="N251" s="1371"/>
      <c r="P251" s="1371"/>
      <c r="Q251" s="1371"/>
      <c r="R251" s="1372"/>
      <c r="S251" s="1371"/>
      <c r="T251" s="1347"/>
      <c r="U251" s="1427"/>
      <c r="V251" s="1373"/>
      <c r="W251" s="1373"/>
      <c r="X251" s="1244"/>
    </row>
    <row r="252" spans="1:24">
      <c r="A252" s="1323" t="s">
        <v>811</v>
      </c>
      <c r="B252" s="1362" t="s">
        <v>2915</v>
      </c>
      <c r="C252" s="1363">
        <v>0</v>
      </c>
      <c r="D252" s="1364" t="s">
        <v>2719</v>
      </c>
      <c r="E252" s="1365">
        <f>E253*0.5</f>
        <v>2</v>
      </c>
      <c r="F252" s="1365">
        <f>F253*0.5</f>
        <v>30</v>
      </c>
      <c r="G252" s="1495">
        <f>G253*0.5</f>
        <v>200</v>
      </c>
      <c r="H252" s="1495"/>
      <c r="I252" s="1495">
        <f>I253*0.5</f>
        <v>300</v>
      </c>
      <c r="J252" s="1496">
        <f>J253*0.5</f>
        <v>530</v>
      </c>
      <c r="K252" s="1464">
        <f>C252*J252</f>
        <v>0</v>
      </c>
      <c r="L252" s="1641"/>
      <c r="M252" s="1370">
        <f>M253*0.5</f>
        <v>30</v>
      </c>
      <c r="N252" s="1499">
        <f>N253*0.5</f>
        <v>200</v>
      </c>
      <c r="P252" s="1499">
        <f>P253*0.5</f>
        <v>300</v>
      </c>
      <c r="Q252" s="1499">
        <f>Q253*0.5</f>
        <v>530</v>
      </c>
      <c r="R252" s="1465">
        <f>C252*Q252</f>
        <v>0</v>
      </c>
      <c r="T252" s="1642">
        <f>J252-Q252</f>
        <v>0</v>
      </c>
      <c r="U252" s="1466">
        <f>K252-R252</f>
        <v>0</v>
      </c>
      <c r="V252" s="1502"/>
      <c r="W252" s="1502"/>
      <c r="X252" s="1244"/>
    </row>
    <row r="253" spans="1:24" hidden="1">
      <c r="A253" s="1323" t="s">
        <v>5976</v>
      </c>
      <c r="B253" s="185" t="s">
        <v>2911</v>
      </c>
      <c r="C253" s="1363"/>
      <c r="D253" s="1364" t="s">
        <v>2719</v>
      </c>
      <c r="E253" s="1365">
        <v>4</v>
      </c>
      <c r="F253" s="1365">
        <f>I253*F3</f>
        <v>60</v>
      </c>
      <c r="G253" s="1366">
        <f>E253*$G$3</f>
        <v>400</v>
      </c>
      <c r="H253" s="1366"/>
      <c r="I253" s="1366">
        <f>$I$3*E253</f>
        <v>600</v>
      </c>
      <c r="J253" s="1367">
        <f>SUM(F253:I253)</f>
        <v>1060</v>
      </c>
      <c r="K253" s="1368"/>
      <c r="L253" s="1369"/>
      <c r="M253" s="1370">
        <f>P253*$M$3</f>
        <v>60</v>
      </c>
      <c r="N253" s="1371">
        <f>E253*$N$3</f>
        <v>400</v>
      </c>
      <c r="P253" s="1371">
        <f>$P$3*E253</f>
        <v>600</v>
      </c>
      <c r="Q253" s="1371">
        <f>SUM(M253:P253)</f>
        <v>1060</v>
      </c>
      <c r="R253" s="1372"/>
      <c r="S253" s="1371"/>
      <c r="T253" s="1347">
        <f>J253-Q253</f>
        <v>0</v>
      </c>
      <c r="U253" s="1427"/>
      <c r="V253" s="1373"/>
      <c r="W253" s="1373"/>
      <c r="X253" s="1244"/>
    </row>
    <row r="254" spans="1:24" hidden="1">
      <c r="A254" s="1323" t="s">
        <v>7781</v>
      </c>
      <c r="C254" s="1363"/>
      <c r="D254" s="1364"/>
      <c r="E254" s="1365"/>
      <c r="F254" s="1365"/>
      <c r="G254" s="1366"/>
      <c r="H254" s="1366"/>
      <c r="I254" s="1366"/>
      <c r="J254" s="1367"/>
      <c r="K254" s="1368"/>
      <c r="L254" s="1369"/>
      <c r="M254" s="1370"/>
      <c r="N254" s="1371"/>
      <c r="P254" s="1371"/>
      <c r="Q254" s="1371"/>
      <c r="R254" s="1372"/>
      <c r="S254" s="1371"/>
      <c r="T254" s="1347"/>
      <c r="U254" s="1427"/>
      <c r="V254" s="1373"/>
      <c r="W254" s="1373"/>
      <c r="X254" s="1244"/>
    </row>
    <row r="255" spans="1:24">
      <c r="A255" s="1323" t="s">
        <v>2916</v>
      </c>
      <c r="B255" s="7" t="s">
        <v>2917</v>
      </c>
      <c r="C255" s="1426">
        <v>0</v>
      </c>
      <c r="D255" s="1364" t="s">
        <v>136</v>
      </c>
      <c r="E255" s="1365">
        <f t="shared" ref="E255:J255" si="1">SUM(E256)</f>
        <v>0.05</v>
      </c>
      <c r="F255" s="1365">
        <f t="shared" si="1"/>
        <v>0.30000000000000004</v>
      </c>
      <c r="G255" s="1366">
        <f t="shared" si="1"/>
        <v>5</v>
      </c>
      <c r="H255" s="1366">
        <f t="shared" si="1"/>
        <v>5</v>
      </c>
      <c r="I255" s="1366">
        <f t="shared" si="1"/>
        <v>3</v>
      </c>
      <c r="J255" s="1367">
        <f t="shared" si="1"/>
        <v>13.3</v>
      </c>
      <c r="K255" s="1464">
        <f>C255*J255</f>
        <v>0</v>
      </c>
      <c r="L255" s="1641"/>
      <c r="M255" s="1370">
        <f t="shared" ref="M255:Q255" si="2">SUM(M256)</f>
        <v>0.30000000000000004</v>
      </c>
      <c r="N255" s="1371">
        <f t="shared" si="2"/>
        <v>5</v>
      </c>
      <c r="O255" s="1371">
        <f t="shared" si="2"/>
        <v>5</v>
      </c>
      <c r="P255" s="1371">
        <f t="shared" si="2"/>
        <v>3</v>
      </c>
      <c r="Q255" s="1371">
        <f t="shared" si="2"/>
        <v>13.3</v>
      </c>
      <c r="R255" s="1465">
        <f>C255*Q255</f>
        <v>0</v>
      </c>
      <c r="T255" s="1642">
        <f>J255-Q255</f>
        <v>0</v>
      </c>
      <c r="U255" s="1466">
        <f>K255-R255</f>
        <v>0</v>
      </c>
      <c r="V255" s="1373"/>
      <c r="W255" s="1373"/>
      <c r="X255" s="1244"/>
    </row>
    <row r="256" spans="1:24" hidden="1">
      <c r="A256" s="1323" t="s">
        <v>5976</v>
      </c>
      <c r="B256" s="185" t="s">
        <v>2918</v>
      </c>
      <c r="D256" s="1364" t="s">
        <v>136</v>
      </c>
      <c r="E256" s="1365">
        <v>0.05</v>
      </c>
      <c r="F256" s="1365">
        <f>I256*F3</f>
        <v>0.30000000000000004</v>
      </c>
      <c r="G256" s="1366">
        <f>E256*$G$3</f>
        <v>5</v>
      </c>
      <c r="H256" s="1366">
        <v>5</v>
      </c>
      <c r="I256" s="1428">
        <v>3</v>
      </c>
      <c r="J256" s="1367">
        <f>SUM(F256:I256)</f>
        <v>13.3</v>
      </c>
      <c r="K256" s="1368"/>
      <c r="L256" s="1369"/>
      <c r="M256" s="1370">
        <f>P256*$M$3</f>
        <v>0.30000000000000004</v>
      </c>
      <c r="N256" s="1371">
        <f>E256*$N$3</f>
        <v>5</v>
      </c>
      <c r="O256" s="1429">
        <v>5</v>
      </c>
      <c r="P256" s="1429">
        <v>3</v>
      </c>
      <c r="Q256" s="1371">
        <f>SUM(M256:P256)</f>
        <v>13.3</v>
      </c>
      <c r="R256" s="1372"/>
      <c r="S256" s="1371"/>
      <c r="T256" s="1347">
        <f>J256-Q256</f>
        <v>0</v>
      </c>
      <c r="U256" s="1427"/>
      <c r="V256" s="1373"/>
      <c r="W256" s="1373"/>
      <c r="X256" s="1244"/>
    </row>
    <row r="257" spans="1:26" hidden="1">
      <c r="A257" s="1323" t="s">
        <v>7781</v>
      </c>
      <c r="D257" s="1364"/>
      <c r="E257" s="1493"/>
      <c r="F257" s="1493"/>
      <c r="K257" s="1464"/>
      <c r="M257" s="1494"/>
      <c r="R257" s="1465"/>
      <c r="T257" s="1347"/>
      <c r="U257" s="1466"/>
      <c r="X257" s="1244"/>
    </row>
    <row r="258" spans="1:26">
      <c r="A258" s="1323" t="s">
        <v>2920</v>
      </c>
      <c r="B258" s="7" t="s">
        <v>2921</v>
      </c>
      <c r="C258" s="1426">
        <v>0</v>
      </c>
      <c r="D258" s="1364" t="s">
        <v>991</v>
      </c>
      <c r="E258" s="1365">
        <f t="shared" ref="E258:J258" si="3">SUM(E259)</f>
        <v>0.1</v>
      </c>
      <c r="F258" s="1365">
        <f t="shared" si="3"/>
        <v>1.5</v>
      </c>
      <c r="G258" s="1366">
        <f t="shared" si="3"/>
        <v>10</v>
      </c>
      <c r="H258" s="1366"/>
      <c r="I258" s="1366">
        <f t="shared" si="3"/>
        <v>15</v>
      </c>
      <c r="J258" s="1367">
        <f t="shared" si="3"/>
        <v>26.5</v>
      </c>
      <c r="K258" s="1464">
        <f>C258*J258</f>
        <v>0</v>
      </c>
      <c r="L258" s="1641"/>
      <c r="M258" s="1370">
        <f t="shared" ref="M258:N258" si="4">SUM(M259)</f>
        <v>1.5</v>
      </c>
      <c r="N258" s="1371">
        <f t="shared" si="4"/>
        <v>10</v>
      </c>
      <c r="P258" s="1371">
        <f>SUM(P259)</f>
        <v>15</v>
      </c>
      <c r="Q258" s="1371">
        <f t="shared" ref="Q258" si="5">SUM(Q259)</f>
        <v>26.5</v>
      </c>
      <c r="R258" s="1465">
        <f>C258*Q258</f>
        <v>0</v>
      </c>
      <c r="T258" s="1642">
        <f>J258-Q258</f>
        <v>0</v>
      </c>
      <c r="U258" s="1466">
        <f>K258-R258</f>
        <v>0</v>
      </c>
      <c r="V258" s="1373"/>
      <c r="W258" s="1373"/>
      <c r="X258" s="1244"/>
    </row>
    <row r="259" spans="1:26" hidden="1">
      <c r="A259" s="1323" t="s">
        <v>5976</v>
      </c>
      <c r="B259" s="185" t="s">
        <v>2911</v>
      </c>
      <c r="D259" s="1364" t="s">
        <v>991</v>
      </c>
      <c r="E259" s="1365">
        <f>E250</f>
        <v>0.1</v>
      </c>
      <c r="F259" s="1365">
        <f t="shared" ref="F259:N259" si="6">F250</f>
        <v>1.5</v>
      </c>
      <c r="G259" s="1495">
        <f t="shared" si="6"/>
        <v>10</v>
      </c>
      <c r="H259" s="1495"/>
      <c r="I259" s="1495">
        <f t="shared" si="6"/>
        <v>15</v>
      </c>
      <c r="J259" s="1496">
        <f t="shared" si="6"/>
        <v>26.5</v>
      </c>
      <c r="K259" s="1497"/>
      <c r="L259" s="1498"/>
      <c r="M259" s="1370">
        <f t="shared" si="6"/>
        <v>1.5</v>
      </c>
      <c r="N259" s="1499">
        <f t="shared" si="6"/>
        <v>10</v>
      </c>
      <c r="P259" s="1499">
        <f>P250</f>
        <v>15</v>
      </c>
      <c r="Q259" s="1499">
        <f t="shared" ref="Q259" si="7">Q250</f>
        <v>26.5</v>
      </c>
      <c r="R259" s="1500"/>
      <c r="S259" s="1499"/>
      <c r="T259" s="1347">
        <f>J259-Q259</f>
        <v>0</v>
      </c>
      <c r="U259" s="1501"/>
      <c r="V259" s="1502"/>
      <c r="W259" s="1502"/>
      <c r="X259" s="1244"/>
    </row>
    <row r="260" spans="1:26" hidden="1">
      <c r="A260" s="1323" t="s">
        <v>7781</v>
      </c>
      <c r="D260" s="1364"/>
      <c r="E260" s="1503"/>
      <c r="F260" s="1493"/>
      <c r="K260" s="1464"/>
      <c r="M260" s="1494"/>
      <c r="R260" s="1465"/>
      <c r="T260" s="1347"/>
      <c r="U260" s="1466"/>
      <c r="X260" s="1244"/>
    </row>
    <row r="261" spans="1:26" s="1461" customFormat="1" ht="15" thickBot="1">
      <c r="A261" s="1468" t="s">
        <v>91</v>
      </c>
      <c r="B261" s="1360" t="s">
        <v>92</v>
      </c>
      <c r="C261" s="1361">
        <v>599</v>
      </c>
      <c r="D261" s="1384" t="s">
        <v>7786</v>
      </c>
      <c r="E261" s="1385"/>
      <c r="F261" s="1385">
        <f>SUM(F262:F265)</f>
        <v>700.80090909090916</v>
      </c>
      <c r="G261" s="1420"/>
      <c r="H261" s="1420"/>
      <c r="I261" s="1420"/>
      <c r="J261" s="1421">
        <f>SUM(J262:J265)</f>
        <v>700.80090909090916</v>
      </c>
      <c r="K261" s="1386">
        <f>C261*J261</f>
        <v>419779.74454545457</v>
      </c>
      <c r="L261" s="1387"/>
      <c r="M261" s="1410">
        <f>SUM(M262:M265)</f>
        <v>700.80090909090916</v>
      </c>
      <c r="N261" s="1422"/>
      <c r="O261" s="1460"/>
      <c r="P261" s="1422"/>
      <c r="Q261" s="1422">
        <f>SUM(Q262:Q265)</f>
        <v>700.80090909090916</v>
      </c>
      <c r="R261" s="1389">
        <f>C261*Q261</f>
        <v>419779.74454545457</v>
      </c>
      <c r="S261" s="1388"/>
      <c r="T261" s="1390">
        <f>J261-Q261</f>
        <v>0</v>
      </c>
      <c r="U261" s="1411">
        <f>K261-R261</f>
        <v>0</v>
      </c>
      <c r="V261" s="1423"/>
      <c r="W261" s="1423"/>
      <c r="X261" s="1391"/>
    </row>
    <row r="262" spans="1:26" ht="29.5" hidden="1" thickBot="1">
      <c r="A262" s="1323" t="s">
        <v>5976</v>
      </c>
      <c r="B262" s="7" t="s">
        <v>2923</v>
      </c>
      <c r="C262" s="1363"/>
      <c r="D262" s="1364" t="s">
        <v>2719</v>
      </c>
      <c r="E262" s="1503"/>
      <c r="F262" s="1365">
        <f>36959/550</f>
        <v>67.198181818181823</v>
      </c>
      <c r="G262" s="1366"/>
      <c r="H262" s="1366"/>
      <c r="I262" s="1504"/>
      <c r="J262" s="1505">
        <f>SUM(F262:I262)</f>
        <v>67.198181818181823</v>
      </c>
      <c r="K262" s="1506"/>
      <c r="L262" s="1507"/>
      <c r="M262" s="1370">
        <f>36959/550</f>
        <v>67.198181818181823</v>
      </c>
      <c r="N262" s="1371"/>
      <c r="P262" s="1508"/>
      <c r="Q262" s="1508">
        <f>SUM(M262:P262)</f>
        <v>67.198181818181823</v>
      </c>
      <c r="R262" s="1509"/>
      <c r="S262" s="1508"/>
      <c r="T262" s="1347">
        <f>J262-Q262</f>
        <v>0</v>
      </c>
      <c r="U262" s="1510"/>
      <c r="V262" s="1511"/>
      <c r="W262" s="1511"/>
      <c r="X262" s="1244"/>
    </row>
    <row r="263" spans="1:26" ht="15" hidden="1" thickBot="1">
      <c r="A263" s="1323" t="s">
        <v>5976</v>
      </c>
      <c r="B263" s="7" t="s">
        <v>81</v>
      </c>
      <c r="C263" s="1363"/>
      <c r="D263" s="1364" t="s">
        <v>2719</v>
      </c>
      <c r="E263" s="1503"/>
      <c r="F263" s="1493">
        <f>317896/550</f>
        <v>577.99272727272728</v>
      </c>
      <c r="J263" s="1505">
        <f t="shared" ref="J263:J265" si="8">SUM(F263:I263)</f>
        <v>577.99272727272728</v>
      </c>
      <c r="K263" s="1506"/>
      <c r="L263" s="1507"/>
      <c r="M263" s="1494">
        <f>317896/550</f>
        <v>577.99272727272728</v>
      </c>
      <c r="Q263" s="1508">
        <f t="shared" ref="Q263:Q265" si="9">SUM(M263:P263)</f>
        <v>577.99272727272728</v>
      </c>
      <c r="R263" s="1509"/>
      <c r="S263" s="1508"/>
      <c r="T263" s="1347">
        <f>J263-Q263</f>
        <v>0</v>
      </c>
      <c r="U263" s="1510"/>
      <c r="V263" s="1511"/>
      <c r="W263" s="1511"/>
      <c r="X263" s="1244"/>
    </row>
    <row r="264" spans="1:26" ht="15" hidden="1" thickBot="1">
      <c r="A264" s="1323" t="s">
        <v>5976</v>
      </c>
      <c r="B264" s="7" t="s">
        <v>2925</v>
      </c>
      <c r="C264" s="1363"/>
      <c r="D264" s="1364" t="s">
        <v>2719</v>
      </c>
      <c r="E264" s="1503"/>
      <c r="F264" s="1493">
        <v>14.87</v>
      </c>
      <c r="J264" s="1505">
        <f t="shared" si="8"/>
        <v>14.87</v>
      </c>
      <c r="K264" s="1506"/>
      <c r="L264" s="1507"/>
      <c r="M264" s="1494">
        <v>14.87</v>
      </c>
      <c r="Q264" s="1508">
        <f t="shared" si="9"/>
        <v>14.87</v>
      </c>
      <c r="R264" s="1509"/>
      <c r="S264" s="1508"/>
      <c r="T264" s="1347">
        <f>J264-Q264</f>
        <v>0</v>
      </c>
      <c r="U264" s="1510"/>
      <c r="V264" s="1511"/>
      <c r="W264" s="1511"/>
      <c r="X264" s="1244"/>
    </row>
    <row r="265" spans="1:26" ht="29.5" hidden="1" thickBot="1">
      <c r="A265" s="1323" t="s">
        <v>5976</v>
      </c>
      <c r="B265" s="1512" t="s">
        <v>2927</v>
      </c>
      <c r="C265" s="1513"/>
      <c r="D265" s="1514" t="s">
        <v>2719</v>
      </c>
      <c r="E265" s="1515"/>
      <c r="F265" s="1516">
        <v>40.74</v>
      </c>
      <c r="G265" s="1517"/>
      <c r="H265" s="1517"/>
      <c r="I265" s="1517"/>
      <c r="J265" s="1518">
        <f t="shared" si="8"/>
        <v>40.74</v>
      </c>
      <c r="K265" s="1519"/>
      <c r="L265" s="1507"/>
      <c r="M265" s="1520">
        <v>40.74</v>
      </c>
      <c r="N265" s="1521"/>
      <c r="O265" s="1521"/>
      <c r="P265" s="1521"/>
      <c r="Q265" s="1522">
        <f t="shared" si="9"/>
        <v>40.74</v>
      </c>
      <c r="R265" s="1523"/>
      <c r="S265" s="1508"/>
      <c r="T265" s="1524">
        <f>J265-Q265</f>
        <v>0</v>
      </c>
      <c r="U265" s="1525"/>
      <c r="V265" s="1511"/>
      <c r="W265" s="1511"/>
      <c r="X265" s="1244"/>
    </row>
    <row r="266" spans="1:26" s="1534" customFormat="1" ht="29.25" customHeight="1" thickBot="1">
      <c r="A266" s="2484" t="s">
        <v>7787</v>
      </c>
      <c r="B266" s="2485"/>
      <c r="C266" s="2485"/>
      <c r="D266" s="2486"/>
      <c r="E266" s="1526"/>
      <c r="F266" s="1526"/>
      <c r="G266" s="1527"/>
      <c r="H266" s="1527"/>
      <c r="I266" s="1527"/>
      <c r="J266" s="1528"/>
      <c r="K266" s="1529">
        <f>SUM(K20:K265)</f>
        <v>23386167.273413528</v>
      </c>
      <c r="L266" s="1530"/>
      <c r="M266" s="1531"/>
      <c r="N266" s="1527"/>
      <c r="O266" s="1527"/>
      <c r="P266" s="1527"/>
      <c r="Q266" s="1527"/>
      <c r="R266" s="1529">
        <f>SUM(R20:R265)</f>
        <v>23386167.273413528</v>
      </c>
      <c r="S266" s="1532"/>
      <c r="T266" s="1533"/>
      <c r="U266" s="1529">
        <f>K266-R266</f>
        <v>0</v>
      </c>
    </row>
    <row r="267" spans="1:26" ht="29.25" customHeight="1"/>
    <row r="268" spans="1:26" ht="29.25" customHeight="1"/>
    <row r="270" spans="1:26" s="1334" customFormat="1">
      <c r="B270" s="7"/>
      <c r="C270" s="1426"/>
      <c r="E270" s="1535"/>
      <c r="F270" s="1536"/>
      <c r="G270" s="1462"/>
      <c r="H270" s="1462"/>
      <c r="I270" s="1462"/>
      <c r="J270" s="1463"/>
      <c r="K270" s="1537"/>
      <c r="L270" s="19"/>
      <c r="M270" s="1538"/>
      <c r="N270" s="1425"/>
      <c r="O270" s="1425"/>
      <c r="P270" s="1425"/>
      <c r="Q270" s="1425"/>
      <c r="R270" s="1381"/>
      <c r="S270" s="1425"/>
      <c r="T270" s="1462"/>
      <c r="U270" s="1462"/>
      <c r="V270" s="7"/>
      <c r="W270" s="7"/>
      <c r="X270" s="7"/>
      <c r="Y270" s="7"/>
      <c r="Z270" s="7"/>
    </row>
    <row r="271" spans="1:26" s="1334" customFormat="1">
      <c r="B271" s="7"/>
      <c r="C271" s="1426"/>
      <c r="E271" s="1535"/>
      <c r="F271" s="1536"/>
      <c r="G271" s="1462"/>
      <c r="H271" s="1462"/>
      <c r="I271" s="1462"/>
      <c r="J271" s="1463"/>
      <c r="K271" s="1537"/>
      <c r="L271" s="19"/>
      <c r="M271" s="1538"/>
      <c r="N271" s="1425"/>
      <c r="O271" s="1425"/>
      <c r="P271" s="1425"/>
      <c r="Q271" s="1425"/>
      <c r="R271" s="1381"/>
      <c r="S271" s="1425"/>
      <c r="T271" s="1462"/>
      <c r="U271" s="1462"/>
      <c r="V271" s="7"/>
      <c r="W271" s="7"/>
      <c r="X271" s="7"/>
      <c r="Y271" s="7"/>
      <c r="Z271" s="7"/>
    </row>
    <row r="272" spans="1:26" s="1334" customFormat="1">
      <c r="B272" s="7"/>
      <c r="C272" s="1426"/>
      <c r="E272" s="1535"/>
      <c r="F272" s="1536"/>
      <c r="G272" s="1462"/>
      <c r="H272" s="1462"/>
      <c r="I272" s="1462"/>
      <c r="J272" s="1463"/>
      <c r="K272" s="1537"/>
      <c r="L272" s="19"/>
      <c r="M272" s="1538"/>
      <c r="N272" s="1425"/>
      <c r="O272" s="1425"/>
      <c r="P272" s="1425"/>
      <c r="Q272" s="1425"/>
      <c r="R272" s="1381"/>
      <c r="S272" s="1425"/>
      <c r="T272" s="1462"/>
      <c r="U272" s="1462"/>
      <c r="V272" s="7"/>
      <c r="W272" s="7"/>
      <c r="X272" s="7"/>
      <c r="Y272" s="7"/>
      <c r="Z272" s="7"/>
    </row>
    <row r="273" spans="1:26" s="1334" customFormat="1">
      <c r="B273" s="7"/>
      <c r="C273" s="1426"/>
      <c r="E273" s="1535"/>
      <c r="F273" s="1536"/>
      <c r="G273" s="1462"/>
      <c r="H273" s="1462"/>
      <c r="I273" s="1462"/>
      <c r="J273" s="1463"/>
      <c r="K273" s="1537"/>
      <c r="L273" s="19"/>
      <c r="M273" s="1538"/>
      <c r="N273" s="1425"/>
      <c r="O273" s="1425"/>
      <c r="P273" s="1425"/>
      <c r="Q273" s="1425"/>
      <c r="R273" s="1381"/>
      <c r="S273" s="1425"/>
      <c r="T273" s="1462"/>
      <c r="U273" s="1462"/>
      <c r="V273" s="7"/>
      <c r="W273" s="7"/>
      <c r="X273" s="7"/>
      <c r="Y273" s="7"/>
      <c r="Z273" s="7"/>
    </row>
    <row r="274" spans="1:26" s="1334" customFormat="1">
      <c r="B274" s="7"/>
      <c r="C274" s="1426"/>
      <c r="E274" s="1535"/>
      <c r="F274" s="1536"/>
      <c r="G274" s="1462"/>
      <c r="H274" s="1462"/>
      <c r="I274" s="1462"/>
      <c r="J274" s="1463"/>
      <c r="K274" s="1537"/>
      <c r="L274" s="19"/>
      <c r="M274" s="1538"/>
      <c r="N274" s="1425"/>
      <c r="O274" s="1425"/>
      <c r="P274" s="1425"/>
      <c r="Q274" s="1425"/>
      <c r="R274" s="1381"/>
      <c r="S274" s="1425"/>
      <c r="T274" s="1462"/>
      <c r="U274" s="1462"/>
      <c r="V274" s="7"/>
      <c r="W274" s="7"/>
      <c r="X274" s="7"/>
      <c r="Y274" s="7"/>
      <c r="Z274" s="7"/>
    </row>
    <row r="275" spans="1:26" s="1334" customFormat="1">
      <c r="B275" s="7"/>
      <c r="C275" s="1426"/>
      <c r="E275" s="1535"/>
      <c r="F275" s="1536"/>
      <c r="G275" s="1462"/>
      <c r="H275" s="1462"/>
      <c r="I275" s="1462"/>
      <c r="J275" s="1463"/>
      <c r="K275" s="1537"/>
      <c r="L275" s="19"/>
      <c r="M275" s="1538"/>
      <c r="N275" s="1425"/>
      <c r="O275" s="1425"/>
      <c r="P275" s="1425"/>
      <c r="Q275" s="1425"/>
      <c r="R275" s="1381"/>
      <c r="S275" s="1425"/>
      <c r="T275" s="1462"/>
      <c r="U275" s="1462"/>
      <c r="V275" s="7"/>
      <c r="W275" s="7"/>
      <c r="X275" s="7"/>
      <c r="Y275" s="7"/>
      <c r="Z275" s="7"/>
    </row>
    <row r="276" spans="1:26" s="1334" customFormat="1">
      <c r="B276" s="7"/>
      <c r="C276" s="1426"/>
      <c r="E276" s="1535"/>
      <c r="F276" s="1536"/>
      <c r="G276" s="1462"/>
      <c r="H276" s="1462"/>
      <c r="I276" s="1462"/>
      <c r="J276" s="1463"/>
      <c r="K276" s="1537"/>
      <c r="L276" s="19"/>
      <c r="M276" s="1538"/>
      <c r="N276" s="1425"/>
      <c r="O276" s="1425"/>
      <c r="P276" s="1425"/>
      <c r="Q276" s="1425"/>
      <c r="R276" s="1381"/>
      <c r="S276" s="1425"/>
      <c r="T276" s="1462"/>
      <c r="U276" s="1462"/>
      <c r="V276" s="7"/>
      <c r="W276" s="7"/>
      <c r="X276" s="7"/>
      <c r="Y276" s="7"/>
      <c r="Z276" s="7"/>
    </row>
    <row r="277" spans="1:26" s="1334" customFormat="1">
      <c r="B277" s="7"/>
      <c r="C277" s="1426"/>
      <c r="E277" s="1535"/>
      <c r="F277" s="1536"/>
      <c r="G277" s="1462"/>
      <c r="H277" s="1462"/>
      <c r="I277" s="1462"/>
      <c r="J277" s="1463"/>
      <c r="K277" s="1537"/>
      <c r="L277" s="19"/>
      <c r="M277" s="1538"/>
      <c r="N277" s="1425"/>
      <c r="O277" s="1425"/>
      <c r="P277" s="1425"/>
      <c r="Q277" s="1425"/>
      <c r="R277" s="1381"/>
      <c r="S277" s="1425"/>
      <c r="T277" s="1462"/>
      <c r="U277" s="1462"/>
      <c r="V277" s="7"/>
      <c r="W277" s="7"/>
      <c r="X277" s="7"/>
      <c r="Y277" s="7"/>
      <c r="Z277" s="7"/>
    </row>
    <row r="278" spans="1:26" s="1334" customFormat="1">
      <c r="B278" s="7"/>
      <c r="C278" s="1426"/>
      <c r="E278" s="1535"/>
      <c r="F278" s="1536"/>
      <c r="G278" s="1462"/>
      <c r="H278" s="1462"/>
      <c r="I278" s="1462"/>
      <c r="J278" s="1463"/>
      <c r="K278" s="1537"/>
      <c r="L278" s="19"/>
      <c r="M278" s="1538"/>
      <c r="N278" s="1425"/>
      <c r="O278" s="1425"/>
      <c r="P278" s="1425"/>
      <c r="Q278" s="1425"/>
      <c r="R278" s="1381"/>
      <c r="S278" s="1425"/>
      <c r="T278" s="1462"/>
      <c r="U278" s="1462"/>
      <c r="V278" s="7"/>
      <c r="W278" s="7"/>
      <c r="X278" s="7"/>
      <c r="Y278" s="7"/>
      <c r="Z278" s="7"/>
    </row>
    <row r="279" spans="1:26" s="1334" customFormat="1">
      <c r="B279" s="7"/>
      <c r="C279" s="1426"/>
      <c r="E279" s="1535"/>
      <c r="F279" s="1536"/>
      <c r="G279" s="1462"/>
      <c r="H279" s="1462"/>
      <c r="I279" s="1462"/>
      <c r="J279" s="1463"/>
      <c r="K279" s="1537"/>
      <c r="L279" s="19"/>
      <c r="M279" s="1538"/>
      <c r="N279" s="1425"/>
      <c r="O279" s="1425"/>
      <c r="P279" s="1425"/>
      <c r="Q279" s="1425"/>
      <c r="R279" s="1381"/>
      <c r="S279" s="1425"/>
      <c r="T279" s="1462"/>
      <c r="U279" s="1462"/>
      <c r="V279" s="7"/>
      <c r="W279" s="7"/>
      <c r="X279" s="7"/>
      <c r="Y279" s="7"/>
      <c r="Z279" s="7"/>
    </row>
    <row r="280" spans="1:26" s="1334" customFormat="1">
      <c r="B280" s="7"/>
      <c r="C280" s="1426"/>
      <c r="E280" s="1535"/>
      <c r="F280" s="1536"/>
      <c r="G280" s="1462"/>
      <c r="H280" s="1462"/>
      <c r="I280" s="1462"/>
      <c r="J280" s="1463"/>
      <c r="K280" s="1537"/>
      <c r="L280" s="19"/>
      <c r="M280" s="1538"/>
      <c r="N280" s="1425"/>
      <c r="O280" s="1425"/>
      <c r="P280" s="1425"/>
      <c r="Q280" s="1425"/>
      <c r="R280" s="1381"/>
      <c r="S280" s="1425"/>
      <c r="T280" s="1462"/>
      <c r="U280" s="1462"/>
      <c r="V280" s="7"/>
      <c r="W280" s="7"/>
      <c r="X280" s="7"/>
      <c r="Y280" s="7"/>
      <c r="Z280" s="7"/>
    </row>
    <row r="281" spans="1:26" s="1334" customFormat="1">
      <c r="B281" s="7"/>
      <c r="C281" s="1426"/>
      <c r="E281" s="1535"/>
      <c r="F281" s="1536"/>
      <c r="G281" s="1462"/>
      <c r="H281" s="1462"/>
      <c r="I281" s="1462"/>
      <c r="J281" s="1463"/>
      <c r="K281" s="1537"/>
      <c r="L281" s="19"/>
      <c r="M281" s="1538"/>
      <c r="N281" s="1425"/>
      <c r="O281" s="1425"/>
      <c r="P281" s="1425"/>
      <c r="Q281" s="1425"/>
      <c r="R281" s="1381"/>
      <c r="S281" s="1425"/>
      <c r="T281" s="1462"/>
      <c r="U281" s="1462"/>
      <c r="V281" s="7"/>
      <c r="W281" s="7"/>
      <c r="X281" s="7"/>
      <c r="Y281" s="7"/>
      <c r="Z281" s="7"/>
    </row>
    <row r="282" spans="1:26" s="1334" customFormat="1" ht="19.5">
      <c r="A282" s="1539" t="s">
        <v>7788</v>
      </c>
      <c r="B282" s="7"/>
      <c r="C282" s="1426"/>
      <c r="E282" s="1535"/>
      <c r="F282" s="1536"/>
      <c r="G282" s="1462"/>
      <c r="H282" s="1462"/>
      <c r="I282" s="1462"/>
      <c r="J282" s="1463"/>
      <c r="K282" s="1537"/>
      <c r="L282" s="19"/>
      <c r="M282" s="1538"/>
      <c r="N282" s="1425"/>
      <c r="O282" s="1425"/>
      <c r="P282" s="1425"/>
      <c r="Q282" s="1425"/>
      <c r="R282" s="1381"/>
      <c r="S282" s="1425"/>
      <c r="T282" s="1462"/>
      <c r="U282" s="1462"/>
      <c r="V282" s="7"/>
      <c r="W282" s="7"/>
      <c r="X282" s="7"/>
      <c r="Y282" s="7"/>
      <c r="Z282" s="7"/>
    </row>
    <row r="283" spans="1:26" s="1334" customFormat="1">
      <c r="B283" s="7"/>
      <c r="C283" s="1426"/>
      <c r="E283" s="1535"/>
      <c r="F283" s="1536"/>
      <c r="G283" s="1462"/>
      <c r="H283" s="1462"/>
      <c r="I283" s="1462"/>
      <c r="J283" s="1463"/>
      <c r="K283" s="1537"/>
      <c r="L283" s="19"/>
      <c r="M283" s="1538"/>
      <c r="N283" s="1425"/>
      <c r="O283" s="1425"/>
      <c r="P283" s="1425"/>
      <c r="Q283" s="1425"/>
      <c r="R283" s="1381"/>
      <c r="S283" s="1425"/>
      <c r="T283" s="1462"/>
      <c r="U283" s="1462"/>
      <c r="V283" s="7"/>
      <c r="W283" s="7"/>
      <c r="X283" s="7"/>
      <c r="Y283" s="7"/>
      <c r="Z283" s="7"/>
    </row>
    <row r="284" spans="1:26" s="1334" customFormat="1">
      <c r="B284" s="7"/>
      <c r="C284" s="1426"/>
      <c r="E284" s="1535"/>
      <c r="F284" s="1536"/>
      <c r="G284" s="1462"/>
      <c r="H284" s="1462"/>
      <c r="I284" s="1462"/>
      <c r="J284" s="1463"/>
      <c r="K284" s="1537"/>
      <c r="L284" s="19"/>
      <c r="M284" s="1538"/>
      <c r="N284" s="1425"/>
      <c r="O284" s="1425"/>
      <c r="P284" s="1425"/>
      <c r="Q284" s="1425"/>
      <c r="R284" s="1381"/>
      <c r="S284" s="1425"/>
      <c r="T284" s="1462"/>
      <c r="U284" s="1462"/>
      <c r="V284" s="7"/>
      <c r="W284" s="7"/>
      <c r="X284" s="7"/>
      <c r="Y284" s="7"/>
      <c r="Z284" s="7"/>
    </row>
    <row r="285" spans="1:26" customFormat="1">
      <c r="I285" s="169"/>
    </row>
    <row r="286" spans="1:26" customFormat="1">
      <c r="H286" s="1982" t="s">
        <v>2932</v>
      </c>
      <c r="I286" s="1983"/>
      <c r="J286" s="1983"/>
      <c r="K286" s="1984"/>
    </row>
    <row r="287" spans="1:26" customFormat="1">
      <c r="A287" s="186"/>
      <c r="B287" s="186"/>
      <c r="C287" s="186"/>
      <c r="E287" s="186"/>
      <c r="F287" s="186"/>
      <c r="H287" s="364" t="s">
        <v>2783</v>
      </c>
      <c r="I287" s="364" t="s">
        <v>21</v>
      </c>
      <c r="J287" s="364" t="s">
        <v>2933</v>
      </c>
      <c r="K287" s="364"/>
    </row>
    <row r="288" spans="1:26" customFormat="1">
      <c r="A288" s="2483" t="s">
        <v>2934</v>
      </c>
      <c r="B288" s="2483"/>
      <c r="C288" s="2483"/>
      <c r="H288" s="1985" t="s">
        <v>2935</v>
      </c>
      <c r="I288" s="1986" t="s">
        <v>2936</v>
      </c>
      <c r="J288" s="1987">
        <f>O4</f>
        <v>0.96600000000000008</v>
      </c>
      <c r="K288" s="1862" t="s">
        <v>2937</v>
      </c>
    </row>
    <row r="289" spans="1:17" customFormat="1">
      <c r="H289" s="365" t="s">
        <v>2938</v>
      </c>
      <c r="I289" s="366" t="s">
        <v>2939</v>
      </c>
      <c r="J289" s="202">
        <v>3</v>
      </c>
      <c r="K289" s="200" t="s">
        <v>2940</v>
      </c>
    </row>
    <row r="290" spans="1:17" customFormat="1">
      <c r="H290" s="365" t="s">
        <v>2941</v>
      </c>
      <c r="I290" s="366" t="s">
        <v>2942</v>
      </c>
      <c r="J290" s="202">
        <f>30*12*12</f>
        <v>4320</v>
      </c>
      <c r="K290" s="200" t="s">
        <v>2943</v>
      </c>
    </row>
    <row r="291" spans="1:17" customFormat="1">
      <c r="B291" s="190" t="s">
        <v>2783</v>
      </c>
      <c r="C291" s="190" t="s">
        <v>21</v>
      </c>
      <c r="D291" s="190" t="s">
        <v>2944</v>
      </c>
      <c r="E291" s="190" t="s">
        <v>24</v>
      </c>
      <c r="H291" s="365" t="s">
        <v>2945</v>
      </c>
      <c r="I291" s="366" t="s">
        <v>2946</v>
      </c>
      <c r="J291" s="367">
        <v>0.85</v>
      </c>
      <c r="K291" s="200"/>
    </row>
    <row r="292" spans="1:17" customFormat="1">
      <c r="A292" s="191" t="s">
        <v>2947</v>
      </c>
      <c r="H292" s="365" t="s">
        <v>2948</v>
      </c>
      <c r="I292" s="368" t="s">
        <v>2949</v>
      </c>
      <c r="J292" s="369">
        <v>10.48</v>
      </c>
      <c r="K292" s="200"/>
    </row>
    <row r="293" spans="1:17" customFormat="1">
      <c r="B293" t="s">
        <v>2950</v>
      </c>
      <c r="C293" t="s">
        <v>2951</v>
      </c>
      <c r="D293">
        <v>12</v>
      </c>
      <c r="E293" t="s">
        <v>2952</v>
      </c>
      <c r="H293" s="365" t="s">
        <v>2953</v>
      </c>
      <c r="I293" s="368" t="s">
        <v>2954</v>
      </c>
      <c r="J293" s="369">
        <v>15</v>
      </c>
      <c r="K293" s="200"/>
    </row>
    <row r="294" spans="1:17" customFormat="1">
      <c r="B294" t="s">
        <v>2955</v>
      </c>
      <c r="C294" t="s">
        <v>2956</v>
      </c>
      <c r="D294">
        <v>12</v>
      </c>
      <c r="E294" t="s">
        <v>2957</v>
      </c>
      <c r="H294" s="365" t="s">
        <v>2958</v>
      </c>
      <c r="I294" s="368" t="s">
        <v>2959</v>
      </c>
      <c r="J294" s="202">
        <v>0.89</v>
      </c>
      <c r="K294" s="200" t="s">
        <v>2960</v>
      </c>
    </row>
    <row r="295" spans="1:17" customFormat="1">
      <c r="B295" t="s">
        <v>2958</v>
      </c>
      <c r="C295" t="s">
        <v>2961</v>
      </c>
      <c r="D295">
        <v>15</v>
      </c>
      <c r="E295" t="s">
        <v>2962</v>
      </c>
      <c r="H295" s="365" t="s">
        <v>2963</v>
      </c>
      <c r="I295" s="368" t="s">
        <v>2964</v>
      </c>
      <c r="J295" s="202">
        <v>650</v>
      </c>
      <c r="K295" s="200" t="s">
        <v>2965</v>
      </c>
      <c r="L295" s="158"/>
      <c r="M295" s="158"/>
      <c r="N295" s="158"/>
      <c r="O295" s="158"/>
      <c r="P295" s="158"/>
      <c r="Q295" s="158"/>
    </row>
    <row r="296" spans="1:17" customFormat="1">
      <c r="B296" t="s">
        <v>2953</v>
      </c>
      <c r="C296" t="s">
        <v>2970</v>
      </c>
      <c r="D296">
        <f>12*12</f>
        <v>144</v>
      </c>
      <c r="E296" t="s">
        <v>2957</v>
      </c>
      <c r="H296" s="370"/>
      <c r="I296" s="174" t="s">
        <v>2971</v>
      </c>
      <c r="J296" s="1540">
        <f>N3</f>
        <v>100</v>
      </c>
      <c r="K296" s="1541"/>
      <c r="L296" s="165"/>
      <c r="M296" s="165"/>
      <c r="N296" s="165"/>
      <c r="O296" s="165"/>
      <c r="P296" s="165"/>
      <c r="Q296" s="165"/>
    </row>
    <row r="297" spans="1:17" customFormat="1">
      <c r="B297" t="s">
        <v>2963</v>
      </c>
      <c r="C297" t="s">
        <v>2972</v>
      </c>
      <c r="D297">
        <v>1</v>
      </c>
      <c r="I297" s="169"/>
    </row>
    <row r="298" spans="1:17" customFormat="1" ht="43.5">
      <c r="B298" t="s">
        <v>2973</v>
      </c>
      <c r="C298" s="7" t="s">
        <v>2974</v>
      </c>
      <c r="D298" s="1542">
        <f>D296*D295</f>
        <v>2160</v>
      </c>
      <c r="E298" t="s">
        <v>2975</v>
      </c>
      <c r="I298" s="2487" t="s">
        <v>2976</v>
      </c>
      <c r="J298" s="2488"/>
      <c r="K298" s="2489"/>
    </row>
    <row r="299" spans="1:17" customFormat="1">
      <c r="B299" t="s">
        <v>2977</v>
      </c>
      <c r="C299" t="s">
        <v>2978</v>
      </c>
      <c r="D299">
        <f>(D296*D295)/D294</f>
        <v>180</v>
      </c>
      <c r="E299" s="195" t="s">
        <v>2979</v>
      </c>
      <c r="I299" s="199" t="s">
        <v>2980</v>
      </c>
      <c r="K299" s="200"/>
    </row>
    <row r="300" spans="1:17" customFormat="1">
      <c r="A300" s="191" t="s">
        <v>2981</v>
      </c>
      <c r="F300" s="1243" t="e">
        <f>('Unit Rate Analysis'!N287/150*4*1.33)+(D306/150)+(D307/#REF!)+0.8+0.95</f>
        <v>#REF!</v>
      </c>
      <c r="I300" s="201" t="s">
        <v>2982</v>
      </c>
      <c r="J300">
        <v>35</v>
      </c>
      <c r="K300" s="200" t="s">
        <v>2983</v>
      </c>
    </row>
    <row r="301" spans="1:17" customFormat="1">
      <c r="B301" t="s">
        <v>2984</v>
      </c>
      <c r="C301" t="s">
        <v>2985</v>
      </c>
      <c r="D301" s="371">
        <f>D298*D297</f>
        <v>2160</v>
      </c>
      <c r="E301" t="s">
        <v>2986</v>
      </c>
      <c r="I301" s="202"/>
      <c r="K301" s="200"/>
    </row>
    <row r="302" spans="1:17" customFormat="1">
      <c r="B302" t="s">
        <v>2987</v>
      </c>
      <c r="C302" t="s">
        <v>2988</v>
      </c>
      <c r="D302" s="371">
        <v>150</v>
      </c>
      <c r="E302" t="s">
        <v>2989</v>
      </c>
      <c r="I302" s="199" t="s">
        <v>2990</v>
      </c>
      <c r="K302" s="200"/>
    </row>
    <row r="303" spans="1:17" customFormat="1">
      <c r="B303" t="s">
        <v>2991</v>
      </c>
      <c r="C303" t="s">
        <v>2992</v>
      </c>
      <c r="D303" s="371">
        <v>4</v>
      </c>
      <c r="I303" s="201" t="s">
        <v>2993</v>
      </c>
      <c r="J303" s="1543">
        <f>750000*0.5</f>
        <v>375000</v>
      </c>
      <c r="K303" s="904" t="s">
        <v>2994</v>
      </c>
    </row>
    <row r="304" spans="1:17" customFormat="1">
      <c r="B304" t="s">
        <v>2995</v>
      </c>
      <c r="C304" t="s">
        <v>2996</v>
      </c>
      <c r="D304">
        <v>1.33</v>
      </c>
      <c r="I304" s="202"/>
      <c r="K304" s="200"/>
    </row>
    <row r="305" spans="1:11" customFormat="1">
      <c r="B305" t="s">
        <v>2997</v>
      </c>
      <c r="C305" t="s">
        <v>2971</v>
      </c>
      <c r="D305" s="194">
        <f>J296</f>
        <v>100</v>
      </c>
      <c r="E305" t="s">
        <v>2998</v>
      </c>
      <c r="I305" s="199" t="s">
        <v>2999</v>
      </c>
      <c r="K305" s="200"/>
    </row>
    <row r="306" spans="1:11" customFormat="1">
      <c r="B306" t="s">
        <v>991</v>
      </c>
      <c r="C306" t="s">
        <v>3000</v>
      </c>
      <c r="D306" s="194">
        <f>J310</f>
        <v>152.84490740740739</v>
      </c>
      <c r="I306" s="201" t="s">
        <v>3001</v>
      </c>
      <c r="J306" s="203">
        <v>24.594907407407401</v>
      </c>
      <c r="K306" s="200" t="s">
        <v>3002</v>
      </c>
    </row>
    <row r="307" spans="1:11" customFormat="1">
      <c r="B307" t="s">
        <v>3003</v>
      </c>
      <c r="C307" t="s">
        <v>3004</v>
      </c>
      <c r="D307" s="194">
        <f>J325</f>
        <v>313.36</v>
      </c>
      <c r="I307" s="201" t="s">
        <v>3005</v>
      </c>
      <c r="J307" s="203">
        <v>94.44</v>
      </c>
      <c r="K307" s="200" t="s">
        <v>2998</v>
      </c>
    </row>
    <row r="308" spans="1:11" customFormat="1">
      <c r="A308" s="191" t="s">
        <v>3006</v>
      </c>
      <c r="I308" s="201" t="s">
        <v>2692</v>
      </c>
      <c r="J308" s="1544">
        <f>J300*J288</f>
        <v>33.81</v>
      </c>
      <c r="K308" s="1541" t="s">
        <v>3007</v>
      </c>
    </row>
    <row r="309" spans="1:11" customFormat="1">
      <c r="C309" t="s">
        <v>3008</v>
      </c>
      <c r="D309" s="203">
        <f>D305/D302*D303*D304</f>
        <v>3.5466666666666669</v>
      </c>
      <c r="E309" s="195" t="s">
        <v>3009</v>
      </c>
      <c r="I309" s="199" t="s">
        <v>3010</v>
      </c>
      <c r="K309" s="200"/>
    </row>
    <row r="310" spans="1:11" customFormat="1">
      <c r="A310" s="191" t="s">
        <v>3011</v>
      </c>
      <c r="I310" s="1545" t="s">
        <v>3012</v>
      </c>
      <c r="J310" s="1546">
        <f>SUM(J306:J308)</f>
        <v>152.84490740740739</v>
      </c>
      <c r="K310" s="1547" t="s">
        <v>2998</v>
      </c>
    </row>
    <row r="311" spans="1:11" customFormat="1">
      <c r="B311" t="s">
        <v>3014</v>
      </c>
      <c r="C311" t="s">
        <v>3012</v>
      </c>
      <c r="D311" s="194">
        <f>D306/D302</f>
        <v>1.018966049382716</v>
      </c>
      <c r="E311" s="195" t="s">
        <v>3015</v>
      </c>
    </row>
    <row r="312" spans="1:11" customFormat="1">
      <c r="A312" s="191" t="s">
        <v>3016</v>
      </c>
      <c r="I312" s="2487" t="s">
        <v>3017</v>
      </c>
      <c r="J312" s="2488"/>
      <c r="K312" s="2489"/>
    </row>
    <row r="313" spans="1:11" customFormat="1">
      <c r="B313" t="s">
        <v>3018</v>
      </c>
      <c r="C313" t="s">
        <v>3019</v>
      </c>
      <c r="D313" s="203">
        <f>D307/D299</f>
        <v>1.7408888888888889</v>
      </c>
      <c r="E313" s="195" t="s">
        <v>3020</v>
      </c>
      <c r="I313" s="199" t="s">
        <v>3021</v>
      </c>
      <c r="K313" s="200"/>
    </row>
    <row r="314" spans="1:11" customFormat="1">
      <c r="B314" t="s">
        <v>3022</v>
      </c>
      <c r="C314" t="s">
        <v>3023</v>
      </c>
      <c r="D314" s="194">
        <v>0.8</v>
      </c>
      <c r="I314" s="201" t="s">
        <v>3024</v>
      </c>
      <c r="J314" s="372">
        <v>2</v>
      </c>
      <c r="K314" s="200" t="s">
        <v>3025</v>
      </c>
    </row>
    <row r="315" spans="1:11" customFormat="1">
      <c r="B315" t="s">
        <v>3026</v>
      </c>
      <c r="C315" t="s">
        <v>3027</v>
      </c>
      <c r="D315" s="194">
        <v>0.95</v>
      </c>
      <c r="I315" s="201" t="s">
        <v>2954</v>
      </c>
      <c r="J315" s="372">
        <v>2</v>
      </c>
      <c r="K315" s="200" t="s">
        <v>3028</v>
      </c>
    </row>
    <row r="316" spans="1:11" customFormat="1" ht="36" customHeight="1">
      <c r="A316" s="197" t="s">
        <v>3029</v>
      </c>
      <c r="C316" s="211" t="s">
        <v>3030</v>
      </c>
      <c r="D316" s="208">
        <f>SUM(D309:D315)</f>
        <v>8.0565216049382702</v>
      </c>
      <c r="I316" s="201" t="s">
        <v>2959</v>
      </c>
      <c r="J316" s="372">
        <v>10</v>
      </c>
      <c r="K316" s="200" t="s">
        <v>3031</v>
      </c>
    </row>
    <row r="317" spans="1:11" customFormat="1">
      <c r="A317" s="191"/>
      <c r="C317" s="209" t="s">
        <v>3032</v>
      </c>
      <c r="D317" s="213">
        <f>D309</f>
        <v>3.5466666666666669</v>
      </c>
      <c r="I317" s="201" t="s">
        <v>2964</v>
      </c>
      <c r="J317" s="372">
        <v>0.39</v>
      </c>
      <c r="K317" s="200" t="s">
        <v>3033</v>
      </c>
    </row>
    <row r="318" spans="1:11" customFormat="1">
      <c r="A318" s="191"/>
      <c r="C318" s="209" t="s">
        <v>3034</v>
      </c>
      <c r="D318" s="213">
        <f>SUM(D311:D315)</f>
        <v>4.5098549382716051</v>
      </c>
      <c r="I318" s="202"/>
      <c r="K318" s="200"/>
    </row>
    <row r="319" spans="1:11" customFormat="1">
      <c r="A319" s="191"/>
      <c r="C319" t="s">
        <v>3035</v>
      </c>
      <c r="D319" s="210">
        <f>J300/D302</f>
        <v>0.23333333333333334</v>
      </c>
      <c r="E319" s="195" t="s">
        <v>3036</v>
      </c>
      <c r="I319" s="199" t="s">
        <v>3037</v>
      </c>
      <c r="K319" s="200"/>
    </row>
    <row r="320" spans="1:11" customFormat="1">
      <c r="A320" s="191"/>
      <c r="C320" t="s">
        <v>3038</v>
      </c>
      <c r="D320" s="210">
        <f>(D317/D305)+((J307*0.5)/D305/D302)</f>
        <v>3.8614666666666665E-2</v>
      </c>
      <c r="I320" s="201" t="s">
        <v>3024</v>
      </c>
      <c r="J320" s="203">
        <f>J292*J314</f>
        <v>20.96</v>
      </c>
      <c r="K320" s="373" t="s">
        <v>3039</v>
      </c>
    </row>
    <row r="321" spans="1:11" customFormat="1">
      <c r="I321" s="201" t="s">
        <v>2954</v>
      </c>
      <c r="J321" s="203">
        <f>J293*J315</f>
        <v>30</v>
      </c>
      <c r="K321" s="373" t="s">
        <v>3040</v>
      </c>
    </row>
    <row r="322" spans="1:11" customFormat="1">
      <c r="A322" s="186"/>
      <c r="B322" s="186"/>
      <c r="C322" s="186"/>
      <c r="E322" s="186"/>
      <c r="F322" s="186"/>
      <c r="I322" s="201" t="s">
        <v>2959</v>
      </c>
      <c r="J322" s="203">
        <f>J294*J316</f>
        <v>8.9</v>
      </c>
      <c r="K322" s="373" t="s">
        <v>3041</v>
      </c>
    </row>
    <row r="323" spans="1:11" customFormat="1">
      <c r="A323" s="2483" t="s">
        <v>3042</v>
      </c>
      <c r="B323" s="2483"/>
      <c r="C323" s="2483"/>
      <c r="I323" s="201" t="s">
        <v>2964</v>
      </c>
      <c r="J323" s="203">
        <f>J295*J317</f>
        <v>253.5</v>
      </c>
      <c r="K323" s="373" t="s">
        <v>3043</v>
      </c>
    </row>
    <row r="324" spans="1:11" customFormat="1">
      <c r="I324" s="199" t="s">
        <v>3010</v>
      </c>
      <c r="K324" s="200"/>
    </row>
    <row r="325" spans="1:11" customFormat="1">
      <c r="I325" s="1545" t="s">
        <v>3044</v>
      </c>
      <c r="J325" s="1546">
        <f>SUM(J320:J323)</f>
        <v>313.36</v>
      </c>
      <c r="K325" s="1547" t="s">
        <v>3045</v>
      </c>
    </row>
    <row r="326" spans="1:11" customFormat="1">
      <c r="I326" s="169"/>
    </row>
    <row r="327" spans="1:11" customFormat="1">
      <c r="A327" s="169"/>
      <c r="I327" s="2487" t="s">
        <v>3046</v>
      </c>
      <c r="J327" s="2488"/>
      <c r="K327" s="2489"/>
    </row>
    <row r="328" spans="1:11" customFormat="1">
      <c r="B328" s="190" t="s">
        <v>2783</v>
      </c>
      <c r="C328" s="190" t="s">
        <v>21</v>
      </c>
      <c r="D328" s="190" t="s">
        <v>2944</v>
      </c>
      <c r="E328" s="190" t="s">
        <v>24</v>
      </c>
      <c r="I328" s="199" t="s">
        <v>2980</v>
      </c>
      <c r="K328" s="200"/>
    </row>
    <row r="329" spans="1:11" customFormat="1">
      <c r="A329" s="191" t="s">
        <v>2947</v>
      </c>
      <c r="I329" s="201" t="s">
        <v>2982</v>
      </c>
      <c r="J329">
        <v>13</v>
      </c>
      <c r="K329" s="200" t="s">
        <v>2983</v>
      </c>
    </row>
    <row r="330" spans="1:11" customFormat="1">
      <c r="B330" s="192" t="s">
        <v>2950</v>
      </c>
      <c r="C330" t="s">
        <v>3047</v>
      </c>
      <c r="D330">
        <v>12</v>
      </c>
      <c r="E330" t="s">
        <v>2952</v>
      </c>
      <c r="I330" s="202"/>
      <c r="K330" s="200"/>
    </row>
    <row r="331" spans="1:11" customFormat="1">
      <c r="B331" s="192" t="s">
        <v>2955</v>
      </c>
      <c r="C331" t="s">
        <v>3048</v>
      </c>
      <c r="D331">
        <v>0.77</v>
      </c>
      <c r="I331" s="199" t="s">
        <v>2990</v>
      </c>
      <c r="K331" s="200"/>
    </row>
    <row r="332" spans="1:11" customFormat="1">
      <c r="B332" s="192" t="s">
        <v>2958</v>
      </c>
      <c r="C332" t="s">
        <v>3049</v>
      </c>
      <c r="D332">
        <v>150</v>
      </c>
      <c r="E332" t="s">
        <v>2989</v>
      </c>
      <c r="I332" s="201" t="s">
        <v>3050</v>
      </c>
      <c r="J332" s="1543">
        <f>5000000*0.5</f>
        <v>2500000</v>
      </c>
      <c r="K332" s="904" t="s">
        <v>2994</v>
      </c>
    </row>
    <row r="333" spans="1:11" customFormat="1">
      <c r="A333" s="191" t="s">
        <v>2981</v>
      </c>
      <c r="B333" s="192"/>
      <c r="I333" s="202"/>
      <c r="K333" s="200"/>
    </row>
    <row r="334" spans="1:11" customFormat="1">
      <c r="B334" s="192" t="s">
        <v>2953</v>
      </c>
      <c r="C334" t="s">
        <v>3051</v>
      </c>
      <c r="D334">
        <f>D332*D331</f>
        <v>115.5</v>
      </c>
      <c r="E334" t="s">
        <v>2989</v>
      </c>
      <c r="I334" s="199" t="s">
        <v>2999</v>
      </c>
      <c r="K334" s="200"/>
    </row>
    <row r="335" spans="1:11" customFormat="1">
      <c r="B335" s="192" t="s">
        <v>2963</v>
      </c>
      <c r="C335" t="s">
        <v>3052</v>
      </c>
      <c r="D335" s="1542">
        <f>D334*D330</f>
        <v>1386</v>
      </c>
      <c r="E335" t="s">
        <v>3053</v>
      </c>
      <c r="I335" s="201" t="s">
        <v>3054</v>
      </c>
      <c r="J335" s="203">
        <f>J332/J290/J289*J291</f>
        <v>163.96604938271605</v>
      </c>
      <c r="K335" s="200" t="s">
        <v>3002</v>
      </c>
    </row>
    <row r="336" spans="1:11" customFormat="1">
      <c r="B336" s="192" t="s">
        <v>2973</v>
      </c>
      <c r="C336" t="s">
        <v>2971</v>
      </c>
      <c r="D336" s="203">
        <f>J296</f>
        <v>100</v>
      </c>
      <c r="E336" t="s">
        <v>2998</v>
      </c>
      <c r="I336" s="201" t="s">
        <v>3055</v>
      </c>
      <c r="J336" s="203">
        <v>125</v>
      </c>
      <c r="K336" s="200" t="s">
        <v>2998</v>
      </c>
    </row>
    <row r="337" spans="1:11" customFormat="1">
      <c r="B337" s="192" t="s">
        <v>2977</v>
      </c>
      <c r="C337" t="s">
        <v>2996</v>
      </c>
      <c r="D337">
        <v>1.33</v>
      </c>
      <c r="I337" s="201" t="s">
        <v>2692</v>
      </c>
      <c r="J337" s="1544">
        <f>J329*J288</f>
        <v>12.558000000000002</v>
      </c>
      <c r="K337" s="1541" t="s">
        <v>3007</v>
      </c>
    </row>
    <row r="338" spans="1:11" customFormat="1">
      <c r="B338" s="192" t="s">
        <v>2984</v>
      </c>
      <c r="C338" t="s">
        <v>3056</v>
      </c>
      <c r="D338">
        <v>4</v>
      </c>
      <c r="I338" s="199" t="s">
        <v>3010</v>
      </c>
      <c r="K338" s="200"/>
    </row>
    <row r="339" spans="1:11" customFormat="1">
      <c r="B339" s="192" t="s">
        <v>2987</v>
      </c>
      <c r="C339" t="s">
        <v>3057</v>
      </c>
      <c r="D339">
        <v>1</v>
      </c>
      <c r="I339" s="1545" t="s">
        <v>3058</v>
      </c>
      <c r="J339" s="1546">
        <f>SUM(J335:J337)</f>
        <v>301.52404938271604</v>
      </c>
      <c r="K339" s="1547" t="s">
        <v>2998</v>
      </c>
    </row>
    <row r="340" spans="1:11" customFormat="1">
      <c r="B340" s="192" t="s">
        <v>2991</v>
      </c>
      <c r="C340" t="s">
        <v>3059</v>
      </c>
      <c r="D340" s="203">
        <f>J339</f>
        <v>301.52404938271604</v>
      </c>
      <c r="I340" s="169"/>
    </row>
    <row r="341" spans="1:11" customFormat="1">
      <c r="B341" s="192" t="s">
        <v>2995</v>
      </c>
      <c r="C341" t="s">
        <v>3060</v>
      </c>
      <c r="D341" s="203">
        <f>J353</f>
        <v>81.360223765432096</v>
      </c>
      <c r="I341" s="2487" t="s">
        <v>3061</v>
      </c>
      <c r="J341" s="2488"/>
      <c r="K341" s="2489"/>
    </row>
    <row r="342" spans="1:11" customFormat="1">
      <c r="A342" s="191" t="s">
        <v>3062</v>
      </c>
      <c r="B342" s="192"/>
      <c r="D342" s="1542"/>
      <c r="I342" s="199" t="s">
        <v>2980</v>
      </c>
      <c r="K342" s="200"/>
    </row>
    <row r="343" spans="1:11" customFormat="1">
      <c r="B343" s="192"/>
      <c r="C343" t="s">
        <v>3063</v>
      </c>
      <c r="D343" s="194">
        <f>(D336*D338*D337)/D334</f>
        <v>4.6060606060606064</v>
      </c>
      <c r="E343" s="195" t="s">
        <v>3064</v>
      </c>
      <c r="I343" s="201" t="s">
        <v>2982</v>
      </c>
      <c r="J343">
        <v>35</v>
      </c>
      <c r="K343" s="200" t="s">
        <v>2983</v>
      </c>
    </row>
    <row r="344" spans="1:11" customFormat="1">
      <c r="B344" s="192" t="s">
        <v>3065</v>
      </c>
      <c r="C344" t="s">
        <v>3063</v>
      </c>
      <c r="D344" s="194">
        <f>(D336*D339*D337)/D334</f>
        <v>1.1515151515151516</v>
      </c>
      <c r="E344" s="195" t="s">
        <v>3066</v>
      </c>
      <c r="I344" s="202"/>
      <c r="K344" s="200"/>
    </row>
    <row r="345" spans="1:11" customFormat="1">
      <c r="B345" s="192" t="s">
        <v>3067</v>
      </c>
      <c r="C345" t="s">
        <v>3058</v>
      </c>
      <c r="D345" s="194">
        <f>J339*2/D334</f>
        <v>5.2211956603067717</v>
      </c>
      <c r="E345" s="195" t="s">
        <v>3068</v>
      </c>
      <c r="I345" s="199" t="s">
        <v>2990</v>
      </c>
      <c r="K345" s="200"/>
    </row>
    <row r="346" spans="1:11" customFormat="1">
      <c r="B346" s="196" t="s">
        <v>3069</v>
      </c>
      <c r="C346" t="s">
        <v>3070</v>
      </c>
      <c r="D346" s="203">
        <f>J353/D334</f>
        <v>0.70441752177863282</v>
      </c>
      <c r="E346" s="195" t="s">
        <v>3071</v>
      </c>
      <c r="I346" s="201" t="s">
        <v>3072</v>
      </c>
      <c r="J346" s="1543">
        <f>486388*0.5</f>
        <v>243194</v>
      </c>
      <c r="K346" s="904" t="s">
        <v>2994</v>
      </c>
    </row>
    <row r="347" spans="1:11" customFormat="1">
      <c r="A347" s="197" t="s">
        <v>3029</v>
      </c>
      <c r="B347" s="192"/>
      <c r="C347" s="211" t="s">
        <v>3030</v>
      </c>
      <c r="D347" s="208">
        <f>SUM(D343:D346)</f>
        <v>11.683188939661163</v>
      </c>
      <c r="I347" s="202"/>
      <c r="K347" s="200"/>
    </row>
    <row r="348" spans="1:11" customFormat="1">
      <c r="A348" s="191"/>
      <c r="C348" s="209" t="s">
        <v>3032</v>
      </c>
      <c r="D348" s="213">
        <f>SUM(D343:D344)</f>
        <v>5.7575757575757578</v>
      </c>
      <c r="I348" s="199" t="s">
        <v>2999</v>
      </c>
      <c r="K348" s="200"/>
    </row>
    <row r="349" spans="1:11" customFormat="1">
      <c r="A349" s="191"/>
      <c r="C349" s="209" t="s">
        <v>3034</v>
      </c>
      <c r="D349" s="213">
        <f>SUM(D345:D346)</f>
        <v>5.9256131820854048</v>
      </c>
      <c r="I349" s="201" t="s">
        <v>3073</v>
      </c>
      <c r="J349" s="203">
        <f>J346/J290/J289*J291</f>
        <v>15.950223765432099</v>
      </c>
      <c r="K349" s="200" t="s">
        <v>3002</v>
      </c>
    </row>
    <row r="350" spans="1:11" customFormat="1">
      <c r="A350" s="191"/>
      <c r="C350" t="s">
        <v>3035</v>
      </c>
      <c r="D350" s="210">
        <f>(J329+J343)/D334</f>
        <v>0.41558441558441561</v>
      </c>
      <c r="E350" s="195" t="s">
        <v>3036</v>
      </c>
      <c r="I350" s="201" t="s">
        <v>3074</v>
      </c>
      <c r="J350" s="203">
        <v>31.6</v>
      </c>
      <c r="K350" s="200" t="s">
        <v>2998</v>
      </c>
    </row>
    <row r="351" spans="1:11" customFormat="1">
      <c r="A351" s="191"/>
      <c r="C351" t="s">
        <v>3038</v>
      </c>
      <c r="D351" s="210">
        <f>(D348/D336)+(((J336+J350)*0.5)/D336/D334)</f>
        <v>6.4354978354978359E-2</v>
      </c>
      <c r="I351" s="201" t="s">
        <v>2692</v>
      </c>
      <c r="J351" s="1544">
        <f>J343*J288</f>
        <v>33.81</v>
      </c>
      <c r="K351" s="1541" t="s">
        <v>3007</v>
      </c>
    </row>
    <row r="352" spans="1:11" customFormat="1">
      <c r="I352" s="199" t="s">
        <v>3010</v>
      </c>
      <c r="K352" s="200"/>
    </row>
    <row r="353" spans="1:15" customFormat="1">
      <c r="A353" s="186"/>
      <c r="B353" s="186"/>
      <c r="C353" s="186"/>
      <c r="D353" s="186"/>
      <c r="E353" s="186"/>
      <c r="F353" s="186"/>
      <c r="I353" s="1545" t="s">
        <v>3070</v>
      </c>
      <c r="J353" s="1546">
        <f>SUM(J349:J351)</f>
        <v>81.360223765432096</v>
      </c>
      <c r="K353" s="1547" t="s">
        <v>2998</v>
      </c>
      <c r="L353" s="158"/>
      <c r="M353" s="158"/>
      <c r="N353" s="158"/>
      <c r="O353" s="158"/>
    </row>
    <row r="354" spans="1:15" customFormat="1">
      <c r="A354" s="1548" t="s">
        <v>3075</v>
      </c>
      <c r="B354" s="1548"/>
      <c r="C354" s="1548"/>
      <c r="L354" s="375"/>
      <c r="M354" s="374"/>
      <c r="N354" s="374"/>
      <c r="O354" s="203"/>
    </row>
    <row r="355" spans="1:15" customFormat="1">
      <c r="A355" t="s">
        <v>3076</v>
      </c>
    </row>
    <row r="356" spans="1:15" customFormat="1">
      <c r="A356" t="s">
        <v>3077</v>
      </c>
    </row>
    <row r="357" spans="1:15" customFormat="1">
      <c r="A357" t="s">
        <v>3078</v>
      </c>
      <c r="I357" s="169"/>
    </row>
    <row r="358" spans="1:15" customFormat="1">
      <c r="I358" s="169"/>
    </row>
    <row r="359" spans="1:15" customFormat="1">
      <c r="B359" s="190" t="s">
        <v>2783</v>
      </c>
      <c r="C359" s="190" t="s">
        <v>21</v>
      </c>
      <c r="D359" s="190" t="s">
        <v>2944</v>
      </c>
      <c r="E359" s="190" t="s">
        <v>24</v>
      </c>
      <c r="I359" s="1988" t="s">
        <v>3079</v>
      </c>
      <c r="J359" s="1989"/>
      <c r="K359" s="1990"/>
    </row>
    <row r="360" spans="1:15" customFormat="1">
      <c r="A360" s="191" t="s">
        <v>2947</v>
      </c>
      <c r="I360" s="204" t="s">
        <v>2980</v>
      </c>
      <c r="J360" s="169"/>
      <c r="K360" s="206"/>
    </row>
    <row r="361" spans="1:15" customFormat="1">
      <c r="B361" s="192" t="s">
        <v>2950</v>
      </c>
      <c r="C361" t="s">
        <v>3080</v>
      </c>
      <c r="D361">
        <v>2</v>
      </c>
      <c r="E361" t="s">
        <v>3081</v>
      </c>
      <c r="I361" s="205" t="s">
        <v>2982</v>
      </c>
      <c r="J361" s="169">
        <v>30</v>
      </c>
      <c r="K361" s="206" t="s">
        <v>2983</v>
      </c>
    </row>
    <row r="362" spans="1:15" customFormat="1">
      <c r="B362" s="192" t="s">
        <v>2955</v>
      </c>
      <c r="C362" t="s">
        <v>3082</v>
      </c>
      <c r="D362">
        <v>26</v>
      </c>
      <c r="E362" t="s">
        <v>3083</v>
      </c>
      <c r="I362" s="205"/>
      <c r="J362" s="169"/>
      <c r="K362" s="206"/>
    </row>
    <row r="363" spans="1:15" customFormat="1">
      <c r="B363" s="192" t="s">
        <v>2958</v>
      </c>
      <c r="C363" t="s">
        <v>3084</v>
      </c>
      <c r="D363">
        <v>1.1499999999999999</v>
      </c>
      <c r="E363" t="s">
        <v>3085</v>
      </c>
      <c r="I363" s="204" t="s">
        <v>2990</v>
      </c>
      <c r="J363" s="169"/>
      <c r="K363" s="206"/>
    </row>
    <row r="364" spans="1:15" customFormat="1">
      <c r="A364" s="191" t="s">
        <v>2981</v>
      </c>
      <c r="B364" s="192"/>
      <c r="I364" s="205" t="s">
        <v>3086</v>
      </c>
      <c r="J364" s="1549">
        <f>1145000*0.5</f>
        <v>572500</v>
      </c>
      <c r="K364" s="904" t="s">
        <v>2994</v>
      </c>
    </row>
    <row r="365" spans="1:15" customFormat="1">
      <c r="B365" s="192" t="s">
        <v>2953</v>
      </c>
      <c r="C365" t="s">
        <v>3087</v>
      </c>
      <c r="D365">
        <v>12</v>
      </c>
      <c r="E365" t="s">
        <v>2952</v>
      </c>
      <c r="I365" s="205"/>
      <c r="J365" s="169"/>
      <c r="K365" s="206"/>
    </row>
    <row r="366" spans="1:15" customFormat="1">
      <c r="B366" s="192" t="s">
        <v>2963</v>
      </c>
      <c r="C366" t="s">
        <v>3088</v>
      </c>
      <c r="D366">
        <v>43.5</v>
      </c>
      <c r="E366" t="s">
        <v>3089</v>
      </c>
      <c r="I366" s="204" t="s">
        <v>2999</v>
      </c>
      <c r="J366" s="169"/>
      <c r="K366" s="206"/>
    </row>
    <row r="367" spans="1:15" customFormat="1">
      <c r="B367" s="192" t="s">
        <v>2973</v>
      </c>
      <c r="C367" t="s">
        <v>3090</v>
      </c>
      <c r="D367">
        <v>1.8</v>
      </c>
      <c r="E367" t="s">
        <v>3091</v>
      </c>
      <c r="I367" s="205" t="s">
        <v>3073</v>
      </c>
      <c r="J367" s="207">
        <f>J364/J290/J289*J291</f>
        <v>37.548225308641975</v>
      </c>
      <c r="K367" s="206" t="s">
        <v>3002</v>
      </c>
    </row>
    <row r="368" spans="1:15" customFormat="1">
      <c r="B368" s="192" t="s">
        <v>2977</v>
      </c>
      <c r="C368" t="s">
        <v>3092</v>
      </c>
      <c r="D368" s="1044">
        <f>D366/D367/D363</f>
        <v>21.014492753623188</v>
      </c>
      <c r="E368" t="s">
        <v>3093</v>
      </c>
      <c r="I368" s="205" t="s">
        <v>3074</v>
      </c>
      <c r="J368" s="207">
        <v>95</v>
      </c>
      <c r="K368" s="206" t="s">
        <v>2998</v>
      </c>
    </row>
    <row r="369" spans="1:15" customFormat="1">
      <c r="B369" s="192" t="s">
        <v>2984</v>
      </c>
      <c r="C369" t="s">
        <v>3094</v>
      </c>
      <c r="D369">
        <v>8</v>
      </c>
      <c r="E369" t="s">
        <v>3095</v>
      </c>
      <c r="I369" s="205" t="s">
        <v>2692</v>
      </c>
      <c r="J369" s="1550">
        <f>J361*J288</f>
        <v>28.980000000000004</v>
      </c>
      <c r="K369" s="1551" t="s">
        <v>3007</v>
      </c>
    </row>
    <row r="370" spans="1:15" customFormat="1">
      <c r="B370" s="192" t="s">
        <v>2987</v>
      </c>
      <c r="C370" t="s">
        <v>3096</v>
      </c>
      <c r="D370">
        <v>1</v>
      </c>
      <c r="I370" s="204" t="s">
        <v>3010</v>
      </c>
      <c r="J370" s="169"/>
      <c r="K370" s="206"/>
    </row>
    <row r="371" spans="1:15" customFormat="1">
      <c r="B371" s="192" t="s">
        <v>2991</v>
      </c>
      <c r="C371" t="s">
        <v>3097</v>
      </c>
      <c r="D371" s="193">
        <f>((D361/D362*60)*2+D369)*D370</f>
        <v>17.230769230769234</v>
      </c>
      <c r="E371" t="s">
        <v>3098</v>
      </c>
      <c r="I371" s="1552" t="s">
        <v>3099</v>
      </c>
      <c r="J371" s="1553">
        <f>SUM(J367:J369)</f>
        <v>161.52822530864199</v>
      </c>
      <c r="K371" s="1554" t="s">
        <v>2998</v>
      </c>
      <c r="O371" s="158"/>
    </row>
    <row r="372" spans="1:15" customFormat="1">
      <c r="B372" s="192" t="s">
        <v>2995</v>
      </c>
      <c r="C372" t="s">
        <v>3100</v>
      </c>
      <c r="D372" s="193">
        <f>D368*60/D371</f>
        <v>73.175465838509297</v>
      </c>
      <c r="E372" t="s">
        <v>3101</v>
      </c>
      <c r="I372" s="169"/>
      <c r="J372" s="169"/>
      <c r="K372" s="169"/>
      <c r="O372" s="203"/>
    </row>
    <row r="373" spans="1:15" customFormat="1">
      <c r="B373" s="192" t="s">
        <v>2997</v>
      </c>
      <c r="C373" t="s">
        <v>2972</v>
      </c>
      <c r="D373" s="193">
        <v>0.77</v>
      </c>
      <c r="I373" s="169"/>
      <c r="J373" s="169"/>
      <c r="K373" s="169"/>
    </row>
    <row r="374" spans="1:15" customFormat="1">
      <c r="B374" s="192" t="s">
        <v>991</v>
      </c>
      <c r="C374" t="s">
        <v>3102</v>
      </c>
      <c r="D374">
        <f>2*D373</f>
        <v>1.54</v>
      </c>
      <c r="E374" s="195" t="s">
        <v>3103</v>
      </c>
      <c r="I374" s="2490" t="s">
        <v>3104</v>
      </c>
      <c r="J374" s="2491"/>
      <c r="K374" s="2492"/>
    </row>
    <row r="375" spans="1:15" customFormat="1">
      <c r="B375" s="192" t="s">
        <v>3003</v>
      </c>
      <c r="C375" t="s">
        <v>2981</v>
      </c>
      <c r="D375" s="193">
        <f>D372*D374</f>
        <v>112.69021739130432</v>
      </c>
      <c r="E375" t="s">
        <v>3105</v>
      </c>
      <c r="I375" s="204" t="s">
        <v>2980</v>
      </c>
      <c r="J375" s="169"/>
      <c r="K375" s="206"/>
    </row>
    <row r="376" spans="1:15" customFormat="1">
      <c r="B376" s="192" t="s">
        <v>3106</v>
      </c>
      <c r="C376" t="s">
        <v>3107</v>
      </c>
      <c r="D376">
        <v>1.3</v>
      </c>
      <c r="E376" t="s">
        <v>3108</v>
      </c>
      <c r="I376" s="205" t="s">
        <v>2982</v>
      </c>
      <c r="J376" s="169">
        <v>30</v>
      </c>
      <c r="K376" s="206" t="s">
        <v>2983</v>
      </c>
    </row>
    <row r="377" spans="1:15" customFormat="1">
      <c r="B377" s="192" t="s">
        <v>3109</v>
      </c>
      <c r="C377" t="s">
        <v>3063</v>
      </c>
      <c r="D377" s="203">
        <f>J296</f>
        <v>100</v>
      </c>
      <c r="E377" t="s">
        <v>3110</v>
      </c>
      <c r="I377" s="205"/>
      <c r="J377" s="169"/>
      <c r="K377" s="206"/>
    </row>
    <row r="378" spans="1:15" customFormat="1">
      <c r="B378" s="192" t="s">
        <v>3111</v>
      </c>
      <c r="C378" t="s">
        <v>3112</v>
      </c>
      <c r="D378" s="203">
        <f>J371</f>
        <v>161.52822530864199</v>
      </c>
      <c r="I378" s="204" t="s">
        <v>2990</v>
      </c>
      <c r="J378" s="169"/>
      <c r="K378" s="206"/>
    </row>
    <row r="379" spans="1:15" customFormat="1">
      <c r="B379" s="192" t="s">
        <v>3113</v>
      </c>
      <c r="C379" t="s">
        <v>3114</v>
      </c>
      <c r="D379" s="203">
        <f>J387</f>
        <v>135.76422839506171</v>
      </c>
      <c r="I379" s="205" t="s">
        <v>3115</v>
      </c>
      <c r="J379" s="1549">
        <f>850000*0.5</f>
        <v>425000</v>
      </c>
      <c r="K379" s="904" t="s">
        <v>2994</v>
      </c>
    </row>
    <row r="380" spans="1:15" customFormat="1">
      <c r="A380" s="191" t="s">
        <v>3116</v>
      </c>
      <c r="I380" s="205"/>
      <c r="J380" s="169"/>
      <c r="K380" s="206"/>
    </row>
    <row r="381" spans="1:15" customFormat="1">
      <c r="C381" t="s">
        <v>2786</v>
      </c>
      <c r="D381" s="194">
        <f>(D377*D376)/D375</f>
        <v>1.1536050156739814</v>
      </c>
      <c r="E381" s="195" t="s">
        <v>3117</v>
      </c>
      <c r="I381" s="205"/>
      <c r="J381" s="169"/>
      <c r="K381" s="206"/>
    </row>
    <row r="382" spans="1:15" customFormat="1">
      <c r="B382" s="196" t="s">
        <v>3118</v>
      </c>
      <c r="C382" t="s">
        <v>3119</v>
      </c>
      <c r="D382" s="194">
        <f>D378/D375</f>
        <v>1.4333828529920489</v>
      </c>
      <c r="E382" s="195" t="s">
        <v>3120</v>
      </c>
      <c r="I382" s="204" t="s">
        <v>2999</v>
      </c>
      <c r="J382" s="169"/>
      <c r="K382" s="206"/>
    </row>
    <row r="383" spans="1:15" customFormat="1">
      <c r="A383" s="191" t="s">
        <v>3121</v>
      </c>
      <c r="D383" s="194"/>
      <c r="I383" s="205" t="s">
        <v>3073</v>
      </c>
      <c r="J383" s="207">
        <f>J379/J290/J289*J291</f>
        <v>27.874228395061728</v>
      </c>
      <c r="K383" s="206" t="s">
        <v>3002</v>
      </c>
    </row>
    <row r="384" spans="1:15" customFormat="1">
      <c r="C384" t="s">
        <v>2786</v>
      </c>
      <c r="D384" s="194">
        <f>((D377*D376)/D375)*D374</f>
        <v>1.7765517241379314</v>
      </c>
      <c r="E384" s="195" t="s">
        <v>3122</v>
      </c>
      <c r="I384" s="205" t="s">
        <v>3074</v>
      </c>
      <c r="J384" s="207">
        <v>78.91</v>
      </c>
      <c r="K384" s="206" t="s">
        <v>2998</v>
      </c>
    </row>
    <row r="385" spans="1:15" customFormat="1">
      <c r="B385" t="s">
        <v>3123</v>
      </c>
      <c r="C385" t="s">
        <v>3124</v>
      </c>
      <c r="D385" s="194">
        <f>D379/D375*D374</f>
        <v>1.8553244156269448</v>
      </c>
      <c r="E385" s="195" t="s">
        <v>3125</v>
      </c>
      <c r="I385" s="205" t="s">
        <v>2692</v>
      </c>
      <c r="J385" s="1550">
        <f>J376*J288</f>
        <v>28.980000000000004</v>
      </c>
      <c r="K385" s="1551" t="s">
        <v>3007</v>
      </c>
    </row>
    <row r="386" spans="1:15" customFormat="1">
      <c r="A386" s="191" t="s">
        <v>3029</v>
      </c>
      <c r="C386" s="211" t="s">
        <v>3030</v>
      </c>
      <c r="D386" s="212">
        <f>SUM(D381:D385)</f>
        <v>6.2188640084309066</v>
      </c>
      <c r="I386" s="204" t="s">
        <v>3010</v>
      </c>
      <c r="J386" s="169"/>
      <c r="K386" s="206"/>
    </row>
    <row r="387" spans="1:15" customFormat="1">
      <c r="A387" s="191"/>
      <c r="C387" s="209" t="s">
        <v>3032</v>
      </c>
      <c r="D387" s="213">
        <f>D381+D384</f>
        <v>2.9301567398119128</v>
      </c>
      <c r="I387" s="1552" t="s">
        <v>3126</v>
      </c>
      <c r="J387" s="1553">
        <f>SUM(J383:J385)</f>
        <v>135.76422839506171</v>
      </c>
      <c r="K387" s="1554" t="s">
        <v>2998</v>
      </c>
      <c r="L387" s="158"/>
      <c r="M387" s="158"/>
      <c r="N387" s="158"/>
      <c r="O387" s="158"/>
    </row>
    <row r="388" spans="1:15" customFormat="1">
      <c r="A388" s="191"/>
      <c r="C388" s="209" t="s">
        <v>3034</v>
      </c>
      <c r="D388" s="213">
        <f>D382+D385</f>
        <v>3.2887072686189938</v>
      </c>
      <c r="I388" s="169"/>
      <c r="J388" s="169"/>
      <c r="K388" s="169"/>
      <c r="L388" s="374"/>
      <c r="M388" s="374"/>
      <c r="N388" s="374"/>
      <c r="O388" s="203"/>
    </row>
    <row r="389" spans="1:15" customFormat="1">
      <c r="A389" s="191"/>
      <c r="C389" t="s">
        <v>3035</v>
      </c>
      <c r="D389" s="210">
        <f>J361/D372</f>
        <v>0.40997347480106111</v>
      </c>
      <c r="E389" s="195" t="s">
        <v>3036</v>
      </c>
      <c r="I389" s="169"/>
      <c r="J389" s="169"/>
      <c r="K389" s="169"/>
    </row>
    <row r="390" spans="1:15" customFormat="1">
      <c r="A390" s="191"/>
      <c r="C390" t="s">
        <v>3038</v>
      </c>
      <c r="D390" s="210">
        <f>((D384+D381)/D377)+((J384*0.5)/D372/D377)</f>
        <v>3.4693401880877751E-2</v>
      </c>
      <c r="I390" s="2490" t="s">
        <v>3127</v>
      </c>
      <c r="J390" s="2491"/>
      <c r="K390" s="2492"/>
    </row>
    <row r="391" spans="1:15" customFormat="1">
      <c r="I391" s="204" t="s">
        <v>2980</v>
      </c>
      <c r="J391" s="169"/>
      <c r="K391" s="206"/>
    </row>
    <row r="392" spans="1:15" customFormat="1">
      <c r="A392" s="396" t="s">
        <v>150</v>
      </c>
      <c r="B392" s="198"/>
      <c r="C392" s="396" t="s">
        <v>151</v>
      </c>
      <c r="D392" s="198"/>
      <c r="E392" s="198"/>
      <c r="F392" s="198"/>
      <c r="I392" s="205" t="s">
        <v>2982</v>
      </c>
      <c r="J392" s="169">
        <v>30</v>
      </c>
      <c r="K392" s="206" t="s">
        <v>2983</v>
      </c>
    </row>
    <row r="393" spans="1:15" customFormat="1">
      <c r="A393" s="2483" t="s">
        <v>3128</v>
      </c>
      <c r="B393" s="2483"/>
      <c r="C393" s="2483"/>
      <c r="I393" s="205"/>
      <c r="J393" s="169"/>
      <c r="K393" s="206"/>
    </row>
    <row r="394" spans="1:15" customFormat="1">
      <c r="I394" s="204" t="s">
        <v>2990</v>
      </c>
      <c r="J394" s="169"/>
      <c r="K394" s="206"/>
    </row>
    <row r="395" spans="1:15" customFormat="1">
      <c r="I395" s="205" t="s">
        <v>3129</v>
      </c>
      <c r="J395" s="1555">
        <f>649910*0.5</f>
        <v>324955</v>
      </c>
      <c r="K395" s="904" t="s">
        <v>2994</v>
      </c>
    </row>
    <row r="396" spans="1:15" customFormat="1">
      <c r="B396" s="190" t="s">
        <v>2783</v>
      </c>
      <c r="C396" s="190" t="s">
        <v>21</v>
      </c>
      <c r="D396" s="190" t="s">
        <v>2944</v>
      </c>
      <c r="E396" s="190" t="s">
        <v>24</v>
      </c>
      <c r="I396" s="205"/>
      <c r="J396" s="169"/>
      <c r="K396" s="206"/>
    </row>
    <row r="397" spans="1:15" customFormat="1">
      <c r="A397" s="191" t="s">
        <v>2947</v>
      </c>
      <c r="I397" s="204" t="s">
        <v>2999</v>
      </c>
      <c r="J397" s="169"/>
      <c r="K397" s="206"/>
    </row>
    <row r="398" spans="1:15" customFormat="1">
      <c r="B398" s="192" t="s">
        <v>2950</v>
      </c>
      <c r="C398" t="s">
        <v>3047</v>
      </c>
      <c r="D398">
        <v>12</v>
      </c>
      <c r="E398" t="s">
        <v>2952</v>
      </c>
      <c r="I398" s="205" t="s">
        <v>3073</v>
      </c>
      <c r="J398" s="207">
        <f>J395/J290/J289*J291</f>
        <v>21.312635030864197</v>
      </c>
      <c r="K398" s="206" t="s">
        <v>3002</v>
      </c>
    </row>
    <row r="399" spans="1:15" customFormat="1">
      <c r="B399" s="192" t="s">
        <v>2955</v>
      </c>
      <c r="C399" t="s">
        <v>3088</v>
      </c>
      <c r="D399">
        <v>40</v>
      </c>
      <c r="E399" t="s">
        <v>3089</v>
      </c>
      <c r="I399" s="205" t="s">
        <v>3074</v>
      </c>
      <c r="J399" s="207">
        <v>61.05</v>
      </c>
      <c r="K399" s="206" t="s">
        <v>2998</v>
      </c>
    </row>
    <row r="400" spans="1:15" customFormat="1">
      <c r="B400" s="192" t="s">
        <v>2958</v>
      </c>
      <c r="C400" t="s">
        <v>3090</v>
      </c>
      <c r="D400">
        <v>2.1</v>
      </c>
      <c r="E400" t="s">
        <v>3091</v>
      </c>
      <c r="I400" s="205" t="s">
        <v>2692</v>
      </c>
      <c r="J400" s="1550">
        <f>J392*J288</f>
        <v>28.980000000000004</v>
      </c>
      <c r="K400" s="1551" t="s">
        <v>3007</v>
      </c>
    </row>
    <row r="401" spans="1:15" customFormat="1">
      <c r="B401" s="192" t="s">
        <v>2953</v>
      </c>
      <c r="C401" t="s">
        <v>3092</v>
      </c>
      <c r="D401" s="193">
        <f>D399/D400</f>
        <v>19.047619047619047</v>
      </c>
      <c r="E401" t="s">
        <v>3130</v>
      </c>
      <c r="I401" s="204" t="s">
        <v>3010</v>
      </c>
      <c r="J401" s="169"/>
      <c r="K401" s="206"/>
    </row>
    <row r="402" spans="1:15" customFormat="1">
      <c r="B402" s="192" t="s">
        <v>2963</v>
      </c>
      <c r="C402" t="s">
        <v>3131</v>
      </c>
      <c r="D402" s="193">
        <v>7</v>
      </c>
      <c r="I402" s="1552" t="s">
        <v>3132</v>
      </c>
      <c r="J402" s="1553">
        <f>SUM(J398:J400)</f>
        <v>111.3426350308642</v>
      </c>
      <c r="K402" s="1554" t="s">
        <v>2998</v>
      </c>
      <c r="L402" s="158"/>
      <c r="M402" s="158"/>
      <c r="N402" s="158"/>
      <c r="O402" s="158"/>
    </row>
    <row r="403" spans="1:15" customFormat="1">
      <c r="B403" s="192" t="s">
        <v>2973</v>
      </c>
      <c r="C403" t="s">
        <v>2972</v>
      </c>
      <c r="D403" s="193">
        <f>1/1.3</f>
        <v>0.76923076923076916</v>
      </c>
      <c r="I403" s="169"/>
      <c r="L403" s="375"/>
      <c r="M403" s="374"/>
      <c r="N403" s="374"/>
      <c r="O403" s="203"/>
    </row>
    <row r="404" spans="1:15" customFormat="1">
      <c r="A404" s="191" t="s">
        <v>2981</v>
      </c>
      <c r="B404" s="192"/>
      <c r="I404" s="169"/>
    </row>
    <row r="405" spans="1:15" customFormat="1">
      <c r="B405" s="192" t="s">
        <v>2977</v>
      </c>
      <c r="C405" t="s">
        <v>3051</v>
      </c>
      <c r="D405" s="193">
        <f>D402*D401*D403</f>
        <v>102.56410256410257</v>
      </c>
      <c r="E405" t="s">
        <v>2989</v>
      </c>
      <c r="I405" s="169"/>
    </row>
    <row r="406" spans="1:15" customFormat="1">
      <c r="B406" s="192" t="s">
        <v>2984</v>
      </c>
      <c r="C406" t="s">
        <v>3133</v>
      </c>
      <c r="D406" s="1542">
        <f>300*D403</f>
        <v>230.76923076923075</v>
      </c>
      <c r="E406" t="s">
        <v>2989</v>
      </c>
      <c r="I406" s="169"/>
    </row>
    <row r="407" spans="1:15" customFormat="1">
      <c r="B407" s="192" t="s">
        <v>2987</v>
      </c>
      <c r="C407" t="s">
        <v>2996</v>
      </c>
      <c r="D407">
        <v>1.3</v>
      </c>
      <c r="I407" s="169"/>
    </row>
    <row r="408" spans="1:15" customFormat="1">
      <c r="B408" s="192" t="s">
        <v>2991</v>
      </c>
      <c r="C408" t="s">
        <v>3063</v>
      </c>
      <c r="D408" s="203">
        <f>J296</f>
        <v>100</v>
      </c>
      <c r="E408" t="s">
        <v>2998</v>
      </c>
      <c r="I408" s="169"/>
    </row>
    <row r="409" spans="1:15" customFormat="1">
      <c r="B409" s="192" t="s">
        <v>2995</v>
      </c>
      <c r="C409" t="s">
        <v>3134</v>
      </c>
      <c r="D409" s="203">
        <f>J402</f>
        <v>111.3426350308642</v>
      </c>
      <c r="I409" s="169"/>
    </row>
    <row r="410" spans="1:15" customFormat="1">
      <c r="A410" s="191" t="s">
        <v>3062</v>
      </c>
      <c r="B410" s="192"/>
      <c r="D410" s="1542"/>
      <c r="I410" s="169"/>
    </row>
    <row r="411" spans="1:15" customFormat="1">
      <c r="B411" s="192"/>
      <c r="C411" t="s">
        <v>3063</v>
      </c>
      <c r="D411" s="194">
        <f>D408*D407/D405</f>
        <v>1.2674999999999998</v>
      </c>
      <c r="E411" s="195" t="s">
        <v>3135</v>
      </c>
      <c r="I411" s="169"/>
      <c r="J411" s="169"/>
      <c r="K411" s="169"/>
    </row>
    <row r="412" spans="1:15" customFormat="1">
      <c r="B412" s="192"/>
      <c r="C412" t="s">
        <v>3063</v>
      </c>
      <c r="D412" s="194">
        <f>D408*D407/D405</f>
        <v>1.2674999999999998</v>
      </c>
      <c r="E412" s="195" t="s">
        <v>3135</v>
      </c>
      <c r="I412" s="169"/>
      <c r="J412" s="169"/>
      <c r="K412" s="169"/>
    </row>
    <row r="413" spans="1:15" customFormat="1">
      <c r="B413" s="192" t="s">
        <v>3136</v>
      </c>
      <c r="C413" t="s">
        <v>3132</v>
      </c>
      <c r="D413" s="194">
        <f>D409/D405</f>
        <v>1.0855906915509259</v>
      </c>
      <c r="E413" s="195" t="s">
        <v>3137</v>
      </c>
      <c r="I413" s="169"/>
    </row>
    <row r="414" spans="1:15" customFormat="1">
      <c r="A414" s="191" t="s">
        <v>3029</v>
      </c>
      <c r="B414" s="192"/>
      <c r="C414" s="211" t="s">
        <v>29</v>
      </c>
      <c r="D414" s="212">
        <f>SUM(D411:D413)</f>
        <v>3.6205906915509258</v>
      </c>
      <c r="F414" s="203"/>
      <c r="I414" s="169"/>
    </row>
    <row r="415" spans="1:15" customFormat="1">
      <c r="A415" s="191"/>
      <c r="C415" s="209" t="s">
        <v>3032</v>
      </c>
      <c r="D415" s="213">
        <f>D411+D412</f>
        <v>2.5349999999999997</v>
      </c>
      <c r="E415" s="855"/>
      <c r="F415" s="203"/>
      <c r="I415" s="169"/>
    </row>
    <row r="416" spans="1:15" customFormat="1">
      <c r="A416" s="191"/>
      <c r="C416" s="209" t="s">
        <v>3034</v>
      </c>
      <c r="D416" s="213">
        <f>D413</f>
        <v>1.0855906915509259</v>
      </c>
      <c r="E416" s="203">
        <f>D416-D417</f>
        <v>0.79309069155092593</v>
      </c>
      <c r="I416" s="169"/>
    </row>
    <row r="417" spans="1:11" customFormat="1">
      <c r="C417" t="s">
        <v>3138</v>
      </c>
      <c r="D417" s="210">
        <f>J392/D405</f>
        <v>0.29249999999999998</v>
      </c>
      <c r="I417" s="169"/>
      <c r="J417" s="169"/>
      <c r="K417" s="169"/>
    </row>
    <row r="418" spans="1:11" customFormat="1">
      <c r="C418" t="s">
        <v>3139</v>
      </c>
      <c r="D418" s="900">
        <f>((D411+D412)/D408)+(J399*0.5/D405/D408)/100</f>
        <v>2.5379761874999997E-2</v>
      </c>
      <c r="F418" s="166">
        <f>D418*100</f>
        <v>2.5379761874999995</v>
      </c>
      <c r="H418" s="166"/>
      <c r="I418" s="169"/>
    </row>
    <row r="419" spans="1:11" customFormat="1">
      <c r="D419" s="210"/>
      <c r="I419" s="169"/>
    </row>
    <row r="420" spans="1:11" customFormat="1">
      <c r="I420" s="169"/>
    </row>
    <row r="421" spans="1:11" customFormat="1">
      <c r="A421" s="198" t="s">
        <v>80</v>
      </c>
      <c r="B421" s="198"/>
      <c r="C421" s="198" t="s">
        <v>3140</v>
      </c>
      <c r="D421" s="158" t="s">
        <v>3013</v>
      </c>
      <c r="E421" s="158"/>
      <c r="F421" s="397"/>
      <c r="G421" s="158">
        <v>29.586085892094673</v>
      </c>
      <c r="I421" s="169"/>
    </row>
    <row r="422" spans="1:11" customFormat="1">
      <c r="A422" s="191" t="s">
        <v>3141</v>
      </c>
      <c r="B422" s="192"/>
      <c r="C422" s="211" t="s">
        <v>29</v>
      </c>
      <c r="D422" s="212">
        <f>SUM(D386,D414,D347,D316)</f>
        <v>29.579165244581262</v>
      </c>
      <c r="E422" s="165"/>
      <c r="F422" s="165"/>
      <c r="G422" s="165">
        <v>14.769399164054338</v>
      </c>
      <c r="I422" s="169"/>
    </row>
    <row r="423" spans="1:11" customFormat="1">
      <c r="A423" s="191"/>
      <c r="C423" s="209" t="s">
        <v>3032</v>
      </c>
      <c r="D423" s="213">
        <f>SUM(D387,D415,D348,D317)</f>
        <v>14.769399164054338</v>
      </c>
      <c r="G423">
        <v>14.816686728040334</v>
      </c>
      <c r="I423" s="169"/>
    </row>
    <row r="424" spans="1:11" customFormat="1">
      <c r="A424" s="191"/>
      <c r="C424" s="209" t="s">
        <v>3034</v>
      </c>
      <c r="D424" s="213">
        <f>SUM(D388,D416,D349,D318)</f>
        <v>14.809766080526931</v>
      </c>
      <c r="G424">
        <v>1.3513912237188102</v>
      </c>
      <c r="I424" s="169"/>
    </row>
    <row r="425" spans="1:11" customFormat="1">
      <c r="C425" t="s">
        <v>3138</v>
      </c>
      <c r="D425" s="210">
        <f>SUM(D389,D417,D350,D319)</f>
        <v>1.3513912237188102</v>
      </c>
      <c r="G425">
        <v>0.16304280877752278</v>
      </c>
    </row>
    <row r="426" spans="1:11" customFormat="1">
      <c r="C426" t="s">
        <v>3139</v>
      </c>
      <c r="D426" s="210">
        <f>SUM(D390,D418,D351,D320)</f>
        <v>0.16304280877752278</v>
      </c>
      <c r="I426" s="169"/>
    </row>
    <row r="427" spans="1:11" customFormat="1">
      <c r="I427" s="169"/>
    </row>
    <row r="428" spans="1:11" customFormat="1">
      <c r="I428" s="169"/>
    </row>
  </sheetData>
  <autoFilter ref="A19:AB266" xr:uid="{00000000-0009-0000-0000-000030000000}">
    <filterColumn colId="0">
      <filters>
        <filter val="25ka"/>
        <filter val="A1"/>
        <filter val="A10"/>
        <filter val="A12"/>
        <filter val="A2"/>
        <filter val="A3"/>
        <filter val="A3l"/>
        <filter val="A4"/>
        <filter val="A5"/>
        <filter val="ARS"/>
        <filter val="BR"/>
        <filter val="cable"/>
        <filter val="CON"/>
        <filter val="CP"/>
        <filter val="CS"/>
        <filter val="cu"/>
        <filter val="CV"/>
        <filter val="EG"/>
        <filter val="EM"/>
        <filter val="FF1"/>
        <filter val="FF1-c"/>
        <filter val="FF2"/>
        <filter val="FF2-c"/>
        <filter val="FF3"/>
        <filter val="FF3-c"/>
        <filter val="FF4"/>
        <filter val="FW"/>
        <filter val="Misc"/>
        <filter val="MM1"/>
        <filter val="MM2"/>
        <filter val="MM3"/>
        <filter val="MT1"/>
        <filter val="MT1-d"/>
        <filter val="MT2"/>
        <filter val="MT2-d"/>
        <filter val="MT3"/>
        <filter val="MT3-d"/>
        <filter val="MT4-d"/>
        <filter val="MT5-d"/>
        <filter val="O1"/>
        <filter val="O2"/>
        <filter val="O3"/>
        <filter val="Piping"/>
        <filter val="STK"/>
        <filter val="TOTAL DIRECT COST"/>
        <filter val="VP1"/>
        <filter val="VP2"/>
        <filter val="VP3"/>
        <filter val="VP5"/>
        <filter val="VP6"/>
      </filters>
    </filterColumn>
  </autoFilter>
  <dataConsolidate/>
  <mergeCells count="22">
    <mergeCell ref="M18:R18"/>
    <mergeCell ref="T18:U18"/>
    <mergeCell ref="I341:K341"/>
    <mergeCell ref="I374:K374"/>
    <mergeCell ref="I390:K390"/>
    <mergeCell ref="A393:C393"/>
    <mergeCell ref="A18:A19"/>
    <mergeCell ref="B18:B19"/>
    <mergeCell ref="C18:D18"/>
    <mergeCell ref="E18:K18"/>
    <mergeCell ref="A266:D266"/>
    <mergeCell ref="A288:C288"/>
    <mergeCell ref="I298:K298"/>
    <mergeCell ref="I312:K312"/>
    <mergeCell ref="A323:C323"/>
    <mergeCell ref="I327:K327"/>
    <mergeCell ref="T1:U1"/>
    <mergeCell ref="A1:A2"/>
    <mergeCell ref="B1:B2"/>
    <mergeCell ref="C1:D1"/>
    <mergeCell ref="E1:K1"/>
    <mergeCell ref="M1:R1"/>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159"/>
  <sheetViews>
    <sheetView zoomScale="80" zoomScaleNormal="80" workbookViewId="0">
      <selection activeCell="G3" sqref="G3"/>
    </sheetView>
  </sheetViews>
  <sheetFormatPr defaultColWidth="9.1796875" defaultRowHeight="14.5" outlineLevelRow="1"/>
  <cols>
    <col min="1" max="1" width="46.1796875" style="7" customWidth="1"/>
    <col min="2" max="2" width="14.26953125" style="819" bestFit="1" customWidth="1"/>
    <col min="3" max="4" width="13.54296875" style="819" customWidth="1"/>
    <col min="5" max="5" width="17.7265625" style="819" customWidth="1"/>
    <col min="6" max="6" width="13.26953125" style="819" customWidth="1"/>
    <col min="7" max="7" width="12.7265625" style="819" customWidth="1"/>
    <col min="8" max="8" width="17.7265625" bestFit="1" customWidth="1"/>
    <col min="9" max="9" width="19.81640625" bestFit="1" customWidth="1"/>
    <col min="10" max="10" width="4.7265625" bestFit="1" customWidth="1"/>
    <col min="11" max="11" width="12.7265625" customWidth="1"/>
    <col min="12" max="14" width="4.7265625" bestFit="1" customWidth="1"/>
    <col min="15" max="18" width="8" customWidth="1"/>
  </cols>
  <sheetData>
    <row r="1" spans="1:9" s="158" customFormat="1">
      <c r="A1" s="159" t="s">
        <v>7789</v>
      </c>
      <c r="B1" s="1060">
        <v>2014</v>
      </c>
      <c r="C1" s="1060">
        <v>2015</v>
      </c>
      <c r="D1" s="1060" t="s">
        <v>107</v>
      </c>
      <c r="E1" s="1060" t="s">
        <v>108</v>
      </c>
      <c r="F1" s="1060">
        <v>2016</v>
      </c>
      <c r="G1" s="1060">
        <v>2017</v>
      </c>
      <c r="H1" s="158" t="s">
        <v>7790</v>
      </c>
      <c r="I1" s="158" t="s">
        <v>7791</v>
      </c>
    </row>
    <row r="3" spans="1:9">
      <c r="A3" s="7" t="s">
        <v>3444</v>
      </c>
      <c r="B3" s="1556">
        <v>15248190.347782753</v>
      </c>
      <c r="C3" s="1556">
        <v>758350.49417072767</v>
      </c>
      <c r="D3" s="1556">
        <v>354255.99949442875</v>
      </c>
      <c r="E3" s="1556">
        <v>5130684.0484946398</v>
      </c>
      <c r="F3" s="1556">
        <v>584402.89197140897</v>
      </c>
      <c r="G3" s="1556">
        <v>1174709.1043234004</v>
      </c>
      <c r="H3" s="1101">
        <f>SUM(B3:G3)</f>
        <v>23250592.886237361</v>
      </c>
      <c r="I3" s="1101">
        <f>'Unit Rate Analysis'!R266</f>
        <v>23386167.273413528</v>
      </c>
    </row>
    <row r="4" spans="1:9">
      <c r="A4" s="7" t="s">
        <v>3223</v>
      </c>
      <c r="B4" s="1557">
        <v>72848.788329224146</v>
      </c>
      <c r="C4" s="1557">
        <v>5551.8692621125938</v>
      </c>
      <c r="D4" s="1557">
        <v>2080.9650955039947</v>
      </c>
      <c r="E4" s="1557">
        <v>29587.166548728368</v>
      </c>
      <c r="F4" s="1557">
        <v>3463.7662704687355</v>
      </c>
      <c r="G4" s="1557">
        <v>4806.17874697351</v>
      </c>
      <c r="H4" s="1101">
        <f>SUM(B4:G4)</f>
        <v>118338.73425301135</v>
      </c>
      <c r="I4" s="1101">
        <f>SUM(C4:H4)</f>
        <v>163828.68017679855</v>
      </c>
    </row>
    <row r="5" spans="1:9">
      <c r="A5" s="7" t="s">
        <v>7792</v>
      </c>
      <c r="B5" s="1557">
        <v>7284.8788329224144</v>
      </c>
      <c r="C5" s="1557">
        <v>555.18692621125933</v>
      </c>
      <c r="D5" s="1557">
        <v>208.09650955039947</v>
      </c>
      <c r="E5" s="1557">
        <v>2958.7166548728369</v>
      </c>
      <c r="F5" s="1557">
        <v>346.37662704687352</v>
      </c>
      <c r="G5" s="1557">
        <v>480.617874697351</v>
      </c>
      <c r="H5" s="1101">
        <f>SUM(B5:G5)</f>
        <v>11833.873425301135</v>
      </c>
      <c r="I5" s="1101">
        <f>SUM(C5:H5)</f>
        <v>16382.868017679855</v>
      </c>
    </row>
    <row r="6" spans="1:9">
      <c r="A6" s="1121" t="s">
        <v>3196</v>
      </c>
      <c r="B6" s="1558">
        <v>5100</v>
      </c>
      <c r="C6" s="1558">
        <v>389</v>
      </c>
      <c r="D6" s="1558">
        <v>146</v>
      </c>
      <c r="E6" s="1558">
        <v>2072</v>
      </c>
      <c r="F6" s="1558">
        <v>243</v>
      </c>
      <c r="G6" s="1558">
        <v>337</v>
      </c>
      <c r="H6" s="1101">
        <f t="shared" ref="H6:I7" si="0">SUM(B6:G6)</f>
        <v>8287</v>
      </c>
      <c r="I6" s="1101">
        <f t="shared" si="0"/>
        <v>11474</v>
      </c>
    </row>
    <row r="7" spans="1:9">
      <c r="A7" s="1121" t="s">
        <v>3197</v>
      </c>
      <c r="B7" s="1558">
        <v>2186</v>
      </c>
      <c r="C7" s="1558">
        <v>167</v>
      </c>
      <c r="D7" s="1558">
        <v>63</v>
      </c>
      <c r="E7" s="1558">
        <v>888</v>
      </c>
      <c r="F7" s="1558">
        <v>104</v>
      </c>
      <c r="G7" s="1558">
        <v>145</v>
      </c>
      <c r="H7" s="1101">
        <f t="shared" si="0"/>
        <v>3553</v>
      </c>
      <c r="I7" s="1101">
        <f t="shared" si="0"/>
        <v>4920</v>
      </c>
    </row>
    <row r="8" spans="1:9">
      <c r="A8" s="1121" t="s">
        <v>7793</v>
      </c>
      <c r="B8" s="1559">
        <v>0.1</v>
      </c>
      <c r="C8" s="1559">
        <v>0.1</v>
      </c>
      <c r="D8" s="1559">
        <v>0.1</v>
      </c>
      <c r="E8" s="1559">
        <v>0.1</v>
      </c>
      <c r="F8" s="1559">
        <v>0.1</v>
      </c>
      <c r="G8" s="1559">
        <v>0.1</v>
      </c>
      <c r="H8" s="1559">
        <v>0.1</v>
      </c>
      <c r="I8" s="1559">
        <v>0.1</v>
      </c>
    </row>
    <row r="9" spans="1:9">
      <c r="A9" s="1121" t="s">
        <v>7794</v>
      </c>
      <c r="B9" s="1560">
        <v>3.9E-2</v>
      </c>
      <c r="C9" s="1560">
        <v>3.9E-2</v>
      </c>
      <c r="D9" s="1560">
        <v>3.9E-2</v>
      </c>
      <c r="E9" s="1560">
        <v>3.9E-2</v>
      </c>
      <c r="F9" s="1560">
        <v>3.9E-2</v>
      </c>
      <c r="G9" s="1560">
        <v>3.9E-2</v>
      </c>
      <c r="H9" s="1560">
        <v>3.9E-2</v>
      </c>
      <c r="I9" s="1560">
        <v>3.9E-2</v>
      </c>
    </row>
    <row r="10" spans="1:9" ht="43.5">
      <c r="A10" s="1062" t="s">
        <v>7795</v>
      </c>
      <c r="B10" s="1560">
        <v>9.4E-2</v>
      </c>
      <c r="C10" s="1560">
        <v>9.4E-2</v>
      </c>
      <c r="D10" s="1560">
        <v>9.4E-2</v>
      </c>
      <c r="E10" s="1560">
        <v>9.4E-2</v>
      </c>
      <c r="F10" s="1560">
        <v>9.4E-2</v>
      </c>
      <c r="G10" s="1560">
        <v>9.4E-2</v>
      </c>
      <c r="H10" s="1560">
        <v>9.4E-2</v>
      </c>
      <c r="I10" s="1560">
        <v>9.4E-2</v>
      </c>
    </row>
    <row r="11" spans="1:9" ht="58">
      <c r="A11" s="1062" t="s">
        <v>7796</v>
      </c>
      <c r="B11" s="1560">
        <v>0.125</v>
      </c>
      <c r="C11" s="1560">
        <v>0.125</v>
      </c>
      <c r="D11" s="1560">
        <v>0.125</v>
      </c>
      <c r="E11" s="1560">
        <v>0.125</v>
      </c>
      <c r="F11" s="1560">
        <v>0.125</v>
      </c>
      <c r="G11" s="1560">
        <v>0.125</v>
      </c>
      <c r="H11" s="1560">
        <v>0.125</v>
      </c>
      <c r="I11" s="1560">
        <v>0.125</v>
      </c>
    </row>
    <row r="12" spans="1:9">
      <c r="A12" s="1121"/>
      <c r="B12" s="1561"/>
      <c r="C12" s="1560"/>
    </row>
    <row r="13" spans="1:9" s="1565" customFormat="1">
      <c r="A13" s="1562" t="s">
        <v>3161</v>
      </c>
      <c r="B13" s="1563">
        <f t="shared" ref="B13:G13" si="1">B14+B15+B33+B34+B35+B52+B62+B63+B74+B75+B93+B94+B95</f>
        <v>14653200</v>
      </c>
      <c r="C13" s="1563">
        <f t="shared" si="1"/>
        <v>690194.65186063899</v>
      </c>
      <c r="D13" s="1563">
        <f t="shared" si="1"/>
        <v>155000</v>
      </c>
      <c r="E13" s="1563">
        <f t="shared" si="1"/>
        <v>3141000</v>
      </c>
      <c r="F13" s="1563">
        <f t="shared" si="1"/>
        <v>2888000</v>
      </c>
      <c r="G13" s="1563">
        <f t="shared" si="1"/>
        <v>706000</v>
      </c>
      <c r="H13" s="1564">
        <f>SUM(B13:G13)</f>
        <v>22233394.651860639</v>
      </c>
      <c r="I13" s="1564"/>
    </row>
    <row r="14" spans="1:9" s="1570" customFormat="1">
      <c r="A14" s="1566" t="s">
        <v>2742</v>
      </c>
      <c r="B14" s="1567">
        <f>5500*358</f>
        <v>1969000</v>
      </c>
      <c r="C14" s="1568">
        <v>0</v>
      </c>
      <c r="D14" s="1568">
        <v>0</v>
      </c>
      <c r="E14" s="1568">
        <v>0</v>
      </c>
      <c r="F14" s="1568">
        <v>0</v>
      </c>
      <c r="G14" s="1568">
        <v>0</v>
      </c>
      <c r="H14" s="1569">
        <f>SUM(B14:G14)</f>
        <v>1969000</v>
      </c>
      <c r="I14" s="1569"/>
    </row>
    <row r="15" spans="1:9" s="1570" customFormat="1">
      <c r="A15" s="1566" t="s">
        <v>2692</v>
      </c>
      <c r="B15" s="1567">
        <f t="shared" ref="B15:F15" si="2">ROUND(B32,-3)</f>
        <v>2889000</v>
      </c>
      <c r="C15" s="1567">
        <f t="shared" si="2"/>
        <v>30000</v>
      </c>
      <c r="D15" s="1567">
        <f t="shared" si="2"/>
        <v>9000</v>
      </c>
      <c r="E15" s="1567">
        <f t="shared" si="2"/>
        <v>209000</v>
      </c>
      <c r="F15" s="1567">
        <f t="shared" si="2"/>
        <v>14000</v>
      </c>
      <c r="G15" s="1567">
        <f>ROUND(G32,-3)</f>
        <v>28000</v>
      </c>
      <c r="H15" s="1569">
        <f>SUM(B15:G15)</f>
        <v>3179000</v>
      </c>
      <c r="I15" s="1569"/>
    </row>
    <row r="16" spans="1:9" hidden="1" outlineLevel="1">
      <c r="A16" s="1571" t="s">
        <v>3448</v>
      </c>
      <c r="B16" s="1572">
        <v>51000000</v>
      </c>
      <c r="C16" s="819">
        <v>100000</v>
      </c>
      <c r="D16" s="819">
        <v>0</v>
      </c>
      <c r="E16" s="819">
        <v>0</v>
      </c>
      <c r="F16" s="819">
        <v>0</v>
      </c>
      <c r="G16" s="819">
        <v>0</v>
      </c>
      <c r="H16" s="967">
        <f>SUM(B16:G16)</f>
        <v>51100000</v>
      </c>
      <c r="I16" s="812"/>
    </row>
    <row r="17" spans="1:15" hidden="1" outlineLevel="1">
      <c r="A17" s="1573" t="s">
        <v>3176</v>
      </c>
      <c r="B17" s="1574">
        <v>0.1</v>
      </c>
      <c r="C17" s="1574">
        <v>0.1</v>
      </c>
      <c r="D17" s="1574">
        <v>0.1</v>
      </c>
      <c r="E17" s="1574">
        <v>0.1</v>
      </c>
      <c r="F17" s="1574">
        <v>0.1</v>
      </c>
      <c r="G17" s="1574">
        <v>0.1</v>
      </c>
      <c r="H17" s="1574">
        <v>0.1</v>
      </c>
      <c r="I17" s="812"/>
    </row>
    <row r="18" spans="1:15" hidden="1" outlineLevel="1">
      <c r="A18" s="1571"/>
      <c r="B18" s="1575"/>
      <c r="I18" s="812"/>
    </row>
    <row r="19" spans="1:15" hidden="1" outlineLevel="1">
      <c r="A19" s="1571" t="s">
        <v>3456</v>
      </c>
      <c r="B19" s="1572">
        <v>852215.85557275254</v>
      </c>
      <c r="C19" s="1572">
        <v>58906.487977434248</v>
      </c>
      <c r="D19" s="1572">
        <v>20684.956540713923</v>
      </c>
      <c r="E19" s="1572">
        <v>705629.81357543997</v>
      </c>
      <c r="F19" s="1572">
        <v>31233.709537915583</v>
      </c>
      <c r="G19" s="1572">
        <v>86136.33727306778</v>
      </c>
      <c r="H19" s="967">
        <f>SUM(B19:G19)</f>
        <v>1754807.1604773242</v>
      </c>
      <c r="I19" s="812"/>
      <c r="J19" s="1239"/>
      <c r="K19" s="1239"/>
      <c r="L19" s="1239"/>
      <c r="M19" s="1239"/>
      <c r="N19" s="1239"/>
      <c r="O19" s="1576"/>
    </row>
    <row r="20" spans="1:15" hidden="1" outlineLevel="1">
      <c r="A20" s="1571" t="s">
        <v>3457</v>
      </c>
      <c r="B20" s="1572">
        <f>B5*B24</f>
        <v>841403.50520253892</v>
      </c>
      <c r="C20" s="1572">
        <f t="shared" ref="C20:G20" si="3">C5*C24</f>
        <v>64124.08997740045</v>
      </c>
      <c r="D20" s="1572">
        <f t="shared" si="3"/>
        <v>24035.146853071139</v>
      </c>
      <c r="E20" s="1572">
        <f t="shared" si="3"/>
        <v>341731.77363781264</v>
      </c>
      <c r="F20" s="1572">
        <f t="shared" si="3"/>
        <v>40006.500423913894</v>
      </c>
      <c r="G20" s="1572">
        <f t="shared" si="3"/>
        <v>55511.364527544043</v>
      </c>
      <c r="H20" s="967">
        <f>SUM(B20:G20)</f>
        <v>1366812.380622281</v>
      </c>
      <c r="I20" s="812"/>
      <c r="J20" s="1239"/>
      <c r="K20" s="1239"/>
      <c r="L20" s="1239"/>
      <c r="M20" s="1239"/>
      <c r="N20" s="1239"/>
      <c r="O20" s="1576"/>
    </row>
    <row r="21" spans="1:15" hidden="1" outlineLevel="1">
      <c r="A21" s="1577" t="s">
        <v>3185</v>
      </c>
      <c r="B21" s="1424">
        <v>1732500</v>
      </c>
      <c r="C21" s="1424">
        <v>1732500</v>
      </c>
      <c r="D21" s="1424">
        <v>1732500</v>
      </c>
      <c r="E21" s="1424">
        <v>1732500</v>
      </c>
      <c r="F21" s="1424">
        <v>1732500</v>
      </c>
      <c r="G21" s="1424">
        <v>1732500</v>
      </c>
      <c r="H21" s="1424">
        <v>1732500</v>
      </c>
      <c r="I21" s="812"/>
    </row>
    <row r="22" spans="1:15" hidden="1" outlineLevel="1">
      <c r="A22" s="1577" t="s">
        <v>3186</v>
      </c>
      <c r="B22" s="819">
        <v>30</v>
      </c>
      <c r="C22" s="819">
        <v>30</v>
      </c>
      <c r="D22" s="819">
        <v>30</v>
      </c>
      <c r="E22" s="819">
        <v>30</v>
      </c>
      <c r="F22" s="819">
        <v>30</v>
      </c>
      <c r="G22" s="819">
        <v>30</v>
      </c>
      <c r="H22" s="819">
        <v>30</v>
      </c>
      <c r="I22" s="812"/>
    </row>
    <row r="23" spans="1:15" hidden="1" outlineLevel="1">
      <c r="A23" s="1577" t="s">
        <v>3230</v>
      </c>
      <c r="B23" s="819">
        <v>500</v>
      </c>
      <c r="C23" s="819">
        <v>500</v>
      </c>
      <c r="D23" s="819">
        <v>500</v>
      </c>
      <c r="E23" s="819">
        <v>500</v>
      </c>
      <c r="F23" s="819">
        <v>500</v>
      </c>
      <c r="G23" s="819">
        <v>500</v>
      </c>
      <c r="H23" s="819">
        <v>500</v>
      </c>
      <c r="I23" s="812"/>
    </row>
    <row r="24" spans="1:15" hidden="1" outlineLevel="1">
      <c r="A24" s="1577" t="s">
        <v>3188</v>
      </c>
      <c r="B24" s="1578">
        <f t="shared" ref="B24:H24" si="4">B21/(B22*B23)</f>
        <v>115.5</v>
      </c>
      <c r="C24" s="1578">
        <f t="shared" si="4"/>
        <v>115.5</v>
      </c>
      <c r="D24" s="1578">
        <f t="shared" si="4"/>
        <v>115.5</v>
      </c>
      <c r="E24" s="1578">
        <f t="shared" si="4"/>
        <v>115.5</v>
      </c>
      <c r="F24" s="1578">
        <f t="shared" si="4"/>
        <v>115.5</v>
      </c>
      <c r="G24" s="1578">
        <f t="shared" si="4"/>
        <v>115.5</v>
      </c>
      <c r="H24" s="1578">
        <f t="shared" si="4"/>
        <v>115.5</v>
      </c>
      <c r="I24" s="812"/>
    </row>
    <row r="25" spans="1:15" hidden="1" outlineLevel="1">
      <c r="A25" s="1571" t="s">
        <v>3458</v>
      </c>
      <c r="B25" s="1579">
        <f t="shared" ref="B25:F25" si="5">B19+B20</f>
        <v>1693619.3607752915</v>
      </c>
      <c r="C25" s="1579">
        <f t="shared" si="5"/>
        <v>123030.57795483471</v>
      </c>
      <c r="D25" s="1579">
        <f t="shared" si="5"/>
        <v>44720.103393785059</v>
      </c>
      <c r="E25" s="1579">
        <f t="shared" si="5"/>
        <v>1047361.5872132527</v>
      </c>
      <c r="F25" s="1579">
        <f t="shared" si="5"/>
        <v>71240.209961829474</v>
      </c>
      <c r="G25" s="1579">
        <f>G19+G20</f>
        <v>141647.70180061183</v>
      </c>
      <c r="H25" s="967">
        <f>SUM(B25:G25)</f>
        <v>3121619.5410996052</v>
      </c>
      <c r="I25" s="812"/>
    </row>
    <row r="26" spans="1:15" hidden="1" outlineLevel="1">
      <c r="A26"/>
      <c r="I26" s="812"/>
    </row>
    <row r="27" spans="1:15" hidden="1" outlineLevel="1">
      <c r="A27" s="1571" t="s">
        <v>3180</v>
      </c>
      <c r="B27" s="1574">
        <v>0.4</v>
      </c>
      <c r="C27" s="1574">
        <v>0.4</v>
      </c>
      <c r="D27" s="1574">
        <v>0.4</v>
      </c>
      <c r="E27" s="1574">
        <v>0.4</v>
      </c>
      <c r="F27" s="1574">
        <v>0.4</v>
      </c>
      <c r="G27" s="1574">
        <v>0.4</v>
      </c>
      <c r="H27" s="1574">
        <v>0.4</v>
      </c>
      <c r="I27" s="812"/>
    </row>
    <row r="28" spans="1:15" hidden="1" outlineLevel="1">
      <c r="A28" s="1571" t="s">
        <v>3181</v>
      </c>
      <c r="B28" s="1575">
        <f>0.5*B16*B17</f>
        <v>2550000</v>
      </c>
      <c r="C28" s="1575">
        <f t="shared" ref="C28:G28" si="6">0.5*C16*C17</f>
        <v>5000</v>
      </c>
      <c r="D28" s="1575">
        <f>0.5*D16*D17</f>
        <v>0</v>
      </c>
      <c r="E28" s="1575">
        <f t="shared" si="6"/>
        <v>0</v>
      </c>
      <c r="F28" s="1575">
        <f t="shared" si="6"/>
        <v>0</v>
      </c>
      <c r="G28" s="1575">
        <f t="shared" si="6"/>
        <v>0</v>
      </c>
      <c r="H28" s="967">
        <f>SUM(B28:G28)</f>
        <v>2555000</v>
      </c>
      <c r="I28" s="812"/>
    </row>
    <row r="29" spans="1:15" hidden="1" outlineLevel="1">
      <c r="A29" s="1571"/>
      <c r="B29" s="1575"/>
      <c r="I29" s="812"/>
    </row>
    <row r="30" spans="1:15" hidden="1" outlineLevel="1">
      <c r="A30" s="1571" t="s">
        <v>3250</v>
      </c>
      <c r="B30" s="1575">
        <f t="shared" ref="B30:G30" si="7">0.5*B25*B27</f>
        <v>338723.87215505831</v>
      </c>
      <c r="C30" s="1575">
        <f t="shared" si="7"/>
        <v>24606.115590966943</v>
      </c>
      <c r="D30" s="1575">
        <f t="shared" si="7"/>
        <v>8944.0206787570114</v>
      </c>
      <c r="E30" s="1575">
        <f t="shared" si="7"/>
        <v>209472.31744265056</v>
      </c>
      <c r="F30" s="1575">
        <f t="shared" si="7"/>
        <v>14248.041992365896</v>
      </c>
      <c r="G30" s="1575">
        <f t="shared" si="7"/>
        <v>28329.540360122366</v>
      </c>
      <c r="H30" s="967">
        <f>SUM(B30:G30)</f>
        <v>624323.90821992105</v>
      </c>
      <c r="I30" s="812"/>
    </row>
    <row r="31" spans="1:15" hidden="1" outlineLevel="1">
      <c r="A31" s="1571"/>
      <c r="B31" s="1575"/>
      <c r="I31" s="812"/>
    </row>
    <row r="32" spans="1:15" hidden="1" outlineLevel="1">
      <c r="A32" s="1571" t="s">
        <v>3183</v>
      </c>
      <c r="B32" s="1575">
        <f t="shared" ref="B32:G32" si="8">B28+B30</f>
        <v>2888723.8721550582</v>
      </c>
      <c r="C32" s="1575">
        <f t="shared" si="8"/>
        <v>29606.115590966943</v>
      </c>
      <c r="D32" s="1575">
        <f t="shared" si="8"/>
        <v>8944.0206787570114</v>
      </c>
      <c r="E32" s="1575">
        <f t="shared" si="8"/>
        <v>209472.31744265056</v>
      </c>
      <c r="F32" s="1575">
        <f t="shared" si="8"/>
        <v>14248.041992365896</v>
      </c>
      <c r="G32" s="1575">
        <f t="shared" si="8"/>
        <v>28329.540360122366</v>
      </c>
      <c r="H32" s="967">
        <f>SUM(B32:G32)</f>
        <v>3179323.9082199209</v>
      </c>
      <c r="I32" s="812"/>
    </row>
    <row r="33" spans="1:9" s="1570" customFormat="1" collapsed="1">
      <c r="A33" s="1566" t="s">
        <v>3154</v>
      </c>
      <c r="B33" s="1567">
        <v>0</v>
      </c>
      <c r="C33" s="1567">
        <v>0</v>
      </c>
      <c r="D33" s="1567">
        <v>0</v>
      </c>
      <c r="E33" s="1567">
        <v>0</v>
      </c>
      <c r="F33" s="1567">
        <f>2537000</f>
        <v>2537000</v>
      </c>
      <c r="G33" s="1567">
        <v>0</v>
      </c>
      <c r="H33" s="1569">
        <f>SUM(B33:G33)</f>
        <v>2537000</v>
      </c>
    </row>
    <row r="34" spans="1:9" s="1570" customFormat="1">
      <c r="A34" s="1566" t="s">
        <v>2686</v>
      </c>
      <c r="B34" s="1567">
        <v>234000</v>
      </c>
      <c r="C34" s="1568">
        <v>0</v>
      </c>
      <c r="D34" s="1568">
        <v>0</v>
      </c>
      <c r="E34" s="1568">
        <f>ROUND(334*14.78,-3)</f>
        <v>5000</v>
      </c>
      <c r="F34" s="1568">
        <v>0</v>
      </c>
      <c r="G34" s="1568">
        <f>ROUND(((25393/2)/3)*14.78,-3)</f>
        <v>63000</v>
      </c>
      <c r="H34" s="1569">
        <f>SUM(B34:G34)</f>
        <v>302000</v>
      </c>
    </row>
    <row r="35" spans="1:9" s="1570" customFormat="1">
      <c r="A35" s="1566" t="s">
        <v>2696</v>
      </c>
      <c r="B35" s="1567">
        <f>B51</f>
        <v>652000</v>
      </c>
      <c r="C35" s="1567">
        <f>ROUND(C51,-3)</f>
        <v>46000</v>
      </c>
      <c r="D35" s="1567">
        <f>ROUND(D51,-3)</f>
        <v>17000</v>
      </c>
      <c r="E35" s="1567">
        <f>ROUND(E51,-3)</f>
        <v>244000</v>
      </c>
      <c r="F35" s="1567">
        <f>ROUND(F51,-3)</f>
        <v>29000</v>
      </c>
      <c r="G35" s="1567">
        <f>ROUND(G51,-3)</f>
        <v>40000</v>
      </c>
      <c r="H35" s="1569">
        <f>SUM(B35:G35)</f>
        <v>1028000</v>
      </c>
    </row>
    <row r="36" spans="1:9" hidden="1" outlineLevel="1">
      <c r="A36" s="1580" t="s">
        <v>3464</v>
      </c>
      <c r="B36" s="1561">
        <v>77</v>
      </c>
      <c r="C36" s="1561"/>
      <c r="D36" s="1561"/>
      <c r="E36" s="1561"/>
      <c r="F36" s="1561"/>
      <c r="G36" s="1561"/>
      <c r="I36" s="812"/>
    </row>
    <row r="37" spans="1:9" hidden="1" outlineLevel="1">
      <c r="A37" s="1580" t="s">
        <v>3465</v>
      </c>
      <c r="B37" s="1561">
        <v>20</v>
      </c>
      <c r="C37" s="1561"/>
      <c r="D37" s="1561"/>
      <c r="E37" s="1561"/>
      <c r="F37" s="1561"/>
      <c r="G37" s="1561"/>
      <c r="I37" s="812"/>
    </row>
    <row r="38" spans="1:9" hidden="1" outlineLevel="1">
      <c r="A38" s="1580" t="s">
        <v>3466</v>
      </c>
      <c r="B38" s="1575">
        <f t="shared" ref="B38:G38" si="9">B36*B37</f>
        <v>1540</v>
      </c>
      <c r="C38" s="1575">
        <f t="shared" si="9"/>
        <v>0</v>
      </c>
      <c r="D38" s="1575">
        <f t="shared" si="9"/>
        <v>0</v>
      </c>
      <c r="E38" s="1575">
        <f t="shared" si="9"/>
        <v>0</v>
      </c>
      <c r="F38" s="1575">
        <f t="shared" si="9"/>
        <v>0</v>
      </c>
      <c r="G38" s="1575">
        <f t="shared" si="9"/>
        <v>0</v>
      </c>
      <c r="I38" s="812"/>
    </row>
    <row r="39" spans="1:9" hidden="1" outlineLevel="1">
      <c r="A39" s="1580"/>
      <c r="B39" s="1575"/>
      <c r="I39" s="812"/>
    </row>
    <row r="40" spans="1:9" hidden="1" outlineLevel="1">
      <c r="A40" s="1580" t="s">
        <v>3467</v>
      </c>
      <c r="B40" s="1575">
        <f>ROUNDUP(B6/B38,0)</f>
        <v>4</v>
      </c>
      <c r="I40" s="812"/>
    </row>
    <row r="41" spans="1:9" hidden="1" outlineLevel="1">
      <c r="A41" s="1580" t="s">
        <v>3468</v>
      </c>
      <c r="B41" s="1363">
        <v>118000</v>
      </c>
      <c r="I41" s="812"/>
    </row>
    <row r="42" spans="1:9" hidden="1" outlineLevel="1">
      <c r="A42" s="1580" t="s">
        <v>3469</v>
      </c>
      <c r="B42" s="1575">
        <f>B40*B41</f>
        <v>472000</v>
      </c>
      <c r="C42" s="1581">
        <f>C6*85.45</f>
        <v>33240.050000000003</v>
      </c>
      <c r="D42" s="1581">
        <f>D6*85.45</f>
        <v>12475.7</v>
      </c>
      <c r="E42" s="1581">
        <f>E6*85.45</f>
        <v>177052.4</v>
      </c>
      <c r="F42" s="1581">
        <f>F6*85.45</f>
        <v>20764.350000000002</v>
      </c>
      <c r="G42" s="1581">
        <f>G6*85.45</f>
        <v>28796.65</v>
      </c>
      <c r="H42" s="967">
        <f>SUM(B42:G42)</f>
        <v>744329.15</v>
      </c>
      <c r="I42" s="812"/>
    </row>
    <row r="43" spans="1:9" hidden="1" outlineLevel="1">
      <c r="A43" s="1580"/>
      <c r="B43" s="1575"/>
      <c r="C43" s="1581"/>
      <c r="D43" s="1581"/>
      <c r="E43" s="1581"/>
      <c r="F43" s="1581"/>
      <c r="G43" s="1581"/>
      <c r="I43" s="812"/>
    </row>
    <row r="44" spans="1:9" hidden="1" outlineLevel="1">
      <c r="A44" s="1580" t="s">
        <v>3464</v>
      </c>
      <c r="B44" s="1561">
        <v>24</v>
      </c>
      <c r="C44" s="1581"/>
      <c r="D44" s="1581"/>
      <c r="E44" s="1581"/>
      <c r="F44" s="1581"/>
      <c r="G44" s="1581"/>
      <c r="I44" s="812"/>
    </row>
    <row r="45" spans="1:9" hidden="1" outlineLevel="1">
      <c r="A45" s="1580" t="s">
        <v>3465</v>
      </c>
      <c r="B45" s="1561">
        <v>20</v>
      </c>
      <c r="C45" s="1581"/>
      <c r="D45" s="1581"/>
      <c r="E45" s="1581"/>
      <c r="F45" s="1581"/>
      <c r="G45" s="1581"/>
      <c r="I45" s="812"/>
    </row>
    <row r="46" spans="1:9" hidden="1" outlineLevel="1">
      <c r="A46" s="1580" t="s">
        <v>3466</v>
      </c>
      <c r="B46" s="1575">
        <f>B44*B45</f>
        <v>480</v>
      </c>
      <c r="C46" s="1581"/>
      <c r="D46" s="1581"/>
      <c r="E46" s="1581"/>
      <c r="F46" s="1581"/>
      <c r="G46" s="1581"/>
      <c r="I46" s="812"/>
    </row>
    <row r="47" spans="1:9" hidden="1" outlineLevel="1">
      <c r="A47" s="1580" t="s">
        <v>3467</v>
      </c>
      <c r="B47" s="1575">
        <f>ROUNDUP(B7/B46,0)</f>
        <v>5</v>
      </c>
      <c r="C47" s="1581"/>
      <c r="D47" s="1581"/>
      <c r="E47" s="1581"/>
      <c r="F47" s="1581"/>
      <c r="G47" s="1581"/>
      <c r="I47" s="812"/>
    </row>
    <row r="48" spans="1:9" hidden="1" outlineLevel="1">
      <c r="A48" s="1580" t="s">
        <v>3468</v>
      </c>
      <c r="B48" s="1363">
        <v>36000</v>
      </c>
      <c r="C48" s="1581"/>
      <c r="D48" s="1581"/>
      <c r="E48" s="1581"/>
      <c r="F48" s="1581"/>
      <c r="G48" s="1581"/>
      <c r="I48" s="812"/>
    </row>
    <row r="49" spans="1:9" hidden="1" outlineLevel="1">
      <c r="A49" s="1580" t="s">
        <v>3470</v>
      </c>
      <c r="B49" s="1575">
        <f>B47*B48</f>
        <v>180000</v>
      </c>
      <c r="C49" s="1581">
        <f>C7*75</f>
        <v>12525</v>
      </c>
      <c r="D49" s="1581">
        <f>D7*75</f>
        <v>4725</v>
      </c>
      <c r="E49" s="1581">
        <f>E7*75</f>
        <v>66600</v>
      </c>
      <c r="F49" s="1581">
        <f>F7*75</f>
        <v>7800</v>
      </c>
      <c r="G49" s="1581">
        <f>G7*75</f>
        <v>10875</v>
      </c>
      <c r="I49" s="812"/>
    </row>
    <row r="50" spans="1:9" hidden="1" outlineLevel="1">
      <c r="A50" s="1580"/>
      <c r="B50" s="1575"/>
      <c r="I50" s="812"/>
    </row>
    <row r="51" spans="1:9" hidden="1" outlineLevel="1">
      <c r="A51" s="1580" t="s">
        <v>3471</v>
      </c>
      <c r="B51" s="1575">
        <f t="shared" ref="B51:G51" si="10">B42+B49</f>
        <v>652000</v>
      </c>
      <c r="C51" s="1575">
        <f t="shared" si="10"/>
        <v>45765.05</v>
      </c>
      <c r="D51" s="1575">
        <f t="shared" si="10"/>
        <v>17200.7</v>
      </c>
      <c r="E51" s="1575">
        <f t="shared" si="10"/>
        <v>243652.4</v>
      </c>
      <c r="F51" s="1575">
        <f t="shared" si="10"/>
        <v>28564.350000000002</v>
      </c>
      <c r="G51" s="1575">
        <f t="shared" si="10"/>
        <v>39671.65</v>
      </c>
      <c r="I51" s="812"/>
    </row>
    <row r="52" spans="1:9" s="1570" customFormat="1" collapsed="1">
      <c r="A52" s="1566" t="s">
        <v>2743</v>
      </c>
      <c r="B52" s="1567">
        <f>ROUNDUP(B58+B53,-3)</f>
        <v>1643000</v>
      </c>
      <c r="C52" s="1567">
        <f>C61</f>
        <v>125194.65186063899</v>
      </c>
      <c r="D52" s="1567">
        <f>ROUND(D61,-3)</f>
        <v>47000</v>
      </c>
      <c r="E52" s="1567">
        <f>ROUND(E61,-3)</f>
        <v>667000</v>
      </c>
      <c r="F52" s="1567">
        <f>ROUND(F61,-3)</f>
        <v>78000</v>
      </c>
      <c r="G52" s="1567">
        <f>ROUND(G61,-3)</f>
        <v>108000</v>
      </c>
      <c r="I52" s="1569">
        <f>SUM(B52:G52)</f>
        <v>2668194.651860639</v>
      </c>
    </row>
    <row r="53" spans="1:9" hidden="1" outlineLevel="1">
      <c r="A53" s="1580" t="s">
        <v>7797</v>
      </c>
      <c r="B53" s="1575">
        <f t="shared" ref="B53:G53" si="11">B24*B5</f>
        <v>841403.50520253892</v>
      </c>
      <c r="C53" s="1575">
        <f t="shared" si="11"/>
        <v>64124.08997740045</v>
      </c>
      <c r="D53" s="1575">
        <f t="shared" si="11"/>
        <v>24035.146853071139</v>
      </c>
      <c r="E53" s="1575">
        <f t="shared" si="11"/>
        <v>341731.77363781264</v>
      </c>
      <c r="F53" s="1575">
        <f t="shared" si="11"/>
        <v>40006.500423913894</v>
      </c>
      <c r="G53" s="1575">
        <f t="shared" si="11"/>
        <v>55511.364527544043</v>
      </c>
      <c r="I53" s="812"/>
    </row>
    <row r="54" spans="1:9" hidden="1" outlineLevel="1">
      <c r="B54" s="1575"/>
      <c r="I54" s="812"/>
    </row>
    <row r="55" spans="1:9" hidden="1" outlineLevel="1">
      <c r="A55" s="1580" t="s">
        <v>3231</v>
      </c>
      <c r="B55" s="819">
        <v>110</v>
      </c>
      <c r="C55" s="819">
        <v>110</v>
      </c>
      <c r="D55" s="819">
        <v>110</v>
      </c>
      <c r="E55" s="819">
        <v>110</v>
      </c>
      <c r="F55" s="819">
        <v>110</v>
      </c>
      <c r="G55" s="819">
        <v>110</v>
      </c>
      <c r="I55" s="812"/>
    </row>
    <row r="56" spans="1:9" hidden="1" outlineLevel="1">
      <c r="A56" s="1580" t="s">
        <v>3449</v>
      </c>
      <c r="B56" s="1578">
        <f t="shared" ref="B56:G56" si="12">B24</f>
        <v>115.5</v>
      </c>
      <c r="C56" s="1578">
        <f t="shared" si="12"/>
        <v>115.5</v>
      </c>
      <c r="D56" s="1578">
        <f t="shared" si="12"/>
        <v>115.5</v>
      </c>
      <c r="E56" s="1578">
        <f t="shared" si="12"/>
        <v>115.5</v>
      </c>
      <c r="F56" s="1578">
        <f t="shared" si="12"/>
        <v>115.5</v>
      </c>
      <c r="G56" s="1578">
        <f t="shared" si="12"/>
        <v>115.5</v>
      </c>
      <c r="I56" s="812"/>
    </row>
    <row r="57" spans="1:9" hidden="1" outlineLevel="1">
      <c r="A57"/>
      <c r="B57" s="1575"/>
      <c r="I57" s="812"/>
    </row>
    <row r="58" spans="1:9" hidden="1" outlineLevel="1">
      <c r="A58" s="1580" t="s">
        <v>3193</v>
      </c>
      <c r="B58" s="1575">
        <f t="shared" ref="B58:G58" si="13">B55*B5</f>
        <v>801336.67162146559</v>
      </c>
      <c r="C58" s="1575">
        <f t="shared" si="13"/>
        <v>61070.56188323853</v>
      </c>
      <c r="D58" s="1575">
        <f t="shared" si="13"/>
        <v>22890.616050543944</v>
      </c>
      <c r="E58" s="1575">
        <f t="shared" si="13"/>
        <v>325458.83203601209</v>
      </c>
      <c r="F58" s="1575">
        <f t="shared" si="13"/>
        <v>38101.428975156086</v>
      </c>
      <c r="G58" s="1575">
        <f t="shared" si="13"/>
        <v>52867.966216708606</v>
      </c>
      <c r="I58" s="812"/>
    </row>
    <row r="59" spans="1:9" hidden="1" outlineLevel="1">
      <c r="A59" s="1580" t="s">
        <v>3233</v>
      </c>
      <c r="B59" s="1575">
        <f t="shared" ref="B59:G59" si="14">B56*B5</f>
        <v>841403.50520253892</v>
      </c>
      <c r="C59" s="1575">
        <f t="shared" si="14"/>
        <v>64124.08997740045</v>
      </c>
      <c r="D59" s="1575">
        <f t="shared" si="14"/>
        <v>24035.146853071139</v>
      </c>
      <c r="E59" s="1575">
        <f t="shared" si="14"/>
        <v>341731.77363781264</v>
      </c>
      <c r="F59" s="1575">
        <f t="shared" si="14"/>
        <v>40006.500423913894</v>
      </c>
      <c r="G59" s="1575">
        <f t="shared" si="14"/>
        <v>55511.364527544043</v>
      </c>
      <c r="I59" s="812"/>
    </row>
    <row r="60" spans="1:9" hidden="1" outlineLevel="1">
      <c r="A60" s="1580"/>
      <c r="B60" s="1575"/>
      <c r="I60" s="812"/>
    </row>
    <row r="61" spans="1:9" hidden="1" outlineLevel="1">
      <c r="A61" s="1580" t="s">
        <v>3162</v>
      </c>
      <c r="B61" s="1575">
        <f>B58+B59</f>
        <v>1642740.1768240044</v>
      </c>
      <c r="C61" s="1575">
        <f t="shared" ref="C61:G61" si="15">C58+C59</f>
        <v>125194.65186063899</v>
      </c>
      <c r="D61" s="1575">
        <f t="shared" si="15"/>
        <v>46925.762903615083</v>
      </c>
      <c r="E61" s="1575">
        <f t="shared" si="15"/>
        <v>667190.60567382467</v>
      </c>
      <c r="F61" s="1575">
        <f t="shared" si="15"/>
        <v>78107.929399069981</v>
      </c>
      <c r="G61" s="1575">
        <f t="shared" si="15"/>
        <v>108379.33074425266</v>
      </c>
      <c r="I61" s="812"/>
    </row>
    <row r="62" spans="1:9" s="1570" customFormat="1" ht="29" collapsed="1">
      <c r="A62" s="1566" t="s">
        <v>2698</v>
      </c>
      <c r="B62" s="1567">
        <f>ROUND(B3*B8,-3)</f>
        <v>1525000</v>
      </c>
      <c r="C62" s="1567">
        <f t="shared" ref="C62:G62" si="16">ROUND(C3*C8,-3)</f>
        <v>76000</v>
      </c>
      <c r="D62" s="1567">
        <f t="shared" si="16"/>
        <v>35000</v>
      </c>
      <c r="E62" s="1567">
        <f t="shared" si="16"/>
        <v>513000</v>
      </c>
      <c r="F62" s="1567">
        <f t="shared" si="16"/>
        <v>58000</v>
      </c>
      <c r="G62" s="1567">
        <f t="shared" si="16"/>
        <v>117000</v>
      </c>
      <c r="I62" s="1569">
        <f>SUM(B62:G62)</f>
        <v>2324000</v>
      </c>
    </row>
    <row r="63" spans="1:9" s="1570" customFormat="1">
      <c r="A63" s="1566" t="s">
        <v>3225</v>
      </c>
      <c r="B63" s="1567">
        <f>ROUND(B73,-3)</f>
        <v>150000</v>
      </c>
      <c r="C63" s="1568">
        <v>0</v>
      </c>
      <c r="D63" s="1568">
        <v>0</v>
      </c>
      <c r="E63" s="1568">
        <v>0</v>
      </c>
      <c r="F63" s="1568">
        <v>0</v>
      </c>
      <c r="G63" s="1568">
        <v>0</v>
      </c>
      <c r="I63" s="1569">
        <f>SUM(B63:G63)</f>
        <v>150000</v>
      </c>
    </row>
    <row r="64" spans="1:9" hidden="1" outlineLevel="1">
      <c r="A64" s="1580" t="s">
        <v>3235</v>
      </c>
      <c r="B64" s="819">
        <v>200</v>
      </c>
      <c r="C64" s="819">
        <v>200</v>
      </c>
      <c r="D64" s="819">
        <v>200</v>
      </c>
      <c r="E64" s="819">
        <v>200</v>
      </c>
      <c r="I64" s="812"/>
    </row>
    <row r="65" spans="1:9" hidden="1" outlineLevel="1">
      <c r="A65" s="1580" t="s">
        <v>3236</v>
      </c>
      <c r="B65" s="819">
        <v>46</v>
      </c>
      <c r="C65" s="819">
        <v>46</v>
      </c>
      <c r="D65" s="819">
        <v>46</v>
      </c>
      <c r="E65" s="819">
        <v>46</v>
      </c>
      <c r="I65" s="812"/>
    </row>
    <row r="66" spans="1:9" hidden="1" outlineLevel="1">
      <c r="A66" s="1580" t="s">
        <v>3237</v>
      </c>
      <c r="B66" s="819">
        <v>4500</v>
      </c>
      <c r="C66" s="819">
        <v>4500</v>
      </c>
      <c r="D66" s="819">
        <v>4500</v>
      </c>
      <c r="E66" s="819">
        <v>4500</v>
      </c>
      <c r="I66" s="812"/>
    </row>
    <row r="67" spans="1:9" hidden="1" outlineLevel="1">
      <c r="A67" s="1580" t="s">
        <v>3238</v>
      </c>
      <c r="B67" s="819">
        <v>5000</v>
      </c>
      <c r="C67" s="819">
        <v>5000</v>
      </c>
      <c r="D67" s="819">
        <v>5000</v>
      </c>
      <c r="E67" s="819">
        <v>5000</v>
      </c>
      <c r="I67" s="812"/>
    </row>
    <row r="68" spans="1:9" hidden="1" outlineLevel="1">
      <c r="A68" s="1580"/>
      <c r="I68" s="812"/>
    </row>
    <row r="69" spans="1:9" hidden="1" outlineLevel="1">
      <c r="A69" s="1580" t="s">
        <v>3239</v>
      </c>
      <c r="B69" s="1574">
        <f>(B64*B65)+B66+B67</f>
        <v>18700</v>
      </c>
      <c r="C69" s="1574">
        <f>(C64*C65)+C66+C67</f>
        <v>18700</v>
      </c>
      <c r="D69" s="1574">
        <f>(D64*D65)+D66+D67</f>
        <v>18700</v>
      </c>
      <c r="E69" s="1574">
        <f>(E64*E65)+E66+E67</f>
        <v>18700</v>
      </c>
      <c r="I69" s="812"/>
    </row>
    <row r="70" spans="1:9" hidden="1" outlineLevel="1">
      <c r="A70" s="1580"/>
      <c r="I70" s="812"/>
    </row>
    <row r="71" spans="1:9" hidden="1" outlineLevel="1">
      <c r="A71" s="1580" t="s">
        <v>3240</v>
      </c>
      <c r="B71" s="819">
        <v>8</v>
      </c>
      <c r="C71" s="819">
        <v>8</v>
      </c>
      <c r="D71" s="819">
        <v>0</v>
      </c>
      <c r="E71" s="819">
        <v>0</v>
      </c>
      <c r="I71" s="812"/>
    </row>
    <row r="72" spans="1:9" hidden="1" outlineLevel="1">
      <c r="A72" s="1580"/>
      <c r="I72" s="812"/>
    </row>
    <row r="73" spans="1:9" hidden="1" outlineLevel="1">
      <c r="A73" s="1580" t="s">
        <v>3162</v>
      </c>
      <c r="B73" s="1582">
        <f>B69*B71</f>
        <v>149600</v>
      </c>
      <c r="C73" s="1582">
        <f>C69*C71</f>
        <v>149600</v>
      </c>
      <c r="D73" s="1582">
        <f>D69*D71</f>
        <v>0</v>
      </c>
      <c r="E73" s="1582">
        <f>E69*E71</f>
        <v>0</v>
      </c>
      <c r="I73" s="812"/>
    </row>
    <row r="74" spans="1:9" s="1570" customFormat="1" collapsed="1">
      <c r="A74" s="1570" t="s">
        <v>3226</v>
      </c>
      <c r="B74" s="1583">
        <v>90000</v>
      </c>
      <c r="C74" s="1568">
        <v>0</v>
      </c>
      <c r="D74" s="1568">
        <v>0</v>
      </c>
      <c r="E74" s="1568">
        <v>0</v>
      </c>
      <c r="F74" s="1568">
        <v>0</v>
      </c>
      <c r="G74" s="1568">
        <v>0</v>
      </c>
      <c r="I74" s="1569">
        <f>SUM(B74:G74)</f>
        <v>90000</v>
      </c>
    </row>
    <row r="75" spans="1:9" s="1570" customFormat="1">
      <c r="A75" s="1566" t="s">
        <v>3159</v>
      </c>
      <c r="B75" s="1584">
        <f>B84+B91</f>
        <v>851200</v>
      </c>
      <c r="C75" s="1568">
        <v>0</v>
      </c>
      <c r="D75" s="1568">
        <v>0</v>
      </c>
      <c r="E75" s="1568">
        <v>0</v>
      </c>
      <c r="F75" s="1568">
        <v>0</v>
      </c>
      <c r="G75" s="1568">
        <v>0</v>
      </c>
      <c r="I75" s="1569">
        <f>SUM(B75:G75)</f>
        <v>851200</v>
      </c>
    </row>
    <row r="76" spans="1:9" hidden="1" outlineLevel="1">
      <c r="A76" s="1580" t="s">
        <v>3245</v>
      </c>
      <c r="I76" s="812"/>
    </row>
    <row r="77" spans="1:9" hidden="1" outlineLevel="1">
      <c r="A77" s="1577" t="s">
        <v>3235</v>
      </c>
      <c r="B77" s="819">
        <v>200</v>
      </c>
      <c r="C77" s="819">
        <v>200</v>
      </c>
      <c r="D77" s="819">
        <v>200</v>
      </c>
      <c r="E77" s="819">
        <v>200</v>
      </c>
      <c r="F77" s="819">
        <v>200</v>
      </c>
      <c r="G77" s="819">
        <v>200</v>
      </c>
      <c r="I77" s="812"/>
    </row>
    <row r="78" spans="1:9" hidden="1" outlineLevel="1">
      <c r="A78" s="1577" t="s">
        <v>3236</v>
      </c>
      <c r="B78" s="819">
        <v>72</v>
      </c>
      <c r="C78" s="819">
        <v>72</v>
      </c>
      <c r="D78" s="819">
        <v>72</v>
      </c>
      <c r="E78" s="819">
        <v>72</v>
      </c>
      <c r="F78" s="819">
        <v>72</v>
      </c>
      <c r="G78" s="819">
        <v>72</v>
      </c>
      <c r="I78" s="812"/>
    </row>
    <row r="79" spans="1:9" hidden="1" outlineLevel="1">
      <c r="A79" s="1577" t="s">
        <v>3237</v>
      </c>
      <c r="B79" s="819">
        <v>4500</v>
      </c>
      <c r="C79" s="819">
        <v>4500</v>
      </c>
      <c r="D79" s="819">
        <v>4500</v>
      </c>
      <c r="E79" s="819">
        <v>4500</v>
      </c>
      <c r="F79" s="819">
        <v>4500</v>
      </c>
      <c r="G79" s="819">
        <v>4500</v>
      </c>
      <c r="I79" s="812"/>
    </row>
    <row r="80" spans="1:9" hidden="1" outlineLevel="1">
      <c r="A80" s="1577" t="s">
        <v>3246</v>
      </c>
      <c r="B80" s="819">
        <v>43</v>
      </c>
      <c r="C80" s="819">
        <v>43</v>
      </c>
      <c r="D80" s="819">
        <v>43</v>
      </c>
      <c r="E80" s="819">
        <v>43</v>
      </c>
      <c r="F80" s="819">
        <v>43</v>
      </c>
      <c r="G80" s="819">
        <v>43</v>
      </c>
      <c r="I80" s="812"/>
    </row>
    <row r="81" spans="1:9" hidden="1" outlineLevel="1">
      <c r="A81" s="1577" t="s">
        <v>3247</v>
      </c>
      <c r="B81" s="819">
        <v>100</v>
      </c>
      <c r="C81" s="819">
        <v>100</v>
      </c>
      <c r="D81" s="819">
        <v>100</v>
      </c>
      <c r="E81" s="819">
        <v>100</v>
      </c>
      <c r="F81" s="819">
        <v>100</v>
      </c>
      <c r="G81" s="819">
        <v>100</v>
      </c>
      <c r="I81" s="812"/>
    </row>
    <row r="82" spans="1:9" hidden="1" outlineLevel="1">
      <c r="A82" s="1577" t="s">
        <v>3239</v>
      </c>
      <c r="B82" s="1574">
        <f t="shared" ref="B82:G82" si="17">(B77*B78)+4500+(B80*B81)</f>
        <v>23200</v>
      </c>
      <c r="C82" s="1574">
        <f t="shared" si="17"/>
        <v>23200</v>
      </c>
      <c r="D82" s="1574">
        <f t="shared" si="17"/>
        <v>23200</v>
      </c>
      <c r="E82" s="1574">
        <f t="shared" si="17"/>
        <v>23200</v>
      </c>
      <c r="F82" s="1574">
        <f t="shared" si="17"/>
        <v>23200</v>
      </c>
      <c r="G82" s="1574">
        <f t="shared" si="17"/>
        <v>23200</v>
      </c>
      <c r="I82" s="812"/>
    </row>
    <row r="83" spans="1:9" hidden="1" outlineLevel="1">
      <c r="A83" s="1577" t="s">
        <v>3248</v>
      </c>
      <c r="B83" s="819">
        <v>16</v>
      </c>
      <c r="C83" s="819">
        <v>16</v>
      </c>
      <c r="D83" s="819">
        <v>0</v>
      </c>
      <c r="E83" s="819">
        <v>0</v>
      </c>
      <c r="F83" s="819">
        <v>0</v>
      </c>
      <c r="G83" s="819">
        <v>0</v>
      </c>
      <c r="I83" s="812"/>
    </row>
    <row r="84" spans="1:9" hidden="1" outlineLevel="1">
      <c r="A84" s="1577" t="s">
        <v>7798</v>
      </c>
      <c r="B84" s="1582">
        <f t="shared" ref="B84:G84" si="18">B82*B83</f>
        <v>371200</v>
      </c>
      <c r="C84" s="1582">
        <f t="shared" si="18"/>
        <v>371200</v>
      </c>
      <c r="D84" s="1582">
        <f t="shared" si="18"/>
        <v>0</v>
      </c>
      <c r="E84" s="1582">
        <f t="shared" si="18"/>
        <v>0</v>
      </c>
      <c r="F84" s="1582">
        <f t="shared" si="18"/>
        <v>0</v>
      </c>
      <c r="G84" s="1582">
        <f t="shared" si="18"/>
        <v>0</v>
      </c>
      <c r="I84" s="812"/>
    </row>
    <row r="85" spans="1:9" hidden="1" outlineLevel="1">
      <c r="B85" s="1575"/>
      <c r="C85" s="1575"/>
      <c r="D85" s="1575"/>
      <c r="E85" s="1575"/>
      <c r="F85" s="1575"/>
      <c r="G85" s="1575"/>
      <c r="I85" s="812"/>
    </row>
    <row r="86" spans="1:9" hidden="1" outlineLevel="1">
      <c r="A86" s="1580" t="s">
        <v>3241</v>
      </c>
      <c r="I86" s="812"/>
    </row>
    <row r="87" spans="1:9" hidden="1" outlineLevel="1">
      <c r="A87" s="1577" t="s">
        <v>3235</v>
      </c>
      <c r="B87" s="819">
        <v>200</v>
      </c>
      <c r="C87" s="819">
        <v>200</v>
      </c>
      <c r="D87" s="819">
        <v>200</v>
      </c>
      <c r="E87" s="819">
        <v>200</v>
      </c>
      <c r="F87" s="819">
        <v>200</v>
      </c>
      <c r="G87" s="819">
        <v>200</v>
      </c>
      <c r="I87" s="812"/>
    </row>
    <row r="88" spans="1:9" hidden="1" outlineLevel="1">
      <c r="A88" s="1577" t="s">
        <v>3242</v>
      </c>
      <c r="B88" s="819">
        <v>300</v>
      </c>
      <c r="C88" s="819">
        <v>300</v>
      </c>
      <c r="D88" s="819">
        <v>300</v>
      </c>
      <c r="E88" s="819">
        <v>300</v>
      </c>
      <c r="F88" s="819">
        <v>300</v>
      </c>
      <c r="G88" s="819">
        <v>300</v>
      </c>
      <c r="I88" s="812"/>
    </row>
    <row r="89" spans="1:9" hidden="1" outlineLevel="1">
      <c r="A89" s="1577" t="s">
        <v>3243</v>
      </c>
      <c r="B89" s="1574">
        <f t="shared" ref="B89:G89" si="19">B87*B88</f>
        <v>60000</v>
      </c>
      <c r="C89" s="1574">
        <f t="shared" si="19"/>
        <v>60000</v>
      </c>
      <c r="D89" s="1574">
        <f t="shared" si="19"/>
        <v>60000</v>
      </c>
      <c r="E89" s="1574">
        <f t="shared" si="19"/>
        <v>60000</v>
      </c>
      <c r="F89" s="1574">
        <f t="shared" si="19"/>
        <v>60000</v>
      </c>
      <c r="G89" s="1574">
        <f t="shared" si="19"/>
        <v>60000</v>
      </c>
      <c r="I89" s="812"/>
    </row>
    <row r="90" spans="1:9" hidden="1" outlineLevel="1">
      <c r="A90" s="1577" t="s">
        <v>3244</v>
      </c>
      <c r="B90" s="819">
        <v>8</v>
      </c>
      <c r="C90" s="819">
        <v>8</v>
      </c>
      <c r="D90" s="819">
        <v>0</v>
      </c>
      <c r="E90" s="819">
        <v>0</v>
      </c>
      <c r="F90" s="819">
        <v>0</v>
      </c>
      <c r="G90" s="819">
        <v>0</v>
      </c>
      <c r="I90" s="812"/>
    </row>
    <row r="91" spans="1:9" hidden="1" outlineLevel="1">
      <c r="A91" s="1577" t="s">
        <v>3162</v>
      </c>
      <c r="B91" s="1582">
        <f t="shared" ref="B91:G91" si="20">B89*B90</f>
        <v>480000</v>
      </c>
      <c r="C91" s="1582">
        <f t="shared" si="20"/>
        <v>480000</v>
      </c>
      <c r="D91" s="1582">
        <f t="shared" si="20"/>
        <v>0</v>
      </c>
      <c r="E91" s="1582">
        <f t="shared" si="20"/>
        <v>0</v>
      </c>
      <c r="F91" s="1582">
        <f t="shared" si="20"/>
        <v>0</v>
      </c>
      <c r="G91" s="1582">
        <f t="shared" si="20"/>
        <v>0</v>
      </c>
      <c r="I91" s="812"/>
    </row>
    <row r="92" spans="1:9" s="1570" customFormat="1" ht="29" collapsed="1">
      <c r="A92" s="1566" t="s">
        <v>2670</v>
      </c>
      <c r="B92" s="1584"/>
      <c r="C92" s="1568"/>
      <c r="D92" s="1568"/>
      <c r="E92" s="1568">
        <v>3766032</v>
      </c>
      <c r="F92" s="1568"/>
      <c r="G92" s="1568"/>
      <c r="I92" s="1569">
        <f>SUM(B92:G92)</f>
        <v>3766032</v>
      </c>
    </row>
    <row r="93" spans="1:9" s="1570" customFormat="1">
      <c r="A93" s="1566" t="s">
        <v>2676</v>
      </c>
      <c r="B93" s="1567">
        <f>ROUNDUP(B3*B9,-3)</f>
        <v>595000</v>
      </c>
      <c r="C93" s="1567">
        <f>ROUNDUP(C3*C9,-3)</f>
        <v>30000</v>
      </c>
      <c r="D93" s="1567">
        <f>ROUNDUP(D3*D9,-3)</f>
        <v>14000</v>
      </c>
      <c r="E93" s="1567">
        <f>ROUND(E3*E9,-3)</f>
        <v>200000</v>
      </c>
      <c r="F93" s="1567">
        <f>ROUNDUP(F3*F9,-3)</f>
        <v>23000</v>
      </c>
      <c r="G93" s="1567">
        <f>ROUNDUP(G3*G9,-3)</f>
        <v>46000</v>
      </c>
      <c r="H93" s="1585"/>
      <c r="I93" s="1569">
        <f>SUM(B93:G93)</f>
        <v>908000</v>
      </c>
    </row>
    <row r="94" spans="1:9" s="1589" customFormat="1" ht="29">
      <c r="A94" s="1586" t="s">
        <v>2680</v>
      </c>
      <c r="B94" s="1567">
        <f t="shared" ref="B94:G94" si="21">ROUND(B10*(B3+B34+B84+B91),-3)</f>
        <v>1535000</v>
      </c>
      <c r="C94" s="1567">
        <f t="shared" si="21"/>
        <v>151000</v>
      </c>
      <c r="D94" s="1567">
        <f t="shared" si="21"/>
        <v>33000</v>
      </c>
      <c r="E94" s="1567">
        <f t="shared" si="21"/>
        <v>483000</v>
      </c>
      <c r="F94" s="1567">
        <f t="shared" si="21"/>
        <v>55000</v>
      </c>
      <c r="G94" s="1567">
        <f t="shared" si="21"/>
        <v>116000</v>
      </c>
      <c r="H94" s="1587"/>
      <c r="I94" s="1588">
        <f>SUM(B94:G94)</f>
        <v>2373000</v>
      </c>
    </row>
    <row r="95" spans="1:9" s="1589" customFormat="1">
      <c r="A95" s="1590" t="s">
        <v>2747</v>
      </c>
      <c r="B95" s="1567">
        <f>ROUNDUP(B11*(B3+B34+B84+B91+B62+B53+B58+B51),-3)</f>
        <v>2520000</v>
      </c>
      <c r="C95" s="1567">
        <f>ROUND(C11*(C3+C34+C84+C91+C62+C53+C51+C58),-3)</f>
        <v>232000</v>
      </c>
      <c r="D95" s="1567"/>
      <c r="E95" s="1567">
        <f>ROUNDUP(E11*(E3+E34+E84+E91+E62+E53+E58+E51),-3)</f>
        <v>820000</v>
      </c>
      <c r="F95" s="1567">
        <f>ROUNDUP(F11*(F3+F34+F84+F91+F62+F53+F58+F51),-3)</f>
        <v>94000</v>
      </c>
      <c r="G95" s="1567">
        <f>ROUNDUP(G11*(G3+G34+G84+G91+G62+G53+G58+G51),-3)</f>
        <v>188000</v>
      </c>
      <c r="H95" s="1587"/>
      <c r="I95" s="1588">
        <f>SUM(B95:G95)</f>
        <v>3854000</v>
      </c>
    </row>
    <row r="97" spans="1:16" s="1593" customFormat="1">
      <c r="A97" s="1591" t="s">
        <v>7799</v>
      </c>
      <c r="B97" s="1592">
        <f t="shared" ref="B97:G97" si="22">B13+B3</f>
        <v>29901390.347782753</v>
      </c>
      <c r="C97" s="1592">
        <f t="shared" si="22"/>
        <v>1448545.1460313667</v>
      </c>
      <c r="D97" s="1592">
        <f t="shared" si="22"/>
        <v>509255.99949442875</v>
      </c>
      <c r="E97" s="1592">
        <f t="shared" si="22"/>
        <v>8271684.0484946398</v>
      </c>
      <c r="F97" s="1592">
        <f t="shared" si="22"/>
        <v>3472402.8919714089</v>
      </c>
      <c r="G97" s="1592">
        <f t="shared" si="22"/>
        <v>1880709.1043234004</v>
      </c>
    </row>
    <row r="99" spans="1:16">
      <c r="B99" s="1594"/>
      <c r="C99" s="1594"/>
      <c r="D99" s="1594"/>
      <c r="E99" s="1594"/>
      <c r="F99" s="1594"/>
      <c r="G99" s="1594"/>
    </row>
    <row r="101" spans="1:16">
      <c r="B101" s="2494" t="s">
        <v>7800</v>
      </c>
      <c r="C101" s="2494"/>
      <c r="D101" s="2494"/>
      <c r="E101" s="2495" t="s">
        <v>5605</v>
      </c>
      <c r="F101" s="2496"/>
      <c r="G101" s="2496"/>
      <c r="H101" s="2496"/>
      <c r="I101" s="2496"/>
      <c r="J101" s="2496"/>
      <c r="K101" s="2496"/>
      <c r="L101" s="2496"/>
      <c r="M101" s="2496"/>
      <c r="N101" s="2496"/>
      <c r="O101" s="2496"/>
      <c r="P101" s="2497"/>
    </row>
    <row r="102" spans="1:16">
      <c r="A102" s="1991" t="s">
        <v>3161</v>
      </c>
      <c r="B102" s="1595" t="s">
        <v>7801</v>
      </c>
      <c r="C102" s="1595" t="s">
        <v>2788</v>
      </c>
      <c r="D102" s="1595" t="s">
        <v>2786</v>
      </c>
      <c r="E102" s="2498"/>
      <c r="F102" s="2499"/>
      <c r="G102" s="2499"/>
      <c r="H102" s="2499"/>
      <c r="I102" s="2499"/>
      <c r="J102" s="2499"/>
      <c r="K102" s="2499"/>
      <c r="L102" s="2499"/>
      <c r="M102" s="2499"/>
      <c r="N102" s="2499"/>
      <c r="O102" s="2499"/>
      <c r="P102" s="2500"/>
    </row>
    <row r="103" spans="1:16" s="1597" customFormat="1" ht="51" customHeight="1">
      <c r="A103" s="1992" t="s">
        <v>2742</v>
      </c>
      <c r="B103" s="1596">
        <v>0.7</v>
      </c>
      <c r="C103" s="1596">
        <v>0</v>
      </c>
      <c r="D103" s="1596">
        <v>0.3</v>
      </c>
      <c r="E103" s="2501" t="s">
        <v>7802</v>
      </c>
      <c r="F103" s="2501"/>
      <c r="G103" s="2501"/>
      <c r="H103" s="2501"/>
      <c r="I103" s="2501"/>
      <c r="J103" s="2501"/>
      <c r="K103" s="2501"/>
      <c r="L103" s="2501"/>
      <c r="M103" s="2501"/>
      <c r="N103" s="2501"/>
      <c r="O103" s="2501"/>
      <c r="P103" s="2501"/>
    </row>
    <row r="104" spans="1:16" ht="45" customHeight="1">
      <c r="A104" s="1598" t="s">
        <v>2692</v>
      </c>
      <c r="B104" s="1596">
        <v>0.53</v>
      </c>
      <c r="C104" s="1596"/>
      <c r="D104" s="1596">
        <v>0.47</v>
      </c>
      <c r="E104" s="2501" t="s">
        <v>7803</v>
      </c>
      <c r="F104" s="2501"/>
      <c r="G104" s="2501"/>
      <c r="H104" s="2501"/>
      <c r="I104" s="2501"/>
      <c r="J104" s="2501"/>
      <c r="K104" s="2501"/>
      <c r="L104" s="2501"/>
      <c r="M104" s="2501"/>
      <c r="N104" s="2501"/>
      <c r="O104" s="2501"/>
      <c r="P104" s="2501"/>
    </row>
    <row r="105" spans="1:16">
      <c r="A105" s="1598" t="s">
        <v>3154</v>
      </c>
      <c r="B105" s="1599"/>
      <c r="C105" s="1599"/>
      <c r="D105" s="1599"/>
      <c r="E105" s="2493" t="s">
        <v>7804</v>
      </c>
      <c r="F105" s="2493"/>
      <c r="G105" s="2493"/>
      <c r="H105" s="2493"/>
      <c r="I105" s="2493"/>
      <c r="J105" s="2493"/>
      <c r="K105" s="2493"/>
      <c r="L105" s="2493"/>
      <c r="M105" s="2493"/>
      <c r="N105" s="2493"/>
      <c r="O105" s="2493"/>
      <c r="P105" s="2493"/>
    </row>
    <row r="106" spans="1:16">
      <c r="A106" s="1598" t="s">
        <v>2686</v>
      </c>
      <c r="B106" s="1599"/>
      <c r="C106" s="1599"/>
      <c r="D106" s="1599"/>
      <c r="E106" s="2493" t="s">
        <v>7805</v>
      </c>
      <c r="F106" s="2493"/>
      <c r="G106" s="2493"/>
      <c r="H106" s="2493"/>
      <c r="I106" s="2493"/>
      <c r="J106" s="2493"/>
      <c r="K106" s="2493"/>
      <c r="L106" s="2493"/>
      <c r="M106" s="2493"/>
      <c r="N106" s="2493"/>
      <c r="O106" s="2493"/>
      <c r="P106" s="2493"/>
    </row>
    <row r="107" spans="1:16" s="437" customFormat="1" ht="30" customHeight="1">
      <c r="A107" s="1598" t="s">
        <v>2696</v>
      </c>
      <c r="B107" s="1596"/>
      <c r="C107" s="1596"/>
      <c r="D107" s="1596">
        <v>1</v>
      </c>
      <c r="E107" s="2508" t="s">
        <v>7806</v>
      </c>
      <c r="F107" s="2508"/>
      <c r="G107" s="2508"/>
      <c r="H107" s="2508"/>
      <c r="I107" s="2508"/>
      <c r="J107" s="2508"/>
      <c r="K107" s="2508"/>
      <c r="L107" s="2508"/>
      <c r="M107" s="2508"/>
      <c r="N107" s="2508"/>
      <c r="O107" s="2508"/>
      <c r="P107" s="2508"/>
    </row>
    <row r="108" spans="1:16" s="437" customFormat="1">
      <c r="A108" s="1598" t="s">
        <v>2743</v>
      </c>
      <c r="B108" s="1596"/>
      <c r="C108" s="1596"/>
      <c r="D108" s="1596">
        <v>1</v>
      </c>
      <c r="E108" s="2508" t="s">
        <v>7806</v>
      </c>
      <c r="F108" s="2508"/>
      <c r="G108" s="2508"/>
      <c r="H108" s="2508"/>
      <c r="I108" s="2508"/>
      <c r="J108" s="2508"/>
      <c r="K108" s="2508"/>
      <c r="L108" s="2508"/>
      <c r="M108" s="2508"/>
      <c r="N108" s="2508"/>
      <c r="O108" s="2508"/>
      <c r="P108" s="2508"/>
    </row>
    <row r="109" spans="1:16" ht="29">
      <c r="A109" s="1598" t="s">
        <v>2698</v>
      </c>
      <c r="B109" s="1596"/>
      <c r="C109" s="1596">
        <v>1</v>
      </c>
      <c r="D109" s="1596"/>
      <c r="E109" s="2508" t="s">
        <v>7807</v>
      </c>
      <c r="F109" s="2508"/>
      <c r="G109" s="2508"/>
      <c r="H109" s="2508"/>
      <c r="I109" s="2508"/>
      <c r="J109" s="2508"/>
      <c r="K109" s="2508"/>
      <c r="L109" s="2508"/>
      <c r="M109" s="2508"/>
      <c r="N109" s="2508"/>
      <c r="O109" s="2508"/>
      <c r="P109" s="2508"/>
    </row>
    <row r="110" spans="1:16">
      <c r="A110" s="1598" t="s">
        <v>3225</v>
      </c>
      <c r="B110" s="1599"/>
      <c r="C110" s="1599"/>
      <c r="D110" s="1599"/>
      <c r="E110" s="2493" t="s">
        <v>7805</v>
      </c>
      <c r="F110" s="2493"/>
      <c r="G110" s="2493"/>
      <c r="H110" s="2493"/>
      <c r="I110" s="2493"/>
      <c r="J110" s="2493"/>
      <c r="K110" s="2493"/>
      <c r="L110" s="2493"/>
      <c r="M110" s="2493"/>
      <c r="N110" s="2493"/>
      <c r="O110" s="2493"/>
      <c r="P110" s="2493"/>
    </row>
    <row r="111" spans="1:16">
      <c r="A111" s="1598" t="s">
        <v>3226</v>
      </c>
      <c r="B111" s="1599"/>
      <c r="C111" s="1599"/>
      <c r="D111" s="1599"/>
      <c r="E111" s="2493" t="s">
        <v>7805</v>
      </c>
      <c r="F111" s="2493"/>
      <c r="G111" s="2493"/>
      <c r="H111" s="2493"/>
      <c r="I111" s="2493"/>
      <c r="J111" s="2493"/>
      <c r="K111" s="2493"/>
      <c r="L111" s="2493"/>
      <c r="M111" s="2493"/>
      <c r="N111" s="2493"/>
      <c r="O111" s="2493"/>
      <c r="P111" s="2493"/>
    </row>
    <row r="112" spans="1:16">
      <c r="A112" s="1598" t="s">
        <v>3159</v>
      </c>
      <c r="B112" s="1599"/>
      <c r="C112" s="1599"/>
      <c r="D112" s="1599"/>
      <c r="E112" s="2493" t="s">
        <v>7805</v>
      </c>
      <c r="F112" s="2493"/>
      <c r="G112" s="2493"/>
      <c r="H112" s="2493"/>
      <c r="I112" s="2493"/>
      <c r="J112" s="2493"/>
      <c r="K112" s="2493"/>
      <c r="L112" s="2493"/>
      <c r="M112" s="2493"/>
      <c r="N112" s="2493"/>
      <c r="O112" s="2493"/>
      <c r="P112" s="2493"/>
    </row>
    <row r="113" spans="1:16" ht="29">
      <c r="A113" s="1598" t="s">
        <v>2670</v>
      </c>
      <c r="B113" s="1599"/>
      <c r="C113" s="1599"/>
      <c r="D113" s="1599"/>
      <c r="E113" s="2493" t="s">
        <v>7805</v>
      </c>
      <c r="F113" s="2493"/>
      <c r="G113" s="2493"/>
      <c r="H113" s="2493"/>
      <c r="I113" s="2493"/>
      <c r="J113" s="2493"/>
      <c r="K113" s="2493"/>
      <c r="L113" s="2493"/>
      <c r="M113" s="2493"/>
      <c r="N113" s="2493"/>
      <c r="O113" s="2493"/>
      <c r="P113" s="2493"/>
    </row>
    <row r="114" spans="1:16">
      <c r="A114" s="1598" t="s">
        <v>2676</v>
      </c>
      <c r="B114" s="1600"/>
      <c r="C114" s="1600"/>
      <c r="D114" s="1600"/>
      <c r="E114" s="2508" t="s">
        <v>7808</v>
      </c>
      <c r="F114" s="2508"/>
      <c r="G114" s="2508"/>
      <c r="H114" s="2508"/>
      <c r="I114" s="2508"/>
      <c r="J114" s="2508"/>
      <c r="K114" s="2508"/>
      <c r="L114" s="2508"/>
      <c r="M114" s="2508"/>
      <c r="N114" s="2508"/>
      <c r="O114" s="2508"/>
      <c r="P114" s="2508"/>
    </row>
    <row r="115" spans="1:16" ht="29">
      <c r="A115" s="1598" t="s">
        <v>2680</v>
      </c>
      <c r="B115" s="1600"/>
      <c r="C115" s="1600"/>
      <c r="D115" s="1600"/>
      <c r="E115" s="2508" t="s">
        <v>7809</v>
      </c>
      <c r="F115" s="2508"/>
      <c r="G115" s="2508"/>
      <c r="H115" s="2508"/>
      <c r="I115" s="2508"/>
      <c r="J115" s="2508"/>
      <c r="K115" s="2508"/>
      <c r="L115" s="2508"/>
      <c r="M115" s="2508"/>
      <c r="N115" s="2508"/>
      <c r="O115" s="2508"/>
      <c r="P115" s="2508"/>
    </row>
    <row r="116" spans="1:16">
      <c r="A116" s="1601" t="s">
        <v>2747</v>
      </c>
      <c r="B116" s="1600"/>
      <c r="C116" s="1600"/>
      <c r="D116" s="1600"/>
      <c r="E116" s="2501" t="s">
        <v>7810</v>
      </c>
      <c r="F116" s="2501"/>
      <c r="G116" s="2501"/>
      <c r="H116" s="2501"/>
      <c r="I116" s="2501"/>
      <c r="J116" s="2501"/>
      <c r="K116" s="2501"/>
      <c r="L116" s="2501"/>
      <c r="M116" s="2501"/>
      <c r="N116" s="2501"/>
      <c r="O116" s="2501"/>
      <c r="P116" s="2501"/>
    </row>
    <row r="117" spans="1:16">
      <c r="B117" s="1602"/>
      <c r="C117" s="1602"/>
      <c r="D117" s="1602"/>
      <c r="F117"/>
      <c r="G117"/>
    </row>
    <row r="120" spans="1:16" ht="15" customHeight="1">
      <c r="B120" s="2509" t="s">
        <v>7811</v>
      </c>
      <c r="C120" s="2509"/>
      <c r="D120" s="2509"/>
      <c r="E120" s="2510"/>
      <c r="F120"/>
      <c r="G120"/>
    </row>
    <row r="121" spans="1:16" ht="29">
      <c r="A121" s="1603" t="s">
        <v>7812</v>
      </c>
      <c r="B121" s="1603" t="s">
        <v>7813</v>
      </c>
      <c r="C121" s="1603" t="s">
        <v>7801</v>
      </c>
      <c r="D121" s="1603" t="s">
        <v>2788</v>
      </c>
      <c r="E121" s="1603" t="s">
        <v>2786</v>
      </c>
      <c r="F121"/>
      <c r="G121"/>
    </row>
    <row r="122" spans="1:16">
      <c r="A122" s="1601" t="s">
        <v>2742</v>
      </c>
      <c r="B122" s="1604">
        <f>SUM(B14:G14)/SUM($B$3:$G$3)</f>
        <v>8.4686012508760719E-2</v>
      </c>
      <c r="C122" s="1605">
        <f>B122*B103</f>
        <v>5.9280208756132498E-2</v>
      </c>
      <c r="D122" s="1605">
        <f>B122*C103</f>
        <v>0</v>
      </c>
      <c r="E122" s="1605">
        <f>B122*D103</f>
        <v>2.5405803752628214E-2</v>
      </c>
      <c r="F122"/>
      <c r="G122"/>
    </row>
    <row r="123" spans="1:16">
      <c r="A123" s="1606" t="s">
        <v>2692</v>
      </c>
      <c r="B123" s="1604">
        <f>SUM(B15:G15)/SUM($B$3:$G$3)</f>
        <v>0.13672769617336228</v>
      </c>
      <c r="C123" s="1605">
        <f>B123*B104</f>
        <v>7.2465678971882011E-2</v>
      </c>
      <c r="D123" s="1605">
        <f>B123*C104</f>
        <v>0</v>
      </c>
      <c r="E123" s="1605">
        <f>B123*D104</f>
        <v>6.4262017201480268E-2</v>
      </c>
      <c r="F123"/>
      <c r="G123"/>
    </row>
    <row r="124" spans="1:16">
      <c r="A124" s="1607" t="s">
        <v>3154</v>
      </c>
      <c r="B124" s="1600">
        <f>SUM(B33:G33)/SUM($B$3:$G$3)</f>
        <v>0.10911549707197864</v>
      </c>
      <c r="C124" s="1608"/>
      <c r="D124" s="1608"/>
      <c r="E124" s="1608"/>
      <c r="F124"/>
      <c r="G124"/>
    </row>
    <row r="125" spans="1:16">
      <c r="A125" s="1607" t="s">
        <v>2686</v>
      </c>
      <c r="B125" s="1600">
        <f>SUM(B34:G34)/SUM($B$3:$G$3)</f>
        <v>1.2988916088189809E-2</v>
      </c>
      <c r="C125" s="1608"/>
      <c r="D125" s="1608"/>
      <c r="E125" s="1608"/>
      <c r="F125"/>
      <c r="G125"/>
    </row>
    <row r="126" spans="1:16">
      <c r="A126" s="1606" t="s">
        <v>2696</v>
      </c>
      <c r="B126" s="1604">
        <f>SUM(B35:G35)/SUM($B$3:$G$3)</f>
        <v>4.4213926286950742E-2</v>
      </c>
      <c r="C126" s="1605">
        <f>B126*B107</f>
        <v>0</v>
      </c>
      <c r="D126" s="1605">
        <f>B126*C107</f>
        <v>0</v>
      </c>
      <c r="E126" s="1605">
        <f>B126*D107</f>
        <v>4.4213926286950742E-2</v>
      </c>
      <c r="F126"/>
      <c r="G126"/>
    </row>
    <row r="127" spans="1:16">
      <c r="A127" s="1606" t="s">
        <v>2743</v>
      </c>
      <c r="B127" s="1604">
        <f>SUM(B52:G52)/SUM($B$3:$G$3)</f>
        <v>0.11475813390720087</v>
      </c>
      <c r="C127" s="1605">
        <f>B127*B108</f>
        <v>0</v>
      </c>
      <c r="D127" s="1605">
        <f>B127*C108</f>
        <v>0</v>
      </c>
      <c r="E127" s="1605">
        <f>B127*D108</f>
        <v>0.11475813390720087</v>
      </c>
      <c r="F127"/>
      <c r="G127"/>
    </row>
    <row r="128" spans="1:16" ht="29">
      <c r="A128" s="1606" t="s">
        <v>2698</v>
      </c>
      <c r="B128" s="1604">
        <f>SUM(B62:G62)/SUM($B$3:$G$3)</f>
        <v>9.9954440360771918E-2</v>
      </c>
      <c r="C128" s="1605">
        <f>B128*B109</f>
        <v>0</v>
      </c>
      <c r="D128" s="1605">
        <f>B128*C109</f>
        <v>9.9954440360771918E-2</v>
      </c>
      <c r="E128" s="1605">
        <f>B128*D109</f>
        <v>0</v>
      </c>
      <c r="F128"/>
      <c r="G128"/>
    </row>
    <row r="129" spans="1:11">
      <c r="A129" s="1607" t="s">
        <v>3225</v>
      </c>
      <c r="B129" s="1600">
        <f>SUM(B63:G63)/SUM($B$3:$G$3)</f>
        <v>6.4514483881737469E-3</v>
      </c>
      <c r="C129" s="1608"/>
      <c r="D129" s="1608"/>
      <c r="E129" s="1608"/>
      <c r="F129"/>
      <c r="G129"/>
    </row>
    <row r="130" spans="1:11">
      <c r="A130" s="1607" t="s">
        <v>3226</v>
      </c>
      <c r="B130" s="1600">
        <f>SUM(B74:G74)/SUM($B$3:$G$3)</f>
        <v>3.8708690329042482E-3</v>
      </c>
      <c r="C130" s="1608"/>
      <c r="D130" s="1608"/>
      <c r="E130" s="1608"/>
      <c r="F130"/>
      <c r="G130"/>
    </row>
    <row r="131" spans="1:11">
      <c r="A131" s="1607" t="s">
        <v>3159</v>
      </c>
      <c r="B131" s="1600">
        <f>SUM(B75:G75)/SUM($B$3:$G$3)</f>
        <v>3.6609819120089954E-2</v>
      </c>
      <c r="C131" s="1608"/>
      <c r="D131" s="1608"/>
      <c r="E131" s="1608"/>
      <c r="F131"/>
      <c r="G131"/>
    </row>
    <row r="132" spans="1:11" ht="29">
      <c r="A132" s="1607" t="s">
        <v>2670</v>
      </c>
      <c r="B132" s="1600"/>
      <c r="C132" s="1608"/>
      <c r="D132" s="1608"/>
      <c r="E132" s="1608"/>
      <c r="F132"/>
      <c r="G132"/>
    </row>
    <row r="133" spans="1:11">
      <c r="A133" s="1607" t="s">
        <v>2676</v>
      </c>
      <c r="B133" s="1600">
        <v>3.9E-2</v>
      </c>
      <c r="C133" s="1608"/>
      <c r="D133" s="1608"/>
      <c r="E133" s="1608"/>
      <c r="F133"/>
      <c r="G133"/>
    </row>
    <row r="134" spans="1:11" ht="29">
      <c r="A134" s="1609" t="s">
        <v>2680</v>
      </c>
      <c r="B134" s="1600">
        <v>9.4E-2</v>
      </c>
      <c r="C134" s="1608"/>
      <c r="D134" s="1608"/>
      <c r="E134" s="1608"/>
      <c r="F134"/>
      <c r="G134"/>
    </row>
    <row r="135" spans="1:11">
      <c r="A135" s="1610" t="s">
        <v>2747</v>
      </c>
      <c r="B135" s="1600">
        <v>0.125</v>
      </c>
      <c r="C135" s="1608"/>
      <c r="D135" s="1608"/>
      <c r="E135" s="1608"/>
      <c r="F135"/>
      <c r="G135"/>
    </row>
    <row r="139" spans="1:11" ht="15" thickBot="1"/>
    <row r="140" spans="1:11" ht="15" thickBot="1">
      <c r="B140" s="2502" t="s">
        <v>7814</v>
      </c>
      <c r="C140" s="2503"/>
      <c r="D140" s="2503"/>
      <c r="E140" s="2504"/>
      <c r="F140" s="2505" t="s">
        <v>7815</v>
      </c>
      <c r="G140" s="2506"/>
      <c r="H140" s="2506"/>
      <c r="I140" s="2507"/>
      <c r="K140" s="1611" t="s">
        <v>7816</v>
      </c>
    </row>
    <row r="141" spans="1:11" ht="15" thickBot="1">
      <c r="A141" s="1612" t="s">
        <v>7812</v>
      </c>
      <c r="B141" s="1613" t="s">
        <v>7801</v>
      </c>
      <c r="C141" s="1614" t="s">
        <v>2788</v>
      </c>
      <c r="D141" s="1614" t="s">
        <v>2786</v>
      </c>
      <c r="E141" s="1615" t="s">
        <v>3141</v>
      </c>
      <c r="F141" s="1616" t="s">
        <v>7801</v>
      </c>
      <c r="G141" s="1617" t="s">
        <v>2788</v>
      </c>
      <c r="H141" s="1617" t="s">
        <v>2786</v>
      </c>
      <c r="I141" s="1618" t="s">
        <v>3141</v>
      </c>
      <c r="K141" s="1619" t="s">
        <v>3141</v>
      </c>
    </row>
    <row r="142" spans="1:11">
      <c r="A142" s="1620" t="s">
        <v>2742</v>
      </c>
      <c r="B142" s="1621">
        <f t="shared" ref="B142:D155" si="23">C122*SUM($B$3:$G$3)</f>
        <v>1378300</v>
      </c>
      <c r="C142" s="1622">
        <f t="shared" si="23"/>
        <v>0</v>
      </c>
      <c r="D142" s="1622">
        <f t="shared" si="23"/>
        <v>590700</v>
      </c>
      <c r="E142" s="1623">
        <f>SUM(B142:D142)</f>
        <v>1969000</v>
      </c>
      <c r="F142" s="1621">
        <f t="shared" ref="F142:H151" si="24">C122*$I$3</f>
        <v>1386336.877973788</v>
      </c>
      <c r="G142" s="1621">
        <f t="shared" si="24"/>
        <v>0</v>
      </c>
      <c r="H142" s="1621">
        <f t="shared" si="24"/>
        <v>594144.37627448048</v>
      </c>
      <c r="I142" s="1624">
        <f>SUM(F142:H142)</f>
        <v>1980481.2542482684</v>
      </c>
      <c r="J142" s="1625"/>
      <c r="K142" s="1626">
        <f>I142-E142</f>
        <v>11481.254248268437</v>
      </c>
    </row>
    <row r="143" spans="1:11">
      <c r="A143" s="1627" t="s">
        <v>2692</v>
      </c>
      <c r="B143" s="1621">
        <f t="shared" si="23"/>
        <v>1684870.0000000002</v>
      </c>
      <c r="C143" s="1622">
        <f t="shared" si="23"/>
        <v>0</v>
      </c>
      <c r="D143" s="1622">
        <f t="shared" si="23"/>
        <v>1494130</v>
      </c>
      <c r="E143" s="1623">
        <f t="shared" ref="E143:E147" si="25">SUM(B143:D143)</f>
        <v>3179000</v>
      </c>
      <c r="F143" s="1621">
        <f t="shared" si="24"/>
        <v>1694694.4900179179</v>
      </c>
      <c r="G143" s="1621">
        <f t="shared" si="24"/>
        <v>0</v>
      </c>
      <c r="H143" s="1621">
        <f t="shared" si="24"/>
        <v>1502842.2836007951</v>
      </c>
      <c r="I143" s="1624">
        <f t="shared" ref="I143:I147" si="26">SUM(F143:H143)</f>
        <v>3197536.773618713</v>
      </c>
      <c r="J143" s="1625"/>
      <c r="K143" s="1628">
        <f t="shared" ref="K143:K157" si="27">I143-E143</f>
        <v>18536.773618713021</v>
      </c>
    </row>
    <row r="144" spans="1:11">
      <c r="A144" s="1627" t="s">
        <v>3154</v>
      </c>
      <c r="B144" s="1621">
        <f t="shared" si="23"/>
        <v>0</v>
      </c>
      <c r="C144" s="1622">
        <f t="shared" si="23"/>
        <v>0</v>
      </c>
      <c r="D144" s="1622">
        <f t="shared" si="23"/>
        <v>0</v>
      </c>
      <c r="E144" s="1623">
        <f>B124*H3</f>
        <v>2537000</v>
      </c>
      <c r="F144" s="1621">
        <f t="shared" si="24"/>
        <v>0</v>
      </c>
      <c r="G144" s="1621">
        <f t="shared" si="24"/>
        <v>0</v>
      </c>
      <c r="H144" s="1621">
        <f t="shared" si="24"/>
        <v>0</v>
      </c>
      <c r="I144" s="1624">
        <f>B124*I3</f>
        <v>2551793.2666469566</v>
      </c>
      <c r="J144" s="1625"/>
      <c r="K144" s="1628">
        <f t="shared" si="27"/>
        <v>14793.266646956559</v>
      </c>
    </row>
    <row r="145" spans="1:11">
      <c r="A145" s="1627" t="s">
        <v>2686</v>
      </c>
      <c r="B145" s="1621">
        <f t="shared" si="23"/>
        <v>0</v>
      </c>
      <c r="C145" s="1622">
        <f t="shared" si="23"/>
        <v>0</v>
      </c>
      <c r="D145" s="1622">
        <f t="shared" si="23"/>
        <v>0</v>
      </c>
      <c r="E145" s="1623">
        <f>B125*H3</f>
        <v>302000</v>
      </c>
      <c r="F145" s="1621">
        <f t="shared" si="24"/>
        <v>0</v>
      </c>
      <c r="G145" s="1621">
        <f t="shared" si="24"/>
        <v>0</v>
      </c>
      <c r="H145" s="1621">
        <f t="shared" si="24"/>
        <v>0</v>
      </c>
      <c r="I145" s="1624">
        <f>B125*I3</f>
        <v>303760.964338739</v>
      </c>
      <c r="J145" s="1625"/>
      <c r="K145" s="1628">
        <f t="shared" si="27"/>
        <v>1760.9643387389951</v>
      </c>
    </row>
    <row r="146" spans="1:11">
      <c r="A146" s="1627" t="s">
        <v>2696</v>
      </c>
      <c r="B146" s="1621">
        <f t="shared" si="23"/>
        <v>0</v>
      </c>
      <c r="C146" s="1622">
        <f t="shared" si="23"/>
        <v>0</v>
      </c>
      <c r="D146" s="1622">
        <f t="shared" si="23"/>
        <v>1028000</v>
      </c>
      <c r="E146" s="1623">
        <f t="shared" si="25"/>
        <v>1028000</v>
      </c>
      <c r="F146" s="1621">
        <f t="shared" si="24"/>
        <v>0</v>
      </c>
      <c r="G146" s="1621">
        <f t="shared" si="24"/>
        <v>0</v>
      </c>
      <c r="H146" s="1621">
        <f t="shared" si="24"/>
        <v>1033994.2759610055</v>
      </c>
      <c r="I146" s="1624">
        <f t="shared" si="26"/>
        <v>1033994.2759610055</v>
      </c>
      <c r="J146" s="1625"/>
      <c r="K146" s="1628">
        <f t="shared" si="27"/>
        <v>5994.2759610054782</v>
      </c>
    </row>
    <row r="147" spans="1:11">
      <c r="A147" s="1627" t="s">
        <v>2743</v>
      </c>
      <c r="B147" s="1621">
        <f t="shared" si="23"/>
        <v>0</v>
      </c>
      <c r="C147" s="1622">
        <f t="shared" si="23"/>
        <v>0</v>
      </c>
      <c r="D147" s="1622">
        <f t="shared" si="23"/>
        <v>2668194.651860639</v>
      </c>
      <c r="E147" s="1623">
        <f t="shared" si="25"/>
        <v>2668194.651860639</v>
      </c>
      <c r="F147" s="1621">
        <f t="shared" si="24"/>
        <v>0</v>
      </c>
      <c r="G147" s="1621">
        <f t="shared" si="24"/>
        <v>0</v>
      </c>
      <c r="H147" s="1621">
        <f t="shared" si="24"/>
        <v>2683752.9155385881</v>
      </c>
      <c r="I147" s="1624">
        <f t="shared" si="26"/>
        <v>2683752.9155385881</v>
      </c>
      <c r="J147" s="1625"/>
      <c r="K147" s="1628">
        <f t="shared" si="27"/>
        <v>15558.263677949086</v>
      </c>
    </row>
    <row r="148" spans="1:11" ht="29">
      <c r="A148" s="1627" t="s">
        <v>2698</v>
      </c>
      <c r="B148" s="1621">
        <f t="shared" si="23"/>
        <v>0</v>
      </c>
      <c r="C148" s="1622">
        <f t="shared" si="23"/>
        <v>2324000</v>
      </c>
      <c r="D148" s="1622">
        <f t="shared" si="23"/>
        <v>0</v>
      </c>
      <c r="E148" s="1624">
        <f>SUM(B148:D148)</f>
        <v>2324000</v>
      </c>
      <c r="F148" s="1621">
        <f t="shared" si="24"/>
        <v>0</v>
      </c>
      <c r="G148" s="1621">
        <f t="shared" si="24"/>
        <v>2337551.2619974483</v>
      </c>
      <c r="H148" s="1621">
        <f t="shared" si="24"/>
        <v>0</v>
      </c>
      <c r="I148" s="1624">
        <f>SUM(F148:H148)</f>
        <v>2337551.2619974483</v>
      </c>
      <c r="J148" s="1625"/>
      <c r="K148" s="1628">
        <f t="shared" si="27"/>
        <v>13551.26199744828</v>
      </c>
    </row>
    <row r="149" spans="1:11">
      <c r="A149" s="1627" t="s">
        <v>3225</v>
      </c>
      <c r="B149" s="1621">
        <f t="shared" si="23"/>
        <v>0</v>
      </c>
      <c r="C149" s="1622">
        <f t="shared" si="23"/>
        <v>0</v>
      </c>
      <c r="D149" s="1622">
        <f t="shared" si="23"/>
        <v>0</v>
      </c>
      <c r="E149" s="1624">
        <f>$H$3*B129</f>
        <v>150000</v>
      </c>
      <c r="F149" s="1621">
        <f t="shared" si="24"/>
        <v>0</v>
      </c>
      <c r="G149" s="1621">
        <f t="shared" si="24"/>
        <v>0</v>
      </c>
      <c r="H149" s="1621">
        <f t="shared" si="24"/>
        <v>0</v>
      </c>
      <c r="I149" s="1624">
        <f>B129*$I$3</f>
        <v>150874.65116162534</v>
      </c>
      <c r="J149" s="1625"/>
      <c r="K149" s="1628">
        <f t="shared" si="27"/>
        <v>874.65116162534105</v>
      </c>
    </row>
    <row r="150" spans="1:11">
      <c r="A150" s="1627" t="s">
        <v>3226</v>
      </c>
      <c r="B150" s="1621">
        <f t="shared" si="23"/>
        <v>0</v>
      </c>
      <c r="C150" s="1622">
        <f t="shared" si="23"/>
        <v>0</v>
      </c>
      <c r="D150" s="1622">
        <f t="shared" si="23"/>
        <v>0</v>
      </c>
      <c r="E150" s="1624">
        <f>$H$3*B130</f>
        <v>90000</v>
      </c>
      <c r="F150" s="1621">
        <f t="shared" si="24"/>
        <v>0</v>
      </c>
      <c r="G150" s="1621">
        <f t="shared" si="24"/>
        <v>0</v>
      </c>
      <c r="H150" s="1621">
        <f t="shared" si="24"/>
        <v>0</v>
      </c>
      <c r="I150" s="1624">
        <f>B130*$I$3</f>
        <v>90524.790696975208</v>
      </c>
      <c r="J150" s="1625"/>
      <c r="K150" s="1628">
        <f t="shared" si="27"/>
        <v>524.79069697520754</v>
      </c>
    </row>
    <row r="151" spans="1:11">
      <c r="A151" s="1627" t="s">
        <v>3159</v>
      </c>
      <c r="B151" s="1621">
        <f t="shared" si="23"/>
        <v>0</v>
      </c>
      <c r="C151" s="1622">
        <f t="shared" si="23"/>
        <v>0</v>
      </c>
      <c r="D151" s="1622">
        <f t="shared" si="23"/>
        <v>0</v>
      </c>
      <c r="E151" s="1624">
        <f>$H$3*B131</f>
        <v>851200</v>
      </c>
      <c r="F151" s="1621">
        <f t="shared" si="24"/>
        <v>0</v>
      </c>
      <c r="G151" s="1621">
        <f t="shared" si="24"/>
        <v>0</v>
      </c>
      <c r="H151" s="1621">
        <f t="shared" si="24"/>
        <v>0</v>
      </c>
      <c r="I151" s="1624">
        <f>B131*$I$3</f>
        <v>856163.35379183653</v>
      </c>
      <c r="J151" s="1625"/>
      <c r="K151" s="1628">
        <f t="shared" si="27"/>
        <v>4963.3537918365328</v>
      </c>
    </row>
    <row r="152" spans="1:11" ht="29">
      <c r="A152" s="1607" t="s">
        <v>2670</v>
      </c>
      <c r="B152" s="1621">
        <f t="shared" si="23"/>
        <v>0</v>
      </c>
      <c r="C152" s="1622">
        <f t="shared" si="23"/>
        <v>0</v>
      </c>
      <c r="D152" s="1622">
        <f t="shared" si="23"/>
        <v>0</v>
      </c>
      <c r="E152" s="1624">
        <f>I92</f>
        <v>3766032</v>
      </c>
      <c r="F152" s="1621"/>
      <c r="G152" s="1621"/>
      <c r="H152" s="1621"/>
      <c r="I152" s="1624"/>
      <c r="J152" s="1625"/>
      <c r="K152" s="1628"/>
    </row>
    <row r="153" spans="1:11">
      <c r="A153" s="1627" t="s">
        <v>2676</v>
      </c>
      <c r="B153" s="1621">
        <f t="shared" si="23"/>
        <v>0</v>
      </c>
      <c r="C153" s="1622">
        <f t="shared" si="23"/>
        <v>0</v>
      </c>
      <c r="D153" s="1622">
        <f t="shared" si="23"/>
        <v>0</v>
      </c>
      <c r="E153" s="1623">
        <f>I93</f>
        <v>908000</v>
      </c>
      <c r="F153" s="1621">
        <f t="shared" ref="F153:H155" si="28">C133*$I$3</f>
        <v>0</v>
      </c>
      <c r="G153" s="1621">
        <f t="shared" si="28"/>
        <v>0</v>
      </c>
      <c r="H153" s="1621">
        <f t="shared" si="28"/>
        <v>0</v>
      </c>
      <c r="I153" s="1624">
        <f>B133*$I$3</f>
        <v>912060.52366312756</v>
      </c>
      <c r="J153" s="1625"/>
      <c r="K153" s="1628">
        <f t="shared" si="27"/>
        <v>4060.523663127562</v>
      </c>
    </row>
    <row r="154" spans="1:11" ht="29">
      <c r="A154" s="1627" t="s">
        <v>2680</v>
      </c>
      <c r="B154" s="1621">
        <f t="shared" si="23"/>
        <v>0</v>
      </c>
      <c r="C154" s="1622">
        <f t="shared" si="23"/>
        <v>0</v>
      </c>
      <c r="D154" s="1622">
        <f t="shared" si="23"/>
        <v>0</v>
      </c>
      <c r="E154" s="1623">
        <f>I94</f>
        <v>2373000</v>
      </c>
      <c r="F154" s="1621">
        <f t="shared" si="28"/>
        <v>0</v>
      </c>
      <c r="G154" s="1621">
        <f t="shared" si="28"/>
        <v>0</v>
      </c>
      <c r="H154" s="1621">
        <f t="shared" si="28"/>
        <v>0</v>
      </c>
      <c r="I154" s="1624">
        <f>B134*$I$3</f>
        <v>2198299.7237008717</v>
      </c>
      <c r="J154" s="1625"/>
      <c r="K154" s="1628">
        <f t="shared" si="27"/>
        <v>-174700.27629912831</v>
      </c>
    </row>
    <row r="155" spans="1:11" ht="15" thickBot="1">
      <c r="A155" s="1629" t="s">
        <v>2747</v>
      </c>
      <c r="B155" s="1630">
        <f t="shared" si="23"/>
        <v>0</v>
      </c>
      <c r="C155" s="1631">
        <f t="shared" si="23"/>
        <v>0</v>
      </c>
      <c r="D155" s="1631">
        <f t="shared" si="23"/>
        <v>0</v>
      </c>
      <c r="E155" s="1623">
        <f>I95</f>
        <v>3854000</v>
      </c>
      <c r="F155" s="1621">
        <f t="shared" si="28"/>
        <v>0</v>
      </c>
      <c r="G155" s="1621">
        <f t="shared" si="28"/>
        <v>0</v>
      </c>
      <c r="H155" s="1621">
        <f t="shared" si="28"/>
        <v>0</v>
      </c>
      <c r="I155" s="1624">
        <f>B135*$I$3</f>
        <v>2923270.909176691</v>
      </c>
      <c r="J155" s="1625"/>
      <c r="K155" s="1632">
        <f t="shared" si="27"/>
        <v>-930729.09082330903</v>
      </c>
    </row>
    <row r="156" spans="1:11" ht="15" thickBot="1">
      <c r="A156" s="1633"/>
      <c r="B156" s="1634"/>
      <c r="C156" s="1634"/>
      <c r="D156" s="1634"/>
      <c r="E156" s="1634"/>
      <c r="F156" s="1634"/>
      <c r="G156" s="1634"/>
      <c r="H156" s="1634"/>
      <c r="I156" s="1634"/>
      <c r="J156" s="1625"/>
      <c r="K156" s="1625"/>
    </row>
    <row r="157" spans="1:11" s="158" customFormat="1" ht="15" thickBot="1">
      <c r="A157" s="941" t="s">
        <v>7817</v>
      </c>
      <c r="B157" s="1635"/>
      <c r="C157" s="1635"/>
      <c r="D157" s="1635"/>
      <c r="E157" s="1635">
        <f>SUM(E142:E155)</f>
        <v>25999426.651860639</v>
      </c>
      <c r="F157" s="1635"/>
      <c r="G157" s="1635"/>
      <c r="H157" s="1635"/>
      <c r="I157" s="1635">
        <f>SUM(I142:I155)</f>
        <v>21220064.66454085</v>
      </c>
      <c r="J157" s="1636"/>
      <c r="K157" s="1637">
        <f t="shared" si="27"/>
        <v>-4779361.9873197898</v>
      </c>
    </row>
    <row r="158" spans="1:11" ht="15" thickBot="1">
      <c r="B158" s="1638"/>
      <c r="C158" s="1638"/>
      <c r="D158" s="1625"/>
      <c r="E158" s="1625"/>
      <c r="F158" s="1638"/>
      <c r="G158" s="1638"/>
      <c r="H158" s="1625"/>
      <c r="I158" s="1625"/>
      <c r="J158" s="1625"/>
      <c r="K158" s="1625"/>
    </row>
    <row r="159" spans="1:11" s="158" customFormat="1" ht="15" thickBot="1">
      <c r="A159" s="941" t="s">
        <v>7799</v>
      </c>
      <c r="B159" s="1639"/>
      <c r="C159" s="1639"/>
      <c r="D159" s="1639"/>
      <c r="E159" s="1639">
        <f>E157+H3</f>
        <v>49250019.538098</v>
      </c>
      <c r="F159" s="1639"/>
      <c r="G159" s="1639"/>
      <c r="H159" s="1640"/>
      <c r="I159" s="1639">
        <f>I157+I3</f>
        <v>44606231.937954381</v>
      </c>
      <c r="J159" s="1636"/>
      <c r="K159" s="1637">
        <f>I159-E159</f>
        <v>-4643787.6001436189</v>
      </c>
    </row>
  </sheetData>
  <mergeCells count="19">
    <mergeCell ref="B140:E140"/>
    <mergeCell ref="F140:I140"/>
    <mergeCell ref="E107:P107"/>
    <mergeCell ref="E108:P108"/>
    <mergeCell ref="E109:P109"/>
    <mergeCell ref="E110:P110"/>
    <mergeCell ref="E111:P111"/>
    <mergeCell ref="E112:P112"/>
    <mergeCell ref="E113:P113"/>
    <mergeCell ref="E114:P114"/>
    <mergeCell ref="E115:P115"/>
    <mergeCell ref="E116:P116"/>
    <mergeCell ref="B120:E120"/>
    <mergeCell ref="E106:P106"/>
    <mergeCell ref="B101:D101"/>
    <mergeCell ref="E101:P102"/>
    <mergeCell ref="E103:P103"/>
    <mergeCell ref="E104:P104"/>
    <mergeCell ref="E105:P10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G324"/>
  <sheetViews>
    <sheetView workbookViewId="0">
      <selection activeCell="S6" sqref="S6"/>
    </sheetView>
  </sheetViews>
  <sheetFormatPr defaultColWidth="9.1796875" defaultRowHeight="14.5"/>
  <cols>
    <col min="1" max="1" width="20.26953125" customWidth="1"/>
    <col min="2" max="2" width="17.81640625" customWidth="1"/>
    <col min="3" max="3" width="11.1796875" style="1081" customWidth="1"/>
    <col min="4" max="4" width="18" style="1081" customWidth="1"/>
    <col min="5" max="5" width="14.81640625" customWidth="1"/>
    <col min="6" max="6" width="22.54296875" customWidth="1"/>
    <col min="7" max="9" width="18.7265625" customWidth="1"/>
    <col min="10" max="17" width="12" bestFit="1" customWidth="1"/>
    <col min="18" max="18" width="11" bestFit="1" customWidth="1"/>
    <col min="19" max="21" width="12" bestFit="1" customWidth="1"/>
    <col min="22" max="22" width="4" customWidth="1"/>
    <col min="23" max="23" width="12" bestFit="1" customWidth="1"/>
    <col min="24" max="24" width="4" customWidth="1"/>
    <col min="25" max="25" width="12" bestFit="1" customWidth="1"/>
    <col min="26" max="26" width="4" customWidth="1"/>
    <col min="27" max="27" width="6" customWidth="1"/>
    <col min="28" max="28" width="4" customWidth="1"/>
    <col min="29" max="29" width="12" bestFit="1" customWidth="1"/>
    <col min="30" max="30" width="4" customWidth="1"/>
    <col min="31" max="31" width="7" customWidth="1"/>
    <col min="32" max="33" width="4" customWidth="1"/>
    <col min="34" max="35" width="12" bestFit="1" customWidth="1"/>
    <col min="36" max="36" width="11" bestFit="1" customWidth="1"/>
    <col min="37" max="39" width="12" bestFit="1" customWidth="1"/>
    <col min="40" max="40" width="4" customWidth="1"/>
    <col min="41" max="41" width="7" customWidth="1"/>
    <col min="42" max="42" width="12" bestFit="1" customWidth="1"/>
    <col min="43" max="43" width="4" customWidth="1"/>
    <col min="44" max="46" width="12" bestFit="1" customWidth="1"/>
    <col min="47" max="47" width="11" bestFit="1" customWidth="1"/>
    <col min="48" max="48" width="12" bestFit="1" customWidth="1"/>
    <col min="49" max="49" width="4" customWidth="1"/>
    <col min="50" max="50" width="9" customWidth="1"/>
    <col min="51" max="51" width="12" bestFit="1" customWidth="1"/>
    <col min="52" max="54" width="7" customWidth="1"/>
    <col min="55" max="55" width="12" bestFit="1" customWidth="1"/>
    <col min="56" max="56" width="9" customWidth="1"/>
    <col min="57" max="57" width="5" customWidth="1"/>
    <col min="58" max="58" width="12" bestFit="1" customWidth="1"/>
    <col min="59" max="59" width="7" customWidth="1"/>
    <col min="60" max="60" width="8" customWidth="1"/>
    <col min="61" max="61" width="12" bestFit="1" customWidth="1"/>
    <col min="62" max="62" width="7" customWidth="1"/>
    <col min="63" max="67" width="5" customWidth="1"/>
    <col min="68" max="68" width="12" bestFit="1" customWidth="1"/>
    <col min="69" max="70" width="5" customWidth="1"/>
    <col min="71" max="71" width="8" customWidth="1"/>
    <col min="72" max="72" width="7" customWidth="1"/>
    <col min="73" max="73" width="8" customWidth="1"/>
    <col min="74" max="75" width="5" customWidth="1"/>
    <col min="76" max="77" width="8" customWidth="1"/>
    <col min="78" max="79" width="5" customWidth="1"/>
    <col min="80" max="81" width="8" customWidth="1"/>
    <col min="82" max="82" width="5" customWidth="1"/>
    <col min="83" max="83" width="8" customWidth="1"/>
    <col min="84" max="84" width="5" customWidth="1"/>
    <col min="85" max="85" width="8" customWidth="1"/>
    <col min="86" max="86" width="5" customWidth="1"/>
    <col min="87" max="88" width="8" customWidth="1"/>
    <col min="89" max="90" width="5" customWidth="1"/>
    <col min="91" max="91" width="8" customWidth="1"/>
    <col min="92" max="92" width="6" customWidth="1"/>
    <col min="93" max="93" width="9" customWidth="1"/>
    <col min="94" max="94" width="8" customWidth="1"/>
    <col min="95" max="98" width="6" customWidth="1"/>
    <col min="99" max="100" width="9" customWidth="1"/>
    <col min="101" max="102" width="6" customWidth="1"/>
    <col min="103" max="103" width="12" bestFit="1" customWidth="1"/>
    <col min="104" max="120" width="6" customWidth="1"/>
    <col min="121" max="122" width="7" customWidth="1"/>
    <col min="123" max="123" width="9" customWidth="1"/>
    <col min="124" max="125" width="7" customWidth="1"/>
    <col min="126" max="126" width="10" bestFit="1" customWidth="1"/>
    <col min="127" max="128" width="7" customWidth="1"/>
    <col min="129" max="129" width="7.26953125" customWidth="1"/>
    <col min="130" max="130" width="11.26953125" bestFit="1" customWidth="1"/>
  </cols>
  <sheetData>
    <row r="1" spans="1:7">
      <c r="A1" t="s">
        <v>47</v>
      </c>
      <c r="B1" t="s">
        <v>3251</v>
      </c>
    </row>
    <row r="2" spans="1:7">
      <c r="A2" t="s">
        <v>48</v>
      </c>
      <c r="B2" t="s">
        <v>2669</v>
      </c>
    </row>
    <row r="3" spans="1:7">
      <c r="C3"/>
      <c r="D3"/>
    </row>
    <row r="4" spans="1:7">
      <c r="A4" t="s">
        <v>3418</v>
      </c>
      <c r="B4" t="s">
        <v>24</v>
      </c>
      <c r="C4" t="s">
        <v>3345</v>
      </c>
      <c r="D4"/>
    </row>
    <row r="5" spans="1:7">
      <c r="A5" s="169" t="s">
        <v>2669</v>
      </c>
      <c r="C5" s="901"/>
      <c r="D5"/>
    </row>
    <row r="6" spans="1:7">
      <c r="A6" s="184" t="s">
        <v>2669</v>
      </c>
      <c r="B6" s="169" t="s">
        <v>3347</v>
      </c>
      <c r="C6" s="901"/>
      <c r="D6"/>
    </row>
    <row r="7" spans="1:7">
      <c r="A7" s="184" t="s">
        <v>3347</v>
      </c>
      <c r="B7" s="169" t="s">
        <v>3347</v>
      </c>
      <c r="C7" s="901"/>
      <c r="D7"/>
    </row>
    <row r="8" spans="1:7">
      <c r="A8" s="169" t="s">
        <v>3357</v>
      </c>
      <c r="C8" s="901"/>
      <c r="D8"/>
    </row>
    <row r="9" spans="1:7">
      <c r="C9"/>
      <c r="D9"/>
    </row>
    <row r="10" spans="1:7">
      <c r="C10"/>
      <c r="D10"/>
      <c r="G10" s="1081"/>
    </row>
    <row r="11" spans="1:7">
      <c r="C11"/>
      <c r="D11"/>
      <c r="G11" s="1081"/>
    </row>
    <row r="12" spans="1:7">
      <c r="C12"/>
      <c r="D12"/>
      <c r="G12" s="1081"/>
    </row>
    <row r="13" spans="1:7">
      <c r="C13"/>
      <c r="D13"/>
    </row>
    <row r="14" spans="1:7">
      <c r="C14"/>
      <c r="D14"/>
    </row>
    <row r="15" spans="1:7">
      <c r="C15"/>
      <c r="D15"/>
    </row>
    <row r="16" spans="1:7">
      <c r="C16"/>
      <c r="D16"/>
    </row>
    <row r="17" spans="3:4">
      <c r="C17"/>
      <c r="D17"/>
    </row>
    <row r="18" spans="3:4">
      <c r="C18"/>
      <c r="D18"/>
    </row>
    <row r="19" spans="3:4">
      <c r="C19"/>
      <c r="D19"/>
    </row>
    <row r="20" spans="3:4">
      <c r="C20"/>
      <c r="D20"/>
    </row>
    <row r="21" spans="3:4">
      <c r="C21"/>
      <c r="D21"/>
    </row>
    <row r="22" spans="3:4">
      <c r="C22"/>
      <c r="D22"/>
    </row>
    <row r="23" spans="3:4">
      <c r="C23"/>
      <c r="D23"/>
    </row>
    <row r="24" spans="3:4">
      <c r="C24"/>
      <c r="D24"/>
    </row>
    <row r="25" spans="3:4">
      <c r="C25"/>
      <c r="D25"/>
    </row>
    <row r="26" spans="3:4">
      <c r="C26"/>
      <c r="D26"/>
    </row>
    <row r="27" spans="3:4">
      <c r="C27"/>
      <c r="D27"/>
    </row>
    <row r="28" spans="3:4">
      <c r="C28"/>
      <c r="D28"/>
    </row>
    <row r="29" spans="3:4">
      <c r="C29"/>
      <c r="D29"/>
    </row>
    <row r="30" spans="3:4">
      <c r="C30"/>
      <c r="D30"/>
    </row>
    <row r="31" spans="3:4">
      <c r="C31"/>
      <c r="D31"/>
    </row>
    <row r="32" spans="3:4">
      <c r="C32"/>
      <c r="D32"/>
    </row>
    <row r="33" spans="3:4">
      <c r="C33"/>
      <c r="D33"/>
    </row>
    <row r="34" spans="3:4">
      <c r="C34"/>
      <c r="D34"/>
    </row>
    <row r="35" spans="3:4">
      <c r="C35"/>
      <c r="D35"/>
    </row>
    <row r="36" spans="3:4">
      <c r="C36"/>
      <c r="D36"/>
    </row>
    <row r="37" spans="3:4">
      <c r="C37"/>
      <c r="D37"/>
    </row>
    <row r="38" spans="3:4">
      <c r="C38"/>
      <c r="D38"/>
    </row>
    <row r="39" spans="3:4">
      <c r="C39"/>
      <c r="D39"/>
    </row>
    <row r="40" spans="3:4">
      <c r="C40"/>
      <c r="D40"/>
    </row>
    <row r="41" spans="3:4">
      <c r="C41"/>
      <c r="D41"/>
    </row>
    <row r="42" spans="3:4">
      <c r="C42"/>
      <c r="D42"/>
    </row>
    <row r="43" spans="3:4">
      <c r="C43"/>
      <c r="D43"/>
    </row>
    <row r="44" spans="3:4">
      <c r="C44"/>
      <c r="D44"/>
    </row>
    <row r="45" spans="3:4">
      <c r="C45"/>
      <c r="D45"/>
    </row>
    <row r="46" spans="3:4">
      <c r="C46"/>
      <c r="D46"/>
    </row>
    <row r="47" spans="3:4">
      <c r="C47"/>
      <c r="D47"/>
    </row>
    <row r="48" spans="3:4">
      <c r="C48"/>
      <c r="D48"/>
    </row>
    <row r="49" spans="3:4">
      <c r="C49"/>
      <c r="D49"/>
    </row>
    <row r="50" spans="3:4">
      <c r="C50"/>
      <c r="D50"/>
    </row>
    <row r="51" spans="3:4">
      <c r="C51"/>
      <c r="D51"/>
    </row>
    <row r="52" spans="3:4">
      <c r="C52"/>
      <c r="D52"/>
    </row>
    <row r="53" spans="3:4">
      <c r="C53"/>
      <c r="D53"/>
    </row>
    <row r="54" spans="3:4">
      <c r="C54"/>
      <c r="D54"/>
    </row>
    <row r="55" spans="3:4">
      <c r="C55"/>
      <c r="D55"/>
    </row>
    <row r="56" spans="3:4">
      <c r="C56"/>
      <c r="D56"/>
    </row>
    <row r="57" spans="3:4">
      <c r="C57"/>
      <c r="D57"/>
    </row>
    <row r="58" spans="3:4">
      <c r="C58"/>
      <c r="D58"/>
    </row>
    <row r="59" spans="3:4">
      <c r="C59"/>
      <c r="D59"/>
    </row>
    <row r="60" spans="3:4">
      <c r="C60"/>
      <c r="D60"/>
    </row>
    <row r="61" spans="3:4">
      <c r="C61"/>
      <c r="D61"/>
    </row>
    <row r="62" spans="3:4">
      <c r="C62"/>
      <c r="D62"/>
    </row>
    <row r="63" spans="3:4">
      <c r="C63"/>
      <c r="D63"/>
    </row>
    <row r="64" spans="3:4">
      <c r="C64"/>
      <c r="D64"/>
    </row>
    <row r="65" spans="3:4">
      <c r="C65"/>
      <c r="D65"/>
    </row>
    <row r="66" spans="3:4">
      <c r="C66"/>
      <c r="D66"/>
    </row>
    <row r="67" spans="3:4">
      <c r="C67"/>
      <c r="D67"/>
    </row>
    <row r="68" spans="3:4">
      <c r="C68"/>
      <c r="D68"/>
    </row>
    <row r="69" spans="3:4">
      <c r="C69"/>
      <c r="D69"/>
    </row>
    <row r="70" spans="3:4">
      <c r="C70"/>
      <c r="D70"/>
    </row>
    <row r="71" spans="3:4">
      <c r="C71"/>
      <c r="D71"/>
    </row>
    <row r="72" spans="3:4">
      <c r="C72"/>
      <c r="D72"/>
    </row>
    <row r="73" spans="3:4">
      <c r="C73"/>
      <c r="D73"/>
    </row>
    <row r="74" spans="3:4">
      <c r="C74"/>
      <c r="D74"/>
    </row>
    <row r="75" spans="3:4">
      <c r="C75"/>
      <c r="D75"/>
    </row>
    <row r="76" spans="3:4">
      <c r="C76"/>
      <c r="D76"/>
    </row>
    <row r="77" spans="3:4">
      <c r="C77"/>
      <c r="D77"/>
    </row>
    <row r="78" spans="3:4">
      <c r="C78"/>
      <c r="D78"/>
    </row>
    <row r="79" spans="3:4">
      <c r="C79"/>
      <c r="D79"/>
    </row>
    <row r="80" spans="3:4">
      <c r="C80"/>
      <c r="D80"/>
    </row>
    <row r="81" spans="3:4">
      <c r="C81"/>
      <c r="D81"/>
    </row>
    <row r="82" spans="3:4">
      <c r="C82"/>
      <c r="D82"/>
    </row>
    <row r="83" spans="3:4">
      <c r="C83"/>
      <c r="D83"/>
    </row>
    <row r="84" spans="3:4">
      <c r="C84"/>
      <c r="D84"/>
    </row>
    <row r="85" spans="3:4">
      <c r="C85"/>
      <c r="D85"/>
    </row>
    <row r="86" spans="3:4">
      <c r="C86"/>
      <c r="D86"/>
    </row>
    <row r="87" spans="3:4">
      <c r="C87"/>
      <c r="D87"/>
    </row>
    <row r="88" spans="3:4">
      <c r="C88"/>
      <c r="D88"/>
    </row>
    <row r="89" spans="3:4">
      <c r="C89"/>
      <c r="D89"/>
    </row>
    <row r="90" spans="3:4">
      <c r="C90"/>
      <c r="D90"/>
    </row>
    <row r="91" spans="3:4">
      <c r="C91"/>
      <c r="D91"/>
    </row>
    <row r="92" spans="3:4">
      <c r="C92"/>
      <c r="D92"/>
    </row>
    <row r="93" spans="3:4">
      <c r="C93"/>
      <c r="D93"/>
    </row>
    <row r="94" spans="3:4">
      <c r="C94"/>
      <c r="D94"/>
    </row>
    <row r="95" spans="3:4">
      <c r="C95"/>
      <c r="D95"/>
    </row>
    <row r="96" spans="3:4">
      <c r="C96"/>
      <c r="D96"/>
    </row>
    <row r="97" spans="3:4">
      <c r="C97"/>
      <c r="D97"/>
    </row>
    <row r="98" spans="3:4">
      <c r="C98"/>
      <c r="D98"/>
    </row>
    <row r="99" spans="3:4">
      <c r="C99"/>
      <c r="D99"/>
    </row>
    <row r="100" spans="3:4">
      <c r="C100"/>
      <c r="D100"/>
    </row>
    <row r="101" spans="3:4">
      <c r="C101"/>
      <c r="D101"/>
    </row>
    <row r="102" spans="3:4">
      <c r="C102"/>
      <c r="D102"/>
    </row>
    <row r="103" spans="3:4">
      <c r="C103"/>
      <c r="D103"/>
    </row>
    <row r="104" spans="3:4">
      <c r="C104"/>
      <c r="D104"/>
    </row>
    <row r="105" spans="3:4">
      <c r="C105"/>
      <c r="D105"/>
    </row>
    <row r="106" spans="3:4">
      <c r="C106"/>
      <c r="D106"/>
    </row>
    <row r="107" spans="3:4">
      <c r="C107"/>
      <c r="D107"/>
    </row>
    <row r="108" spans="3:4">
      <c r="C108"/>
      <c r="D108"/>
    </row>
    <row r="109" spans="3:4">
      <c r="C109"/>
      <c r="D109"/>
    </row>
    <row r="110" spans="3:4">
      <c r="C110"/>
      <c r="D110"/>
    </row>
    <row r="111" spans="3:4">
      <c r="C111"/>
      <c r="D111"/>
    </row>
    <row r="112" spans="3:4">
      <c r="C112"/>
      <c r="D112"/>
    </row>
    <row r="113" spans="3:4">
      <c r="C113"/>
      <c r="D113"/>
    </row>
    <row r="114" spans="3:4">
      <c r="C114"/>
      <c r="D114"/>
    </row>
    <row r="115" spans="3:4">
      <c r="C115"/>
      <c r="D115"/>
    </row>
    <row r="116" spans="3:4">
      <c r="C116"/>
      <c r="D116"/>
    </row>
    <row r="117" spans="3:4">
      <c r="C117"/>
      <c r="D117"/>
    </row>
    <row r="118" spans="3:4">
      <c r="C118"/>
      <c r="D118"/>
    </row>
    <row r="119" spans="3:4">
      <c r="C119"/>
      <c r="D119"/>
    </row>
    <row r="120" spans="3:4">
      <c r="C120"/>
      <c r="D120"/>
    </row>
    <row r="121" spans="3:4">
      <c r="C121"/>
      <c r="D121"/>
    </row>
    <row r="122" spans="3:4">
      <c r="C122"/>
      <c r="D122"/>
    </row>
    <row r="123" spans="3:4">
      <c r="C123"/>
      <c r="D123"/>
    </row>
    <row r="124" spans="3:4">
      <c r="C124"/>
      <c r="D124"/>
    </row>
    <row r="125" spans="3:4">
      <c r="C125"/>
      <c r="D125"/>
    </row>
    <row r="126" spans="3:4">
      <c r="C126"/>
      <c r="D126"/>
    </row>
    <row r="127" spans="3:4">
      <c r="C127"/>
      <c r="D127"/>
    </row>
    <row r="128" spans="3:4">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filterMode="1">
    <tabColor rgb="FF00B050"/>
  </sheetPr>
  <dimension ref="A2:Z295"/>
  <sheetViews>
    <sheetView topLeftCell="A37" zoomScale="60" zoomScaleNormal="60" workbookViewId="0">
      <pane ySplit="2" topLeftCell="A39" activePane="bottomLeft" state="frozen"/>
      <selection activeCell="S6" sqref="S6"/>
      <selection pane="bottomLeft" activeCell="S6" sqref="S6"/>
    </sheetView>
  </sheetViews>
  <sheetFormatPr defaultColWidth="9.1796875" defaultRowHeight="14.5" outlineLevelCol="1"/>
  <cols>
    <col min="1" max="1" width="9.1796875" style="7"/>
    <col min="2" max="2" width="62.7265625" customWidth="1"/>
    <col min="3" max="3" width="7.453125" style="387" customWidth="1"/>
    <col min="4" max="4" width="7.453125" style="7" customWidth="1"/>
    <col min="5" max="5" width="11.7265625" style="916" hidden="1" customWidth="1" outlineLevel="1"/>
    <col min="6" max="6" width="13.26953125" style="917" hidden="1" customWidth="1" outlineLevel="1"/>
    <col min="7" max="7" width="19.1796875" style="7" hidden="1" customWidth="1" outlineLevel="1"/>
    <col min="8" max="8" width="17.26953125" style="7" hidden="1" customWidth="1" outlineLevel="1"/>
    <col min="9" max="9" width="20.1796875" style="7" hidden="1" customWidth="1" outlineLevel="1"/>
    <col min="10" max="10" width="25" style="7" hidden="1" customWidth="1" outlineLevel="1"/>
    <col min="11" max="11" width="25" style="918" customWidth="1" collapsed="1"/>
    <col min="12" max="12" width="56" style="7" customWidth="1"/>
    <col min="13" max="13" width="13.81640625" style="7" customWidth="1"/>
    <col min="14" max="14" width="11.1796875" style="7" customWidth="1"/>
    <col min="15" max="15" width="9.1796875" style="7"/>
    <col min="16" max="16" width="11.7265625" style="7" bestFit="1" customWidth="1"/>
    <col min="17" max="17" width="16" style="7" bestFit="1" customWidth="1"/>
    <col min="18" max="18" width="9.1796875" style="7"/>
    <col min="19" max="19" width="14.26953125" style="7" bestFit="1" customWidth="1"/>
    <col min="20" max="20" width="9.1796875" style="7"/>
    <col min="21" max="21" width="13" style="7" bestFit="1" customWidth="1"/>
    <col min="22" max="22" width="11.7265625" style="7" bestFit="1" customWidth="1"/>
    <col min="23" max="23" width="13.453125" style="7" bestFit="1" customWidth="1"/>
    <col min="24" max="16384" width="9.1796875" style="7"/>
  </cols>
  <sheetData>
    <row r="2" spans="2:11" s="171" customFormat="1">
      <c r="B2" s="170"/>
      <c r="C2" s="386"/>
      <c r="E2" s="914"/>
      <c r="F2" s="914"/>
      <c r="K2" s="915"/>
    </row>
    <row r="3" spans="2:11">
      <c r="B3" s="179" t="s">
        <v>2751</v>
      </c>
    </row>
    <row r="4" spans="2:11">
      <c r="B4" s="180" t="s">
        <v>2752</v>
      </c>
    </row>
    <row r="5" spans="2:11">
      <c r="B5" s="180" t="s">
        <v>2753</v>
      </c>
    </row>
    <row r="6" spans="2:11">
      <c r="B6" s="180" t="s">
        <v>2754</v>
      </c>
    </row>
    <row r="7" spans="2:11">
      <c r="B7" s="180" t="s">
        <v>2755</v>
      </c>
    </row>
    <row r="8" spans="2:11">
      <c r="B8" s="180" t="s">
        <v>2756</v>
      </c>
    </row>
    <row r="9" spans="2:11">
      <c r="B9" s="180" t="s">
        <v>2757</v>
      </c>
    </row>
    <row r="10" spans="2:11">
      <c r="B10" s="180" t="s">
        <v>2758</v>
      </c>
    </row>
    <row r="11" spans="2:11">
      <c r="B11" s="181" t="s">
        <v>81</v>
      </c>
    </row>
    <row r="12" spans="2:11">
      <c r="B12" s="182" t="s">
        <v>151</v>
      </c>
    </row>
    <row r="13" spans="2:11">
      <c r="B13" s="180" t="s">
        <v>2759</v>
      </c>
    </row>
    <row r="14" spans="2:11">
      <c r="B14" s="180" t="s">
        <v>2760</v>
      </c>
    </row>
    <row r="15" spans="2:11">
      <c r="B15" s="180" t="s">
        <v>2761</v>
      </c>
    </row>
    <row r="16" spans="2:11">
      <c r="B16" s="180" t="s">
        <v>2762</v>
      </c>
    </row>
    <row r="17" spans="2:2">
      <c r="B17" s="180" t="s">
        <v>2763</v>
      </c>
    </row>
    <row r="18" spans="2:2">
      <c r="B18" s="180" t="s">
        <v>2764</v>
      </c>
    </row>
    <row r="19" spans="2:2">
      <c r="B19" s="180" t="s">
        <v>2765</v>
      </c>
    </row>
    <row r="20" spans="2:2">
      <c r="B20" s="180" t="s">
        <v>2766</v>
      </c>
    </row>
    <row r="21" spans="2:2">
      <c r="B21" s="180" t="s">
        <v>2767</v>
      </c>
    </row>
    <row r="22" spans="2:2">
      <c r="B22" s="180" t="s">
        <v>1252</v>
      </c>
    </row>
    <row r="23" spans="2:2">
      <c r="B23" s="180" t="s">
        <v>2768</v>
      </c>
    </row>
    <row r="24" spans="2:2">
      <c r="B24" s="180" t="s">
        <v>2769</v>
      </c>
    </row>
    <row r="25" spans="2:2">
      <c r="B25" s="180" t="s">
        <v>2770</v>
      </c>
    </row>
    <row r="26" spans="2:2">
      <c r="B26" s="180" t="s">
        <v>2771</v>
      </c>
    </row>
    <row r="27" spans="2:2">
      <c r="B27" s="180" t="s">
        <v>2772</v>
      </c>
    </row>
    <row r="28" spans="2:2">
      <c r="B28" s="180" t="s">
        <v>2773</v>
      </c>
    </row>
    <row r="29" spans="2:2">
      <c r="B29" s="180" t="s">
        <v>2774</v>
      </c>
    </row>
    <row r="30" spans="2:2">
      <c r="B30" s="180" t="s">
        <v>2775</v>
      </c>
    </row>
    <row r="31" spans="2:2">
      <c r="B31" s="180" t="s">
        <v>2776</v>
      </c>
    </row>
    <row r="32" spans="2:2">
      <c r="B32" s="180" t="s">
        <v>2777</v>
      </c>
    </row>
    <row r="33" spans="1:17">
      <c r="B33" s="180" t="s">
        <v>2778</v>
      </c>
    </row>
    <row r="34" spans="1:17">
      <c r="B34" s="180" t="s">
        <v>2779</v>
      </c>
    </row>
    <row r="35" spans="1:17">
      <c r="B35" s="180" t="s">
        <v>2780</v>
      </c>
    </row>
    <row r="36" spans="1:17">
      <c r="B36" s="169"/>
    </row>
    <row r="37" spans="1:17" ht="15" thickBot="1">
      <c r="C37" s="192"/>
      <c r="E37" s="2239" t="s">
        <v>2781</v>
      </c>
      <c r="F37" s="2239"/>
      <c r="G37" s="2240" t="s">
        <v>2782</v>
      </c>
      <c r="H37" s="2240"/>
      <c r="I37" s="2240"/>
      <c r="J37" s="2240"/>
      <c r="K37" s="919"/>
    </row>
    <row r="38" spans="1:17" ht="29.5" thickBot="1">
      <c r="A38" s="920" t="s">
        <v>2783</v>
      </c>
      <c r="B38" s="921" t="s">
        <v>2784</v>
      </c>
      <c r="C38" s="922" t="s">
        <v>23</v>
      </c>
      <c r="D38" s="923" t="s">
        <v>24</v>
      </c>
      <c r="E38" s="924" t="s">
        <v>25</v>
      </c>
      <c r="F38" s="924" t="s">
        <v>2785</v>
      </c>
      <c r="G38" s="178" t="s">
        <v>2786</v>
      </c>
      <c r="H38" s="178" t="s">
        <v>2787</v>
      </c>
      <c r="I38" s="178" t="s">
        <v>2788</v>
      </c>
      <c r="J38" s="178" t="s">
        <v>2789</v>
      </c>
      <c r="K38" s="925" t="s">
        <v>3419</v>
      </c>
      <c r="L38" s="164"/>
    </row>
    <row r="39" spans="1:17" s="159" customFormat="1" ht="15" hidden="1" thickBot="1">
      <c r="A39" s="159" t="s">
        <v>2791</v>
      </c>
      <c r="B39" s="382" t="s">
        <v>2792</v>
      </c>
      <c r="C39" s="385">
        <v>1</v>
      </c>
      <c r="D39" s="159" t="s">
        <v>136</v>
      </c>
      <c r="E39" s="926">
        <v>0.65660703099974493</v>
      </c>
      <c r="F39" s="926">
        <v>2.3125023348299214</v>
      </c>
      <c r="G39" s="927">
        <v>64.134978529133704</v>
      </c>
      <c r="I39" s="927">
        <v>24.639938405629813</v>
      </c>
      <c r="J39" s="927">
        <v>88.774916934763525</v>
      </c>
      <c r="K39" s="928"/>
    </row>
    <row r="40" spans="1:17" ht="15" hidden="1" thickBot="1">
      <c r="B40" s="183" t="s">
        <v>2793</v>
      </c>
      <c r="C40" s="389">
        <v>1</v>
      </c>
      <c r="D40" s="7" t="s">
        <v>136</v>
      </c>
      <c r="E40" s="929">
        <v>0.5</v>
      </c>
      <c r="F40" s="929">
        <v>1</v>
      </c>
      <c r="G40" s="930">
        <v>49.956690476190481</v>
      </c>
      <c r="H40" s="930"/>
      <c r="I40" s="930">
        <v>10</v>
      </c>
      <c r="J40" s="930">
        <v>59.956690476190481</v>
      </c>
      <c r="K40" s="931"/>
      <c r="L40" s="7" t="s">
        <v>2794</v>
      </c>
    </row>
    <row r="41" spans="1:17" ht="15" hidden="1" thickBot="1">
      <c r="B41" s="183" t="s">
        <v>2795</v>
      </c>
      <c r="C41" s="389"/>
      <c r="D41" s="7" t="s">
        <v>2688</v>
      </c>
      <c r="E41" s="929">
        <v>0.15660703099974499</v>
      </c>
      <c r="F41" s="929">
        <v>1.3125023348299212</v>
      </c>
      <c r="G41" s="930">
        <v>14.178288052943227</v>
      </c>
      <c r="H41" s="930"/>
      <c r="I41" s="930">
        <v>14.639938405629811</v>
      </c>
      <c r="J41" s="930">
        <v>28.818226458573037</v>
      </c>
      <c r="K41" s="931"/>
      <c r="L41" t="s">
        <v>2796</v>
      </c>
    </row>
    <row r="42" spans="1:17" ht="15" hidden="1" thickBot="1">
      <c r="B42" s="183"/>
      <c r="C42" s="389"/>
      <c r="E42" s="929"/>
      <c r="F42" s="929"/>
      <c r="G42" s="930"/>
      <c r="H42" s="930"/>
      <c r="I42" s="930"/>
      <c r="J42" s="930"/>
      <c r="K42" s="931"/>
      <c r="L42"/>
    </row>
    <row r="43" spans="1:17" s="159" customFormat="1" ht="15" hidden="1" thickBot="1">
      <c r="A43" s="159" t="s">
        <v>80</v>
      </c>
      <c r="B43" s="381" t="s">
        <v>2797</v>
      </c>
      <c r="C43" s="390">
        <v>1</v>
      </c>
      <c r="D43" s="159" t="s">
        <v>136</v>
      </c>
      <c r="E43" s="932">
        <v>0.23491054649961748</v>
      </c>
      <c r="F43" s="932">
        <v>1.9687535022448817</v>
      </c>
      <c r="G43" s="932">
        <v>21.267432079414839</v>
      </c>
      <c r="H43" s="933"/>
      <c r="I43" s="932">
        <v>21.959907608444716</v>
      </c>
      <c r="J43" s="932">
        <v>43.227339687859555</v>
      </c>
      <c r="K43" s="932"/>
    </row>
    <row r="44" spans="1:17" ht="15" hidden="1" thickBot="1">
      <c r="B44" s="184" t="s">
        <v>82</v>
      </c>
      <c r="C44" s="389">
        <v>1</v>
      </c>
      <c r="D44" s="7" t="s">
        <v>2688</v>
      </c>
      <c r="E44" s="929">
        <v>0.15660703099974499</v>
      </c>
      <c r="F44" s="929">
        <v>1.3125023348299212</v>
      </c>
      <c r="G44" s="930">
        <v>14.178288052943227</v>
      </c>
      <c r="H44" s="930"/>
      <c r="I44" s="930">
        <v>14.639938405629811</v>
      </c>
      <c r="J44" s="930">
        <v>28.818226458573037</v>
      </c>
      <c r="K44" s="931"/>
      <c r="L44" t="s">
        <v>2796</v>
      </c>
    </row>
    <row r="45" spans="1:17" ht="15" hidden="1" thickBot="1">
      <c r="B45" s="184"/>
      <c r="C45" s="389"/>
      <c r="E45" s="929"/>
      <c r="F45" s="929"/>
      <c r="G45" s="930"/>
      <c r="H45" s="930"/>
      <c r="I45" s="930"/>
      <c r="J45" s="930"/>
      <c r="K45" s="931"/>
      <c r="L45"/>
    </row>
    <row r="46" spans="1:17" s="159" customFormat="1" ht="15" hidden="1" thickBot="1">
      <c r="A46" s="159" t="s">
        <v>150</v>
      </c>
      <c r="B46" s="383" t="s">
        <v>2800</v>
      </c>
      <c r="C46" s="385">
        <v>1</v>
      </c>
      <c r="D46" s="159" t="s">
        <v>136</v>
      </c>
      <c r="E46" s="932">
        <v>1.2689880937499998E-2</v>
      </c>
      <c r="F46" s="932">
        <v>0.14624999999999999</v>
      </c>
      <c r="G46" s="932">
        <v>1.2689880937499998</v>
      </c>
      <c r="H46" s="933"/>
      <c r="I46" s="932">
        <v>0.39654534577546297</v>
      </c>
      <c r="J46" s="932">
        <v>1.8102953457754629</v>
      </c>
      <c r="K46" s="932"/>
      <c r="L46" s="159" t="s">
        <v>2799</v>
      </c>
    </row>
    <row r="47" spans="1:17" ht="15" hidden="1" thickBot="1">
      <c r="B47" s="184" t="s">
        <v>2801</v>
      </c>
      <c r="C47" s="389">
        <v>1</v>
      </c>
      <c r="D47" s="7" t="s">
        <v>2688</v>
      </c>
      <c r="E47" s="934">
        <v>2.5379761874999997E-2</v>
      </c>
      <c r="F47" s="929">
        <v>0.29249999999999998</v>
      </c>
      <c r="G47" s="930">
        <v>2.5379761874999995</v>
      </c>
      <c r="H47" s="930"/>
      <c r="I47" s="930">
        <v>0.79309069155092593</v>
      </c>
      <c r="J47" s="930">
        <v>3.6205906915509258</v>
      </c>
      <c r="K47" s="931"/>
      <c r="L47" t="s">
        <v>2796</v>
      </c>
      <c r="Q47" s="895"/>
    </row>
    <row r="48" spans="1:17" ht="15" hidden="1" thickBot="1">
      <c r="B48" s="184"/>
      <c r="C48" s="389"/>
      <c r="E48" s="929"/>
      <c r="F48" s="929"/>
      <c r="G48" s="930"/>
      <c r="H48" s="930"/>
      <c r="I48" s="930"/>
      <c r="J48" s="930"/>
      <c r="K48" s="931"/>
      <c r="L48"/>
    </row>
    <row r="49" spans="1:17" s="159" customFormat="1" ht="15" hidden="1" thickBot="1">
      <c r="A49" s="159" t="s">
        <v>255</v>
      </c>
      <c r="B49" s="383" t="s">
        <v>2802</v>
      </c>
      <c r="C49" s="385">
        <v>1</v>
      </c>
      <c r="D49" s="159" t="s">
        <v>136</v>
      </c>
      <c r="E49" s="932">
        <v>2.2689880937499997E-2</v>
      </c>
      <c r="F49" s="932">
        <v>0.15625</v>
      </c>
      <c r="G49" s="932">
        <v>2.26898809375</v>
      </c>
      <c r="H49" s="933"/>
      <c r="I49" s="932">
        <v>0.49654534577546294</v>
      </c>
      <c r="J49" s="932">
        <v>2.910295345775463</v>
      </c>
      <c r="K49" s="932"/>
      <c r="L49" s="159" t="s">
        <v>2803</v>
      </c>
    </row>
    <row r="50" spans="1:17" ht="15" hidden="1" thickBot="1">
      <c r="B50" s="184" t="s">
        <v>2801</v>
      </c>
      <c r="C50" s="389">
        <v>1</v>
      </c>
      <c r="D50" s="7" t="s">
        <v>2688</v>
      </c>
      <c r="E50" s="934">
        <v>2.5379761874999997E-2</v>
      </c>
      <c r="F50" s="934">
        <v>0.29249999999999998</v>
      </c>
      <c r="G50" s="934">
        <v>2.5379761874999995</v>
      </c>
      <c r="H50" s="930"/>
      <c r="I50" s="934">
        <v>0.79309069155092593</v>
      </c>
      <c r="J50" s="934">
        <v>3.6205906915509258</v>
      </c>
      <c r="K50" s="931"/>
      <c r="L50" t="s">
        <v>2796</v>
      </c>
      <c r="Q50" s="895"/>
    </row>
    <row r="51" spans="1:17" ht="15" hidden="1" thickBot="1">
      <c r="B51" s="184"/>
      <c r="C51" s="389"/>
      <c r="E51" s="929"/>
      <c r="F51" s="929"/>
      <c r="G51" s="930"/>
      <c r="H51" s="930"/>
      <c r="I51" s="930"/>
      <c r="J51" s="930"/>
      <c r="K51" s="931"/>
      <c r="L51"/>
    </row>
    <row r="52" spans="1:17" s="159" customFormat="1" ht="15" hidden="1" thickBot="1">
      <c r="A52" s="159" t="s">
        <v>205</v>
      </c>
      <c r="B52" s="384" t="s">
        <v>206</v>
      </c>
      <c r="C52" s="390">
        <v>1</v>
      </c>
      <c r="D52" s="159" t="s">
        <v>242</v>
      </c>
      <c r="E52" s="926">
        <v>6</v>
      </c>
      <c r="F52" s="926">
        <v>45</v>
      </c>
      <c r="G52" s="935">
        <v>599.48028571428574</v>
      </c>
      <c r="H52" s="935"/>
      <c r="I52" s="935">
        <v>450</v>
      </c>
      <c r="J52" s="935">
        <v>1094.4802857142859</v>
      </c>
      <c r="K52" s="928"/>
      <c r="L52" s="852" t="s">
        <v>2807</v>
      </c>
    </row>
    <row r="53" spans="1:17" ht="15" hidden="1" thickBot="1">
      <c r="B53" s="184" t="s">
        <v>2806</v>
      </c>
      <c r="C53" s="192">
        <v>1</v>
      </c>
      <c r="D53" s="7" t="s">
        <v>242</v>
      </c>
      <c r="E53" s="929">
        <v>6</v>
      </c>
      <c r="F53" s="929">
        <v>45</v>
      </c>
      <c r="G53" s="930">
        <v>599.48028571428574</v>
      </c>
      <c r="H53" s="930"/>
      <c r="I53" s="930">
        <v>450</v>
      </c>
      <c r="J53" s="930">
        <v>1094.4802857142859</v>
      </c>
      <c r="K53" s="931"/>
      <c r="Q53" s="896"/>
    </row>
    <row r="54" spans="1:17" ht="15" hidden="1" thickBot="1">
      <c r="B54" s="184"/>
      <c r="C54" s="192"/>
      <c r="E54" s="929"/>
      <c r="F54" s="929"/>
      <c r="G54" s="930"/>
      <c r="H54" s="930"/>
      <c r="I54" s="930"/>
      <c r="J54" s="930"/>
      <c r="K54" s="931"/>
    </row>
    <row r="55" spans="1:17" s="159" customFormat="1" ht="15" hidden="1" thickBot="1">
      <c r="A55" s="159" t="s">
        <v>823</v>
      </c>
      <c r="B55" s="384" t="s">
        <v>824</v>
      </c>
      <c r="C55" s="390">
        <v>1</v>
      </c>
      <c r="D55" s="159" t="s">
        <v>136</v>
      </c>
      <c r="E55" s="936">
        <v>0.01</v>
      </c>
      <c r="F55" s="936">
        <v>1.0000000000000002E-2</v>
      </c>
      <c r="G55" s="935">
        <v>1</v>
      </c>
      <c r="H55" s="935"/>
      <c r="I55" s="935">
        <v>0.1</v>
      </c>
      <c r="J55" s="935">
        <v>1.1000000000000001</v>
      </c>
      <c r="K55" s="928"/>
      <c r="Q55" s="897"/>
    </row>
    <row r="56" spans="1:17" ht="15" hidden="1" thickBot="1">
      <c r="B56" s="184" t="s">
        <v>2808</v>
      </c>
      <c r="C56" s="192">
        <v>1</v>
      </c>
      <c r="D56" s="7" t="s">
        <v>136</v>
      </c>
      <c r="E56" s="937">
        <v>0.01</v>
      </c>
      <c r="F56" s="937">
        <v>1.0000000000000002E-2</v>
      </c>
      <c r="G56" s="930">
        <v>1</v>
      </c>
      <c r="H56" s="930"/>
      <c r="I56" s="930">
        <v>0.1</v>
      </c>
      <c r="J56" s="930">
        <v>1.1000000000000001</v>
      </c>
      <c r="K56" s="931"/>
      <c r="L56" s="7" t="s">
        <v>2794</v>
      </c>
    </row>
    <row r="57" spans="1:17" ht="15" hidden="1" thickBot="1">
      <c r="C57" s="192"/>
      <c r="E57" s="929"/>
      <c r="F57" s="929"/>
      <c r="G57" s="930"/>
      <c r="H57" s="930"/>
      <c r="I57" s="930"/>
      <c r="J57" s="930"/>
      <c r="K57" s="931"/>
    </row>
    <row r="58" spans="1:17" ht="15" hidden="1" thickBot="1">
      <c r="A58" s="7" t="s">
        <v>2809</v>
      </c>
      <c r="B58" s="454" t="s">
        <v>2767</v>
      </c>
      <c r="C58" s="389">
        <v>1</v>
      </c>
      <c r="D58" s="7" t="s">
        <v>2688</v>
      </c>
      <c r="E58" s="928">
        <v>3.4693401880877751E-2</v>
      </c>
      <c r="F58" s="926">
        <v>0.40997347480106111</v>
      </c>
      <c r="G58" s="935">
        <v>2.9301567398119128</v>
      </c>
      <c r="H58" s="935"/>
      <c r="I58" s="935">
        <v>3.2887072686189938</v>
      </c>
      <c r="J58" s="935">
        <v>6.2188640084309066</v>
      </c>
      <c r="K58" s="928"/>
    </row>
    <row r="59" spans="1:17" ht="15" hidden="1" thickBot="1">
      <c r="B59" s="184" t="s">
        <v>2810</v>
      </c>
      <c r="C59" s="389">
        <v>1</v>
      </c>
      <c r="D59" s="7" t="s">
        <v>2688</v>
      </c>
      <c r="E59" s="938">
        <v>3.4693401880877751E-2</v>
      </c>
      <c r="F59" s="939">
        <v>0.40997347480106111</v>
      </c>
      <c r="G59" s="940">
        <v>2.9301567398119128</v>
      </c>
      <c r="H59" s="940"/>
      <c r="I59" s="940">
        <v>3.2887072686189938</v>
      </c>
      <c r="J59" s="940">
        <v>6.2188640084309066</v>
      </c>
      <c r="K59" s="938"/>
    </row>
    <row r="60" spans="1:17" ht="15" hidden="1" thickBot="1">
      <c r="C60" s="192"/>
      <c r="E60" s="929"/>
      <c r="F60" s="929"/>
      <c r="G60" s="930"/>
      <c r="H60" s="930"/>
      <c r="I60" s="930"/>
      <c r="J60" s="930"/>
      <c r="K60" s="931"/>
    </row>
    <row r="61" spans="1:17" ht="15" hidden="1" thickBot="1">
      <c r="A61" s="7" t="s">
        <v>2811</v>
      </c>
      <c r="B61" s="894" t="s">
        <v>2812</v>
      </c>
      <c r="C61" s="389">
        <v>1</v>
      </c>
      <c r="D61" s="7" t="s">
        <v>136</v>
      </c>
      <c r="E61" s="926">
        <v>0.17346700940438875</v>
      </c>
      <c r="F61" s="926">
        <v>2.0498673740053057</v>
      </c>
      <c r="G61" s="926">
        <v>14.650783699059565</v>
      </c>
      <c r="H61" s="935"/>
      <c r="I61" s="926">
        <v>16.443536343094969</v>
      </c>
      <c r="J61" s="926">
        <v>31.094320042154532</v>
      </c>
      <c r="K61" s="928"/>
    </row>
    <row r="62" spans="1:17" ht="15" hidden="1" thickBot="1">
      <c r="B62" s="184"/>
      <c r="C62" s="389">
        <v>1</v>
      </c>
      <c r="D62" s="7" t="s">
        <v>2700</v>
      </c>
      <c r="E62" s="938">
        <v>3.4693401880877751E-2</v>
      </c>
      <c r="F62" s="939">
        <v>0.40997347480106111</v>
      </c>
      <c r="G62" s="940">
        <v>2.9301567398119128</v>
      </c>
      <c r="H62" s="940"/>
      <c r="I62" s="940">
        <v>3.2887072686189938</v>
      </c>
      <c r="J62" s="940">
        <v>6.2188640084309066</v>
      </c>
      <c r="K62" s="938"/>
    </row>
    <row r="63" spans="1:17" ht="15" hidden="1" thickBot="1">
      <c r="B63" s="185"/>
      <c r="E63" s="929"/>
      <c r="F63" s="929"/>
      <c r="G63" s="930"/>
      <c r="H63" s="930"/>
      <c r="I63" s="930"/>
      <c r="J63" s="930"/>
      <c r="K63" s="931"/>
    </row>
    <row r="64" spans="1:17" s="159" customFormat="1" ht="15" thickBot="1">
      <c r="A64" s="941" t="s">
        <v>1768</v>
      </c>
      <c r="B64" s="942" t="s">
        <v>3420</v>
      </c>
      <c r="C64" s="943">
        <v>1</v>
      </c>
      <c r="D64" s="944" t="s">
        <v>242</v>
      </c>
      <c r="E64" s="932">
        <v>8.1</v>
      </c>
      <c r="F64" s="945">
        <v>106.5</v>
      </c>
      <c r="G64" s="933">
        <v>809.29838571428581</v>
      </c>
      <c r="H64" s="933"/>
      <c r="I64" s="933">
        <v>1065</v>
      </c>
      <c r="J64" s="933">
        <v>1980.7983857142858</v>
      </c>
      <c r="K64" s="946">
        <v>0.5</v>
      </c>
    </row>
    <row r="65" spans="1:12" ht="15" hidden="1" thickBot="1">
      <c r="B65" s="183" t="s">
        <v>2813</v>
      </c>
      <c r="C65" s="389">
        <v>1</v>
      </c>
      <c r="D65" s="7" t="s">
        <v>242</v>
      </c>
      <c r="E65" s="929">
        <v>5</v>
      </c>
      <c r="F65" s="947">
        <v>75</v>
      </c>
      <c r="G65" s="930">
        <v>499.56690476190482</v>
      </c>
      <c r="H65" s="930"/>
      <c r="I65" s="930">
        <v>750</v>
      </c>
      <c r="J65" s="930">
        <v>1324.5669047619049</v>
      </c>
      <c r="K65" s="931"/>
      <c r="L65" s="7" t="s">
        <v>2814</v>
      </c>
    </row>
    <row r="66" spans="1:12" ht="15" hidden="1" thickBot="1">
      <c r="B66" s="184" t="s">
        <v>2815</v>
      </c>
      <c r="C66" s="192">
        <v>1</v>
      </c>
      <c r="D66" s="7" t="s">
        <v>242</v>
      </c>
      <c r="E66" s="929">
        <v>1</v>
      </c>
      <c r="F66" s="947"/>
      <c r="G66" s="930">
        <v>99.913380952380962</v>
      </c>
      <c r="H66" s="948"/>
      <c r="I66" s="948">
        <v>0</v>
      </c>
      <c r="J66" s="930">
        <v>99.913380952380962</v>
      </c>
      <c r="K66" s="931"/>
      <c r="L66" s="7" t="s">
        <v>2816</v>
      </c>
    </row>
    <row r="67" spans="1:12" ht="15" hidden="1" thickBot="1">
      <c r="B67" s="183" t="s">
        <v>2817</v>
      </c>
      <c r="C67" s="389">
        <v>1</v>
      </c>
      <c r="D67" s="7" t="s">
        <v>242</v>
      </c>
      <c r="E67" s="929">
        <v>2</v>
      </c>
      <c r="F67" s="947">
        <v>30</v>
      </c>
      <c r="G67" s="930">
        <v>199.82676190476192</v>
      </c>
      <c r="H67" s="948"/>
      <c r="I67" s="930">
        <v>300</v>
      </c>
      <c r="J67" s="930">
        <v>529.82676190476195</v>
      </c>
      <c r="K67" s="931"/>
      <c r="L67" s="7" t="s">
        <v>2818</v>
      </c>
    </row>
    <row r="68" spans="1:12" ht="15" hidden="1" thickBot="1">
      <c r="B68" s="183" t="s">
        <v>2819</v>
      </c>
      <c r="C68" s="389">
        <v>1</v>
      </c>
      <c r="D68" s="7" t="s">
        <v>242</v>
      </c>
      <c r="E68" s="929">
        <v>0.1</v>
      </c>
      <c r="F68" s="947">
        <v>1.5</v>
      </c>
      <c r="G68" s="930">
        <v>9.9913380952380972</v>
      </c>
      <c r="H68" s="948"/>
      <c r="I68" s="930">
        <v>15</v>
      </c>
      <c r="J68" s="930">
        <v>26.491338095238099</v>
      </c>
      <c r="K68" s="931"/>
      <c r="L68" s="7" t="s">
        <v>2820</v>
      </c>
    </row>
    <row r="69" spans="1:12" ht="15" hidden="1" thickBot="1">
      <c r="B69" s="183"/>
      <c r="C69" s="389"/>
      <c r="E69" s="929"/>
      <c r="F69" s="929"/>
      <c r="G69" s="948"/>
      <c r="H69" s="948"/>
      <c r="I69" s="948"/>
      <c r="J69" s="948"/>
    </row>
    <row r="70" spans="1:12" ht="15" thickBot="1">
      <c r="A70" s="941" t="s">
        <v>2123</v>
      </c>
      <c r="B70" s="176" t="s">
        <v>2124</v>
      </c>
      <c r="C70" s="943">
        <v>1</v>
      </c>
      <c r="D70" s="944" t="s">
        <v>242</v>
      </c>
      <c r="E70" s="932">
        <v>19.2</v>
      </c>
      <c r="F70" s="945">
        <v>213</v>
      </c>
      <c r="G70" s="933">
        <v>1918.3369142857146</v>
      </c>
      <c r="H70" s="933"/>
      <c r="I70" s="933">
        <v>2130</v>
      </c>
      <c r="J70" s="933">
        <v>4261.3369142857146</v>
      </c>
      <c r="K70" s="946">
        <v>1</v>
      </c>
    </row>
    <row r="71" spans="1:12" ht="15" hidden="1" thickBot="1">
      <c r="B71" s="183" t="s">
        <v>2813</v>
      </c>
      <c r="C71" s="389">
        <v>1</v>
      </c>
      <c r="D71" s="7" t="s">
        <v>242</v>
      </c>
      <c r="E71" s="929">
        <v>10</v>
      </c>
      <c r="F71" s="947">
        <v>150</v>
      </c>
      <c r="G71" s="930">
        <v>999.13380952380965</v>
      </c>
      <c r="H71" s="930"/>
      <c r="I71" s="930">
        <v>1500</v>
      </c>
      <c r="J71" s="930">
        <v>2649.1338095238098</v>
      </c>
      <c r="K71" s="931"/>
      <c r="L71" s="7" t="s">
        <v>2821</v>
      </c>
    </row>
    <row r="72" spans="1:12" ht="15" hidden="1" thickBot="1">
      <c r="B72" s="184" t="s">
        <v>2815</v>
      </c>
      <c r="C72" s="389">
        <v>1</v>
      </c>
      <c r="D72" s="7" t="s">
        <v>242</v>
      </c>
      <c r="E72" s="929">
        <v>5</v>
      </c>
      <c r="F72" s="947"/>
      <c r="G72" s="930">
        <v>499.56690476190482</v>
      </c>
      <c r="H72" s="948"/>
      <c r="I72" s="948">
        <v>0</v>
      </c>
      <c r="J72" s="930">
        <v>499.56690476190482</v>
      </c>
      <c r="K72" s="931"/>
      <c r="L72" s="7" t="s">
        <v>2814</v>
      </c>
    </row>
    <row r="73" spans="1:12" ht="15" hidden="1" thickBot="1">
      <c r="B73" s="183" t="s">
        <v>2817</v>
      </c>
      <c r="C73" s="389">
        <v>1</v>
      </c>
      <c r="D73" s="7" t="s">
        <v>242</v>
      </c>
      <c r="E73" s="929">
        <v>4</v>
      </c>
      <c r="F73" s="947">
        <v>60</v>
      </c>
      <c r="G73" s="930">
        <v>399.65352380952385</v>
      </c>
      <c r="H73" s="948"/>
      <c r="I73" s="930">
        <v>600</v>
      </c>
      <c r="J73" s="930">
        <v>1059.6535238095239</v>
      </c>
      <c r="K73" s="931"/>
      <c r="L73" s="7" t="s">
        <v>2822</v>
      </c>
    </row>
    <row r="74" spans="1:12" ht="15" hidden="1" thickBot="1">
      <c r="B74" s="183" t="s">
        <v>2819</v>
      </c>
      <c r="C74" s="389">
        <v>1</v>
      </c>
      <c r="D74" s="7" t="s">
        <v>242</v>
      </c>
      <c r="E74" s="929">
        <v>0.2</v>
      </c>
      <c r="F74" s="947">
        <v>3</v>
      </c>
      <c r="G74" s="930">
        <v>19.982676190476194</v>
      </c>
      <c r="H74" s="948"/>
      <c r="I74" s="930">
        <v>30</v>
      </c>
      <c r="J74" s="930">
        <v>52.982676190476198</v>
      </c>
      <c r="K74" s="931"/>
      <c r="L74" s="7" t="s">
        <v>2823</v>
      </c>
    </row>
    <row r="75" spans="1:12" ht="15" hidden="1" thickBot="1">
      <c r="B75" s="183"/>
      <c r="C75" s="389"/>
      <c r="E75" s="929"/>
      <c r="F75" s="929"/>
      <c r="G75" s="948"/>
      <c r="H75" s="948"/>
      <c r="I75" s="948"/>
      <c r="J75" s="948"/>
    </row>
    <row r="76" spans="1:12" ht="15" hidden="1" thickBot="1">
      <c r="B76" s="183"/>
      <c r="C76" s="389"/>
      <c r="E76" s="929"/>
      <c r="F76" s="929"/>
      <c r="G76" s="948"/>
      <c r="H76" s="948"/>
      <c r="I76" s="948"/>
      <c r="J76" s="948"/>
    </row>
    <row r="77" spans="1:12" ht="15" thickBot="1">
      <c r="A77" s="941" t="s">
        <v>2120</v>
      </c>
      <c r="B77" s="176" t="s">
        <v>2121</v>
      </c>
      <c r="C77" s="943">
        <v>1</v>
      </c>
      <c r="D77" s="944" t="s">
        <v>242</v>
      </c>
      <c r="E77" s="932">
        <v>168</v>
      </c>
      <c r="F77" s="945">
        <v>2220</v>
      </c>
      <c r="G77" s="933">
        <v>16785.448</v>
      </c>
      <c r="H77" s="933"/>
      <c r="I77" s="933">
        <v>22200</v>
      </c>
      <c r="J77" s="933">
        <v>41205.448000000004</v>
      </c>
      <c r="K77" s="946">
        <v>56</v>
      </c>
    </row>
    <row r="78" spans="1:12" ht="15" hidden="1" thickBot="1">
      <c r="B78" s="183" t="s">
        <v>2813</v>
      </c>
      <c r="C78" s="389">
        <v>1</v>
      </c>
      <c r="D78" s="7" t="s">
        <v>242</v>
      </c>
      <c r="E78" s="929">
        <v>120</v>
      </c>
      <c r="F78" s="947">
        <v>1800</v>
      </c>
      <c r="G78" s="930">
        <v>11989.605714285715</v>
      </c>
      <c r="H78" s="930"/>
      <c r="I78" s="930">
        <v>18000</v>
      </c>
      <c r="J78" s="930">
        <v>31789.605714285717</v>
      </c>
      <c r="K78" s="931"/>
      <c r="L78" s="7" t="s">
        <v>2824</v>
      </c>
    </row>
    <row r="79" spans="1:12" ht="15" hidden="1" thickBot="1">
      <c r="B79" s="184" t="s">
        <v>2815</v>
      </c>
      <c r="C79" s="389">
        <v>1</v>
      </c>
      <c r="D79" s="7" t="s">
        <v>242</v>
      </c>
      <c r="E79" s="929">
        <v>20</v>
      </c>
      <c r="F79" s="947"/>
      <c r="G79" s="930">
        <v>1998.2676190476193</v>
      </c>
      <c r="H79" s="948"/>
      <c r="I79" s="948">
        <v>0</v>
      </c>
      <c r="J79" s="930">
        <v>1998.2676190476193</v>
      </c>
      <c r="K79" s="931"/>
      <c r="L79" s="7" t="s">
        <v>2825</v>
      </c>
    </row>
    <row r="80" spans="1:12" ht="15" hidden="1" thickBot="1">
      <c r="B80" s="183" t="s">
        <v>2817</v>
      </c>
      <c r="C80" s="389">
        <v>1</v>
      </c>
      <c r="D80" s="7" t="s">
        <v>242</v>
      </c>
      <c r="E80" s="929">
        <v>20</v>
      </c>
      <c r="F80" s="947">
        <v>300</v>
      </c>
      <c r="G80" s="930">
        <v>1998.2676190476193</v>
      </c>
      <c r="H80" s="948"/>
      <c r="I80" s="930">
        <v>3000</v>
      </c>
      <c r="J80" s="930">
        <v>5298.2676190476195</v>
      </c>
      <c r="K80" s="931"/>
      <c r="L80" s="7" t="s">
        <v>2825</v>
      </c>
    </row>
    <row r="81" spans="1:12" ht="15" hidden="1" thickBot="1">
      <c r="B81" s="183" t="s">
        <v>2819</v>
      </c>
      <c r="C81" s="389">
        <v>1</v>
      </c>
      <c r="D81" s="7" t="s">
        <v>242</v>
      </c>
      <c r="E81" s="929">
        <v>8</v>
      </c>
      <c r="F81" s="947">
        <v>120</v>
      </c>
      <c r="G81" s="930">
        <v>799.30704761904769</v>
      </c>
      <c r="H81" s="948"/>
      <c r="I81" s="930">
        <v>1200</v>
      </c>
      <c r="J81" s="930">
        <v>2119.3070476190478</v>
      </c>
      <c r="K81" s="931"/>
      <c r="L81" s="7" t="s">
        <v>2826</v>
      </c>
    </row>
    <row r="82" spans="1:12" ht="15" hidden="1" thickBot="1">
      <c r="B82" s="183"/>
      <c r="C82" s="389"/>
      <c r="E82" s="929"/>
      <c r="F82" s="929"/>
      <c r="G82" s="948"/>
      <c r="H82" s="948"/>
      <c r="I82" s="948"/>
      <c r="J82" s="948"/>
    </row>
    <row r="83" spans="1:12" s="159" customFormat="1" ht="15" thickBot="1">
      <c r="A83" s="941" t="s">
        <v>2129</v>
      </c>
      <c r="B83" s="942" t="s">
        <v>2130</v>
      </c>
      <c r="C83" s="943">
        <v>1</v>
      </c>
      <c r="D83" s="944" t="s">
        <v>242</v>
      </c>
      <c r="E83" s="932">
        <v>6.666666666666667</v>
      </c>
      <c r="F83" s="932">
        <v>25</v>
      </c>
      <c r="G83" s="932">
        <v>666.08920634920639</v>
      </c>
      <c r="H83" s="933"/>
      <c r="I83" s="932">
        <v>250</v>
      </c>
      <c r="J83" s="932">
        <v>941.08920634920639</v>
      </c>
      <c r="K83" s="946">
        <v>4</v>
      </c>
      <c r="L83" s="932"/>
    </row>
    <row r="84" spans="1:12" ht="15" hidden="1" thickBot="1">
      <c r="B84" s="183" t="s">
        <v>2813</v>
      </c>
      <c r="C84" s="389">
        <v>1</v>
      </c>
      <c r="D84" s="7" t="s">
        <v>242</v>
      </c>
      <c r="E84" s="929">
        <v>2</v>
      </c>
      <c r="F84" s="947">
        <v>0</v>
      </c>
      <c r="G84" s="930">
        <v>199.82676190476192</v>
      </c>
      <c r="H84" s="930"/>
      <c r="I84" s="930">
        <v>0</v>
      </c>
      <c r="J84" s="930">
        <v>199.82676190476192</v>
      </c>
      <c r="K84" s="931"/>
      <c r="L84" s="7" t="s">
        <v>2827</v>
      </c>
    </row>
    <row r="85" spans="1:12" ht="15" hidden="1" thickBot="1">
      <c r="B85" s="184" t="s">
        <v>2815</v>
      </c>
      <c r="C85" s="192">
        <v>1</v>
      </c>
      <c r="D85" s="7" t="s">
        <v>242</v>
      </c>
      <c r="E85" s="929">
        <v>3</v>
      </c>
      <c r="F85" s="947"/>
      <c r="G85" s="930">
        <v>299.74014285714287</v>
      </c>
      <c r="H85" s="948"/>
      <c r="I85" s="948">
        <v>0</v>
      </c>
      <c r="J85" s="930">
        <v>299.74014285714287</v>
      </c>
      <c r="K85" s="931"/>
      <c r="L85" s="7" t="s">
        <v>2827</v>
      </c>
    </row>
    <row r="86" spans="1:12" ht="15" hidden="1" thickBot="1">
      <c r="B86" s="183" t="s">
        <v>2817</v>
      </c>
      <c r="C86" s="389">
        <v>1</v>
      </c>
      <c r="D86" s="7" t="s">
        <v>242</v>
      </c>
      <c r="E86" s="929">
        <v>1</v>
      </c>
      <c r="F86" s="947">
        <v>15</v>
      </c>
      <c r="G86" s="930">
        <v>99.913380952380962</v>
      </c>
      <c r="H86" s="948"/>
      <c r="I86" s="930">
        <v>150</v>
      </c>
      <c r="J86" s="930">
        <v>264.91338095238098</v>
      </c>
      <c r="K86" s="931"/>
      <c r="L86" s="930" t="s">
        <v>2828</v>
      </c>
    </row>
    <row r="87" spans="1:12" ht="15" hidden="1" thickBot="1">
      <c r="B87" s="183" t="s">
        <v>2819</v>
      </c>
      <c r="C87" s="389">
        <v>1</v>
      </c>
      <c r="D87" s="7" t="s">
        <v>242</v>
      </c>
      <c r="E87" s="929">
        <v>0.66666666666666663</v>
      </c>
      <c r="F87" s="947">
        <v>10</v>
      </c>
      <c r="G87" s="930">
        <v>66.608920634920636</v>
      </c>
      <c r="H87" s="948"/>
      <c r="I87" s="930">
        <v>100</v>
      </c>
      <c r="J87" s="930">
        <v>176.60892063492065</v>
      </c>
      <c r="K87" s="931"/>
      <c r="L87" s="930" t="s">
        <v>2829</v>
      </c>
    </row>
    <row r="88" spans="1:12" ht="15" hidden="1" thickBot="1">
      <c r="B88" s="183"/>
      <c r="C88" s="389"/>
      <c r="E88" s="929"/>
      <c r="F88" s="929"/>
      <c r="G88" s="948"/>
      <c r="H88" s="948"/>
      <c r="I88" s="948"/>
      <c r="J88" s="948"/>
      <c r="L88" s="948"/>
    </row>
    <row r="89" spans="1:12" ht="15" thickBot="1">
      <c r="A89" s="941" t="s">
        <v>2127</v>
      </c>
      <c r="B89" s="176" t="s">
        <v>2177</v>
      </c>
      <c r="C89" s="943">
        <v>1</v>
      </c>
      <c r="D89" s="944" t="s">
        <v>242</v>
      </c>
      <c r="E89" s="932">
        <v>10</v>
      </c>
      <c r="F89" s="932">
        <v>45</v>
      </c>
      <c r="G89" s="932">
        <v>999.13380952380965</v>
      </c>
      <c r="H89" s="933"/>
      <c r="I89" s="932">
        <v>450</v>
      </c>
      <c r="J89" s="932">
        <v>1494.1338095238098</v>
      </c>
      <c r="K89" s="946">
        <v>24</v>
      </c>
      <c r="L89" s="932"/>
    </row>
    <row r="90" spans="1:12" ht="15" hidden="1" thickBot="1">
      <c r="B90" s="183" t="s">
        <v>2813</v>
      </c>
      <c r="C90" s="389">
        <v>1</v>
      </c>
      <c r="D90" s="7" t="s">
        <v>242</v>
      </c>
      <c r="E90" s="929">
        <v>3</v>
      </c>
      <c r="F90" s="947">
        <v>0</v>
      </c>
      <c r="G90" s="930">
        <v>299.74014285714287</v>
      </c>
      <c r="H90" s="930"/>
      <c r="I90" s="930">
        <v>0</v>
      </c>
      <c r="J90" s="930">
        <v>299.74014285714287</v>
      </c>
      <c r="K90" s="931"/>
      <c r="L90" s="7" t="s">
        <v>2827</v>
      </c>
    </row>
    <row r="91" spans="1:12" ht="15" hidden="1" thickBot="1">
      <c r="B91" s="184" t="s">
        <v>2815</v>
      </c>
      <c r="C91" s="389">
        <v>1</v>
      </c>
      <c r="D91" s="7" t="s">
        <v>242</v>
      </c>
      <c r="E91" s="929">
        <v>4</v>
      </c>
      <c r="F91" s="947"/>
      <c r="G91" s="930">
        <v>399.65352380952385</v>
      </c>
      <c r="H91" s="948"/>
      <c r="I91" s="948">
        <v>0</v>
      </c>
      <c r="J91" s="930">
        <v>399.65352380952385</v>
      </c>
      <c r="K91" s="931"/>
      <c r="L91" s="7" t="s">
        <v>2827</v>
      </c>
    </row>
    <row r="92" spans="1:12" ht="15" hidden="1" thickBot="1">
      <c r="B92" s="183" t="s">
        <v>2817</v>
      </c>
      <c r="C92" s="389">
        <v>1</v>
      </c>
      <c r="D92" s="7" t="s">
        <v>242</v>
      </c>
      <c r="E92" s="929">
        <v>1</v>
      </c>
      <c r="F92" s="947">
        <v>15</v>
      </c>
      <c r="G92" s="930">
        <v>99.913380952380962</v>
      </c>
      <c r="H92" s="948"/>
      <c r="I92" s="930">
        <v>150</v>
      </c>
      <c r="J92" s="930">
        <v>264.91338095238098</v>
      </c>
      <c r="K92" s="931"/>
      <c r="L92" s="930" t="s">
        <v>2828</v>
      </c>
    </row>
    <row r="93" spans="1:12" ht="15" hidden="1" thickBot="1">
      <c r="B93" s="183" t="s">
        <v>2819</v>
      </c>
      <c r="C93" s="389">
        <v>1</v>
      </c>
      <c r="D93" s="7" t="s">
        <v>242</v>
      </c>
      <c r="E93" s="929">
        <v>2</v>
      </c>
      <c r="F93" s="947">
        <v>30</v>
      </c>
      <c r="G93" s="930">
        <v>199.82676190476192</v>
      </c>
      <c r="H93" s="948"/>
      <c r="I93" s="930">
        <v>300</v>
      </c>
      <c r="J93" s="930">
        <v>529.82676190476195</v>
      </c>
      <c r="K93" s="931"/>
      <c r="L93" s="930" t="s">
        <v>2830</v>
      </c>
    </row>
    <row r="94" spans="1:12" ht="15" hidden="1" thickBot="1">
      <c r="B94" s="183"/>
      <c r="C94" s="389"/>
      <c r="E94" s="929"/>
      <c r="F94" s="929"/>
      <c r="G94" s="948"/>
      <c r="H94" s="948"/>
      <c r="I94" s="948"/>
      <c r="J94" s="948"/>
    </row>
    <row r="95" spans="1:12" ht="15" hidden="1" thickBot="1">
      <c r="B95" s="183"/>
      <c r="C95" s="389"/>
      <c r="E95" s="929"/>
      <c r="F95" s="929"/>
      <c r="G95" s="948"/>
      <c r="H95" s="948"/>
      <c r="I95" s="948"/>
      <c r="J95" s="948"/>
    </row>
    <row r="96" spans="1:12" ht="14.25" customHeight="1" thickBot="1">
      <c r="A96" s="941" t="s">
        <v>2125</v>
      </c>
      <c r="B96" s="176" t="s">
        <v>2126</v>
      </c>
      <c r="C96" s="943">
        <v>1</v>
      </c>
      <c r="D96" s="944" t="s">
        <v>242</v>
      </c>
      <c r="E96" s="932">
        <v>13</v>
      </c>
      <c r="F96" s="932">
        <v>120</v>
      </c>
      <c r="G96" s="932">
        <v>1298.8739523809525</v>
      </c>
      <c r="H96" s="933"/>
      <c r="I96" s="932">
        <v>1200</v>
      </c>
      <c r="J96" s="932">
        <v>2618.8739523809527</v>
      </c>
      <c r="K96" s="946">
        <v>96</v>
      </c>
      <c r="L96" s="932"/>
    </row>
    <row r="97" spans="1:12" ht="15" hidden="1" thickBot="1">
      <c r="B97" s="183" t="s">
        <v>2813</v>
      </c>
      <c r="C97" s="389">
        <v>1</v>
      </c>
      <c r="D97" s="7" t="s">
        <v>242</v>
      </c>
      <c r="E97" s="929">
        <v>5</v>
      </c>
      <c r="F97" s="947">
        <v>75</v>
      </c>
      <c r="G97" s="930">
        <v>499.56690476190482</v>
      </c>
      <c r="H97" s="930"/>
      <c r="I97" s="930">
        <v>750</v>
      </c>
      <c r="J97" s="930">
        <v>1324.5669047619049</v>
      </c>
      <c r="K97" s="931"/>
      <c r="L97" s="7" t="s">
        <v>2831</v>
      </c>
    </row>
    <row r="98" spans="1:12" ht="15" hidden="1" thickBot="1">
      <c r="B98" s="184" t="s">
        <v>2815</v>
      </c>
      <c r="C98" s="389">
        <v>1</v>
      </c>
      <c r="D98" s="7" t="s">
        <v>242</v>
      </c>
      <c r="E98" s="929">
        <v>5</v>
      </c>
      <c r="F98" s="947"/>
      <c r="G98" s="930">
        <v>499.56690476190482</v>
      </c>
      <c r="H98" s="948"/>
      <c r="I98" s="948">
        <v>0</v>
      </c>
      <c r="J98" s="930">
        <v>499.56690476190482</v>
      </c>
      <c r="K98" s="931"/>
      <c r="L98" s="7" t="s">
        <v>2827</v>
      </c>
    </row>
    <row r="99" spans="1:12" ht="15" hidden="1" thickBot="1">
      <c r="B99" s="183" t="s">
        <v>2817</v>
      </c>
      <c r="C99" s="389">
        <v>1</v>
      </c>
      <c r="D99" s="7" t="s">
        <v>242</v>
      </c>
      <c r="E99" s="929">
        <v>1</v>
      </c>
      <c r="F99" s="947">
        <v>15</v>
      </c>
      <c r="G99" s="930">
        <v>99.913380952380962</v>
      </c>
      <c r="H99" s="948"/>
      <c r="I99" s="930">
        <v>150</v>
      </c>
      <c r="J99" s="930">
        <v>264.91338095238098</v>
      </c>
      <c r="K99" s="931"/>
      <c r="L99" s="930" t="s">
        <v>2828</v>
      </c>
    </row>
    <row r="100" spans="1:12" ht="15" hidden="1" thickBot="1">
      <c r="B100" s="183" t="s">
        <v>2819</v>
      </c>
      <c r="C100" s="389">
        <v>1</v>
      </c>
      <c r="D100" s="7" t="s">
        <v>242</v>
      </c>
      <c r="E100" s="929">
        <v>2</v>
      </c>
      <c r="F100" s="947">
        <v>30</v>
      </c>
      <c r="G100" s="930">
        <v>199.82676190476192</v>
      </c>
      <c r="H100" s="948"/>
      <c r="I100" s="930">
        <v>300</v>
      </c>
      <c r="J100" s="930">
        <v>529.82676190476195</v>
      </c>
      <c r="K100" s="931"/>
      <c r="L100" s="930" t="s">
        <v>2830</v>
      </c>
    </row>
    <row r="101" spans="1:12" ht="15" hidden="1" thickBot="1">
      <c r="B101" s="185"/>
      <c r="E101" s="929"/>
      <c r="F101" s="929"/>
      <c r="G101" s="930"/>
      <c r="H101" s="930"/>
      <c r="I101" s="930"/>
      <c r="J101" s="930"/>
      <c r="K101" s="931"/>
    </row>
    <row r="102" spans="1:12" s="159" customFormat="1" ht="15" thickBot="1">
      <c r="A102" s="941" t="s">
        <v>196</v>
      </c>
      <c r="B102" s="942" t="s">
        <v>197</v>
      </c>
      <c r="C102" s="943">
        <v>1</v>
      </c>
      <c r="D102" s="944" t="s">
        <v>242</v>
      </c>
      <c r="E102" s="932">
        <v>9.6666666666666661</v>
      </c>
      <c r="F102" s="945">
        <v>107.5</v>
      </c>
      <c r="G102" s="933">
        <v>965.82934920634932</v>
      </c>
      <c r="H102" s="933"/>
      <c r="I102" s="933">
        <v>1075</v>
      </c>
      <c r="J102" s="933">
        <v>2148.3293492063494</v>
      </c>
      <c r="K102" s="946">
        <v>1</v>
      </c>
    </row>
    <row r="103" spans="1:12" ht="15" hidden="1" thickBot="1">
      <c r="B103" s="183" t="s">
        <v>2832</v>
      </c>
      <c r="C103" s="389">
        <v>1</v>
      </c>
      <c r="D103" s="7" t="s">
        <v>242</v>
      </c>
      <c r="E103" s="929">
        <v>2</v>
      </c>
      <c r="F103" s="947">
        <v>30</v>
      </c>
      <c r="G103" s="930">
        <v>199.82676190476192</v>
      </c>
      <c r="H103" s="930"/>
      <c r="I103" s="930">
        <v>300</v>
      </c>
      <c r="J103" s="930">
        <v>529.82676190476195</v>
      </c>
      <c r="K103" s="931"/>
      <c r="L103" s="7" t="s">
        <v>2833</v>
      </c>
    </row>
    <row r="104" spans="1:12" ht="15" hidden="1" thickBot="1">
      <c r="B104" s="183" t="s">
        <v>2834</v>
      </c>
      <c r="C104" s="389">
        <v>1</v>
      </c>
      <c r="D104" s="7" t="s">
        <v>242</v>
      </c>
      <c r="E104" s="929">
        <v>0.5</v>
      </c>
      <c r="F104" s="947">
        <v>7.5</v>
      </c>
      <c r="G104" s="930">
        <v>49.956690476190481</v>
      </c>
      <c r="H104" s="930"/>
      <c r="I104" s="930">
        <v>75</v>
      </c>
      <c r="J104" s="930">
        <v>132.45669047619049</v>
      </c>
      <c r="K104" s="931"/>
    </row>
    <row r="105" spans="1:12" ht="15" hidden="1" thickBot="1">
      <c r="B105" s="184" t="s">
        <v>2815</v>
      </c>
      <c r="C105" s="192">
        <v>1</v>
      </c>
      <c r="D105" s="7" t="s">
        <v>242</v>
      </c>
      <c r="E105" s="929">
        <v>2.5</v>
      </c>
      <c r="F105" s="947"/>
      <c r="G105" s="930">
        <v>249.78345238095241</v>
      </c>
      <c r="H105" s="948"/>
      <c r="I105" s="948">
        <v>0</v>
      </c>
      <c r="J105" s="930">
        <v>249.78345238095241</v>
      </c>
      <c r="K105" s="931"/>
    </row>
    <row r="106" spans="1:12" ht="15" hidden="1" thickBot="1">
      <c r="B106" s="183" t="s">
        <v>2817</v>
      </c>
      <c r="C106" s="389">
        <v>1</v>
      </c>
      <c r="D106" s="7" t="s">
        <v>242</v>
      </c>
      <c r="E106" s="929">
        <v>4</v>
      </c>
      <c r="F106" s="947">
        <v>60</v>
      </c>
      <c r="G106" s="930">
        <v>399.65352380952385</v>
      </c>
      <c r="H106" s="948"/>
      <c r="I106" s="930">
        <v>600</v>
      </c>
      <c r="J106" s="930">
        <v>1059.6535238095239</v>
      </c>
      <c r="K106" s="931"/>
      <c r="L106" s="7" t="s">
        <v>2835</v>
      </c>
    </row>
    <row r="107" spans="1:12" ht="15" hidden="1" thickBot="1">
      <c r="B107" s="183" t="s">
        <v>2819</v>
      </c>
      <c r="C107" s="389">
        <v>1</v>
      </c>
      <c r="D107" s="7" t="s">
        <v>242</v>
      </c>
      <c r="E107" s="929">
        <v>0.66666666666666663</v>
      </c>
      <c r="F107" s="947">
        <v>10</v>
      </c>
      <c r="G107" s="930">
        <v>66.608920634920636</v>
      </c>
      <c r="H107" s="948"/>
      <c r="I107" s="930">
        <v>100</v>
      </c>
      <c r="J107" s="930">
        <v>176.60892063492065</v>
      </c>
      <c r="K107" s="931"/>
      <c r="L107" s="7" t="s">
        <v>2836</v>
      </c>
    </row>
    <row r="108" spans="1:12" ht="15" hidden="1" thickBot="1">
      <c r="B108" s="183"/>
      <c r="C108" s="389"/>
      <c r="E108" s="929"/>
      <c r="F108" s="929"/>
      <c r="G108" s="948"/>
      <c r="H108" s="948"/>
      <c r="I108" s="948"/>
      <c r="J108" s="948"/>
    </row>
    <row r="109" spans="1:12" ht="15" thickBot="1">
      <c r="A109" s="941" t="s">
        <v>530</v>
      </c>
      <c r="B109" s="176" t="s">
        <v>531</v>
      </c>
      <c r="C109" s="943">
        <v>1</v>
      </c>
      <c r="D109" s="944" t="s">
        <v>242</v>
      </c>
      <c r="E109" s="932">
        <v>31</v>
      </c>
      <c r="F109" s="945">
        <v>390</v>
      </c>
      <c r="G109" s="933">
        <v>3097.3148095238098</v>
      </c>
      <c r="H109" s="933"/>
      <c r="I109" s="933">
        <v>3900</v>
      </c>
      <c r="J109" s="933">
        <v>7387.3148095238103</v>
      </c>
      <c r="K109" s="946">
        <v>2</v>
      </c>
    </row>
    <row r="110" spans="1:12" ht="15" hidden="1" thickBot="1">
      <c r="B110" s="183" t="s">
        <v>2813</v>
      </c>
      <c r="C110" s="389">
        <v>1</v>
      </c>
      <c r="D110" s="7" t="s">
        <v>242</v>
      </c>
      <c r="E110" s="929">
        <v>16</v>
      </c>
      <c r="F110" s="947">
        <v>240</v>
      </c>
      <c r="G110" s="930">
        <v>1598.6140952380954</v>
      </c>
      <c r="H110" s="930"/>
      <c r="I110" s="930">
        <v>2400</v>
      </c>
      <c r="J110" s="930">
        <v>4238.6140952380956</v>
      </c>
      <c r="K110" s="931"/>
      <c r="L110" s="7" t="s">
        <v>2837</v>
      </c>
    </row>
    <row r="111" spans="1:12" ht="15" hidden="1" thickBot="1">
      <c r="B111" s="184" t="s">
        <v>2815</v>
      </c>
      <c r="C111" s="389">
        <v>1</v>
      </c>
      <c r="D111" s="7" t="s">
        <v>242</v>
      </c>
      <c r="E111" s="929">
        <v>5</v>
      </c>
      <c r="F111" s="947"/>
      <c r="G111" s="930">
        <v>499.56690476190482</v>
      </c>
      <c r="H111" s="948"/>
      <c r="I111" s="948">
        <v>0</v>
      </c>
      <c r="J111" s="930">
        <v>499.56690476190482</v>
      </c>
      <c r="K111" s="931"/>
      <c r="L111" s="7" t="s">
        <v>2838</v>
      </c>
    </row>
    <row r="112" spans="1:12" ht="15" hidden="1" thickBot="1">
      <c r="B112" s="183" t="s">
        <v>2834</v>
      </c>
      <c r="C112" s="389">
        <v>1</v>
      </c>
      <c r="D112" s="7" t="s">
        <v>242</v>
      </c>
      <c r="E112" s="929">
        <v>2</v>
      </c>
      <c r="F112" s="947">
        <v>30</v>
      </c>
      <c r="G112" s="930">
        <v>199.82676190476192</v>
      </c>
      <c r="H112" s="930"/>
      <c r="I112" s="930">
        <v>300</v>
      </c>
      <c r="J112" s="930">
        <v>529.82676190476195</v>
      </c>
      <c r="K112" s="931"/>
    </row>
    <row r="113" spans="1:13" ht="15" hidden="1" thickBot="1">
      <c r="B113" s="183" t="s">
        <v>2817</v>
      </c>
      <c r="C113" s="389">
        <v>1</v>
      </c>
      <c r="D113" s="7" t="s">
        <v>242</v>
      </c>
      <c r="E113" s="929">
        <v>6</v>
      </c>
      <c r="F113" s="947">
        <v>90</v>
      </c>
      <c r="G113" s="930">
        <v>599.48028571428574</v>
      </c>
      <c r="H113" s="948"/>
      <c r="I113" s="930">
        <v>900</v>
      </c>
      <c r="J113" s="930">
        <v>1589.4802857142859</v>
      </c>
      <c r="K113" s="931"/>
      <c r="L113" s="7" t="s">
        <v>2839</v>
      </c>
    </row>
    <row r="114" spans="1:13" ht="15" hidden="1" thickBot="1">
      <c r="B114" s="183" t="s">
        <v>2819</v>
      </c>
      <c r="C114" s="389">
        <v>1</v>
      </c>
      <c r="D114" s="7" t="s">
        <v>242</v>
      </c>
      <c r="E114" s="929">
        <v>2</v>
      </c>
      <c r="F114" s="947">
        <v>30</v>
      </c>
      <c r="G114" s="930">
        <v>199.82676190476192</v>
      </c>
      <c r="H114" s="948"/>
      <c r="I114" s="930">
        <v>300</v>
      </c>
      <c r="J114" s="930">
        <v>529.82676190476195</v>
      </c>
      <c r="K114" s="931"/>
      <c r="L114" s="7" t="s">
        <v>2840</v>
      </c>
    </row>
    <row r="115" spans="1:13" ht="15" hidden="1" thickBot="1">
      <c r="B115" s="183"/>
      <c r="C115" s="389"/>
      <c r="E115" s="929"/>
      <c r="F115" s="929"/>
      <c r="G115" s="948"/>
      <c r="H115" s="948"/>
      <c r="I115" s="948"/>
      <c r="J115" s="948"/>
    </row>
    <row r="116" spans="1:13" s="906" customFormat="1" ht="15" hidden="1" thickBot="1">
      <c r="B116" s="907"/>
      <c r="C116" s="908"/>
      <c r="E116" s="949"/>
      <c r="F116" s="949"/>
      <c r="G116" s="950"/>
      <c r="H116" s="950"/>
      <c r="I116" s="950"/>
      <c r="J116" s="950"/>
      <c r="K116" s="951"/>
    </row>
    <row r="117" spans="1:13" s="906" customFormat="1" ht="15" hidden="1" thickBot="1">
      <c r="A117" s="909" t="s">
        <v>3325</v>
      </c>
      <c r="B117" s="910" t="s">
        <v>3421</v>
      </c>
      <c r="C117" s="911">
        <v>1</v>
      </c>
      <c r="D117" s="909" t="s">
        <v>242</v>
      </c>
      <c r="E117" s="952">
        <v>269</v>
      </c>
      <c r="F117" s="953">
        <v>2910</v>
      </c>
      <c r="G117" s="954">
        <v>26876.699476190479</v>
      </c>
      <c r="H117" s="954"/>
      <c r="I117" s="954">
        <v>29100</v>
      </c>
      <c r="J117" s="954">
        <v>58886.699476190479</v>
      </c>
      <c r="K117" s="952"/>
    </row>
    <row r="118" spans="1:13" s="906" customFormat="1" ht="15" hidden="1" thickBot="1">
      <c r="B118" s="907" t="s">
        <v>2813</v>
      </c>
      <c r="C118" s="908">
        <v>1</v>
      </c>
      <c r="D118" s="906" t="s">
        <v>242</v>
      </c>
      <c r="E118" s="949">
        <v>150</v>
      </c>
      <c r="F118" s="955">
        <v>2250</v>
      </c>
      <c r="G118" s="956">
        <v>14987.007142857145</v>
      </c>
      <c r="H118" s="956"/>
      <c r="I118" s="956">
        <v>22500</v>
      </c>
      <c r="J118" s="956">
        <v>39737.007142857146</v>
      </c>
      <c r="K118" s="957"/>
    </row>
    <row r="119" spans="1:13" s="906" customFormat="1" ht="15" hidden="1" thickBot="1">
      <c r="B119" s="907" t="s">
        <v>2815</v>
      </c>
      <c r="C119" s="908">
        <v>1</v>
      </c>
      <c r="D119" s="906" t="s">
        <v>242</v>
      </c>
      <c r="E119" s="949">
        <v>75</v>
      </c>
      <c r="F119" s="955"/>
      <c r="G119" s="956">
        <v>7493.5035714285723</v>
      </c>
      <c r="H119" s="950"/>
      <c r="I119" s="950">
        <v>0</v>
      </c>
      <c r="J119" s="956">
        <v>7493.5035714285723</v>
      </c>
      <c r="K119" s="957"/>
    </row>
    <row r="120" spans="1:13" s="906" customFormat="1" ht="15" hidden="1" thickBot="1">
      <c r="B120" s="907" t="s">
        <v>2834</v>
      </c>
      <c r="C120" s="908">
        <v>1</v>
      </c>
      <c r="D120" s="906" t="s">
        <v>242</v>
      </c>
      <c r="E120" s="949">
        <v>4</v>
      </c>
      <c r="F120" s="955">
        <v>60</v>
      </c>
      <c r="G120" s="956">
        <v>399.65352380952385</v>
      </c>
      <c r="H120" s="956"/>
      <c r="I120" s="956">
        <v>600</v>
      </c>
      <c r="J120" s="956">
        <v>1059.6535238095239</v>
      </c>
      <c r="K120" s="957"/>
    </row>
    <row r="121" spans="1:13" s="906" customFormat="1" ht="15" hidden="1" thickBot="1">
      <c r="B121" s="907" t="s">
        <v>2817</v>
      </c>
      <c r="C121" s="908">
        <v>1</v>
      </c>
      <c r="D121" s="906" t="s">
        <v>242</v>
      </c>
      <c r="E121" s="949">
        <v>20</v>
      </c>
      <c r="F121" s="955">
        <v>300</v>
      </c>
      <c r="G121" s="956">
        <v>1998.2676190476193</v>
      </c>
      <c r="H121" s="950"/>
      <c r="I121" s="956">
        <v>3000</v>
      </c>
      <c r="J121" s="956">
        <v>5298.2676190476195</v>
      </c>
      <c r="K121" s="957"/>
    </row>
    <row r="122" spans="1:13" s="906" customFormat="1" ht="15" hidden="1" thickBot="1">
      <c r="B122" s="907" t="s">
        <v>2819</v>
      </c>
      <c r="C122" s="908">
        <v>1</v>
      </c>
      <c r="D122" s="906" t="s">
        <v>242</v>
      </c>
      <c r="E122" s="949">
        <v>20</v>
      </c>
      <c r="F122" s="955">
        <v>300</v>
      </c>
      <c r="G122" s="956">
        <v>1998.2676190476193</v>
      </c>
      <c r="H122" s="950"/>
      <c r="I122" s="956">
        <v>3000</v>
      </c>
      <c r="J122" s="956">
        <v>5298.2676190476195</v>
      </c>
      <c r="K122" s="957"/>
    </row>
    <row r="123" spans="1:13" ht="15" hidden="1" thickBot="1">
      <c r="B123" s="183"/>
      <c r="C123" s="389"/>
      <c r="E123" s="929"/>
      <c r="F123" s="929"/>
      <c r="G123" s="948"/>
      <c r="H123" s="948"/>
      <c r="I123" s="948"/>
      <c r="J123" s="948"/>
    </row>
    <row r="124" spans="1:13" s="159" customFormat="1" ht="15" thickBot="1">
      <c r="A124" s="941" t="s">
        <v>188</v>
      </c>
      <c r="B124" s="942" t="s">
        <v>2841</v>
      </c>
      <c r="C124" s="943">
        <v>1</v>
      </c>
      <c r="D124" s="944" t="s">
        <v>242</v>
      </c>
      <c r="E124" s="932">
        <v>15.5</v>
      </c>
      <c r="F124" s="945">
        <v>195</v>
      </c>
      <c r="G124" s="933">
        <v>1548.6574047619049</v>
      </c>
      <c r="H124" s="933"/>
      <c r="I124" s="933">
        <v>1950</v>
      </c>
      <c r="J124" s="933">
        <v>3693.6574047619051</v>
      </c>
      <c r="K124" s="946">
        <v>20</v>
      </c>
    </row>
    <row r="125" spans="1:13" ht="15" hidden="1" thickBot="1">
      <c r="B125" s="183" t="s">
        <v>2832</v>
      </c>
      <c r="C125" s="389">
        <v>1</v>
      </c>
      <c r="D125" s="7" t="s">
        <v>242</v>
      </c>
      <c r="E125" s="929">
        <v>2</v>
      </c>
      <c r="F125" s="947">
        <v>30</v>
      </c>
      <c r="G125" s="930">
        <v>199.82676190476192</v>
      </c>
      <c r="H125" s="930"/>
      <c r="I125" s="930">
        <v>300</v>
      </c>
      <c r="J125" s="930">
        <v>529.82676190476195</v>
      </c>
      <c r="K125" s="931"/>
      <c r="L125" s="7" t="s">
        <v>2833</v>
      </c>
    </row>
    <row r="126" spans="1:13" ht="15" hidden="1" thickBot="1">
      <c r="B126" s="183" t="s">
        <v>2842</v>
      </c>
      <c r="C126" s="389">
        <v>1</v>
      </c>
      <c r="D126" s="7" t="s">
        <v>242</v>
      </c>
      <c r="E126" s="929">
        <v>4</v>
      </c>
      <c r="F126" s="947">
        <v>60</v>
      </c>
      <c r="G126" s="930">
        <v>399.65352380952385</v>
      </c>
      <c r="H126" s="930"/>
      <c r="I126" s="930">
        <v>600</v>
      </c>
      <c r="J126" s="930">
        <v>1059.6535238095239</v>
      </c>
      <c r="K126" s="931"/>
      <c r="L126" s="7" t="s">
        <v>2843</v>
      </c>
      <c r="M126" s="850">
        <v>41.666666666666664</v>
      </c>
    </row>
    <row r="127" spans="1:13" ht="15" hidden="1" thickBot="1">
      <c r="B127" s="184" t="s">
        <v>2815</v>
      </c>
      <c r="C127" s="192">
        <v>1</v>
      </c>
      <c r="D127" s="7" t="s">
        <v>242</v>
      </c>
      <c r="E127" s="929">
        <v>2.5</v>
      </c>
      <c r="F127" s="947"/>
      <c r="G127" s="930">
        <v>249.78345238095241</v>
      </c>
      <c r="H127" s="948"/>
      <c r="I127" s="948">
        <v>0</v>
      </c>
      <c r="J127" s="930">
        <v>249.78345238095241</v>
      </c>
      <c r="K127" s="931"/>
      <c r="L127" s="7" t="s">
        <v>2816</v>
      </c>
      <c r="M127" s="850"/>
    </row>
    <row r="128" spans="1:13" ht="15" hidden="1" thickBot="1">
      <c r="B128" s="183" t="s">
        <v>2817</v>
      </c>
      <c r="C128" s="389">
        <v>1</v>
      </c>
      <c r="D128" s="7" t="s">
        <v>242</v>
      </c>
      <c r="E128" s="929">
        <v>5</v>
      </c>
      <c r="F128" s="947">
        <v>75</v>
      </c>
      <c r="G128" s="930">
        <v>499.56690476190482</v>
      </c>
      <c r="H128" s="948"/>
      <c r="I128" s="930">
        <v>750</v>
      </c>
      <c r="J128" s="930">
        <v>1324.5669047619049</v>
      </c>
      <c r="K128" s="931"/>
      <c r="L128" s="7" t="s">
        <v>2844</v>
      </c>
      <c r="M128" s="850"/>
    </row>
    <row r="129" spans="1:13" ht="15" hidden="1" thickBot="1">
      <c r="B129" s="183" t="s">
        <v>2819</v>
      </c>
      <c r="C129" s="389">
        <v>1</v>
      </c>
      <c r="D129" s="7" t="s">
        <v>242</v>
      </c>
      <c r="E129" s="929">
        <v>2</v>
      </c>
      <c r="F129" s="947">
        <v>30</v>
      </c>
      <c r="G129" s="930">
        <v>199.82676190476192</v>
      </c>
      <c r="H129" s="948"/>
      <c r="I129" s="930">
        <v>300</v>
      </c>
      <c r="J129" s="930">
        <v>529.82676190476195</v>
      </c>
      <c r="K129" s="931"/>
      <c r="L129" s="7" t="s">
        <v>2845</v>
      </c>
      <c r="M129" s="850"/>
    </row>
    <row r="130" spans="1:13" ht="15" hidden="1" thickBot="1">
      <c r="B130" s="183"/>
      <c r="C130" s="389"/>
      <c r="E130" s="929"/>
      <c r="F130" s="929"/>
      <c r="G130" s="948"/>
      <c r="H130" s="948"/>
      <c r="I130" s="948"/>
      <c r="J130" s="948"/>
      <c r="M130" s="850"/>
    </row>
    <row r="131" spans="1:13" ht="15" thickBot="1">
      <c r="A131" s="941" t="s">
        <v>882</v>
      </c>
      <c r="B131" s="176" t="s">
        <v>2848</v>
      </c>
      <c r="C131" s="943">
        <v>1</v>
      </c>
      <c r="D131" s="944" t="s">
        <v>242</v>
      </c>
      <c r="E131" s="932">
        <v>43</v>
      </c>
      <c r="F131" s="945">
        <v>570</v>
      </c>
      <c r="G131" s="933">
        <v>4296.2753809523811</v>
      </c>
      <c r="H131" s="933"/>
      <c r="I131" s="933">
        <v>5700</v>
      </c>
      <c r="J131" s="933">
        <v>10566.275380952382</v>
      </c>
      <c r="K131" s="946">
        <v>40</v>
      </c>
      <c r="M131" s="850"/>
    </row>
    <row r="132" spans="1:13" ht="15" hidden="1" thickBot="1">
      <c r="B132" s="183" t="s">
        <v>2813</v>
      </c>
      <c r="C132" s="389">
        <v>1</v>
      </c>
      <c r="D132" s="7" t="s">
        <v>242</v>
      </c>
      <c r="E132" s="929">
        <v>16</v>
      </c>
      <c r="F132" s="947">
        <v>240</v>
      </c>
      <c r="G132" s="930">
        <v>1598.6140952380954</v>
      </c>
      <c r="H132" s="930"/>
      <c r="I132" s="930">
        <v>2400</v>
      </c>
      <c r="J132" s="930">
        <v>4238.6140952380956</v>
      </c>
      <c r="K132" s="931"/>
      <c r="L132" s="7" t="s">
        <v>3422</v>
      </c>
      <c r="M132" s="850"/>
    </row>
    <row r="133" spans="1:13" ht="15" hidden="1" thickBot="1">
      <c r="B133" s="183" t="s">
        <v>2842</v>
      </c>
      <c r="C133" s="389">
        <v>1</v>
      </c>
      <c r="D133" s="7" t="s">
        <v>242</v>
      </c>
      <c r="E133" s="929">
        <v>10</v>
      </c>
      <c r="F133" s="947">
        <v>150</v>
      </c>
      <c r="G133" s="930">
        <v>999.13380952380965</v>
      </c>
      <c r="H133" s="930"/>
      <c r="I133" s="930">
        <v>1500</v>
      </c>
      <c r="J133" s="930">
        <v>2649.1338095238098</v>
      </c>
      <c r="K133" s="931"/>
      <c r="L133" s="7" t="s">
        <v>2843</v>
      </c>
      <c r="M133" s="850">
        <v>833.33333333333337</v>
      </c>
    </row>
    <row r="134" spans="1:13" ht="15" hidden="1" thickBot="1">
      <c r="B134" s="184" t="s">
        <v>2815</v>
      </c>
      <c r="C134" s="389">
        <v>1</v>
      </c>
      <c r="D134" s="7" t="s">
        <v>242</v>
      </c>
      <c r="E134" s="929">
        <v>5</v>
      </c>
      <c r="F134" s="947"/>
      <c r="G134" s="930">
        <v>499.56690476190482</v>
      </c>
      <c r="H134" s="948"/>
      <c r="I134" s="948">
        <v>0</v>
      </c>
      <c r="J134" s="930">
        <v>499.56690476190482</v>
      </c>
      <c r="K134" s="931"/>
      <c r="L134" s="7" t="s">
        <v>2816</v>
      </c>
      <c r="M134" s="850"/>
    </row>
    <row r="135" spans="1:13" ht="15" hidden="1" thickBot="1">
      <c r="B135" s="183" t="s">
        <v>2817</v>
      </c>
      <c r="C135" s="389">
        <v>1</v>
      </c>
      <c r="D135" s="7" t="s">
        <v>242</v>
      </c>
      <c r="E135" s="929">
        <v>8</v>
      </c>
      <c r="F135" s="947">
        <v>120</v>
      </c>
      <c r="G135" s="930">
        <v>799.30704761904769</v>
      </c>
      <c r="H135" s="948"/>
      <c r="I135" s="930">
        <v>1200</v>
      </c>
      <c r="J135" s="930">
        <v>2119.3070476190478</v>
      </c>
      <c r="K135" s="931"/>
      <c r="L135" s="7" t="s">
        <v>2846</v>
      </c>
      <c r="M135" s="850"/>
    </row>
    <row r="136" spans="1:13" ht="15" hidden="1" thickBot="1">
      <c r="B136" s="183" t="s">
        <v>2819</v>
      </c>
      <c r="C136" s="389">
        <v>1</v>
      </c>
      <c r="D136" s="7" t="s">
        <v>242</v>
      </c>
      <c r="E136" s="929">
        <v>4</v>
      </c>
      <c r="F136" s="947">
        <v>60</v>
      </c>
      <c r="G136" s="930">
        <v>399.65352380952385</v>
      </c>
      <c r="H136" s="948"/>
      <c r="I136" s="930">
        <v>600</v>
      </c>
      <c r="J136" s="930">
        <v>1059.6535238095239</v>
      </c>
      <c r="K136" s="931"/>
      <c r="L136" s="7" t="s">
        <v>2847</v>
      </c>
      <c r="M136" s="850"/>
    </row>
    <row r="137" spans="1:13" ht="15" hidden="1" thickBot="1">
      <c r="B137" s="183"/>
      <c r="C137" s="389"/>
      <c r="E137" s="929"/>
      <c r="F137" s="929"/>
      <c r="G137" s="948"/>
      <c r="H137" s="948"/>
      <c r="I137" s="948"/>
      <c r="J137" s="948"/>
      <c r="M137" s="850"/>
    </row>
    <row r="138" spans="1:13" ht="15" hidden="1" thickBot="1">
      <c r="B138" s="183"/>
      <c r="C138" s="389"/>
      <c r="E138" s="929"/>
      <c r="F138" s="929"/>
      <c r="G138" s="948"/>
      <c r="H138" s="948"/>
      <c r="I138" s="948"/>
      <c r="J138" s="948"/>
      <c r="M138" s="850"/>
    </row>
    <row r="139" spans="1:13" ht="15" thickBot="1">
      <c r="A139" s="941" t="s">
        <v>855</v>
      </c>
      <c r="B139" s="176" t="s">
        <v>2849</v>
      </c>
      <c r="C139" s="943">
        <v>1</v>
      </c>
      <c r="D139" s="944" t="s">
        <v>242</v>
      </c>
      <c r="E139" s="932">
        <v>303.33333333333331</v>
      </c>
      <c r="F139" s="945">
        <v>4250</v>
      </c>
      <c r="G139" s="933">
        <v>30307.058888888889</v>
      </c>
      <c r="H139" s="933"/>
      <c r="I139" s="933">
        <v>42500</v>
      </c>
      <c r="J139" s="933">
        <v>77057.058888888889</v>
      </c>
      <c r="K139" s="946">
        <v>80</v>
      </c>
      <c r="M139" s="850"/>
    </row>
    <row r="140" spans="1:13" ht="15" hidden="1" thickBot="1">
      <c r="B140" s="183" t="s">
        <v>2813</v>
      </c>
      <c r="C140" s="389">
        <v>1</v>
      </c>
      <c r="D140" s="7" t="s">
        <v>242</v>
      </c>
      <c r="E140" s="929">
        <v>160</v>
      </c>
      <c r="F140" s="947">
        <v>2400</v>
      </c>
      <c r="G140" s="930">
        <v>15986.140952380954</v>
      </c>
      <c r="H140" s="930"/>
      <c r="I140" s="930">
        <v>24000</v>
      </c>
      <c r="J140" s="930">
        <v>42386.140952380956</v>
      </c>
      <c r="K140" s="931"/>
      <c r="L140" s="7" t="s">
        <v>3423</v>
      </c>
      <c r="M140" s="850"/>
    </row>
    <row r="141" spans="1:13" ht="15" hidden="1" thickBot="1">
      <c r="B141" s="184" t="s">
        <v>2815</v>
      </c>
      <c r="C141" s="389">
        <v>1</v>
      </c>
      <c r="D141" s="7" t="s">
        <v>242</v>
      </c>
      <c r="E141" s="929">
        <v>20</v>
      </c>
      <c r="F141" s="947"/>
      <c r="G141" s="930">
        <v>1998.2676190476193</v>
      </c>
      <c r="H141" s="948"/>
      <c r="I141" s="948">
        <v>0</v>
      </c>
      <c r="J141" s="930">
        <v>1998.2676190476193</v>
      </c>
      <c r="K141" s="931"/>
      <c r="L141" s="7" t="s">
        <v>2825</v>
      </c>
      <c r="M141" s="850"/>
    </row>
    <row r="142" spans="1:13" ht="15" hidden="1" thickBot="1">
      <c r="B142" s="183" t="s">
        <v>2842</v>
      </c>
      <c r="C142" s="389">
        <v>1</v>
      </c>
      <c r="D142" s="7" t="s">
        <v>242</v>
      </c>
      <c r="E142" s="929">
        <v>83.333333333333329</v>
      </c>
      <c r="F142" s="947">
        <v>1250</v>
      </c>
      <c r="G142" s="930">
        <v>8326.1150793650795</v>
      </c>
      <c r="H142" s="930"/>
      <c r="I142" s="930">
        <v>12500</v>
      </c>
      <c r="J142" s="930">
        <v>22076.115079365081</v>
      </c>
      <c r="K142" s="931"/>
      <c r="L142" s="7" t="s">
        <v>3424</v>
      </c>
      <c r="M142" s="850">
        <v>13888.888888888889</v>
      </c>
    </row>
    <row r="143" spans="1:13" ht="15" hidden="1" thickBot="1">
      <c r="B143" s="183" t="s">
        <v>2817</v>
      </c>
      <c r="C143" s="389">
        <v>1</v>
      </c>
      <c r="D143" s="7" t="s">
        <v>242</v>
      </c>
      <c r="E143" s="929">
        <v>20</v>
      </c>
      <c r="F143" s="947">
        <v>300</v>
      </c>
      <c r="G143" s="930">
        <v>1998.2676190476193</v>
      </c>
      <c r="H143" s="948"/>
      <c r="I143" s="930">
        <v>3000</v>
      </c>
      <c r="J143" s="930">
        <v>5298.2676190476195</v>
      </c>
      <c r="K143" s="931"/>
      <c r="L143" s="7" t="s">
        <v>3425</v>
      </c>
      <c r="M143" s="896"/>
    </row>
    <row r="144" spans="1:13" ht="15" hidden="1" thickBot="1">
      <c r="B144" s="183" t="s">
        <v>2819</v>
      </c>
      <c r="C144" s="389">
        <v>1</v>
      </c>
      <c r="D144" s="7" t="s">
        <v>242</v>
      </c>
      <c r="E144" s="929">
        <v>20</v>
      </c>
      <c r="F144" s="947">
        <v>300</v>
      </c>
      <c r="G144" s="930">
        <v>1998.2676190476193</v>
      </c>
      <c r="H144" s="948"/>
      <c r="I144" s="930">
        <v>3000</v>
      </c>
      <c r="J144" s="930">
        <v>5298.2676190476195</v>
      </c>
      <c r="K144" s="931"/>
      <c r="L144" s="7" t="s">
        <v>3426</v>
      </c>
    </row>
    <row r="145" spans="1:17" ht="15" hidden="1" thickBot="1">
      <c r="B145" s="183"/>
      <c r="C145" s="389"/>
      <c r="E145" s="929"/>
      <c r="F145" s="929"/>
      <c r="G145" s="948"/>
      <c r="H145" s="948"/>
      <c r="I145" s="948"/>
      <c r="J145" s="948"/>
    </row>
    <row r="146" spans="1:17" ht="15" thickBot="1">
      <c r="A146" s="941" t="s">
        <v>844</v>
      </c>
      <c r="B146" s="176" t="s">
        <v>2850</v>
      </c>
      <c r="C146" s="943">
        <v>1</v>
      </c>
      <c r="D146" s="944" t="s">
        <v>242</v>
      </c>
      <c r="E146" s="932">
        <v>526.66666666666663</v>
      </c>
      <c r="F146" s="945">
        <v>7300</v>
      </c>
      <c r="G146" s="933">
        <v>52621.047301587307</v>
      </c>
      <c r="H146" s="933"/>
      <c r="I146" s="933">
        <v>73000</v>
      </c>
      <c r="J146" s="933">
        <v>132921.0473015873</v>
      </c>
      <c r="K146" s="946">
        <v>160</v>
      </c>
    </row>
    <row r="147" spans="1:17" ht="15" hidden="1" thickBot="1">
      <c r="B147" s="183" t="s">
        <v>2813</v>
      </c>
      <c r="C147" s="389">
        <v>1</v>
      </c>
      <c r="D147" s="7" t="s">
        <v>242</v>
      </c>
      <c r="E147" s="929">
        <v>250</v>
      </c>
      <c r="F147" s="947">
        <v>3750</v>
      </c>
      <c r="G147" s="930">
        <v>24978.34523809524</v>
      </c>
      <c r="H147" s="930"/>
      <c r="I147" s="930">
        <v>37500</v>
      </c>
      <c r="J147" s="930">
        <v>66228.345238095237</v>
      </c>
      <c r="K147" s="931"/>
      <c r="L147" s="7" t="s">
        <v>3427</v>
      </c>
    </row>
    <row r="148" spans="1:17" ht="15" hidden="1" thickBot="1">
      <c r="B148" s="184" t="s">
        <v>2815</v>
      </c>
      <c r="C148" s="389">
        <v>1</v>
      </c>
      <c r="D148" s="7" t="s">
        <v>242</v>
      </c>
      <c r="E148" s="929">
        <v>40</v>
      </c>
      <c r="F148" s="947"/>
      <c r="G148" s="930">
        <v>3996.5352380952386</v>
      </c>
      <c r="H148" s="948"/>
      <c r="I148" s="948">
        <v>0</v>
      </c>
      <c r="J148" s="930">
        <v>3996.5352380952386</v>
      </c>
      <c r="K148" s="931"/>
      <c r="L148" s="7" t="s">
        <v>3428</v>
      </c>
    </row>
    <row r="149" spans="1:17" ht="15" hidden="1" thickBot="1">
      <c r="B149" s="183" t="s">
        <v>2842</v>
      </c>
      <c r="C149" s="389">
        <v>1</v>
      </c>
      <c r="D149" s="7" t="s">
        <v>242</v>
      </c>
      <c r="E149" s="929">
        <v>166.66666666666666</v>
      </c>
      <c r="F149" s="947">
        <v>2500</v>
      </c>
      <c r="G149" s="930">
        <v>16652.230158730159</v>
      </c>
      <c r="H149" s="930"/>
      <c r="I149" s="930">
        <v>25000</v>
      </c>
      <c r="J149" s="930">
        <v>44152.230158730163</v>
      </c>
      <c r="K149" s="931"/>
      <c r="L149" s="7" t="s">
        <v>3424</v>
      </c>
      <c r="M149" s="850">
        <v>13888.888888888889</v>
      </c>
      <c r="P149" s="850">
        <v>1577000</v>
      </c>
    </row>
    <row r="150" spans="1:17" ht="15" hidden="1" thickBot="1">
      <c r="B150" s="183" t="s">
        <v>2817</v>
      </c>
      <c r="C150" s="389">
        <v>1</v>
      </c>
      <c r="D150" s="7" t="s">
        <v>242</v>
      </c>
      <c r="E150" s="929">
        <v>40</v>
      </c>
      <c r="F150" s="947">
        <v>600</v>
      </c>
      <c r="G150" s="930">
        <v>3996.5352380952386</v>
      </c>
      <c r="H150" s="948"/>
      <c r="I150" s="930">
        <v>6000</v>
      </c>
      <c r="J150" s="930">
        <v>10596.535238095239</v>
      </c>
      <c r="K150" s="931"/>
      <c r="L150" s="7" t="s">
        <v>3429</v>
      </c>
    </row>
    <row r="151" spans="1:17" ht="15" hidden="1" thickBot="1">
      <c r="B151" s="183" t="s">
        <v>2819</v>
      </c>
      <c r="C151" s="389">
        <v>1</v>
      </c>
      <c r="D151" s="7" t="s">
        <v>242</v>
      </c>
      <c r="E151" s="929">
        <v>30</v>
      </c>
      <c r="F151" s="947">
        <v>450</v>
      </c>
      <c r="G151" s="930">
        <v>2997.4014285714288</v>
      </c>
      <c r="H151" s="948"/>
      <c r="I151" s="930">
        <v>4500</v>
      </c>
      <c r="J151" s="930">
        <v>7947.4014285714293</v>
      </c>
      <c r="K151" s="931"/>
      <c r="L151" s="7" t="s">
        <v>3430</v>
      </c>
      <c r="P151" s="850">
        <v>5992600</v>
      </c>
      <c r="Q151" s="7">
        <v>96</v>
      </c>
    </row>
    <row r="152" spans="1:17" ht="15" hidden="1" thickBot="1">
      <c r="B152" s="183"/>
      <c r="C152" s="389"/>
      <c r="E152" s="929"/>
      <c r="F152" s="929"/>
      <c r="G152" s="948"/>
      <c r="H152" s="948"/>
      <c r="I152" s="948"/>
      <c r="J152" s="948"/>
      <c r="Q152" s="896">
        <v>62422.916666666664</v>
      </c>
    </row>
    <row r="153" spans="1:17" ht="15" thickBot="1">
      <c r="A153" s="941" t="s">
        <v>784</v>
      </c>
      <c r="B153" s="176" t="s">
        <v>2852</v>
      </c>
      <c r="C153" s="943">
        <v>1</v>
      </c>
      <c r="D153" s="944" t="s">
        <v>136</v>
      </c>
      <c r="E153" s="932">
        <v>0.22416666666666665</v>
      </c>
      <c r="F153" s="932">
        <v>3.3624999999999998</v>
      </c>
      <c r="G153" s="932">
        <v>22.397249563492064</v>
      </c>
      <c r="H153" s="933"/>
      <c r="I153" s="932">
        <v>33.625</v>
      </c>
      <c r="J153" s="932">
        <v>59.384749563492065</v>
      </c>
      <c r="K153" s="946">
        <v>1</v>
      </c>
      <c r="L153" s="933"/>
    </row>
    <row r="154" spans="1:17" ht="15" hidden="1" thickBot="1">
      <c r="B154" s="183" t="s">
        <v>2853</v>
      </c>
      <c r="C154" s="389">
        <v>1</v>
      </c>
      <c r="D154" s="7" t="s">
        <v>242</v>
      </c>
      <c r="E154" s="929">
        <v>3</v>
      </c>
      <c r="F154" s="947">
        <v>45</v>
      </c>
      <c r="G154" s="930">
        <v>299.74014285714287</v>
      </c>
      <c r="H154" s="930"/>
      <c r="I154" s="930">
        <v>450</v>
      </c>
      <c r="J154" s="930">
        <v>794.74014285714293</v>
      </c>
      <c r="K154" s="931"/>
      <c r="L154" s="7" t="s">
        <v>2854</v>
      </c>
      <c r="P154" s="905" t="s">
        <v>2855</v>
      </c>
      <c r="Q154" s="899">
        <v>60000</v>
      </c>
    </row>
    <row r="155" spans="1:17" ht="15" hidden="1" thickBot="1">
      <c r="B155" s="184" t="s">
        <v>2815</v>
      </c>
      <c r="C155" s="389">
        <v>1</v>
      </c>
      <c r="D155" s="7" t="s">
        <v>242</v>
      </c>
      <c r="E155" s="929"/>
      <c r="F155" s="947"/>
      <c r="G155" s="930">
        <v>0</v>
      </c>
      <c r="H155" s="948"/>
      <c r="I155" s="948"/>
      <c r="J155" s="930">
        <v>0</v>
      </c>
      <c r="K155" s="931"/>
    </row>
    <row r="156" spans="1:17" ht="15" hidden="1" thickBot="1">
      <c r="B156" s="183" t="s">
        <v>2817</v>
      </c>
      <c r="C156" s="389">
        <v>1</v>
      </c>
      <c r="D156" s="7" t="s">
        <v>242</v>
      </c>
      <c r="E156" s="929">
        <v>5</v>
      </c>
      <c r="F156" s="947">
        <v>75</v>
      </c>
      <c r="G156" s="930">
        <v>499.56690476190482</v>
      </c>
      <c r="H156" s="948"/>
      <c r="I156" s="930">
        <v>750</v>
      </c>
      <c r="J156" s="930">
        <v>1324.5669047619049</v>
      </c>
      <c r="K156" s="931"/>
      <c r="L156" s="7" t="s">
        <v>2844</v>
      </c>
    </row>
    <row r="157" spans="1:17" ht="15" hidden="1" thickBot="1">
      <c r="B157" s="183" t="s">
        <v>2819</v>
      </c>
      <c r="C157" s="389">
        <v>1</v>
      </c>
      <c r="D157" s="7" t="s">
        <v>242</v>
      </c>
      <c r="E157" s="929">
        <v>2</v>
      </c>
      <c r="F157" s="947">
        <v>30</v>
      </c>
      <c r="G157" s="930">
        <v>199.82676190476192</v>
      </c>
      <c r="H157" s="948"/>
      <c r="I157" s="930">
        <v>300</v>
      </c>
      <c r="J157" s="930">
        <v>529.82676190476195</v>
      </c>
      <c r="K157" s="931"/>
      <c r="L157" s="7" t="s">
        <v>2856</v>
      </c>
    </row>
    <row r="158" spans="1:17" ht="15" hidden="1" thickBot="1">
      <c r="B158" s="183"/>
      <c r="C158" s="389"/>
      <c r="E158" s="929"/>
      <c r="F158" s="929"/>
    </row>
    <row r="159" spans="1:17" ht="15" thickBot="1">
      <c r="A159" s="941" t="s">
        <v>2857</v>
      </c>
      <c r="B159" s="176" t="s">
        <v>2858</v>
      </c>
      <c r="C159" s="943">
        <v>1</v>
      </c>
      <c r="D159" s="944" t="s">
        <v>136</v>
      </c>
      <c r="E159" s="932">
        <v>0.56041666666666667</v>
      </c>
      <c r="F159" s="932">
        <v>3.3624999999999998</v>
      </c>
      <c r="G159" s="932">
        <v>55.993123908730162</v>
      </c>
      <c r="H159" s="933"/>
      <c r="I159" s="932">
        <v>84.0625</v>
      </c>
      <c r="J159" s="932">
        <v>143.41812390873017</v>
      </c>
      <c r="K159" s="946">
        <v>1</v>
      </c>
      <c r="L159" s="933"/>
    </row>
    <row r="160" spans="1:17" ht="15" hidden="1" thickBot="1">
      <c r="B160" s="183" t="s">
        <v>2853</v>
      </c>
      <c r="C160" s="389">
        <v>1</v>
      </c>
      <c r="D160" s="7" t="s">
        <v>242</v>
      </c>
      <c r="E160" s="929">
        <v>3</v>
      </c>
      <c r="F160" s="947">
        <v>45</v>
      </c>
      <c r="G160" s="930">
        <v>299.74014285714287</v>
      </c>
      <c r="H160" s="930"/>
      <c r="I160" s="930">
        <v>450</v>
      </c>
      <c r="J160" s="930">
        <v>794.74014285714293</v>
      </c>
      <c r="K160" s="931"/>
      <c r="L160" s="7" t="s">
        <v>2854</v>
      </c>
    </row>
    <row r="161" spans="1:16" ht="15" hidden="1" thickBot="1">
      <c r="B161" s="184" t="s">
        <v>2815</v>
      </c>
      <c r="C161" s="389">
        <v>1</v>
      </c>
      <c r="D161" s="7" t="s">
        <v>242</v>
      </c>
      <c r="E161" s="929">
        <v>15</v>
      </c>
      <c r="F161" s="947"/>
      <c r="G161" s="930">
        <v>1498.7007142857144</v>
      </c>
      <c r="H161" s="948"/>
      <c r="I161" s="930">
        <v>2250</v>
      </c>
      <c r="J161" s="930">
        <v>3748.7007142857146</v>
      </c>
      <c r="K161" s="931"/>
      <c r="L161" s="7" t="s">
        <v>2859</v>
      </c>
    </row>
    <row r="162" spans="1:16" ht="15" hidden="1" thickBot="1">
      <c r="B162" s="183" t="s">
        <v>2817</v>
      </c>
      <c r="C162" s="389">
        <v>1</v>
      </c>
      <c r="D162" s="7" t="s">
        <v>242</v>
      </c>
      <c r="E162" s="929">
        <v>5</v>
      </c>
      <c r="F162" s="947">
        <v>75</v>
      </c>
      <c r="G162" s="930">
        <v>499.56690476190482</v>
      </c>
      <c r="H162" s="948"/>
      <c r="I162" s="930">
        <v>750</v>
      </c>
      <c r="J162" s="930">
        <v>1324.5669047619049</v>
      </c>
      <c r="K162" s="931"/>
      <c r="L162" s="7" t="s">
        <v>2844</v>
      </c>
    </row>
    <row r="163" spans="1:16" ht="15" hidden="1" thickBot="1">
      <c r="B163" s="183" t="s">
        <v>2819</v>
      </c>
      <c r="C163" s="389">
        <v>1</v>
      </c>
      <c r="D163" s="7" t="s">
        <v>242</v>
      </c>
      <c r="E163" s="929">
        <v>2</v>
      </c>
      <c r="F163" s="947">
        <v>30</v>
      </c>
      <c r="G163" s="930">
        <v>199.82676190476192</v>
      </c>
      <c r="H163" s="948"/>
      <c r="I163" s="930">
        <v>300</v>
      </c>
      <c r="J163" s="930">
        <v>529.82676190476195</v>
      </c>
      <c r="K163" s="931"/>
      <c r="L163" s="7" t="s">
        <v>2856</v>
      </c>
      <c r="N163" s="7">
        <v>12</v>
      </c>
      <c r="O163" s="7">
        <v>40</v>
      </c>
      <c r="P163" s="7">
        <v>480</v>
      </c>
    </row>
    <row r="164" spans="1:16" ht="19.5" hidden="1" customHeight="1">
      <c r="B164" s="183"/>
      <c r="C164" s="389"/>
      <c r="E164" s="929"/>
      <c r="F164" s="929"/>
    </row>
    <row r="165" spans="1:16" ht="15" thickBot="1">
      <c r="A165" s="941" t="s">
        <v>516</v>
      </c>
      <c r="B165" s="176" t="s">
        <v>2860</v>
      </c>
      <c r="C165" s="943">
        <v>1</v>
      </c>
      <c r="D165" s="944" t="s">
        <v>136</v>
      </c>
      <c r="E165" s="932">
        <v>0.15691666666666668</v>
      </c>
      <c r="F165" s="932">
        <v>2.3537499999999998</v>
      </c>
      <c r="G165" s="932">
        <v>15.678074694444444</v>
      </c>
      <c r="H165" s="933"/>
      <c r="I165" s="932">
        <v>23.537499999999998</v>
      </c>
      <c r="J165" s="932">
        <v>41.569324694444447</v>
      </c>
      <c r="K165" s="946">
        <v>1</v>
      </c>
    </row>
    <row r="166" spans="1:16" ht="15" hidden="1" thickBot="1">
      <c r="B166" s="183" t="s">
        <v>2853</v>
      </c>
      <c r="C166" s="389">
        <v>1</v>
      </c>
      <c r="D166" s="7" t="s">
        <v>242</v>
      </c>
      <c r="E166" s="929">
        <v>2</v>
      </c>
      <c r="F166" s="947">
        <v>30</v>
      </c>
      <c r="G166" s="930">
        <v>199.82676190476192</v>
      </c>
      <c r="H166" s="930"/>
      <c r="I166" s="930">
        <v>300</v>
      </c>
      <c r="J166" s="930">
        <v>529.82676190476195</v>
      </c>
      <c r="K166" s="931"/>
    </row>
    <row r="167" spans="1:16" ht="15" hidden="1" thickBot="1">
      <c r="B167" s="183" t="s">
        <v>2813</v>
      </c>
      <c r="C167" s="389">
        <v>1</v>
      </c>
      <c r="D167" s="7" t="s">
        <v>242</v>
      </c>
      <c r="E167" s="929">
        <v>3</v>
      </c>
      <c r="F167" s="947">
        <v>45</v>
      </c>
      <c r="G167" s="930">
        <v>299.74014285714287</v>
      </c>
      <c r="H167" s="930"/>
      <c r="I167" s="930">
        <v>450</v>
      </c>
      <c r="J167" s="930">
        <v>794.74014285714293</v>
      </c>
      <c r="K167" s="931"/>
    </row>
    <row r="168" spans="1:16" ht="15" hidden="1" thickBot="1">
      <c r="B168" s="184" t="s">
        <v>2815</v>
      </c>
      <c r="C168" s="389">
        <v>1</v>
      </c>
      <c r="D168" s="7" t="s">
        <v>242</v>
      </c>
      <c r="E168" s="929"/>
      <c r="F168" s="947"/>
      <c r="G168" s="930">
        <v>0</v>
      </c>
      <c r="H168" s="948"/>
      <c r="I168" s="948"/>
      <c r="J168" s="930">
        <v>0</v>
      </c>
      <c r="K168" s="931"/>
    </row>
    <row r="169" spans="1:16" ht="15" hidden="1" thickBot="1">
      <c r="B169" s="183" t="s">
        <v>2817</v>
      </c>
      <c r="C169" s="389">
        <v>1</v>
      </c>
      <c r="D169" s="7" t="s">
        <v>242</v>
      </c>
      <c r="E169" s="929">
        <v>2</v>
      </c>
      <c r="F169" s="947">
        <v>30</v>
      </c>
      <c r="G169" s="930">
        <v>199.82676190476192</v>
      </c>
      <c r="H169" s="948"/>
      <c r="I169" s="930">
        <v>300</v>
      </c>
      <c r="J169" s="930">
        <v>529.82676190476195</v>
      </c>
      <c r="K169" s="931"/>
    </row>
    <row r="170" spans="1:16" ht="15" hidden="1" thickBot="1">
      <c r="B170" s="183" t="s">
        <v>2819</v>
      </c>
      <c r="C170" s="389">
        <v>1</v>
      </c>
      <c r="D170" s="7" t="s">
        <v>242</v>
      </c>
      <c r="E170" s="929">
        <v>2</v>
      </c>
      <c r="F170" s="947">
        <v>30</v>
      </c>
      <c r="G170" s="930">
        <v>199.82676190476192</v>
      </c>
      <c r="H170" s="948"/>
      <c r="I170" s="930">
        <v>300</v>
      </c>
      <c r="J170" s="930">
        <v>529.82676190476195</v>
      </c>
      <c r="K170" s="931"/>
    </row>
    <row r="171" spans="1:16" ht="15" hidden="1" thickBot="1">
      <c r="B171" s="183"/>
      <c r="C171" s="389"/>
      <c r="E171" s="929"/>
      <c r="F171" s="947"/>
      <c r="G171" s="930"/>
      <c r="H171" s="948"/>
      <c r="I171" s="930"/>
      <c r="J171" s="930"/>
      <c r="K171" s="931"/>
    </row>
    <row r="172" spans="1:16" ht="15" thickBot="1">
      <c r="A172" s="941" t="s">
        <v>1747</v>
      </c>
      <c r="B172" s="176" t="s">
        <v>2861</v>
      </c>
      <c r="C172" s="943">
        <v>1</v>
      </c>
      <c r="D172" s="944" t="s">
        <v>136</v>
      </c>
      <c r="E172" s="932">
        <v>0.56041666666666667</v>
      </c>
      <c r="F172" s="932">
        <v>2.3537499999999998</v>
      </c>
      <c r="G172" s="932">
        <v>55.993123908730162</v>
      </c>
      <c r="H172" s="933"/>
      <c r="I172" s="932">
        <v>84.0625</v>
      </c>
      <c r="J172" s="932">
        <v>142.40937390873017</v>
      </c>
      <c r="K172" s="946">
        <v>1</v>
      </c>
      <c r="L172" s="930"/>
    </row>
    <row r="173" spans="1:16" ht="15" hidden="1" thickBot="1">
      <c r="B173" s="183" t="s">
        <v>2853</v>
      </c>
      <c r="C173" s="389">
        <v>1</v>
      </c>
      <c r="D173" s="7" t="s">
        <v>242</v>
      </c>
      <c r="E173" s="929">
        <v>2</v>
      </c>
      <c r="F173" s="947">
        <v>30</v>
      </c>
      <c r="G173" s="930">
        <v>199.82676190476192</v>
      </c>
      <c r="H173" s="930"/>
      <c r="I173" s="930">
        <v>300</v>
      </c>
      <c r="J173" s="930">
        <v>529.82676190476195</v>
      </c>
      <c r="K173" s="931"/>
      <c r="L173" s="7" t="s">
        <v>2863</v>
      </c>
    </row>
    <row r="174" spans="1:16" ht="15" hidden="1" thickBot="1">
      <c r="B174" s="183" t="s">
        <v>2813</v>
      </c>
      <c r="C174" s="389">
        <v>1</v>
      </c>
      <c r="D174" s="7" t="s">
        <v>242</v>
      </c>
      <c r="E174" s="929">
        <v>3</v>
      </c>
      <c r="F174" s="947">
        <v>45</v>
      </c>
      <c r="G174" s="930">
        <v>299.74014285714287</v>
      </c>
      <c r="H174" s="930"/>
      <c r="I174" s="930">
        <v>450</v>
      </c>
      <c r="J174" s="930">
        <v>794.74014285714293</v>
      </c>
      <c r="K174" s="931"/>
      <c r="L174" s="7" t="s">
        <v>2864</v>
      </c>
    </row>
    <row r="175" spans="1:16" ht="15" hidden="1" thickBot="1">
      <c r="B175" s="184" t="s">
        <v>2815</v>
      </c>
      <c r="C175" s="389">
        <v>1</v>
      </c>
      <c r="D175" s="7" t="s">
        <v>242</v>
      </c>
      <c r="E175" s="929">
        <v>18</v>
      </c>
      <c r="F175" s="947"/>
      <c r="G175" s="930">
        <v>1798.4408571428573</v>
      </c>
      <c r="H175" s="948"/>
      <c r="I175" s="930">
        <v>2700</v>
      </c>
      <c r="J175" s="930">
        <v>4498.4408571428576</v>
      </c>
      <c r="K175" s="931"/>
      <c r="L175" s="930" t="s">
        <v>2865</v>
      </c>
    </row>
    <row r="176" spans="1:16" ht="15" hidden="1" thickBot="1">
      <c r="B176" s="183" t="s">
        <v>2817</v>
      </c>
      <c r="C176" s="389">
        <v>1</v>
      </c>
      <c r="D176" s="7" t="s">
        <v>242</v>
      </c>
      <c r="E176" s="929">
        <v>2</v>
      </c>
      <c r="F176" s="947">
        <v>30</v>
      </c>
      <c r="G176" s="930">
        <v>199.82676190476192</v>
      </c>
      <c r="H176" s="948"/>
      <c r="I176" s="930">
        <v>300</v>
      </c>
      <c r="J176" s="930">
        <v>529.82676190476195</v>
      </c>
      <c r="K176" s="931"/>
    </row>
    <row r="177" spans="1:12" ht="15" hidden="1" thickBot="1">
      <c r="B177" s="183" t="s">
        <v>2819</v>
      </c>
      <c r="C177" s="389">
        <v>1</v>
      </c>
      <c r="D177" s="7" t="s">
        <v>242</v>
      </c>
      <c r="E177" s="929">
        <v>2</v>
      </c>
      <c r="F177" s="947">
        <v>30</v>
      </c>
      <c r="G177" s="930">
        <v>199.82676190476192</v>
      </c>
      <c r="H177" s="948"/>
      <c r="I177" s="930">
        <v>300</v>
      </c>
      <c r="J177" s="930">
        <v>529.82676190476195</v>
      </c>
      <c r="K177" s="931"/>
    </row>
    <row r="178" spans="1:12" ht="15" hidden="1" thickBot="1">
      <c r="B178" s="183"/>
      <c r="C178" s="389"/>
      <c r="E178" s="929"/>
      <c r="F178" s="929"/>
    </row>
    <row r="179" spans="1:12" ht="15" thickBot="1">
      <c r="A179" s="941" t="s">
        <v>1642</v>
      </c>
      <c r="B179" s="176" t="s">
        <v>2866</v>
      </c>
      <c r="C179" s="943">
        <v>1</v>
      </c>
      <c r="D179" s="944" t="s">
        <v>136</v>
      </c>
      <c r="E179" s="932">
        <v>0.17933333333333332</v>
      </c>
      <c r="F179" s="932">
        <v>2.69</v>
      </c>
      <c r="G179" s="932">
        <v>17.917799650793654</v>
      </c>
      <c r="H179" s="933"/>
      <c r="I179" s="932">
        <v>26.9</v>
      </c>
      <c r="J179" s="932">
        <v>47.50779965079365</v>
      </c>
      <c r="K179" s="946">
        <v>0.5</v>
      </c>
    </row>
    <row r="180" spans="1:12" ht="15" hidden="1" thickBot="1">
      <c r="B180" s="183" t="s">
        <v>2813</v>
      </c>
      <c r="C180" s="389">
        <v>1</v>
      </c>
      <c r="D180" s="7" t="s">
        <v>242</v>
      </c>
      <c r="E180" s="929">
        <v>2</v>
      </c>
      <c r="F180" s="947">
        <v>30</v>
      </c>
      <c r="G180" s="930">
        <v>199.82676190476192</v>
      </c>
      <c r="H180" s="930"/>
      <c r="I180" s="930">
        <v>300</v>
      </c>
      <c r="J180" s="930">
        <v>529.82676190476195</v>
      </c>
      <c r="K180" s="931"/>
    </row>
    <row r="181" spans="1:12" ht="15" hidden="1" thickBot="1">
      <c r="B181" s="183" t="s">
        <v>2853</v>
      </c>
      <c r="C181" s="389">
        <v>1</v>
      </c>
      <c r="D181" s="7" t="s">
        <v>242</v>
      </c>
      <c r="E181" s="929">
        <v>2</v>
      </c>
      <c r="F181" s="947">
        <v>30</v>
      </c>
      <c r="G181" s="930">
        <v>199.82676190476192</v>
      </c>
      <c r="H181" s="930"/>
      <c r="I181" s="930">
        <v>300</v>
      </c>
      <c r="J181" s="930">
        <v>529.82676190476195</v>
      </c>
      <c r="K181" s="931"/>
    </row>
    <row r="182" spans="1:12" ht="15" hidden="1" thickBot="1">
      <c r="B182" s="184" t="s">
        <v>2815</v>
      </c>
      <c r="C182" s="389">
        <v>1</v>
      </c>
      <c r="D182" s="7" t="s">
        <v>242</v>
      </c>
      <c r="E182" s="929"/>
      <c r="F182" s="947"/>
      <c r="G182" s="930">
        <v>0</v>
      </c>
      <c r="H182" s="948"/>
      <c r="I182" s="948"/>
      <c r="J182" s="930">
        <v>0</v>
      </c>
      <c r="K182" s="931"/>
    </row>
    <row r="183" spans="1:12" ht="15" hidden="1" thickBot="1">
      <c r="B183" s="183" t="s">
        <v>2817</v>
      </c>
      <c r="C183" s="389">
        <v>1</v>
      </c>
      <c r="D183" s="7" t="s">
        <v>242</v>
      </c>
      <c r="E183" s="929">
        <v>2</v>
      </c>
      <c r="F183" s="947">
        <v>30</v>
      </c>
      <c r="G183" s="930">
        <v>199.82676190476192</v>
      </c>
      <c r="H183" s="948"/>
      <c r="I183" s="930">
        <v>300</v>
      </c>
      <c r="J183" s="930">
        <v>529.82676190476195</v>
      </c>
      <c r="K183" s="931"/>
    </row>
    <row r="184" spans="1:12" ht="15" hidden="1" thickBot="1">
      <c r="B184" s="183" t="s">
        <v>2819</v>
      </c>
      <c r="C184" s="389">
        <v>1</v>
      </c>
      <c r="D184" s="7" t="s">
        <v>242</v>
      </c>
      <c r="E184" s="929">
        <v>2</v>
      </c>
      <c r="F184" s="947">
        <v>30</v>
      </c>
      <c r="G184" s="930">
        <v>199.82676190476192</v>
      </c>
      <c r="H184" s="948"/>
      <c r="I184" s="930">
        <v>300</v>
      </c>
      <c r="J184" s="930">
        <v>529.82676190476195</v>
      </c>
      <c r="K184" s="931"/>
    </row>
    <row r="185" spans="1:12" ht="15" hidden="1" thickBot="1">
      <c r="B185" s="183"/>
      <c r="C185" s="389"/>
      <c r="E185" s="929"/>
      <c r="F185" s="947"/>
      <c r="G185" s="930"/>
      <c r="H185" s="948"/>
      <c r="I185" s="930"/>
      <c r="J185" s="930"/>
      <c r="K185" s="931"/>
    </row>
    <row r="186" spans="1:12" ht="15" thickBot="1">
      <c r="A186" s="941" t="s">
        <v>2022</v>
      </c>
      <c r="B186" s="176" t="s">
        <v>2867</v>
      </c>
      <c r="C186" s="943">
        <v>1</v>
      </c>
      <c r="D186" s="944" t="s">
        <v>136</v>
      </c>
      <c r="E186" s="932">
        <v>0.58283333333333331</v>
      </c>
      <c r="F186" s="932">
        <v>2.69</v>
      </c>
      <c r="G186" s="932">
        <v>58.232848865079369</v>
      </c>
      <c r="H186" s="933"/>
      <c r="I186" s="932">
        <v>87.424999999999997</v>
      </c>
      <c r="J186" s="932">
        <v>148.34784886507936</v>
      </c>
      <c r="K186" s="946">
        <v>0.5</v>
      </c>
    </row>
    <row r="187" spans="1:12" ht="15" hidden="1" thickBot="1">
      <c r="B187" s="183" t="s">
        <v>2813</v>
      </c>
      <c r="C187" s="389">
        <v>1</v>
      </c>
      <c r="D187" s="7" t="s">
        <v>242</v>
      </c>
      <c r="E187" s="929">
        <v>2</v>
      </c>
      <c r="F187" s="947">
        <v>30</v>
      </c>
      <c r="G187" s="930">
        <v>199.82676190476192</v>
      </c>
      <c r="H187" s="930"/>
      <c r="I187" s="930">
        <v>300</v>
      </c>
      <c r="J187" s="930">
        <v>529.82676190476195</v>
      </c>
      <c r="K187" s="931"/>
    </row>
    <row r="188" spans="1:12" ht="15" hidden="1" thickBot="1">
      <c r="B188" s="183" t="s">
        <v>2853</v>
      </c>
      <c r="C188" s="389">
        <v>1</v>
      </c>
      <c r="D188" s="7" t="s">
        <v>242</v>
      </c>
      <c r="E188" s="929">
        <v>2</v>
      </c>
      <c r="F188" s="947">
        <v>30</v>
      </c>
      <c r="G188" s="930">
        <v>199.82676190476192</v>
      </c>
      <c r="H188" s="930"/>
      <c r="I188" s="930">
        <v>300</v>
      </c>
      <c r="J188" s="930">
        <v>529.82676190476195</v>
      </c>
      <c r="K188" s="931"/>
    </row>
    <row r="189" spans="1:12" ht="15" hidden="1" thickBot="1">
      <c r="B189" s="184" t="s">
        <v>2815</v>
      </c>
      <c r="C189" s="389">
        <v>1</v>
      </c>
      <c r="D189" s="7" t="s">
        <v>242</v>
      </c>
      <c r="E189" s="929">
        <v>18</v>
      </c>
      <c r="F189" s="947"/>
      <c r="G189" s="930">
        <v>1798.4408571428573</v>
      </c>
      <c r="H189" s="948"/>
      <c r="I189" s="930">
        <v>2700</v>
      </c>
      <c r="J189" s="930">
        <v>4498.4408571428576</v>
      </c>
      <c r="K189" s="931"/>
      <c r="L189" s="930" t="s">
        <v>2862</v>
      </c>
    </row>
    <row r="190" spans="1:12" ht="15" hidden="1" thickBot="1">
      <c r="B190" s="183" t="s">
        <v>2817</v>
      </c>
      <c r="C190" s="389">
        <v>1</v>
      </c>
      <c r="D190" s="7" t="s">
        <v>242</v>
      </c>
      <c r="E190" s="929">
        <v>2</v>
      </c>
      <c r="F190" s="947">
        <v>30</v>
      </c>
      <c r="G190" s="930">
        <v>199.82676190476192</v>
      </c>
      <c r="H190" s="948"/>
      <c r="I190" s="930">
        <v>300</v>
      </c>
      <c r="J190" s="930">
        <v>529.82676190476195</v>
      </c>
      <c r="K190" s="931"/>
    </row>
    <row r="191" spans="1:12" ht="15" hidden="1" thickBot="1">
      <c r="B191" s="183" t="s">
        <v>2819</v>
      </c>
      <c r="C191" s="389">
        <v>1</v>
      </c>
      <c r="D191" s="7" t="s">
        <v>242</v>
      </c>
      <c r="E191" s="929">
        <v>2</v>
      </c>
      <c r="F191" s="947">
        <v>30</v>
      </c>
      <c r="G191" s="930">
        <v>199.82676190476192</v>
      </c>
      <c r="H191" s="948"/>
      <c r="I191" s="930">
        <v>300</v>
      </c>
      <c r="J191" s="930">
        <v>529.82676190476195</v>
      </c>
      <c r="K191" s="931"/>
    </row>
    <row r="192" spans="1:12" ht="15" hidden="1" thickBot="1">
      <c r="B192" s="183"/>
      <c r="C192" s="389"/>
      <c r="E192" s="929"/>
      <c r="F192" s="929"/>
    </row>
    <row r="193" spans="1:26" ht="15" thickBot="1">
      <c r="A193" s="941" t="s">
        <v>125</v>
      </c>
      <c r="B193" s="176" t="s">
        <v>2868</v>
      </c>
      <c r="C193" s="943">
        <v>1</v>
      </c>
      <c r="D193" s="944" t="s">
        <v>136</v>
      </c>
      <c r="E193" s="932">
        <v>0.11208333333333333</v>
      </c>
      <c r="F193" s="932">
        <v>1.6812499999999999</v>
      </c>
      <c r="G193" s="932">
        <v>11.198624781746032</v>
      </c>
      <c r="H193" s="933"/>
      <c r="I193" s="932">
        <v>16.8125</v>
      </c>
      <c r="J193" s="932">
        <v>29.692374781746032</v>
      </c>
      <c r="K193" s="946">
        <v>1</v>
      </c>
      <c r="L193" s="933"/>
    </row>
    <row r="194" spans="1:26" ht="15" hidden="1" thickBot="1">
      <c r="B194" s="183" t="s">
        <v>2853</v>
      </c>
      <c r="C194" s="389">
        <v>1</v>
      </c>
      <c r="D194" s="7" t="s">
        <v>242</v>
      </c>
      <c r="E194" s="929">
        <v>1</v>
      </c>
      <c r="F194" s="947">
        <v>15</v>
      </c>
      <c r="G194" s="930">
        <v>99.913380952380962</v>
      </c>
      <c r="H194" s="930"/>
      <c r="I194" s="930">
        <v>150</v>
      </c>
      <c r="J194" s="930">
        <v>264.91338095238098</v>
      </c>
      <c r="K194" s="931"/>
      <c r="L194" s="7" t="s">
        <v>2827</v>
      </c>
    </row>
    <row r="195" spans="1:26" ht="15" hidden="1" thickBot="1">
      <c r="B195" s="184" t="s">
        <v>2815</v>
      </c>
      <c r="C195" s="389">
        <v>1</v>
      </c>
      <c r="D195" s="7" t="s">
        <v>242</v>
      </c>
      <c r="E195" s="929"/>
      <c r="F195" s="947"/>
      <c r="G195" s="930">
        <v>0</v>
      </c>
      <c r="H195" s="948"/>
      <c r="I195" s="948"/>
      <c r="J195" s="930">
        <v>0</v>
      </c>
      <c r="K195" s="931"/>
    </row>
    <row r="196" spans="1:26" ht="15" hidden="1" thickBot="1">
      <c r="B196" s="183" t="s">
        <v>2817</v>
      </c>
      <c r="C196" s="389">
        <v>1</v>
      </c>
      <c r="D196" s="7" t="s">
        <v>242</v>
      </c>
      <c r="E196" s="929">
        <v>2</v>
      </c>
      <c r="F196" s="947">
        <v>30</v>
      </c>
      <c r="G196" s="930">
        <v>199.82676190476192</v>
      </c>
      <c r="H196" s="948"/>
      <c r="I196" s="930">
        <v>300</v>
      </c>
      <c r="J196" s="930">
        <v>529.82676190476195</v>
      </c>
      <c r="K196" s="931"/>
      <c r="L196" s="7" t="s">
        <v>2869</v>
      </c>
    </row>
    <row r="197" spans="1:26" ht="15" hidden="1" thickBot="1">
      <c r="B197" s="183" t="s">
        <v>2819</v>
      </c>
      <c r="C197" s="389">
        <v>1</v>
      </c>
      <c r="D197" s="7" t="s">
        <v>242</v>
      </c>
      <c r="E197" s="929">
        <v>2</v>
      </c>
      <c r="F197" s="947">
        <v>30</v>
      </c>
      <c r="G197" s="930">
        <v>199.82676190476192</v>
      </c>
      <c r="H197" s="948"/>
      <c r="I197" s="930">
        <v>300</v>
      </c>
      <c r="J197" s="930">
        <v>529.82676190476195</v>
      </c>
      <c r="K197" s="931"/>
      <c r="L197" s="7" t="s">
        <v>2870</v>
      </c>
    </row>
    <row r="198" spans="1:26" ht="15" hidden="1" thickBot="1">
      <c r="B198" s="183"/>
      <c r="C198" s="389"/>
      <c r="E198" s="929"/>
      <c r="F198" s="929"/>
    </row>
    <row r="199" spans="1:26" ht="15" hidden="1" thickBot="1">
      <c r="B199" s="183"/>
      <c r="C199" s="389"/>
      <c r="E199" s="931"/>
      <c r="F199" s="929"/>
      <c r="G199" s="948"/>
      <c r="H199" s="948"/>
      <c r="I199" s="948"/>
      <c r="J199" s="948"/>
    </row>
    <row r="200" spans="1:26" ht="15" thickBot="1">
      <c r="A200" s="941" t="s">
        <v>145</v>
      </c>
      <c r="B200" s="176" t="s">
        <v>2871</v>
      </c>
      <c r="C200" s="943">
        <v>1</v>
      </c>
      <c r="D200" s="944" t="s">
        <v>136</v>
      </c>
      <c r="E200" s="932">
        <v>0.12329166666666667</v>
      </c>
      <c r="F200" s="932">
        <v>1.1768750000000001</v>
      </c>
      <c r="G200" s="932">
        <v>7.8390373472222228</v>
      </c>
      <c r="H200" s="933"/>
      <c r="I200" s="932">
        <v>11.768750000000001</v>
      </c>
      <c r="J200" s="932">
        <v>20.784662347222223</v>
      </c>
      <c r="K200" s="946">
        <v>0.3</v>
      </c>
    </row>
    <row r="201" spans="1:26" ht="15" hidden="1" thickBot="1">
      <c r="B201" s="183" t="s">
        <v>2813</v>
      </c>
      <c r="C201" s="389">
        <v>1</v>
      </c>
      <c r="D201" s="7" t="s">
        <v>242</v>
      </c>
      <c r="E201" s="937">
        <v>2</v>
      </c>
      <c r="F201" s="947">
        <v>30</v>
      </c>
      <c r="G201" s="930">
        <v>199.82676190476192</v>
      </c>
      <c r="H201" s="930"/>
      <c r="I201" s="930">
        <v>300</v>
      </c>
      <c r="J201" s="930">
        <v>529.82676190476195</v>
      </c>
      <c r="K201" s="931"/>
    </row>
    <row r="202" spans="1:26" ht="15" hidden="1" thickBot="1">
      <c r="B202" s="184" t="s">
        <v>2815</v>
      </c>
      <c r="C202" s="389">
        <v>1</v>
      </c>
      <c r="D202" s="7" t="s">
        <v>242</v>
      </c>
      <c r="E202" s="937">
        <v>2</v>
      </c>
      <c r="F202" s="947"/>
      <c r="G202" s="930"/>
      <c r="H202" s="948"/>
      <c r="I202" s="948"/>
      <c r="J202" s="930"/>
      <c r="K202" s="931"/>
      <c r="N202" s="7" t="s">
        <v>2872</v>
      </c>
      <c r="O202" s="7" t="s">
        <v>2873</v>
      </c>
      <c r="P202" s="7" t="s">
        <v>2874</v>
      </c>
      <c r="Q202" s="7" t="s">
        <v>2875</v>
      </c>
      <c r="R202" s="7" t="s">
        <v>2688</v>
      </c>
      <c r="S202" s="7" t="s">
        <v>2876</v>
      </c>
      <c r="U202" s="7" t="s">
        <v>2877</v>
      </c>
      <c r="V202" s="7" t="s">
        <v>2878</v>
      </c>
      <c r="X202" s="7">
        <v>104</v>
      </c>
      <c r="Z202" s="7">
        <v>26</v>
      </c>
    </row>
    <row r="203" spans="1:26" ht="15" hidden="1" thickBot="1">
      <c r="B203" s="183" t="s">
        <v>2817</v>
      </c>
      <c r="C203" s="389">
        <v>1</v>
      </c>
      <c r="D203" s="7" t="s">
        <v>242</v>
      </c>
      <c r="E203" s="937">
        <v>1</v>
      </c>
      <c r="F203" s="947">
        <v>15</v>
      </c>
      <c r="G203" s="930">
        <v>99.913380952380962</v>
      </c>
      <c r="H203" s="948"/>
      <c r="I203" s="930">
        <v>150</v>
      </c>
      <c r="J203" s="930">
        <v>264.91338095238098</v>
      </c>
      <c r="K203" s="931"/>
      <c r="N203" s="7">
        <v>2</v>
      </c>
      <c r="O203" s="7">
        <v>2</v>
      </c>
      <c r="P203" s="7">
        <v>4</v>
      </c>
      <c r="Q203" s="7">
        <v>16</v>
      </c>
      <c r="R203" s="7">
        <v>0.45279999999999998</v>
      </c>
      <c r="S203" s="7">
        <v>26</v>
      </c>
      <c r="T203" s="896">
        <v>11.7728</v>
      </c>
      <c r="U203" s="7">
        <v>480</v>
      </c>
      <c r="V203" s="896">
        <v>44.591999999999999</v>
      </c>
      <c r="W203" s="899">
        <v>0.26401148188015788</v>
      </c>
    </row>
    <row r="204" spans="1:26" ht="15" hidden="1" thickBot="1">
      <c r="B204" s="183" t="s">
        <v>2819</v>
      </c>
      <c r="C204" s="389">
        <v>1</v>
      </c>
      <c r="D204" s="7" t="s">
        <v>242</v>
      </c>
      <c r="E204" s="937">
        <v>0.5</v>
      </c>
      <c r="F204" s="947">
        <v>7.5</v>
      </c>
      <c r="G204" s="930">
        <v>49.956690476190481</v>
      </c>
      <c r="H204" s="948"/>
      <c r="I204" s="930">
        <v>75</v>
      </c>
      <c r="J204" s="930">
        <v>132.45669047619049</v>
      </c>
      <c r="K204" s="931"/>
      <c r="L204" s="7" t="s">
        <v>2879</v>
      </c>
    </row>
    <row r="205" spans="1:26" ht="15" hidden="1" thickBot="1">
      <c r="B205" s="183"/>
      <c r="C205" s="389"/>
      <c r="E205" s="937"/>
      <c r="F205" s="947"/>
      <c r="G205" s="930"/>
      <c r="H205" s="948"/>
      <c r="I205" s="930"/>
      <c r="J205" s="930"/>
      <c r="K205" s="931"/>
      <c r="X205" s="7">
        <v>480</v>
      </c>
    </row>
    <row r="206" spans="1:26" ht="15" hidden="1" thickBot="1">
      <c r="B206" s="183"/>
      <c r="C206" s="389"/>
      <c r="E206" s="937"/>
      <c r="F206" s="947"/>
      <c r="G206" s="930"/>
      <c r="H206" s="948"/>
      <c r="I206" s="930"/>
      <c r="J206" s="930"/>
      <c r="K206" s="931"/>
    </row>
    <row r="207" spans="1:26" ht="15" hidden="1" thickBot="1">
      <c r="B207" s="183"/>
      <c r="C207" s="389"/>
      <c r="D207" s="895"/>
      <c r="E207" s="931">
        <v>0.26401148188015788</v>
      </c>
      <c r="F207" s="931">
        <v>0.26401148188015788</v>
      </c>
      <c r="G207" s="931">
        <v>0.26401148188015788</v>
      </c>
      <c r="I207" s="931">
        <v>0.26401148188015788</v>
      </c>
      <c r="J207" s="931">
        <v>0.26401148188015788</v>
      </c>
      <c r="K207" s="931"/>
      <c r="N207" s="7">
        <v>0.60799999999999998</v>
      </c>
      <c r="O207" s="7">
        <v>0.60799999999999998</v>
      </c>
      <c r="P207" s="7">
        <v>1.216</v>
      </c>
      <c r="Q207" s="7">
        <v>26</v>
      </c>
      <c r="S207" s="7">
        <v>11.687297023999999</v>
      </c>
      <c r="U207" s="7">
        <v>480</v>
      </c>
    </row>
    <row r="208" spans="1:26" ht="15" thickBot="1">
      <c r="A208" s="941" t="s">
        <v>523</v>
      </c>
      <c r="B208" s="176" t="s">
        <v>2880</v>
      </c>
      <c r="C208" s="943">
        <v>1</v>
      </c>
      <c r="D208" s="944" t="s">
        <v>136</v>
      </c>
      <c r="E208" s="932">
        <v>0.14520631503408685</v>
      </c>
      <c r="F208" s="932">
        <v>2.1780947255113023</v>
      </c>
      <c r="G208" s="932">
        <v>14.50805387069216</v>
      </c>
      <c r="H208" s="933"/>
      <c r="I208" s="932">
        <v>21.780947255113027</v>
      </c>
      <c r="J208" s="932">
        <v>38.467095851316493</v>
      </c>
      <c r="K208" s="946">
        <v>0.75</v>
      </c>
    </row>
    <row r="209" spans="1:19" ht="15" hidden="1" thickBot="1">
      <c r="B209" s="183" t="s">
        <v>2881</v>
      </c>
      <c r="C209" s="389">
        <v>1</v>
      </c>
      <c r="D209" s="7" t="s">
        <v>2688</v>
      </c>
      <c r="E209" s="937">
        <v>0</v>
      </c>
      <c r="F209" s="947">
        <v>0</v>
      </c>
      <c r="G209" s="930">
        <v>0</v>
      </c>
      <c r="H209" s="930"/>
      <c r="I209" s="930">
        <v>0</v>
      </c>
      <c r="J209" s="930">
        <v>0</v>
      </c>
      <c r="K209" s="931"/>
    </row>
    <row r="210" spans="1:19" ht="15" hidden="1" thickBot="1">
      <c r="B210" s="184" t="s">
        <v>2815</v>
      </c>
      <c r="C210" s="389">
        <v>1</v>
      </c>
      <c r="D210" s="7" t="s">
        <v>2688</v>
      </c>
      <c r="E210" s="937">
        <v>0</v>
      </c>
      <c r="F210" s="947">
        <v>0</v>
      </c>
      <c r="G210" s="930">
        <v>0</v>
      </c>
      <c r="H210" s="948"/>
      <c r="I210" s="948">
        <v>0</v>
      </c>
      <c r="J210" s="930">
        <v>0</v>
      </c>
      <c r="K210" s="931"/>
    </row>
    <row r="211" spans="1:19" ht="15" hidden="1" thickBot="1">
      <c r="B211" s="183" t="s">
        <v>2817</v>
      </c>
      <c r="C211" s="389">
        <v>1</v>
      </c>
      <c r="D211" s="7" t="s">
        <v>2688</v>
      </c>
      <c r="E211" s="937">
        <v>2</v>
      </c>
      <c r="F211" s="947">
        <v>30</v>
      </c>
      <c r="G211" s="930">
        <v>199.82676190476192</v>
      </c>
      <c r="H211" s="948"/>
      <c r="I211" s="930">
        <v>300</v>
      </c>
      <c r="J211" s="930">
        <v>529.82676190476195</v>
      </c>
      <c r="K211" s="931"/>
      <c r="S211" s="899">
        <v>0.26208545454127941</v>
      </c>
    </row>
    <row r="212" spans="1:19" ht="15" hidden="1" thickBot="1">
      <c r="B212" s="183" t="s">
        <v>2882</v>
      </c>
      <c r="C212" s="389">
        <v>1</v>
      </c>
      <c r="D212" s="7" t="s">
        <v>2688</v>
      </c>
      <c r="E212" s="937">
        <v>0.2</v>
      </c>
      <c r="F212" s="947">
        <v>3</v>
      </c>
      <c r="G212" s="930">
        <v>19.982676190476194</v>
      </c>
      <c r="H212" s="948"/>
      <c r="I212" s="930">
        <v>30</v>
      </c>
      <c r="J212" s="930">
        <v>52.982676190476198</v>
      </c>
      <c r="K212" s="931"/>
      <c r="L212" s="930" t="s">
        <v>2883</v>
      </c>
    </row>
    <row r="213" spans="1:19" ht="15" hidden="1" thickBot="1">
      <c r="B213" s="183"/>
      <c r="C213" s="389"/>
      <c r="E213" s="937"/>
      <c r="F213" s="929"/>
    </row>
    <row r="214" spans="1:19" ht="15" hidden="1" thickBot="1">
      <c r="A214" s="7" t="s">
        <v>506</v>
      </c>
      <c r="B214" s="158" t="s">
        <v>2884</v>
      </c>
      <c r="C214" s="385">
        <v>1</v>
      </c>
      <c r="D214" s="159" t="s">
        <v>136</v>
      </c>
      <c r="E214" s="932">
        <v>0.125</v>
      </c>
      <c r="F214" s="932">
        <v>1.875</v>
      </c>
      <c r="G214" s="932">
        <v>12.48917261904762</v>
      </c>
      <c r="H214" s="933"/>
      <c r="I214" s="932">
        <v>18.75</v>
      </c>
      <c r="J214" s="932">
        <v>33.114172619047622</v>
      </c>
      <c r="K214" s="932">
        <v>0</v>
      </c>
      <c r="L214" s="932" t="s">
        <v>2885</v>
      </c>
    </row>
    <row r="215" spans="1:19" ht="15" hidden="1" thickBot="1">
      <c r="B215" s="183" t="s">
        <v>2886</v>
      </c>
      <c r="C215" s="389">
        <v>1</v>
      </c>
      <c r="D215" s="7" t="s">
        <v>2688</v>
      </c>
      <c r="E215" s="937">
        <v>0.125</v>
      </c>
      <c r="F215" s="947">
        <v>1.875</v>
      </c>
      <c r="G215" s="930">
        <v>12.48917261904762</v>
      </c>
      <c r="H215" s="930"/>
      <c r="I215" s="930">
        <v>18.75</v>
      </c>
      <c r="J215" s="930">
        <v>33.114172619047622</v>
      </c>
      <c r="K215" s="931"/>
    </row>
    <row r="216" spans="1:19" ht="15" hidden="1" thickBot="1">
      <c r="B216" s="184" t="s">
        <v>2815</v>
      </c>
      <c r="C216" s="389">
        <v>1</v>
      </c>
      <c r="D216" s="7" t="s">
        <v>2688</v>
      </c>
      <c r="E216" s="937"/>
      <c r="F216" s="947">
        <v>0</v>
      </c>
      <c r="G216" s="930">
        <v>0</v>
      </c>
      <c r="H216" s="948"/>
      <c r="I216" s="948">
        <v>0</v>
      </c>
      <c r="J216" s="930">
        <v>0</v>
      </c>
      <c r="K216" s="931"/>
    </row>
    <row r="217" spans="1:19" ht="15" hidden="1" thickBot="1">
      <c r="B217" s="183" t="s">
        <v>2817</v>
      </c>
      <c r="C217" s="389">
        <v>1</v>
      </c>
      <c r="D217" s="7" t="s">
        <v>2688</v>
      </c>
      <c r="E217" s="937"/>
      <c r="F217" s="947">
        <v>0</v>
      </c>
      <c r="G217" s="930">
        <v>0</v>
      </c>
      <c r="H217" s="948"/>
      <c r="I217" s="930">
        <v>0</v>
      </c>
      <c r="J217" s="930">
        <v>0</v>
      </c>
      <c r="K217" s="931"/>
    </row>
    <row r="218" spans="1:19" ht="15" hidden="1" thickBot="1">
      <c r="B218" s="183" t="s">
        <v>2819</v>
      </c>
      <c r="C218" s="389">
        <v>1</v>
      </c>
      <c r="D218" s="7" t="s">
        <v>2688</v>
      </c>
      <c r="E218" s="937"/>
      <c r="F218" s="947">
        <v>0</v>
      </c>
      <c r="G218" s="930">
        <v>0</v>
      </c>
      <c r="H218" s="948"/>
      <c r="I218" s="930">
        <v>0</v>
      </c>
      <c r="J218" s="930">
        <v>0</v>
      </c>
      <c r="K218" s="931"/>
    </row>
    <row r="219" spans="1:19" ht="15" hidden="1" thickBot="1">
      <c r="B219" s="183"/>
      <c r="C219" s="389"/>
      <c r="E219" s="937"/>
      <c r="F219" s="947"/>
      <c r="G219" s="930"/>
      <c r="H219" s="948"/>
      <c r="I219" s="930"/>
      <c r="J219" s="930"/>
      <c r="K219" s="931"/>
    </row>
    <row r="220" spans="1:19" ht="15" thickBot="1">
      <c r="A220" s="941" t="s">
        <v>2887</v>
      </c>
      <c r="B220" s="176" t="s">
        <v>1249</v>
      </c>
      <c r="C220" s="943">
        <v>1</v>
      </c>
      <c r="D220" s="944" t="s">
        <v>2700</v>
      </c>
      <c r="E220" s="932">
        <v>761.90476190476181</v>
      </c>
      <c r="F220" s="932">
        <v>11428.571428571428</v>
      </c>
      <c r="G220" s="932">
        <v>76124.48072562358</v>
      </c>
      <c r="H220" s="933"/>
      <c r="I220" s="932">
        <v>114285.71428571428</v>
      </c>
      <c r="J220" s="932">
        <v>201838.76643990929</v>
      </c>
      <c r="K220" s="946">
        <v>5000</v>
      </c>
      <c r="L220" s="852"/>
    </row>
    <row r="221" spans="1:19" ht="15" hidden="1" thickBot="1">
      <c r="B221" s="183" t="s">
        <v>2886</v>
      </c>
      <c r="C221" s="389">
        <v>1</v>
      </c>
      <c r="D221" s="7" t="s">
        <v>2700</v>
      </c>
      <c r="E221" s="937">
        <v>761.90476190476181</v>
      </c>
      <c r="F221" s="947">
        <v>11428.571428571428</v>
      </c>
      <c r="G221" s="930">
        <v>76124.48072562358</v>
      </c>
      <c r="H221" s="930"/>
      <c r="I221" s="930">
        <v>114285.71428571428</v>
      </c>
      <c r="J221" s="930">
        <v>201838.76643990929</v>
      </c>
      <c r="K221" s="931"/>
    </row>
    <row r="222" spans="1:19" ht="15" hidden="1" thickBot="1">
      <c r="B222" s="184"/>
      <c r="C222" s="389"/>
      <c r="E222" s="937"/>
      <c r="F222" s="947"/>
      <c r="G222" s="930"/>
      <c r="H222" s="948"/>
      <c r="I222" s="948"/>
      <c r="J222" s="930"/>
      <c r="K222" s="931"/>
    </row>
    <row r="223" spans="1:19" ht="15" hidden="1" thickBot="1">
      <c r="B223" s="183"/>
      <c r="C223" s="389"/>
      <c r="E223" s="937"/>
      <c r="F223" s="947"/>
      <c r="G223" s="930"/>
      <c r="H223" s="948"/>
      <c r="I223" s="930"/>
      <c r="J223" s="930"/>
      <c r="K223" s="931"/>
    </row>
    <row r="224" spans="1:19" ht="15" hidden="1" thickBot="1">
      <c r="B224" s="183"/>
      <c r="C224" s="389"/>
      <c r="E224" s="937"/>
      <c r="F224" s="947"/>
      <c r="G224" s="930"/>
      <c r="H224" s="948"/>
      <c r="I224" s="930"/>
      <c r="J224" s="930"/>
      <c r="K224" s="931"/>
    </row>
    <row r="225" spans="1:12" ht="15" hidden="1" thickBot="1">
      <c r="B225" s="183"/>
      <c r="C225" s="389"/>
      <c r="E225" s="929"/>
      <c r="F225" s="929"/>
    </row>
    <row r="226" spans="1:12" ht="15" thickBot="1">
      <c r="A226" s="941" t="s">
        <v>2888</v>
      </c>
      <c r="B226" s="176" t="s">
        <v>2889</v>
      </c>
      <c r="C226" s="943">
        <v>1</v>
      </c>
      <c r="D226" s="944" t="s">
        <v>242</v>
      </c>
      <c r="E226" s="932">
        <v>270</v>
      </c>
      <c r="F226" s="945">
        <v>3450</v>
      </c>
      <c r="G226" s="933">
        <v>26976.61285714286</v>
      </c>
      <c r="H226" s="933"/>
      <c r="I226" s="933">
        <v>34500</v>
      </c>
      <c r="J226" s="933">
        <v>64926.612857142864</v>
      </c>
      <c r="K226" s="946">
        <v>0.5</v>
      </c>
    </row>
    <row r="227" spans="1:12" ht="15" hidden="1" thickBot="1">
      <c r="B227" s="183" t="s">
        <v>2813</v>
      </c>
      <c r="C227" s="389">
        <v>1</v>
      </c>
      <c r="D227" s="7" t="s">
        <v>242</v>
      </c>
      <c r="E227" s="929">
        <v>160</v>
      </c>
      <c r="F227" s="947">
        <v>2400</v>
      </c>
      <c r="G227" s="930">
        <v>15986.140952380954</v>
      </c>
      <c r="H227" s="930"/>
      <c r="I227" s="930">
        <v>24000</v>
      </c>
      <c r="J227" s="930">
        <v>42386.140952380956</v>
      </c>
      <c r="K227" s="931"/>
    </row>
    <row r="228" spans="1:12" ht="15" hidden="1" thickBot="1">
      <c r="B228" s="184" t="s">
        <v>2815</v>
      </c>
      <c r="C228" s="389">
        <v>1</v>
      </c>
      <c r="D228" s="7" t="s">
        <v>242</v>
      </c>
      <c r="E228" s="929">
        <v>40</v>
      </c>
      <c r="F228" s="947"/>
      <c r="G228" s="930">
        <v>3996.5352380952386</v>
      </c>
      <c r="H228" s="948"/>
      <c r="I228" s="948">
        <v>0</v>
      </c>
      <c r="J228" s="930">
        <v>3996.5352380952386</v>
      </c>
      <c r="K228" s="931"/>
    </row>
    <row r="229" spans="1:12" ht="15" hidden="1" thickBot="1">
      <c r="B229" s="183" t="s">
        <v>2817</v>
      </c>
      <c r="C229" s="389">
        <v>1</v>
      </c>
      <c r="D229" s="7" t="s">
        <v>242</v>
      </c>
      <c r="E229" s="929">
        <v>40</v>
      </c>
      <c r="F229" s="947">
        <v>600</v>
      </c>
      <c r="G229" s="930">
        <v>3996.5352380952386</v>
      </c>
      <c r="H229" s="948"/>
      <c r="I229" s="930">
        <v>6000</v>
      </c>
      <c r="J229" s="930">
        <v>10596.535238095239</v>
      </c>
      <c r="K229" s="931"/>
    </row>
    <row r="230" spans="1:12" ht="15" hidden="1" thickBot="1">
      <c r="B230" s="183" t="s">
        <v>2819</v>
      </c>
      <c r="C230" s="389">
        <v>1</v>
      </c>
      <c r="D230" s="7" t="s">
        <v>242</v>
      </c>
      <c r="E230" s="929">
        <v>30</v>
      </c>
      <c r="F230" s="947">
        <v>450</v>
      </c>
      <c r="G230" s="930">
        <v>2997.4014285714288</v>
      </c>
      <c r="H230" s="948"/>
      <c r="I230" s="930">
        <v>4500</v>
      </c>
      <c r="J230" s="930">
        <v>7947.4014285714293</v>
      </c>
      <c r="K230" s="931"/>
    </row>
    <row r="231" spans="1:12" ht="15" hidden="1" thickBot="1">
      <c r="B231" s="183"/>
      <c r="C231" s="389"/>
      <c r="E231" s="929"/>
      <c r="F231" s="929"/>
    </row>
    <row r="232" spans="1:12" ht="15" thickBot="1">
      <c r="A232" s="941" t="s">
        <v>800</v>
      </c>
      <c r="B232" s="176" t="s">
        <v>3431</v>
      </c>
      <c r="C232" s="943">
        <v>1</v>
      </c>
      <c r="D232" s="944" t="s">
        <v>2700</v>
      </c>
      <c r="E232" s="932">
        <v>47</v>
      </c>
      <c r="F232" s="932">
        <v>480</v>
      </c>
      <c r="G232" s="932">
        <v>4695.928904761905</v>
      </c>
      <c r="H232" s="933"/>
      <c r="I232" s="932">
        <v>4800</v>
      </c>
      <c r="J232" s="932">
        <v>9975.9289047619059</v>
      </c>
      <c r="K232" s="946">
        <v>329.26829268292681</v>
      </c>
    </row>
    <row r="233" spans="1:12" ht="15" hidden="1" thickBot="1">
      <c r="B233" s="183" t="s">
        <v>2813</v>
      </c>
      <c r="C233" s="389">
        <v>1</v>
      </c>
      <c r="D233" s="7" t="s">
        <v>242</v>
      </c>
      <c r="E233" s="929">
        <v>20</v>
      </c>
      <c r="F233" s="947">
        <v>300</v>
      </c>
      <c r="G233" s="930">
        <v>1998.2676190476193</v>
      </c>
      <c r="H233" s="930"/>
      <c r="I233" s="930">
        <v>3000</v>
      </c>
      <c r="J233" s="930">
        <v>5298.2676190476195</v>
      </c>
      <c r="K233" s="931"/>
      <c r="L233" s="7" t="s">
        <v>2891</v>
      </c>
    </row>
    <row r="234" spans="1:12" ht="15" hidden="1" thickBot="1">
      <c r="B234" s="184" t="s">
        <v>2815</v>
      </c>
      <c r="C234" s="389">
        <v>1</v>
      </c>
      <c r="D234" s="7" t="s">
        <v>242</v>
      </c>
      <c r="E234" s="929">
        <v>15</v>
      </c>
      <c r="F234" s="947"/>
      <c r="G234" s="930">
        <v>1498.7007142857144</v>
      </c>
      <c r="H234" s="948"/>
      <c r="I234" s="948">
        <v>0</v>
      </c>
      <c r="J234" s="930">
        <v>1498.7007142857144</v>
      </c>
      <c r="K234" s="931"/>
      <c r="L234" s="7" t="s">
        <v>2892</v>
      </c>
    </row>
    <row r="235" spans="1:12" ht="15" hidden="1" thickBot="1">
      <c r="B235" s="183" t="s">
        <v>2817</v>
      </c>
      <c r="C235" s="389">
        <v>1</v>
      </c>
      <c r="D235" s="7" t="s">
        <v>242</v>
      </c>
      <c r="E235" s="929">
        <v>6</v>
      </c>
      <c r="F235" s="947">
        <v>90</v>
      </c>
      <c r="G235" s="930">
        <v>599.48028571428574</v>
      </c>
      <c r="H235" s="948"/>
      <c r="I235" s="930">
        <v>900</v>
      </c>
      <c r="J235" s="930">
        <v>1589.4802857142859</v>
      </c>
      <c r="K235" s="931"/>
      <c r="L235" s="7" t="s">
        <v>2893</v>
      </c>
    </row>
    <row r="236" spans="1:12" ht="15" hidden="1" thickBot="1">
      <c r="B236" s="183" t="s">
        <v>2819</v>
      </c>
      <c r="C236" s="389">
        <v>1</v>
      </c>
      <c r="D236" s="7" t="s">
        <v>242</v>
      </c>
      <c r="E236" s="929">
        <v>6</v>
      </c>
      <c r="F236" s="947">
        <v>90</v>
      </c>
      <c r="G236" s="930">
        <v>599.48028571428574</v>
      </c>
      <c r="H236" s="948"/>
      <c r="I236" s="930">
        <v>900</v>
      </c>
      <c r="J236" s="930">
        <v>1589.4802857142859</v>
      </c>
      <c r="K236" s="931"/>
      <c r="L236" s="7" t="s">
        <v>2894</v>
      </c>
    </row>
    <row r="237" spans="1:12" ht="15" hidden="1" thickBot="1">
      <c r="B237" s="184"/>
      <c r="C237" s="389"/>
      <c r="E237" s="929"/>
      <c r="F237" s="947"/>
      <c r="G237" s="930"/>
      <c r="H237" s="948"/>
      <c r="I237" s="948"/>
      <c r="J237" s="930"/>
      <c r="K237" s="931"/>
    </row>
    <row r="238" spans="1:12" ht="15" thickBot="1">
      <c r="A238" s="941" t="s">
        <v>931</v>
      </c>
      <c r="B238" s="176" t="s">
        <v>2895</v>
      </c>
      <c r="C238" s="943">
        <v>1</v>
      </c>
      <c r="D238" s="944" t="s">
        <v>2700</v>
      </c>
      <c r="E238" s="932">
        <v>47</v>
      </c>
      <c r="F238" s="932">
        <v>480</v>
      </c>
      <c r="G238" s="932">
        <v>4695.928904761905</v>
      </c>
      <c r="H238" s="933"/>
      <c r="I238" s="932">
        <v>4800</v>
      </c>
      <c r="J238" s="932">
        <v>9975.9289047619059</v>
      </c>
      <c r="K238" s="946">
        <v>329.26829268292681</v>
      </c>
    </row>
    <row r="239" spans="1:12" ht="15" hidden="1" thickBot="1">
      <c r="B239" s="183" t="s">
        <v>2813</v>
      </c>
      <c r="C239" s="389">
        <v>1</v>
      </c>
      <c r="D239" s="7" t="s">
        <v>242</v>
      </c>
      <c r="E239" s="929">
        <v>20</v>
      </c>
      <c r="F239" s="947">
        <v>300</v>
      </c>
      <c r="G239" s="930">
        <v>1998.2676190476193</v>
      </c>
      <c r="H239" s="930"/>
      <c r="I239" s="930">
        <v>3000</v>
      </c>
      <c r="J239" s="930">
        <v>5298.2676190476195</v>
      </c>
      <c r="K239" s="931"/>
      <c r="L239" s="7" t="s">
        <v>2891</v>
      </c>
    </row>
    <row r="240" spans="1:12" ht="15" hidden="1" thickBot="1">
      <c r="B240" s="184" t="s">
        <v>2815</v>
      </c>
      <c r="C240" s="389">
        <v>1</v>
      </c>
      <c r="D240" s="7" t="s">
        <v>242</v>
      </c>
      <c r="E240" s="929">
        <v>15</v>
      </c>
      <c r="F240" s="947"/>
      <c r="G240" s="930">
        <v>1498.7007142857144</v>
      </c>
      <c r="H240" s="948"/>
      <c r="I240" s="948">
        <v>0</v>
      </c>
      <c r="J240" s="930">
        <v>1498.7007142857144</v>
      </c>
      <c r="K240" s="931"/>
      <c r="L240" s="7" t="s">
        <v>2892</v>
      </c>
    </row>
    <row r="241" spans="1:12" ht="15" hidden="1" thickBot="1">
      <c r="B241" s="183" t="s">
        <v>2817</v>
      </c>
      <c r="C241" s="389">
        <v>1</v>
      </c>
      <c r="D241" s="7" t="s">
        <v>242</v>
      </c>
      <c r="E241" s="929">
        <v>6</v>
      </c>
      <c r="F241" s="947">
        <v>90</v>
      </c>
      <c r="G241" s="930">
        <v>599.48028571428574</v>
      </c>
      <c r="H241" s="948"/>
      <c r="I241" s="930">
        <v>900</v>
      </c>
      <c r="J241" s="930">
        <v>1589.4802857142859</v>
      </c>
      <c r="K241" s="931"/>
      <c r="L241" s="7" t="s">
        <v>2893</v>
      </c>
    </row>
    <row r="242" spans="1:12" ht="15" hidden="1" thickBot="1">
      <c r="B242" s="183" t="s">
        <v>2819</v>
      </c>
      <c r="C242" s="389">
        <v>1</v>
      </c>
      <c r="D242" s="7" t="s">
        <v>242</v>
      </c>
      <c r="E242" s="929">
        <v>6</v>
      </c>
      <c r="F242" s="947">
        <v>90</v>
      </c>
      <c r="G242" s="930">
        <v>599.48028571428574</v>
      </c>
      <c r="H242" s="948"/>
      <c r="I242" s="930">
        <v>900</v>
      </c>
      <c r="J242" s="930">
        <v>1589.4802857142859</v>
      </c>
      <c r="K242" s="931"/>
      <c r="L242" s="7" t="s">
        <v>2894</v>
      </c>
    </row>
    <row r="243" spans="1:12" ht="15" hidden="1" thickBot="1">
      <c r="B243" s="184"/>
      <c r="C243" s="389"/>
      <c r="E243" s="929"/>
      <c r="F243" s="947"/>
      <c r="G243" s="930"/>
      <c r="H243" s="948"/>
      <c r="I243" s="948"/>
      <c r="J243" s="930"/>
      <c r="K243" s="931"/>
    </row>
    <row r="244" spans="1:12" ht="15" thickBot="1">
      <c r="A244" s="941" t="s">
        <v>977</v>
      </c>
      <c r="B244" s="176" t="s">
        <v>2896</v>
      </c>
      <c r="C244" s="943">
        <v>1</v>
      </c>
      <c r="D244" s="944" t="s">
        <v>2700</v>
      </c>
      <c r="E244" s="932">
        <v>51</v>
      </c>
      <c r="F244" s="932">
        <v>540</v>
      </c>
      <c r="G244" s="932">
        <v>5095.5824285714289</v>
      </c>
      <c r="H244" s="933"/>
      <c r="I244" s="932">
        <v>5400</v>
      </c>
      <c r="J244" s="932">
        <v>11035.58242857143</v>
      </c>
      <c r="K244" s="946">
        <v>329.26829268292681</v>
      </c>
    </row>
    <row r="245" spans="1:12" ht="15" hidden="1" thickBot="1">
      <c r="B245" s="183" t="s">
        <v>2813</v>
      </c>
      <c r="C245" s="389">
        <v>1</v>
      </c>
      <c r="D245" s="7" t="s">
        <v>242</v>
      </c>
      <c r="E245" s="929">
        <v>20</v>
      </c>
      <c r="F245" s="947">
        <v>300</v>
      </c>
      <c r="G245" s="930">
        <v>1998.2676190476193</v>
      </c>
      <c r="H245" s="930"/>
      <c r="I245" s="930">
        <v>3000</v>
      </c>
      <c r="J245" s="930">
        <v>5298.2676190476195</v>
      </c>
      <c r="K245" s="931"/>
      <c r="L245" s="7" t="s">
        <v>2891</v>
      </c>
    </row>
    <row r="246" spans="1:12" ht="15" hidden="1" thickBot="1">
      <c r="B246" s="184" t="s">
        <v>2815</v>
      </c>
      <c r="C246" s="389">
        <v>1</v>
      </c>
      <c r="D246" s="7" t="s">
        <v>242</v>
      </c>
      <c r="E246" s="929">
        <v>15</v>
      </c>
      <c r="F246" s="947"/>
      <c r="G246" s="930">
        <v>1498.7007142857144</v>
      </c>
      <c r="H246" s="948"/>
      <c r="I246" s="948">
        <v>0</v>
      </c>
      <c r="J246" s="930">
        <v>1498.7007142857144</v>
      </c>
      <c r="K246" s="931"/>
      <c r="L246" s="7" t="s">
        <v>2892</v>
      </c>
    </row>
    <row r="247" spans="1:12" ht="15" hidden="1" thickBot="1">
      <c r="B247" s="183" t="s">
        <v>2817</v>
      </c>
      <c r="C247" s="389">
        <v>1</v>
      </c>
      <c r="D247" s="7" t="s">
        <v>242</v>
      </c>
      <c r="E247" s="929">
        <v>8</v>
      </c>
      <c r="F247" s="947">
        <v>120</v>
      </c>
      <c r="G247" s="930">
        <v>799.30704761904769</v>
      </c>
      <c r="H247" s="948"/>
      <c r="I247" s="930">
        <v>1200</v>
      </c>
      <c r="J247" s="930">
        <v>2119.3070476190478</v>
      </c>
      <c r="K247" s="931"/>
      <c r="L247" s="7" t="s">
        <v>2897</v>
      </c>
    </row>
    <row r="248" spans="1:12" ht="15" hidden="1" thickBot="1">
      <c r="B248" s="183" t="s">
        <v>2819</v>
      </c>
      <c r="C248" s="389">
        <v>1</v>
      </c>
      <c r="D248" s="7" t="s">
        <v>242</v>
      </c>
      <c r="E248" s="929">
        <v>8</v>
      </c>
      <c r="F248" s="947">
        <v>120</v>
      </c>
      <c r="G248" s="930">
        <v>799.30704761904769</v>
      </c>
      <c r="H248" s="948"/>
      <c r="I248" s="930">
        <v>1200</v>
      </c>
      <c r="J248" s="930">
        <v>2119.3070476190478</v>
      </c>
      <c r="K248" s="931"/>
      <c r="L248" s="7" t="s">
        <v>2898</v>
      </c>
    </row>
    <row r="249" spans="1:12" ht="15" hidden="1" thickBot="1">
      <c r="B249" s="184"/>
      <c r="C249" s="389"/>
      <c r="E249" s="929"/>
      <c r="F249" s="947"/>
      <c r="G249" s="930"/>
      <c r="H249" s="948"/>
      <c r="I249" s="948"/>
      <c r="J249" s="930"/>
      <c r="K249" s="931"/>
    </row>
    <row r="250" spans="1:12" ht="15" thickBot="1">
      <c r="A250" s="941" t="s">
        <v>2899</v>
      </c>
      <c r="B250" s="176" t="s">
        <v>2900</v>
      </c>
      <c r="C250" s="943">
        <v>1</v>
      </c>
      <c r="D250" s="944" t="s">
        <v>2700</v>
      </c>
      <c r="E250" s="932">
        <v>300</v>
      </c>
      <c r="F250" s="945">
        <v>4500</v>
      </c>
      <c r="G250" s="933">
        <v>29974.014285714289</v>
      </c>
      <c r="H250" s="933"/>
      <c r="I250" s="933">
        <v>45000</v>
      </c>
      <c r="J250" s="933">
        <v>79474.014285714293</v>
      </c>
      <c r="K250" s="946">
        <v>329.26829268292681</v>
      </c>
    </row>
    <row r="251" spans="1:12" ht="15" hidden="1" thickBot="1">
      <c r="B251" s="183" t="s">
        <v>2901</v>
      </c>
      <c r="C251" s="389">
        <v>1</v>
      </c>
      <c r="D251" s="7" t="s">
        <v>242</v>
      </c>
      <c r="E251" s="929">
        <v>300</v>
      </c>
      <c r="F251" s="947">
        <v>4500</v>
      </c>
      <c r="G251" s="930">
        <v>29974.014285714289</v>
      </c>
      <c r="H251" s="930"/>
      <c r="I251" s="930">
        <v>45000</v>
      </c>
      <c r="J251" s="930">
        <v>79474.014285714293</v>
      </c>
      <c r="K251" s="931"/>
      <c r="L251" s="7" t="s">
        <v>2902</v>
      </c>
    </row>
    <row r="252" spans="1:12" ht="15" hidden="1" thickBot="1">
      <c r="B252" s="184"/>
      <c r="C252" s="389"/>
      <c r="E252" s="929"/>
      <c r="F252" s="947"/>
      <c r="G252" s="930"/>
      <c r="H252" s="948"/>
      <c r="I252" s="948"/>
      <c r="J252" s="930"/>
      <c r="K252" s="931"/>
      <c r="L252" s="930" t="s">
        <v>2903</v>
      </c>
    </row>
    <row r="253" spans="1:12" ht="15" thickBot="1">
      <c r="A253" s="941" t="s">
        <v>268</v>
      </c>
      <c r="B253" s="176" t="s">
        <v>2904</v>
      </c>
      <c r="C253" s="943">
        <v>1</v>
      </c>
      <c r="D253" s="944" t="s">
        <v>2700</v>
      </c>
      <c r="E253" s="932">
        <v>24080</v>
      </c>
      <c r="F253" s="945">
        <v>361200</v>
      </c>
      <c r="G253" s="933">
        <v>2405914.2133333334</v>
      </c>
      <c r="H253" s="933"/>
      <c r="I253" s="933">
        <v>3612000</v>
      </c>
      <c r="J253" s="933">
        <v>6379114.2133333329</v>
      </c>
      <c r="K253" s="946">
        <v>30295</v>
      </c>
      <c r="L253" s="850"/>
    </row>
    <row r="254" spans="1:12" ht="15" hidden="1" thickBot="1">
      <c r="B254" s="183" t="s">
        <v>2905</v>
      </c>
      <c r="C254" s="389">
        <v>1</v>
      </c>
      <c r="D254" s="7" t="s">
        <v>242</v>
      </c>
      <c r="E254" s="929">
        <v>24080</v>
      </c>
      <c r="F254" s="947">
        <v>361200</v>
      </c>
      <c r="G254" s="930">
        <v>2405914.2133333334</v>
      </c>
      <c r="H254" s="930"/>
      <c r="I254" s="930">
        <v>3612000</v>
      </c>
      <c r="J254" s="930">
        <v>6379114.2133333329</v>
      </c>
      <c r="K254" s="931"/>
      <c r="L254" s="851">
        <v>12.285714285714286</v>
      </c>
    </row>
    <row r="255" spans="1:12" ht="15" hidden="1" thickBot="1">
      <c r="B255" s="184"/>
      <c r="C255" s="389"/>
      <c r="E255" s="929"/>
      <c r="F255" s="947"/>
      <c r="G255" s="930"/>
      <c r="H255" s="948"/>
      <c r="I255" s="948"/>
      <c r="J255" s="930"/>
      <c r="K255" s="931"/>
      <c r="L255" s="850"/>
    </row>
    <row r="256" spans="1:12" s="159" customFormat="1" ht="15" thickBot="1">
      <c r="A256" s="941" t="s">
        <v>229</v>
      </c>
      <c r="B256" s="958" t="s">
        <v>230</v>
      </c>
      <c r="C256" s="943">
        <v>1</v>
      </c>
      <c r="D256" s="944" t="s">
        <v>2719</v>
      </c>
      <c r="E256" s="932">
        <v>5018.3999999999996</v>
      </c>
      <c r="F256" s="945">
        <v>75276</v>
      </c>
      <c r="G256" s="933">
        <v>501405.31097142858</v>
      </c>
      <c r="H256" s="933"/>
      <c r="I256" s="933">
        <v>752760</v>
      </c>
      <c r="J256" s="933">
        <v>1329441.3109714286</v>
      </c>
      <c r="K256" s="946">
        <v>1020</v>
      </c>
    </row>
    <row r="257" spans="1:12" ht="15" hidden="1" thickBot="1">
      <c r="B257" s="184" t="s">
        <v>2907</v>
      </c>
      <c r="C257" s="389">
        <v>1</v>
      </c>
      <c r="D257" s="7" t="s">
        <v>2719</v>
      </c>
      <c r="E257" s="959">
        <v>5018.3999999999996</v>
      </c>
      <c r="F257" s="947">
        <v>75276</v>
      </c>
      <c r="G257" s="930">
        <v>501405.31097142858</v>
      </c>
      <c r="H257" s="930"/>
      <c r="I257" s="930">
        <v>752760</v>
      </c>
      <c r="J257" s="930">
        <v>1329441.3109714286</v>
      </c>
      <c r="K257" s="931"/>
      <c r="L257" s="7" t="s">
        <v>2908</v>
      </c>
    </row>
    <row r="258" spans="1:12" ht="15" hidden="1" thickBot="1">
      <c r="B258" s="184"/>
      <c r="C258" s="389"/>
      <c r="E258" s="938"/>
      <c r="F258" s="939"/>
      <c r="G258" s="940"/>
      <c r="H258" s="940"/>
      <c r="I258" s="940"/>
      <c r="J258" s="940"/>
      <c r="K258" s="938"/>
    </row>
    <row r="259" spans="1:12" s="159" customFormat="1" ht="15" hidden="1" thickBot="1">
      <c r="A259" s="159" t="s">
        <v>140</v>
      </c>
      <c r="B259" s="848" t="s">
        <v>2909</v>
      </c>
      <c r="C259" s="385">
        <v>1</v>
      </c>
      <c r="D259" s="159" t="s">
        <v>2688</v>
      </c>
      <c r="E259" s="932">
        <v>0</v>
      </c>
      <c r="F259" s="932">
        <v>0</v>
      </c>
      <c r="G259" s="932">
        <v>0</v>
      </c>
      <c r="H259" s="933"/>
      <c r="I259" s="932">
        <v>0</v>
      </c>
      <c r="J259" s="932">
        <v>0</v>
      </c>
      <c r="K259" s="932"/>
      <c r="L259" s="852" t="s">
        <v>2910</v>
      </c>
    </row>
    <row r="260" spans="1:12" ht="15" hidden="1" thickBot="1">
      <c r="B260" s="184" t="s">
        <v>2911</v>
      </c>
      <c r="C260" s="389">
        <v>1</v>
      </c>
      <c r="D260" s="7" t="s">
        <v>2688</v>
      </c>
      <c r="E260" s="938"/>
      <c r="F260" s="939"/>
      <c r="G260" s="940"/>
      <c r="H260" s="940"/>
      <c r="I260" s="940"/>
      <c r="J260" s="940"/>
      <c r="K260" s="938"/>
    </row>
    <row r="261" spans="1:12" ht="15" hidden="1" thickBot="1">
      <c r="B261" s="184"/>
      <c r="C261" s="389"/>
      <c r="E261" s="938"/>
      <c r="F261" s="939"/>
      <c r="G261" s="940"/>
      <c r="H261" s="940"/>
      <c r="I261" s="940"/>
      <c r="J261" s="940"/>
      <c r="K261" s="938"/>
    </row>
    <row r="262" spans="1:12" s="159" customFormat="1" ht="15" thickBot="1">
      <c r="A262" s="941" t="s">
        <v>639</v>
      </c>
      <c r="B262" s="958" t="s">
        <v>639</v>
      </c>
      <c r="C262" s="943">
        <v>1</v>
      </c>
      <c r="D262" s="944" t="s">
        <v>991</v>
      </c>
      <c r="E262" s="932">
        <v>0.25</v>
      </c>
      <c r="F262" s="932">
        <v>3.75</v>
      </c>
      <c r="G262" s="932">
        <v>24.97834523809524</v>
      </c>
      <c r="H262" s="933"/>
      <c r="I262" s="932">
        <v>37.5</v>
      </c>
      <c r="J262" s="932">
        <v>66.228345238095244</v>
      </c>
      <c r="K262" s="946">
        <v>1.0000000000000002E-2</v>
      </c>
    </row>
    <row r="263" spans="1:12" ht="29.5" hidden="1" thickBot="1">
      <c r="B263" s="184" t="s">
        <v>2912</v>
      </c>
      <c r="C263" s="389">
        <v>1</v>
      </c>
      <c r="D263" s="7" t="s">
        <v>991</v>
      </c>
      <c r="E263" s="931">
        <v>0.25</v>
      </c>
      <c r="F263" s="947">
        <v>3.75</v>
      </c>
      <c r="G263" s="930">
        <v>24.97834523809524</v>
      </c>
      <c r="H263" s="948"/>
      <c r="I263" s="930">
        <v>37.5</v>
      </c>
      <c r="J263" s="930">
        <v>66.228345238095244</v>
      </c>
      <c r="K263" s="931"/>
      <c r="L263" s="7" t="s">
        <v>2913</v>
      </c>
    </row>
    <row r="264" spans="1:12" ht="15" hidden="1" thickBot="1">
      <c r="B264" s="184"/>
      <c r="C264" s="389"/>
      <c r="E264" s="938"/>
      <c r="F264" s="939"/>
      <c r="G264" s="940"/>
      <c r="H264" s="940"/>
      <c r="I264" s="940"/>
      <c r="J264" s="940"/>
      <c r="K264" s="938"/>
    </row>
    <row r="265" spans="1:12" s="159" customFormat="1" ht="15" thickBot="1">
      <c r="A265" s="941" t="s">
        <v>2914</v>
      </c>
      <c r="B265" s="958" t="s">
        <v>915</v>
      </c>
      <c r="C265" s="943">
        <v>1</v>
      </c>
      <c r="D265" s="944" t="s">
        <v>991</v>
      </c>
      <c r="E265" s="932">
        <v>0.1</v>
      </c>
      <c r="F265" s="932">
        <v>1.5</v>
      </c>
      <c r="G265" s="932">
        <v>9.9913380952380972</v>
      </c>
      <c r="H265" s="933"/>
      <c r="I265" s="932">
        <v>15</v>
      </c>
      <c r="J265" s="932">
        <v>26.491338095238099</v>
      </c>
      <c r="K265" s="946">
        <v>1.0000000000000002E-2</v>
      </c>
    </row>
    <row r="266" spans="1:12" ht="29.5" hidden="1" thickBot="1">
      <c r="B266" s="184" t="s">
        <v>2911</v>
      </c>
      <c r="C266" s="389">
        <v>1</v>
      </c>
      <c r="D266" s="7" t="s">
        <v>991</v>
      </c>
      <c r="E266" s="929">
        <v>0.1</v>
      </c>
      <c r="F266" s="947">
        <v>1.5</v>
      </c>
      <c r="G266" s="930">
        <v>9.9913380952380972</v>
      </c>
      <c r="H266" s="948"/>
      <c r="I266" s="930">
        <v>15</v>
      </c>
      <c r="J266" s="930">
        <v>26.491338095238099</v>
      </c>
      <c r="K266" s="931"/>
      <c r="L266" s="7" t="s">
        <v>2913</v>
      </c>
    </row>
    <row r="267" spans="1:12" ht="15" hidden="1" thickBot="1">
      <c r="B267" s="184"/>
      <c r="C267" s="389"/>
      <c r="E267" s="938"/>
      <c r="F267" s="939"/>
      <c r="G267" s="940"/>
      <c r="H267" s="940"/>
      <c r="I267" s="940"/>
      <c r="J267" s="940"/>
      <c r="K267" s="938"/>
    </row>
    <row r="268" spans="1:12" s="159" customFormat="1" ht="15" thickBot="1">
      <c r="A268" s="941" t="s">
        <v>811</v>
      </c>
      <c r="B268" s="958" t="s">
        <v>2915</v>
      </c>
      <c r="C268" s="943">
        <v>1</v>
      </c>
      <c r="D268" s="944" t="s">
        <v>2719</v>
      </c>
      <c r="E268" s="932">
        <v>2</v>
      </c>
      <c r="F268" s="932">
        <v>30</v>
      </c>
      <c r="G268" s="932">
        <v>199.82676190476192</v>
      </c>
      <c r="H268" s="933"/>
      <c r="I268" s="932">
        <v>300</v>
      </c>
      <c r="J268" s="932">
        <v>529.82676190476195</v>
      </c>
      <c r="K268" s="946">
        <v>0.5</v>
      </c>
    </row>
    <row r="269" spans="1:12" ht="15" hidden="1" thickBot="1">
      <c r="B269" s="184" t="s">
        <v>2911</v>
      </c>
      <c r="C269" s="389">
        <v>1</v>
      </c>
      <c r="D269" s="7" t="s">
        <v>2719</v>
      </c>
      <c r="E269" s="929">
        <v>4</v>
      </c>
      <c r="F269" s="947">
        <v>60</v>
      </c>
      <c r="G269" s="930">
        <v>399.65352380952385</v>
      </c>
      <c r="H269" s="948"/>
      <c r="I269" s="930">
        <v>600</v>
      </c>
      <c r="J269" s="930">
        <v>1059.6535238095239</v>
      </c>
      <c r="K269" s="931"/>
    </row>
    <row r="270" spans="1:12" ht="15" hidden="1" thickBot="1">
      <c r="C270" s="385"/>
      <c r="D270" s="159"/>
      <c r="E270" s="932"/>
      <c r="F270" s="945"/>
      <c r="G270" s="933"/>
      <c r="H270" s="933"/>
      <c r="I270" s="933"/>
      <c r="J270" s="933"/>
      <c r="K270" s="932"/>
    </row>
    <row r="271" spans="1:12" ht="15" thickBot="1">
      <c r="A271" s="941" t="s">
        <v>2916</v>
      </c>
      <c r="B271" s="176" t="s">
        <v>2917</v>
      </c>
      <c r="C271" s="960">
        <v>1</v>
      </c>
      <c r="D271" s="961" t="s">
        <v>136</v>
      </c>
      <c r="E271" s="932">
        <v>0.05</v>
      </c>
      <c r="F271" s="932">
        <v>0.30000000000000004</v>
      </c>
      <c r="G271" s="933">
        <v>4.9956690476190486</v>
      </c>
      <c r="H271" s="933">
        <v>5</v>
      </c>
      <c r="I271" s="933">
        <v>3</v>
      </c>
      <c r="J271" s="933">
        <v>13.295669047619048</v>
      </c>
      <c r="K271" s="946">
        <v>0.01</v>
      </c>
    </row>
    <row r="272" spans="1:12" hidden="1">
      <c r="B272" s="184" t="s">
        <v>2918</v>
      </c>
      <c r="C272" s="387">
        <v>1</v>
      </c>
      <c r="D272" s="7" t="s">
        <v>136</v>
      </c>
      <c r="E272" s="938">
        <v>0.05</v>
      </c>
      <c r="F272" s="938">
        <v>0.30000000000000004</v>
      </c>
      <c r="G272" s="940">
        <v>4.9956690476190486</v>
      </c>
      <c r="H272" s="962">
        <v>5</v>
      </c>
      <c r="I272" s="962">
        <v>3</v>
      </c>
      <c r="J272" s="930">
        <v>13.295669047619048</v>
      </c>
      <c r="K272" s="931"/>
      <c r="L272" s="7" t="s">
        <v>2919</v>
      </c>
    </row>
    <row r="273" spans="1:11" hidden="1">
      <c r="E273" s="917"/>
    </row>
    <row r="274" spans="1:11" hidden="1">
      <c r="A274" s="7" t="s">
        <v>2920</v>
      </c>
      <c r="B274" s="158" t="s">
        <v>2921</v>
      </c>
      <c r="C274" s="387">
        <v>1</v>
      </c>
      <c r="D274" s="7" t="s">
        <v>991</v>
      </c>
      <c r="E274" s="932">
        <v>0.1</v>
      </c>
      <c r="F274" s="932">
        <v>1.5</v>
      </c>
      <c r="G274" s="933">
        <v>9.9913380952380972</v>
      </c>
      <c r="H274" s="933">
        <v>0</v>
      </c>
      <c r="I274" s="933">
        <v>15</v>
      </c>
      <c r="J274" s="933">
        <v>26.491338095238099</v>
      </c>
      <c r="K274" s="932"/>
    </row>
    <row r="275" spans="1:11" hidden="1">
      <c r="B275" s="184" t="s">
        <v>2911</v>
      </c>
      <c r="C275" s="387">
        <v>1</v>
      </c>
      <c r="D275" s="7" t="s">
        <v>991</v>
      </c>
      <c r="E275" s="938">
        <v>0.1</v>
      </c>
      <c r="F275" s="938">
        <v>1.5</v>
      </c>
      <c r="G275" s="938">
        <v>9.9913380952380972</v>
      </c>
      <c r="H275" s="938">
        <v>0</v>
      </c>
      <c r="I275" s="938">
        <v>15</v>
      </c>
      <c r="J275" s="938">
        <v>26.491338095238099</v>
      </c>
      <c r="K275" s="931"/>
    </row>
    <row r="276" spans="1:11" hidden="1"/>
    <row r="277" spans="1:11" hidden="1"/>
    <row r="278" spans="1:11" hidden="1"/>
    <row r="279" spans="1:11" hidden="1"/>
    <row r="280" spans="1:11" hidden="1">
      <c r="B280" s="158" t="s">
        <v>3432</v>
      </c>
      <c r="C280" s="390"/>
      <c r="D280" s="159"/>
      <c r="E280" s="963"/>
      <c r="F280" s="963"/>
    </row>
    <row r="281" spans="1:11" hidden="1">
      <c r="B281" s="7" t="s">
        <v>2921</v>
      </c>
      <c r="C281" s="389">
        <v>1</v>
      </c>
      <c r="D281" s="7" t="s">
        <v>991</v>
      </c>
      <c r="E281" s="918">
        <v>0.05</v>
      </c>
      <c r="F281" s="947">
        <v>0</v>
      </c>
      <c r="G281" s="930">
        <v>4.9956690476190486</v>
      </c>
      <c r="H281" s="948"/>
      <c r="I281" s="930"/>
      <c r="J281" s="930">
        <v>4.9956690476190486</v>
      </c>
      <c r="K281" s="931"/>
    </row>
    <row r="282" spans="1:11" hidden="1">
      <c r="B282" t="s">
        <v>3433</v>
      </c>
      <c r="C282" s="389">
        <v>1</v>
      </c>
      <c r="D282" s="7" t="s">
        <v>2688</v>
      </c>
      <c r="E282" s="938">
        <v>3.4693401880877751E-2</v>
      </c>
      <c r="F282" s="939">
        <v>0.40997347480106111</v>
      </c>
      <c r="G282" s="940">
        <v>2.9301567398119128</v>
      </c>
      <c r="H282" s="940"/>
      <c r="I282" s="940">
        <v>3.2887072686189938</v>
      </c>
      <c r="J282" s="940">
        <v>6.2188640084309066</v>
      </c>
      <c r="K282" s="938"/>
    </row>
    <row r="283" spans="1:11" hidden="1">
      <c r="B283" s="849" t="s">
        <v>3434</v>
      </c>
      <c r="C283" s="389">
        <v>1</v>
      </c>
      <c r="D283" s="7" t="s">
        <v>991</v>
      </c>
      <c r="E283" s="918">
        <v>0.25</v>
      </c>
      <c r="F283" s="947">
        <v>0</v>
      </c>
      <c r="G283" s="930">
        <v>24.97834523809524</v>
      </c>
      <c r="H283" s="948"/>
      <c r="I283" s="930"/>
      <c r="J283" s="930">
        <v>24.97834523809524</v>
      </c>
      <c r="K283" s="931"/>
    </row>
    <row r="284" spans="1:11" hidden="1">
      <c r="B284" s="849" t="s">
        <v>3435</v>
      </c>
    </row>
    <row r="285" spans="1:11" hidden="1">
      <c r="B285" s="853" t="s">
        <v>3436</v>
      </c>
    </row>
    <row r="286" spans="1:11" hidden="1">
      <c r="B286" s="849" t="s">
        <v>915</v>
      </c>
      <c r="C286" s="389">
        <v>1</v>
      </c>
      <c r="D286" s="7" t="s">
        <v>991</v>
      </c>
      <c r="E286" s="918">
        <v>0.1</v>
      </c>
      <c r="F286" s="947">
        <v>0</v>
      </c>
      <c r="G286" s="930">
        <v>9.9913380952380972</v>
      </c>
      <c r="H286" s="948"/>
      <c r="I286" s="930"/>
      <c r="J286" s="930">
        <v>9.9913380952380972</v>
      </c>
      <c r="K286" s="931"/>
    </row>
    <row r="287" spans="1:11" hidden="1"/>
    <row r="288" spans="1:11" hidden="1">
      <c r="A288"/>
    </row>
    <row r="289" spans="1:1" hidden="1">
      <c r="A289"/>
    </row>
    <row r="290" spans="1:1" hidden="1">
      <c r="A290"/>
    </row>
    <row r="291" spans="1:1" hidden="1">
      <c r="A291"/>
    </row>
    <row r="292" spans="1:1" hidden="1">
      <c r="A292"/>
    </row>
    <row r="293" spans="1:1" hidden="1">
      <c r="A293"/>
    </row>
    <row r="294" spans="1:1">
      <c r="A294"/>
    </row>
    <row r="295" spans="1:1">
      <c r="A295"/>
    </row>
  </sheetData>
  <autoFilter ref="A38:L293" xr:uid="{00000000-0009-0000-0000-00000C000000}">
    <filterColumn colId="10">
      <filters>
        <filter val="0.01"/>
        <filter val="0.30"/>
        <filter val="0.50"/>
        <filter val="0.75"/>
        <filter val="1,020.00"/>
        <filter val="1.00"/>
        <filter val="160.00"/>
        <filter val="2.00"/>
        <filter val="20.00"/>
        <filter val="24.00"/>
        <filter val="30,295.00"/>
        <filter val="329.27"/>
        <filter val="4.00"/>
        <filter val="40.00"/>
        <filter val="5,000.00"/>
        <filter val="56.00"/>
        <filter val="80.00"/>
        <filter val="96.00"/>
      </filters>
    </filterColumn>
  </autoFilter>
  <mergeCells count="2">
    <mergeCell ref="E37:F37"/>
    <mergeCell ref="G37:J3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14"/>
  <sheetViews>
    <sheetView zoomScale="70" zoomScaleNormal="70" workbookViewId="0">
      <selection activeCell="S6" sqref="S6"/>
    </sheetView>
  </sheetViews>
  <sheetFormatPr defaultColWidth="9.1796875" defaultRowHeight="14.5"/>
  <cols>
    <col min="1" max="1" width="9.1796875" style="1672"/>
    <col min="2" max="2" width="57.81640625" bestFit="1" customWidth="1"/>
    <col min="3" max="3" width="29" customWidth="1"/>
    <col min="4" max="4" width="25.453125" customWidth="1"/>
    <col min="5" max="5" width="42.453125" customWidth="1"/>
    <col min="6" max="9" width="23.7265625" customWidth="1"/>
    <col min="10" max="10" width="13.81640625" bestFit="1" customWidth="1"/>
    <col min="11" max="11" width="21.7265625" customWidth="1"/>
    <col min="13" max="13" width="59.1796875" customWidth="1"/>
    <col min="14" max="14" width="20.54296875" customWidth="1"/>
    <col min="15" max="15" width="26" bestFit="1" customWidth="1"/>
    <col min="16" max="16" width="15.1796875" bestFit="1" customWidth="1"/>
    <col min="17" max="17" width="11.453125" customWidth="1"/>
    <col min="18" max="18" width="12.7265625" customWidth="1"/>
  </cols>
  <sheetData>
    <row r="1" spans="1:16">
      <c r="B1" t="s">
        <v>3437</v>
      </c>
      <c r="F1" s="390" t="s">
        <v>3145</v>
      </c>
      <c r="G1" s="390" t="s">
        <v>3146</v>
      </c>
      <c r="H1" s="390" t="s">
        <v>3147</v>
      </c>
      <c r="I1" s="390" t="s">
        <v>3148</v>
      </c>
    </row>
    <row r="2" spans="1:16" ht="15" thickBot="1">
      <c r="D2" s="192"/>
      <c r="E2" s="192"/>
      <c r="F2" s="1725">
        <f>F3/C3</f>
        <v>1</v>
      </c>
      <c r="G2" s="1725">
        <f>G3/C3</f>
        <v>0</v>
      </c>
      <c r="H2" s="1725">
        <f>H3/C3</f>
        <v>0.2488650619280364</v>
      </c>
      <c r="I2" s="1725">
        <f>I3/C3</f>
        <v>0.75113493807196363</v>
      </c>
    </row>
    <row r="3" spans="1:16" s="1656" customFormat="1" ht="15.5">
      <c r="A3" s="1673"/>
      <c r="B3" s="1664" t="s">
        <v>3149</v>
      </c>
      <c r="C3" s="1659">
        <f>(SUMIF('Estimate Details'!AQ9:AQ1622,"2018-C2",'Estimate Details'!AD9:AD1622))</f>
        <v>987888.87076118402</v>
      </c>
      <c r="D3" s="1671"/>
      <c r="E3" s="1715"/>
      <c r="F3" s="1728">
        <f>(SUMIF('Estimate Details'!AQ9:AQ1622,"2018-C2",'Estimate Details'!AK9:AK1622))</f>
        <v>987888.87076118402</v>
      </c>
      <c r="G3" s="1659">
        <f>(SUMIF('Estimate Details'!AQ9:AQ1622,"2018-C2",'Estimate Details'!AL9:AL1622))</f>
        <v>0</v>
      </c>
      <c r="H3" s="1659">
        <f>(SUMIF('Estimate Details'!AQ9:AQ1622,"2018-C2",'Estimate Details'!AM9:AM1622))</f>
        <v>245851.02499999999</v>
      </c>
      <c r="I3" s="1659">
        <f>(SUMIF('Estimate Details'!AQ9:AQ1622,"2018-C2",'Estimate Details'!AN9:AN1622))</f>
        <v>742037.845761184</v>
      </c>
      <c r="K3" s="1101">
        <f t="shared" ref="K3:K12" si="0">+H3+I3</f>
        <v>987888.87076118402</v>
      </c>
      <c r="M3" s="1658" t="s">
        <v>3204</v>
      </c>
    </row>
    <row r="4" spans="1:16">
      <c r="A4" s="1674"/>
      <c r="B4" s="414" t="s">
        <v>3223</v>
      </c>
      <c r="C4" s="1735">
        <f>(SUMIF('Estimate Details'!AQ9:AQ1710,"2018-C2",'Estimate Details'!Z9:Z1710))</f>
        <v>6535.2607449663346</v>
      </c>
      <c r="E4" s="812"/>
      <c r="F4" s="1738">
        <f>SUMIFS('Estimate Details'!Z9:Z1622,'Estimate Details'!AQ9:AQ1622,"2018-C2",'Estimate Details'!AG9:AG1622,"=1")</f>
        <v>6535.2607449663346</v>
      </c>
      <c r="G4" s="1735">
        <f>SUMIFS('Estimate Details'!Z9:Z1622,'Estimate Details'!AQ9:AQ1622,"2018-C2",'Estimate Details'!AG9:AG1622,"=0")</f>
        <v>0</v>
      </c>
      <c r="H4" s="1735">
        <f>SUMIFS('Estimate Details'!Z9:Z1622,'Estimate Details'!AQ9:AQ1622,"2018-C2",'Estimate Details'!AI9:AI1622,"=1")</f>
        <v>1077.5</v>
      </c>
      <c r="I4" s="1735">
        <f>SUMIFS('Estimate Details'!Z9:Z1622,'Estimate Details'!AQ9:AQ1622,"2018-C2",'Estimate Details'!AI9:AI1622,"=0")</f>
        <v>5457.7607449663346</v>
      </c>
      <c r="K4" s="1101">
        <f t="shared" si="0"/>
        <v>6535.2607449663346</v>
      </c>
      <c r="M4" t="s">
        <v>3438</v>
      </c>
    </row>
    <row r="5" spans="1:16">
      <c r="A5" s="1674"/>
      <c r="B5" s="414" t="s">
        <v>3224</v>
      </c>
      <c r="C5" s="1660">
        <f>C4/10</f>
        <v>653.52607449663344</v>
      </c>
      <c r="F5" s="1729">
        <f>F4/10</f>
        <v>653.52607449663344</v>
      </c>
      <c r="G5" s="1660">
        <f>G4/10</f>
        <v>0</v>
      </c>
      <c r="H5" s="1660">
        <f>H4/10</f>
        <v>107.75</v>
      </c>
      <c r="I5" s="1660">
        <f>I4/10</f>
        <v>545.77607449663344</v>
      </c>
      <c r="K5" s="1101">
        <f t="shared" si="0"/>
        <v>653.52607449663344</v>
      </c>
      <c r="M5" t="s">
        <v>3439</v>
      </c>
    </row>
    <row r="6" spans="1:16">
      <c r="A6" s="1674"/>
      <c r="B6" s="414"/>
      <c r="C6" s="1661"/>
      <c r="F6" s="1730"/>
      <c r="G6" s="1661"/>
      <c r="H6" s="1661"/>
      <c r="I6" s="1661"/>
      <c r="K6" s="1101">
        <f t="shared" si="0"/>
        <v>0</v>
      </c>
    </row>
    <row r="7" spans="1:16">
      <c r="A7" s="1674"/>
      <c r="B7" s="1863" t="s">
        <v>2742</v>
      </c>
      <c r="C7" s="1865">
        <v>0</v>
      </c>
      <c r="D7" t="s">
        <v>3152</v>
      </c>
      <c r="F7" s="1864">
        <v>0</v>
      </c>
      <c r="G7" s="1865">
        <v>0</v>
      </c>
      <c r="H7" s="1865">
        <v>0</v>
      </c>
      <c r="I7" s="1865">
        <v>0</v>
      </c>
      <c r="K7" s="1101">
        <f t="shared" si="0"/>
        <v>0</v>
      </c>
    </row>
    <row r="8" spans="1:16">
      <c r="A8" s="1674"/>
      <c r="B8" s="1667" t="s">
        <v>2692</v>
      </c>
      <c r="C8" s="1668">
        <f>ROUND(C56,-3)</f>
        <v>55000</v>
      </c>
      <c r="D8" t="s">
        <v>3153</v>
      </c>
      <c r="E8" s="1101"/>
      <c r="F8" s="1731">
        <f>ROUND(F56,-3)</f>
        <v>55000</v>
      </c>
      <c r="G8" s="1668">
        <f>ROUND(G56,-3)</f>
        <v>0</v>
      </c>
      <c r="H8" s="1668">
        <f>ROUND(H56,-3)</f>
        <v>2000</v>
      </c>
      <c r="I8" s="1668">
        <f>ROUND(I56,-3)</f>
        <v>52000</v>
      </c>
      <c r="K8" s="1101">
        <f t="shared" si="0"/>
        <v>54000</v>
      </c>
    </row>
    <row r="9" spans="1:16">
      <c r="A9" s="1674"/>
      <c r="B9" s="1670" t="s">
        <v>3154</v>
      </c>
      <c r="C9" s="1669">
        <v>0</v>
      </c>
      <c r="D9" t="s">
        <v>3440</v>
      </c>
      <c r="F9" s="1732">
        <v>0</v>
      </c>
      <c r="G9" s="1669">
        <v>0</v>
      </c>
      <c r="H9" s="1669">
        <v>0</v>
      </c>
      <c r="I9" s="1669">
        <v>0</v>
      </c>
      <c r="K9" s="1101">
        <f t="shared" si="0"/>
        <v>0</v>
      </c>
      <c r="M9" s="1081"/>
      <c r="O9" t="s">
        <v>3205</v>
      </c>
    </row>
    <row r="10" spans="1:16">
      <c r="A10" s="1674"/>
      <c r="B10" s="1670" t="s">
        <v>2686</v>
      </c>
      <c r="C10" s="1669">
        <v>0</v>
      </c>
      <c r="D10" t="s">
        <v>3152</v>
      </c>
      <c r="F10" s="1732">
        <v>0</v>
      </c>
      <c r="G10" s="1669">
        <v>0</v>
      </c>
      <c r="H10" s="1669">
        <v>0</v>
      </c>
      <c r="I10" s="1669">
        <v>0</v>
      </c>
      <c r="K10" s="1101">
        <f t="shared" si="0"/>
        <v>0</v>
      </c>
      <c r="O10">
        <v>-221574</v>
      </c>
      <c r="P10" t="s">
        <v>3206</v>
      </c>
    </row>
    <row r="11" spans="1:16">
      <c r="A11" s="1674"/>
      <c r="B11" s="1870"/>
      <c r="C11" s="1867"/>
      <c r="F11" s="1866"/>
      <c r="G11" s="1867"/>
      <c r="H11" s="1867"/>
      <c r="I11" s="1867"/>
      <c r="K11" s="1101">
        <f t="shared" si="0"/>
        <v>0</v>
      </c>
      <c r="O11">
        <v>1564000</v>
      </c>
      <c r="P11" t="s">
        <v>3207</v>
      </c>
    </row>
    <row r="12" spans="1:16">
      <c r="A12" s="1674"/>
      <c r="B12" s="1896" t="s">
        <v>2696</v>
      </c>
      <c r="C12" s="1871">
        <f>ROUND(C81,-3)</f>
        <v>54000</v>
      </c>
      <c r="D12" t="s">
        <v>3155</v>
      </c>
      <c r="E12" s="1101"/>
      <c r="F12" s="1868">
        <f>ROUND(F81,-3)</f>
        <v>54000</v>
      </c>
      <c r="G12" s="1871">
        <f>ROUND(G81,-3)</f>
        <v>0</v>
      </c>
      <c r="H12" s="1871">
        <f>ROUND(H81,-3)</f>
        <v>9000</v>
      </c>
      <c r="I12" s="1871">
        <f>ROUND(I81,-3)</f>
        <v>45000</v>
      </c>
      <c r="K12" s="1101">
        <f t="shared" si="0"/>
        <v>54000</v>
      </c>
      <c r="L12" s="901"/>
      <c r="O12">
        <v>1071000</v>
      </c>
      <c r="P12" t="s">
        <v>3208</v>
      </c>
    </row>
    <row r="13" spans="1:16">
      <c r="A13" s="1674"/>
      <c r="B13" s="1667" t="s">
        <v>2743</v>
      </c>
      <c r="C13" s="1668">
        <f>ROUND((C69+B64),-3)</f>
        <v>147000</v>
      </c>
      <c r="D13" t="s">
        <v>3155</v>
      </c>
      <c r="E13" s="1101"/>
      <c r="F13" s="1731">
        <f>ROUND((F69+F64),-3)</f>
        <v>147000</v>
      </c>
      <c r="G13" s="1668">
        <f t="shared" ref="G13:I13" si="1">ROUND((G69+G64),-3)</f>
        <v>0</v>
      </c>
      <c r="H13" s="1668">
        <f t="shared" si="1"/>
        <v>24000</v>
      </c>
      <c r="I13" s="1668">
        <f t="shared" si="1"/>
        <v>123000</v>
      </c>
      <c r="J13" s="1716"/>
      <c r="K13" s="1101">
        <f>+H13+I13</f>
        <v>147000</v>
      </c>
      <c r="M13" s="1044"/>
    </row>
    <row r="14" spans="1:16">
      <c r="A14" s="1674">
        <v>0.1</v>
      </c>
      <c r="B14" s="1667" t="s">
        <v>2698</v>
      </c>
      <c r="C14" s="1668">
        <f>ROUND(D36,-3)</f>
        <v>99000</v>
      </c>
      <c r="D14" t="s">
        <v>3158</v>
      </c>
      <c r="E14" s="1101"/>
      <c r="F14" s="1731">
        <f>+C14</f>
        <v>99000</v>
      </c>
      <c r="G14" s="1668">
        <f>(G$3-(7100000*G2))*$A14</f>
        <v>0</v>
      </c>
      <c r="H14" s="1668">
        <f>+C14</f>
        <v>99000</v>
      </c>
      <c r="I14" s="1731">
        <v>0</v>
      </c>
      <c r="J14" s="1239"/>
      <c r="K14" s="1101">
        <f t="shared" ref="K14:K25" si="2">+H14+I14</f>
        <v>99000</v>
      </c>
      <c r="L14" s="997"/>
      <c r="O14" t="s">
        <v>3209</v>
      </c>
    </row>
    <row r="15" spans="1:16">
      <c r="A15" s="1674"/>
      <c r="B15" s="1863"/>
      <c r="C15" s="1865"/>
      <c r="F15" s="1864"/>
      <c r="G15" s="1865"/>
      <c r="H15" s="1865"/>
      <c r="I15" s="1865"/>
      <c r="J15" s="1239"/>
      <c r="K15" s="1101">
        <f t="shared" si="2"/>
        <v>0</v>
      </c>
      <c r="M15" s="1044"/>
      <c r="O15">
        <v>758000</v>
      </c>
      <c r="P15" t="s">
        <v>3210</v>
      </c>
    </row>
    <row r="16" spans="1:16">
      <c r="B16" s="1863" t="s">
        <v>3225</v>
      </c>
      <c r="C16" s="1865">
        <f>C92</f>
        <v>0</v>
      </c>
      <c r="D16" t="s">
        <v>3152</v>
      </c>
      <c r="F16" s="1864">
        <v>0</v>
      </c>
      <c r="G16" s="1865">
        <v>0</v>
      </c>
      <c r="H16" s="1865">
        <v>0</v>
      </c>
      <c r="I16" s="1865">
        <v>0</v>
      </c>
      <c r="J16" s="1239"/>
      <c r="K16" s="1101">
        <f t="shared" si="2"/>
        <v>0</v>
      </c>
      <c r="M16" s="1124"/>
      <c r="O16">
        <v>839000</v>
      </c>
      <c r="P16" t="s">
        <v>3208</v>
      </c>
    </row>
    <row r="17" spans="1:16">
      <c r="B17" s="414" t="s">
        <v>3226</v>
      </c>
      <c r="C17" s="1662">
        <v>0</v>
      </c>
      <c r="D17" t="s">
        <v>3152</v>
      </c>
      <c r="E17" s="997"/>
      <c r="F17" s="1722">
        <v>0</v>
      </c>
      <c r="G17" s="1662">
        <v>0</v>
      </c>
      <c r="H17" s="1662">
        <v>0</v>
      </c>
      <c r="I17" s="1662">
        <v>0</v>
      </c>
      <c r="J17" s="1239"/>
      <c r="K17" s="1101">
        <f t="shared" si="2"/>
        <v>0</v>
      </c>
      <c r="M17" s="1124"/>
      <c r="O17">
        <v>3486000</v>
      </c>
      <c r="P17" t="s">
        <v>3227</v>
      </c>
    </row>
    <row r="18" spans="1:16">
      <c r="A18" s="1674"/>
      <c r="B18" s="414" t="s">
        <v>3159</v>
      </c>
      <c r="C18" s="1662">
        <v>8000</v>
      </c>
      <c r="D18" t="s">
        <v>3441</v>
      </c>
      <c r="F18" s="1722">
        <v>8000</v>
      </c>
      <c r="G18" s="1662">
        <v>0</v>
      </c>
      <c r="H18" s="1662">
        <v>8000</v>
      </c>
      <c r="I18" s="1662">
        <v>0</v>
      </c>
      <c r="J18" s="1239"/>
      <c r="K18" s="1101">
        <f t="shared" si="2"/>
        <v>8000</v>
      </c>
      <c r="M18" s="1124"/>
      <c r="O18">
        <v>207000</v>
      </c>
      <c r="P18" t="s">
        <v>3211</v>
      </c>
    </row>
    <row r="19" spans="1:16">
      <c r="A19" s="1674"/>
      <c r="B19" s="1863"/>
      <c r="C19" s="1865"/>
      <c r="F19" s="1864"/>
      <c r="G19" s="1865"/>
      <c r="H19" s="1865"/>
      <c r="I19" s="1865"/>
      <c r="J19" s="1239"/>
      <c r="K19" s="1101">
        <f t="shared" si="2"/>
        <v>0</v>
      </c>
      <c r="M19" s="1124"/>
      <c r="O19">
        <v>136810</v>
      </c>
      <c r="P19" t="s">
        <v>3212</v>
      </c>
    </row>
    <row r="20" spans="1:16">
      <c r="A20" s="1674">
        <v>3.9E-2</v>
      </c>
      <c r="B20" s="1896" t="s">
        <v>2676</v>
      </c>
      <c r="C20" s="1871">
        <f>ROUND(D37,-3)</f>
        <v>39000</v>
      </c>
      <c r="D20" t="s">
        <v>3158</v>
      </c>
      <c r="E20" s="1101"/>
      <c r="F20" s="1868">
        <f>ROUND(F$3*$A20,-3)</f>
        <v>39000</v>
      </c>
      <c r="G20" s="1871">
        <f t="shared" ref="G20:G21" si="3">G$3*$A20</f>
        <v>0</v>
      </c>
      <c r="H20" s="1868">
        <f>ROUND(H$3*$A20,-3)</f>
        <v>10000</v>
      </c>
      <c r="I20" s="1868">
        <f>ROUND(I$3*$A20,-3)</f>
        <v>29000</v>
      </c>
      <c r="J20" s="1716"/>
      <c r="K20" s="1101">
        <f t="shared" si="2"/>
        <v>39000</v>
      </c>
      <c r="M20" s="1123"/>
      <c r="O20">
        <v>202000</v>
      </c>
      <c r="P20" t="s">
        <v>1971</v>
      </c>
    </row>
    <row r="21" spans="1:16">
      <c r="A21" s="1674">
        <v>9.4E-2</v>
      </c>
      <c r="B21" s="1667" t="s">
        <v>2680</v>
      </c>
      <c r="C21" s="1668">
        <f>ROUND(D38,-3)</f>
        <v>93000</v>
      </c>
      <c r="D21" t="s">
        <v>3158</v>
      </c>
      <c r="E21" s="1101"/>
      <c r="F21" s="1731">
        <f>ROUND(F$3*$A21,-3)</f>
        <v>93000</v>
      </c>
      <c r="G21" s="1668">
        <f t="shared" si="3"/>
        <v>0</v>
      </c>
      <c r="H21" s="1731">
        <f>ROUND(H$3*$A21,-3)</f>
        <v>23000</v>
      </c>
      <c r="I21" s="1731">
        <f>ROUND(I$3*$A21,-3)</f>
        <v>70000</v>
      </c>
      <c r="J21" s="1716"/>
      <c r="K21" s="1101">
        <f t="shared" si="2"/>
        <v>93000</v>
      </c>
      <c r="M21" s="1123"/>
      <c r="O21">
        <v>7100000</v>
      </c>
      <c r="P21" t="s">
        <v>3213</v>
      </c>
    </row>
    <row r="22" spans="1:16">
      <c r="A22" s="1674"/>
      <c r="B22" s="1863"/>
      <c r="C22" s="1865"/>
      <c r="F22" s="1864"/>
      <c r="G22" s="1865"/>
      <c r="H22" s="1865"/>
      <c r="I22" s="1865"/>
      <c r="J22" s="1716"/>
      <c r="K22" s="1101">
        <f t="shared" si="2"/>
        <v>0</v>
      </c>
      <c r="M22" s="1123"/>
      <c r="O22">
        <v>112000</v>
      </c>
      <c r="P22" t="s">
        <v>3214</v>
      </c>
    </row>
    <row r="23" spans="1:16" ht="29">
      <c r="A23" s="1674">
        <v>0.125</v>
      </c>
      <c r="B23" s="1869" t="s">
        <v>3215</v>
      </c>
      <c r="C23" s="1865">
        <f>ROUND(D40,-3)</f>
        <v>161000</v>
      </c>
      <c r="D23" t="s">
        <v>3158</v>
      </c>
      <c r="E23" s="1101"/>
      <c r="F23" s="1864">
        <f>ROUND(F40,-3)</f>
        <v>161000</v>
      </c>
      <c r="G23" s="1864">
        <f>ROUND(G40,-3)</f>
        <v>0</v>
      </c>
      <c r="H23" s="1864">
        <f>ROUND(H40,-3)</f>
        <v>47000</v>
      </c>
      <c r="I23" s="1864">
        <f>ROUND(I40,-3)</f>
        <v>114000</v>
      </c>
      <c r="J23" s="1716"/>
      <c r="K23" s="1101">
        <f t="shared" si="2"/>
        <v>161000</v>
      </c>
      <c r="M23" s="1123"/>
      <c r="O23">
        <v>167000</v>
      </c>
      <c r="P23" t="s">
        <v>3216</v>
      </c>
    </row>
    <row r="24" spans="1:16" ht="15" thickBot="1">
      <c r="A24" s="1674"/>
      <c r="B24" s="414"/>
      <c r="C24" s="29"/>
      <c r="F24" s="414"/>
      <c r="G24" s="29"/>
      <c r="H24" s="29"/>
      <c r="I24" s="29"/>
      <c r="K24" s="1101">
        <f t="shared" si="2"/>
        <v>0</v>
      </c>
      <c r="M24" s="1123"/>
      <c r="O24">
        <f>SUM(O15:O23,O10:O12)</f>
        <v>15421236</v>
      </c>
    </row>
    <row r="25" spans="1:16" ht="15" thickBot="1">
      <c r="A25" s="1674"/>
      <c r="B25" s="1307" t="s">
        <v>3161</v>
      </c>
      <c r="C25" s="1663">
        <f>SUM(C7:C23)</f>
        <v>656000</v>
      </c>
      <c r="E25" s="1101"/>
      <c r="F25" s="1733">
        <f>SUM(F7:F23)</f>
        <v>656000</v>
      </c>
      <c r="G25" s="1663">
        <f>SUM(G7:G23)</f>
        <v>0</v>
      </c>
      <c r="H25" s="1663">
        <f>SUM(H7:H23)</f>
        <v>222000</v>
      </c>
      <c r="I25" s="1663">
        <f>SUM(I7:I23)</f>
        <v>433000</v>
      </c>
      <c r="K25" s="1101">
        <f t="shared" si="2"/>
        <v>655000</v>
      </c>
    </row>
    <row r="26" spans="1:16" ht="15" thickBot="1">
      <c r="A26" s="1674"/>
      <c r="B26" s="414"/>
      <c r="C26" s="29"/>
      <c r="F26" s="414"/>
      <c r="G26" s="29"/>
      <c r="H26" s="29"/>
      <c r="I26" s="29"/>
      <c r="L26" s="1239"/>
    </row>
    <row r="27" spans="1:16" ht="40.5" customHeight="1" thickBot="1">
      <c r="A27" s="1674"/>
      <c r="B27" s="1665" t="s">
        <v>3162</v>
      </c>
      <c r="C27" s="1666">
        <f>ROUND(C3+C25,-3)</f>
        <v>1644000</v>
      </c>
      <c r="E27" s="1101"/>
      <c r="F27" s="1734">
        <f>ROUND(F3+F25,-3)</f>
        <v>1644000</v>
      </c>
      <c r="G27" s="1724">
        <f>ROUND(G3+G25,-3)</f>
        <v>0</v>
      </c>
      <c r="H27" s="1724">
        <f>ROUND(H3+H25,-3)</f>
        <v>468000</v>
      </c>
      <c r="I27" s="1724">
        <f>ROUND(I3+I25,-3)</f>
        <v>1175000</v>
      </c>
      <c r="K27" s="1043">
        <f>+H27+I27</f>
        <v>1643000</v>
      </c>
      <c r="L27" s="1239"/>
      <c r="M27" s="203" t="e">
        <f>C27+#REF!+#REF!</f>
        <v>#REF!</v>
      </c>
    </row>
    <row r="28" spans="1:16">
      <c r="F28" s="1043"/>
      <c r="H28" s="1043"/>
    </row>
    <row r="29" spans="1:16">
      <c r="A29" s="1736"/>
      <c r="B29" s="195" t="s">
        <v>3165</v>
      </c>
      <c r="F29" s="1043"/>
      <c r="H29" s="1043"/>
    </row>
    <row r="30" spans="1:16">
      <c r="A30" s="1675"/>
      <c r="B30" s="195" t="s">
        <v>3166</v>
      </c>
      <c r="D30" s="901"/>
      <c r="I30" s="1101"/>
      <c r="M30" s="203">
        <f>ROUND(F27*0.15,-3)</f>
        <v>247000</v>
      </c>
    </row>
    <row r="31" spans="1:16" ht="16" thickBot="1">
      <c r="D31" s="1657" t="str">
        <f>IF(C3=D32,"Check OK", "Check FAIL")</f>
        <v>Check OK</v>
      </c>
      <c r="M31" s="1043">
        <f>+M30+F27</f>
        <v>1891000</v>
      </c>
    </row>
    <row r="32" spans="1:16" ht="15.5">
      <c r="B32" s="1706" t="s">
        <v>3167</v>
      </c>
      <c r="C32" s="1312"/>
      <c r="D32" s="1659">
        <f>(SUMIF('Estimate Details'!AQ9:AQ1622,"2018-C2",'Estimate Details'!AD9:AD1622))</f>
        <v>987888.87076118402</v>
      </c>
      <c r="F32" s="1726">
        <f>+F3</f>
        <v>987888.87076118402</v>
      </c>
      <c r="G32" s="1726">
        <f t="shared" ref="G32:I32" si="4">+G3</f>
        <v>0</v>
      </c>
      <c r="H32" s="1726">
        <f t="shared" si="4"/>
        <v>245851.02499999999</v>
      </c>
      <c r="I32" s="1726">
        <f t="shared" si="4"/>
        <v>742037.845761184</v>
      </c>
    </row>
    <row r="33" spans="2:11">
      <c r="B33" s="413" t="s">
        <v>3228</v>
      </c>
      <c r="D33" s="1681">
        <f>D32+SUM(C12:C18)</f>
        <v>1295888.870761184</v>
      </c>
      <c r="F33" s="997">
        <f>F32+SUM(F12:F18)</f>
        <v>1295888.870761184</v>
      </c>
      <c r="G33" s="997">
        <f t="shared" ref="G33:I33" si="5">G32+SUM(G12:G18)</f>
        <v>0</v>
      </c>
      <c r="H33" s="997">
        <f t="shared" si="5"/>
        <v>385851.02500000002</v>
      </c>
      <c r="I33" s="997">
        <f t="shared" si="5"/>
        <v>910037.845761184</v>
      </c>
    </row>
    <row r="34" spans="2:11">
      <c r="B34" s="413" t="s">
        <v>3168</v>
      </c>
      <c r="D34" s="1682">
        <f>D32+C10+C101+C114</f>
        <v>987888.87076118402</v>
      </c>
      <c r="F34" s="1043">
        <f>F32+F10+E101+E114</f>
        <v>987888.87076118402</v>
      </c>
      <c r="G34" s="1043">
        <f t="shared" ref="G34:I34" si="6">G32+G10+F101+F114</f>
        <v>0</v>
      </c>
      <c r="H34" s="1043">
        <f t="shared" si="6"/>
        <v>245851.02499999999</v>
      </c>
      <c r="I34" s="1043">
        <f t="shared" si="6"/>
        <v>742037.845761184</v>
      </c>
    </row>
    <row r="35" spans="2:11" ht="43.5">
      <c r="B35" s="1683" t="s">
        <v>3169</v>
      </c>
      <c r="C35" s="7"/>
      <c r="D35" s="1684">
        <f>D34+D36+B64+C69+C81</f>
        <v>1288047.8876362934</v>
      </c>
      <c r="F35" s="1727">
        <f>F34+F36+F64+F69+F81</f>
        <v>1288259.0005601749</v>
      </c>
      <c r="G35" s="1727">
        <f t="shared" ref="G35:I35" si="7">G34+G36+G64+G69+G81</f>
        <v>0</v>
      </c>
      <c r="H35" s="1727">
        <f t="shared" si="7"/>
        <v>378148.65</v>
      </c>
      <c r="I35" s="1727">
        <f t="shared" si="7"/>
        <v>910110.35056017479</v>
      </c>
    </row>
    <row r="36" spans="2:11" ht="29">
      <c r="B36" s="1685" t="s">
        <v>2698</v>
      </c>
      <c r="C36" s="1686">
        <v>0.1</v>
      </c>
      <c r="D36" s="1687">
        <f>($D$32*C36)</f>
        <v>98788.887076118408</v>
      </c>
      <c r="E36" s="1121" t="s">
        <v>3170</v>
      </c>
      <c r="F36" s="203">
        <f>+F14</f>
        <v>99000</v>
      </c>
      <c r="G36" s="203">
        <f t="shared" ref="G36:I36" si="8">+G14</f>
        <v>0</v>
      </c>
      <c r="H36" s="203">
        <f t="shared" si="8"/>
        <v>99000</v>
      </c>
      <c r="I36" s="203">
        <f t="shared" si="8"/>
        <v>0</v>
      </c>
      <c r="J36" s="1121"/>
      <c r="K36" s="1043"/>
    </row>
    <row r="37" spans="2:11">
      <c r="B37" s="1688" t="s">
        <v>3172</v>
      </c>
      <c r="C37" s="1689">
        <v>3.9E-2</v>
      </c>
      <c r="D37" s="1690">
        <f>$D$32*C37</f>
        <v>38527.665959686179</v>
      </c>
      <c r="E37" s="1121" t="s">
        <v>2677</v>
      </c>
      <c r="F37" s="203">
        <f>+F20</f>
        <v>39000</v>
      </c>
      <c r="G37" s="203">
        <f t="shared" ref="G37:I38" si="9">+G20</f>
        <v>0</v>
      </c>
      <c r="H37" s="203">
        <f t="shared" si="9"/>
        <v>10000</v>
      </c>
      <c r="I37" s="203">
        <f t="shared" si="9"/>
        <v>29000</v>
      </c>
      <c r="J37" s="1121"/>
      <c r="K37" s="1043"/>
    </row>
    <row r="38" spans="2:11" ht="29">
      <c r="B38" s="1688" t="s">
        <v>3173</v>
      </c>
      <c r="C38" s="1689">
        <v>9.4E-2</v>
      </c>
      <c r="D38" s="1691">
        <f>$D$34*C38</f>
        <v>92861.553851551304</v>
      </c>
      <c r="E38" s="1062" t="s">
        <v>3218</v>
      </c>
      <c r="F38" s="203">
        <f>+F21</f>
        <v>93000</v>
      </c>
      <c r="G38" s="203">
        <f t="shared" si="9"/>
        <v>0</v>
      </c>
      <c r="H38" s="203">
        <f t="shared" si="9"/>
        <v>23000</v>
      </c>
      <c r="I38" s="203">
        <f t="shared" si="9"/>
        <v>70000</v>
      </c>
      <c r="J38" s="1121"/>
      <c r="K38" s="1043"/>
    </row>
    <row r="39" spans="2:11">
      <c r="B39" s="1688"/>
      <c r="C39" s="1686"/>
      <c r="D39" s="1692"/>
      <c r="E39" s="1121"/>
      <c r="G39" s="1121"/>
      <c r="H39" s="1121"/>
      <c r="I39" s="1121"/>
      <c r="J39" s="1121"/>
      <c r="K39" s="1043"/>
    </row>
    <row r="40" spans="2:11" ht="15.75" customHeight="1" thickBot="1">
      <c r="B40" s="1693" t="s">
        <v>2747</v>
      </c>
      <c r="C40" s="1694">
        <v>0.125</v>
      </c>
      <c r="D40" s="1695">
        <f>$D$35*C40</f>
        <v>161005.98595453668</v>
      </c>
      <c r="E40" s="1062" t="s">
        <v>3219</v>
      </c>
      <c r="F40" s="1119">
        <f>F35*$C$40</f>
        <v>161032.37507002187</v>
      </c>
      <c r="G40" s="1119">
        <f t="shared" ref="G40:I40" si="10">G35*$C$40</f>
        <v>0</v>
      </c>
      <c r="H40" s="1119">
        <f t="shared" si="10"/>
        <v>47268.581250000003</v>
      </c>
      <c r="I40" s="1119">
        <f t="shared" si="10"/>
        <v>113763.79382002185</v>
      </c>
      <c r="J40" s="1062"/>
      <c r="K40" s="1043"/>
    </row>
    <row r="41" spans="2:11" ht="15" thickBot="1">
      <c r="F41" s="390" t="s">
        <v>3145</v>
      </c>
      <c r="G41" s="390" t="s">
        <v>3146</v>
      </c>
      <c r="H41" s="390" t="s">
        <v>3147</v>
      </c>
      <c r="I41" s="390" t="s">
        <v>3148</v>
      </c>
    </row>
    <row r="42" spans="2:11">
      <c r="B42" s="1696" t="s">
        <v>3174</v>
      </c>
      <c r="C42" s="1707"/>
      <c r="D42" s="1312"/>
      <c r="E42" s="1312"/>
      <c r="F42" s="1706"/>
      <c r="G42" s="1312"/>
      <c r="H42" s="1312"/>
      <c r="I42" s="1314"/>
    </row>
    <row r="43" spans="2:11">
      <c r="B43" s="413" t="s">
        <v>3175</v>
      </c>
      <c r="C43" s="1697">
        <v>0</v>
      </c>
      <c r="D43" t="s">
        <v>3442</v>
      </c>
      <c r="F43" s="1719">
        <v>0</v>
      </c>
      <c r="G43" s="1697">
        <v>0</v>
      </c>
      <c r="H43" s="1697">
        <v>0</v>
      </c>
      <c r="I43" s="1697">
        <v>0</v>
      </c>
    </row>
    <row r="44" spans="2:11">
      <c r="B44" s="413" t="s">
        <v>3176</v>
      </c>
      <c r="C44" s="1677">
        <v>0.1</v>
      </c>
      <c r="F44" s="1720">
        <v>0.1</v>
      </c>
      <c r="G44" s="1677">
        <v>0.1</v>
      </c>
      <c r="H44" s="1677">
        <v>0.1</v>
      </c>
      <c r="I44" s="1677">
        <v>0.1</v>
      </c>
    </row>
    <row r="45" spans="2:11">
      <c r="B45" s="413"/>
      <c r="C45" s="1708"/>
      <c r="F45" s="413"/>
      <c r="I45" s="29"/>
    </row>
    <row r="46" spans="2:11">
      <c r="B46" s="413" t="s">
        <v>3229</v>
      </c>
      <c r="C46" s="1737">
        <f>ROUND((SUMIF('Estimate Details'!AQ9:AQ1622,"2018-C1",'Estimate Details'!AA9:AA1622))+(SUMIF('Estimate Details'!AQ9:AQ1622,"2018-R",'Estimate Details'!AA9:AA1622)),-3)</f>
        <v>199000</v>
      </c>
      <c r="E46" s="1718"/>
      <c r="F46" s="1739">
        <f>ROUND(SUMIFS('Estimate Details'!AA9:AA1622,'Estimate Details'!AQ9:AQ1622,"2018-C1",'Estimate Details'!AG9:AG1622,"=1")+SUMIFS('Estimate Details'!AA9:AA1622,'Estimate Details'!AQ9:AQ1622,"2018-R",'Estimate Details'!AG9:AG1622,"=1"),-3)</f>
        <v>199000</v>
      </c>
      <c r="G46" s="1740">
        <f>ROUND(SUMIFS('Estimate Details'!AA9:AA1622,'Estimate Details'!AQ9:AQ1622,"2018-C1",'Estimate Details'!AG9:AG1622,"=0")+SUMIFS('Estimate Details'!AA9:AA1622,'Estimate Details'!AQ9:AQ1622,"2018-R",'Estimate Details'!AG9:AG1622,"=0"),-3)</f>
        <v>0</v>
      </c>
      <c r="H46" s="1740">
        <f>ROUND(SUMIFS('Estimate Details'!AA9:AA1622,'Estimate Details'!AQ9:AQ1622,"2018-C1",'Estimate Details'!AI9:AI1622,"=1")+SUMIFS('Estimate Details'!AA9:AA1622,'Estimate Details'!AQ9:AQ1622,"2018-R",'Estimate Details'!AI9:AI1622,"=1"),-3)</f>
        <v>0</v>
      </c>
      <c r="I46" s="1741">
        <f>ROUND(SUMIFS('Estimate Details'!AA9:AA1622,'Estimate Details'!AQ9:AQ1622,"2018-C1",'Estimate Details'!AI9:AI1622,"=0")+SUMIFS('Estimate Details'!AA9:AA1622,'Estimate Details'!AQ9:AQ1622,"2018-R",'Estimate Details'!AI9:AI1622,"=0"),-3)</f>
        <v>199000</v>
      </c>
    </row>
    <row r="47" spans="2:11">
      <c r="B47" s="413" t="s">
        <v>3178</v>
      </c>
      <c r="C47" s="1697">
        <f>ROUND(B62*C5,-3)</f>
        <v>75000</v>
      </c>
      <c r="F47" s="1719">
        <f>ROUND($B$62*F5,-3)</f>
        <v>75000</v>
      </c>
      <c r="G47" s="1697">
        <f t="shared" ref="G47:I47" si="11">ROUND($B$62*G5,-3)</f>
        <v>0</v>
      </c>
      <c r="H47" s="1697">
        <f t="shared" si="11"/>
        <v>12000</v>
      </c>
      <c r="I47" s="1697">
        <f t="shared" si="11"/>
        <v>63000</v>
      </c>
    </row>
    <row r="48" spans="2:11">
      <c r="B48" s="413" t="s">
        <v>3249</v>
      </c>
      <c r="C48" s="1709">
        <f>ROUND(C46+C47,-3)</f>
        <v>274000</v>
      </c>
      <c r="F48" s="1721">
        <f>ROUND(F46+F47,-3)</f>
        <v>274000</v>
      </c>
      <c r="G48" s="1709">
        <f>ROUND(G46+G47,-3)</f>
        <v>0</v>
      </c>
      <c r="H48" s="1709">
        <f>ROUND(H46+H47,-3)</f>
        <v>12000</v>
      </c>
      <c r="I48" s="1709">
        <f>ROUND(I46+I47,-3)</f>
        <v>262000</v>
      </c>
    </row>
    <row r="49" spans="2:9">
      <c r="B49" s="413"/>
      <c r="C49" s="1677"/>
      <c r="F49" s="413"/>
      <c r="I49" s="29"/>
    </row>
    <row r="50" spans="2:9">
      <c r="B50" s="413" t="s">
        <v>3180</v>
      </c>
      <c r="C50" s="1677">
        <v>0.4</v>
      </c>
      <c r="F50" s="1720">
        <v>0.4</v>
      </c>
      <c r="G50" s="1677">
        <v>0.4</v>
      </c>
      <c r="H50" s="1677">
        <v>0.4</v>
      </c>
      <c r="I50" s="1677">
        <v>0.4</v>
      </c>
    </row>
    <row r="51" spans="2:9">
      <c r="B51" s="413"/>
      <c r="C51" s="29"/>
      <c r="F51" s="414"/>
      <c r="G51" s="29"/>
      <c r="H51" s="29"/>
      <c r="I51" s="29"/>
    </row>
    <row r="52" spans="2:9">
      <c r="B52" s="413" t="s">
        <v>3181</v>
      </c>
      <c r="C52" s="1662">
        <f>0.5*C43*C44</f>
        <v>0</v>
      </c>
      <c r="E52" s="210"/>
      <c r="F52" s="1722">
        <f>0.5*F43*F44</f>
        <v>0</v>
      </c>
      <c r="G52" s="1662">
        <f>0.5*G43*G44</f>
        <v>0</v>
      </c>
      <c r="H52" s="1662">
        <f>0.5*H43*H44</f>
        <v>0</v>
      </c>
      <c r="I52" s="1662">
        <f>0.5*I43*I44</f>
        <v>0</v>
      </c>
    </row>
    <row r="53" spans="2:9">
      <c r="B53" s="413"/>
      <c r="C53" s="29"/>
      <c r="E53" s="210"/>
      <c r="F53" s="414"/>
      <c r="G53" s="29"/>
      <c r="H53" s="29"/>
      <c r="I53" s="29"/>
    </row>
    <row r="54" spans="2:9">
      <c r="B54" s="413" t="s">
        <v>3250</v>
      </c>
      <c r="C54" s="1662">
        <f>ROUND(0.5*C48*C50,-3)</f>
        <v>55000</v>
      </c>
      <c r="E54" s="210"/>
      <c r="F54" s="1722">
        <f>ROUND(0.5*F48*F50,-3)</f>
        <v>55000</v>
      </c>
      <c r="G54" s="1662">
        <f>ROUND(0.5*G48*G50,-3)</f>
        <v>0</v>
      </c>
      <c r="H54" s="1662">
        <f>ROUND(0.5*H48*H50,-3)</f>
        <v>2000</v>
      </c>
      <c r="I54" s="1662">
        <f>ROUND(0.5*I48*I50,-3)</f>
        <v>52000</v>
      </c>
    </row>
    <row r="55" spans="2:9">
      <c r="B55" s="413"/>
      <c r="C55" s="29"/>
      <c r="E55" s="210"/>
      <c r="F55" s="414"/>
      <c r="G55" s="29"/>
      <c r="H55" s="29"/>
      <c r="I55" s="29"/>
    </row>
    <row r="56" spans="2:9" ht="15" thickBot="1">
      <c r="B56" s="407" t="s">
        <v>3183</v>
      </c>
      <c r="C56" s="1710">
        <f>ROUND(C54+C52,-3)</f>
        <v>55000</v>
      </c>
      <c r="D56" s="406"/>
      <c r="E56" s="406"/>
      <c r="F56" s="1723">
        <f>ROUND(F54+F52,-3)</f>
        <v>55000</v>
      </c>
      <c r="G56" s="1710">
        <f>ROUND(G54+G52,-3)</f>
        <v>0</v>
      </c>
      <c r="H56" s="1710">
        <f>ROUND(H54+H52,-3)</f>
        <v>2000</v>
      </c>
      <c r="I56" s="1710">
        <f>ROUND(I54+I52,-3)</f>
        <v>52000</v>
      </c>
    </row>
    <row r="57" spans="2:9">
      <c r="B57" s="1717" t="s">
        <v>3184</v>
      </c>
      <c r="C57" s="29"/>
    </row>
    <row r="58" spans="2:9">
      <c r="B58" s="1699">
        <v>1732500</v>
      </c>
      <c r="C58" s="29" t="s">
        <v>3185</v>
      </c>
      <c r="F58" s="1699">
        <v>1732500</v>
      </c>
      <c r="G58" s="1699">
        <v>1732500</v>
      </c>
      <c r="H58" s="1699">
        <v>1732500</v>
      </c>
      <c r="I58" s="1699">
        <v>1732500</v>
      </c>
    </row>
    <row r="59" spans="2:9">
      <c r="B59" s="413">
        <v>30</v>
      </c>
      <c r="C59" s="29" t="s">
        <v>3186</v>
      </c>
      <c r="F59" s="413">
        <v>30</v>
      </c>
      <c r="G59" s="413">
        <v>30</v>
      </c>
      <c r="H59" s="413">
        <v>30</v>
      </c>
      <c r="I59" s="413">
        <v>30</v>
      </c>
    </row>
    <row r="60" spans="2:9">
      <c r="B60" s="413">
        <v>500</v>
      </c>
      <c r="C60" s="29" t="s">
        <v>3230</v>
      </c>
      <c r="F60" s="413">
        <v>500</v>
      </c>
      <c r="G60" s="413">
        <v>500</v>
      </c>
      <c r="H60" s="413">
        <v>500</v>
      </c>
      <c r="I60" s="413">
        <v>500</v>
      </c>
    </row>
    <row r="61" spans="2:9">
      <c r="B61" s="413"/>
      <c r="C61" s="29"/>
      <c r="F61" s="413"/>
      <c r="G61" s="413"/>
      <c r="H61" s="413"/>
      <c r="I61" s="413"/>
    </row>
    <row r="62" spans="2:9">
      <c r="B62" s="1700">
        <f>B58/(B59*B60)</f>
        <v>115.5</v>
      </c>
      <c r="C62" s="29" t="s">
        <v>3188</v>
      </c>
      <c r="F62" s="1700">
        <f>F58/(F59*F60)</f>
        <v>115.5</v>
      </c>
      <c r="G62" s="1700">
        <f>G58/(G59*G60)</f>
        <v>115.5</v>
      </c>
      <c r="H62" s="1700">
        <f>H58/(H59*H60)</f>
        <v>115.5</v>
      </c>
      <c r="I62" s="1700">
        <f>I58/(I59*I60)</f>
        <v>115.5</v>
      </c>
    </row>
    <row r="63" spans="2:9">
      <c r="B63" s="413"/>
      <c r="C63" s="29"/>
      <c r="F63" s="413"/>
      <c r="G63" s="413"/>
      <c r="H63" s="413"/>
      <c r="I63" s="413"/>
    </row>
    <row r="64" spans="2:9" ht="15" thickBot="1">
      <c r="B64" s="1701">
        <f>C5*B62</f>
        <v>75482.261604361163</v>
      </c>
      <c r="C64" s="1702" t="s">
        <v>3037</v>
      </c>
      <c r="F64" s="1701">
        <f>F5*F62</f>
        <v>75482.261604361163</v>
      </c>
      <c r="G64" s="1701">
        <f t="shared" ref="G64:I64" si="12">G5*G62</f>
        <v>0</v>
      </c>
      <c r="H64" s="1701">
        <f t="shared" si="12"/>
        <v>12445.125</v>
      </c>
      <c r="I64" s="1701">
        <f t="shared" si="12"/>
        <v>63037.136604361163</v>
      </c>
    </row>
    <row r="65" spans="2:9">
      <c r="B65" s="1703" t="s">
        <v>3190</v>
      </c>
      <c r="C65" s="1314"/>
    </row>
    <row r="66" spans="2:9">
      <c r="B66" s="413" t="s">
        <v>3231</v>
      </c>
      <c r="C66" s="29">
        <v>110</v>
      </c>
      <c r="F66" s="29">
        <v>110</v>
      </c>
      <c r="G66" s="29">
        <v>110</v>
      </c>
      <c r="H66" s="29">
        <v>110</v>
      </c>
      <c r="I66" s="29">
        <v>110</v>
      </c>
    </row>
    <row r="67" spans="2:9">
      <c r="B67" s="413" t="s">
        <v>3232</v>
      </c>
      <c r="C67" s="1711">
        <f>B62</f>
        <v>115.5</v>
      </c>
      <c r="F67" s="1711">
        <f>F62</f>
        <v>115.5</v>
      </c>
      <c r="G67" s="1711">
        <f t="shared" ref="G67:I67" si="13">G62</f>
        <v>115.5</v>
      </c>
      <c r="H67" s="1711">
        <f t="shared" si="13"/>
        <v>115.5</v>
      </c>
      <c r="I67" s="1711">
        <f t="shared" si="13"/>
        <v>115.5</v>
      </c>
    </row>
    <row r="68" spans="2:9">
      <c r="B68" s="413"/>
      <c r="C68" s="29"/>
      <c r="F68" s="29"/>
      <c r="G68" s="29"/>
      <c r="H68" s="29"/>
      <c r="I68" s="29"/>
    </row>
    <row r="69" spans="2:9">
      <c r="B69" s="413" t="s">
        <v>3193</v>
      </c>
      <c r="C69" s="1712">
        <f>C66*C5</f>
        <v>71887.868194629686</v>
      </c>
      <c r="E69" s="203"/>
      <c r="F69" s="1712">
        <f>F66*F5</f>
        <v>71887.868194629686</v>
      </c>
      <c r="G69" s="1712">
        <f>G66*G5</f>
        <v>0</v>
      </c>
      <c r="H69" s="1712">
        <f>H66*H5</f>
        <v>11852.5</v>
      </c>
      <c r="I69" s="1712">
        <f>I66*I5</f>
        <v>60035.368194629678</v>
      </c>
    </row>
    <row r="70" spans="2:9">
      <c r="B70" s="413" t="s">
        <v>3233</v>
      </c>
      <c r="C70" s="1677">
        <f>C67*C5</f>
        <v>75482.261604361163</v>
      </c>
      <c r="E70" s="203"/>
      <c r="F70" s="1677">
        <f>F67*F5</f>
        <v>75482.261604361163</v>
      </c>
      <c r="G70" s="1677">
        <f>G67*G5</f>
        <v>0</v>
      </c>
      <c r="H70" s="1677">
        <f>H67*H5</f>
        <v>12445.125</v>
      </c>
      <c r="I70" s="1677">
        <f>I67*I5</f>
        <v>63037.136604361163</v>
      </c>
    </row>
    <row r="71" spans="2:9">
      <c r="B71" s="413"/>
      <c r="C71" s="29"/>
      <c r="F71" s="29"/>
      <c r="G71" s="29"/>
      <c r="H71" s="29"/>
      <c r="I71" s="29"/>
    </row>
    <row r="72" spans="2:9" ht="15" thickBot="1">
      <c r="B72" s="407" t="s">
        <v>3162</v>
      </c>
      <c r="C72" s="1713">
        <f>ROUND((SUM(C69:C70)),-3)</f>
        <v>147000</v>
      </c>
      <c r="E72" s="203"/>
      <c r="F72" s="1713">
        <f>ROUND((SUM(F69:F70)),-3)</f>
        <v>147000</v>
      </c>
      <c r="G72" s="1713">
        <f>ROUND((SUM(G69:G70)),-3)</f>
        <v>0</v>
      </c>
      <c r="H72" s="1713">
        <f>ROUND((SUM(H69:H70)),-3)</f>
        <v>24000</v>
      </c>
      <c r="I72" s="1713">
        <f>ROUND((SUM(I69:I70)),-3)</f>
        <v>123000</v>
      </c>
    </row>
    <row r="73" spans="2:9">
      <c r="B73" s="1704" t="s">
        <v>3220</v>
      </c>
      <c r="C73" s="1314"/>
    </row>
    <row r="74" spans="2:9">
      <c r="B74" s="1688" t="s">
        <v>3195</v>
      </c>
      <c r="C74" s="1714">
        <f>C5</f>
        <v>653.52607449663344</v>
      </c>
      <c r="F74" s="1714">
        <f>F5</f>
        <v>653.52607449663344</v>
      </c>
      <c r="G74" s="1714">
        <f>G5</f>
        <v>0</v>
      </c>
      <c r="H74" s="1714">
        <f>H5</f>
        <v>107.75</v>
      </c>
      <c r="I74" s="1714">
        <f>I5</f>
        <v>545.77607449663344</v>
      </c>
    </row>
    <row r="75" spans="2:9">
      <c r="B75" s="1688" t="s">
        <v>3196</v>
      </c>
      <c r="C75" s="1692">
        <f>(ROUNDUP(C74*0.7,0))</f>
        <v>458</v>
      </c>
      <c r="F75" s="1692">
        <f>(ROUNDUP(F74*0.7,0))</f>
        <v>458</v>
      </c>
      <c r="G75" s="1692">
        <f>(ROUNDUP(G74*0.7,0))</f>
        <v>0</v>
      </c>
      <c r="H75" s="1692">
        <f>(ROUNDUP(H74*0.7,0))</f>
        <v>76</v>
      </c>
      <c r="I75" s="1692">
        <f>(ROUNDUP(I74*0.7,0))</f>
        <v>383</v>
      </c>
    </row>
    <row r="76" spans="2:9">
      <c r="B76" s="1688" t="s">
        <v>3197</v>
      </c>
      <c r="C76" s="1692">
        <f>(ROUNDUP(C74*0.3,0))</f>
        <v>197</v>
      </c>
      <c r="F76" s="1692">
        <f>(ROUNDUP(F74*0.3,0))</f>
        <v>197</v>
      </c>
      <c r="G76" s="1692">
        <f>(ROUNDUP(G74*0.3,0))</f>
        <v>0</v>
      </c>
      <c r="H76" s="1692">
        <f>(ROUNDUP(H74*0.3,0))</f>
        <v>33</v>
      </c>
      <c r="I76" s="1692">
        <f>(ROUNDUP(I74*0.3,0))</f>
        <v>164</v>
      </c>
    </row>
    <row r="77" spans="2:9">
      <c r="B77" s="1688"/>
      <c r="C77" s="1692"/>
      <c r="F77" s="1692"/>
      <c r="G77" s="1692"/>
      <c r="H77" s="1692"/>
      <c r="I77" s="1692"/>
    </row>
    <row r="78" spans="2:9">
      <c r="B78" s="1688" t="s">
        <v>3198</v>
      </c>
      <c r="C78" s="1697">
        <f>C75*85.45</f>
        <v>39136.1</v>
      </c>
      <c r="F78" s="1697">
        <f>F75*85.45</f>
        <v>39136.1</v>
      </c>
      <c r="G78" s="1697">
        <f>G75*85.45</f>
        <v>0</v>
      </c>
      <c r="H78" s="1697">
        <f>H75*85.45</f>
        <v>6494.2</v>
      </c>
      <c r="I78" s="1697">
        <f>I75*85.45</f>
        <v>32727.350000000002</v>
      </c>
    </row>
    <row r="79" spans="2:9">
      <c r="B79" s="1688" t="s">
        <v>3199</v>
      </c>
      <c r="C79" s="1697">
        <f>C76*75</f>
        <v>14775</v>
      </c>
      <c r="F79" s="1697">
        <f>F76*75</f>
        <v>14775</v>
      </c>
      <c r="G79" s="1697">
        <f>G76*75</f>
        <v>0</v>
      </c>
      <c r="H79" s="1697">
        <f>H76*75</f>
        <v>2475</v>
      </c>
      <c r="I79" s="1697">
        <f>I76*75</f>
        <v>12300</v>
      </c>
    </row>
    <row r="80" spans="2:9">
      <c r="B80" s="413"/>
      <c r="C80" s="29"/>
      <c r="F80" s="29"/>
      <c r="G80" s="29"/>
      <c r="H80" s="29"/>
      <c r="I80" s="29"/>
    </row>
    <row r="81" spans="2:9" ht="15" thickBot="1">
      <c r="B81" s="1705" t="s">
        <v>3200</v>
      </c>
      <c r="C81" s="1698">
        <f>ROUND(SUM(C78:C79),-3)</f>
        <v>54000</v>
      </c>
      <c r="F81" s="1698">
        <f>ROUND(SUM(F78:F79),-3)</f>
        <v>54000</v>
      </c>
      <c r="G81" s="1698">
        <f>ROUND(SUM(G78:G79),-3)</f>
        <v>0</v>
      </c>
      <c r="H81" s="1698">
        <f>ROUND(SUM(H78:H79),-3)</f>
        <v>9000</v>
      </c>
      <c r="I81" s="1698">
        <f>ROUND(SUM(I78:I79),-3)</f>
        <v>45000</v>
      </c>
    </row>
    <row r="82" spans="2:9">
      <c r="B82" s="1680" t="s">
        <v>3234</v>
      </c>
      <c r="C82" s="1314"/>
    </row>
    <row r="83" spans="2:9">
      <c r="B83" s="413" t="s">
        <v>3235</v>
      </c>
      <c r="C83" s="29">
        <v>200</v>
      </c>
    </row>
    <row r="84" spans="2:9">
      <c r="B84" s="413" t="s">
        <v>3236</v>
      </c>
      <c r="C84" s="29">
        <v>46</v>
      </c>
    </row>
    <row r="85" spans="2:9">
      <c r="B85" s="413" t="s">
        <v>3237</v>
      </c>
      <c r="C85" s="29">
        <v>4500</v>
      </c>
    </row>
    <row r="86" spans="2:9">
      <c r="B86" s="413" t="s">
        <v>3238</v>
      </c>
      <c r="C86" s="29">
        <v>5000</v>
      </c>
    </row>
    <row r="87" spans="2:9">
      <c r="B87" s="413"/>
      <c r="C87" s="29"/>
    </row>
    <row r="88" spans="2:9">
      <c r="B88" s="413" t="s">
        <v>3239</v>
      </c>
      <c r="C88" s="1677">
        <f>(C83*C84)+C85+C86</f>
        <v>18700</v>
      </c>
    </row>
    <row r="89" spans="2:9">
      <c r="B89" s="413"/>
      <c r="C89" s="29"/>
    </row>
    <row r="90" spans="2:9">
      <c r="B90" s="413" t="s">
        <v>3240</v>
      </c>
      <c r="C90" s="29">
        <v>0</v>
      </c>
    </row>
    <row r="91" spans="2:9">
      <c r="B91" s="413"/>
      <c r="C91" s="29"/>
    </row>
    <row r="92" spans="2:9" ht="15" thickBot="1">
      <c r="B92" s="407" t="s">
        <v>3162</v>
      </c>
      <c r="C92" s="1678">
        <f>C88*C90</f>
        <v>0</v>
      </c>
    </row>
    <row r="93" spans="2:9">
      <c r="B93" s="1679" t="s">
        <v>3241</v>
      </c>
      <c r="C93" s="1314"/>
    </row>
    <row r="94" spans="2:9">
      <c r="B94" s="413" t="s">
        <v>3235</v>
      </c>
      <c r="C94" s="29">
        <v>200</v>
      </c>
    </row>
    <row r="95" spans="2:9">
      <c r="B95" s="413" t="s">
        <v>3242</v>
      </c>
      <c r="C95" s="29">
        <v>300</v>
      </c>
    </row>
    <row r="96" spans="2:9">
      <c r="B96" s="413"/>
      <c r="C96" s="29"/>
    </row>
    <row r="97" spans="1:3">
      <c r="B97" s="413" t="s">
        <v>3243</v>
      </c>
      <c r="C97" s="1677">
        <f>C94*C95</f>
        <v>60000</v>
      </c>
    </row>
    <row r="98" spans="1:3">
      <c r="B98" s="413"/>
      <c r="C98" s="29"/>
    </row>
    <row r="99" spans="1:3">
      <c r="B99" s="413" t="s">
        <v>3244</v>
      </c>
      <c r="C99" s="29">
        <v>0</v>
      </c>
    </row>
    <row r="100" spans="1:3">
      <c r="B100" s="413"/>
      <c r="C100" s="29"/>
    </row>
    <row r="101" spans="1:3" ht="15" thickBot="1">
      <c r="B101" s="407" t="s">
        <v>3162</v>
      </c>
      <c r="C101" s="1678">
        <f>C97*C99</f>
        <v>0</v>
      </c>
    </row>
    <row r="102" spans="1:3">
      <c r="B102" s="1676" t="s">
        <v>3245</v>
      </c>
      <c r="C102" s="1314"/>
    </row>
    <row r="103" spans="1:3">
      <c r="A103" s="1674"/>
      <c r="B103" s="413" t="s">
        <v>3235</v>
      </c>
      <c r="C103" s="29">
        <v>200</v>
      </c>
    </row>
    <row r="104" spans="1:3">
      <c r="A104" s="1674"/>
      <c r="B104" s="413" t="s">
        <v>3236</v>
      </c>
      <c r="C104" s="29">
        <v>72</v>
      </c>
    </row>
    <row r="105" spans="1:3">
      <c r="A105" s="1674"/>
      <c r="B105" s="413" t="s">
        <v>3237</v>
      </c>
      <c r="C105" s="29">
        <v>4500</v>
      </c>
    </row>
    <row r="106" spans="1:3">
      <c r="A106" s="1674"/>
      <c r="B106" s="413"/>
      <c r="C106" s="29"/>
    </row>
    <row r="107" spans="1:3">
      <c r="A107" s="1674"/>
      <c r="B107" s="413" t="s">
        <v>3246</v>
      </c>
      <c r="C107" s="29">
        <v>43</v>
      </c>
    </row>
    <row r="108" spans="1:3">
      <c r="A108" s="1674"/>
      <c r="B108" s="413" t="s">
        <v>3247</v>
      </c>
      <c r="C108" s="29">
        <v>100</v>
      </c>
    </row>
    <row r="109" spans="1:3">
      <c r="A109" s="1674"/>
      <c r="B109" s="413"/>
      <c r="C109" s="29"/>
    </row>
    <row r="110" spans="1:3">
      <c r="A110" s="1674"/>
      <c r="B110" s="413" t="s">
        <v>3239</v>
      </c>
      <c r="C110" s="1677">
        <f>(C103*C104)+4500+(C107*C108)</f>
        <v>23200</v>
      </c>
    </row>
    <row r="111" spans="1:3">
      <c r="A111" s="1674"/>
      <c r="B111" s="413"/>
      <c r="C111" s="29"/>
    </row>
    <row r="112" spans="1:3">
      <c r="A112" s="1674"/>
      <c r="B112" s="413" t="s">
        <v>3248</v>
      </c>
      <c r="C112" s="29">
        <v>0</v>
      </c>
    </row>
    <row r="113" spans="1:3">
      <c r="A113" s="1674"/>
      <c r="B113" s="413"/>
      <c r="C113" s="29"/>
    </row>
    <row r="114" spans="1:3" ht="15" thickBot="1">
      <c r="B114" s="407" t="s">
        <v>3162</v>
      </c>
      <c r="C114" s="1678">
        <f>C110*C112</f>
        <v>0</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14"/>
  <sheetViews>
    <sheetView zoomScale="70" zoomScaleNormal="70" workbookViewId="0">
      <selection activeCell="S6" sqref="S6"/>
    </sheetView>
  </sheetViews>
  <sheetFormatPr defaultColWidth="9.1796875" defaultRowHeight="14.5"/>
  <cols>
    <col min="1" max="1" width="9.1796875" style="1672"/>
    <col min="2" max="2" width="57.81640625" bestFit="1" customWidth="1"/>
    <col min="3" max="3" width="29" customWidth="1"/>
    <col min="4" max="4" width="25.453125" customWidth="1"/>
    <col min="5" max="5" width="42.453125" customWidth="1"/>
    <col min="6" max="9" width="23.7265625" customWidth="1"/>
    <col min="10" max="10" width="13.81640625" bestFit="1" customWidth="1"/>
    <col min="11" max="11" width="21.7265625" customWidth="1"/>
    <col min="13" max="13" width="59.1796875" customWidth="1"/>
    <col min="14" max="14" width="20.54296875" customWidth="1"/>
    <col min="15" max="15" width="26" bestFit="1" customWidth="1"/>
    <col min="16" max="16" width="15.1796875" bestFit="1" customWidth="1"/>
    <col min="17" max="17" width="11.453125" customWidth="1"/>
    <col min="18" max="18" width="12.7265625" customWidth="1"/>
  </cols>
  <sheetData>
    <row r="1" spans="1:16">
      <c r="B1" t="s">
        <v>3443</v>
      </c>
      <c r="F1" s="390" t="s">
        <v>3145</v>
      </c>
      <c r="G1" s="390" t="s">
        <v>3146</v>
      </c>
      <c r="H1" s="390" t="s">
        <v>3147</v>
      </c>
      <c r="I1" s="390" t="s">
        <v>3148</v>
      </c>
    </row>
    <row r="2" spans="1:16" ht="15" thickBot="1">
      <c r="D2" s="192"/>
      <c r="E2" s="192"/>
      <c r="F2" s="1725">
        <f>F3/C3</f>
        <v>-17.889253021734067</v>
      </c>
      <c r="G2" s="1725">
        <f>G3/C3</f>
        <v>0</v>
      </c>
      <c r="H2" s="1725">
        <f>H3/C3</f>
        <v>0</v>
      </c>
      <c r="I2" s="1725">
        <f>I3/C3</f>
        <v>-17.889253021734067</v>
      </c>
    </row>
    <row r="3" spans="1:16" s="1656" customFormat="1" ht="15.5">
      <c r="A3" s="1673"/>
      <c r="B3" s="1664" t="s">
        <v>3149</v>
      </c>
      <c r="C3" s="1659">
        <f>(SUMIF('Estimate Details'!AQ9:AQ1622,"2018-MAY",'Estimate Details'!AD9:AD1622))</f>
        <v>-171299.63533333334</v>
      </c>
      <c r="D3" s="1671"/>
      <c r="E3" s="1715"/>
      <c r="F3" s="1728">
        <f>(SUMIF('Estimate Details'!AQ9:AQ1622,"2018-C1",'Estimate Details'!AK9:AK1622))+(SUMIF('Estimate Details'!AQ9:AQ1622,"2018-R",'Estimate Details'!AK9:AK1622))</f>
        <v>3064422.5190087771</v>
      </c>
      <c r="G3" s="1659">
        <f>(SUMIF('Estimate Details'!AQ9:AQ1622,"2018-C1",'Estimate Details'!AL9:AL1622))+(SUMIF('Estimate Details'!AQ9:AQ1622,"2018-R",'Estimate Details'!AL9:AL1622))</f>
        <v>0</v>
      </c>
      <c r="H3" s="1659">
        <f>(SUMIF('Estimate Details'!AQ9:AQ1622,"2018-C1",'Estimate Details'!AM9:AM1622))+(SUMIF('Estimate Details'!AQ9:AQ1622,"2018-R",'Estimate Details'!AM9:AM1622))</f>
        <v>0</v>
      </c>
      <c r="I3" s="1659">
        <f>(SUMIF('Estimate Details'!AQ9:AQ1622,"2018-C1",'Estimate Details'!AN9:AN1622))+(SUMIF('Estimate Details'!AQ9:AQ1622,"2018-R",'Estimate Details'!AN9:AN1622))</f>
        <v>3064422.5190087771</v>
      </c>
      <c r="M3" s="1658" t="s">
        <v>3204</v>
      </c>
    </row>
    <row r="4" spans="1:16">
      <c r="A4" s="1674"/>
      <c r="B4" s="414" t="s">
        <v>3223</v>
      </c>
      <c r="C4" s="1735">
        <f>(SUMIF('Estimate Details'!AQ9:AQ1710,"2018-MAY",'Estimate Details'!Z9:Z1710))</f>
        <v>-780.43333333333328</v>
      </c>
      <c r="E4" s="812"/>
      <c r="F4" s="1738">
        <f>SUMIFS('Estimate Details'!Z9:Z1622,'Estimate Details'!AQ9:AQ1622,"2018-C1",'Estimate Details'!AG9:AG1622,"=1")+SUMIFS('Estimate Details'!Z9:Z1622,'Estimate Details'!AQ9:AQ1622,"2018-R",'Estimate Details'!AG9:AG1622,"=1")</f>
        <v>19992.589969304339</v>
      </c>
      <c r="G4" s="1735">
        <f>SUMIFS('Estimate Details'!Z9:Z1622,'Estimate Details'!AQ9:AQ1622,"2018-C1",'Estimate Details'!AG9:AG1622,"=0")+SUMIFS('Estimate Details'!Z9:Z1622,'Estimate Details'!AQ9:AQ1622,"2018-R",'Estimate Details'!AG9:AG1622,"=0")</f>
        <v>0</v>
      </c>
      <c r="H4" s="1735">
        <f>SUMIFS('Estimate Details'!Z9:Z1622,'Estimate Details'!AQ9:AQ1622,"2018-C1",'Estimate Details'!AI9:AI1622,"=1")+SUMIFS('Estimate Details'!Z9:Z1622,'Estimate Details'!AQ9:AQ1622,"2018-R",'Estimate Details'!AI9:AI1622,"=1")</f>
        <v>0</v>
      </c>
      <c r="I4" s="1735">
        <f>SUMIFS('Estimate Details'!Z9:Z1622,'Estimate Details'!AQ9:AQ1622,"2018-C1",'Estimate Details'!AI9:AI1622,"=0")+SUMIFS('Estimate Details'!Z9:Z1622,'Estimate Details'!AQ9:AQ1622,"2018-R",'Estimate Details'!AI9:AI1622,"=0")</f>
        <v>19992.589969304339</v>
      </c>
      <c r="M4" t="s">
        <v>3438</v>
      </c>
    </row>
    <row r="5" spans="1:16">
      <c r="A5" s="1674"/>
      <c r="B5" s="414" t="s">
        <v>3224</v>
      </c>
      <c r="C5" s="1660">
        <f>C4/10</f>
        <v>-78.043333333333322</v>
      </c>
      <c r="F5" s="1729">
        <f>F4/10</f>
        <v>1999.258996930434</v>
      </c>
      <c r="G5" s="1660">
        <f>G4/10</f>
        <v>0</v>
      </c>
      <c r="H5" s="1660">
        <f>H4/10</f>
        <v>0</v>
      </c>
      <c r="I5" s="1660">
        <f>I4/10</f>
        <v>1999.258996930434</v>
      </c>
      <c r="M5" t="s">
        <v>3439</v>
      </c>
    </row>
    <row r="6" spans="1:16">
      <c r="A6" s="1674"/>
      <c r="B6" s="414"/>
      <c r="C6" s="1661"/>
      <c r="F6" s="1730"/>
      <c r="G6" s="1661"/>
      <c r="H6" s="1661"/>
      <c r="I6" s="1661"/>
    </row>
    <row r="7" spans="1:16">
      <c r="A7" s="1674"/>
      <c r="B7" s="1863" t="s">
        <v>2742</v>
      </c>
      <c r="C7" s="1865">
        <v>0</v>
      </c>
      <c r="D7" t="s">
        <v>3152</v>
      </c>
      <c r="F7" s="1864">
        <v>0</v>
      </c>
      <c r="G7" s="1865">
        <v>0</v>
      </c>
      <c r="H7" s="1865">
        <v>0</v>
      </c>
      <c r="I7" s="1865">
        <v>0</v>
      </c>
    </row>
    <row r="8" spans="1:16">
      <c r="A8" s="1674"/>
      <c r="B8" s="1667" t="s">
        <v>2692</v>
      </c>
      <c r="C8" s="1668">
        <f>ROUND(C56,-3)</f>
        <v>-4000</v>
      </c>
      <c r="D8" t="s">
        <v>3153</v>
      </c>
      <c r="E8" s="1101"/>
      <c r="F8" s="1731">
        <f>ROUND(F56,-3)</f>
        <v>86000</v>
      </c>
      <c r="G8" s="1668">
        <f>ROUND(G56,-3)</f>
        <v>0</v>
      </c>
      <c r="H8" s="1668">
        <f>ROUND(H56,-3)</f>
        <v>0</v>
      </c>
      <c r="I8" s="1668">
        <f>ROUND(I56,-3)</f>
        <v>86000</v>
      </c>
    </row>
    <row r="9" spans="1:16">
      <c r="A9" s="1674"/>
      <c r="B9" s="1670" t="s">
        <v>3154</v>
      </c>
      <c r="C9" s="1669">
        <v>0</v>
      </c>
      <c r="D9" t="s">
        <v>3440</v>
      </c>
      <c r="F9" s="1732">
        <v>0</v>
      </c>
      <c r="G9" s="1669">
        <v>0</v>
      </c>
      <c r="H9" s="1669">
        <v>0</v>
      </c>
      <c r="I9" s="1669">
        <v>0</v>
      </c>
      <c r="M9" s="1081"/>
      <c r="O9" t="s">
        <v>3205</v>
      </c>
    </row>
    <row r="10" spans="1:16">
      <c r="A10" s="1674"/>
      <c r="B10" s="1670" t="s">
        <v>2686</v>
      </c>
      <c r="C10" s="1669">
        <v>0</v>
      </c>
      <c r="D10" t="s">
        <v>3152</v>
      </c>
      <c r="F10" s="1732">
        <v>0</v>
      </c>
      <c r="G10" s="1669">
        <v>0</v>
      </c>
      <c r="H10" s="1669">
        <v>0</v>
      </c>
      <c r="I10" s="1669">
        <v>0</v>
      </c>
      <c r="O10">
        <v>-221574</v>
      </c>
      <c r="P10" t="s">
        <v>3206</v>
      </c>
    </row>
    <row r="11" spans="1:16">
      <c r="A11" s="1674"/>
      <c r="B11" s="1870"/>
      <c r="C11" s="1867"/>
      <c r="F11" s="1866"/>
      <c r="G11" s="1867"/>
      <c r="H11" s="1867"/>
      <c r="I11" s="1867"/>
      <c r="O11">
        <v>1564000</v>
      </c>
      <c r="P11" t="s">
        <v>3207</v>
      </c>
    </row>
    <row r="12" spans="1:16">
      <c r="A12" s="1674"/>
      <c r="B12" s="1896" t="s">
        <v>2696</v>
      </c>
      <c r="C12" s="1871">
        <f>ROUND(C81,-3)</f>
        <v>-6000</v>
      </c>
      <c r="D12" t="s">
        <v>3155</v>
      </c>
      <c r="E12" s="1101"/>
      <c r="F12" s="1868">
        <f>ROUND(F81,-3)</f>
        <v>165000</v>
      </c>
      <c r="G12" s="1871">
        <f>ROUND(G81,-3)</f>
        <v>0</v>
      </c>
      <c r="H12" s="1871">
        <f>ROUND(H81,-3)</f>
        <v>0</v>
      </c>
      <c r="I12" s="1871">
        <f>ROUND(I81,-3)</f>
        <v>165000</v>
      </c>
      <c r="L12" s="901"/>
      <c r="O12">
        <v>1071000</v>
      </c>
      <c r="P12" t="s">
        <v>3208</v>
      </c>
    </row>
    <row r="13" spans="1:16">
      <c r="A13" s="1674"/>
      <c r="B13" s="1667" t="s">
        <v>2743</v>
      </c>
      <c r="C13" s="1668">
        <f>ROUND((C69+B64),-3)</f>
        <v>-18000</v>
      </c>
      <c r="D13" t="s">
        <v>3155</v>
      </c>
      <c r="E13" s="1101"/>
      <c r="F13" s="1731">
        <f>ROUND((F69+F64),-3)</f>
        <v>451000</v>
      </c>
      <c r="G13" s="1668">
        <f t="shared" ref="G13:I13" si="0">ROUND((G69+G64),-3)</f>
        <v>0</v>
      </c>
      <c r="H13" s="1668">
        <f t="shared" si="0"/>
        <v>0</v>
      </c>
      <c r="I13" s="1668">
        <f t="shared" si="0"/>
        <v>451000</v>
      </c>
      <c r="J13" s="1716"/>
      <c r="M13" s="1044"/>
    </row>
    <row r="14" spans="1:16">
      <c r="A14" s="1674">
        <v>0.1</v>
      </c>
      <c r="B14" s="1667" t="s">
        <v>2698</v>
      </c>
      <c r="C14" s="1668">
        <f>ROUND(D36,-3)</f>
        <v>-15112000</v>
      </c>
      <c r="D14" t="s">
        <v>3158</v>
      </c>
      <c r="E14" s="1101"/>
      <c r="F14" s="1731">
        <f>+C14</f>
        <v>-15112000</v>
      </c>
      <c r="G14" s="1668">
        <f>(G$3-(7100000*G2))*$A14</f>
        <v>0</v>
      </c>
      <c r="H14" s="1668">
        <f>(H$3-(7100000*H2))*$A14</f>
        <v>0</v>
      </c>
      <c r="I14" s="1731">
        <f>+C14</f>
        <v>-15112000</v>
      </c>
      <c r="J14" s="1239"/>
      <c r="K14" s="1716"/>
      <c r="L14" s="997"/>
      <c r="O14" t="s">
        <v>3209</v>
      </c>
    </row>
    <row r="15" spans="1:16">
      <c r="A15" s="1674"/>
      <c r="B15" s="1863"/>
      <c r="C15" s="1865"/>
      <c r="F15" s="1864"/>
      <c r="G15" s="1865"/>
      <c r="H15" s="1865"/>
      <c r="I15" s="1865"/>
      <c r="J15" s="1239"/>
      <c r="K15" s="1716"/>
      <c r="M15" s="1044"/>
      <c r="O15">
        <v>758000</v>
      </c>
      <c r="P15" t="s">
        <v>3210</v>
      </c>
    </row>
    <row r="16" spans="1:16">
      <c r="B16" s="1863" t="s">
        <v>3225</v>
      </c>
      <c r="C16" s="1865">
        <f>C92</f>
        <v>0</v>
      </c>
      <c r="D16" t="s">
        <v>3152</v>
      </c>
      <c r="F16" s="1864">
        <v>0</v>
      </c>
      <c r="G16" s="1865">
        <v>0</v>
      </c>
      <c r="H16" s="1865">
        <v>0</v>
      </c>
      <c r="I16" s="1865">
        <v>0</v>
      </c>
      <c r="J16" s="1239"/>
      <c r="K16" s="1716"/>
      <c r="M16" s="1124"/>
      <c r="O16">
        <v>839000</v>
      </c>
      <c r="P16" t="s">
        <v>3208</v>
      </c>
    </row>
    <row r="17" spans="1:16">
      <c r="B17" s="414" t="s">
        <v>3226</v>
      </c>
      <c r="C17" s="1662">
        <v>0</v>
      </c>
      <c r="D17" t="s">
        <v>3152</v>
      </c>
      <c r="E17" s="997"/>
      <c r="F17" s="1722">
        <v>0</v>
      </c>
      <c r="G17" s="1662">
        <v>0</v>
      </c>
      <c r="H17" s="1662">
        <v>0</v>
      </c>
      <c r="I17" s="1662">
        <v>0</v>
      </c>
      <c r="J17" s="1239"/>
      <c r="M17" s="1124"/>
      <c r="O17">
        <v>3486000</v>
      </c>
      <c r="P17" t="s">
        <v>3227</v>
      </c>
    </row>
    <row r="18" spans="1:16">
      <c r="A18" s="1674"/>
      <c r="B18" s="414" t="s">
        <v>3159</v>
      </c>
      <c r="C18" s="1662">
        <f>ROUND((C101+C114),-3)</f>
        <v>0</v>
      </c>
      <c r="D18" t="s">
        <v>3152</v>
      </c>
      <c r="F18" s="1722">
        <v>0</v>
      </c>
      <c r="G18" s="1662">
        <v>0</v>
      </c>
      <c r="H18" s="1662">
        <v>0</v>
      </c>
      <c r="I18" s="1662">
        <v>0</v>
      </c>
      <c r="J18" s="1239"/>
      <c r="K18" s="1716"/>
      <c r="M18" s="1124"/>
      <c r="O18">
        <v>207000</v>
      </c>
      <c r="P18" t="s">
        <v>3211</v>
      </c>
    </row>
    <row r="19" spans="1:16">
      <c r="A19" s="1674"/>
      <c r="B19" s="1863"/>
      <c r="C19" s="1865"/>
      <c r="F19" s="1864"/>
      <c r="G19" s="1865"/>
      <c r="H19" s="1865"/>
      <c r="I19" s="1865"/>
      <c r="J19" s="1239"/>
      <c r="K19" s="1716"/>
      <c r="M19" s="1124"/>
      <c r="O19">
        <v>136810</v>
      </c>
      <c r="P19" t="s">
        <v>3212</v>
      </c>
    </row>
    <row r="20" spans="1:16">
      <c r="A20" s="1674">
        <v>3.9E-2</v>
      </c>
      <c r="B20" s="1896" t="s">
        <v>2676</v>
      </c>
      <c r="C20" s="1871">
        <f>ROUND(D37,-3)</f>
        <v>-7000</v>
      </c>
      <c r="D20" t="s">
        <v>3158</v>
      </c>
      <c r="E20" s="1101"/>
      <c r="F20" s="1868">
        <f>ROUND(F$3*$A20,-3)</f>
        <v>120000</v>
      </c>
      <c r="G20" s="1871">
        <f t="shared" ref="G20:H21" si="1">G$3*$A20</f>
        <v>0</v>
      </c>
      <c r="H20" s="1871">
        <f t="shared" si="1"/>
        <v>0</v>
      </c>
      <c r="I20" s="1868">
        <f>ROUND(I$3*$A20,-3)</f>
        <v>120000</v>
      </c>
      <c r="J20" s="1716"/>
      <c r="M20" s="1123"/>
      <c r="O20">
        <v>202000</v>
      </c>
      <c r="P20" t="s">
        <v>1971</v>
      </c>
    </row>
    <row r="21" spans="1:16">
      <c r="A21" s="1674">
        <v>9.4E-2</v>
      </c>
      <c r="B21" s="1667" t="s">
        <v>2680</v>
      </c>
      <c r="C21" s="1668">
        <f>ROUND(D38,-3)</f>
        <v>-16000</v>
      </c>
      <c r="D21" t="s">
        <v>3158</v>
      </c>
      <c r="E21" s="1101"/>
      <c r="F21" s="1731">
        <f>ROUND(F$3*$A21,-3)</f>
        <v>288000</v>
      </c>
      <c r="G21" s="1668">
        <f t="shared" si="1"/>
        <v>0</v>
      </c>
      <c r="H21" s="1668">
        <f t="shared" si="1"/>
        <v>0</v>
      </c>
      <c r="I21" s="1731">
        <f>ROUND(I$3*$A21,-3)</f>
        <v>288000</v>
      </c>
      <c r="J21" s="1716"/>
      <c r="M21" s="1123"/>
      <c r="O21">
        <v>7100000</v>
      </c>
      <c r="P21" t="s">
        <v>3213</v>
      </c>
    </row>
    <row r="22" spans="1:16">
      <c r="A22" s="1674"/>
      <c r="B22" s="1863"/>
      <c r="C22" s="1865"/>
      <c r="F22" s="1864"/>
      <c r="G22" s="1865"/>
      <c r="H22" s="1865"/>
      <c r="I22" s="1865"/>
      <c r="J22" s="1716"/>
      <c r="M22" s="1123"/>
      <c r="O22">
        <v>112000</v>
      </c>
      <c r="P22" t="s">
        <v>3214</v>
      </c>
    </row>
    <row r="23" spans="1:16" ht="29">
      <c r="A23" s="1674">
        <v>0.125</v>
      </c>
      <c r="B23" s="1869" t="s">
        <v>3215</v>
      </c>
      <c r="C23" s="1865">
        <f>ROUND(D40,-3)</f>
        <v>-1913000</v>
      </c>
      <c r="D23" t="s">
        <v>3158</v>
      </c>
      <c r="E23" s="1101"/>
      <c r="F23" s="1864">
        <f>ROUND(F40,-3)</f>
        <v>-1429000</v>
      </c>
      <c r="G23" s="1864">
        <f>ROUND(G40,-3)</f>
        <v>0</v>
      </c>
      <c r="H23" s="1864">
        <f>ROUND(H40,-3)</f>
        <v>0</v>
      </c>
      <c r="I23" s="1864">
        <f>ROUND(I40,-3)</f>
        <v>-1429000</v>
      </c>
      <c r="J23" s="1716"/>
      <c r="M23" s="1123"/>
      <c r="O23">
        <v>167000</v>
      </c>
      <c r="P23" t="s">
        <v>3216</v>
      </c>
    </row>
    <row r="24" spans="1:16" ht="15" thickBot="1">
      <c r="A24" s="1674"/>
      <c r="B24" s="414"/>
      <c r="C24" s="29"/>
      <c r="F24" s="414"/>
      <c r="G24" s="29"/>
      <c r="H24" s="29"/>
      <c r="I24" s="29"/>
      <c r="M24" s="1123"/>
      <c r="O24">
        <f>SUM(O15:O23,O10:O12)</f>
        <v>15421236</v>
      </c>
    </row>
    <row r="25" spans="1:16" ht="15" thickBot="1">
      <c r="A25" s="1674"/>
      <c r="B25" s="1307" t="s">
        <v>3161</v>
      </c>
      <c r="C25" s="1663">
        <f>SUM(C7:C23)</f>
        <v>-17076000</v>
      </c>
      <c r="E25" s="1101"/>
      <c r="F25" s="1733">
        <f>SUM(F7:F23)</f>
        <v>-15431000</v>
      </c>
      <c r="G25" s="1663">
        <f>SUM(G7:G23)</f>
        <v>0</v>
      </c>
      <c r="H25" s="1663">
        <f>SUM(H7:H23)</f>
        <v>0</v>
      </c>
      <c r="I25" s="1663">
        <f>SUM(I7:I23)</f>
        <v>-15431000</v>
      </c>
    </row>
    <row r="26" spans="1:16" ht="15" thickBot="1">
      <c r="A26" s="1674"/>
      <c r="B26" s="414"/>
      <c r="C26" s="29"/>
      <c r="F26" s="414"/>
      <c r="G26" s="29"/>
      <c r="H26" s="29"/>
      <c r="I26" s="29"/>
      <c r="L26" s="1239"/>
    </row>
    <row r="27" spans="1:16" ht="40.5" customHeight="1" thickBot="1">
      <c r="A27" s="1674"/>
      <c r="B27" s="1665" t="s">
        <v>3162</v>
      </c>
      <c r="C27" s="1666">
        <f>ROUND(C3+C25,-3)</f>
        <v>-17247000</v>
      </c>
      <c r="E27" s="1101"/>
      <c r="F27" s="1734">
        <f>ROUND(F3+F25,-3)</f>
        <v>-12367000</v>
      </c>
      <c r="G27" s="1724">
        <f>ROUND(G3+G25,-3)</f>
        <v>0</v>
      </c>
      <c r="H27" s="1724">
        <f>ROUND(H3+H25,-3)</f>
        <v>0</v>
      </c>
      <c r="I27" s="1724">
        <f>ROUND(I3+I25,-3)</f>
        <v>-12367000</v>
      </c>
      <c r="L27" s="1239"/>
      <c r="M27" s="203" t="e">
        <f>C27+#REF!+#REF!</f>
        <v>#REF!</v>
      </c>
    </row>
    <row r="28" spans="1:16">
      <c r="F28" s="1043"/>
      <c r="H28" s="1043"/>
    </row>
    <row r="29" spans="1:16">
      <c r="A29" s="1736"/>
      <c r="B29" s="195" t="s">
        <v>3165</v>
      </c>
      <c r="F29" s="1043"/>
      <c r="H29" s="1043"/>
    </row>
    <row r="30" spans="1:16">
      <c r="A30" s="1675"/>
      <c r="B30" s="195" t="s">
        <v>3166</v>
      </c>
      <c r="D30" s="901"/>
      <c r="I30" s="1101"/>
      <c r="M30" s="203">
        <f>ROUND(F27*0.15,-3)</f>
        <v>-1855000</v>
      </c>
    </row>
    <row r="31" spans="1:16" ht="16" thickBot="1">
      <c r="D31" s="1657" t="str">
        <f>IF(C3=D32,"Check OK", "Check FAIL")</f>
        <v>Check OK</v>
      </c>
      <c r="M31" s="1043">
        <f>+M30+F27</f>
        <v>-14222000</v>
      </c>
    </row>
    <row r="32" spans="1:16" ht="15.5">
      <c r="B32" s="1706" t="s">
        <v>3167</v>
      </c>
      <c r="C32" s="1312"/>
      <c r="D32" s="1659">
        <f>(SUMIF('Estimate Details'!AQ9:AQ1622,"2018-MAY",'Estimate Details'!AD9:AD1622))</f>
        <v>-171299.63533333334</v>
      </c>
      <c r="F32" s="1726">
        <f>+F3</f>
        <v>3064422.5190087771</v>
      </c>
      <c r="G32" s="1726">
        <f t="shared" ref="G32:I32" si="2">+G3</f>
        <v>0</v>
      </c>
      <c r="H32" s="1726">
        <f t="shared" si="2"/>
        <v>0</v>
      </c>
      <c r="I32" s="1726">
        <f t="shared" si="2"/>
        <v>3064422.5190087771</v>
      </c>
    </row>
    <row r="33" spans="2:11">
      <c r="B33" s="413" t="s">
        <v>3228</v>
      </c>
      <c r="D33" s="1681">
        <f>D32+SUM(C12:C18)</f>
        <v>-15307299.635333333</v>
      </c>
      <c r="F33" s="997">
        <f>F32+SUM(F12:F18)</f>
        <v>-11431577.480991222</v>
      </c>
      <c r="G33" s="997">
        <f t="shared" ref="G33:I33" si="3">G32+SUM(G12:G18)</f>
        <v>0</v>
      </c>
      <c r="H33" s="997">
        <f t="shared" si="3"/>
        <v>0</v>
      </c>
      <c r="I33" s="997">
        <f t="shared" si="3"/>
        <v>-11431577.480991222</v>
      </c>
    </row>
    <row r="34" spans="2:11">
      <c r="B34" s="413" t="s">
        <v>3168</v>
      </c>
      <c r="D34" s="1682">
        <f>D32+C10+C101+C114</f>
        <v>-171299.63533333334</v>
      </c>
      <c r="F34" s="1043">
        <f>F32+F10+E101+E114</f>
        <v>3064422.5190087771</v>
      </c>
      <c r="G34" s="1043">
        <f t="shared" ref="G34:I34" si="4">G32+G10+F101+F114</f>
        <v>0</v>
      </c>
      <c r="H34" s="1043">
        <f t="shared" si="4"/>
        <v>0</v>
      </c>
      <c r="I34" s="1043">
        <f t="shared" si="4"/>
        <v>3064422.5190087771</v>
      </c>
    </row>
    <row r="35" spans="2:11" ht="43.5">
      <c r="B35" s="1683" t="s">
        <v>3169</v>
      </c>
      <c r="C35" s="7"/>
      <c r="D35" s="1684">
        <f>D34+D36+B64+C69+C81</f>
        <v>-15307136.890533336</v>
      </c>
      <c r="F35" s="1727">
        <f>F34+F36+F64+F69+F81</f>
        <v>-11431744.577183409</v>
      </c>
      <c r="G35" s="1727">
        <f t="shared" ref="G35:I35" si="5">G34+G36+G64+G69+G81</f>
        <v>0</v>
      </c>
      <c r="H35" s="1727">
        <f t="shared" si="5"/>
        <v>0</v>
      </c>
      <c r="I35" s="1727">
        <f t="shared" si="5"/>
        <v>-11431744.577183409</v>
      </c>
    </row>
    <row r="36" spans="2:11" ht="29">
      <c r="B36" s="1685" t="s">
        <v>2698</v>
      </c>
      <c r="C36" s="1686">
        <v>0.1</v>
      </c>
      <c r="D36" s="1687">
        <f>($D$32*C36)+'Estimate Details'!AD1667+'Estimate Details'!AD1669+'Estimate Details'!AD1671+'Estimate Details'!AD1673+'Estimate Details'!AD1675</f>
        <v>-15112238.483533334</v>
      </c>
      <c r="E36" s="1121" t="s">
        <v>3170</v>
      </c>
      <c r="F36" s="203">
        <f>+F14</f>
        <v>-15112000</v>
      </c>
      <c r="G36" s="203">
        <f t="shared" ref="G36:I36" si="6">+G14</f>
        <v>0</v>
      </c>
      <c r="H36" s="203">
        <f t="shared" si="6"/>
        <v>0</v>
      </c>
      <c r="I36" s="203">
        <f t="shared" si="6"/>
        <v>-15112000</v>
      </c>
      <c r="J36" s="1121"/>
      <c r="K36" s="1043"/>
    </row>
    <row r="37" spans="2:11">
      <c r="B37" s="1688" t="s">
        <v>3172</v>
      </c>
      <c r="C37" s="1689">
        <v>3.9E-2</v>
      </c>
      <c r="D37" s="1690">
        <f>$D$32*C37</f>
        <v>-6680.685778</v>
      </c>
      <c r="E37" s="1121" t="s">
        <v>2677</v>
      </c>
      <c r="F37" s="203">
        <f>+F20</f>
        <v>120000</v>
      </c>
      <c r="G37" s="203">
        <f t="shared" ref="G37:I38" si="7">+G20</f>
        <v>0</v>
      </c>
      <c r="H37" s="203">
        <f t="shared" si="7"/>
        <v>0</v>
      </c>
      <c r="I37" s="203">
        <f t="shared" si="7"/>
        <v>120000</v>
      </c>
      <c r="J37" s="1121"/>
      <c r="K37" s="1043"/>
    </row>
    <row r="38" spans="2:11" ht="29">
      <c r="B38" s="1688" t="s">
        <v>3173</v>
      </c>
      <c r="C38" s="1689">
        <v>9.4E-2</v>
      </c>
      <c r="D38" s="1691">
        <f>$D$34*C38</f>
        <v>-16102.165721333335</v>
      </c>
      <c r="E38" s="1062" t="s">
        <v>3218</v>
      </c>
      <c r="F38" s="203">
        <f>+F21</f>
        <v>288000</v>
      </c>
      <c r="G38" s="203">
        <f t="shared" si="7"/>
        <v>0</v>
      </c>
      <c r="H38" s="203">
        <f t="shared" si="7"/>
        <v>0</v>
      </c>
      <c r="I38" s="203">
        <f t="shared" si="7"/>
        <v>288000</v>
      </c>
      <c r="J38" s="1121"/>
      <c r="K38" s="1043"/>
    </row>
    <row r="39" spans="2:11">
      <c r="B39" s="1688"/>
      <c r="C39" s="1686"/>
      <c r="D39" s="1692"/>
      <c r="E39" s="1121"/>
      <c r="G39" s="1121"/>
      <c r="H39" s="1121"/>
      <c r="I39" s="1121"/>
      <c r="J39" s="1121"/>
      <c r="K39" s="1043"/>
    </row>
    <row r="40" spans="2:11" ht="15.75" customHeight="1" thickBot="1">
      <c r="B40" s="1693" t="s">
        <v>2747</v>
      </c>
      <c r="C40" s="1694">
        <v>0.125</v>
      </c>
      <c r="D40" s="1695">
        <f>$D$35*C40</f>
        <v>-1913392.1113166669</v>
      </c>
      <c r="E40" s="1062" t="s">
        <v>3219</v>
      </c>
      <c r="F40" s="1119">
        <f>F35*$C$40</f>
        <v>-1428968.0721479261</v>
      </c>
      <c r="G40" s="1119">
        <f t="shared" ref="G40:I40" si="8">G35*$C$40</f>
        <v>0</v>
      </c>
      <c r="H40" s="1119">
        <f t="shared" si="8"/>
        <v>0</v>
      </c>
      <c r="I40" s="1119">
        <f t="shared" si="8"/>
        <v>-1428968.0721479261</v>
      </c>
      <c r="J40" s="1062"/>
      <c r="K40" s="1043"/>
    </row>
    <row r="41" spans="2:11" ht="15" thickBot="1">
      <c r="F41" s="390" t="s">
        <v>3145</v>
      </c>
      <c r="G41" s="390" t="s">
        <v>3146</v>
      </c>
      <c r="H41" s="390" t="s">
        <v>3147</v>
      </c>
      <c r="I41" s="390" t="s">
        <v>3148</v>
      </c>
    </row>
    <row r="42" spans="2:11">
      <c r="B42" s="1696" t="s">
        <v>3174</v>
      </c>
      <c r="C42" s="1707"/>
      <c r="D42" s="1312"/>
      <c r="E42" s="1312"/>
      <c r="F42" s="1706"/>
      <c r="G42" s="1312"/>
      <c r="H42" s="1312"/>
      <c r="I42" s="1314"/>
    </row>
    <row r="43" spans="2:11">
      <c r="B43" s="413" t="s">
        <v>3175</v>
      </c>
      <c r="C43" s="1697">
        <v>0</v>
      </c>
      <c r="D43" t="s">
        <v>3442</v>
      </c>
      <c r="F43" s="1719">
        <v>0</v>
      </c>
      <c r="G43" s="1697">
        <v>0</v>
      </c>
      <c r="H43" s="1697">
        <v>0</v>
      </c>
      <c r="I43" s="1697">
        <v>0</v>
      </c>
    </row>
    <row r="44" spans="2:11">
      <c r="B44" s="413" t="s">
        <v>3176</v>
      </c>
      <c r="C44" s="1677">
        <v>0.1</v>
      </c>
      <c r="F44" s="1720">
        <v>0.1</v>
      </c>
      <c r="G44" s="1677">
        <v>0.1</v>
      </c>
      <c r="H44" s="1677">
        <v>0.1</v>
      </c>
      <c r="I44" s="1677">
        <v>0.1</v>
      </c>
    </row>
    <row r="45" spans="2:11">
      <c r="B45" s="413"/>
      <c r="C45" s="1708"/>
      <c r="F45" s="413"/>
      <c r="I45" s="29"/>
    </row>
    <row r="46" spans="2:11">
      <c r="B46" s="413" t="s">
        <v>3229</v>
      </c>
      <c r="C46" s="1737">
        <f>ROUND((SUMIF('Estimate Details'!AQ9:AQ1622,"2018-MAY",'Estimate Details'!AA9:AA1622)),-3)</f>
        <v>-9000</v>
      </c>
      <c r="E46" s="1718"/>
      <c r="F46" s="1739">
        <f>ROUND(SUMIFS('Estimate Details'!AA9:AA1622,'Estimate Details'!AQ9:AQ1622,"2018-C1",'Estimate Details'!AG9:AG1622,"=1")+SUMIFS('Estimate Details'!AA9:AA1622,'Estimate Details'!AQ9:AQ1622,"2018-R",'Estimate Details'!AG9:AG1622,"=1"),-3)</f>
        <v>199000</v>
      </c>
      <c r="G46" s="1740">
        <f>ROUND(SUMIFS('Estimate Details'!AA9:AA1622,'Estimate Details'!AQ9:AQ1622,"2018-C1",'Estimate Details'!AG9:AG1622,"=0")+SUMIFS('Estimate Details'!AA9:AA1622,'Estimate Details'!AQ9:AQ1622,"2018-R",'Estimate Details'!AG9:AG1622,"=0"),-3)</f>
        <v>0</v>
      </c>
      <c r="H46" s="1740">
        <f>ROUND(SUMIFS('Estimate Details'!AA9:AA1622,'Estimate Details'!AQ9:AQ1622,"2018-C1",'Estimate Details'!AI9:AI1622,"=1")+SUMIFS('Estimate Details'!AA9:AA1622,'Estimate Details'!AQ9:AQ1622,"2018-R",'Estimate Details'!AI9:AI1622,"=1"),-3)</f>
        <v>0</v>
      </c>
      <c r="I46" s="1741">
        <f>ROUND(SUMIFS('Estimate Details'!AA9:AA1622,'Estimate Details'!AQ9:AQ1622,"2018-C1",'Estimate Details'!AI9:AI1622,"=0")+SUMIFS('Estimate Details'!AA9:AA1622,'Estimate Details'!AQ9:AQ1622,"2018-R",'Estimate Details'!AI9:AI1622,"=0"),-3)</f>
        <v>199000</v>
      </c>
    </row>
    <row r="47" spans="2:11">
      <c r="B47" s="413" t="s">
        <v>3178</v>
      </c>
      <c r="C47" s="1697">
        <f>ROUND(B62*C5,-3)</f>
        <v>-9000</v>
      </c>
      <c r="F47" s="1719">
        <f>ROUND($B$62*F5,-3)</f>
        <v>231000</v>
      </c>
      <c r="G47" s="1697">
        <f t="shared" ref="G47:I47" si="9">ROUND($B$62*G5,-3)</f>
        <v>0</v>
      </c>
      <c r="H47" s="1697">
        <f t="shared" si="9"/>
        <v>0</v>
      </c>
      <c r="I47" s="1697">
        <f t="shared" si="9"/>
        <v>231000</v>
      </c>
    </row>
    <row r="48" spans="2:11">
      <c r="B48" s="413" t="s">
        <v>3249</v>
      </c>
      <c r="C48" s="1709">
        <f>ROUND(C46+C47,-3)</f>
        <v>-18000</v>
      </c>
      <c r="F48" s="1721">
        <f>ROUND(F46+F47,-3)</f>
        <v>430000</v>
      </c>
      <c r="G48" s="1709">
        <f>ROUND(G46+G47,-3)</f>
        <v>0</v>
      </c>
      <c r="H48" s="1709">
        <f>ROUND(H46+H47,-3)</f>
        <v>0</v>
      </c>
      <c r="I48" s="1709">
        <f>ROUND(I46+I47,-3)</f>
        <v>430000</v>
      </c>
    </row>
    <row r="49" spans="2:9">
      <c r="B49" s="413"/>
      <c r="C49" s="1677"/>
      <c r="F49" s="413"/>
      <c r="I49" s="29"/>
    </row>
    <row r="50" spans="2:9">
      <c r="B50" s="413" t="s">
        <v>3180</v>
      </c>
      <c r="C50" s="1677">
        <v>0.4</v>
      </c>
      <c r="F50" s="1720">
        <v>0.4</v>
      </c>
      <c r="G50" s="1677">
        <v>0.4</v>
      </c>
      <c r="H50" s="1677">
        <v>0.4</v>
      </c>
      <c r="I50" s="1677">
        <v>0.4</v>
      </c>
    </row>
    <row r="51" spans="2:9">
      <c r="B51" s="413"/>
      <c r="C51" s="29"/>
      <c r="F51" s="414"/>
      <c r="G51" s="29"/>
      <c r="H51" s="29"/>
      <c r="I51" s="29"/>
    </row>
    <row r="52" spans="2:9">
      <c r="B52" s="413" t="s">
        <v>3181</v>
      </c>
      <c r="C52" s="1662">
        <f>0.5*C43*C44</f>
        <v>0</v>
      </c>
      <c r="E52" s="210"/>
      <c r="F52" s="1722">
        <f>0.5*F43*F44</f>
        <v>0</v>
      </c>
      <c r="G52" s="1662">
        <f>0.5*G43*G44</f>
        <v>0</v>
      </c>
      <c r="H52" s="1662">
        <f>0.5*H43*H44</f>
        <v>0</v>
      </c>
      <c r="I52" s="1662">
        <f>0.5*I43*I44</f>
        <v>0</v>
      </c>
    </row>
    <row r="53" spans="2:9">
      <c r="B53" s="413"/>
      <c r="C53" s="29"/>
      <c r="E53" s="210"/>
      <c r="F53" s="414"/>
      <c r="G53" s="29"/>
      <c r="H53" s="29"/>
      <c r="I53" s="29"/>
    </row>
    <row r="54" spans="2:9">
      <c r="B54" s="413" t="s">
        <v>3250</v>
      </c>
      <c r="C54" s="1662">
        <f>ROUND(0.5*C48*C50,-3)</f>
        <v>-4000</v>
      </c>
      <c r="E54" s="210"/>
      <c r="F54" s="1722">
        <f>ROUND(0.5*F48*F50,-3)</f>
        <v>86000</v>
      </c>
      <c r="G54" s="1662">
        <f>ROUND(0.5*G48*G50,-3)</f>
        <v>0</v>
      </c>
      <c r="H54" s="1662">
        <f>ROUND(0.5*H48*H50,-3)</f>
        <v>0</v>
      </c>
      <c r="I54" s="1662">
        <f>ROUND(0.5*I48*I50,-3)</f>
        <v>86000</v>
      </c>
    </row>
    <row r="55" spans="2:9">
      <c r="B55" s="413"/>
      <c r="C55" s="29"/>
      <c r="E55" s="210"/>
      <c r="F55" s="414"/>
      <c r="G55" s="29"/>
      <c r="H55" s="29"/>
      <c r="I55" s="29"/>
    </row>
    <row r="56" spans="2:9" ht="15" thickBot="1">
      <c r="B56" s="407" t="s">
        <v>3183</v>
      </c>
      <c r="C56" s="1710">
        <f>ROUND(C54+C52,-3)</f>
        <v>-4000</v>
      </c>
      <c r="D56" s="406"/>
      <c r="E56" s="406"/>
      <c r="F56" s="1723">
        <f>ROUND(F54+F52,-3)</f>
        <v>86000</v>
      </c>
      <c r="G56" s="1710">
        <f>ROUND(G54+G52,-3)</f>
        <v>0</v>
      </c>
      <c r="H56" s="1710">
        <f>ROUND(H54+H52,-3)</f>
        <v>0</v>
      </c>
      <c r="I56" s="1710">
        <f>ROUND(I54+I52,-3)</f>
        <v>86000</v>
      </c>
    </row>
    <row r="57" spans="2:9">
      <c r="B57" s="1717" t="s">
        <v>3184</v>
      </c>
      <c r="C57" s="29"/>
    </row>
    <row r="58" spans="2:9">
      <c r="B58" s="1699">
        <v>1732500</v>
      </c>
      <c r="C58" s="29" t="s">
        <v>3185</v>
      </c>
      <c r="F58" s="1699">
        <v>1732500</v>
      </c>
      <c r="G58" s="1699">
        <v>1732500</v>
      </c>
      <c r="H58" s="1699">
        <v>1732500</v>
      </c>
      <c r="I58" s="1699">
        <v>1732500</v>
      </c>
    </row>
    <row r="59" spans="2:9">
      <c r="B59" s="413">
        <v>30</v>
      </c>
      <c r="C59" s="29" t="s">
        <v>3186</v>
      </c>
      <c r="F59" s="413">
        <v>30</v>
      </c>
      <c r="G59" s="413">
        <v>30</v>
      </c>
      <c r="H59" s="413">
        <v>30</v>
      </c>
      <c r="I59" s="413">
        <v>30</v>
      </c>
    </row>
    <row r="60" spans="2:9">
      <c r="B60" s="413">
        <v>500</v>
      </c>
      <c r="C60" s="29" t="s">
        <v>3230</v>
      </c>
      <c r="F60" s="413">
        <v>500</v>
      </c>
      <c r="G60" s="413">
        <v>500</v>
      </c>
      <c r="H60" s="413">
        <v>500</v>
      </c>
      <c r="I60" s="413">
        <v>500</v>
      </c>
    </row>
    <row r="61" spans="2:9">
      <c r="B61" s="413"/>
      <c r="C61" s="29"/>
      <c r="F61" s="413"/>
      <c r="G61" s="413"/>
      <c r="H61" s="413"/>
      <c r="I61" s="413"/>
    </row>
    <row r="62" spans="2:9">
      <c r="B62" s="1700">
        <f>B58/(B59*B60)</f>
        <v>115.5</v>
      </c>
      <c r="C62" s="29" t="s">
        <v>3188</v>
      </c>
      <c r="F62" s="1700">
        <f>F58/(F59*F60)</f>
        <v>115.5</v>
      </c>
      <c r="G62" s="1700">
        <f>G58/(G59*G60)</f>
        <v>115.5</v>
      </c>
      <c r="H62" s="1700">
        <f>H58/(H59*H60)</f>
        <v>115.5</v>
      </c>
      <c r="I62" s="1700">
        <f>I58/(I59*I60)</f>
        <v>115.5</v>
      </c>
    </row>
    <row r="63" spans="2:9">
      <c r="B63" s="413"/>
      <c r="C63" s="29"/>
      <c r="F63" s="413"/>
      <c r="G63" s="413"/>
      <c r="H63" s="413"/>
      <c r="I63" s="413"/>
    </row>
    <row r="64" spans="2:9" ht="15" thickBot="1">
      <c r="B64" s="1701">
        <f>C5*B62</f>
        <v>-9014.0049999999992</v>
      </c>
      <c r="C64" s="1702" t="s">
        <v>3037</v>
      </c>
      <c r="F64" s="1701">
        <f>F5*F62</f>
        <v>230914.41414546513</v>
      </c>
      <c r="G64" s="1701">
        <f t="shared" ref="G64:I64" si="10">G5*G62</f>
        <v>0</v>
      </c>
      <c r="H64" s="1701">
        <f t="shared" si="10"/>
        <v>0</v>
      </c>
      <c r="I64" s="1701">
        <f t="shared" si="10"/>
        <v>230914.41414546513</v>
      </c>
    </row>
    <row r="65" spans="2:9">
      <c r="B65" s="1703" t="s">
        <v>3190</v>
      </c>
      <c r="C65" s="1314"/>
    </row>
    <row r="66" spans="2:9">
      <c r="B66" s="413" t="s">
        <v>3231</v>
      </c>
      <c r="C66" s="29">
        <v>110</v>
      </c>
      <c r="F66" s="29">
        <v>110</v>
      </c>
      <c r="G66" s="29">
        <v>110</v>
      </c>
      <c r="H66" s="29">
        <v>110</v>
      </c>
      <c r="I66" s="29">
        <v>110</v>
      </c>
    </row>
    <row r="67" spans="2:9">
      <c r="B67" s="413" t="s">
        <v>3232</v>
      </c>
      <c r="C67" s="1711">
        <f>B62</f>
        <v>115.5</v>
      </c>
      <c r="F67" s="1711">
        <f>F62</f>
        <v>115.5</v>
      </c>
      <c r="G67" s="1711">
        <f t="shared" ref="G67:I67" si="11">G62</f>
        <v>115.5</v>
      </c>
      <c r="H67" s="1711">
        <f t="shared" si="11"/>
        <v>115.5</v>
      </c>
      <c r="I67" s="1711">
        <f t="shared" si="11"/>
        <v>115.5</v>
      </c>
    </row>
    <row r="68" spans="2:9">
      <c r="B68" s="413"/>
      <c r="C68" s="29"/>
      <c r="F68" s="29"/>
      <c r="G68" s="29"/>
      <c r="H68" s="29"/>
      <c r="I68" s="29"/>
    </row>
    <row r="69" spans="2:9">
      <c r="B69" s="413" t="s">
        <v>3193</v>
      </c>
      <c r="C69" s="1712">
        <f>C66*C5</f>
        <v>-8584.7666666666646</v>
      </c>
      <c r="E69" s="203"/>
      <c r="F69" s="1712">
        <f>F66*F5</f>
        <v>219918.48966234774</v>
      </c>
      <c r="G69" s="1712">
        <f>G66*G5</f>
        <v>0</v>
      </c>
      <c r="H69" s="1712">
        <f>H66*H5</f>
        <v>0</v>
      </c>
      <c r="I69" s="1712">
        <f>I66*I5</f>
        <v>219918.48966234774</v>
      </c>
    </row>
    <row r="70" spans="2:9">
      <c r="B70" s="413" t="s">
        <v>3233</v>
      </c>
      <c r="C70" s="1677">
        <f>C67*C5</f>
        <v>-9014.0049999999992</v>
      </c>
      <c r="E70" s="203"/>
      <c r="F70" s="1677">
        <f>F67*F5</f>
        <v>230914.41414546513</v>
      </c>
      <c r="G70" s="1677">
        <f>G67*G5</f>
        <v>0</v>
      </c>
      <c r="H70" s="1677">
        <f>H67*H5</f>
        <v>0</v>
      </c>
      <c r="I70" s="1677">
        <f>I67*I5</f>
        <v>230914.41414546513</v>
      </c>
    </row>
    <row r="71" spans="2:9">
      <c r="B71" s="413"/>
      <c r="C71" s="29"/>
      <c r="F71" s="29"/>
      <c r="G71" s="29"/>
      <c r="H71" s="29"/>
      <c r="I71" s="29"/>
    </row>
    <row r="72" spans="2:9" ht="15" thickBot="1">
      <c r="B72" s="407" t="s">
        <v>3162</v>
      </c>
      <c r="C72" s="1713">
        <f>ROUND((SUM(C69:C70)),-3)</f>
        <v>-18000</v>
      </c>
      <c r="E72" s="203"/>
      <c r="F72" s="1713">
        <f>ROUND((SUM(F69:F70)),-3)</f>
        <v>451000</v>
      </c>
      <c r="G72" s="1713">
        <f>ROUND((SUM(G69:G70)),-3)</f>
        <v>0</v>
      </c>
      <c r="H72" s="1713">
        <f>ROUND((SUM(H69:H70)),-3)</f>
        <v>0</v>
      </c>
      <c r="I72" s="1713">
        <f>ROUND((SUM(I69:I70)),-3)</f>
        <v>451000</v>
      </c>
    </row>
    <row r="73" spans="2:9">
      <c r="B73" s="1704" t="s">
        <v>3220</v>
      </c>
      <c r="C73" s="1314"/>
    </row>
    <row r="74" spans="2:9">
      <c r="B74" s="1688" t="s">
        <v>3195</v>
      </c>
      <c r="C74" s="1714">
        <f>C5</f>
        <v>-78.043333333333322</v>
      </c>
      <c r="F74" s="1714">
        <f>F5</f>
        <v>1999.258996930434</v>
      </c>
      <c r="G74" s="1714">
        <f>G5</f>
        <v>0</v>
      </c>
      <c r="H74" s="1714">
        <f>H5</f>
        <v>0</v>
      </c>
      <c r="I74" s="1714">
        <f>I5</f>
        <v>1999.258996930434</v>
      </c>
    </row>
    <row r="75" spans="2:9">
      <c r="B75" s="1688" t="s">
        <v>3196</v>
      </c>
      <c r="C75" s="1692">
        <f>(ROUNDUP(C74*0.7,0))</f>
        <v>-55</v>
      </c>
      <c r="F75" s="1692">
        <f>(ROUNDUP(F74*0.7,0))</f>
        <v>1400</v>
      </c>
      <c r="G75" s="1692">
        <f>(ROUNDUP(G74*0.7,0))</f>
        <v>0</v>
      </c>
      <c r="H75" s="1692">
        <f>(ROUNDUP(H74*0.7,0))</f>
        <v>0</v>
      </c>
      <c r="I75" s="1692">
        <f>(ROUNDUP(I74*0.7,0))</f>
        <v>1400</v>
      </c>
    </row>
    <row r="76" spans="2:9">
      <c r="B76" s="1688" t="s">
        <v>3197</v>
      </c>
      <c r="C76" s="1692">
        <f>(ROUNDUP(C74*0.3,0))</f>
        <v>-24</v>
      </c>
      <c r="F76" s="1692">
        <f>(ROUNDUP(F74*0.3,0))</f>
        <v>600</v>
      </c>
      <c r="G76" s="1692">
        <f>(ROUNDUP(G74*0.3,0))</f>
        <v>0</v>
      </c>
      <c r="H76" s="1692">
        <f>(ROUNDUP(H74*0.3,0))</f>
        <v>0</v>
      </c>
      <c r="I76" s="1692">
        <f>(ROUNDUP(I74*0.3,0))</f>
        <v>600</v>
      </c>
    </row>
    <row r="77" spans="2:9">
      <c r="B77" s="1688"/>
      <c r="C77" s="1692"/>
      <c r="F77" s="1692"/>
      <c r="G77" s="1692"/>
      <c r="H77" s="1692"/>
      <c r="I77" s="1692"/>
    </row>
    <row r="78" spans="2:9">
      <c r="B78" s="1688" t="s">
        <v>3198</v>
      </c>
      <c r="C78" s="1697">
        <f>C75*85.45</f>
        <v>-4699.75</v>
      </c>
      <c r="F78" s="1697">
        <f>F75*85.45</f>
        <v>119630</v>
      </c>
      <c r="G78" s="1697">
        <f>G75*85.45</f>
        <v>0</v>
      </c>
      <c r="H78" s="1697">
        <f>H75*85.45</f>
        <v>0</v>
      </c>
      <c r="I78" s="1697">
        <f>I75*85.45</f>
        <v>119630</v>
      </c>
    </row>
    <row r="79" spans="2:9">
      <c r="B79" s="1688" t="s">
        <v>3199</v>
      </c>
      <c r="C79" s="1697">
        <f>C76*75</f>
        <v>-1800</v>
      </c>
      <c r="F79" s="1697">
        <f>F76*75</f>
        <v>45000</v>
      </c>
      <c r="G79" s="1697">
        <f>G76*75</f>
        <v>0</v>
      </c>
      <c r="H79" s="1697">
        <f>H76*75</f>
        <v>0</v>
      </c>
      <c r="I79" s="1697">
        <f>I76*75</f>
        <v>45000</v>
      </c>
    </row>
    <row r="80" spans="2:9">
      <c r="B80" s="413"/>
      <c r="C80" s="29"/>
      <c r="F80" s="29"/>
      <c r="G80" s="29"/>
      <c r="H80" s="29"/>
      <c r="I80" s="29"/>
    </row>
    <row r="81" spans="2:9" ht="15" thickBot="1">
      <c r="B81" s="1705" t="s">
        <v>3200</v>
      </c>
      <c r="C81" s="1698">
        <f>ROUND(SUM(C78:C79),-3)</f>
        <v>-6000</v>
      </c>
      <c r="F81" s="1698">
        <f>ROUND(SUM(F78:F79),-3)</f>
        <v>165000</v>
      </c>
      <c r="G81" s="1698">
        <f>ROUND(SUM(G78:G79),-3)</f>
        <v>0</v>
      </c>
      <c r="H81" s="1698">
        <f>ROUND(SUM(H78:H79),-3)</f>
        <v>0</v>
      </c>
      <c r="I81" s="1698">
        <f>ROUND(SUM(I78:I79),-3)</f>
        <v>165000</v>
      </c>
    </row>
    <row r="82" spans="2:9">
      <c r="B82" s="1680" t="s">
        <v>3234</v>
      </c>
      <c r="C82" s="1314"/>
    </row>
    <row r="83" spans="2:9">
      <c r="B83" s="413" t="s">
        <v>3235</v>
      </c>
      <c r="C83" s="29">
        <v>200</v>
      </c>
    </row>
    <row r="84" spans="2:9">
      <c r="B84" s="413" t="s">
        <v>3236</v>
      </c>
      <c r="C84" s="29">
        <v>46</v>
      </c>
    </row>
    <row r="85" spans="2:9">
      <c r="B85" s="413" t="s">
        <v>3237</v>
      </c>
      <c r="C85" s="29">
        <v>4500</v>
      </c>
    </row>
    <row r="86" spans="2:9">
      <c r="B86" s="413" t="s">
        <v>3238</v>
      </c>
      <c r="C86" s="29">
        <v>5000</v>
      </c>
    </row>
    <row r="87" spans="2:9">
      <c r="B87" s="413"/>
      <c r="C87" s="29"/>
    </row>
    <row r="88" spans="2:9">
      <c r="B88" s="413" t="s">
        <v>3239</v>
      </c>
      <c r="C88" s="1677">
        <f>(C83*C84)+C85+C86</f>
        <v>18700</v>
      </c>
    </row>
    <row r="89" spans="2:9">
      <c r="B89" s="413"/>
      <c r="C89" s="29"/>
    </row>
    <row r="90" spans="2:9">
      <c r="B90" s="413" t="s">
        <v>3240</v>
      </c>
      <c r="C90" s="29">
        <v>0</v>
      </c>
    </row>
    <row r="91" spans="2:9">
      <c r="B91" s="413"/>
      <c r="C91" s="29"/>
    </row>
    <row r="92" spans="2:9" ht="15" thickBot="1">
      <c r="B92" s="407" t="s">
        <v>3162</v>
      </c>
      <c r="C92" s="1678">
        <f>C88*C90</f>
        <v>0</v>
      </c>
    </row>
    <row r="93" spans="2:9">
      <c r="B93" s="1679" t="s">
        <v>3241</v>
      </c>
      <c r="C93" s="1314"/>
    </row>
    <row r="94" spans="2:9">
      <c r="B94" s="413" t="s">
        <v>3235</v>
      </c>
      <c r="C94" s="29">
        <v>200</v>
      </c>
    </row>
    <row r="95" spans="2:9">
      <c r="B95" s="413" t="s">
        <v>3242</v>
      </c>
      <c r="C95" s="29">
        <v>300</v>
      </c>
    </row>
    <row r="96" spans="2:9">
      <c r="B96" s="413"/>
      <c r="C96" s="29"/>
    </row>
    <row r="97" spans="1:3">
      <c r="B97" s="413" t="s">
        <v>3243</v>
      </c>
      <c r="C97" s="1677">
        <f>C94*C95</f>
        <v>60000</v>
      </c>
    </row>
    <row r="98" spans="1:3">
      <c r="B98" s="413"/>
      <c r="C98" s="29"/>
    </row>
    <row r="99" spans="1:3">
      <c r="B99" s="413" t="s">
        <v>3244</v>
      </c>
      <c r="C99" s="29">
        <v>0</v>
      </c>
    </row>
    <row r="100" spans="1:3">
      <c r="B100" s="413"/>
      <c r="C100" s="29"/>
    </row>
    <row r="101" spans="1:3" ht="15" thickBot="1">
      <c r="B101" s="407" t="s">
        <v>3162</v>
      </c>
      <c r="C101" s="1678">
        <f>C97*C99</f>
        <v>0</v>
      </c>
    </row>
    <row r="102" spans="1:3">
      <c r="B102" s="1676" t="s">
        <v>3245</v>
      </c>
      <c r="C102" s="1314"/>
    </row>
    <row r="103" spans="1:3">
      <c r="A103" s="1674"/>
      <c r="B103" s="413" t="s">
        <v>3235</v>
      </c>
      <c r="C103" s="29">
        <v>200</v>
      </c>
    </row>
    <row r="104" spans="1:3">
      <c r="A104" s="1674"/>
      <c r="B104" s="413" t="s">
        <v>3236</v>
      </c>
      <c r="C104" s="29">
        <v>72</v>
      </c>
    </row>
    <row r="105" spans="1:3">
      <c r="A105" s="1674"/>
      <c r="B105" s="413" t="s">
        <v>3237</v>
      </c>
      <c r="C105" s="29">
        <v>4500</v>
      </c>
    </row>
    <row r="106" spans="1:3">
      <c r="A106" s="1674"/>
      <c r="B106" s="413"/>
      <c r="C106" s="29"/>
    </row>
    <row r="107" spans="1:3">
      <c r="A107" s="1674"/>
      <c r="B107" s="413" t="s">
        <v>3246</v>
      </c>
      <c r="C107" s="29">
        <v>43</v>
      </c>
    </row>
    <row r="108" spans="1:3">
      <c r="A108" s="1674"/>
      <c r="B108" s="413" t="s">
        <v>3247</v>
      </c>
      <c r="C108" s="29">
        <v>100</v>
      </c>
    </row>
    <row r="109" spans="1:3">
      <c r="A109" s="1674"/>
      <c r="B109" s="413"/>
      <c r="C109" s="29"/>
    </row>
    <row r="110" spans="1:3">
      <c r="A110" s="1674"/>
      <c r="B110" s="413" t="s">
        <v>3239</v>
      </c>
      <c r="C110" s="1677">
        <f>(C103*C104)+4500+(C107*C108)</f>
        <v>23200</v>
      </c>
    </row>
    <row r="111" spans="1:3">
      <c r="A111" s="1674"/>
      <c r="B111" s="413"/>
      <c r="C111" s="29"/>
    </row>
    <row r="112" spans="1:3">
      <c r="A112" s="1674"/>
      <c r="B112" s="413" t="s">
        <v>3248</v>
      </c>
      <c r="C112" s="29">
        <v>0</v>
      </c>
    </row>
    <row r="113" spans="1:3">
      <c r="A113" s="1674"/>
      <c r="B113" s="413"/>
      <c r="C113" s="29"/>
    </row>
    <row r="114" spans="1:3" ht="15" thickBot="1">
      <c r="B114" s="407" t="s">
        <v>3162</v>
      </c>
      <c r="C114" s="1678">
        <f>C110*C112</f>
        <v>0</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14"/>
  <sheetViews>
    <sheetView zoomScale="70" zoomScaleNormal="70" workbookViewId="0">
      <selection activeCell="S6" sqref="S6"/>
    </sheetView>
  </sheetViews>
  <sheetFormatPr defaultColWidth="9.1796875" defaultRowHeight="14.5"/>
  <cols>
    <col min="1" max="1" width="9.1796875" style="1672"/>
    <col min="2" max="2" width="57.81640625" bestFit="1" customWidth="1"/>
    <col min="3" max="3" width="29" customWidth="1"/>
    <col min="4" max="4" width="25.453125" customWidth="1"/>
    <col min="5" max="5" width="42.453125" customWidth="1"/>
    <col min="6" max="9" width="23.7265625" customWidth="1"/>
    <col min="10" max="10" width="13.81640625" bestFit="1" customWidth="1"/>
    <col min="11" max="11" width="21.7265625" customWidth="1"/>
    <col min="13" max="13" width="59.1796875" customWidth="1"/>
    <col min="14" max="14" width="20.54296875" customWidth="1"/>
    <col min="15" max="15" width="26" bestFit="1" customWidth="1"/>
    <col min="16" max="16" width="15.1796875" bestFit="1" customWidth="1"/>
    <col min="17" max="17" width="11.453125" customWidth="1"/>
    <col min="18" max="18" width="12.7265625" customWidth="1"/>
  </cols>
  <sheetData>
    <row r="1" spans="1:16">
      <c r="B1" t="s">
        <v>3437</v>
      </c>
      <c r="F1" s="390" t="s">
        <v>3145</v>
      </c>
      <c r="G1" s="390" t="s">
        <v>3146</v>
      </c>
      <c r="H1" s="390" t="s">
        <v>3147</v>
      </c>
      <c r="I1" s="390" t="s">
        <v>3148</v>
      </c>
    </row>
    <row r="2" spans="1:16" ht="15" thickBot="1">
      <c r="D2" s="192"/>
      <c r="E2" s="192"/>
      <c r="F2" s="1725">
        <f>F3/C3</f>
        <v>1</v>
      </c>
      <c r="G2" s="1725">
        <f>G3/C3</f>
        <v>0</v>
      </c>
      <c r="H2" s="1725">
        <f>H3/C3</f>
        <v>0</v>
      </c>
      <c r="I2" s="1725">
        <f>I3/C3</f>
        <v>1</v>
      </c>
    </row>
    <row r="3" spans="1:16" s="1656" customFormat="1" ht="15.5">
      <c r="A3" s="1673"/>
      <c r="B3" s="1664" t="s">
        <v>3149</v>
      </c>
      <c r="C3" s="1659">
        <f>(SUMIF('Estimate Details'!AQ9:AQ1622,"2018-C1",'Estimate Details'!AD9:AD1622))+(SUMIF('Estimate Details'!AQ9:AQ1622,"2018-R",'Estimate Details'!AD9:AD1622))</f>
        <v>3064422.5190087771</v>
      </c>
      <c r="D3" s="1671"/>
      <c r="E3" s="1715"/>
      <c r="F3" s="1728">
        <f>(SUMIF('Estimate Details'!AQ9:AQ1622,"2018-C1",'Estimate Details'!AK9:AK1622))+(SUMIF('Estimate Details'!AQ9:AQ1622,"2018-R",'Estimate Details'!AK9:AK1622))</f>
        <v>3064422.5190087771</v>
      </c>
      <c r="G3" s="1659">
        <f>(SUMIF('Estimate Details'!AQ9:AQ1622,"2018-C1",'Estimate Details'!AL9:AL1622))+(SUMIF('Estimate Details'!AQ9:AQ1622,"2018-R",'Estimate Details'!AL9:AL1622))</f>
        <v>0</v>
      </c>
      <c r="H3" s="1659">
        <f>(SUMIF('Estimate Details'!AQ9:AQ1622,"2018-C1",'Estimate Details'!AM9:AM1622))+(SUMIF('Estimate Details'!AQ9:AQ1622,"2018-R",'Estimate Details'!AM9:AM1622))</f>
        <v>0</v>
      </c>
      <c r="I3" s="1659">
        <f>(SUMIF('Estimate Details'!AQ9:AQ1622,"2018-C1",'Estimate Details'!AN9:AN1622))+(SUMIF('Estimate Details'!AQ9:AQ1622,"2018-R",'Estimate Details'!AN9:AN1622))</f>
        <v>3064422.5190087771</v>
      </c>
      <c r="M3" s="1658" t="s">
        <v>3204</v>
      </c>
    </row>
    <row r="4" spans="1:16">
      <c r="A4" s="1674"/>
      <c r="B4" s="414" t="s">
        <v>3223</v>
      </c>
      <c r="C4" s="1735">
        <f>(SUMIF('Estimate Details'!AQ9:AQ1710,"2018-C1",'Estimate Details'!Z9:Z1710))+(SUMIF('Estimate Details'!AQ9:AQ1710,"2018-R",'Estimate Details'!Z9:Z1710))</f>
        <v>19992.589969304339</v>
      </c>
      <c r="E4" s="812"/>
      <c r="F4" s="1738">
        <f>SUMIFS('Estimate Details'!Z9:Z1622,'Estimate Details'!AQ9:AQ1622,"2018-C1",'Estimate Details'!AG9:AG1622,"=1")+SUMIFS('Estimate Details'!Z9:Z1622,'Estimate Details'!AQ9:AQ1622,"2018-R",'Estimate Details'!AG9:AG1622,"=1")</f>
        <v>19992.589969304339</v>
      </c>
      <c r="G4" s="1735">
        <f>SUMIFS('Estimate Details'!Z9:Z1622,'Estimate Details'!AQ9:AQ1622,"2018-C1",'Estimate Details'!AG9:AG1622,"=0")+SUMIFS('Estimate Details'!Z9:Z1622,'Estimate Details'!AQ9:AQ1622,"2018-R",'Estimate Details'!AG9:AG1622,"=0")</f>
        <v>0</v>
      </c>
      <c r="H4" s="1735">
        <f>SUMIFS('Estimate Details'!Z9:Z1622,'Estimate Details'!AQ9:AQ1622,"2018-C1",'Estimate Details'!AI9:AI1622,"=1")+SUMIFS('Estimate Details'!Z9:Z1622,'Estimate Details'!AQ9:AQ1622,"2018-R",'Estimate Details'!AI9:AI1622,"=1")</f>
        <v>0</v>
      </c>
      <c r="I4" s="1735">
        <f>SUMIFS('Estimate Details'!Z9:Z1622,'Estimate Details'!AQ9:AQ1622,"2018-C1",'Estimate Details'!AI9:AI1622,"=0")+SUMIFS('Estimate Details'!Z9:Z1622,'Estimate Details'!AQ9:AQ1622,"2018-R",'Estimate Details'!AI9:AI1622,"=0")</f>
        <v>19992.589969304339</v>
      </c>
      <c r="M4" t="s">
        <v>3438</v>
      </c>
    </row>
    <row r="5" spans="1:16">
      <c r="A5" s="1674"/>
      <c r="B5" s="414" t="s">
        <v>3224</v>
      </c>
      <c r="C5" s="1660">
        <f>C4/10</f>
        <v>1999.258996930434</v>
      </c>
      <c r="F5" s="1729">
        <f>F4/10</f>
        <v>1999.258996930434</v>
      </c>
      <c r="G5" s="1660">
        <f>G4/10</f>
        <v>0</v>
      </c>
      <c r="H5" s="1660">
        <f>H4/10</f>
        <v>0</v>
      </c>
      <c r="I5" s="1660">
        <f>I4/10</f>
        <v>1999.258996930434</v>
      </c>
      <c r="M5" t="s">
        <v>3439</v>
      </c>
    </row>
    <row r="6" spans="1:16">
      <c r="A6" s="1674"/>
      <c r="B6" s="414"/>
      <c r="C6" s="1661"/>
      <c r="F6" s="1730"/>
      <c r="G6" s="1661"/>
      <c r="H6" s="1661"/>
      <c r="I6" s="1661"/>
    </row>
    <row r="7" spans="1:16">
      <c r="A7" s="1674"/>
      <c r="B7" s="1863" t="s">
        <v>2742</v>
      </c>
      <c r="C7" s="1865">
        <v>0</v>
      </c>
      <c r="D7" t="s">
        <v>3152</v>
      </c>
      <c r="F7" s="1864">
        <v>0</v>
      </c>
      <c r="G7" s="1865">
        <v>0</v>
      </c>
      <c r="H7" s="1865">
        <v>0</v>
      </c>
      <c r="I7" s="1865">
        <v>0</v>
      </c>
    </row>
    <row r="8" spans="1:16">
      <c r="A8" s="1674"/>
      <c r="B8" s="1667" t="s">
        <v>2692</v>
      </c>
      <c r="C8" s="1668">
        <f>ROUND(C56,-3)</f>
        <v>86000</v>
      </c>
      <c r="D8" t="s">
        <v>3153</v>
      </c>
      <c r="E8" s="1101"/>
      <c r="F8" s="1731">
        <f>ROUND(F56,-3)</f>
        <v>86000</v>
      </c>
      <c r="G8" s="1668">
        <f>ROUND(G56,-3)</f>
        <v>0</v>
      </c>
      <c r="H8" s="1668">
        <f>ROUND(H56,-3)</f>
        <v>0</v>
      </c>
      <c r="I8" s="1668">
        <f>ROUND(I56,-3)</f>
        <v>86000</v>
      </c>
    </row>
    <row r="9" spans="1:16">
      <c r="A9" s="1674"/>
      <c r="B9" s="1670" t="s">
        <v>3154</v>
      </c>
      <c r="C9" s="1669">
        <v>0</v>
      </c>
      <c r="D9" t="s">
        <v>3440</v>
      </c>
      <c r="F9" s="1732">
        <v>0</v>
      </c>
      <c r="G9" s="1669">
        <v>0</v>
      </c>
      <c r="H9" s="1669">
        <v>0</v>
      </c>
      <c r="I9" s="1669">
        <v>0</v>
      </c>
      <c r="M9" s="1081"/>
      <c r="O9" t="s">
        <v>3205</v>
      </c>
    </row>
    <row r="10" spans="1:16">
      <c r="A10" s="1674"/>
      <c r="B10" s="1670" t="s">
        <v>2686</v>
      </c>
      <c r="C10" s="1669">
        <v>0</v>
      </c>
      <c r="D10" t="s">
        <v>3152</v>
      </c>
      <c r="F10" s="1732">
        <v>0</v>
      </c>
      <c r="G10" s="1669">
        <v>0</v>
      </c>
      <c r="H10" s="1669">
        <v>0</v>
      </c>
      <c r="I10" s="1669">
        <v>0</v>
      </c>
      <c r="O10">
        <v>-221574</v>
      </c>
      <c r="P10" t="s">
        <v>3206</v>
      </c>
    </row>
    <row r="11" spans="1:16">
      <c r="A11" s="1674"/>
      <c r="B11" s="1870"/>
      <c r="C11" s="1867"/>
      <c r="F11" s="1866"/>
      <c r="G11" s="1867"/>
      <c r="H11" s="1867"/>
      <c r="I11" s="1867"/>
      <c r="O11">
        <v>1564000</v>
      </c>
      <c r="P11" t="s">
        <v>3207</v>
      </c>
    </row>
    <row r="12" spans="1:16">
      <c r="A12" s="1674"/>
      <c r="B12" s="1896" t="s">
        <v>2696</v>
      </c>
      <c r="C12" s="1871">
        <f>ROUND(C81,-3)</f>
        <v>165000</v>
      </c>
      <c r="D12" t="s">
        <v>3155</v>
      </c>
      <c r="E12" s="1101"/>
      <c r="F12" s="1868">
        <f>ROUND(F81,-3)</f>
        <v>165000</v>
      </c>
      <c r="G12" s="1871">
        <f>ROUND(G81,-3)</f>
        <v>0</v>
      </c>
      <c r="H12" s="1871">
        <f>ROUND(H81,-3)</f>
        <v>0</v>
      </c>
      <c r="I12" s="1871">
        <f>ROUND(I81,-3)</f>
        <v>165000</v>
      </c>
      <c r="L12" s="901"/>
      <c r="O12">
        <v>1071000</v>
      </c>
      <c r="P12" t="s">
        <v>3208</v>
      </c>
    </row>
    <row r="13" spans="1:16">
      <c r="A13" s="1674"/>
      <c r="B13" s="1667" t="s">
        <v>2743</v>
      </c>
      <c r="C13" s="1668">
        <f>ROUND((C69+B64),-3)</f>
        <v>451000</v>
      </c>
      <c r="D13" t="s">
        <v>3155</v>
      </c>
      <c r="E13" s="1101"/>
      <c r="F13" s="1731">
        <f>ROUND((F69+F64),-3)</f>
        <v>451000</v>
      </c>
      <c r="G13" s="1668">
        <f t="shared" ref="G13:I13" si="0">ROUND((G69+G64),-3)</f>
        <v>0</v>
      </c>
      <c r="H13" s="1668">
        <f t="shared" si="0"/>
        <v>0</v>
      </c>
      <c r="I13" s="1668">
        <f t="shared" si="0"/>
        <v>451000</v>
      </c>
      <c r="J13" s="1716"/>
      <c r="M13" s="1044"/>
    </row>
    <row r="14" spans="1:16">
      <c r="A14" s="1674">
        <v>0.1</v>
      </c>
      <c r="B14" s="1667" t="s">
        <v>2698</v>
      </c>
      <c r="C14" s="1668">
        <f>ROUND(D36,-3)</f>
        <v>16965000</v>
      </c>
      <c r="D14" t="s">
        <v>3158</v>
      </c>
      <c r="E14" s="1101"/>
      <c r="F14" s="1731">
        <f>+C14</f>
        <v>16965000</v>
      </c>
      <c r="G14" s="1668">
        <f>(G$3-(7100000*G2))*$A14</f>
        <v>0</v>
      </c>
      <c r="H14" s="1668">
        <f>(H$3-(7100000*H2))*$A14</f>
        <v>0</v>
      </c>
      <c r="I14" s="1731">
        <f>+C14</f>
        <v>16965000</v>
      </c>
      <c r="J14" s="1239"/>
      <c r="K14" s="1716"/>
      <c r="L14" s="997"/>
      <c r="O14" t="s">
        <v>3209</v>
      </c>
    </row>
    <row r="15" spans="1:16">
      <c r="A15" s="1674"/>
      <c r="B15" s="1863"/>
      <c r="C15" s="1865"/>
      <c r="F15" s="1864"/>
      <c r="G15" s="1865"/>
      <c r="H15" s="1865"/>
      <c r="I15" s="1865"/>
      <c r="J15" s="1239"/>
      <c r="K15" s="1716"/>
      <c r="M15" s="1044"/>
      <c r="O15">
        <v>758000</v>
      </c>
      <c r="P15" t="s">
        <v>3210</v>
      </c>
    </row>
    <row r="16" spans="1:16">
      <c r="B16" s="1863" t="s">
        <v>3225</v>
      </c>
      <c r="C16" s="1865">
        <f>C92</f>
        <v>0</v>
      </c>
      <c r="D16" t="s">
        <v>3152</v>
      </c>
      <c r="F16" s="1864">
        <v>0</v>
      </c>
      <c r="G16" s="1865">
        <v>0</v>
      </c>
      <c r="H16" s="1865">
        <v>0</v>
      </c>
      <c r="I16" s="1865">
        <v>0</v>
      </c>
      <c r="J16" s="1239"/>
      <c r="K16" s="1716"/>
      <c r="M16" s="1124"/>
      <c r="O16">
        <v>839000</v>
      </c>
      <c r="P16" t="s">
        <v>3208</v>
      </c>
    </row>
    <row r="17" spans="1:16">
      <c r="B17" s="414" t="s">
        <v>3226</v>
      </c>
      <c r="C17" s="1662">
        <v>0</v>
      </c>
      <c r="D17" t="s">
        <v>3152</v>
      </c>
      <c r="E17" s="997"/>
      <c r="F17" s="1722">
        <v>0</v>
      </c>
      <c r="G17" s="1662">
        <v>0</v>
      </c>
      <c r="H17" s="1662">
        <v>0</v>
      </c>
      <c r="I17" s="1662">
        <v>0</v>
      </c>
      <c r="J17" s="1239"/>
      <c r="M17" s="1124"/>
      <c r="O17">
        <v>3486000</v>
      </c>
      <c r="P17" t="s">
        <v>3227</v>
      </c>
    </row>
    <row r="18" spans="1:16">
      <c r="A18" s="1674"/>
      <c r="B18" s="414" t="s">
        <v>3159</v>
      </c>
      <c r="C18" s="1662">
        <f>ROUND((C101+C114),-3)</f>
        <v>0</v>
      </c>
      <c r="D18" t="s">
        <v>3152</v>
      </c>
      <c r="F18" s="1722">
        <v>0</v>
      </c>
      <c r="G18" s="1662">
        <v>0</v>
      </c>
      <c r="H18" s="1662">
        <v>0</v>
      </c>
      <c r="I18" s="1662">
        <v>0</v>
      </c>
      <c r="J18" s="1239"/>
      <c r="K18" s="1716"/>
      <c r="M18" s="1124"/>
      <c r="O18">
        <v>207000</v>
      </c>
      <c r="P18" t="s">
        <v>3211</v>
      </c>
    </row>
    <row r="19" spans="1:16">
      <c r="A19" s="1674"/>
      <c r="B19" s="1863"/>
      <c r="C19" s="1865"/>
      <c r="F19" s="1864"/>
      <c r="G19" s="1865"/>
      <c r="H19" s="1865"/>
      <c r="I19" s="1865"/>
      <c r="J19" s="1239"/>
      <c r="K19" s="1716"/>
      <c r="M19" s="1124"/>
      <c r="O19">
        <v>136810</v>
      </c>
      <c r="P19" t="s">
        <v>3212</v>
      </c>
    </row>
    <row r="20" spans="1:16">
      <c r="A20" s="1674">
        <v>3.9E-2</v>
      </c>
      <c r="B20" s="1896" t="s">
        <v>2676</v>
      </c>
      <c r="C20" s="1871">
        <f>ROUND(D37,-3)</f>
        <v>120000</v>
      </c>
      <c r="D20" t="s">
        <v>3158</v>
      </c>
      <c r="E20" s="1101"/>
      <c r="F20" s="1868">
        <f>ROUND(F$3*$A20,-3)</f>
        <v>120000</v>
      </c>
      <c r="G20" s="1871">
        <f t="shared" ref="G20:H21" si="1">G$3*$A20</f>
        <v>0</v>
      </c>
      <c r="H20" s="1871">
        <f t="shared" si="1"/>
        <v>0</v>
      </c>
      <c r="I20" s="1868">
        <f>ROUND(I$3*$A20,-3)</f>
        <v>120000</v>
      </c>
      <c r="J20" s="1716"/>
      <c r="M20" s="1123"/>
      <c r="O20">
        <v>202000</v>
      </c>
      <c r="P20" t="s">
        <v>1971</v>
      </c>
    </row>
    <row r="21" spans="1:16">
      <c r="A21" s="1674">
        <v>9.4E-2</v>
      </c>
      <c r="B21" s="1667" t="s">
        <v>2680</v>
      </c>
      <c r="C21" s="1668">
        <f>ROUND(D38,-3)</f>
        <v>288000</v>
      </c>
      <c r="D21" t="s">
        <v>3158</v>
      </c>
      <c r="E21" s="1101"/>
      <c r="F21" s="1731">
        <f>ROUND(F$3*$A21,-3)</f>
        <v>288000</v>
      </c>
      <c r="G21" s="1668">
        <f t="shared" si="1"/>
        <v>0</v>
      </c>
      <c r="H21" s="1668">
        <f t="shared" si="1"/>
        <v>0</v>
      </c>
      <c r="I21" s="1731">
        <f>ROUND(I$3*$A21,-3)</f>
        <v>288000</v>
      </c>
      <c r="J21" s="1716"/>
      <c r="M21" s="1123"/>
      <c r="O21">
        <v>7100000</v>
      </c>
      <c r="P21" t="s">
        <v>3213</v>
      </c>
    </row>
    <row r="22" spans="1:16">
      <c r="A22" s="1674"/>
      <c r="B22" s="1863"/>
      <c r="C22" s="1865"/>
      <c r="F22" s="1864"/>
      <c r="G22" s="1865"/>
      <c r="H22" s="1865"/>
      <c r="I22" s="1865"/>
      <c r="J22" s="1716"/>
      <c r="M22" s="1123"/>
      <c r="O22">
        <v>112000</v>
      </c>
      <c r="P22" t="s">
        <v>3214</v>
      </c>
    </row>
    <row r="23" spans="1:16" ht="29">
      <c r="A23" s="1674">
        <v>0.125</v>
      </c>
      <c r="B23" s="1869" t="s">
        <v>3215</v>
      </c>
      <c r="C23" s="1865">
        <f>ROUND(D40,-3)</f>
        <v>2581000</v>
      </c>
      <c r="D23" t="s">
        <v>3158</v>
      </c>
      <c r="E23" s="1101"/>
      <c r="F23" s="1864">
        <f>ROUND(F40,-3)</f>
        <v>2581000</v>
      </c>
      <c r="G23" s="1864">
        <f>ROUND(G40,-3)</f>
        <v>0</v>
      </c>
      <c r="H23" s="1864">
        <f>ROUND(H40,-3)</f>
        <v>0</v>
      </c>
      <c r="I23" s="1864">
        <f>ROUND(I40,-3)</f>
        <v>2581000</v>
      </c>
      <c r="J23" s="1716"/>
      <c r="M23" s="1123"/>
      <c r="O23">
        <v>167000</v>
      </c>
      <c r="P23" t="s">
        <v>3216</v>
      </c>
    </row>
    <row r="24" spans="1:16" ht="15" thickBot="1">
      <c r="A24" s="1674"/>
      <c r="B24" s="414"/>
      <c r="C24" s="29"/>
      <c r="F24" s="414"/>
      <c r="G24" s="29"/>
      <c r="H24" s="29"/>
      <c r="I24" s="29"/>
      <c r="M24" s="1123"/>
      <c r="O24">
        <f>SUM(O15:O23,O10:O12)</f>
        <v>15421236</v>
      </c>
    </row>
    <row r="25" spans="1:16" ht="15" thickBot="1">
      <c r="A25" s="1674"/>
      <c r="B25" s="1307" t="s">
        <v>3161</v>
      </c>
      <c r="C25" s="1663">
        <f>SUM(C7:C23)</f>
        <v>20656000</v>
      </c>
      <c r="E25" s="1101"/>
      <c r="F25" s="1733">
        <f>SUM(F7:F23)</f>
        <v>20656000</v>
      </c>
      <c r="G25" s="1663">
        <f>SUM(G7:G23)</f>
        <v>0</v>
      </c>
      <c r="H25" s="1663">
        <f>SUM(H7:H23)</f>
        <v>0</v>
      </c>
      <c r="I25" s="1663">
        <f>SUM(I7:I23)</f>
        <v>20656000</v>
      </c>
    </row>
    <row r="26" spans="1:16" ht="15" thickBot="1">
      <c r="A26" s="1674"/>
      <c r="B26" s="414"/>
      <c r="C26" s="29"/>
      <c r="F26" s="414"/>
      <c r="G26" s="29"/>
      <c r="H26" s="29"/>
      <c r="I26" s="29"/>
      <c r="L26" s="1239"/>
    </row>
    <row r="27" spans="1:16" ht="40.5" customHeight="1" thickBot="1">
      <c r="A27" s="1674"/>
      <c r="B27" s="1665" t="s">
        <v>3162</v>
      </c>
      <c r="C27" s="1666">
        <f>ROUND(C3+C25,-3)</f>
        <v>23720000</v>
      </c>
      <c r="E27" s="1101"/>
      <c r="F27" s="1734">
        <f>ROUND(F3+F25,-3)</f>
        <v>23720000</v>
      </c>
      <c r="G27" s="1724">
        <f>ROUND(G3+G25,-3)</f>
        <v>0</v>
      </c>
      <c r="H27" s="1724">
        <f>ROUND(H3+H25,-3)</f>
        <v>0</v>
      </c>
      <c r="I27" s="1724">
        <f>ROUND(I3+I25,-3)</f>
        <v>23720000</v>
      </c>
      <c r="L27" s="1239"/>
      <c r="M27" s="203" t="e">
        <f>C27+#REF!+#REF!</f>
        <v>#REF!</v>
      </c>
    </row>
    <row r="28" spans="1:16">
      <c r="F28" s="1043"/>
      <c r="H28" s="1043"/>
    </row>
    <row r="29" spans="1:16">
      <c r="A29" s="1736"/>
      <c r="B29" s="195" t="s">
        <v>3165</v>
      </c>
      <c r="F29" s="1043"/>
      <c r="H29" s="1043"/>
    </row>
    <row r="30" spans="1:16">
      <c r="A30" s="1675"/>
      <c r="B30" s="195" t="s">
        <v>3166</v>
      </c>
      <c r="D30" s="901"/>
      <c r="I30" s="1101"/>
      <c r="M30" s="203">
        <f>ROUND(F27*0.15,-3)</f>
        <v>3558000</v>
      </c>
    </row>
    <row r="31" spans="1:16" ht="16" thickBot="1">
      <c r="D31" s="1657" t="str">
        <f>IF(C3=D32,"Check OK", "Check FAIL")</f>
        <v>Check OK</v>
      </c>
      <c r="M31" s="1043">
        <f>+M30+F27</f>
        <v>27278000</v>
      </c>
    </row>
    <row r="32" spans="1:16" ht="15.5">
      <c r="B32" s="1706" t="s">
        <v>3167</v>
      </c>
      <c r="C32" s="1312"/>
      <c r="D32" s="1659">
        <f>(SUMIF('Estimate Details'!AQ9:AQ1622,"2018-C1",'Estimate Details'!AD9:AD1622))+(SUMIF('Estimate Details'!AQ9:AQ1622,"2018-R",'Estimate Details'!AD9:AD1622))</f>
        <v>3064422.5190087771</v>
      </c>
      <c r="F32" s="1726">
        <f>+F3</f>
        <v>3064422.5190087771</v>
      </c>
      <c r="G32" s="1726">
        <f t="shared" ref="G32:I32" si="2">+G3</f>
        <v>0</v>
      </c>
      <c r="H32" s="1726">
        <f t="shared" si="2"/>
        <v>0</v>
      </c>
      <c r="I32" s="1726">
        <f t="shared" si="2"/>
        <v>3064422.5190087771</v>
      </c>
    </row>
    <row r="33" spans="2:11">
      <c r="B33" s="413" t="s">
        <v>3228</v>
      </c>
      <c r="D33" s="1681">
        <f>D32+SUM(C12:C18)</f>
        <v>20645422.519008778</v>
      </c>
      <c r="F33" s="997">
        <f>F32+SUM(F12:F18)</f>
        <v>20645422.519008778</v>
      </c>
      <c r="G33" s="997">
        <f t="shared" ref="G33:I33" si="3">G32+SUM(G12:G18)</f>
        <v>0</v>
      </c>
      <c r="H33" s="997">
        <f t="shared" si="3"/>
        <v>0</v>
      </c>
      <c r="I33" s="997">
        <f t="shared" si="3"/>
        <v>20645422.519008778</v>
      </c>
    </row>
    <row r="34" spans="2:11">
      <c r="B34" s="413" t="s">
        <v>3168</v>
      </c>
      <c r="D34" s="1682">
        <f>D32+C10+C101+C114</f>
        <v>3064422.5190087771</v>
      </c>
      <c r="F34" s="1043">
        <f>F32+F10+E101+E114</f>
        <v>3064422.5190087771</v>
      </c>
      <c r="G34" s="1043">
        <f t="shared" ref="G34:I34" si="4">G32+G10+F101+F114</f>
        <v>0</v>
      </c>
      <c r="H34" s="1043">
        <f t="shared" si="4"/>
        <v>0</v>
      </c>
      <c r="I34" s="1043">
        <f t="shared" si="4"/>
        <v>3064422.5190087771</v>
      </c>
    </row>
    <row r="35" spans="2:11" ht="43.5">
      <c r="B35" s="1683" t="s">
        <v>3169</v>
      </c>
      <c r="C35" s="7"/>
      <c r="D35" s="1684">
        <f>D34+D36+B64+C69+C81</f>
        <v>20645031.674717471</v>
      </c>
      <c r="F35" s="1727">
        <f>F34+F36+F64+F69+F81</f>
        <v>20645255.422816593</v>
      </c>
      <c r="G35" s="1727">
        <f t="shared" ref="G35:I35" si="5">G34+G36+G64+G69+G81</f>
        <v>0</v>
      </c>
      <c r="H35" s="1727">
        <f t="shared" si="5"/>
        <v>0</v>
      </c>
      <c r="I35" s="1727">
        <f t="shared" si="5"/>
        <v>20645255.422816593</v>
      </c>
    </row>
    <row r="36" spans="2:11" ht="29">
      <c r="B36" s="1685" t="s">
        <v>2698</v>
      </c>
      <c r="C36" s="1686">
        <v>0.1</v>
      </c>
      <c r="D36" s="1687">
        <f>($D$32*C36)+'Estimate Details'!AD1666+'Estimate Details'!AD1668+'Estimate Details'!AD1670+'Estimate Details'!AD1672+'Estimate Details'!AD1674</f>
        <v>16964776.251900878</v>
      </c>
      <c r="E36" s="1121" t="s">
        <v>3170</v>
      </c>
      <c r="F36" s="203">
        <f>+F14</f>
        <v>16965000</v>
      </c>
      <c r="G36" s="203">
        <f t="shared" ref="G36:I36" si="6">+G14</f>
        <v>0</v>
      </c>
      <c r="H36" s="203">
        <f t="shared" si="6"/>
        <v>0</v>
      </c>
      <c r="I36" s="203">
        <f t="shared" si="6"/>
        <v>16965000</v>
      </c>
      <c r="J36" s="1121"/>
      <c r="K36" s="1043"/>
    </row>
    <row r="37" spans="2:11">
      <c r="B37" s="1688" t="s">
        <v>3172</v>
      </c>
      <c r="C37" s="1689">
        <v>3.9E-2</v>
      </c>
      <c r="D37" s="1690">
        <f>$D$32*C37</f>
        <v>119512.47824134231</v>
      </c>
      <c r="E37" s="1121" t="s">
        <v>2677</v>
      </c>
      <c r="F37" s="203">
        <f>+F20</f>
        <v>120000</v>
      </c>
      <c r="G37" s="203">
        <f t="shared" ref="G37:I37" si="7">+G20</f>
        <v>0</v>
      </c>
      <c r="H37" s="203">
        <f t="shared" si="7"/>
        <v>0</v>
      </c>
      <c r="I37" s="203">
        <f t="shared" si="7"/>
        <v>120000</v>
      </c>
      <c r="J37" s="1121"/>
      <c r="K37" s="1043"/>
    </row>
    <row r="38" spans="2:11" ht="29">
      <c r="B38" s="1688" t="s">
        <v>3173</v>
      </c>
      <c r="C38" s="1689">
        <v>9.4E-2</v>
      </c>
      <c r="D38" s="1691">
        <f>$D$34*C38</f>
        <v>288055.71678682504</v>
      </c>
      <c r="E38" s="1062" t="s">
        <v>3218</v>
      </c>
      <c r="F38" s="203">
        <f>+F21</f>
        <v>288000</v>
      </c>
      <c r="G38" s="203">
        <f t="shared" ref="G38:I38" si="8">+G21</f>
        <v>0</v>
      </c>
      <c r="H38" s="203">
        <f t="shared" si="8"/>
        <v>0</v>
      </c>
      <c r="I38" s="203">
        <f t="shared" si="8"/>
        <v>288000</v>
      </c>
      <c r="J38" s="1121"/>
      <c r="K38" s="1043"/>
    </row>
    <row r="39" spans="2:11">
      <c r="B39" s="1688"/>
      <c r="C39" s="1686"/>
      <c r="D39" s="1692"/>
      <c r="E39" s="1121"/>
      <c r="G39" s="1121"/>
      <c r="H39" s="1121"/>
      <c r="I39" s="1121"/>
      <c r="J39" s="1121"/>
      <c r="K39" s="1043"/>
    </row>
    <row r="40" spans="2:11" ht="15.75" customHeight="1" thickBot="1">
      <c r="B40" s="1693" t="s">
        <v>2747</v>
      </c>
      <c r="C40" s="1694">
        <v>0.125</v>
      </c>
      <c r="D40" s="1695">
        <f>$D$35*C40</f>
        <v>2580628.9593396839</v>
      </c>
      <c r="E40" s="1062" t="s">
        <v>3219</v>
      </c>
      <c r="F40" s="1119">
        <f>F35*$C$40</f>
        <v>2580656.9278520741</v>
      </c>
      <c r="G40" s="1119">
        <f t="shared" ref="G40:I40" si="9">G35*$C$40</f>
        <v>0</v>
      </c>
      <c r="H40" s="1119">
        <f t="shared" si="9"/>
        <v>0</v>
      </c>
      <c r="I40" s="1119">
        <f t="shared" si="9"/>
        <v>2580656.9278520741</v>
      </c>
      <c r="J40" s="1062"/>
      <c r="K40" s="1043"/>
    </row>
    <row r="41" spans="2:11" ht="15" thickBot="1">
      <c r="F41" s="390" t="s">
        <v>3145</v>
      </c>
      <c r="G41" s="390" t="s">
        <v>3146</v>
      </c>
      <c r="H41" s="390" t="s">
        <v>3147</v>
      </c>
      <c r="I41" s="390" t="s">
        <v>3148</v>
      </c>
    </row>
    <row r="42" spans="2:11">
      <c r="B42" s="1696" t="s">
        <v>3174</v>
      </c>
      <c r="C42" s="1707"/>
      <c r="D42" s="1312"/>
      <c r="E42" s="1312"/>
      <c r="F42" s="1706"/>
      <c r="G42" s="1312"/>
      <c r="H42" s="1312"/>
      <c r="I42" s="1314"/>
    </row>
    <row r="43" spans="2:11">
      <c r="B43" s="413" t="s">
        <v>3175</v>
      </c>
      <c r="C43" s="1697">
        <v>0</v>
      </c>
      <c r="D43" t="s">
        <v>3442</v>
      </c>
      <c r="F43" s="1719">
        <v>0</v>
      </c>
      <c r="G43" s="1697">
        <v>0</v>
      </c>
      <c r="H43" s="1697">
        <v>0</v>
      </c>
      <c r="I43" s="1697">
        <v>0</v>
      </c>
    </row>
    <row r="44" spans="2:11">
      <c r="B44" s="413" t="s">
        <v>3176</v>
      </c>
      <c r="C44" s="1677">
        <v>0.1</v>
      </c>
      <c r="F44" s="1720">
        <v>0.1</v>
      </c>
      <c r="G44" s="1677">
        <v>0.1</v>
      </c>
      <c r="H44" s="1677">
        <v>0.1</v>
      </c>
      <c r="I44" s="1677">
        <v>0.1</v>
      </c>
    </row>
    <row r="45" spans="2:11">
      <c r="B45" s="413"/>
      <c r="C45" s="1708"/>
      <c r="F45" s="413"/>
      <c r="I45" s="29"/>
    </row>
    <row r="46" spans="2:11">
      <c r="B46" s="413" t="s">
        <v>3229</v>
      </c>
      <c r="C46" s="1737">
        <f>ROUND((SUMIF('Estimate Details'!AQ9:AQ1622,"2018-C1",'Estimate Details'!AA9:AA1622))+(SUMIF('Estimate Details'!AQ9:AQ1622,"2018-R",'Estimate Details'!AA9:AA1622)),-3)</f>
        <v>199000</v>
      </c>
      <c r="E46" s="1718"/>
      <c r="F46" s="1739">
        <f>ROUND(SUMIFS('Estimate Details'!AA9:AA1622,'Estimate Details'!AQ9:AQ1622,"2018-C1",'Estimate Details'!AG9:AG1622,"=1")+SUMIFS('Estimate Details'!AA9:AA1622,'Estimate Details'!AQ9:AQ1622,"2018-R",'Estimate Details'!AG9:AG1622,"=1"),-3)</f>
        <v>199000</v>
      </c>
      <c r="G46" s="1740">
        <f>ROUND(SUMIFS('Estimate Details'!AA9:AA1622,'Estimate Details'!AQ9:AQ1622,"2018-C1",'Estimate Details'!AG9:AG1622,"=0")+SUMIFS('Estimate Details'!AA9:AA1622,'Estimate Details'!AQ9:AQ1622,"2018-R",'Estimate Details'!AG9:AG1622,"=0"),-3)</f>
        <v>0</v>
      </c>
      <c r="H46" s="1740">
        <f>ROUND(SUMIFS('Estimate Details'!AA9:AA1622,'Estimate Details'!AQ9:AQ1622,"2018-C1",'Estimate Details'!AI9:AI1622,"=1")+SUMIFS('Estimate Details'!AA9:AA1622,'Estimate Details'!AQ9:AQ1622,"2018-R",'Estimate Details'!AI9:AI1622,"=1"),-3)</f>
        <v>0</v>
      </c>
      <c r="I46" s="1741">
        <f>ROUND(SUMIFS('Estimate Details'!AA9:AA1622,'Estimate Details'!AQ9:AQ1622,"2018-C1",'Estimate Details'!AI9:AI1622,"=0")+SUMIFS('Estimate Details'!AA9:AA1622,'Estimate Details'!AQ9:AQ1622,"2018-R",'Estimate Details'!AI9:AI1622,"=0"),-3)</f>
        <v>199000</v>
      </c>
    </row>
    <row r="47" spans="2:11">
      <c r="B47" s="413" t="s">
        <v>3178</v>
      </c>
      <c r="C47" s="1697">
        <f>ROUND(B62*C5,-3)</f>
        <v>231000</v>
      </c>
      <c r="F47" s="1719">
        <f>ROUND($B$62*F5,-3)</f>
        <v>231000</v>
      </c>
      <c r="G47" s="1697">
        <f t="shared" ref="G47:I47" si="10">ROUND($B$62*G5,-3)</f>
        <v>0</v>
      </c>
      <c r="H47" s="1697">
        <f t="shared" si="10"/>
        <v>0</v>
      </c>
      <c r="I47" s="1697">
        <f t="shared" si="10"/>
        <v>231000</v>
      </c>
    </row>
    <row r="48" spans="2:11">
      <c r="B48" s="413" t="s">
        <v>3249</v>
      </c>
      <c r="C48" s="1709">
        <f>ROUND(C46+C47,-3)</f>
        <v>430000</v>
      </c>
      <c r="F48" s="1721">
        <f>ROUND(F46+F47,-3)</f>
        <v>430000</v>
      </c>
      <c r="G48" s="1709">
        <f>ROUND(G46+G47,-3)</f>
        <v>0</v>
      </c>
      <c r="H48" s="1709">
        <f>ROUND(H46+H47,-3)</f>
        <v>0</v>
      </c>
      <c r="I48" s="1709">
        <f>ROUND(I46+I47,-3)</f>
        <v>430000</v>
      </c>
    </row>
    <row r="49" spans="2:9">
      <c r="B49" s="413"/>
      <c r="C49" s="1677"/>
      <c r="F49" s="413"/>
      <c r="I49" s="29"/>
    </row>
    <row r="50" spans="2:9">
      <c r="B50" s="413" t="s">
        <v>3180</v>
      </c>
      <c r="C50" s="1677">
        <v>0.4</v>
      </c>
      <c r="F50" s="1720">
        <v>0.4</v>
      </c>
      <c r="G50" s="1677">
        <v>0.4</v>
      </c>
      <c r="H50" s="1677">
        <v>0.4</v>
      </c>
      <c r="I50" s="1677">
        <v>0.4</v>
      </c>
    </row>
    <row r="51" spans="2:9">
      <c r="B51" s="413"/>
      <c r="C51" s="29"/>
      <c r="F51" s="414"/>
      <c r="G51" s="29"/>
      <c r="H51" s="29"/>
      <c r="I51" s="29"/>
    </row>
    <row r="52" spans="2:9">
      <c r="B52" s="413" t="s">
        <v>3181</v>
      </c>
      <c r="C52" s="1662">
        <f>0.5*C43*C44</f>
        <v>0</v>
      </c>
      <c r="E52" s="210"/>
      <c r="F52" s="1722">
        <f>0.5*F43*F44</f>
        <v>0</v>
      </c>
      <c r="G52" s="1662">
        <f>0.5*G43*G44</f>
        <v>0</v>
      </c>
      <c r="H52" s="1662">
        <f>0.5*H43*H44</f>
        <v>0</v>
      </c>
      <c r="I52" s="1662">
        <f>0.5*I43*I44</f>
        <v>0</v>
      </c>
    </row>
    <row r="53" spans="2:9">
      <c r="B53" s="413"/>
      <c r="C53" s="29"/>
      <c r="E53" s="210"/>
      <c r="F53" s="414"/>
      <c r="G53" s="29"/>
      <c r="H53" s="29"/>
      <c r="I53" s="29"/>
    </row>
    <row r="54" spans="2:9">
      <c r="B54" s="413" t="s">
        <v>3250</v>
      </c>
      <c r="C54" s="1662">
        <f>ROUND(0.5*C48*C50,-3)</f>
        <v>86000</v>
      </c>
      <c r="E54" s="210"/>
      <c r="F54" s="1722">
        <f>ROUND(0.5*F48*F50,-3)</f>
        <v>86000</v>
      </c>
      <c r="G54" s="1662">
        <f>ROUND(0.5*G48*G50,-3)</f>
        <v>0</v>
      </c>
      <c r="H54" s="1662">
        <f>ROUND(0.5*H48*H50,-3)</f>
        <v>0</v>
      </c>
      <c r="I54" s="1662">
        <f>ROUND(0.5*I48*I50,-3)</f>
        <v>86000</v>
      </c>
    </row>
    <row r="55" spans="2:9">
      <c r="B55" s="413"/>
      <c r="C55" s="29"/>
      <c r="E55" s="210"/>
      <c r="F55" s="414"/>
      <c r="G55" s="29"/>
      <c r="H55" s="29"/>
      <c r="I55" s="29"/>
    </row>
    <row r="56" spans="2:9" ht="15" thickBot="1">
      <c r="B56" s="407" t="s">
        <v>3183</v>
      </c>
      <c r="C56" s="1710">
        <f>ROUND(C54+C52,-3)</f>
        <v>86000</v>
      </c>
      <c r="D56" s="406"/>
      <c r="E56" s="406"/>
      <c r="F56" s="1723">
        <f>ROUND(F54+F52,-3)</f>
        <v>86000</v>
      </c>
      <c r="G56" s="1710">
        <f>ROUND(G54+G52,-3)</f>
        <v>0</v>
      </c>
      <c r="H56" s="1710">
        <f>ROUND(H54+H52,-3)</f>
        <v>0</v>
      </c>
      <c r="I56" s="1710">
        <f>ROUND(I54+I52,-3)</f>
        <v>86000</v>
      </c>
    </row>
    <row r="57" spans="2:9">
      <c r="B57" s="1717" t="s">
        <v>3184</v>
      </c>
      <c r="C57" s="29"/>
    </row>
    <row r="58" spans="2:9">
      <c r="B58" s="1699">
        <v>1732500</v>
      </c>
      <c r="C58" s="29" t="s">
        <v>3185</v>
      </c>
      <c r="F58" s="1699">
        <v>1732500</v>
      </c>
      <c r="G58" s="1699">
        <v>1732500</v>
      </c>
      <c r="H58" s="1699">
        <v>1732500</v>
      </c>
      <c r="I58" s="1699">
        <v>1732500</v>
      </c>
    </row>
    <row r="59" spans="2:9">
      <c r="B59" s="413">
        <v>30</v>
      </c>
      <c r="C59" s="29" t="s">
        <v>3186</v>
      </c>
      <c r="F59" s="413">
        <v>30</v>
      </c>
      <c r="G59" s="413">
        <v>30</v>
      </c>
      <c r="H59" s="413">
        <v>30</v>
      </c>
      <c r="I59" s="413">
        <v>30</v>
      </c>
    </row>
    <row r="60" spans="2:9">
      <c r="B60" s="413">
        <v>500</v>
      </c>
      <c r="C60" s="29" t="s">
        <v>3230</v>
      </c>
      <c r="F60" s="413">
        <v>500</v>
      </c>
      <c r="G60" s="413">
        <v>500</v>
      </c>
      <c r="H60" s="413">
        <v>500</v>
      </c>
      <c r="I60" s="413">
        <v>500</v>
      </c>
    </row>
    <row r="61" spans="2:9">
      <c r="B61" s="413"/>
      <c r="C61" s="29"/>
      <c r="F61" s="413"/>
      <c r="G61" s="413"/>
      <c r="H61" s="413"/>
      <c r="I61" s="413"/>
    </row>
    <row r="62" spans="2:9">
      <c r="B62" s="1700">
        <f>B58/(B59*B60)</f>
        <v>115.5</v>
      </c>
      <c r="C62" s="29" t="s">
        <v>3188</v>
      </c>
      <c r="F62" s="1700">
        <f>F58/(F59*F60)</f>
        <v>115.5</v>
      </c>
      <c r="G62" s="1700">
        <f>G58/(G59*G60)</f>
        <v>115.5</v>
      </c>
      <c r="H62" s="1700">
        <f>H58/(H59*H60)</f>
        <v>115.5</v>
      </c>
      <c r="I62" s="1700">
        <f>I58/(I59*I60)</f>
        <v>115.5</v>
      </c>
    </row>
    <row r="63" spans="2:9">
      <c r="B63" s="413"/>
      <c r="C63" s="29"/>
      <c r="F63" s="413"/>
      <c r="G63" s="413"/>
      <c r="H63" s="413"/>
      <c r="I63" s="413"/>
    </row>
    <row r="64" spans="2:9" ht="15" thickBot="1">
      <c r="B64" s="1701">
        <f>C5*B62</f>
        <v>230914.41414546513</v>
      </c>
      <c r="C64" s="1702" t="s">
        <v>3037</v>
      </c>
      <c r="F64" s="1701">
        <f>F5*F62</f>
        <v>230914.41414546513</v>
      </c>
      <c r="G64" s="1701">
        <f t="shared" ref="G64:I64" si="11">G5*G62</f>
        <v>0</v>
      </c>
      <c r="H64" s="1701">
        <f t="shared" si="11"/>
        <v>0</v>
      </c>
      <c r="I64" s="1701">
        <f t="shared" si="11"/>
        <v>230914.41414546513</v>
      </c>
    </row>
    <row r="65" spans="2:9">
      <c r="B65" s="1703" t="s">
        <v>3190</v>
      </c>
      <c r="C65" s="1314"/>
    </row>
    <row r="66" spans="2:9">
      <c r="B66" s="413" t="s">
        <v>3231</v>
      </c>
      <c r="C66" s="29">
        <v>110</v>
      </c>
      <c r="F66" s="29">
        <v>110</v>
      </c>
      <c r="G66" s="29">
        <v>110</v>
      </c>
      <c r="H66" s="29">
        <v>110</v>
      </c>
      <c r="I66" s="29">
        <v>110</v>
      </c>
    </row>
    <row r="67" spans="2:9">
      <c r="B67" s="413" t="s">
        <v>3232</v>
      </c>
      <c r="C67" s="1711">
        <f>B62</f>
        <v>115.5</v>
      </c>
      <c r="F67" s="1711">
        <f>F62</f>
        <v>115.5</v>
      </c>
      <c r="G67" s="1711">
        <f t="shared" ref="G67:I67" si="12">G62</f>
        <v>115.5</v>
      </c>
      <c r="H67" s="1711">
        <f t="shared" si="12"/>
        <v>115.5</v>
      </c>
      <c r="I67" s="1711">
        <f t="shared" si="12"/>
        <v>115.5</v>
      </c>
    </row>
    <row r="68" spans="2:9">
      <c r="B68" s="413"/>
      <c r="C68" s="29"/>
      <c r="F68" s="29"/>
      <c r="G68" s="29"/>
      <c r="H68" s="29"/>
      <c r="I68" s="29"/>
    </row>
    <row r="69" spans="2:9">
      <c r="B69" s="413" t="s">
        <v>3193</v>
      </c>
      <c r="C69" s="1712">
        <f>C66*C5</f>
        <v>219918.48966234774</v>
      </c>
      <c r="E69" s="203"/>
      <c r="F69" s="1712">
        <f>F66*F5</f>
        <v>219918.48966234774</v>
      </c>
      <c r="G69" s="1712">
        <f>G66*G5</f>
        <v>0</v>
      </c>
      <c r="H69" s="1712">
        <f>H66*H5</f>
        <v>0</v>
      </c>
      <c r="I69" s="1712">
        <f>I66*I5</f>
        <v>219918.48966234774</v>
      </c>
    </row>
    <row r="70" spans="2:9">
      <c r="B70" s="413" t="s">
        <v>3233</v>
      </c>
      <c r="C70" s="1677">
        <f>C67*C5</f>
        <v>230914.41414546513</v>
      </c>
      <c r="E70" s="203"/>
      <c r="F70" s="1677">
        <f>F67*F5</f>
        <v>230914.41414546513</v>
      </c>
      <c r="G70" s="1677">
        <f>G67*G5</f>
        <v>0</v>
      </c>
      <c r="H70" s="1677">
        <f>H67*H5</f>
        <v>0</v>
      </c>
      <c r="I70" s="1677">
        <f>I67*I5</f>
        <v>230914.41414546513</v>
      </c>
    </row>
    <row r="71" spans="2:9">
      <c r="B71" s="413"/>
      <c r="C71" s="29"/>
      <c r="F71" s="29"/>
      <c r="G71" s="29"/>
      <c r="H71" s="29"/>
      <c r="I71" s="29"/>
    </row>
    <row r="72" spans="2:9" ht="15" thickBot="1">
      <c r="B72" s="407" t="s">
        <v>3162</v>
      </c>
      <c r="C72" s="1713">
        <f>ROUND((SUM(C69:C70)),-3)</f>
        <v>451000</v>
      </c>
      <c r="E72" s="203"/>
      <c r="F72" s="1713">
        <f>ROUND((SUM(F69:F70)),-3)</f>
        <v>451000</v>
      </c>
      <c r="G72" s="1713">
        <f>ROUND((SUM(G69:G70)),-3)</f>
        <v>0</v>
      </c>
      <c r="H72" s="1713">
        <f>ROUND((SUM(H69:H70)),-3)</f>
        <v>0</v>
      </c>
      <c r="I72" s="1713">
        <f>ROUND((SUM(I69:I70)),-3)</f>
        <v>451000</v>
      </c>
    </row>
    <row r="73" spans="2:9">
      <c r="B73" s="1704" t="s">
        <v>3220</v>
      </c>
      <c r="C73" s="1314"/>
    </row>
    <row r="74" spans="2:9">
      <c r="B74" s="1688" t="s">
        <v>3195</v>
      </c>
      <c r="C74" s="1714">
        <f>C5</f>
        <v>1999.258996930434</v>
      </c>
      <c r="F74" s="1714">
        <f>F5</f>
        <v>1999.258996930434</v>
      </c>
      <c r="G74" s="1714">
        <f>G5</f>
        <v>0</v>
      </c>
      <c r="H74" s="1714">
        <f>H5</f>
        <v>0</v>
      </c>
      <c r="I74" s="1714">
        <f>I5</f>
        <v>1999.258996930434</v>
      </c>
    </row>
    <row r="75" spans="2:9">
      <c r="B75" s="1688" t="s">
        <v>3196</v>
      </c>
      <c r="C75" s="1692">
        <f>(ROUNDUP(C74*0.7,0))</f>
        <v>1400</v>
      </c>
      <c r="F75" s="1692">
        <f>(ROUNDUP(F74*0.7,0))</f>
        <v>1400</v>
      </c>
      <c r="G75" s="1692">
        <f>(ROUNDUP(G74*0.7,0))</f>
        <v>0</v>
      </c>
      <c r="H75" s="1692">
        <f>(ROUNDUP(H74*0.7,0))</f>
        <v>0</v>
      </c>
      <c r="I75" s="1692">
        <f>(ROUNDUP(I74*0.7,0))</f>
        <v>1400</v>
      </c>
    </row>
    <row r="76" spans="2:9">
      <c r="B76" s="1688" t="s">
        <v>3197</v>
      </c>
      <c r="C76" s="1692">
        <f>(ROUNDUP(C74*0.3,0))</f>
        <v>600</v>
      </c>
      <c r="F76" s="1692">
        <f>(ROUNDUP(F74*0.3,0))</f>
        <v>600</v>
      </c>
      <c r="G76" s="1692">
        <f>(ROUNDUP(G74*0.3,0))</f>
        <v>0</v>
      </c>
      <c r="H76" s="1692">
        <f>(ROUNDUP(H74*0.3,0))</f>
        <v>0</v>
      </c>
      <c r="I76" s="1692">
        <f>(ROUNDUP(I74*0.3,0))</f>
        <v>600</v>
      </c>
    </row>
    <row r="77" spans="2:9">
      <c r="B77" s="1688"/>
      <c r="C77" s="1692"/>
      <c r="F77" s="1692"/>
      <c r="G77" s="1692"/>
      <c r="H77" s="1692"/>
      <c r="I77" s="1692"/>
    </row>
    <row r="78" spans="2:9">
      <c r="B78" s="1688" t="s">
        <v>3198</v>
      </c>
      <c r="C78" s="1697">
        <f>C75*85.45</f>
        <v>119630</v>
      </c>
      <c r="F78" s="1697">
        <f>F75*85.45</f>
        <v>119630</v>
      </c>
      <c r="G78" s="1697">
        <f>G75*85.45</f>
        <v>0</v>
      </c>
      <c r="H78" s="1697">
        <f>H75*85.45</f>
        <v>0</v>
      </c>
      <c r="I78" s="1697">
        <f>I75*85.45</f>
        <v>119630</v>
      </c>
    </row>
    <row r="79" spans="2:9">
      <c r="B79" s="1688" t="s">
        <v>3199</v>
      </c>
      <c r="C79" s="1697">
        <f>C76*75</f>
        <v>45000</v>
      </c>
      <c r="F79" s="1697">
        <f>F76*75</f>
        <v>45000</v>
      </c>
      <c r="G79" s="1697">
        <f>G76*75</f>
        <v>0</v>
      </c>
      <c r="H79" s="1697">
        <f>H76*75</f>
        <v>0</v>
      </c>
      <c r="I79" s="1697">
        <f>I76*75</f>
        <v>45000</v>
      </c>
    </row>
    <row r="80" spans="2:9">
      <c r="B80" s="413"/>
      <c r="C80" s="29"/>
      <c r="F80" s="29"/>
      <c r="G80" s="29"/>
      <c r="H80" s="29"/>
      <c r="I80" s="29"/>
    </row>
    <row r="81" spans="2:9" ht="15" thickBot="1">
      <c r="B81" s="1705" t="s">
        <v>3200</v>
      </c>
      <c r="C81" s="1698">
        <f>ROUND(SUM(C78:C79),-3)</f>
        <v>165000</v>
      </c>
      <c r="F81" s="1698">
        <f>ROUND(SUM(F78:F79),-3)</f>
        <v>165000</v>
      </c>
      <c r="G81" s="1698">
        <f>ROUND(SUM(G78:G79),-3)</f>
        <v>0</v>
      </c>
      <c r="H81" s="1698">
        <f>ROUND(SUM(H78:H79),-3)</f>
        <v>0</v>
      </c>
      <c r="I81" s="1698">
        <f>ROUND(SUM(I78:I79),-3)</f>
        <v>165000</v>
      </c>
    </row>
    <row r="82" spans="2:9">
      <c r="B82" s="1680" t="s">
        <v>3234</v>
      </c>
      <c r="C82" s="1314"/>
    </row>
    <row r="83" spans="2:9">
      <c r="B83" s="413" t="s">
        <v>3235</v>
      </c>
      <c r="C83" s="29">
        <v>200</v>
      </c>
    </row>
    <row r="84" spans="2:9">
      <c r="B84" s="413" t="s">
        <v>3236</v>
      </c>
      <c r="C84" s="29">
        <v>46</v>
      </c>
    </row>
    <row r="85" spans="2:9">
      <c r="B85" s="413" t="s">
        <v>3237</v>
      </c>
      <c r="C85" s="29">
        <v>4500</v>
      </c>
    </row>
    <row r="86" spans="2:9">
      <c r="B86" s="413" t="s">
        <v>3238</v>
      </c>
      <c r="C86" s="29">
        <v>5000</v>
      </c>
    </row>
    <row r="87" spans="2:9">
      <c r="B87" s="413"/>
      <c r="C87" s="29"/>
    </row>
    <row r="88" spans="2:9">
      <c r="B88" s="413" t="s">
        <v>3239</v>
      </c>
      <c r="C88" s="1677">
        <f>(C83*C84)+C85+C86</f>
        <v>18700</v>
      </c>
    </row>
    <row r="89" spans="2:9">
      <c r="B89" s="413"/>
      <c r="C89" s="29"/>
    </row>
    <row r="90" spans="2:9">
      <c r="B90" s="413" t="s">
        <v>3240</v>
      </c>
      <c r="C90" s="29">
        <v>0</v>
      </c>
    </row>
    <row r="91" spans="2:9">
      <c r="B91" s="413"/>
      <c r="C91" s="29"/>
    </row>
    <row r="92" spans="2:9" ht="15" thickBot="1">
      <c r="B92" s="407" t="s">
        <v>3162</v>
      </c>
      <c r="C92" s="1678">
        <f>C88*C90</f>
        <v>0</v>
      </c>
    </row>
    <row r="93" spans="2:9">
      <c r="B93" s="1679" t="s">
        <v>3241</v>
      </c>
      <c r="C93" s="1314"/>
    </row>
    <row r="94" spans="2:9">
      <c r="B94" s="413" t="s">
        <v>3235</v>
      </c>
      <c r="C94" s="29">
        <v>200</v>
      </c>
    </row>
    <row r="95" spans="2:9">
      <c r="B95" s="413" t="s">
        <v>3242</v>
      </c>
      <c r="C95" s="29">
        <v>300</v>
      </c>
    </row>
    <row r="96" spans="2:9">
      <c r="B96" s="413"/>
      <c r="C96" s="29"/>
    </row>
    <row r="97" spans="1:3">
      <c r="B97" s="413" t="s">
        <v>3243</v>
      </c>
      <c r="C97" s="1677">
        <f>C94*C95</f>
        <v>60000</v>
      </c>
    </row>
    <row r="98" spans="1:3">
      <c r="B98" s="413"/>
      <c r="C98" s="29"/>
    </row>
    <row r="99" spans="1:3">
      <c r="B99" s="413" t="s">
        <v>3244</v>
      </c>
      <c r="C99" s="29">
        <v>0</v>
      </c>
    </row>
    <row r="100" spans="1:3">
      <c r="B100" s="413"/>
      <c r="C100" s="29"/>
    </row>
    <row r="101" spans="1:3" ht="15" thickBot="1">
      <c r="B101" s="407" t="s">
        <v>3162</v>
      </c>
      <c r="C101" s="1678">
        <f>C97*C99</f>
        <v>0</v>
      </c>
    </row>
    <row r="102" spans="1:3">
      <c r="B102" s="1676" t="s">
        <v>3245</v>
      </c>
      <c r="C102" s="1314"/>
    </row>
    <row r="103" spans="1:3">
      <c r="A103" s="1674"/>
      <c r="B103" s="413" t="s">
        <v>3235</v>
      </c>
      <c r="C103" s="29">
        <v>200</v>
      </c>
    </row>
    <row r="104" spans="1:3">
      <c r="A104" s="1674"/>
      <c r="B104" s="413" t="s">
        <v>3236</v>
      </c>
      <c r="C104" s="29">
        <v>72</v>
      </c>
    </row>
    <row r="105" spans="1:3">
      <c r="A105" s="1674"/>
      <c r="B105" s="413" t="s">
        <v>3237</v>
      </c>
      <c r="C105" s="29">
        <v>4500</v>
      </c>
    </row>
    <row r="106" spans="1:3">
      <c r="A106" s="1674"/>
      <c r="B106" s="413"/>
      <c r="C106" s="29"/>
    </row>
    <row r="107" spans="1:3">
      <c r="A107" s="1674"/>
      <c r="B107" s="413" t="s">
        <v>3246</v>
      </c>
      <c r="C107" s="29">
        <v>43</v>
      </c>
    </row>
    <row r="108" spans="1:3">
      <c r="A108" s="1674"/>
      <c r="B108" s="413" t="s">
        <v>3247</v>
      </c>
      <c r="C108" s="29">
        <v>100</v>
      </c>
    </row>
    <row r="109" spans="1:3">
      <c r="A109" s="1674"/>
      <c r="B109" s="413"/>
      <c r="C109" s="29"/>
    </row>
    <row r="110" spans="1:3">
      <c r="A110" s="1674"/>
      <c r="B110" s="413" t="s">
        <v>3239</v>
      </c>
      <c r="C110" s="1677">
        <f>(C103*C104)+4500+(C107*C108)</f>
        <v>23200</v>
      </c>
    </row>
    <row r="111" spans="1:3">
      <c r="A111" s="1674"/>
      <c r="B111" s="413"/>
      <c r="C111" s="29"/>
    </row>
    <row r="112" spans="1:3">
      <c r="A112" s="1674"/>
      <c r="B112" s="413" t="s">
        <v>3248</v>
      </c>
      <c r="C112" s="29">
        <v>0</v>
      </c>
    </row>
    <row r="113" spans="1:3">
      <c r="A113" s="1674"/>
      <c r="B113" s="413"/>
      <c r="C113" s="29"/>
    </row>
    <row r="114" spans="1:3" ht="15" thickBot="1">
      <c r="B114" s="407" t="s">
        <v>3162</v>
      </c>
      <c r="C114" s="1678">
        <f>C110*C112</f>
        <v>0</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9917F1B310994B9EAF38572A0EB9FF" ma:contentTypeVersion="16" ma:contentTypeDescription="Create a new document." ma:contentTypeScope="" ma:versionID="d69beed47e8d274d0839d8980b7bfe5a">
  <xsd:schema xmlns:xsd="http://www.w3.org/2001/XMLSchema" xmlns:xs="http://www.w3.org/2001/XMLSchema" xmlns:p="http://schemas.microsoft.com/office/2006/metadata/properties" xmlns:ns3="53d3ffbe-55be-4ba8-9d85-845b1d5bfdb4" xmlns:ns4="3ead6d65-e8ad-46c8-9e74-31a2d1fdc6b0" targetNamespace="http://schemas.microsoft.com/office/2006/metadata/properties" ma:root="true" ma:fieldsID="d208f36ddf805ad56a97cc4b359ef691" ns3:_="" ns4:_="">
    <xsd:import namespace="53d3ffbe-55be-4ba8-9d85-845b1d5bfdb4"/>
    <xsd:import namespace="3ead6d65-e8ad-46c8-9e74-31a2d1fdc6b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Location" minOccurs="0"/>
                <xsd:element ref="ns4:MediaLengthInSeconds" minOccurs="0"/>
                <xsd:element ref="ns4:_activity"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d3ffbe-55be-4ba8-9d85-845b1d5bfdb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ad6d65-e8ad-46c8-9e74-31a2d1fdc6b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ead6d65-e8ad-46c8-9e74-31a2d1fdc6b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A34E12-8F49-4A1B-985F-D52C40772E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d3ffbe-55be-4ba8-9d85-845b1d5bfdb4"/>
    <ds:schemaRef ds:uri="3ead6d65-e8ad-46c8-9e74-31a2d1fdc6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9CFF59E-44FD-4199-BBDF-EB27215BA976}">
  <ds:schemaRefs>
    <ds:schemaRef ds:uri="http://schemas.microsoft.com/office/2006/documentManagement/types"/>
    <ds:schemaRef ds:uri="http://schemas.microsoft.com/office/infopath/2007/PartnerControls"/>
    <ds:schemaRef ds:uri="3ead6d65-e8ad-46c8-9e74-31a2d1fdc6b0"/>
    <ds:schemaRef ds:uri="http://purl.org/dc/elements/1.1/"/>
    <ds:schemaRef ds:uri="http://schemas.microsoft.com/office/2006/metadata/properties"/>
    <ds:schemaRef ds:uri="53d3ffbe-55be-4ba8-9d85-845b1d5bfdb4"/>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05D34AF9-396D-4ED8-B206-0ABEDAAF09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4</vt:i4>
      </vt:variant>
    </vt:vector>
  </HeadingPairs>
  <TitlesOfParts>
    <vt:vector size="46" baseType="lpstr">
      <vt:lpstr>Estimate Details</vt:lpstr>
      <vt:lpstr>2023 Total Costs</vt:lpstr>
      <vt:lpstr>Global Estimate</vt:lpstr>
      <vt:lpstr>Cost Summary</vt:lpstr>
      <vt:lpstr>Cost Summary New</vt:lpstr>
      <vt:lpstr>1 - Volume Summary</vt:lpstr>
      <vt:lpstr>2018 Total Costs (C2)</vt:lpstr>
      <vt:lpstr>2018 MAY Removed Costs</vt:lpstr>
      <vt:lpstr>2018 Total Costs (C1)</vt:lpstr>
      <vt:lpstr>2017-A Indirect Costs</vt:lpstr>
      <vt:lpstr>2017 Indirect Costs</vt:lpstr>
      <vt:lpstr>2016 Indirect Costs</vt:lpstr>
      <vt:lpstr>2015 R Indirect Costs</vt:lpstr>
      <vt:lpstr>2015-A Indirect Costs</vt:lpstr>
      <vt:lpstr>2015 Indirect Costs</vt:lpstr>
      <vt:lpstr>2014 Indirect Costs</vt:lpstr>
      <vt:lpstr>Project component breakdown</vt:lpstr>
      <vt:lpstr>H349000-MechanicalEquipmentAndM</vt:lpstr>
      <vt:lpstr>Additional Scope</vt:lpstr>
      <vt:lpstr>Indirect List</vt:lpstr>
      <vt:lpstr>H349000-1000-00-144-0001 -  (2)</vt:lpstr>
      <vt:lpstr>Quantities</vt:lpstr>
      <vt:lpstr>Project component checklist</vt:lpstr>
      <vt:lpstr>Labour Rate</vt:lpstr>
      <vt:lpstr>Equipment Rates Contractors</vt:lpstr>
      <vt:lpstr>CC001 Unit Prices</vt:lpstr>
      <vt:lpstr>Buildings Footprints</vt:lpstr>
      <vt:lpstr>Items changed to ft2</vt:lpstr>
      <vt:lpstr>Mary River Exploration </vt:lpstr>
      <vt:lpstr>H349000-1000-00-144-0001 - Qtys</vt:lpstr>
      <vt:lpstr>PIVOT_ESTIMATE DETAILS 1</vt:lpstr>
      <vt:lpstr>Sheet8</vt:lpstr>
      <vt:lpstr>Removed Items 2015 R</vt:lpstr>
      <vt:lpstr>Removed Mob. Equip. 2015 R</vt:lpstr>
      <vt:lpstr>Removed Mech. Equip. 2015 R</vt:lpstr>
      <vt:lpstr>Indirect Cost 2015 R</vt:lpstr>
      <vt:lpstr>Sheet2</vt:lpstr>
      <vt:lpstr>Breakdown per licence</vt:lpstr>
      <vt:lpstr>Breakdown per Year</vt:lpstr>
      <vt:lpstr>PIVOT_ESTIMATE DETAILS </vt:lpstr>
      <vt:lpstr>Unit Rate Analysis</vt:lpstr>
      <vt:lpstr>Indirect cost Analysis</vt:lpstr>
      <vt:lpstr>'2023 Total Costs'!Print_Area</vt:lpstr>
      <vt:lpstr>'Estimate Details'!Print_Area</vt:lpstr>
      <vt:lpstr>'Global Estimate'!Print_Area</vt:lpstr>
      <vt:lpstr>'Estimate Details'!Print_Titles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2021-10-20T21:27:48Z</dcterms:created>
  <dcterms:modified xsi:type="dcterms:W3CDTF">2022-12-16T01:04:00Z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0x010100739917F1B310994B9EAF38572A0EB9FF</vt:lpwstr>
  </property>
</Properties>
</file>